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735" windowWidth="14820" windowHeight="8085" tabRatio="894" activeTab="1"/>
  </bookViews>
  <sheets>
    <sheet name="CD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131" sheetId="62" r:id="rId11"/>
    <sheet name="131-CT" sheetId="63" r:id="rId12"/>
    <sheet name="331" sheetId="12" r:id="rId13"/>
    <sheet name="331-CT" sheetId="14" r:id="rId14"/>
    <sheet name="341" sheetId="45" r:id="rId15"/>
    <sheet name="341-CT" sheetId="52" r:id="rId16"/>
    <sheet name="411" sheetId="54" r:id="rId17"/>
    <sheet name="NXT" sheetId="55" r:id="rId18"/>
    <sheet name="IN-NX" sheetId="56" r:id="rId19"/>
    <sheet name="152-CT" sheetId="57" r:id="rId20"/>
    <sheet name="TK" sheetId="58" r:id="rId21"/>
    <sheet name="BK-NL" sheetId="69" r:id="rId22"/>
    <sheet name="BTGT" sheetId="60" r:id="rId23"/>
    <sheet name="THEGT" sheetId="61" r:id="rId24"/>
    <sheet name="SO-TS" sheetId="64" r:id="rId25"/>
    <sheet name="THE-TS" sheetId="68" r:id="rId26"/>
    <sheet name="Sheet2" sheetId="53" r:id="rId27"/>
  </sheets>
  <externalReferences>
    <externalReference r:id="rId28"/>
    <externalReference r:id="rId29"/>
    <externalReference r:id="rId30"/>
    <externalReference r:id="rId31"/>
  </externalReferences>
  <definedNames>
    <definedName name="_C111">TH!$S$10:$S$2830</definedName>
    <definedName name="_C112">TH!$V$10:$V$2830</definedName>
    <definedName name="_Fill" localSheetId="9" hidden="1">#REF!</definedName>
    <definedName name="_Fill" localSheetId="11" hidden="1">#REF!</definedName>
    <definedName name="_Fill" localSheetId="15" hidden="1">#REF!</definedName>
    <definedName name="_Fill" localSheetId="16" hidden="1">#REF!</definedName>
    <definedName name="_Fill" localSheetId="6" hidden="1">#REF!</definedName>
    <definedName name="_Fill" localSheetId="26" hidden="1">#REF!</definedName>
    <definedName name="_Fill" hidden="1">#REF!</definedName>
    <definedName name="_xlnm._FilterDatabase" localSheetId="8" hidden="1">'111'!$A$12:$J$107</definedName>
    <definedName name="_xlnm._FilterDatabase" localSheetId="9" hidden="1">'112'!$A$10:$K$128</definedName>
    <definedName name="_xlnm._FilterDatabase" localSheetId="10" hidden="1">'131'!$A$1:$N$21</definedName>
    <definedName name="_xlnm._FilterDatabase" localSheetId="12" hidden="1">'331'!$A$3:$I$72</definedName>
    <definedName name="_xlnm._FilterDatabase" localSheetId="13" hidden="1">'331-CT'!$A$12:$J$25</definedName>
    <definedName name="_xlnm._FilterDatabase" localSheetId="6" hidden="1">CTTK!$A$13:$J$15</definedName>
    <definedName name="_xlnm._FilterDatabase" localSheetId="17" hidden="1">NXT!$B$11:$O$11</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TH!$A$9:$AF$2830</definedName>
    <definedName name="_xlnm._FilterDatabase" localSheetId="20" hidden="1">TK!$A$1:$J$1</definedName>
    <definedName name="_N111">TH!$R$10:$R$2830</definedName>
    <definedName name="_N112">TH!$U$10:$U$2830</definedName>
    <definedName name="_TH">TH!$K$10:$K$2830</definedName>
    <definedName name="DG">TH!$J$10:$J$2830</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BTGT!$B$229:$B$235</definedName>
    <definedName name="DSGT11">BTGT!$B$255:$B$261</definedName>
    <definedName name="DSGT12">BTGT!$B$280:$B$286</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BTGT!$B$202:$B$207</definedName>
    <definedName name="DSKH">'331'!$B$4:$B$71</definedName>
    <definedName name="DSKU">'341'!$B$5:$B$52</definedName>
    <definedName name="DSNL">NXT!$N$12:$S$544</definedName>
    <definedName name="DSSP1">BTGT!$B$7:$P$10</definedName>
    <definedName name="DSSP10">BTGT!$B$229:$P$235</definedName>
    <definedName name="DSSP11">BTGT!$B$255:$P$261</definedName>
    <definedName name="DSSP12">BTGT!$B$280:$P$286</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BTGT!$B$202:$P$207</definedName>
    <definedName name="DSTK">CDPS!$A$10:$D$74</definedName>
    <definedName name="DSTS1">'SO-TS'!$D$14:$D$33</definedName>
    <definedName name="DSTS2">'SO-TS'!$D$64:$D$65</definedName>
    <definedName name="KH">TH!$H$10:$H$2830</definedName>
    <definedName name="KHC">TH!$O$10:$O$2830</definedName>
    <definedName name="KHN">TH!$N$10:$N$2830</definedName>
    <definedName name="Loai">OFFSET(TH!$P$5,,,COUNTA(TH!$P$5:$P$905+TH!$P$1737))</definedName>
    <definedName name="Loai1">OFFSET(TH!$Q$5,,,COUNTA(TH!$Q$5:$Q$41017))</definedName>
    <definedName name="Loai10">OFFSET(TH!$AD$5,,,COUNTA(TH!$AD$5:$AD$41017))</definedName>
    <definedName name="Loai11">OFFSET(TH!$Y$5,,,COUNTA(TH!$Y$5:$Y$41017))</definedName>
    <definedName name="Loai2">OFFSET(TH!$T$5,,,COUNTA(TH!$T$5:$T$41017))</definedName>
    <definedName name="Loai3">OFFSET('SO-TS'!$P$13,,,COUNTA('SO-TS'!$P$13:$P$3935))</definedName>
    <definedName name="Loai4">OFFSET(TH!$W$5,,,COUNTA(TH!$W$5:$W$41017))</definedName>
    <definedName name="Loai5">OFFSET(TH!$X$5,,,COUNTA(TH!$X$5:$X$41017))</definedName>
    <definedName name="Loai6">OFFSET(TH!$Z$5,,,COUNTA(TH!$Z$5:$Z$41017))</definedName>
    <definedName name="Loai7">OFFSET(TH!$AA$5,,,COUNTA(TH!$AA$5:$AA$41017))</definedName>
    <definedName name="Loai8">OFFSET(TH!$AB$5,,,COUNTA(TH!$AB$5:$AB$41017))</definedName>
    <definedName name="Loai9">OFFSET(TH!$AC$5,,,COUNTA(TH!$AC$5:$AC$41017))</definedName>
    <definedName name="MH">TH!$F$10:$F$2830</definedName>
    <definedName name="NXT">NXT!$A$12:$A$424</definedName>
    <definedName name="_xlnm.Print_Area" localSheetId="8">'111'!$A$1:$J$120</definedName>
    <definedName name="_xlnm.Print_Area" localSheetId="9">'112'!$A$1:$I$138</definedName>
    <definedName name="_xlnm.Print_Area" localSheetId="19">'152-CT'!$B$2:$M$37</definedName>
    <definedName name="_xlnm.Print_Area" localSheetId="12">'331'!$A$1:$H$72</definedName>
    <definedName name="_xlnm.Print_Area" localSheetId="13">'331-CT'!$A$1:$J$54</definedName>
    <definedName name="_xlnm.Print_Area" localSheetId="14">'341'!$A$1:$P$53</definedName>
    <definedName name="_xlnm.Print_Area" localSheetId="15">'341-CT'!$A$1:$N$41</definedName>
    <definedName name="_xlnm.Print_Area" localSheetId="21">'BK-NL'!$A$1:$K$53</definedName>
    <definedName name="_xlnm.Print_Area" localSheetId="22">BTGT!$A$106:$P$176</definedName>
    <definedName name="_xlnm.Print_Area" localSheetId="6">CTTK!$A$2:$I$65</definedName>
    <definedName name="_xlnm.Print_Area" localSheetId="18">'IN-NX'!$A$1:$I$36</definedName>
    <definedName name="_xlnm.Print_Area" localSheetId="7">'IN-TC'!$B$1:$O$28</definedName>
    <definedName name="_xlnm.Print_Area" localSheetId="5">'SC-IV'!$A$1:$BA$65</definedName>
    <definedName name="_xlnm.Print_Area" localSheetId="26">Sheet2!$A$1:$G$21</definedName>
    <definedName name="_xlnm.Print_Area" localSheetId="24">'SO-TS'!$A$1:$O$78</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3">'331-CT'!$10:$12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TH!$I$10:$I$2830</definedName>
    <definedName name="TH">TH!$M$10:$M$2830</definedName>
    <definedName name="TM">TH!$A$10:$O$2830</definedName>
  </definedNames>
  <calcPr calcId="124519"/>
</workbook>
</file>

<file path=xl/calcChain.xml><?xml version="1.0" encoding="utf-8"?>
<calcChain xmlns="http://schemas.openxmlformats.org/spreadsheetml/2006/main">
  <c r="B2077" i="34"/>
  <c r="A2077" s="1"/>
  <c r="E2077"/>
  <c r="P2077"/>
  <c r="S2077"/>
  <c r="T2077"/>
  <c r="U2077"/>
  <c r="V2077"/>
  <c r="W2077"/>
  <c r="X2077"/>
  <c r="Y2077"/>
  <c r="AA2077"/>
  <c r="AB2077"/>
  <c r="AC2077"/>
  <c r="AD2077"/>
  <c r="B2076"/>
  <c r="A2076" s="1"/>
  <c r="E2076"/>
  <c r="AA2076" s="1"/>
  <c r="M2076"/>
  <c r="P2076"/>
  <c r="Q2076"/>
  <c r="R2076"/>
  <c r="S2076"/>
  <c r="T2076"/>
  <c r="U2076"/>
  <c r="V2076"/>
  <c r="W2076"/>
  <c r="Y2076"/>
  <c r="AB2076"/>
  <c r="AC2076"/>
  <c r="AD2076"/>
  <c r="B2069"/>
  <c r="A2069" s="1"/>
  <c r="E2069"/>
  <c r="M2069"/>
  <c r="P2069"/>
  <c r="Q2069"/>
  <c r="S2069"/>
  <c r="T2069"/>
  <c r="U2069"/>
  <c r="V2069"/>
  <c r="W2069"/>
  <c r="Y2069"/>
  <c r="AA2069"/>
  <c r="AB2069"/>
  <c r="AC2069"/>
  <c r="AD2069"/>
  <c r="B2070"/>
  <c r="A2070" s="1"/>
  <c r="E2070"/>
  <c r="M2070"/>
  <c r="P2070"/>
  <c r="Q2070"/>
  <c r="T2070"/>
  <c r="U2070"/>
  <c r="V2070"/>
  <c r="W2070"/>
  <c r="Y2070"/>
  <c r="AA2070"/>
  <c r="AB2070"/>
  <c r="AC2070"/>
  <c r="AD2070"/>
  <c r="B2071"/>
  <c r="A2071" s="1"/>
  <c r="E2071"/>
  <c r="M2071"/>
  <c r="P2071"/>
  <c r="Q2071"/>
  <c r="S2071"/>
  <c r="T2071"/>
  <c r="U2071"/>
  <c r="V2071"/>
  <c r="W2071"/>
  <c r="Y2071"/>
  <c r="AA2071"/>
  <c r="AB2071"/>
  <c r="AC2071"/>
  <c r="AD2071"/>
  <c r="B2072"/>
  <c r="A2072" s="1"/>
  <c r="E2072"/>
  <c r="M2072"/>
  <c r="P2072"/>
  <c r="Q2072"/>
  <c r="T2072"/>
  <c r="U2072"/>
  <c r="V2072"/>
  <c r="W2072"/>
  <c r="Y2072"/>
  <c r="AA2072"/>
  <c r="AB2072"/>
  <c r="AC2072"/>
  <c r="AD2072"/>
  <c r="B2073"/>
  <c r="A2073" s="1"/>
  <c r="E2073"/>
  <c r="M2073"/>
  <c r="P2073"/>
  <c r="Q2073"/>
  <c r="S2073"/>
  <c r="T2073"/>
  <c r="U2073"/>
  <c r="V2073"/>
  <c r="W2073"/>
  <c r="Y2073"/>
  <c r="AA2073"/>
  <c r="AB2073"/>
  <c r="AC2073"/>
  <c r="AD2073"/>
  <c r="B2074"/>
  <c r="Q2074" s="1"/>
  <c r="E2074"/>
  <c r="M2074"/>
  <c r="P2074"/>
  <c r="S2074"/>
  <c r="T2074"/>
  <c r="U2074"/>
  <c r="V2074"/>
  <c r="W2074"/>
  <c r="Y2074"/>
  <c r="AA2074"/>
  <c r="AB2074"/>
  <c r="AC2074"/>
  <c r="AD2074"/>
  <c r="B2075"/>
  <c r="A2075" s="1"/>
  <c r="E2075"/>
  <c r="M2075"/>
  <c r="P2075"/>
  <c r="Q2075"/>
  <c r="T2075"/>
  <c r="U2075"/>
  <c r="V2075"/>
  <c r="W2075"/>
  <c r="Y2075"/>
  <c r="AA2075"/>
  <c r="AB2075"/>
  <c r="AC2075"/>
  <c r="AD2075"/>
  <c r="AD1963"/>
  <c r="AC1963"/>
  <c r="AB1963"/>
  <c r="AA1963"/>
  <c r="Y1963"/>
  <c r="W1963"/>
  <c r="V1963"/>
  <c r="U1963"/>
  <c r="T1963"/>
  <c r="P1963"/>
  <c r="B1963"/>
  <c r="Q1963" s="1"/>
  <c r="AD1962"/>
  <c r="AC1962"/>
  <c r="AB1962"/>
  <c r="AA1962"/>
  <c r="Y1962"/>
  <c r="W1962"/>
  <c r="V1962"/>
  <c r="U1962"/>
  <c r="T1962"/>
  <c r="P1962"/>
  <c r="B1962"/>
  <c r="R1962" s="1"/>
  <c r="M1857"/>
  <c r="AD1875"/>
  <c r="AC1875"/>
  <c r="AB1875"/>
  <c r="Y1875"/>
  <c r="W1875"/>
  <c r="V1875"/>
  <c r="U1875"/>
  <c r="T1875"/>
  <c r="P1875"/>
  <c r="M1875"/>
  <c r="E1875"/>
  <c r="AA1875" s="1"/>
  <c r="B1875"/>
  <c r="Q1875" s="1"/>
  <c r="AD1873"/>
  <c r="AC1873"/>
  <c r="AB1873"/>
  <c r="Y1873"/>
  <c r="W1873"/>
  <c r="V1873"/>
  <c r="U1873"/>
  <c r="T1873"/>
  <c r="P1873"/>
  <c r="M1873"/>
  <c r="E1873"/>
  <c r="AA1873" s="1"/>
  <c r="B1873"/>
  <c r="Q1873" s="1"/>
  <c r="AD1871"/>
  <c r="AC1871"/>
  <c r="AB1871"/>
  <c r="Y1871"/>
  <c r="W1871"/>
  <c r="V1871"/>
  <c r="U1871"/>
  <c r="T1871"/>
  <c r="P1871"/>
  <c r="M1871"/>
  <c r="E1871"/>
  <c r="AA1871" s="1"/>
  <c r="B1871"/>
  <c r="Q1871" s="1"/>
  <c r="AD1795"/>
  <c r="AC1795"/>
  <c r="AB1795"/>
  <c r="Y1795"/>
  <c r="W1795"/>
  <c r="V1795"/>
  <c r="U1795"/>
  <c r="T1795"/>
  <c r="P1795"/>
  <c r="E1795"/>
  <c r="AA1795" s="1"/>
  <c r="B1795"/>
  <c r="R1795" s="1"/>
  <c r="AE420"/>
  <c r="S2075" l="1"/>
  <c r="S2072"/>
  <c r="S2070"/>
  <c r="Q2077"/>
  <c r="R2077"/>
  <c r="R2075"/>
  <c r="R2074"/>
  <c r="A2074"/>
  <c r="R2073"/>
  <c r="R2072"/>
  <c r="R2071"/>
  <c r="R2070"/>
  <c r="R2069"/>
  <c r="A1963"/>
  <c r="R1963"/>
  <c r="S1963"/>
  <c r="S1962"/>
  <c r="A1962"/>
  <c r="Q1962"/>
  <c r="A1795"/>
  <c r="Q1795"/>
  <c r="A1875"/>
  <c r="A1871"/>
  <c r="A1873"/>
  <c r="S1873"/>
  <c r="S1795"/>
  <c r="R1875"/>
  <c r="S1875"/>
  <c r="R1873"/>
  <c r="R1871"/>
  <c r="S1871"/>
  <c r="AE1933"/>
  <c r="AD1933"/>
  <c r="AC1933"/>
  <c r="AB1933"/>
  <c r="AA1933"/>
  <c r="Y1933"/>
  <c r="W1933"/>
  <c r="V1933"/>
  <c r="U1933"/>
  <c r="T1933"/>
  <c r="P1933"/>
  <c r="B1933"/>
  <c r="S1933" s="1"/>
  <c r="AE1934"/>
  <c r="AD1934"/>
  <c r="AC1934"/>
  <c r="AB1934"/>
  <c r="AA1934"/>
  <c r="Y1934"/>
  <c r="W1934"/>
  <c r="V1934"/>
  <c r="U1934"/>
  <c r="T1934"/>
  <c r="P1934"/>
  <c r="B1934"/>
  <c r="S1934" s="1"/>
  <c r="AE1932"/>
  <c r="AD1932"/>
  <c r="AC1932"/>
  <c r="AB1932"/>
  <c r="AA1932"/>
  <c r="Y1932"/>
  <c r="W1932"/>
  <c r="V1932"/>
  <c r="U1932"/>
  <c r="T1932"/>
  <c r="P1932"/>
  <c r="B1932"/>
  <c r="S1932" s="1"/>
  <c r="AE1936"/>
  <c r="AD1936"/>
  <c r="AC1936"/>
  <c r="AB1936"/>
  <c r="AA1936"/>
  <c r="Y1936"/>
  <c r="W1936"/>
  <c r="V1936"/>
  <c r="U1936"/>
  <c r="T1936"/>
  <c r="P1936"/>
  <c r="B1936"/>
  <c r="S1936" s="1"/>
  <c r="AE1935"/>
  <c r="AD1935"/>
  <c r="AC1935"/>
  <c r="AB1935"/>
  <c r="AA1935"/>
  <c r="Y1935"/>
  <c r="W1935"/>
  <c r="V1935"/>
  <c r="U1935"/>
  <c r="T1935"/>
  <c r="P1935"/>
  <c r="B1935"/>
  <c r="R1935" s="1"/>
  <c r="M223"/>
  <c r="M200"/>
  <c r="H75" i="55"/>
  <c r="M233" i="34"/>
  <c r="M234"/>
  <c r="M235"/>
  <c r="M236"/>
  <c r="M237"/>
  <c r="M238"/>
  <c r="H157" i="60"/>
  <c r="G134" i="34"/>
  <c r="G148"/>
  <c r="G120"/>
  <c r="G106"/>
  <c r="M108" s="1"/>
  <c r="M107"/>
  <c r="M93"/>
  <c r="Q1934" l="1"/>
  <c r="Q1936"/>
  <c r="R1933"/>
  <c r="A1936"/>
  <c r="R1936"/>
  <c r="A1933"/>
  <c r="Q1933"/>
  <c r="A1934"/>
  <c r="R1934"/>
  <c r="Q1932"/>
  <c r="A1932"/>
  <c r="R1932"/>
  <c r="Q1935"/>
  <c r="S1935"/>
  <c r="A1935"/>
  <c r="C22"/>
  <c r="B22" s="1"/>
  <c r="P22"/>
  <c r="T22"/>
  <c r="U22"/>
  <c r="V22"/>
  <c r="W22"/>
  <c r="Y22"/>
  <c r="AB22"/>
  <c r="AC22"/>
  <c r="C23"/>
  <c r="B23" s="1"/>
  <c r="P23"/>
  <c r="T23"/>
  <c r="U23"/>
  <c r="V23"/>
  <c r="W23"/>
  <c r="Y23"/>
  <c r="AB23"/>
  <c r="AC23"/>
  <c r="AD23" l="1"/>
  <c r="AD22"/>
  <c r="R22"/>
  <c r="A22"/>
  <c r="Q22"/>
  <c r="S22"/>
  <c r="A23"/>
  <c r="Q23"/>
  <c r="S23"/>
  <c r="R23"/>
  <c r="C72" i="12"/>
  <c r="D72"/>
  <c r="C693" i="34"/>
  <c r="B693" s="1"/>
  <c r="M693"/>
  <c r="P693"/>
  <c r="T693"/>
  <c r="U693"/>
  <c r="V693"/>
  <c r="W693"/>
  <c r="Y693"/>
  <c r="AB693"/>
  <c r="AC693"/>
  <c r="AE693"/>
  <c r="C694"/>
  <c r="B694" s="1"/>
  <c r="M694"/>
  <c r="P694"/>
  <c r="T694"/>
  <c r="U694"/>
  <c r="V694"/>
  <c r="W694"/>
  <c r="Y694"/>
  <c r="AB694"/>
  <c r="AC694"/>
  <c r="AE694"/>
  <c r="C695"/>
  <c r="B695" s="1"/>
  <c r="M695"/>
  <c r="P695"/>
  <c r="T695"/>
  <c r="U695"/>
  <c r="V695"/>
  <c r="W695"/>
  <c r="Y695"/>
  <c r="AB695"/>
  <c r="AC695"/>
  <c r="AE695"/>
  <c r="C696"/>
  <c r="B696" s="1"/>
  <c r="M696"/>
  <c r="P696"/>
  <c r="T696"/>
  <c r="U696"/>
  <c r="V696"/>
  <c r="W696"/>
  <c r="Y696"/>
  <c r="AB696"/>
  <c r="AC696"/>
  <c r="AE696"/>
  <c r="C697"/>
  <c r="B697" s="1"/>
  <c r="M697"/>
  <c r="P697"/>
  <c r="T697"/>
  <c r="U697"/>
  <c r="V697"/>
  <c r="W697"/>
  <c r="Y697"/>
  <c r="AB697"/>
  <c r="AC697"/>
  <c r="AE697"/>
  <c r="C698"/>
  <c r="B698" s="1"/>
  <c r="M698"/>
  <c r="P698"/>
  <c r="T698"/>
  <c r="U698"/>
  <c r="V698"/>
  <c r="W698"/>
  <c r="Y698"/>
  <c r="AB698"/>
  <c r="AC698"/>
  <c r="AE698"/>
  <c r="C699"/>
  <c r="B699" s="1"/>
  <c r="M699"/>
  <c r="P699"/>
  <c r="T699"/>
  <c r="U699"/>
  <c r="V699"/>
  <c r="W699"/>
  <c r="Y699"/>
  <c r="AB699"/>
  <c r="AC699"/>
  <c r="AE699"/>
  <c r="C700"/>
  <c r="B700" s="1"/>
  <c r="M700"/>
  <c r="P700"/>
  <c r="T700"/>
  <c r="U700"/>
  <c r="V700"/>
  <c r="W700"/>
  <c r="Y700"/>
  <c r="AB700"/>
  <c r="AC700"/>
  <c r="AE700"/>
  <c r="G134" i="60"/>
  <c r="M176"/>
  <c r="G174"/>
  <c r="D174"/>
  <c r="AD275" i="34"/>
  <c r="AC275"/>
  <c r="AB275"/>
  <c r="Y275"/>
  <c r="W275"/>
  <c r="V275"/>
  <c r="U275"/>
  <c r="T275"/>
  <c r="P275"/>
  <c r="B275"/>
  <c r="Q275" s="1"/>
  <c r="AC703"/>
  <c r="AB703"/>
  <c r="Y703"/>
  <c r="W703"/>
  <c r="V703"/>
  <c r="U703"/>
  <c r="T703"/>
  <c r="P703"/>
  <c r="M703"/>
  <c r="C703"/>
  <c r="AD703" s="1"/>
  <c r="AC702"/>
  <c r="AB702"/>
  <c r="Y702"/>
  <c r="W702"/>
  <c r="V702"/>
  <c r="U702"/>
  <c r="T702"/>
  <c r="P702"/>
  <c r="M702"/>
  <c r="C702"/>
  <c r="AD702" s="1"/>
  <c r="AC701"/>
  <c r="AB701"/>
  <c r="Y701"/>
  <c r="W701"/>
  <c r="V701"/>
  <c r="U701"/>
  <c r="T701"/>
  <c r="P701"/>
  <c r="M701"/>
  <c r="C701"/>
  <c r="AD701" s="1"/>
  <c r="AE692"/>
  <c r="AC692"/>
  <c r="AB692"/>
  <c r="Y692"/>
  <c r="W692"/>
  <c r="V692"/>
  <c r="U692"/>
  <c r="T692"/>
  <c r="P692"/>
  <c r="M692"/>
  <c r="C692"/>
  <c r="AD692" s="1"/>
  <c r="AE691"/>
  <c r="AC691"/>
  <c r="AB691"/>
  <c r="Y691"/>
  <c r="W691"/>
  <c r="V691"/>
  <c r="U691"/>
  <c r="T691"/>
  <c r="P691"/>
  <c r="M691"/>
  <c r="C691"/>
  <c r="AD691" s="1"/>
  <c r="AE690"/>
  <c r="AC690"/>
  <c r="AB690"/>
  <c r="Y690"/>
  <c r="W690"/>
  <c r="V690"/>
  <c r="U690"/>
  <c r="T690"/>
  <c r="P690"/>
  <c r="M690"/>
  <c r="C690"/>
  <c r="AD690" s="1"/>
  <c r="AE689"/>
  <c r="AC689"/>
  <c r="AB689"/>
  <c r="Y689"/>
  <c r="W689"/>
  <c r="V689"/>
  <c r="U689"/>
  <c r="T689"/>
  <c r="P689"/>
  <c r="M689"/>
  <c r="C689"/>
  <c r="AD689" s="1"/>
  <c r="AE688"/>
  <c r="AC688"/>
  <c r="AB688"/>
  <c r="Y688"/>
  <c r="W688"/>
  <c r="V688"/>
  <c r="U688"/>
  <c r="T688"/>
  <c r="P688"/>
  <c r="M688"/>
  <c r="C688"/>
  <c r="AD688" s="1"/>
  <c r="AE687"/>
  <c r="AC687"/>
  <c r="AB687"/>
  <c r="Y687"/>
  <c r="W687"/>
  <c r="V687"/>
  <c r="U687"/>
  <c r="T687"/>
  <c r="P687"/>
  <c r="M687"/>
  <c r="C687"/>
  <c r="AD687" s="1"/>
  <c r="AE686"/>
  <c r="AC686"/>
  <c r="AB686"/>
  <c r="Y686"/>
  <c r="W686"/>
  <c r="V686"/>
  <c r="U686"/>
  <c r="T686"/>
  <c r="P686"/>
  <c r="M686"/>
  <c r="C686"/>
  <c r="AD686" s="1"/>
  <c r="AE685"/>
  <c r="AC685"/>
  <c r="AB685"/>
  <c r="Y685"/>
  <c r="W685"/>
  <c r="V685"/>
  <c r="U685"/>
  <c r="T685"/>
  <c r="P685"/>
  <c r="M685"/>
  <c r="C685"/>
  <c r="AD685" s="1"/>
  <c r="AE684"/>
  <c r="AC684"/>
  <c r="AB684"/>
  <c r="Y684"/>
  <c r="W684"/>
  <c r="V684"/>
  <c r="U684"/>
  <c r="T684"/>
  <c r="P684"/>
  <c r="M684"/>
  <c r="C684"/>
  <c r="AD684" s="1"/>
  <c r="AE683"/>
  <c r="AC683"/>
  <c r="AB683"/>
  <c r="Y683"/>
  <c r="W683"/>
  <c r="V683"/>
  <c r="U683"/>
  <c r="T683"/>
  <c r="P683"/>
  <c r="M683"/>
  <c r="C683"/>
  <c r="AD683" s="1"/>
  <c r="AE682"/>
  <c r="AC682"/>
  <c r="AB682"/>
  <c r="Y682"/>
  <c r="W682"/>
  <c r="V682"/>
  <c r="U682"/>
  <c r="T682"/>
  <c r="P682"/>
  <c r="M682"/>
  <c r="C682"/>
  <c r="AD682" s="1"/>
  <c r="AE681"/>
  <c r="AC681"/>
  <c r="AB681"/>
  <c r="Y681"/>
  <c r="W681"/>
  <c r="V681"/>
  <c r="U681"/>
  <c r="T681"/>
  <c r="P681"/>
  <c r="M681"/>
  <c r="C681"/>
  <c r="AD681" s="1"/>
  <c r="I41" i="12"/>
  <c r="I42"/>
  <c r="I44"/>
  <c r="I46"/>
  <c r="I47"/>
  <c r="I48"/>
  <c r="I49"/>
  <c r="I50"/>
  <c r="I52"/>
  <c r="I54"/>
  <c r="I55"/>
  <c r="I56"/>
  <c r="I59"/>
  <c r="I63"/>
  <c r="I64"/>
  <c r="I65"/>
  <c r="I66"/>
  <c r="I67"/>
  <c r="I68"/>
  <c r="A36"/>
  <c r="A45"/>
  <c r="A43"/>
  <c r="A57"/>
  <c r="A53"/>
  <c r="A58"/>
  <c r="A61"/>
  <c r="A60"/>
  <c r="A62"/>
  <c r="A42"/>
  <c r="A65"/>
  <c r="A51"/>
  <c r="A46"/>
  <c r="A54"/>
  <c r="A64"/>
  <c r="A70"/>
  <c r="AE2171" i="34"/>
  <c r="AE2170"/>
  <c r="AE2169"/>
  <c r="AE2153"/>
  <c r="AE2152"/>
  <c r="AE2151"/>
  <c r="AE1949"/>
  <c r="AE1948"/>
  <c r="AE1947"/>
  <c r="AE2168"/>
  <c r="AE2167"/>
  <c r="AE2166"/>
  <c r="AE2165"/>
  <c r="AE2162"/>
  <c r="AE2161"/>
  <c r="AE2160"/>
  <c r="AE2157"/>
  <c r="AE2156"/>
  <c r="AE2155"/>
  <c r="AE2154"/>
  <c r="AE2164"/>
  <c r="AE2163"/>
  <c r="AE2159"/>
  <c r="AE2158"/>
  <c r="AE2150"/>
  <c r="AE2149"/>
  <c r="AE2148"/>
  <c r="AE2147"/>
  <c r="AE2146"/>
  <c r="AE1959"/>
  <c r="AE1958"/>
  <c r="AE2145"/>
  <c r="AE2144"/>
  <c r="AE1961"/>
  <c r="AE1960"/>
  <c r="AE1957"/>
  <c r="AE1956"/>
  <c r="AE1955"/>
  <c r="AE1954"/>
  <c r="AE1953"/>
  <c r="AE1952"/>
  <c r="AE1951"/>
  <c r="AE1950"/>
  <c r="AE1946"/>
  <c r="AE1945"/>
  <c r="AE1944"/>
  <c r="AE1943"/>
  <c r="AE1942"/>
  <c r="AE1941"/>
  <c r="AE1940"/>
  <c r="AE1939"/>
  <c r="AE1938"/>
  <c r="AE1937"/>
  <c r="AE1785"/>
  <c r="AE1784"/>
  <c r="AE1783"/>
  <c r="AE1782"/>
  <c r="AE1781"/>
  <c r="AE1780"/>
  <c r="AE1779"/>
  <c r="AE1778"/>
  <c r="AE1777"/>
  <c r="AE1776"/>
  <c r="AE1775"/>
  <c r="AE1774"/>
  <c r="AE1773"/>
  <c r="AE1772"/>
  <c r="AE1771"/>
  <c r="AE1770"/>
  <c r="AE1769"/>
  <c r="AE1768"/>
  <c r="AE1767"/>
  <c r="AE1766"/>
  <c r="AE1765"/>
  <c r="AE1407"/>
  <c r="AE1406"/>
  <c r="AE1405"/>
  <c r="AE1404"/>
  <c r="AE1403"/>
  <c r="AE1402"/>
  <c r="AE1401"/>
  <c r="AE1400"/>
  <c r="AE1399"/>
  <c r="AE1398"/>
  <c r="AE1397"/>
  <c r="AE1396"/>
  <c r="AE1395"/>
  <c r="AE1394"/>
  <c r="AE1292"/>
  <c r="AE1291"/>
  <c r="AE1290"/>
  <c r="AE1289"/>
  <c r="AE1288"/>
  <c r="AE1287"/>
  <c r="AE1286"/>
  <c r="AE1285"/>
  <c r="AE1284"/>
  <c r="AE1283"/>
  <c r="AE1282"/>
  <c r="AE1281"/>
  <c r="AE1280"/>
  <c r="AE1279"/>
  <c r="AE1278"/>
  <c r="AE1277"/>
  <c r="AE1228"/>
  <c r="AE1227"/>
  <c r="AE1226"/>
  <c r="AE1225"/>
  <c r="AE1224"/>
  <c r="AE1223"/>
  <c r="AE1222"/>
  <c r="AE1221"/>
  <c r="AE1220"/>
  <c r="AE1219"/>
  <c r="AE1218"/>
  <c r="AE1217"/>
  <c r="AE1216"/>
  <c r="AE1215"/>
  <c r="AE1214"/>
  <c r="AE1213"/>
  <c r="AE1212"/>
  <c r="AE1211"/>
  <c r="AE1210"/>
  <c r="AE1209"/>
  <c r="AE1208"/>
  <c r="AE1207"/>
  <c r="AE1206"/>
  <c r="AE1205"/>
  <c r="AE1204"/>
  <c r="AE1203"/>
  <c r="AE1202"/>
  <c r="AE1201"/>
  <c r="AE1200"/>
  <c r="AE1199"/>
  <c r="AE1198"/>
  <c r="AE1197"/>
  <c r="AE1196"/>
  <c r="AE1195"/>
  <c r="AE1194"/>
  <c r="AE1193"/>
  <c r="AE1192"/>
  <c r="AE1191"/>
  <c r="AE1190"/>
  <c r="AE1189"/>
  <c r="AE1188"/>
  <c r="AE1187"/>
  <c r="AE1186"/>
  <c r="AE1185"/>
  <c r="AE1184"/>
  <c r="AE1183"/>
  <c r="AE1182"/>
  <c r="AE1181"/>
  <c r="AE1180"/>
  <c r="AE1179"/>
  <c r="AE1178"/>
  <c r="AE1177"/>
  <c r="AE679"/>
  <c r="AE674"/>
  <c r="AE673"/>
  <c r="AE672"/>
  <c r="AE671"/>
  <c r="AE670"/>
  <c r="AE669"/>
  <c r="AE668"/>
  <c r="AE667"/>
  <c r="AE666"/>
  <c r="AE665"/>
  <c r="AE664"/>
  <c r="AE663"/>
  <c r="AE659"/>
  <c r="AE658"/>
  <c r="AE657"/>
  <c r="AE656"/>
  <c r="AE655"/>
  <c r="AE654"/>
  <c r="AE653"/>
  <c r="AE652"/>
  <c r="AE651"/>
  <c r="AE650"/>
  <c r="AE649"/>
  <c r="AE648"/>
  <c r="AE644"/>
  <c r="AE643"/>
  <c r="AE642"/>
  <c r="AE641"/>
  <c r="AE640"/>
  <c r="AE639"/>
  <c r="AE638"/>
  <c r="AE637"/>
  <c r="AE636"/>
  <c r="AE635"/>
  <c r="AE634"/>
  <c r="AE633"/>
  <c r="AE630"/>
  <c r="AE629"/>
  <c r="AE627"/>
  <c r="AE626"/>
  <c r="AE625"/>
  <c r="AE624"/>
  <c r="AE622"/>
  <c r="AE621"/>
  <c r="AE620"/>
  <c r="AE619"/>
  <c r="AE615"/>
  <c r="AE614"/>
  <c r="AE613"/>
  <c r="AE612"/>
  <c r="AE609"/>
  <c r="AE608"/>
  <c r="AE607"/>
  <c r="AE606"/>
  <c r="AE605"/>
  <c r="AE604"/>
  <c r="AE600"/>
  <c r="AE599"/>
  <c r="AE598"/>
  <c r="AE597"/>
  <c r="AE596"/>
  <c r="AE595"/>
  <c r="AE594"/>
  <c r="AE593"/>
  <c r="AE592"/>
  <c r="AE591"/>
  <c r="AE590"/>
  <c r="AE585"/>
  <c r="AE584"/>
  <c r="AE583"/>
  <c r="AE582"/>
  <c r="AE581"/>
  <c r="AE580"/>
  <c r="AE578"/>
  <c r="AE577"/>
  <c r="AE573"/>
  <c r="AE572"/>
  <c r="AE571"/>
  <c r="AE570"/>
  <c r="AE569"/>
  <c r="AE568"/>
  <c r="AE567"/>
  <c r="AE566"/>
  <c r="AE565"/>
  <c r="AE564"/>
  <c r="AE563"/>
  <c r="AE562"/>
  <c r="AE561"/>
  <c r="AE560"/>
  <c r="AE559"/>
  <c r="AE553"/>
  <c r="AE552"/>
  <c r="AE551"/>
  <c r="AE550"/>
  <c r="AE549"/>
  <c r="AE548"/>
  <c r="AE547"/>
  <c r="AE546"/>
  <c r="AE545"/>
  <c r="AE544"/>
  <c r="AE543"/>
  <c r="AE542"/>
  <c r="AE539"/>
  <c r="AE538"/>
  <c r="AE537"/>
  <c r="AE536"/>
  <c r="AE535"/>
  <c r="AE534"/>
  <c r="AE530"/>
  <c r="AE529"/>
  <c r="AE528"/>
  <c r="AE527"/>
  <c r="AE526"/>
  <c r="AE525"/>
  <c r="AE524"/>
  <c r="AE521"/>
  <c r="AE520"/>
  <c r="AE519"/>
  <c r="AE518"/>
  <c r="AE517"/>
  <c r="AE516"/>
  <c r="AE515"/>
  <c r="AE510"/>
  <c r="AE509"/>
  <c r="AE508"/>
  <c r="AE507"/>
  <c r="AE506"/>
  <c r="AE505"/>
  <c r="AE504"/>
  <c r="AE500"/>
  <c r="AE499"/>
  <c r="AE498"/>
  <c r="AE497"/>
  <c r="AE496"/>
  <c r="AE495"/>
  <c r="AE494"/>
  <c r="AE493"/>
  <c r="AE492"/>
  <c r="AE491"/>
  <c r="AE490"/>
  <c r="AE489"/>
  <c r="AE478"/>
  <c r="AE477"/>
  <c r="AE476"/>
  <c r="AE475"/>
  <c r="AE474"/>
  <c r="AE473"/>
  <c r="AE472"/>
  <c r="AE471"/>
  <c r="AE470"/>
  <c r="AE469"/>
  <c r="AE468"/>
  <c r="AE454"/>
  <c r="AE453"/>
  <c r="AE452"/>
  <c r="AE451"/>
  <c r="AE450"/>
  <c r="AE449"/>
  <c r="AE448"/>
  <c r="AE447"/>
  <c r="AE446"/>
  <c r="AE445"/>
  <c r="AE444"/>
  <c r="AE443"/>
  <c r="AE442"/>
  <c r="AE441"/>
  <c r="AE440"/>
  <c r="AE439"/>
  <c r="AE419"/>
  <c r="AE398"/>
  <c r="AE397"/>
  <c r="AE396"/>
  <c r="AE395"/>
  <c r="AE394"/>
  <c r="AE393"/>
  <c r="AE392"/>
  <c r="AE391"/>
  <c r="AE390"/>
  <c r="AE389"/>
  <c r="AE373"/>
  <c r="AE372"/>
  <c r="AE371"/>
  <c r="AE370"/>
  <c r="AE369"/>
  <c r="AE368"/>
  <c r="AE367"/>
  <c r="AE357"/>
  <c r="AE356"/>
  <c r="AE355"/>
  <c r="AE354"/>
  <c r="AE353"/>
  <c r="AE352"/>
  <c r="AE351"/>
  <c r="AE350"/>
  <c r="AE349"/>
  <c r="AE348"/>
  <c r="AE347"/>
  <c r="AE346"/>
  <c r="AE345"/>
  <c r="AE333"/>
  <c r="AE332"/>
  <c r="AE331"/>
  <c r="AE330"/>
  <c r="AE329"/>
  <c r="AE328"/>
  <c r="AE327"/>
  <c r="AE326"/>
  <c r="AE325"/>
  <c r="AE324"/>
  <c r="AE323"/>
  <c r="AE301"/>
  <c r="AE300"/>
  <c r="AE299"/>
  <c r="AE298"/>
  <c r="AE297"/>
  <c r="AE296"/>
  <c r="AE295"/>
  <c r="AE294"/>
  <c r="AE293"/>
  <c r="AE292"/>
  <c r="AE291"/>
  <c r="AE290"/>
  <c r="AE289"/>
  <c r="AE288"/>
  <c r="AE287"/>
  <c r="AE286"/>
  <c r="AE714"/>
  <c r="AD696" l="1"/>
  <c r="AD700"/>
  <c r="AD694"/>
  <c r="AD698"/>
  <c r="R698"/>
  <c r="Q698"/>
  <c r="A275"/>
  <c r="S700"/>
  <c r="Q700"/>
  <c r="R694"/>
  <c r="Q694"/>
  <c r="S694"/>
  <c r="S696"/>
  <c r="Q696"/>
  <c r="S698"/>
  <c r="R699"/>
  <c r="S699"/>
  <c r="A699"/>
  <c r="Q699"/>
  <c r="A697"/>
  <c r="Q697"/>
  <c r="R697"/>
  <c r="S697"/>
  <c r="R695"/>
  <c r="S695"/>
  <c r="A695"/>
  <c r="Q695"/>
  <c r="A693"/>
  <c r="Q693"/>
  <c r="R693"/>
  <c r="S693"/>
  <c r="B702"/>
  <c r="S702" s="1"/>
  <c r="R700"/>
  <c r="AD699"/>
  <c r="A698"/>
  <c r="R696"/>
  <c r="AD695"/>
  <c r="A694"/>
  <c r="A700"/>
  <c r="AD697"/>
  <c r="A696"/>
  <c r="AD693"/>
  <c r="R275"/>
  <c r="S275"/>
  <c r="B701"/>
  <c r="R701" s="1"/>
  <c r="B703"/>
  <c r="B691"/>
  <c r="Q691" s="1"/>
  <c r="B689"/>
  <c r="S689" s="1"/>
  <c r="B687"/>
  <c r="Q687" s="1"/>
  <c r="B685"/>
  <c r="S685" s="1"/>
  <c r="B683"/>
  <c r="Q683" s="1"/>
  <c r="B681"/>
  <c r="S681" s="1"/>
  <c r="B682"/>
  <c r="B686"/>
  <c r="B690"/>
  <c r="B684"/>
  <c r="B688"/>
  <c r="B692"/>
  <c r="AD394"/>
  <c r="AC394"/>
  <c r="AB394"/>
  <c r="Y394"/>
  <c r="W394"/>
  <c r="V394"/>
  <c r="U394"/>
  <c r="T394"/>
  <c r="P394"/>
  <c r="M394"/>
  <c r="B394"/>
  <c r="Q394" s="1"/>
  <c r="Q702" l="1"/>
  <c r="Q681"/>
  <c r="S683"/>
  <c r="R691"/>
  <c r="R683"/>
  <c r="A689"/>
  <c r="A681"/>
  <c r="R702"/>
  <c r="R685"/>
  <c r="A702"/>
  <c r="A701"/>
  <c r="R689"/>
  <c r="A683"/>
  <c r="S691"/>
  <c r="R681"/>
  <c r="S687"/>
  <c r="Q701"/>
  <c r="S701"/>
  <c r="Q703"/>
  <c r="A703"/>
  <c r="S703"/>
  <c r="R703"/>
  <c r="A691"/>
  <c r="Q689"/>
  <c r="A687"/>
  <c r="R687"/>
  <c r="Q685"/>
  <c r="A685"/>
  <c r="R688"/>
  <c r="Q688"/>
  <c r="A688"/>
  <c r="S688"/>
  <c r="A686"/>
  <c r="S686"/>
  <c r="R686"/>
  <c r="Q686"/>
  <c r="R692"/>
  <c r="Q692"/>
  <c r="A692"/>
  <c r="S692"/>
  <c r="A690"/>
  <c r="S690"/>
  <c r="R690"/>
  <c r="Q690"/>
  <c r="R684"/>
  <c r="Q684"/>
  <c r="A684"/>
  <c r="S684"/>
  <c r="A682"/>
  <c r="S682"/>
  <c r="R682"/>
  <c r="Q682"/>
  <c r="R394"/>
  <c r="S394"/>
  <c r="A394"/>
  <c r="AE2138" l="1"/>
  <c r="AE2126"/>
  <c r="AE2124"/>
  <c r="AE2121"/>
  <c r="AE2118"/>
  <c r="AE2115"/>
  <c r="AE2112"/>
  <c r="AE2109"/>
  <c r="AE2105"/>
  <c r="AE2099"/>
  <c r="AE2096"/>
  <c r="AE2093"/>
  <c r="AE2090"/>
  <c r="AE1993"/>
  <c r="AE1906"/>
  <c r="AE1903"/>
  <c r="AE1882"/>
  <c r="AE1866"/>
  <c r="AE1836"/>
  <c r="AE1833"/>
  <c r="AE1830"/>
  <c r="AE1829"/>
  <c r="AE1823"/>
  <c r="AE1820"/>
  <c r="AE1752"/>
  <c r="AE1749"/>
  <c r="AE1738"/>
  <c r="AE1735"/>
  <c r="AE1661"/>
  <c r="AE1618"/>
  <c r="AE1600"/>
  <c r="AE1597"/>
  <c r="AE1594"/>
  <c r="AE1591"/>
  <c r="AE1588"/>
  <c r="AE1585"/>
  <c r="AE1565"/>
  <c r="AE1498"/>
  <c r="AE1476"/>
  <c r="AE1460"/>
  <c r="AE1457"/>
  <c r="AE1443"/>
  <c r="AE1390"/>
  <c r="AE1344"/>
  <c r="AE1341"/>
  <c r="AE1338"/>
  <c r="AE1335"/>
  <c r="AE1332"/>
  <c r="AE1312"/>
  <c r="AE1303"/>
  <c r="AE1257"/>
  <c r="AE1248"/>
  <c r="AE1247"/>
  <c r="AE1246"/>
  <c r="AE1245"/>
  <c r="AE1244"/>
  <c r="AE1243"/>
  <c r="AE1242"/>
  <c r="AE1241"/>
  <c r="AE1240"/>
  <c r="AE1239"/>
  <c r="AE1238"/>
  <c r="AE1237"/>
  <c r="AE1236"/>
  <c r="AE1235"/>
  <c r="AE1234"/>
  <c r="AE1233"/>
  <c r="AE1232"/>
  <c r="AE1231"/>
  <c r="AE1230"/>
  <c r="AE1171"/>
  <c r="AE1168"/>
  <c r="AE1153"/>
  <c r="AE1105"/>
  <c r="AE1101"/>
  <c r="AE1098"/>
  <c r="AE1095"/>
  <c r="AE1087"/>
  <c r="AE1084"/>
  <c r="AE1081"/>
  <c r="AE1078"/>
  <c r="AE1046"/>
  <c r="AE1045"/>
  <c r="AE998"/>
  <c r="AE962"/>
  <c r="AE940"/>
  <c r="AE890"/>
  <c r="AE887"/>
  <c r="AE884"/>
  <c r="AE871"/>
  <c r="AE851"/>
  <c r="AE848"/>
  <c r="AE845"/>
  <c r="AE782"/>
  <c r="AE763"/>
  <c r="AE737"/>
  <c r="AE731"/>
  <c r="B24"/>
  <c r="P24"/>
  <c r="T24"/>
  <c r="U24"/>
  <c r="V24"/>
  <c r="W24"/>
  <c r="Y24"/>
  <c r="AB24"/>
  <c r="AC24"/>
  <c r="AD24"/>
  <c r="B1872"/>
  <c r="A1872" s="1"/>
  <c r="E1872"/>
  <c r="M1872"/>
  <c r="P1872"/>
  <c r="W1872"/>
  <c r="Y1872"/>
  <c r="AB1872"/>
  <c r="AC1872"/>
  <c r="AD1872"/>
  <c r="B1874"/>
  <c r="A1874" s="1"/>
  <c r="E1874"/>
  <c r="M1874"/>
  <c r="P1874"/>
  <c r="W1874"/>
  <c r="Y1874"/>
  <c r="AB1874"/>
  <c r="AC1874"/>
  <c r="AD1874"/>
  <c r="B1765"/>
  <c r="A1765" s="1"/>
  <c r="P1765"/>
  <c r="T1765"/>
  <c r="U1765"/>
  <c r="V1765"/>
  <c r="W1765"/>
  <c r="Y1765"/>
  <c r="AB1765"/>
  <c r="AC1765"/>
  <c r="AD1765"/>
  <c r="R1872" l="1"/>
  <c r="R1874"/>
  <c r="A24"/>
  <c r="R24"/>
  <c r="S24"/>
  <c r="Q24"/>
  <c r="S1872"/>
  <c r="Q1872"/>
  <c r="S1874"/>
  <c r="Q1874"/>
  <c r="S1765"/>
  <c r="Q1765"/>
  <c r="R1765"/>
  <c r="D41" i="15"/>
  <c r="C41"/>
  <c r="E127" i="60" l="1"/>
  <c r="E93"/>
  <c r="O93"/>
  <c r="M150"/>
  <c r="AC680" i="34"/>
  <c r="AB680"/>
  <c r="Y680"/>
  <c r="W680"/>
  <c r="V680"/>
  <c r="U680"/>
  <c r="T680"/>
  <c r="P680"/>
  <c r="M680"/>
  <c r="C680"/>
  <c r="AD680" s="1"/>
  <c r="AC679"/>
  <c r="AB679"/>
  <c r="Y679"/>
  <c r="W679"/>
  <c r="V679"/>
  <c r="U679"/>
  <c r="T679"/>
  <c r="P679"/>
  <c r="M679"/>
  <c r="C679"/>
  <c r="AD679" s="1"/>
  <c r="AC678"/>
  <c r="AB678"/>
  <c r="Y678"/>
  <c r="W678"/>
  <c r="V678"/>
  <c r="U678"/>
  <c r="T678"/>
  <c r="P678"/>
  <c r="M678"/>
  <c r="C678"/>
  <c r="AD678" s="1"/>
  <c r="AC662"/>
  <c r="AB662"/>
  <c r="Y662"/>
  <c r="W662"/>
  <c r="V662"/>
  <c r="U662"/>
  <c r="T662"/>
  <c r="P662"/>
  <c r="M662"/>
  <c r="C662"/>
  <c r="AD662" s="1"/>
  <c r="AC661"/>
  <c r="AB661"/>
  <c r="Y661"/>
  <c r="W661"/>
  <c r="V661"/>
  <c r="U661"/>
  <c r="T661"/>
  <c r="P661"/>
  <c r="M661"/>
  <c r="C661"/>
  <c r="AD661" s="1"/>
  <c r="AC660"/>
  <c r="AB660"/>
  <c r="Y660"/>
  <c r="W660"/>
  <c r="V660"/>
  <c r="U660"/>
  <c r="T660"/>
  <c r="P660"/>
  <c r="M660"/>
  <c r="C660"/>
  <c r="AD660" s="1"/>
  <c r="AC659"/>
  <c r="AB659"/>
  <c r="Y659"/>
  <c r="W659"/>
  <c r="V659"/>
  <c r="U659"/>
  <c r="T659"/>
  <c r="P659"/>
  <c r="M659"/>
  <c r="C659"/>
  <c r="AD659" s="1"/>
  <c r="AC658"/>
  <c r="AB658"/>
  <c r="Y658"/>
  <c r="W658"/>
  <c r="V658"/>
  <c r="U658"/>
  <c r="T658"/>
  <c r="P658"/>
  <c r="M658"/>
  <c r="C658"/>
  <c r="AD658" s="1"/>
  <c r="AC657"/>
  <c r="AB657"/>
  <c r="Y657"/>
  <c r="W657"/>
  <c r="V657"/>
  <c r="U657"/>
  <c r="T657"/>
  <c r="P657"/>
  <c r="M657"/>
  <c r="C657"/>
  <c r="AD657" s="1"/>
  <c r="AC656"/>
  <c r="AB656"/>
  <c r="Y656"/>
  <c r="W656"/>
  <c r="V656"/>
  <c r="U656"/>
  <c r="T656"/>
  <c r="P656"/>
  <c r="M656"/>
  <c r="C656"/>
  <c r="AD656" s="1"/>
  <c r="AC655"/>
  <c r="AB655"/>
  <c r="Y655"/>
  <c r="W655"/>
  <c r="V655"/>
  <c r="U655"/>
  <c r="T655"/>
  <c r="P655"/>
  <c r="M655"/>
  <c r="C655"/>
  <c r="AD655" s="1"/>
  <c r="AC654"/>
  <c r="AB654"/>
  <c r="Y654"/>
  <c r="W654"/>
  <c r="V654"/>
  <c r="U654"/>
  <c r="T654"/>
  <c r="P654"/>
  <c r="M654"/>
  <c r="C654"/>
  <c r="AD654" s="1"/>
  <c r="AC653"/>
  <c r="AB653"/>
  <c r="Y653"/>
  <c r="W653"/>
  <c r="V653"/>
  <c r="U653"/>
  <c r="T653"/>
  <c r="P653"/>
  <c r="M653"/>
  <c r="C653"/>
  <c r="AD653" s="1"/>
  <c r="AC652"/>
  <c r="AB652"/>
  <c r="Y652"/>
  <c r="W652"/>
  <c r="V652"/>
  <c r="U652"/>
  <c r="T652"/>
  <c r="P652"/>
  <c r="M652"/>
  <c r="C652"/>
  <c r="AD652" s="1"/>
  <c r="AC651"/>
  <c r="AB651"/>
  <c r="Y651"/>
  <c r="W651"/>
  <c r="V651"/>
  <c r="U651"/>
  <c r="T651"/>
  <c r="P651"/>
  <c r="M651"/>
  <c r="C651"/>
  <c r="AD651" s="1"/>
  <c r="AC650"/>
  <c r="AB650"/>
  <c r="Y650"/>
  <c r="W650"/>
  <c r="V650"/>
  <c r="U650"/>
  <c r="T650"/>
  <c r="P650"/>
  <c r="M650"/>
  <c r="C650"/>
  <c r="AD650" s="1"/>
  <c r="AC649"/>
  <c r="AB649"/>
  <c r="Y649"/>
  <c r="W649"/>
  <c r="V649"/>
  <c r="U649"/>
  <c r="T649"/>
  <c r="P649"/>
  <c r="M649"/>
  <c r="C649"/>
  <c r="AD649" s="1"/>
  <c r="AC648"/>
  <c r="AB648"/>
  <c r="Y648"/>
  <c r="W648"/>
  <c r="V648"/>
  <c r="U648"/>
  <c r="T648"/>
  <c r="P648"/>
  <c r="M648"/>
  <c r="C648"/>
  <c r="AD648" s="1"/>
  <c r="M674"/>
  <c r="AC677"/>
  <c r="AB677"/>
  <c r="Y677"/>
  <c r="W677"/>
  <c r="V677"/>
  <c r="U677"/>
  <c r="T677"/>
  <c r="P677"/>
  <c r="M677"/>
  <c r="C677"/>
  <c r="AD677" s="1"/>
  <c r="AC676"/>
  <c r="AB676"/>
  <c r="Y676"/>
  <c r="W676"/>
  <c r="V676"/>
  <c r="U676"/>
  <c r="T676"/>
  <c r="P676"/>
  <c r="M676"/>
  <c r="C676"/>
  <c r="AD676" s="1"/>
  <c r="AC675"/>
  <c r="AB675"/>
  <c r="Y675"/>
  <c r="W675"/>
  <c r="V675"/>
  <c r="U675"/>
  <c r="T675"/>
  <c r="P675"/>
  <c r="M675"/>
  <c r="C675"/>
  <c r="AD675" s="1"/>
  <c r="AC674"/>
  <c r="AB674"/>
  <c r="Y674"/>
  <c r="W674"/>
  <c r="V674"/>
  <c r="U674"/>
  <c r="T674"/>
  <c r="P674"/>
  <c r="C674"/>
  <c r="AD674" s="1"/>
  <c r="AC673"/>
  <c r="AB673"/>
  <c r="Y673"/>
  <c r="W673"/>
  <c r="V673"/>
  <c r="U673"/>
  <c r="T673"/>
  <c r="P673"/>
  <c r="M673"/>
  <c r="C673"/>
  <c r="AD673" s="1"/>
  <c r="AC672"/>
  <c r="AB672"/>
  <c r="Y672"/>
  <c r="W672"/>
  <c r="V672"/>
  <c r="U672"/>
  <c r="T672"/>
  <c r="P672"/>
  <c r="M672"/>
  <c r="C672"/>
  <c r="AD672" s="1"/>
  <c r="AC671"/>
  <c r="AB671"/>
  <c r="Y671"/>
  <c r="W671"/>
  <c r="V671"/>
  <c r="U671"/>
  <c r="T671"/>
  <c r="P671"/>
  <c r="M671"/>
  <c r="C671"/>
  <c r="AD671" s="1"/>
  <c r="AC670"/>
  <c r="AB670"/>
  <c r="Y670"/>
  <c r="W670"/>
  <c r="V670"/>
  <c r="U670"/>
  <c r="T670"/>
  <c r="P670"/>
  <c r="M670"/>
  <c r="C670"/>
  <c r="AD670" s="1"/>
  <c r="AC669"/>
  <c r="AB669"/>
  <c r="Y669"/>
  <c r="W669"/>
  <c r="V669"/>
  <c r="U669"/>
  <c r="T669"/>
  <c r="P669"/>
  <c r="M669"/>
  <c r="C669"/>
  <c r="AD669" s="1"/>
  <c r="AC668"/>
  <c r="AB668"/>
  <c r="Y668"/>
  <c r="W668"/>
  <c r="V668"/>
  <c r="U668"/>
  <c r="T668"/>
  <c r="P668"/>
  <c r="M668"/>
  <c r="C668"/>
  <c r="AD668" s="1"/>
  <c r="AC667"/>
  <c r="AB667"/>
  <c r="Y667"/>
  <c r="W667"/>
  <c r="V667"/>
  <c r="U667"/>
  <c r="T667"/>
  <c r="P667"/>
  <c r="M667"/>
  <c r="C667"/>
  <c r="AD667" s="1"/>
  <c r="AC666"/>
  <c r="AB666"/>
  <c r="Y666"/>
  <c r="W666"/>
  <c r="V666"/>
  <c r="U666"/>
  <c r="T666"/>
  <c r="P666"/>
  <c r="M666"/>
  <c r="C666"/>
  <c r="AD666" s="1"/>
  <c r="AC665"/>
  <c r="AB665"/>
  <c r="Y665"/>
  <c r="W665"/>
  <c r="V665"/>
  <c r="U665"/>
  <c r="T665"/>
  <c r="P665"/>
  <c r="M665"/>
  <c r="C665"/>
  <c r="AD665" s="1"/>
  <c r="AC664"/>
  <c r="AB664"/>
  <c r="Y664"/>
  <c r="W664"/>
  <c r="V664"/>
  <c r="U664"/>
  <c r="T664"/>
  <c r="P664"/>
  <c r="M664"/>
  <c r="C664"/>
  <c r="AD664" s="1"/>
  <c r="AC663"/>
  <c r="AB663"/>
  <c r="Y663"/>
  <c r="W663"/>
  <c r="V663"/>
  <c r="U663"/>
  <c r="T663"/>
  <c r="P663"/>
  <c r="M663"/>
  <c r="C663"/>
  <c r="AD663" s="1"/>
  <c r="P12"/>
  <c r="T12"/>
  <c r="U12"/>
  <c r="V12"/>
  <c r="W12"/>
  <c r="Y12"/>
  <c r="AB12"/>
  <c r="AC12"/>
  <c r="P13"/>
  <c r="T13"/>
  <c r="U13"/>
  <c r="V13"/>
  <c r="W13"/>
  <c r="Y13"/>
  <c r="AB13"/>
  <c r="AC13"/>
  <c r="P14"/>
  <c r="T14"/>
  <c r="U14"/>
  <c r="V14"/>
  <c r="W14"/>
  <c r="Y14"/>
  <c r="AB14"/>
  <c r="AC14"/>
  <c r="P15"/>
  <c r="T15"/>
  <c r="U15"/>
  <c r="V15"/>
  <c r="W15"/>
  <c r="Y15"/>
  <c r="AB15"/>
  <c r="AC15"/>
  <c r="P16"/>
  <c r="T16"/>
  <c r="U16"/>
  <c r="V16"/>
  <c r="W16"/>
  <c r="Y16"/>
  <c r="AB16"/>
  <c r="AC16"/>
  <c r="P17"/>
  <c r="T17"/>
  <c r="U17"/>
  <c r="V17"/>
  <c r="W17"/>
  <c r="Y17"/>
  <c r="AB17"/>
  <c r="AC17"/>
  <c r="P18"/>
  <c r="T18"/>
  <c r="U18"/>
  <c r="V18"/>
  <c r="W18"/>
  <c r="Y18"/>
  <c r="AB18"/>
  <c r="AC18"/>
  <c r="P19"/>
  <c r="T19"/>
  <c r="U19"/>
  <c r="V19"/>
  <c r="W19"/>
  <c r="Y19"/>
  <c r="AB19"/>
  <c r="AC19"/>
  <c r="P20"/>
  <c r="T20"/>
  <c r="U20"/>
  <c r="V20"/>
  <c r="W20"/>
  <c r="Y20"/>
  <c r="AB20"/>
  <c r="AC20"/>
  <c r="P21"/>
  <c r="T21"/>
  <c r="U21"/>
  <c r="V21"/>
  <c r="W21"/>
  <c r="Y21"/>
  <c r="AB21"/>
  <c r="AC21"/>
  <c r="P25"/>
  <c r="T25"/>
  <c r="U25"/>
  <c r="V25"/>
  <c r="W25"/>
  <c r="Y25"/>
  <c r="AB25"/>
  <c r="AC25"/>
  <c r="AD25"/>
  <c r="P26"/>
  <c r="T26"/>
  <c r="U26"/>
  <c r="V26"/>
  <c r="W26"/>
  <c r="Y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P167"/>
  <c r="T167"/>
  <c r="U167"/>
  <c r="V167"/>
  <c r="W167"/>
  <c r="Y167"/>
  <c r="AB167"/>
  <c r="AC167"/>
  <c r="P168"/>
  <c r="T168"/>
  <c r="U168"/>
  <c r="V168"/>
  <c r="W168"/>
  <c r="Y168"/>
  <c r="AB168"/>
  <c r="AC168"/>
  <c r="P169"/>
  <c r="T169"/>
  <c r="U169"/>
  <c r="V169"/>
  <c r="W169"/>
  <c r="Y169"/>
  <c r="AB169"/>
  <c r="AC169"/>
  <c r="P170"/>
  <c r="T170"/>
  <c r="U170"/>
  <c r="V170"/>
  <c r="W170"/>
  <c r="Y170"/>
  <c r="AB170"/>
  <c r="AC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3"/>
  <c r="T183"/>
  <c r="U183"/>
  <c r="V183"/>
  <c r="W183"/>
  <c r="Y183"/>
  <c r="AB183"/>
  <c r="AC183"/>
  <c r="AD183"/>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8"/>
  <c r="T198"/>
  <c r="U198"/>
  <c r="V198"/>
  <c r="W198"/>
  <c r="Y198"/>
  <c r="AB198"/>
  <c r="AC198"/>
  <c r="AD198"/>
  <c r="P199"/>
  <c r="T199"/>
  <c r="U199"/>
  <c r="V199"/>
  <c r="W199"/>
  <c r="Y199"/>
  <c r="AB199"/>
  <c r="AC199"/>
  <c r="AD199"/>
  <c r="P200"/>
  <c r="T200"/>
  <c r="U200"/>
  <c r="V200"/>
  <c r="W200"/>
  <c r="Y200"/>
  <c r="AB200"/>
  <c r="AC200"/>
  <c r="P201"/>
  <c r="T201"/>
  <c r="U201"/>
  <c r="V201"/>
  <c r="W201"/>
  <c r="Y201"/>
  <c r="AB201"/>
  <c r="AC201"/>
  <c r="P202"/>
  <c r="T202"/>
  <c r="U202"/>
  <c r="V202"/>
  <c r="W202"/>
  <c r="Y202"/>
  <c r="AB202"/>
  <c r="AC202"/>
  <c r="P203"/>
  <c r="T203"/>
  <c r="U203"/>
  <c r="V203"/>
  <c r="W203"/>
  <c r="Y203"/>
  <c r="AB203"/>
  <c r="AC203"/>
  <c r="P204"/>
  <c r="T204"/>
  <c r="U204"/>
  <c r="V204"/>
  <c r="W204"/>
  <c r="Y204"/>
  <c r="AB204"/>
  <c r="AC204"/>
  <c r="P205"/>
  <c r="T205"/>
  <c r="U205"/>
  <c r="V205"/>
  <c r="W205"/>
  <c r="Y205"/>
  <c r="AB205"/>
  <c r="AC205"/>
  <c r="P206"/>
  <c r="T206"/>
  <c r="U206"/>
  <c r="V206"/>
  <c r="W206"/>
  <c r="Y206"/>
  <c r="AB206"/>
  <c r="AC206"/>
  <c r="P207"/>
  <c r="T207"/>
  <c r="U207"/>
  <c r="V207"/>
  <c r="W207"/>
  <c r="Y207"/>
  <c r="AB207"/>
  <c r="AC207"/>
  <c r="P208"/>
  <c r="T208"/>
  <c r="U208"/>
  <c r="V208"/>
  <c r="W208"/>
  <c r="Y208"/>
  <c r="AB208"/>
  <c r="AC208"/>
  <c r="P209"/>
  <c r="T209"/>
  <c r="U209"/>
  <c r="V209"/>
  <c r="W209"/>
  <c r="Y209"/>
  <c r="AB209"/>
  <c r="AC209"/>
  <c r="P210"/>
  <c r="T210"/>
  <c r="U210"/>
  <c r="V210"/>
  <c r="W210"/>
  <c r="Y210"/>
  <c r="AB210"/>
  <c r="AC210"/>
  <c r="AD210"/>
  <c r="P211"/>
  <c r="T211"/>
  <c r="U211"/>
  <c r="V211"/>
  <c r="W211"/>
  <c r="Y211"/>
  <c r="AB211"/>
  <c r="AC211"/>
  <c r="P212"/>
  <c r="T212"/>
  <c r="U212"/>
  <c r="V212"/>
  <c r="W212"/>
  <c r="Y212"/>
  <c r="AB212"/>
  <c r="AC212"/>
  <c r="P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P219"/>
  <c r="T219"/>
  <c r="U219"/>
  <c r="V219"/>
  <c r="W219"/>
  <c r="Y219"/>
  <c r="AB219"/>
  <c r="AC219"/>
  <c r="P220"/>
  <c r="T220"/>
  <c r="U220"/>
  <c r="V220"/>
  <c r="W220"/>
  <c r="Y220"/>
  <c r="AB220"/>
  <c r="AC220"/>
  <c r="P221"/>
  <c r="T221"/>
  <c r="U221"/>
  <c r="V221"/>
  <c r="W221"/>
  <c r="Y221"/>
  <c r="AB221"/>
  <c r="AC221"/>
  <c r="P222"/>
  <c r="T222"/>
  <c r="U222"/>
  <c r="V222"/>
  <c r="W222"/>
  <c r="Y222"/>
  <c r="AB222"/>
  <c r="AC222"/>
  <c r="P223"/>
  <c r="T223"/>
  <c r="U223"/>
  <c r="V223"/>
  <c r="W223"/>
  <c r="Y223"/>
  <c r="AB223"/>
  <c r="AC223"/>
  <c r="P224"/>
  <c r="T224"/>
  <c r="U224"/>
  <c r="V224"/>
  <c r="W224"/>
  <c r="Y224"/>
  <c r="AB224"/>
  <c r="AC224"/>
  <c r="P225"/>
  <c r="T225"/>
  <c r="U225"/>
  <c r="V225"/>
  <c r="W225"/>
  <c r="Y225"/>
  <c r="AB225"/>
  <c r="AC225"/>
  <c r="P226"/>
  <c r="T226"/>
  <c r="U226"/>
  <c r="V226"/>
  <c r="W226"/>
  <c r="Y226"/>
  <c r="AB226"/>
  <c r="AC226"/>
  <c r="P227"/>
  <c r="T227"/>
  <c r="U227"/>
  <c r="V227"/>
  <c r="W227"/>
  <c r="Y227"/>
  <c r="AB227"/>
  <c r="AC227"/>
  <c r="P228"/>
  <c r="T228"/>
  <c r="U228"/>
  <c r="V228"/>
  <c r="W228"/>
  <c r="Y228"/>
  <c r="AB228"/>
  <c r="AC228"/>
  <c r="AD228"/>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3"/>
  <c r="T243"/>
  <c r="U243"/>
  <c r="V243"/>
  <c r="W243"/>
  <c r="Y243"/>
  <c r="AB243"/>
  <c r="AC243"/>
  <c r="AD243"/>
  <c r="P244"/>
  <c r="T244"/>
  <c r="U244"/>
  <c r="V244"/>
  <c r="W244"/>
  <c r="Y244"/>
  <c r="AB244"/>
  <c r="AC244"/>
  <c r="AD244"/>
  <c r="P245"/>
  <c r="T245"/>
  <c r="U245"/>
  <c r="V245"/>
  <c r="W245"/>
  <c r="Y245"/>
  <c r="AB245"/>
  <c r="AC245"/>
  <c r="AD245"/>
  <c r="P246"/>
  <c r="T246"/>
  <c r="U246"/>
  <c r="V246"/>
  <c r="W246"/>
  <c r="Y246"/>
  <c r="AB246"/>
  <c r="AC246"/>
  <c r="AD246"/>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AD252"/>
  <c r="P253"/>
  <c r="T253"/>
  <c r="U253"/>
  <c r="V253"/>
  <c r="W253"/>
  <c r="Y253"/>
  <c r="AB253"/>
  <c r="AC253"/>
  <c r="AD253"/>
  <c r="P254"/>
  <c r="T254"/>
  <c r="U254"/>
  <c r="V254"/>
  <c r="W254"/>
  <c r="Y254"/>
  <c r="AB254"/>
  <c r="AC254"/>
  <c r="AD254"/>
  <c r="P255"/>
  <c r="T255"/>
  <c r="U255"/>
  <c r="V255"/>
  <c r="W255"/>
  <c r="Y255"/>
  <c r="AB255"/>
  <c r="AC255"/>
  <c r="AD255"/>
  <c r="P256"/>
  <c r="T256"/>
  <c r="U256"/>
  <c r="V256"/>
  <c r="W256"/>
  <c r="Y256"/>
  <c r="AB256"/>
  <c r="AC256"/>
  <c r="AD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64"/>
  <c r="T264"/>
  <c r="U264"/>
  <c r="V264"/>
  <c r="W264"/>
  <c r="Y264"/>
  <c r="AB264"/>
  <c r="AC264"/>
  <c r="AD264"/>
  <c r="P265"/>
  <c r="T265"/>
  <c r="U265"/>
  <c r="V265"/>
  <c r="W265"/>
  <c r="Y265"/>
  <c r="AB265"/>
  <c r="AC265"/>
  <c r="AD265"/>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P287"/>
  <c r="T287"/>
  <c r="U287"/>
  <c r="V287"/>
  <c r="W287"/>
  <c r="Y287"/>
  <c r="AB287"/>
  <c r="AC287"/>
  <c r="P288"/>
  <c r="T288"/>
  <c r="U288"/>
  <c r="V288"/>
  <c r="W288"/>
  <c r="Y288"/>
  <c r="AB288"/>
  <c r="AC288"/>
  <c r="P289"/>
  <c r="T289"/>
  <c r="U289"/>
  <c r="V289"/>
  <c r="W289"/>
  <c r="Y289"/>
  <c r="AB289"/>
  <c r="AC289"/>
  <c r="P290"/>
  <c r="T290"/>
  <c r="U290"/>
  <c r="V290"/>
  <c r="W290"/>
  <c r="Y290"/>
  <c r="AB290"/>
  <c r="AC290"/>
  <c r="P291"/>
  <c r="T291"/>
  <c r="U291"/>
  <c r="V291"/>
  <c r="W291"/>
  <c r="Y291"/>
  <c r="AB291"/>
  <c r="AC291"/>
  <c r="P292"/>
  <c r="T292"/>
  <c r="U292"/>
  <c r="V292"/>
  <c r="W292"/>
  <c r="Y292"/>
  <c r="AB292"/>
  <c r="AC292"/>
  <c r="P293"/>
  <c r="T293"/>
  <c r="U293"/>
  <c r="V293"/>
  <c r="W293"/>
  <c r="Y293"/>
  <c r="AB293"/>
  <c r="AC293"/>
  <c r="P294"/>
  <c r="T294"/>
  <c r="U294"/>
  <c r="V294"/>
  <c r="W294"/>
  <c r="Y294"/>
  <c r="AB294"/>
  <c r="AC294"/>
  <c r="P295"/>
  <c r="T295"/>
  <c r="U295"/>
  <c r="V295"/>
  <c r="W295"/>
  <c r="Y295"/>
  <c r="AB295"/>
  <c r="AC295"/>
  <c r="P296"/>
  <c r="T296"/>
  <c r="U296"/>
  <c r="V296"/>
  <c r="W296"/>
  <c r="Y296"/>
  <c r="AB296"/>
  <c r="AC296"/>
  <c r="P297"/>
  <c r="T297"/>
  <c r="U297"/>
  <c r="V297"/>
  <c r="W297"/>
  <c r="Y297"/>
  <c r="AB297"/>
  <c r="AC297"/>
  <c r="P298"/>
  <c r="T298"/>
  <c r="U298"/>
  <c r="V298"/>
  <c r="W298"/>
  <c r="Y298"/>
  <c r="AB298"/>
  <c r="AC298"/>
  <c r="P299"/>
  <c r="T299"/>
  <c r="U299"/>
  <c r="V299"/>
  <c r="W299"/>
  <c r="Y299"/>
  <c r="AB299"/>
  <c r="AC299"/>
  <c r="P300"/>
  <c r="T300"/>
  <c r="U300"/>
  <c r="V300"/>
  <c r="W300"/>
  <c r="Y300"/>
  <c r="AB300"/>
  <c r="AC300"/>
  <c r="P301"/>
  <c r="T301"/>
  <c r="U301"/>
  <c r="V301"/>
  <c r="W301"/>
  <c r="Y301"/>
  <c r="AB301"/>
  <c r="AC301"/>
  <c r="P302"/>
  <c r="T302"/>
  <c r="U302"/>
  <c r="V302"/>
  <c r="W302"/>
  <c r="Y302"/>
  <c r="AB302"/>
  <c r="AC302"/>
  <c r="P303"/>
  <c r="T303"/>
  <c r="U303"/>
  <c r="V303"/>
  <c r="W303"/>
  <c r="Y303"/>
  <c r="AB303"/>
  <c r="AC303"/>
  <c r="P304"/>
  <c r="T304"/>
  <c r="U304"/>
  <c r="V304"/>
  <c r="W304"/>
  <c r="Y304"/>
  <c r="AB304"/>
  <c r="AC304"/>
  <c r="P305"/>
  <c r="T305"/>
  <c r="U305"/>
  <c r="V305"/>
  <c r="W305"/>
  <c r="Y305"/>
  <c r="AB305"/>
  <c r="AC305"/>
  <c r="P306"/>
  <c r="T306"/>
  <c r="U306"/>
  <c r="V306"/>
  <c r="W306"/>
  <c r="Y306"/>
  <c r="AB306"/>
  <c r="AC306"/>
  <c r="P307"/>
  <c r="T307"/>
  <c r="U307"/>
  <c r="V307"/>
  <c r="W307"/>
  <c r="Y307"/>
  <c r="AB307"/>
  <c r="AC307"/>
  <c r="P308"/>
  <c r="T308"/>
  <c r="U308"/>
  <c r="V308"/>
  <c r="W308"/>
  <c r="Y308"/>
  <c r="AB308"/>
  <c r="AC308"/>
  <c r="P309"/>
  <c r="T309"/>
  <c r="U309"/>
  <c r="V309"/>
  <c r="W309"/>
  <c r="Y309"/>
  <c r="AB309"/>
  <c r="AC309"/>
  <c r="P310"/>
  <c r="T310"/>
  <c r="U310"/>
  <c r="V310"/>
  <c r="W310"/>
  <c r="Y310"/>
  <c r="AB310"/>
  <c r="AC310"/>
  <c r="P311"/>
  <c r="T311"/>
  <c r="U311"/>
  <c r="V311"/>
  <c r="W311"/>
  <c r="Y311"/>
  <c r="AB311"/>
  <c r="AC311"/>
  <c r="P312"/>
  <c r="T312"/>
  <c r="U312"/>
  <c r="V312"/>
  <c r="W312"/>
  <c r="Y312"/>
  <c r="AB312"/>
  <c r="AC312"/>
  <c r="P313"/>
  <c r="T313"/>
  <c r="U313"/>
  <c r="V313"/>
  <c r="W313"/>
  <c r="Y313"/>
  <c r="AB313"/>
  <c r="AC313"/>
  <c r="P314"/>
  <c r="T314"/>
  <c r="U314"/>
  <c r="V314"/>
  <c r="W314"/>
  <c r="Y314"/>
  <c r="AB314"/>
  <c r="AC314"/>
  <c r="P315"/>
  <c r="T315"/>
  <c r="U315"/>
  <c r="V315"/>
  <c r="W315"/>
  <c r="Y315"/>
  <c r="AB315"/>
  <c r="AC315"/>
  <c r="P316"/>
  <c r="T316"/>
  <c r="U316"/>
  <c r="V316"/>
  <c r="W316"/>
  <c r="Y316"/>
  <c r="AB316"/>
  <c r="AC316"/>
  <c r="P317"/>
  <c r="T317"/>
  <c r="U317"/>
  <c r="V317"/>
  <c r="W317"/>
  <c r="Y317"/>
  <c r="AB317"/>
  <c r="AC317"/>
  <c r="P318"/>
  <c r="T318"/>
  <c r="U318"/>
  <c r="V318"/>
  <c r="W318"/>
  <c r="Y318"/>
  <c r="AB318"/>
  <c r="AC318"/>
  <c r="P319"/>
  <c r="T319"/>
  <c r="U319"/>
  <c r="V319"/>
  <c r="W319"/>
  <c r="Y319"/>
  <c r="AB319"/>
  <c r="AC319"/>
  <c r="P320"/>
  <c r="T320"/>
  <c r="U320"/>
  <c r="V320"/>
  <c r="W320"/>
  <c r="Y320"/>
  <c r="AB320"/>
  <c r="AC320"/>
  <c r="P321"/>
  <c r="T321"/>
  <c r="U321"/>
  <c r="V321"/>
  <c r="W321"/>
  <c r="Y321"/>
  <c r="AB321"/>
  <c r="AC321"/>
  <c r="P322"/>
  <c r="T322"/>
  <c r="U322"/>
  <c r="V322"/>
  <c r="W322"/>
  <c r="Y322"/>
  <c r="AB322"/>
  <c r="AC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7"/>
  <c r="T337"/>
  <c r="U337"/>
  <c r="V337"/>
  <c r="W337"/>
  <c r="Y337"/>
  <c r="AB337"/>
  <c r="AC337"/>
  <c r="AD337"/>
  <c r="P338"/>
  <c r="T338"/>
  <c r="U338"/>
  <c r="V338"/>
  <c r="W338"/>
  <c r="Y338"/>
  <c r="AB338"/>
  <c r="AC338"/>
  <c r="AD338"/>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44"/>
  <c r="T344"/>
  <c r="U344"/>
  <c r="V344"/>
  <c r="W344"/>
  <c r="Y344"/>
  <c r="AB344"/>
  <c r="AC344"/>
  <c r="AD344"/>
  <c r="P345"/>
  <c r="T345"/>
  <c r="U345"/>
  <c r="V345"/>
  <c r="W345"/>
  <c r="Y345"/>
  <c r="AB345"/>
  <c r="AC345"/>
  <c r="AD345"/>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58"/>
  <c r="T358"/>
  <c r="U358"/>
  <c r="V358"/>
  <c r="W358"/>
  <c r="Y358"/>
  <c r="AB358"/>
  <c r="AC358"/>
  <c r="AD358"/>
  <c r="P359"/>
  <c r="T359"/>
  <c r="U359"/>
  <c r="V359"/>
  <c r="W359"/>
  <c r="Y359"/>
  <c r="AB359"/>
  <c r="AC359"/>
  <c r="AD359"/>
  <c r="P360"/>
  <c r="T360"/>
  <c r="U360"/>
  <c r="V360"/>
  <c r="W360"/>
  <c r="Y360"/>
  <c r="AB360"/>
  <c r="AC360"/>
  <c r="AD360"/>
  <c r="P361"/>
  <c r="T361"/>
  <c r="U361"/>
  <c r="V361"/>
  <c r="W361"/>
  <c r="Y361"/>
  <c r="AB361"/>
  <c r="AC361"/>
  <c r="AD361"/>
  <c r="P362"/>
  <c r="T362"/>
  <c r="U362"/>
  <c r="V362"/>
  <c r="W362"/>
  <c r="Y362"/>
  <c r="AB362"/>
  <c r="AC362"/>
  <c r="AD362"/>
  <c r="P363"/>
  <c r="T363"/>
  <c r="U363"/>
  <c r="V363"/>
  <c r="W363"/>
  <c r="Y363"/>
  <c r="AB363"/>
  <c r="AC363"/>
  <c r="AD363"/>
  <c r="P364"/>
  <c r="T364"/>
  <c r="U364"/>
  <c r="V364"/>
  <c r="W364"/>
  <c r="Y364"/>
  <c r="AB364"/>
  <c r="AC364"/>
  <c r="AD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73"/>
  <c r="T373"/>
  <c r="U373"/>
  <c r="V373"/>
  <c r="W373"/>
  <c r="Y373"/>
  <c r="AB373"/>
  <c r="AC373"/>
  <c r="AD373"/>
  <c r="P374"/>
  <c r="T374"/>
  <c r="U374"/>
  <c r="V374"/>
  <c r="W374"/>
  <c r="Y374"/>
  <c r="AB374"/>
  <c r="AC374"/>
  <c r="AD374"/>
  <c r="P375"/>
  <c r="T375"/>
  <c r="U375"/>
  <c r="V375"/>
  <c r="W375"/>
  <c r="Y375"/>
  <c r="AB375"/>
  <c r="AC375"/>
  <c r="AD375"/>
  <c r="P376"/>
  <c r="T376"/>
  <c r="U376"/>
  <c r="V376"/>
  <c r="W376"/>
  <c r="Y376"/>
  <c r="AB376"/>
  <c r="AC376"/>
  <c r="AD376"/>
  <c r="P377"/>
  <c r="T377"/>
  <c r="U377"/>
  <c r="V377"/>
  <c r="W377"/>
  <c r="Y377"/>
  <c r="AB377"/>
  <c r="AC377"/>
  <c r="AD377"/>
  <c r="P378"/>
  <c r="T378"/>
  <c r="U378"/>
  <c r="V378"/>
  <c r="W378"/>
  <c r="Y378"/>
  <c r="AB378"/>
  <c r="AC378"/>
  <c r="AD378"/>
  <c r="P379"/>
  <c r="T379"/>
  <c r="U379"/>
  <c r="V379"/>
  <c r="W379"/>
  <c r="Y379"/>
  <c r="AB379"/>
  <c r="AC379"/>
  <c r="AD379"/>
  <c r="P380"/>
  <c r="T380"/>
  <c r="U380"/>
  <c r="V380"/>
  <c r="W380"/>
  <c r="Y380"/>
  <c r="AB380"/>
  <c r="AC380"/>
  <c r="AD380"/>
  <c r="P381"/>
  <c r="T381"/>
  <c r="U381"/>
  <c r="V381"/>
  <c r="W381"/>
  <c r="Y381"/>
  <c r="AB381"/>
  <c r="AC381"/>
  <c r="AD381"/>
  <c r="P382"/>
  <c r="T382"/>
  <c r="U382"/>
  <c r="V382"/>
  <c r="W382"/>
  <c r="Y382"/>
  <c r="AB382"/>
  <c r="AC382"/>
  <c r="AD382"/>
  <c r="P383"/>
  <c r="T383"/>
  <c r="U383"/>
  <c r="V383"/>
  <c r="W383"/>
  <c r="Y383"/>
  <c r="AB383"/>
  <c r="AC383"/>
  <c r="AD383"/>
  <c r="P384"/>
  <c r="T384"/>
  <c r="U384"/>
  <c r="V384"/>
  <c r="W384"/>
  <c r="Y384"/>
  <c r="AB384"/>
  <c r="AC384"/>
  <c r="AD384"/>
  <c r="P385"/>
  <c r="T385"/>
  <c r="U385"/>
  <c r="V385"/>
  <c r="W385"/>
  <c r="Y385"/>
  <c r="AB385"/>
  <c r="AC385"/>
  <c r="AD385"/>
  <c r="P386"/>
  <c r="T386"/>
  <c r="U386"/>
  <c r="V386"/>
  <c r="W386"/>
  <c r="Y386"/>
  <c r="AB386"/>
  <c r="AC386"/>
  <c r="AD386"/>
  <c r="P387"/>
  <c r="T387"/>
  <c r="U387"/>
  <c r="V387"/>
  <c r="W387"/>
  <c r="Y387"/>
  <c r="AB387"/>
  <c r="AC387"/>
  <c r="AD387"/>
  <c r="P388"/>
  <c r="T388"/>
  <c r="U388"/>
  <c r="V388"/>
  <c r="W388"/>
  <c r="Y388"/>
  <c r="AB388"/>
  <c r="AC388"/>
  <c r="AD388"/>
  <c r="P389"/>
  <c r="T389"/>
  <c r="U389"/>
  <c r="V389"/>
  <c r="W389"/>
  <c r="Y389"/>
  <c r="AB389"/>
  <c r="AC389"/>
  <c r="AD389"/>
  <c r="P390"/>
  <c r="T390"/>
  <c r="U390"/>
  <c r="V390"/>
  <c r="W390"/>
  <c r="Y390"/>
  <c r="AB390"/>
  <c r="AC390"/>
  <c r="AD390"/>
  <c r="P391"/>
  <c r="T391"/>
  <c r="U391"/>
  <c r="V391"/>
  <c r="W391"/>
  <c r="Y391"/>
  <c r="AB391"/>
  <c r="AC391"/>
  <c r="AD391"/>
  <c r="P392"/>
  <c r="T392"/>
  <c r="U392"/>
  <c r="V392"/>
  <c r="W392"/>
  <c r="Y392"/>
  <c r="AB392"/>
  <c r="AC392"/>
  <c r="AD392"/>
  <c r="P393"/>
  <c r="T393"/>
  <c r="U393"/>
  <c r="V393"/>
  <c r="W393"/>
  <c r="Y393"/>
  <c r="AB393"/>
  <c r="AC393"/>
  <c r="AD393"/>
  <c r="P395"/>
  <c r="T395"/>
  <c r="U395"/>
  <c r="V395"/>
  <c r="W395"/>
  <c r="Y395"/>
  <c r="AB395"/>
  <c r="AC395"/>
  <c r="AD395"/>
  <c r="P396"/>
  <c r="T396"/>
  <c r="U396"/>
  <c r="V396"/>
  <c r="W396"/>
  <c r="Y396"/>
  <c r="AB396"/>
  <c r="AC396"/>
  <c r="AD396"/>
  <c r="P397"/>
  <c r="T397"/>
  <c r="U397"/>
  <c r="V397"/>
  <c r="W397"/>
  <c r="Y397"/>
  <c r="AB397"/>
  <c r="AC397"/>
  <c r="AD397"/>
  <c r="P398"/>
  <c r="T398"/>
  <c r="U398"/>
  <c r="V398"/>
  <c r="W398"/>
  <c r="Y398"/>
  <c r="AB398"/>
  <c r="AC398"/>
  <c r="AD398"/>
  <c r="P399"/>
  <c r="T399"/>
  <c r="U399"/>
  <c r="V399"/>
  <c r="W399"/>
  <c r="Y399"/>
  <c r="AB399"/>
  <c r="AC399"/>
  <c r="AD399"/>
  <c r="P400"/>
  <c r="T400"/>
  <c r="U400"/>
  <c r="V400"/>
  <c r="W400"/>
  <c r="Y400"/>
  <c r="AB400"/>
  <c r="AC400"/>
  <c r="AD400"/>
  <c r="P401"/>
  <c r="T401"/>
  <c r="U401"/>
  <c r="V401"/>
  <c r="W401"/>
  <c r="Y401"/>
  <c r="AB401"/>
  <c r="AC401"/>
  <c r="AD401"/>
  <c r="P402"/>
  <c r="T402"/>
  <c r="U402"/>
  <c r="V402"/>
  <c r="W402"/>
  <c r="Y402"/>
  <c r="AB402"/>
  <c r="AC402"/>
  <c r="AD402"/>
  <c r="P403"/>
  <c r="T403"/>
  <c r="U403"/>
  <c r="V403"/>
  <c r="W403"/>
  <c r="Y403"/>
  <c r="AB403"/>
  <c r="AC403"/>
  <c r="AD403"/>
  <c r="P404"/>
  <c r="T404"/>
  <c r="U404"/>
  <c r="V404"/>
  <c r="W404"/>
  <c r="Y404"/>
  <c r="AB404"/>
  <c r="AC404"/>
  <c r="AD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AD409"/>
  <c r="P410"/>
  <c r="T410"/>
  <c r="U410"/>
  <c r="V410"/>
  <c r="W410"/>
  <c r="Y410"/>
  <c r="AB410"/>
  <c r="AC410"/>
  <c r="AD410"/>
  <c r="P411"/>
  <c r="T411"/>
  <c r="U411"/>
  <c r="V411"/>
  <c r="W411"/>
  <c r="Y411"/>
  <c r="AB411"/>
  <c r="AC411"/>
  <c r="AD411"/>
  <c r="P412"/>
  <c r="T412"/>
  <c r="U412"/>
  <c r="V412"/>
  <c r="W412"/>
  <c r="Y412"/>
  <c r="AB412"/>
  <c r="AC412"/>
  <c r="AD412"/>
  <c r="P413"/>
  <c r="T413"/>
  <c r="U413"/>
  <c r="V413"/>
  <c r="W413"/>
  <c r="Y413"/>
  <c r="AB413"/>
  <c r="AC413"/>
  <c r="AD413"/>
  <c r="P414"/>
  <c r="T414"/>
  <c r="U414"/>
  <c r="V414"/>
  <c r="W414"/>
  <c r="Y414"/>
  <c r="AB414"/>
  <c r="AC414"/>
  <c r="AD414"/>
  <c r="P415"/>
  <c r="T415"/>
  <c r="U415"/>
  <c r="V415"/>
  <c r="W415"/>
  <c r="Y415"/>
  <c r="AB415"/>
  <c r="AC415"/>
  <c r="AD415"/>
  <c r="P416"/>
  <c r="T416"/>
  <c r="U416"/>
  <c r="V416"/>
  <c r="W416"/>
  <c r="Y416"/>
  <c r="AB416"/>
  <c r="AC416"/>
  <c r="AD416"/>
  <c r="P417"/>
  <c r="T417"/>
  <c r="U417"/>
  <c r="V417"/>
  <c r="W417"/>
  <c r="Y417"/>
  <c r="AB417"/>
  <c r="AC417"/>
  <c r="AD417"/>
  <c r="P418"/>
  <c r="T418"/>
  <c r="U418"/>
  <c r="V418"/>
  <c r="W418"/>
  <c r="Y418"/>
  <c r="AB418"/>
  <c r="AC418"/>
  <c r="AD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P469"/>
  <c r="T469"/>
  <c r="U469"/>
  <c r="V469"/>
  <c r="W469"/>
  <c r="Y469"/>
  <c r="AB469"/>
  <c r="AC469"/>
  <c r="P470"/>
  <c r="T470"/>
  <c r="U470"/>
  <c r="V470"/>
  <c r="W470"/>
  <c r="Y470"/>
  <c r="AB470"/>
  <c r="AC470"/>
  <c r="P471"/>
  <c r="T471"/>
  <c r="U471"/>
  <c r="V471"/>
  <c r="W471"/>
  <c r="Y471"/>
  <c r="AB471"/>
  <c r="AC471"/>
  <c r="P472"/>
  <c r="T472"/>
  <c r="U472"/>
  <c r="V472"/>
  <c r="W472"/>
  <c r="Y472"/>
  <c r="AB472"/>
  <c r="AC472"/>
  <c r="P473"/>
  <c r="T473"/>
  <c r="U473"/>
  <c r="V473"/>
  <c r="W473"/>
  <c r="Y473"/>
  <c r="AB473"/>
  <c r="AC473"/>
  <c r="P474"/>
  <c r="T474"/>
  <c r="U474"/>
  <c r="V474"/>
  <c r="W474"/>
  <c r="Y474"/>
  <c r="AB474"/>
  <c r="AC474"/>
  <c r="P475"/>
  <c r="T475"/>
  <c r="U475"/>
  <c r="V475"/>
  <c r="W475"/>
  <c r="Y475"/>
  <c r="AB475"/>
  <c r="AC475"/>
  <c r="P476"/>
  <c r="T476"/>
  <c r="U476"/>
  <c r="V476"/>
  <c r="W476"/>
  <c r="Y476"/>
  <c r="AB476"/>
  <c r="AC476"/>
  <c r="P477"/>
  <c r="T477"/>
  <c r="U477"/>
  <c r="V477"/>
  <c r="W477"/>
  <c r="Y477"/>
  <c r="AB477"/>
  <c r="AC477"/>
  <c r="P478"/>
  <c r="T478"/>
  <c r="U478"/>
  <c r="V478"/>
  <c r="W478"/>
  <c r="Y478"/>
  <c r="AB478"/>
  <c r="AC478"/>
  <c r="P479"/>
  <c r="T479"/>
  <c r="U479"/>
  <c r="V479"/>
  <c r="W479"/>
  <c r="Y479"/>
  <c r="AB479"/>
  <c r="AC479"/>
  <c r="P480"/>
  <c r="T480"/>
  <c r="U480"/>
  <c r="V480"/>
  <c r="W480"/>
  <c r="Y480"/>
  <c r="AB480"/>
  <c r="AC480"/>
  <c r="P481"/>
  <c r="T481"/>
  <c r="U481"/>
  <c r="V481"/>
  <c r="W481"/>
  <c r="Y481"/>
  <c r="AB481"/>
  <c r="AC481"/>
  <c r="P482"/>
  <c r="T482"/>
  <c r="U482"/>
  <c r="V482"/>
  <c r="W482"/>
  <c r="Y482"/>
  <c r="AB482"/>
  <c r="AC482"/>
  <c r="P483"/>
  <c r="T483"/>
  <c r="U483"/>
  <c r="V483"/>
  <c r="W483"/>
  <c r="Y483"/>
  <c r="AB483"/>
  <c r="AC483"/>
  <c r="P484"/>
  <c r="T484"/>
  <c r="U484"/>
  <c r="V484"/>
  <c r="W484"/>
  <c r="Y484"/>
  <c r="AB484"/>
  <c r="AC484"/>
  <c r="P485"/>
  <c r="T485"/>
  <c r="U485"/>
  <c r="V485"/>
  <c r="W485"/>
  <c r="Y485"/>
  <c r="AB485"/>
  <c r="AC485"/>
  <c r="P486"/>
  <c r="T486"/>
  <c r="U486"/>
  <c r="V486"/>
  <c r="W486"/>
  <c r="Y486"/>
  <c r="AB486"/>
  <c r="AC486"/>
  <c r="P487"/>
  <c r="T487"/>
  <c r="U487"/>
  <c r="V487"/>
  <c r="W487"/>
  <c r="Y487"/>
  <c r="AB487"/>
  <c r="AC487"/>
  <c r="P488"/>
  <c r="T488"/>
  <c r="U488"/>
  <c r="V488"/>
  <c r="W488"/>
  <c r="Y488"/>
  <c r="AB488"/>
  <c r="AC488"/>
  <c r="P489"/>
  <c r="T489"/>
  <c r="U489"/>
  <c r="V489"/>
  <c r="W489"/>
  <c r="Y489"/>
  <c r="AB489"/>
  <c r="AC489"/>
  <c r="P490"/>
  <c r="T490"/>
  <c r="U490"/>
  <c r="V490"/>
  <c r="W490"/>
  <c r="Y490"/>
  <c r="AB490"/>
  <c r="AC490"/>
  <c r="P491"/>
  <c r="T491"/>
  <c r="U491"/>
  <c r="V491"/>
  <c r="W491"/>
  <c r="Y491"/>
  <c r="AB491"/>
  <c r="AC491"/>
  <c r="P492"/>
  <c r="T492"/>
  <c r="U492"/>
  <c r="V492"/>
  <c r="W492"/>
  <c r="Y492"/>
  <c r="AB492"/>
  <c r="AC492"/>
  <c r="P493"/>
  <c r="T493"/>
  <c r="U493"/>
  <c r="V493"/>
  <c r="W493"/>
  <c r="Y493"/>
  <c r="AB493"/>
  <c r="AC493"/>
  <c r="P494"/>
  <c r="T494"/>
  <c r="U494"/>
  <c r="V494"/>
  <c r="W494"/>
  <c r="Y494"/>
  <c r="AB494"/>
  <c r="AC494"/>
  <c r="P495"/>
  <c r="T495"/>
  <c r="U495"/>
  <c r="V495"/>
  <c r="W495"/>
  <c r="Y495"/>
  <c r="AB495"/>
  <c r="AC495"/>
  <c r="P496"/>
  <c r="T496"/>
  <c r="U496"/>
  <c r="V496"/>
  <c r="W496"/>
  <c r="Y496"/>
  <c r="AB496"/>
  <c r="AC496"/>
  <c r="P497"/>
  <c r="T497"/>
  <c r="U497"/>
  <c r="V497"/>
  <c r="W497"/>
  <c r="Y497"/>
  <c r="AB497"/>
  <c r="AC497"/>
  <c r="P498"/>
  <c r="T498"/>
  <c r="U498"/>
  <c r="V498"/>
  <c r="W498"/>
  <c r="Y498"/>
  <c r="AB498"/>
  <c r="AC498"/>
  <c r="P499"/>
  <c r="T499"/>
  <c r="U499"/>
  <c r="V499"/>
  <c r="W499"/>
  <c r="Y499"/>
  <c r="AB499"/>
  <c r="AC499"/>
  <c r="P500"/>
  <c r="T500"/>
  <c r="U500"/>
  <c r="V500"/>
  <c r="W500"/>
  <c r="Y500"/>
  <c r="AB500"/>
  <c r="AC500"/>
  <c r="P501"/>
  <c r="T501"/>
  <c r="U501"/>
  <c r="V501"/>
  <c r="W501"/>
  <c r="Y501"/>
  <c r="AB501"/>
  <c r="AC501"/>
  <c r="P502"/>
  <c r="T502"/>
  <c r="U502"/>
  <c r="V502"/>
  <c r="W502"/>
  <c r="Y502"/>
  <c r="AB502"/>
  <c r="AC502"/>
  <c r="P503"/>
  <c r="T503"/>
  <c r="U503"/>
  <c r="V503"/>
  <c r="W503"/>
  <c r="Y503"/>
  <c r="AB503"/>
  <c r="AC503"/>
  <c r="P504"/>
  <c r="T504"/>
  <c r="U504"/>
  <c r="V504"/>
  <c r="W504"/>
  <c r="Y504"/>
  <c r="AB504"/>
  <c r="AC504"/>
  <c r="P505"/>
  <c r="T505"/>
  <c r="U505"/>
  <c r="V505"/>
  <c r="W505"/>
  <c r="Y505"/>
  <c r="AB505"/>
  <c r="AC505"/>
  <c r="P506"/>
  <c r="T506"/>
  <c r="U506"/>
  <c r="V506"/>
  <c r="W506"/>
  <c r="Y506"/>
  <c r="AB506"/>
  <c r="AC506"/>
  <c r="P507"/>
  <c r="T507"/>
  <c r="U507"/>
  <c r="V507"/>
  <c r="W507"/>
  <c r="Y507"/>
  <c r="AB507"/>
  <c r="AC507"/>
  <c r="P508"/>
  <c r="T508"/>
  <c r="U508"/>
  <c r="V508"/>
  <c r="W508"/>
  <c r="Y508"/>
  <c r="AB508"/>
  <c r="AC508"/>
  <c r="P509"/>
  <c r="T509"/>
  <c r="U509"/>
  <c r="V509"/>
  <c r="W509"/>
  <c r="Y509"/>
  <c r="AB509"/>
  <c r="AC509"/>
  <c r="P510"/>
  <c r="T510"/>
  <c r="U510"/>
  <c r="V510"/>
  <c r="W510"/>
  <c r="Y510"/>
  <c r="AB510"/>
  <c r="AC510"/>
  <c r="P511"/>
  <c r="T511"/>
  <c r="U511"/>
  <c r="V511"/>
  <c r="W511"/>
  <c r="Y511"/>
  <c r="AB511"/>
  <c r="AC511"/>
  <c r="P512"/>
  <c r="T512"/>
  <c r="U512"/>
  <c r="V512"/>
  <c r="W512"/>
  <c r="Y512"/>
  <c r="AB512"/>
  <c r="AC512"/>
  <c r="P513"/>
  <c r="T513"/>
  <c r="U513"/>
  <c r="V513"/>
  <c r="W513"/>
  <c r="Y513"/>
  <c r="AB513"/>
  <c r="AC513"/>
  <c r="P514"/>
  <c r="T514"/>
  <c r="U514"/>
  <c r="V514"/>
  <c r="W514"/>
  <c r="Y514"/>
  <c r="AB514"/>
  <c r="AC514"/>
  <c r="P515"/>
  <c r="T515"/>
  <c r="U515"/>
  <c r="V515"/>
  <c r="W515"/>
  <c r="Y515"/>
  <c r="AB515"/>
  <c r="AC515"/>
  <c r="P516"/>
  <c r="T516"/>
  <c r="U516"/>
  <c r="V516"/>
  <c r="W516"/>
  <c r="Y516"/>
  <c r="AB516"/>
  <c r="AC516"/>
  <c r="P517"/>
  <c r="T517"/>
  <c r="U517"/>
  <c r="V517"/>
  <c r="W517"/>
  <c r="Y517"/>
  <c r="AB517"/>
  <c r="AC517"/>
  <c r="P518"/>
  <c r="T518"/>
  <c r="U518"/>
  <c r="V518"/>
  <c r="W518"/>
  <c r="Y518"/>
  <c r="AB518"/>
  <c r="AC518"/>
  <c r="P519"/>
  <c r="T519"/>
  <c r="U519"/>
  <c r="V519"/>
  <c r="W519"/>
  <c r="Y519"/>
  <c r="AB519"/>
  <c r="AC519"/>
  <c r="P520"/>
  <c r="T520"/>
  <c r="U520"/>
  <c r="V520"/>
  <c r="W520"/>
  <c r="Y520"/>
  <c r="AB520"/>
  <c r="AC520"/>
  <c r="P521"/>
  <c r="T521"/>
  <c r="U521"/>
  <c r="V521"/>
  <c r="W521"/>
  <c r="Y521"/>
  <c r="AB521"/>
  <c r="AC521"/>
  <c r="P522"/>
  <c r="T522"/>
  <c r="U522"/>
  <c r="V522"/>
  <c r="W522"/>
  <c r="Y522"/>
  <c r="AB522"/>
  <c r="AC522"/>
  <c r="P523"/>
  <c r="T523"/>
  <c r="U523"/>
  <c r="V523"/>
  <c r="W523"/>
  <c r="Y523"/>
  <c r="AB523"/>
  <c r="AC523"/>
  <c r="P524"/>
  <c r="T524"/>
  <c r="U524"/>
  <c r="V524"/>
  <c r="W524"/>
  <c r="Y524"/>
  <c r="AB524"/>
  <c r="AC524"/>
  <c r="P525"/>
  <c r="T525"/>
  <c r="U525"/>
  <c r="V525"/>
  <c r="W525"/>
  <c r="Y525"/>
  <c r="AB525"/>
  <c r="AC525"/>
  <c r="P526"/>
  <c r="T526"/>
  <c r="U526"/>
  <c r="V526"/>
  <c r="W526"/>
  <c r="Y526"/>
  <c r="AB526"/>
  <c r="AC526"/>
  <c r="P527"/>
  <c r="T527"/>
  <c r="U527"/>
  <c r="V527"/>
  <c r="W527"/>
  <c r="Y527"/>
  <c r="AB527"/>
  <c r="AC527"/>
  <c r="P528"/>
  <c r="T528"/>
  <c r="U528"/>
  <c r="V528"/>
  <c r="W528"/>
  <c r="Y528"/>
  <c r="AB528"/>
  <c r="AC528"/>
  <c r="P529"/>
  <c r="T529"/>
  <c r="U529"/>
  <c r="V529"/>
  <c r="W529"/>
  <c r="Y529"/>
  <c r="AB529"/>
  <c r="AC529"/>
  <c r="P530"/>
  <c r="T530"/>
  <c r="U530"/>
  <c r="V530"/>
  <c r="W530"/>
  <c r="Y530"/>
  <c r="AB530"/>
  <c r="AC530"/>
  <c r="P531"/>
  <c r="T531"/>
  <c r="U531"/>
  <c r="V531"/>
  <c r="W531"/>
  <c r="Y531"/>
  <c r="AB531"/>
  <c r="AC531"/>
  <c r="P532"/>
  <c r="T532"/>
  <c r="U532"/>
  <c r="V532"/>
  <c r="W532"/>
  <c r="Y532"/>
  <c r="AB532"/>
  <c r="AC532"/>
  <c r="P533"/>
  <c r="T533"/>
  <c r="U533"/>
  <c r="V533"/>
  <c r="W533"/>
  <c r="Y533"/>
  <c r="AB533"/>
  <c r="AC533"/>
  <c r="P534"/>
  <c r="T534"/>
  <c r="U534"/>
  <c r="V534"/>
  <c r="W534"/>
  <c r="Y534"/>
  <c r="AB534"/>
  <c r="AC534"/>
  <c r="P535"/>
  <c r="T535"/>
  <c r="U535"/>
  <c r="V535"/>
  <c r="W535"/>
  <c r="Y535"/>
  <c r="AB535"/>
  <c r="AC535"/>
  <c r="P536"/>
  <c r="T536"/>
  <c r="U536"/>
  <c r="V536"/>
  <c r="W536"/>
  <c r="Y536"/>
  <c r="AB536"/>
  <c r="AC536"/>
  <c r="P537"/>
  <c r="T537"/>
  <c r="U537"/>
  <c r="V537"/>
  <c r="W537"/>
  <c r="Y537"/>
  <c r="AB537"/>
  <c r="AC537"/>
  <c r="P538"/>
  <c r="T538"/>
  <c r="U538"/>
  <c r="V538"/>
  <c r="W538"/>
  <c r="Y538"/>
  <c r="AB538"/>
  <c r="AC538"/>
  <c r="P539"/>
  <c r="T539"/>
  <c r="U539"/>
  <c r="V539"/>
  <c r="W539"/>
  <c r="Y539"/>
  <c r="AB539"/>
  <c r="AC539"/>
  <c r="P540"/>
  <c r="T540"/>
  <c r="U540"/>
  <c r="V540"/>
  <c r="W540"/>
  <c r="Y540"/>
  <c r="AB540"/>
  <c r="AC540"/>
  <c r="P541"/>
  <c r="T541"/>
  <c r="U541"/>
  <c r="V541"/>
  <c r="W541"/>
  <c r="Y541"/>
  <c r="AB541"/>
  <c r="AC541"/>
  <c r="P542"/>
  <c r="T542"/>
  <c r="U542"/>
  <c r="V542"/>
  <c r="W542"/>
  <c r="Y542"/>
  <c r="AB542"/>
  <c r="AC542"/>
  <c r="P543"/>
  <c r="T543"/>
  <c r="U543"/>
  <c r="V543"/>
  <c r="W543"/>
  <c r="Y543"/>
  <c r="AB543"/>
  <c r="AC543"/>
  <c r="P544"/>
  <c r="T544"/>
  <c r="U544"/>
  <c r="V544"/>
  <c r="W544"/>
  <c r="Y544"/>
  <c r="AB544"/>
  <c r="AC544"/>
  <c r="P545"/>
  <c r="T545"/>
  <c r="U545"/>
  <c r="V545"/>
  <c r="W545"/>
  <c r="Y545"/>
  <c r="AB545"/>
  <c r="AC545"/>
  <c r="P546"/>
  <c r="T546"/>
  <c r="U546"/>
  <c r="V546"/>
  <c r="W546"/>
  <c r="Y546"/>
  <c r="AB546"/>
  <c r="AC546"/>
  <c r="P547"/>
  <c r="T547"/>
  <c r="U547"/>
  <c r="V547"/>
  <c r="W547"/>
  <c r="Y547"/>
  <c r="AB547"/>
  <c r="AC547"/>
  <c r="P548"/>
  <c r="T548"/>
  <c r="U548"/>
  <c r="V548"/>
  <c r="W548"/>
  <c r="Y548"/>
  <c r="AB548"/>
  <c r="AC548"/>
  <c r="P549"/>
  <c r="T549"/>
  <c r="U549"/>
  <c r="V549"/>
  <c r="W549"/>
  <c r="Y549"/>
  <c r="AB549"/>
  <c r="AC549"/>
  <c r="P550"/>
  <c r="T550"/>
  <c r="U550"/>
  <c r="V550"/>
  <c r="W550"/>
  <c r="Y550"/>
  <c r="AB550"/>
  <c r="AC550"/>
  <c r="P551"/>
  <c r="T551"/>
  <c r="U551"/>
  <c r="V551"/>
  <c r="W551"/>
  <c r="Y551"/>
  <c r="AB551"/>
  <c r="AC551"/>
  <c r="P552"/>
  <c r="T552"/>
  <c r="U552"/>
  <c r="V552"/>
  <c r="W552"/>
  <c r="Y552"/>
  <c r="AB552"/>
  <c r="AC552"/>
  <c r="P553"/>
  <c r="T553"/>
  <c r="U553"/>
  <c r="V553"/>
  <c r="W553"/>
  <c r="Y553"/>
  <c r="AB553"/>
  <c r="AC553"/>
  <c r="P554"/>
  <c r="T554"/>
  <c r="U554"/>
  <c r="V554"/>
  <c r="W554"/>
  <c r="Y554"/>
  <c r="AB554"/>
  <c r="AC554"/>
  <c r="P555"/>
  <c r="T555"/>
  <c r="U555"/>
  <c r="V555"/>
  <c r="W555"/>
  <c r="Y555"/>
  <c r="AB555"/>
  <c r="AC555"/>
  <c r="P556"/>
  <c r="T556"/>
  <c r="U556"/>
  <c r="V556"/>
  <c r="W556"/>
  <c r="Y556"/>
  <c r="AB556"/>
  <c r="AC556"/>
  <c r="P557"/>
  <c r="T557"/>
  <c r="U557"/>
  <c r="V557"/>
  <c r="W557"/>
  <c r="Y557"/>
  <c r="AB557"/>
  <c r="AC557"/>
  <c r="P558"/>
  <c r="T558"/>
  <c r="U558"/>
  <c r="V558"/>
  <c r="W558"/>
  <c r="Y558"/>
  <c r="AB558"/>
  <c r="AC558"/>
  <c r="P559"/>
  <c r="T559"/>
  <c r="U559"/>
  <c r="V559"/>
  <c r="W559"/>
  <c r="Y559"/>
  <c r="AB559"/>
  <c r="AC559"/>
  <c r="P560"/>
  <c r="T560"/>
  <c r="U560"/>
  <c r="V560"/>
  <c r="W560"/>
  <c r="Y560"/>
  <c r="AB560"/>
  <c r="AC560"/>
  <c r="P561"/>
  <c r="T561"/>
  <c r="U561"/>
  <c r="V561"/>
  <c r="W561"/>
  <c r="Y561"/>
  <c r="AB561"/>
  <c r="AC561"/>
  <c r="P562"/>
  <c r="T562"/>
  <c r="U562"/>
  <c r="V562"/>
  <c r="W562"/>
  <c r="Y562"/>
  <c r="AB562"/>
  <c r="AC562"/>
  <c r="P563"/>
  <c r="T563"/>
  <c r="U563"/>
  <c r="V563"/>
  <c r="W563"/>
  <c r="Y563"/>
  <c r="AB563"/>
  <c r="AC563"/>
  <c r="P564"/>
  <c r="T564"/>
  <c r="U564"/>
  <c r="V564"/>
  <c r="W564"/>
  <c r="Y564"/>
  <c r="AB564"/>
  <c r="AC564"/>
  <c r="P565"/>
  <c r="T565"/>
  <c r="U565"/>
  <c r="V565"/>
  <c r="W565"/>
  <c r="Y565"/>
  <c r="AB565"/>
  <c r="AC565"/>
  <c r="P566"/>
  <c r="T566"/>
  <c r="U566"/>
  <c r="V566"/>
  <c r="W566"/>
  <c r="Y566"/>
  <c r="AB566"/>
  <c r="AC566"/>
  <c r="P567"/>
  <c r="T567"/>
  <c r="U567"/>
  <c r="V567"/>
  <c r="W567"/>
  <c r="Y567"/>
  <c r="AB567"/>
  <c r="AC567"/>
  <c r="P568"/>
  <c r="T568"/>
  <c r="U568"/>
  <c r="V568"/>
  <c r="W568"/>
  <c r="Y568"/>
  <c r="AB568"/>
  <c r="AC568"/>
  <c r="P569"/>
  <c r="T569"/>
  <c r="U569"/>
  <c r="V569"/>
  <c r="W569"/>
  <c r="Y569"/>
  <c r="AB569"/>
  <c r="AC569"/>
  <c r="P570"/>
  <c r="T570"/>
  <c r="U570"/>
  <c r="V570"/>
  <c r="W570"/>
  <c r="Y570"/>
  <c r="AB570"/>
  <c r="AC570"/>
  <c r="P571"/>
  <c r="T571"/>
  <c r="U571"/>
  <c r="V571"/>
  <c r="W571"/>
  <c r="Y571"/>
  <c r="AB571"/>
  <c r="AC571"/>
  <c r="P572"/>
  <c r="T572"/>
  <c r="U572"/>
  <c r="V572"/>
  <c r="W572"/>
  <c r="Y572"/>
  <c r="AB572"/>
  <c r="AC572"/>
  <c r="P573"/>
  <c r="T573"/>
  <c r="U573"/>
  <c r="V573"/>
  <c r="W573"/>
  <c r="Y573"/>
  <c r="AB573"/>
  <c r="AC573"/>
  <c r="P574"/>
  <c r="T574"/>
  <c r="U574"/>
  <c r="V574"/>
  <c r="W574"/>
  <c r="Y574"/>
  <c r="AB574"/>
  <c r="AC574"/>
  <c r="P575"/>
  <c r="T575"/>
  <c r="U575"/>
  <c r="V575"/>
  <c r="W575"/>
  <c r="Y575"/>
  <c r="AB575"/>
  <c r="AC575"/>
  <c r="P576"/>
  <c r="T576"/>
  <c r="U576"/>
  <c r="V576"/>
  <c r="W576"/>
  <c r="Y576"/>
  <c r="AB576"/>
  <c r="AC576"/>
  <c r="P577"/>
  <c r="T577"/>
  <c r="U577"/>
  <c r="V577"/>
  <c r="W577"/>
  <c r="Y577"/>
  <c r="AB577"/>
  <c r="AC577"/>
  <c r="P578"/>
  <c r="T578"/>
  <c r="U578"/>
  <c r="V578"/>
  <c r="W578"/>
  <c r="Y578"/>
  <c r="AB578"/>
  <c r="AC578"/>
  <c r="P579"/>
  <c r="T579"/>
  <c r="U579"/>
  <c r="V579"/>
  <c r="W579"/>
  <c r="Y579"/>
  <c r="AB579"/>
  <c r="AC579"/>
  <c r="P580"/>
  <c r="T580"/>
  <c r="U580"/>
  <c r="V580"/>
  <c r="W580"/>
  <c r="Y580"/>
  <c r="AB580"/>
  <c r="AC580"/>
  <c r="P581"/>
  <c r="T581"/>
  <c r="U581"/>
  <c r="V581"/>
  <c r="W581"/>
  <c r="Y581"/>
  <c r="AB581"/>
  <c r="AC581"/>
  <c r="P582"/>
  <c r="T582"/>
  <c r="U582"/>
  <c r="V582"/>
  <c r="W582"/>
  <c r="Y582"/>
  <c r="AB582"/>
  <c r="AC582"/>
  <c r="P583"/>
  <c r="T583"/>
  <c r="U583"/>
  <c r="V583"/>
  <c r="W583"/>
  <c r="Y583"/>
  <c r="AB583"/>
  <c r="AC583"/>
  <c r="P584"/>
  <c r="T584"/>
  <c r="U584"/>
  <c r="V584"/>
  <c r="W584"/>
  <c r="Y584"/>
  <c r="AB584"/>
  <c r="AC584"/>
  <c r="P585"/>
  <c r="T585"/>
  <c r="U585"/>
  <c r="V585"/>
  <c r="W585"/>
  <c r="Y585"/>
  <c r="AB585"/>
  <c r="AC585"/>
  <c r="P586"/>
  <c r="T586"/>
  <c r="U586"/>
  <c r="V586"/>
  <c r="W586"/>
  <c r="Y586"/>
  <c r="AB586"/>
  <c r="AC586"/>
  <c r="P587"/>
  <c r="T587"/>
  <c r="U587"/>
  <c r="V587"/>
  <c r="W587"/>
  <c r="Y587"/>
  <c r="AB587"/>
  <c r="AC587"/>
  <c r="P588"/>
  <c r="T588"/>
  <c r="U588"/>
  <c r="V588"/>
  <c r="W588"/>
  <c r="Y588"/>
  <c r="AB588"/>
  <c r="AC588"/>
  <c r="P589"/>
  <c r="T589"/>
  <c r="U589"/>
  <c r="V589"/>
  <c r="W589"/>
  <c r="Y589"/>
  <c r="AB589"/>
  <c r="AC589"/>
  <c r="P590"/>
  <c r="T590"/>
  <c r="U590"/>
  <c r="V590"/>
  <c r="W590"/>
  <c r="Y590"/>
  <c r="AB590"/>
  <c r="AC590"/>
  <c r="P591"/>
  <c r="T591"/>
  <c r="U591"/>
  <c r="V591"/>
  <c r="W591"/>
  <c r="Y591"/>
  <c r="AB591"/>
  <c r="AC591"/>
  <c r="P592"/>
  <c r="T592"/>
  <c r="U592"/>
  <c r="V592"/>
  <c r="W592"/>
  <c r="Y592"/>
  <c r="AB592"/>
  <c r="AC592"/>
  <c r="P593"/>
  <c r="T593"/>
  <c r="U593"/>
  <c r="V593"/>
  <c r="W593"/>
  <c r="Y593"/>
  <c r="AB593"/>
  <c r="AC593"/>
  <c r="P594"/>
  <c r="T594"/>
  <c r="U594"/>
  <c r="V594"/>
  <c r="W594"/>
  <c r="Y594"/>
  <c r="AB594"/>
  <c r="AC594"/>
  <c r="P595"/>
  <c r="T595"/>
  <c r="U595"/>
  <c r="V595"/>
  <c r="W595"/>
  <c r="Y595"/>
  <c r="AB595"/>
  <c r="AC595"/>
  <c r="P596"/>
  <c r="T596"/>
  <c r="U596"/>
  <c r="V596"/>
  <c r="W596"/>
  <c r="Y596"/>
  <c r="AB596"/>
  <c r="AC596"/>
  <c r="P597"/>
  <c r="T597"/>
  <c r="U597"/>
  <c r="V597"/>
  <c r="W597"/>
  <c r="Y597"/>
  <c r="AB597"/>
  <c r="AC597"/>
  <c r="P598"/>
  <c r="T598"/>
  <c r="U598"/>
  <c r="V598"/>
  <c r="W598"/>
  <c r="Y598"/>
  <c r="AB598"/>
  <c r="AC598"/>
  <c r="P599"/>
  <c r="T599"/>
  <c r="U599"/>
  <c r="V599"/>
  <c r="W599"/>
  <c r="Y599"/>
  <c r="AB599"/>
  <c r="AC599"/>
  <c r="P600"/>
  <c r="T600"/>
  <c r="U600"/>
  <c r="V600"/>
  <c r="W600"/>
  <c r="Y600"/>
  <c r="AB600"/>
  <c r="AC600"/>
  <c r="P601"/>
  <c r="T601"/>
  <c r="U601"/>
  <c r="V601"/>
  <c r="W601"/>
  <c r="Y601"/>
  <c r="AB601"/>
  <c r="AC601"/>
  <c r="P602"/>
  <c r="T602"/>
  <c r="U602"/>
  <c r="V602"/>
  <c r="W602"/>
  <c r="Y602"/>
  <c r="AB602"/>
  <c r="AC602"/>
  <c r="P603"/>
  <c r="T603"/>
  <c r="U603"/>
  <c r="V603"/>
  <c r="W603"/>
  <c r="Y603"/>
  <c r="AB603"/>
  <c r="AC603"/>
  <c r="P604"/>
  <c r="T604"/>
  <c r="U604"/>
  <c r="V604"/>
  <c r="W604"/>
  <c r="Y604"/>
  <c r="AB604"/>
  <c r="AC604"/>
  <c r="P605"/>
  <c r="T605"/>
  <c r="U605"/>
  <c r="V605"/>
  <c r="W605"/>
  <c r="Y605"/>
  <c r="AB605"/>
  <c r="AC605"/>
  <c r="P606"/>
  <c r="T606"/>
  <c r="U606"/>
  <c r="V606"/>
  <c r="W606"/>
  <c r="Y606"/>
  <c r="AB606"/>
  <c r="AC606"/>
  <c r="P607"/>
  <c r="T607"/>
  <c r="U607"/>
  <c r="V607"/>
  <c r="W607"/>
  <c r="Y607"/>
  <c r="AB607"/>
  <c r="AC607"/>
  <c r="P608"/>
  <c r="T608"/>
  <c r="U608"/>
  <c r="V608"/>
  <c r="W608"/>
  <c r="Y608"/>
  <c r="AB608"/>
  <c r="AC608"/>
  <c r="P609"/>
  <c r="T609"/>
  <c r="U609"/>
  <c r="V609"/>
  <c r="W609"/>
  <c r="Y609"/>
  <c r="AB609"/>
  <c r="AC609"/>
  <c r="P610"/>
  <c r="T610"/>
  <c r="U610"/>
  <c r="V610"/>
  <c r="W610"/>
  <c r="Y610"/>
  <c r="AB610"/>
  <c r="AC610"/>
  <c r="P611"/>
  <c r="T611"/>
  <c r="U611"/>
  <c r="V611"/>
  <c r="W611"/>
  <c r="Y611"/>
  <c r="AB611"/>
  <c r="AC611"/>
  <c r="P612"/>
  <c r="T612"/>
  <c r="U612"/>
  <c r="V612"/>
  <c r="W612"/>
  <c r="Y612"/>
  <c r="AB612"/>
  <c r="AC612"/>
  <c r="P613"/>
  <c r="T613"/>
  <c r="U613"/>
  <c r="V613"/>
  <c r="W613"/>
  <c r="Y613"/>
  <c r="AB613"/>
  <c r="AC613"/>
  <c r="P614"/>
  <c r="T614"/>
  <c r="U614"/>
  <c r="V614"/>
  <c r="W614"/>
  <c r="Y614"/>
  <c r="AB614"/>
  <c r="AC614"/>
  <c r="P615"/>
  <c r="T615"/>
  <c r="U615"/>
  <c r="V615"/>
  <c r="W615"/>
  <c r="Y615"/>
  <c r="AB615"/>
  <c r="AC615"/>
  <c r="P616"/>
  <c r="T616"/>
  <c r="U616"/>
  <c r="V616"/>
  <c r="W616"/>
  <c r="Y616"/>
  <c r="AB616"/>
  <c r="AC616"/>
  <c r="P617"/>
  <c r="T617"/>
  <c r="U617"/>
  <c r="V617"/>
  <c r="W617"/>
  <c r="Y617"/>
  <c r="AB617"/>
  <c r="AC617"/>
  <c r="P618"/>
  <c r="T618"/>
  <c r="U618"/>
  <c r="V618"/>
  <c r="W618"/>
  <c r="Y618"/>
  <c r="AB618"/>
  <c r="AC618"/>
  <c r="P619"/>
  <c r="T619"/>
  <c r="U619"/>
  <c r="V619"/>
  <c r="W619"/>
  <c r="Y619"/>
  <c r="AB619"/>
  <c r="AC619"/>
  <c r="P620"/>
  <c r="T620"/>
  <c r="U620"/>
  <c r="V620"/>
  <c r="W620"/>
  <c r="Y620"/>
  <c r="AB620"/>
  <c r="AC620"/>
  <c r="P621"/>
  <c r="T621"/>
  <c r="U621"/>
  <c r="V621"/>
  <c r="W621"/>
  <c r="Y621"/>
  <c r="AB621"/>
  <c r="AC621"/>
  <c r="P622"/>
  <c r="T622"/>
  <c r="U622"/>
  <c r="V622"/>
  <c r="W622"/>
  <c r="Y622"/>
  <c r="AB622"/>
  <c r="AC622"/>
  <c r="P623"/>
  <c r="T623"/>
  <c r="U623"/>
  <c r="V623"/>
  <c r="W623"/>
  <c r="Y623"/>
  <c r="AB623"/>
  <c r="AC623"/>
  <c r="P624"/>
  <c r="T624"/>
  <c r="U624"/>
  <c r="V624"/>
  <c r="W624"/>
  <c r="Y624"/>
  <c r="AB624"/>
  <c r="AC624"/>
  <c r="P625"/>
  <c r="T625"/>
  <c r="U625"/>
  <c r="V625"/>
  <c r="W625"/>
  <c r="Y625"/>
  <c r="AB625"/>
  <c r="AC625"/>
  <c r="P626"/>
  <c r="T626"/>
  <c r="U626"/>
  <c r="V626"/>
  <c r="W626"/>
  <c r="Y626"/>
  <c r="AB626"/>
  <c r="AC626"/>
  <c r="P627"/>
  <c r="T627"/>
  <c r="U627"/>
  <c r="V627"/>
  <c r="W627"/>
  <c r="Y627"/>
  <c r="AB627"/>
  <c r="AC627"/>
  <c r="P628"/>
  <c r="T628"/>
  <c r="U628"/>
  <c r="V628"/>
  <c r="W628"/>
  <c r="Y628"/>
  <c r="AB628"/>
  <c r="AC628"/>
  <c r="P629"/>
  <c r="T629"/>
  <c r="U629"/>
  <c r="V629"/>
  <c r="W629"/>
  <c r="Y629"/>
  <c r="AB629"/>
  <c r="AC629"/>
  <c r="P630"/>
  <c r="T630"/>
  <c r="U630"/>
  <c r="V630"/>
  <c r="W630"/>
  <c r="Y630"/>
  <c r="AB630"/>
  <c r="AC630"/>
  <c r="P631"/>
  <c r="T631"/>
  <c r="U631"/>
  <c r="V631"/>
  <c r="W631"/>
  <c r="Y631"/>
  <c r="AB631"/>
  <c r="AC631"/>
  <c r="P632"/>
  <c r="T632"/>
  <c r="U632"/>
  <c r="V632"/>
  <c r="W632"/>
  <c r="Y632"/>
  <c r="AB632"/>
  <c r="AC632"/>
  <c r="P633"/>
  <c r="T633"/>
  <c r="U633"/>
  <c r="V633"/>
  <c r="W633"/>
  <c r="Y633"/>
  <c r="AB633"/>
  <c r="AC633"/>
  <c r="P634"/>
  <c r="T634"/>
  <c r="U634"/>
  <c r="V634"/>
  <c r="W634"/>
  <c r="Y634"/>
  <c r="AB634"/>
  <c r="AC634"/>
  <c r="P635"/>
  <c r="T635"/>
  <c r="U635"/>
  <c r="V635"/>
  <c r="W635"/>
  <c r="Y635"/>
  <c r="AB635"/>
  <c r="AC635"/>
  <c r="P636"/>
  <c r="T636"/>
  <c r="U636"/>
  <c r="V636"/>
  <c r="W636"/>
  <c r="Y636"/>
  <c r="AB636"/>
  <c r="AC636"/>
  <c r="P637"/>
  <c r="T637"/>
  <c r="U637"/>
  <c r="V637"/>
  <c r="W637"/>
  <c r="Y637"/>
  <c r="AB637"/>
  <c r="AC637"/>
  <c r="P638"/>
  <c r="T638"/>
  <c r="U638"/>
  <c r="V638"/>
  <c r="W638"/>
  <c r="Y638"/>
  <c r="AB638"/>
  <c r="AC638"/>
  <c r="P639"/>
  <c r="T639"/>
  <c r="U639"/>
  <c r="V639"/>
  <c r="W639"/>
  <c r="Y639"/>
  <c r="AB639"/>
  <c r="AC639"/>
  <c r="P640"/>
  <c r="T640"/>
  <c r="U640"/>
  <c r="V640"/>
  <c r="W640"/>
  <c r="Y640"/>
  <c r="AB640"/>
  <c r="AC640"/>
  <c r="P641"/>
  <c r="T641"/>
  <c r="U641"/>
  <c r="V641"/>
  <c r="W641"/>
  <c r="Y641"/>
  <c r="AB641"/>
  <c r="AC641"/>
  <c r="P642"/>
  <c r="T642"/>
  <c r="U642"/>
  <c r="V642"/>
  <c r="W642"/>
  <c r="Y642"/>
  <c r="AB642"/>
  <c r="AC642"/>
  <c r="P643"/>
  <c r="T643"/>
  <c r="U643"/>
  <c r="V643"/>
  <c r="W643"/>
  <c r="Y643"/>
  <c r="AB643"/>
  <c r="AC643"/>
  <c r="P644"/>
  <c r="T644"/>
  <c r="U644"/>
  <c r="V644"/>
  <c r="W644"/>
  <c r="Y644"/>
  <c r="AB644"/>
  <c r="AC644"/>
  <c r="P645"/>
  <c r="T645"/>
  <c r="U645"/>
  <c r="V645"/>
  <c r="W645"/>
  <c r="Y645"/>
  <c r="AB645"/>
  <c r="AC645"/>
  <c r="P646"/>
  <c r="T646"/>
  <c r="U646"/>
  <c r="V646"/>
  <c r="W646"/>
  <c r="Y646"/>
  <c r="AB646"/>
  <c r="AC646"/>
  <c r="P647"/>
  <c r="T647"/>
  <c r="U647"/>
  <c r="V647"/>
  <c r="W647"/>
  <c r="Y647"/>
  <c r="AB647"/>
  <c r="AC647"/>
  <c r="P704"/>
  <c r="T704"/>
  <c r="U704"/>
  <c r="V704"/>
  <c r="W704"/>
  <c r="Y704"/>
  <c r="AB704"/>
  <c r="AC704"/>
  <c r="AD704"/>
  <c r="P705"/>
  <c r="T705"/>
  <c r="U705"/>
  <c r="V705"/>
  <c r="W705"/>
  <c r="Y705"/>
  <c r="AB705"/>
  <c r="AC705"/>
  <c r="AD705"/>
  <c r="P706"/>
  <c r="T706"/>
  <c r="U706"/>
  <c r="V706"/>
  <c r="W706"/>
  <c r="Y706"/>
  <c r="AB706"/>
  <c r="AC706"/>
  <c r="AD706"/>
  <c r="P707"/>
  <c r="T707"/>
  <c r="U707"/>
  <c r="V707"/>
  <c r="W707"/>
  <c r="Y707"/>
  <c r="AB707"/>
  <c r="AC707"/>
  <c r="AD707"/>
  <c r="P708"/>
  <c r="T708"/>
  <c r="U708"/>
  <c r="V708"/>
  <c r="W708"/>
  <c r="Y708"/>
  <c r="AB708"/>
  <c r="AC708"/>
  <c r="AD708"/>
  <c r="P709"/>
  <c r="T709"/>
  <c r="U709"/>
  <c r="V709"/>
  <c r="W709"/>
  <c r="Y709"/>
  <c r="AB709"/>
  <c r="AC709"/>
  <c r="AD709"/>
  <c r="P710"/>
  <c r="T710"/>
  <c r="U710"/>
  <c r="V710"/>
  <c r="W710"/>
  <c r="Y710"/>
  <c r="AB710"/>
  <c r="AC710"/>
  <c r="AD710"/>
  <c r="P711"/>
  <c r="T711"/>
  <c r="U711"/>
  <c r="V711"/>
  <c r="W711"/>
  <c r="Y711"/>
  <c r="AB711"/>
  <c r="AC711"/>
  <c r="AD711"/>
  <c r="P712"/>
  <c r="T712"/>
  <c r="U712"/>
  <c r="V712"/>
  <c r="W712"/>
  <c r="Y712"/>
  <c r="AB712"/>
  <c r="AC712"/>
  <c r="AD712"/>
  <c r="P713"/>
  <c r="T713"/>
  <c r="U713"/>
  <c r="V713"/>
  <c r="W713"/>
  <c r="Y713"/>
  <c r="AB713"/>
  <c r="AC713"/>
  <c r="AD713"/>
  <c r="P714"/>
  <c r="T714"/>
  <c r="U714"/>
  <c r="V714"/>
  <c r="W714"/>
  <c r="Y714"/>
  <c r="AB714"/>
  <c r="AC714"/>
  <c r="AD714"/>
  <c r="P715"/>
  <c r="W715"/>
  <c r="Y715"/>
  <c r="AB715"/>
  <c r="AC715"/>
  <c r="AD715"/>
  <c r="P716"/>
  <c r="W716"/>
  <c r="Y716"/>
  <c r="AB716"/>
  <c r="AC716"/>
  <c r="AD716"/>
  <c r="P717"/>
  <c r="T717"/>
  <c r="U717"/>
  <c r="V717"/>
  <c r="W717"/>
  <c r="Y717"/>
  <c r="AB717"/>
  <c r="AC717"/>
  <c r="AD717"/>
  <c r="P718"/>
  <c r="T718"/>
  <c r="U718"/>
  <c r="V718"/>
  <c r="W718"/>
  <c r="Y718"/>
  <c r="AB718"/>
  <c r="AC718"/>
  <c r="AD718"/>
  <c r="P719"/>
  <c r="T719"/>
  <c r="U719"/>
  <c r="V719"/>
  <c r="W719"/>
  <c r="Y719"/>
  <c r="AB719"/>
  <c r="AC719"/>
  <c r="AD719"/>
  <c r="P720"/>
  <c r="T720"/>
  <c r="U720"/>
  <c r="V720"/>
  <c r="W720"/>
  <c r="Y720"/>
  <c r="AB720"/>
  <c r="AC720"/>
  <c r="AD720"/>
  <c r="P721"/>
  <c r="T721"/>
  <c r="U721"/>
  <c r="V721"/>
  <c r="W721"/>
  <c r="Y721"/>
  <c r="AB721"/>
  <c r="AC721"/>
  <c r="AD721"/>
  <c r="P722"/>
  <c r="T722"/>
  <c r="U722"/>
  <c r="V722"/>
  <c r="W722"/>
  <c r="Y722"/>
  <c r="AB722"/>
  <c r="AC722"/>
  <c r="AD722"/>
  <c r="P723"/>
  <c r="T723"/>
  <c r="U723"/>
  <c r="V723"/>
  <c r="W723"/>
  <c r="Y723"/>
  <c r="AB723"/>
  <c r="AC723"/>
  <c r="AD723"/>
  <c r="P724"/>
  <c r="T724"/>
  <c r="U724"/>
  <c r="V724"/>
  <c r="W724"/>
  <c r="Y724"/>
  <c r="AB724"/>
  <c r="AC724"/>
  <c r="AD724"/>
  <c r="P725"/>
  <c r="T725"/>
  <c r="U725"/>
  <c r="V725"/>
  <c r="W725"/>
  <c r="Y725"/>
  <c r="AB725"/>
  <c r="AC725"/>
  <c r="AD725"/>
  <c r="P726"/>
  <c r="T726"/>
  <c r="U726"/>
  <c r="V726"/>
  <c r="W726"/>
  <c r="Y726"/>
  <c r="AB726"/>
  <c r="AC726"/>
  <c r="AD726"/>
  <c r="P727"/>
  <c r="T727"/>
  <c r="U727"/>
  <c r="V727"/>
  <c r="W727"/>
  <c r="Y727"/>
  <c r="AB727"/>
  <c r="AC727"/>
  <c r="AD727"/>
  <c r="P728"/>
  <c r="T728"/>
  <c r="U728"/>
  <c r="V728"/>
  <c r="W728"/>
  <c r="Y728"/>
  <c r="AB728"/>
  <c r="AC728"/>
  <c r="AD728"/>
  <c r="P729"/>
  <c r="T729"/>
  <c r="U729"/>
  <c r="V729"/>
  <c r="W729"/>
  <c r="Y729"/>
  <c r="AB729"/>
  <c r="AC729"/>
  <c r="AD729"/>
  <c r="P730"/>
  <c r="T730"/>
  <c r="U730"/>
  <c r="V730"/>
  <c r="W730"/>
  <c r="Y730"/>
  <c r="AB730"/>
  <c r="AC730"/>
  <c r="AD730"/>
  <c r="P731"/>
  <c r="T731"/>
  <c r="U731"/>
  <c r="V731"/>
  <c r="W731"/>
  <c r="Y731"/>
  <c r="AB731"/>
  <c r="AC731"/>
  <c r="AD731"/>
  <c r="P732"/>
  <c r="W732"/>
  <c r="Y732"/>
  <c r="AB732"/>
  <c r="AC732"/>
  <c r="AD732"/>
  <c r="P733"/>
  <c r="W733"/>
  <c r="Y733"/>
  <c r="AB733"/>
  <c r="AC733"/>
  <c r="AD733"/>
  <c r="P734"/>
  <c r="W734"/>
  <c r="Y734"/>
  <c r="AB734"/>
  <c r="AC734"/>
  <c r="AD734"/>
  <c r="P735"/>
  <c r="W735"/>
  <c r="Y735"/>
  <c r="AB735"/>
  <c r="AC735"/>
  <c r="AD735"/>
  <c r="P736"/>
  <c r="W736"/>
  <c r="Y736"/>
  <c r="AB736"/>
  <c r="AC736"/>
  <c r="AD736"/>
  <c r="P737"/>
  <c r="W737"/>
  <c r="Y737"/>
  <c r="AB737"/>
  <c r="AC737"/>
  <c r="AD737"/>
  <c r="P738"/>
  <c r="W738"/>
  <c r="Y738"/>
  <c r="AB738"/>
  <c r="AC738"/>
  <c r="AD738"/>
  <c r="P739"/>
  <c r="T739"/>
  <c r="U739"/>
  <c r="V739"/>
  <c r="W739"/>
  <c r="Y739"/>
  <c r="AB739"/>
  <c r="AC739"/>
  <c r="AD739"/>
  <c r="P740"/>
  <c r="T740"/>
  <c r="U740"/>
  <c r="V740"/>
  <c r="W740"/>
  <c r="Y740"/>
  <c r="AB740"/>
  <c r="AC740"/>
  <c r="AD740"/>
  <c r="P741"/>
  <c r="W741"/>
  <c r="Y741"/>
  <c r="AB741"/>
  <c r="AC741"/>
  <c r="AD741"/>
  <c r="P742"/>
  <c r="W742"/>
  <c r="Y742"/>
  <c r="AB742"/>
  <c r="AC742"/>
  <c r="AD742"/>
  <c r="P743"/>
  <c r="W743"/>
  <c r="Y743"/>
  <c r="AB743"/>
  <c r="AC743"/>
  <c r="AD743"/>
  <c r="P744"/>
  <c r="W744"/>
  <c r="Y744"/>
  <c r="AB744"/>
  <c r="AC744"/>
  <c r="AD744"/>
  <c r="P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W750"/>
  <c r="Y750"/>
  <c r="AB750"/>
  <c r="AC750"/>
  <c r="AD750"/>
  <c r="P751"/>
  <c r="W751"/>
  <c r="Y751"/>
  <c r="AB751"/>
  <c r="AC751"/>
  <c r="AD751"/>
  <c r="P752"/>
  <c r="T752"/>
  <c r="U752"/>
  <c r="V752"/>
  <c r="W752"/>
  <c r="Y752"/>
  <c r="AB752"/>
  <c r="AC752"/>
  <c r="AD752"/>
  <c r="P753"/>
  <c r="T753"/>
  <c r="U753"/>
  <c r="V753"/>
  <c r="W753"/>
  <c r="Y753"/>
  <c r="AB753"/>
  <c r="AC753"/>
  <c r="AD753"/>
  <c r="P754"/>
  <c r="T754"/>
  <c r="U754"/>
  <c r="V754"/>
  <c r="W754"/>
  <c r="Y754"/>
  <c r="AB754"/>
  <c r="AC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W759"/>
  <c r="Y759"/>
  <c r="AB759"/>
  <c r="AC759"/>
  <c r="AD759"/>
  <c r="P760"/>
  <c r="T760"/>
  <c r="U760"/>
  <c r="V760"/>
  <c r="W760"/>
  <c r="Y760"/>
  <c r="AB760"/>
  <c r="AC760"/>
  <c r="AD760"/>
  <c r="P761"/>
  <c r="W761"/>
  <c r="Y761"/>
  <c r="AB761"/>
  <c r="AC761"/>
  <c r="AD761"/>
  <c r="P762"/>
  <c r="W762"/>
  <c r="Y762"/>
  <c r="AB762"/>
  <c r="AC762"/>
  <c r="AD762"/>
  <c r="P763"/>
  <c r="W763"/>
  <c r="Y763"/>
  <c r="AB763"/>
  <c r="AC763"/>
  <c r="AD763"/>
  <c r="P764"/>
  <c r="W764"/>
  <c r="Y764"/>
  <c r="AB764"/>
  <c r="AC764"/>
  <c r="AD764"/>
  <c r="P765"/>
  <c r="W765"/>
  <c r="Y765"/>
  <c r="AB765"/>
  <c r="AC765"/>
  <c r="AD765"/>
  <c r="P766"/>
  <c r="T766"/>
  <c r="U766"/>
  <c r="V766"/>
  <c r="W766"/>
  <c r="Y766"/>
  <c r="AB766"/>
  <c r="AC766"/>
  <c r="AD766"/>
  <c r="P767"/>
  <c r="T767"/>
  <c r="U767"/>
  <c r="V767"/>
  <c r="W767"/>
  <c r="Y767"/>
  <c r="AB767"/>
  <c r="AC767"/>
  <c r="AD767"/>
  <c r="P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W777"/>
  <c r="Y777"/>
  <c r="AB777"/>
  <c r="AC777"/>
  <c r="AD777"/>
  <c r="P778"/>
  <c r="W778"/>
  <c r="Y778"/>
  <c r="AB778"/>
  <c r="AC778"/>
  <c r="AD778"/>
  <c r="P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P790"/>
  <c r="W790"/>
  <c r="Y790"/>
  <c r="AB790"/>
  <c r="AC790"/>
  <c r="AD790"/>
  <c r="P791"/>
  <c r="W791"/>
  <c r="Y791"/>
  <c r="AB791"/>
  <c r="AC791"/>
  <c r="AD791"/>
  <c r="P792"/>
  <c r="W792"/>
  <c r="Y792"/>
  <c r="AB792"/>
  <c r="AC792"/>
  <c r="AD792"/>
  <c r="P793"/>
  <c r="W793"/>
  <c r="Y793"/>
  <c r="AB793"/>
  <c r="AC793"/>
  <c r="AD793"/>
  <c r="P794"/>
  <c r="W794"/>
  <c r="Y794"/>
  <c r="AB794"/>
  <c r="AC794"/>
  <c r="AD794"/>
  <c r="P795"/>
  <c r="W795"/>
  <c r="Y795"/>
  <c r="AB795"/>
  <c r="AC795"/>
  <c r="AD795"/>
  <c r="P796"/>
  <c r="W796"/>
  <c r="Y796"/>
  <c r="AB796"/>
  <c r="AC796"/>
  <c r="AD796"/>
  <c r="P797"/>
  <c r="T797"/>
  <c r="U797"/>
  <c r="V797"/>
  <c r="W797"/>
  <c r="Y797"/>
  <c r="AB797"/>
  <c r="AC797"/>
  <c r="P798"/>
  <c r="T798"/>
  <c r="U798"/>
  <c r="V798"/>
  <c r="W798"/>
  <c r="Y798"/>
  <c r="AB798"/>
  <c r="AC798"/>
  <c r="AD798"/>
  <c r="P799"/>
  <c r="T799"/>
  <c r="U799"/>
  <c r="V799"/>
  <c r="W799"/>
  <c r="Y799"/>
  <c r="AB799"/>
  <c r="AC799"/>
  <c r="AD799"/>
  <c r="P800"/>
  <c r="W800"/>
  <c r="Y800"/>
  <c r="AB800"/>
  <c r="AC800"/>
  <c r="AD800"/>
  <c r="P801"/>
  <c r="W801"/>
  <c r="Y801"/>
  <c r="AB801"/>
  <c r="AC801"/>
  <c r="AD801"/>
  <c r="P802"/>
  <c r="W802"/>
  <c r="Y802"/>
  <c r="AB802"/>
  <c r="AC802"/>
  <c r="AD802"/>
  <c r="P803"/>
  <c r="W803"/>
  <c r="Y803"/>
  <c r="AB803"/>
  <c r="AC803"/>
  <c r="AD803"/>
  <c r="P804"/>
  <c r="W804"/>
  <c r="Y804"/>
  <c r="AB804"/>
  <c r="AC804"/>
  <c r="AD804"/>
  <c r="P805"/>
  <c r="W805"/>
  <c r="Y805"/>
  <c r="AB805"/>
  <c r="AC805"/>
  <c r="AD805"/>
  <c r="P806"/>
  <c r="W806"/>
  <c r="Y806"/>
  <c r="AB806"/>
  <c r="AC806"/>
  <c r="AD806"/>
  <c r="P807"/>
  <c r="W807"/>
  <c r="Y807"/>
  <c r="AB807"/>
  <c r="AC807"/>
  <c r="AD807"/>
  <c r="P808"/>
  <c r="W808"/>
  <c r="Y808"/>
  <c r="AB808"/>
  <c r="AC808"/>
  <c r="AD808"/>
  <c r="P809"/>
  <c r="W809"/>
  <c r="Y809"/>
  <c r="AB809"/>
  <c r="AC809"/>
  <c r="AD809"/>
  <c r="P810"/>
  <c r="T810"/>
  <c r="U810"/>
  <c r="V810"/>
  <c r="W810"/>
  <c r="Y810"/>
  <c r="AB810"/>
  <c r="AC810"/>
  <c r="AD810"/>
  <c r="P811"/>
  <c r="T811"/>
  <c r="U811"/>
  <c r="V811"/>
  <c r="W811"/>
  <c r="Y811"/>
  <c r="AB811"/>
  <c r="AC811"/>
  <c r="AD811"/>
  <c r="P812"/>
  <c r="W812"/>
  <c r="Y812"/>
  <c r="AB812"/>
  <c r="AC812"/>
  <c r="AD812"/>
  <c r="P813"/>
  <c r="W813"/>
  <c r="Y813"/>
  <c r="AB813"/>
  <c r="AC813"/>
  <c r="AD813"/>
  <c r="P814"/>
  <c r="W814"/>
  <c r="Y814"/>
  <c r="AB814"/>
  <c r="AC814"/>
  <c r="AD814"/>
  <c r="P815"/>
  <c r="W815"/>
  <c r="Y815"/>
  <c r="AB815"/>
  <c r="AC815"/>
  <c r="AD815"/>
  <c r="P816"/>
  <c r="W816"/>
  <c r="Y816"/>
  <c r="AB816"/>
  <c r="AC816"/>
  <c r="AD816"/>
  <c r="P817"/>
  <c r="W817"/>
  <c r="Y817"/>
  <c r="AB817"/>
  <c r="AC817"/>
  <c r="AD817"/>
  <c r="P818"/>
  <c r="W818"/>
  <c r="Y818"/>
  <c r="AB818"/>
  <c r="AC818"/>
  <c r="AD818"/>
  <c r="P819"/>
  <c r="W819"/>
  <c r="Y819"/>
  <c r="AB819"/>
  <c r="AC819"/>
  <c r="P820"/>
  <c r="W820"/>
  <c r="Y820"/>
  <c r="AB820"/>
  <c r="AC820"/>
  <c r="P821"/>
  <c r="W821"/>
  <c r="Y821"/>
  <c r="AB821"/>
  <c r="AC821"/>
  <c r="P822"/>
  <c r="W822"/>
  <c r="Y822"/>
  <c r="AB822"/>
  <c r="AC822"/>
  <c r="AD822"/>
  <c r="P823"/>
  <c r="W823"/>
  <c r="Y823"/>
  <c r="AB823"/>
  <c r="AC823"/>
  <c r="AD823"/>
  <c r="P824"/>
  <c r="W824"/>
  <c r="Y824"/>
  <c r="AB824"/>
  <c r="AC824"/>
  <c r="AD824"/>
  <c r="P825"/>
  <c r="W825"/>
  <c r="Y825"/>
  <c r="AB825"/>
  <c r="AC825"/>
  <c r="AD825"/>
  <c r="P826"/>
  <c r="W826"/>
  <c r="Y826"/>
  <c r="AB826"/>
  <c r="AC826"/>
  <c r="AD826"/>
  <c r="P827"/>
  <c r="T827"/>
  <c r="U827"/>
  <c r="V827"/>
  <c r="W827"/>
  <c r="Y827"/>
  <c r="AB827"/>
  <c r="AC827"/>
  <c r="P828"/>
  <c r="W828"/>
  <c r="Y828"/>
  <c r="AB828"/>
  <c r="AC828"/>
  <c r="AD828"/>
  <c r="P829"/>
  <c r="W829"/>
  <c r="Y829"/>
  <c r="AB829"/>
  <c r="AC829"/>
  <c r="P830"/>
  <c r="W830"/>
  <c r="Y830"/>
  <c r="AB830"/>
  <c r="AC830"/>
  <c r="P831"/>
  <c r="W831"/>
  <c r="Y831"/>
  <c r="AB831"/>
  <c r="AC831"/>
  <c r="AD831"/>
  <c r="P832"/>
  <c r="W832"/>
  <c r="Y832"/>
  <c r="AB832"/>
  <c r="AC832"/>
  <c r="AD832"/>
  <c r="P833"/>
  <c r="W833"/>
  <c r="Y833"/>
  <c r="AB833"/>
  <c r="AC833"/>
  <c r="AD833"/>
  <c r="P834"/>
  <c r="W834"/>
  <c r="Y834"/>
  <c r="AB834"/>
  <c r="AC834"/>
  <c r="AD834"/>
  <c r="P835"/>
  <c r="W835"/>
  <c r="Y835"/>
  <c r="AB835"/>
  <c r="AC835"/>
  <c r="AD835"/>
  <c r="P836"/>
  <c r="T836"/>
  <c r="U836"/>
  <c r="V836"/>
  <c r="W836"/>
  <c r="Y836"/>
  <c r="AB836"/>
  <c r="AC836"/>
  <c r="AD836"/>
  <c r="P837"/>
  <c r="W837"/>
  <c r="Y837"/>
  <c r="AB837"/>
  <c r="AC837"/>
  <c r="AD837"/>
  <c r="P838"/>
  <c r="W838"/>
  <c r="Y838"/>
  <c r="AB838"/>
  <c r="AC838"/>
  <c r="AD838"/>
  <c r="P839"/>
  <c r="W839"/>
  <c r="Y839"/>
  <c r="AB839"/>
  <c r="AC839"/>
  <c r="AD839"/>
  <c r="P840"/>
  <c r="W840"/>
  <c r="Y840"/>
  <c r="AB840"/>
  <c r="AC840"/>
  <c r="AD840"/>
  <c r="P841"/>
  <c r="W841"/>
  <c r="Y841"/>
  <c r="AB841"/>
  <c r="AC841"/>
  <c r="AD841"/>
  <c r="P842"/>
  <c r="W842"/>
  <c r="Y842"/>
  <c r="AB842"/>
  <c r="AC842"/>
  <c r="AD842"/>
  <c r="P843"/>
  <c r="T843"/>
  <c r="U843"/>
  <c r="V843"/>
  <c r="W843"/>
  <c r="Y843"/>
  <c r="AB843"/>
  <c r="AC843"/>
  <c r="AD843"/>
  <c r="P844"/>
  <c r="T844"/>
  <c r="U844"/>
  <c r="V844"/>
  <c r="W844"/>
  <c r="Y844"/>
  <c r="AB844"/>
  <c r="AC844"/>
  <c r="AD844"/>
  <c r="P845"/>
  <c r="W845"/>
  <c r="Y845"/>
  <c r="AB845"/>
  <c r="AC845"/>
  <c r="AD845"/>
  <c r="P846"/>
  <c r="W846"/>
  <c r="Y846"/>
  <c r="AB846"/>
  <c r="AC846"/>
  <c r="AD846"/>
  <c r="P847"/>
  <c r="W847"/>
  <c r="Y847"/>
  <c r="AB847"/>
  <c r="AC847"/>
  <c r="AD847"/>
  <c r="P848"/>
  <c r="W848"/>
  <c r="Y848"/>
  <c r="AB848"/>
  <c r="AC848"/>
  <c r="AD848"/>
  <c r="P849"/>
  <c r="W849"/>
  <c r="Y849"/>
  <c r="AB849"/>
  <c r="AC849"/>
  <c r="AD849"/>
  <c r="P850"/>
  <c r="W850"/>
  <c r="Y850"/>
  <c r="AB850"/>
  <c r="AC850"/>
  <c r="AD850"/>
  <c r="P851"/>
  <c r="W851"/>
  <c r="Y851"/>
  <c r="AB851"/>
  <c r="AC851"/>
  <c r="AD851"/>
  <c r="P852"/>
  <c r="W852"/>
  <c r="Y852"/>
  <c r="AB852"/>
  <c r="AC852"/>
  <c r="AD852"/>
  <c r="P853"/>
  <c r="W853"/>
  <c r="Y853"/>
  <c r="AB853"/>
  <c r="AC853"/>
  <c r="AD853"/>
  <c r="P854"/>
  <c r="T854"/>
  <c r="U854"/>
  <c r="V854"/>
  <c r="W854"/>
  <c r="Y854"/>
  <c r="AB854"/>
  <c r="AC854"/>
  <c r="AD854"/>
  <c r="P855"/>
  <c r="T855"/>
  <c r="U855"/>
  <c r="V855"/>
  <c r="W855"/>
  <c r="Y855"/>
  <c r="AB855"/>
  <c r="AC855"/>
  <c r="AD855"/>
  <c r="P856"/>
  <c r="T856"/>
  <c r="U856"/>
  <c r="V856"/>
  <c r="W856"/>
  <c r="Y856"/>
  <c r="AB856"/>
  <c r="AC856"/>
  <c r="AD856"/>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P865"/>
  <c r="T865"/>
  <c r="U865"/>
  <c r="V865"/>
  <c r="W865"/>
  <c r="Y865"/>
  <c r="AB865"/>
  <c r="AC865"/>
  <c r="AD865"/>
  <c r="P866"/>
  <c r="T866"/>
  <c r="U866"/>
  <c r="V866"/>
  <c r="W866"/>
  <c r="Y866"/>
  <c r="AB866"/>
  <c r="AC866"/>
  <c r="AD866"/>
  <c r="P867"/>
  <c r="T867"/>
  <c r="U867"/>
  <c r="V867"/>
  <c r="W867"/>
  <c r="Y867"/>
  <c r="AB867"/>
  <c r="AC867"/>
  <c r="AD867"/>
  <c r="P868"/>
  <c r="T868"/>
  <c r="U868"/>
  <c r="V868"/>
  <c r="W868"/>
  <c r="Y868"/>
  <c r="AB868"/>
  <c r="AC868"/>
  <c r="AD868"/>
  <c r="P869"/>
  <c r="T869"/>
  <c r="U869"/>
  <c r="V869"/>
  <c r="W869"/>
  <c r="Y869"/>
  <c r="AB869"/>
  <c r="AC869"/>
  <c r="AD869"/>
  <c r="P870"/>
  <c r="W870"/>
  <c r="Y870"/>
  <c r="AB870"/>
  <c r="AC870"/>
  <c r="AD870"/>
  <c r="P871"/>
  <c r="W871"/>
  <c r="Y871"/>
  <c r="AB871"/>
  <c r="AC871"/>
  <c r="AD871"/>
  <c r="P872"/>
  <c r="W872"/>
  <c r="Y872"/>
  <c r="AB872"/>
  <c r="AC872"/>
  <c r="AD872"/>
  <c r="P873"/>
  <c r="W873"/>
  <c r="Y873"/>
  <c r="AB873"/>
  <c r="AC873"/>
  <c r="AD873"/>
  <c r="P874"/>
  <c r="W874"/>
  <c r="Y874"/>
  <c r="AB874"/>
  <c r="AC874"/>
  <c r="AD874"/>
  <c r="P875"/>
  <c r="W875"/>
  <c r="Y875"/>
  <c r="AB875"/>
  <c r="AC875"/>
  <c r="P876"/>
  <c r="W876"/>
  <c r="Y876"/>
  <c r="AB876"/>
  <c r="AC876"/>
  <c r="P877"/>
  <c r="W877"/>
  <c r="Y877"/>
  <c r="AB877"/>
  <c r="AC877"/>
  <c r="AD877"/>
  <c r="P878"/>
  <c r="T878"/>
  <c r="U878"/>
  <c r="V878"/>
  <c r="W878"/>
  <c r="Y878"/>
  <c r="AB878"/>
  <c r="AC878"/>
  <c r="AD878"/>
  <c r="P879"/>
  <c r="T879"/>
  <c r="U879"/>
  <c r="V879"/>
  <c r="W879"/>
  <c r="Y879"/>
  <c r="AB879"/>
  <c r="AC879"/>
  <c r="AD879"/>
  <c r="P880"/>
  <c r="T880"/>
  <c r="U880"/>
  <c r="V880"/>
  <c r="W880"/>
  <c r="Y880"/>
  <c r="AB880"/>
  <c r="AC880"/>
  <c r="AD880"/>
  <c r="P881"/>
  <c r="T881"/>
  <c r="U881"/>
  <c r="V881"/>
  <c r="W881"/>
  <c r="Y881"/>
  <c r="AB881"/>
  <c r="AC881"/>
  <c r="AD881"/>
  <c r="P882"/>
  <c r="W882"/>
  <c r="Y882"/>
  <c r="AB882"/>
  <c r="AC882"/>
  <c r="AD882"/>
  <c r="P883"/>
  <c r="W883"/>
  <c r="Y883"/>
  <c r="AB883"/>
  <c r="AC883"/>
  <c r="AD883"/>
  <c r="P884"/>
  <c r="W884"/>
  <c r="Y884"/>
  <c r="AB884"/>
  <c r="AC884"/>
  <c r="AD884"/>
  <c r="P885"/>
  <c r="W885"/>
  <c r="Y885"/>
  <c r="AB885"/>
  <c r="AC885"/>
  <c r="AD885"/>
  <c r="P886"/>
  <c r="W886"/>
  <c r="Y886"/>
  <c r="AB886"/>
  <c r="AC886"/>
  <c r="AD886"/>
  <c r="P887"/>
  <c r="W887"/>
  <c r="Y887"/>
  <c r="AB887"/>
  <c r="AC887"/>
  <c r="AD887"/>
  <c r="P888"/>
  <c r="W888"/>
  <c r="Y888"/>
  <c r="AB888"/>
  <c r="AC888"/>
  <c r="AD888"/>
  <c r="P889"/>
  <c r="W889"/>
  <c r="Y889"/>
  <c r="AB889"/>
  <c r="AC889"/>
  <c r="AD889"/>
  <c r="P890"/>
  <c r="W890"/>
  <c r="Y890"/>
  <c r="AB890"/>
  <c r="AC890"/>
  <c r="AD890"/>
  <c r="P891"/>
  <c r="W891"/>
  <c r="Y891"/>
  <c r="AB891"/>
  <c r="AC891"/>
  <c r="AD891"/>
  <c r="P892"/>
  <c r="W892"/>
  <c r="Y892"/>
  <c r="AB892"/>
  <c r="AC892"/>
  <c r="AD892"/>
  <c r="P893"/>
  <c r="W893"/>
  <c r="Y893"/>
  <c r="AB893"/>
  <c r="AC893"/>
  <c r="AD893"/>
  <c r="P894"/>
  <c r="W894"/>
  <c r="Y894"/>
  <c r="AB894"/>
  <c r="AC894"/>
  <c r="AD894"/>
  <c r="P895"/>
  <c r="W895"/>
  <c r="Y895"/>
  <c r="AB895"/>
  <c r="AC895"/>
  <c r="AD895"/>
  <c r="P896"/>
  <c r="W896"/>
  <c r="Y896"/>
  <c r="AB896"/>
  <c r="AC896"/>
  <c r="AD896"/>
  <c r="P897"/>
  <c r="T897"/>
  <c r="U897"/>
  <c r="V897"/>
  <c r="W897"/>
  <c r="Y897"/>
  <c r="AB897"/>
  <c r="AC897"/>
  <c r="AD897"/>
  <c r="P898"/>
  <c r="T898"/>
  <c r="U898"/>
  <c r="V898"/>
  <c r="W898"/>
  <c r="Y898"/>
  <c r="AB898"/>
  <c r="AC898"/>
  <c r="AD898"/>
  <c r="P899"/>
  <c r="W899"/>
  <c r="Y899"/>
  <c r="AB899"/>
  <c r="AC899"/>
  <c r="AD899"/>
  <c r="P900"/>
  <c r="W900"/>
  <c r="Y900"/>
  <c r="AB900"/>
  <c r="AC900"/>
  <c r="AD900"/>
  <c r="P901"/>
  <c r="W901"/>
  <c r="Y901"/>
  <c r="AB901"/>
  <c r="AC901"/>
  <c r="AD901"/>
  <c r="P902"/>
  <c r="W902"/>
  <c r="Y902"/>
  <c r="AB902"/>
  <c r="AC902"/>
  <c r="P903"/>
  <c r="W903"/>
  <c r="Y903"/>
  <c r="AB903"/>
  <c r="AC903"/>
  <c r="P904"/>
  <c r="W904"/>
  <c r="Y904"/>
  <c r="AB904"/>
  <c r="AC904"/>
  <c r="P905"/>
  <c r="W905"/>
  <c r="Y905"/>
  <c r="AB905"/>
  <c r="AC905"/>
  <c r="P906"/>
  <c r="T906"/>
  <c r="U906"/>
  <c r="V906"/>
  <c r="W906"/>
  <c r="Y906"/>
  <c r="AB906"/>
  <c r="AC906"/>
  <c r="P907"/>
  <c r="T907"/>
  <c r="U907"/>
  <c r="V907"/>
  <c r="W907"/>
  <c r="Y907"/>
  <c r="AB907"/>
  <c r="AC907"/>
  <c r="P908"/>
  <c r="T908"/>
  <c r="U908"/>
  <c r="V908"/>
  <c r="W908"/>
  <c r="Y908"/>
  <c r="AB908"/>
  <c r="AC908"/>
  <c r="AD908"/>
  <c r="P909"/>
  <c r="T909"/>
  <c r="U909"/>
  <c r="V909"/>
  <c r="W909"/>
  <c r="Y909"/>
  <c r="AB909"/>
  <c r="AC909"/>
  <c r="AD909"/>
  <c r="P910"/>
  <c r="W910"/>
  <c r="Y910"/>
  <c r="AB910"/>
  <c r="AC910"/>
  <c r="AD910"/>
  <c r="P911"/>
  <c r="W911"/>
  <c r="Y911"/>
  <c r="AB911"/>
  <c r="AC911"/>
  <c r="AD911"/>
  <c r="P912"/>
  <c r="W912"/>
  <c r="Y912"/>
  <c r="AB912"/>
  <c r="AC912"/>
  <c r="AD912"/>
  <c r="P913"/>
  <c r="W913"/>
  <c r="Y913"/>
  <c r="AB913"/>
  <c r="AC913"/>
  <c r="AD913"/>
  <c r="P914"/>
  <c r="W914"/>
  <c r="Y914"/>
  <c r="AB914"/>
  <c r="AC914"/>
  <c r="AD914"/>
  <c r="P915"/>
  <c r="W915"/>
  <c r="Y915"/>
  <c r="AB915"/>
  <c r="AC915"/>
  <c r="AD915"/>
  <c r="P916"/>
  <c r="W916"/>
  <c r="Y916"/>
  <c r="AB916"/>
  <c r="AC916"/>
  <c r="AD916"/>
  <c r="P917"/>
  <c r="W917"/>
  <c r="Y917"/>
  <c r="AB917"/>
  <c r="AC917"/>
  <c r="AD917"/>
  <c r="P918"/>
  <c r="T918"/>
  <c r="U918"/>
  <c r="V918"/>
  <c r="W918"/>
  <c r="Y918"/>
  <c r="AB918"/>
  <c r="AC918"/>
  <c r="P919"/>
  <c r="T919"/>
  <c r="U919"/>
  <c r="V919"/>
  <c r="W919"/>
  <c r="Y919"/>
  <c r="AB919"/>
  <c r="AC919"/>
  <c r="AD919"/>
  <c r="P920"/>
  <c r="T920"/>
  <c r="U920"/>
  <c r="V920"/>
  <c r="W920"/>
  <c r="Y920"/>
  <c r="AB920"/>
  <c r="AC920"/>
  <c r="AD920"/>
  <c r="P921"/>
  <c r="T921"/>
  <c r="U921"/>
  <c r="V921"/>
  <c r="W921"/>
  <c r="Y921"/>
  <c r="AB921"/>
  <c r="AC921"/>
  <c r="AD921"/>
  <c r="P922"/>
  <c r="T922"/>
  <c r="U922"/>
  <c r="V922"/>
  <c r="W922"/>
  <c r="Y922"/>
  <c r="AB922"/>
  <c r="AC922"/>
  <c r="AD922"/>
  <c r="P923"/>
  <c r="W923"/>
  <c r="Y923"/>
  <c r="AB923"/>
  <c r="AC923"/>
  <c r="AD923"/>
  <c r="P924"/>
  <c r="W924"/>
  <c r="Y924"/>
  <c r="AB924"/>
  <c r="AC924"/>
  <c r="P925"/>
  <c r="W925"/>
  <c r="Y925"/>
  <c r="AB925"/>
  <c r="AC925"/>
  <c r="P926"/>
  <c r="W926"/>
  <c r="Y926"/>
  <c r="AB926"/>
  <c r="AC926"/>
  <c r="P927"/>
  <c r="W927"/>
  <c r="Y927"/>
  <c r="AB927"/>
  <c r="AC927"/>
  <c r="P928"/>
  <c r="T928"/>
  <c r="U928"/>
  <c r="V928"/>
  <c r="W928"/>
  <c r="Y928"/>
  <c r="AB928"/>
  <c r="AC928"/>
  <c r="P929"/>
  <c r="W929"/>
  <c r="Y929"/>
  <c r="AB929"/>
  <c r="AC929"/>
  <c r="AD929"/>
  <c r="P930"/>
  <c r="W930"/>
  <c r="Y930"/>
  <c r="AB930"/>
  <c r="AC930"/>
  <c r="AD930"/>
  <c r="P931"/>
  <c r="W931"/>
  <c r="Y931"/>
  <c r="AB931"/>
  <c r="AC931"/>
  <c r="AD931"/>
  <c r="P932"/>
  <c r="W932"/>
  <c r="Y932"/>
  <c r="AB932"/>
  <c r="AC932"/>
  <c r="AD932"/>
  <c r="P933"/>
  <c r="W933"/>
  <c r="Y933"/>
  <c r="AB933"/>
  <c r="AC933"/>
  <c r="AD933"/>
  <c r="P934"/>
  <c r="W934"/>
  <c r="Y934"/>
  <c r="AB934"/>
  <c r="AC934"/>
  <c r="AD934"/>
  <c r="P935"/>
  <c r="W935"/>
  <c r="Y935"/>
  <c r="AB935"/>
  <c r="AC935"/>
  <c r="AD935"/>
  <c r="P936"/>
  <c r="W936"/>
  <c r="Y936"/>
  <c r="AB936"/>
  <c r="AC936"/>
  <c r="AD936"/>
  <c r="P937"/>
  <c r="T937"/>
  <c r="U937"/>
  <c r="V937"/>
  <c r="W937"/>
  <c r="Y937"/>
  <c r="AB937"/>
  <c r="AC937"/>
  <c r="AD937"/>
  <c r="P938"/>
  <c r="T938"/>
  <c r="U938"/>
  <c r="V938"/>
  <c r="W938"/>
  <c r="Y938"/>
  <c r="AB938"/>
  <c r="AC938"/>
  <c r="AD938"/>
  <c r="P939"/>
  <c r="W939"/>
  <c r="Y939"/>
  <c r="AB939"/>
  <c r="AC939"/>
  <c r="AD939"/>
  <c r="P940"/>
  <c r="W940"/>
  <c r="Y940"/>
  <c r="AB940"/>
  <c r="AC940"/>
  <c r="AD940"/>
  <c r="P941"/>
  <c r="W941"/>
  <c r="Y941"/>
  <c r="AB941"/>
  <c r="AC941"/>
  <c r="AD941"/>
  <c r="P942"/>
  <c r="W942"/>
  <c r="Y942"/>
  <c r="AB942"/>
  <c r="AC942"/>
  <c r="P943"/>
  <c r="W943"/>
  <c r="Y943"/>
  <c r="AB943"/>
  <c r="AC943"/>
  <c r="P944"/>
  <c r="W944"/>
  <c r="Y944"/>
  <c r="AB944"/>
  <c r="AC944"/>
  <c r="P945"/>
  <c r="T945"/>
  <c r="U945"/>
  <c r="V945"/>
  <c r="W945"/>
  <c r="Y945"/>
  <c r="AB945"/>
  <c r="AC945"/>
  <c r="P946"/>
  <c r="W946"/>
  <c r="Y946"/>
  <c r="AB946"/>
  <c r="AC946"/>
  <c r="AD946"/>
  <c r="P947"/>
  <c r="T947"/>
  <c r="U947"/>
  <c r="V947"/>
  <c r="W947"/>
  <c r="Y947"/>
  <c r="AB947"/>
  <c r="AC947"/>
  <c r="AD947"/>
  <c r="P948"/>
  <c r="T948"/>
  <c r="U948"/>
  <c r="V948"/>
  <c r="W948"/>
  <c r="Y948"/>
  <c r="AB948"/>
  <c r="AC948"/>
  <c r="AD948"/>
  <c r="P949"/>
  <c r="W949"/>
  <c r="Y949"/>
  <c r="AB949"/>
  <c r="AC949"/>
  <c r="AD949"/>
  <c r="P950"/>
  <c r="W950"/>
  <c r="Y950"/>
  <c r="AB950"/>
  <c r="AC950"/>
  <c r="AD950"/>
  <c r="P951"/>
  <c r="W951"/>
  <c r="Y951"/>
  <c r="AB951"/>
  <c r="AC951"/>
  <c r="AD951"/>
  <c r="P952"/>
  <c r="W952"/>
  <c r="Y952"/>
  <c r="AB952"/>
  <c r="AC952"/>
  <c r="AD952"/>
  <c r="P953"/>
  <c r="W953"/>
  <c r="Y953"/>
  <c r="AB953"/>
  <c r="AC953"/>
  <c r="AD953"/>
  <c r="P954"/>
  <c r="W954"/>
  <c r="Y954"/>
  <c r="AB954"/>
  <c r="AC954"/>
  <c r="AD954"/>
  <c r="P955"/>
  <c r="T955"/>
  <c r="U955"/>
  <c r="V955"/>
  <c r="W955"/>
  <c r="Y955"/>
  <c r="AB955"/>
  <c r="AC955"/>
  <c r="AD955"/>
  <c r="P956"/>
  <c r="W956"/>
  <c r="Y956"/>
  <c r="AB956"/>
  <c r="AC956"/>
  <c r="AD956"/>
  <c r="P957"/>
  <c r="T957"/>
  <c r="U957"/>
  <c r="V957"/>
  <c r="W957"/>
  <c r="Y957"/>
  <c r="AB957"/>
  <c r="AC957"/>
  <c r="AD957"/>
  <c r="P958"/>
  <c r="T958"/>
  <c r="U958"/>
  <c r="V958"/>
  <c r="W958"/>
  <c r="Y958"/>
  <c r="AB958"/>
  <c r="AC958"/>
  <c r="AD958"/>
  <c r="P959"/>
  <c r="W959"/>
  <c r="Y959"/>
  <c r="AB959"/>
  <c r="AC959"/>
  <c r="AD959"/>
  <c r="P960"/>
  <c r="W960"/>
  <c r="Y960"/>
  <c r="AB960"/>
  <c r="AC960"/>
  <c r="AD960"/>
  <c r="P961"/>
  <c r="W961"/>
  <c r="Y961"/>
  <c r="AB961"/>
  <c r="AC961"/>
  <c r="AD961"/>
  <c r="P962"/>
  <c r="W962"/>
  <c r="Y962"/>
  <c r="AB962"/>
  <c r="AC962"/>
  <c r="AD962"/>
  <c r="P963"/>
  <c r="W963"/>
  <c r="Y963"/>
  <c r="AB963"/>
  <c r="AC963"/>
  <c r="AD963"/>
  <c r="P964"/>
  <c r="W964"/>
  <c r="Y964"/>
  <c r="AB964"/>
  <c r="AC964"/>
  <c r="AD964"/>
  <c r="P965"/>
  <c r="W965"/>
  <c r="Y965"/>
  <c r="AB965"/>
  <c r="AC965"/>
  <c r="AD965"/>
  <c r="P966"/>
  <c r="T966"/>
  <c r="U966"/>
  <c r="V966"/>
  <c r="W966"/>
  <c r="Y966"/>
  <c r="AB966"/>
  <c r="AC966"/>
  <c r="AD966"/>
  <c r="P967"/>
  <c r="T967"/>
  <c r="U967"/>
  <c r="V967"/>
  <c r="W967"/>
  <c r="Y967"/>
  <c r="AB967"/>
  <c r="AC967"/>
  <c r="AD967"/>
  <c r="P968"/>
  <c r="W968"/>
  <c r="Y968"/>
  <c r="AB968"/>
  <c r="AC968"/>
  <c r="AD968"/>
  <c r="P969"/>
  <c r="T969"/>
  <c r="U969"/>
  <c r="V969"/>
  <c r="W969"/>
  <c r="Y969"/>
  <c r="AB969"/>
  <c r="AC969"/>
  <c r="AD969"/>
  <c r="P970"/>
  <c r="T970"/>
  <c r="U970"/>
  <c r="V970"/>
  <c r="W970"/>
  <c r="Y970"/>
  <c r="AB970"/>
  <c r="AC970"/>
  <c r="AD970"/>
  <c r="P971"/>
  <c r="T971"/>
  <c r="U971"/>
  <c r="V971"/>
  <c r="W971"/>
  <c r="Y971"/>
  <c r="AB971"/>
  <c r="AC971"/>
  <c r="AD971"/>
  <c r="P972"/>
  <c r="T972"/>
  <c r="U972"/>
  <c r="V972"/>
  <c r="W972"/>
  <c r="Y972"/>
  <c r="AB972"/>
  <c r="AC972"/>
  <c r="AD972"/>
  <c r="P973"/>
  <c r="T973"/>
  <c r="U973"/>
  <c r="V973"/>
  <c r="W973"/>
  <c r="Y973"/>
  <c r="AB973"/>
  <c r="AC973"/>
  <c r="AD973"/>
  <c r="P974"/>
  <c r="T974"/>
  <c r="U974"/>
  <c r="V974"/>
  <c r="W974"/>
  <c r="Y974"/>
  <c r="AB974"/>
  <c r="AC974"/>
  <c r="AD974"/>
  <c r="P975"/>
  <c r="T975"/>
  <c r="U975"/>
  <c r="V975"/>
  <c r="W975"/>
  <c r="Y975"/>
  <c r="AB975"/>
  <c r="AC975"/>
  <c r="AD975"/>
  <c r="P976"/>
  <c r="T976"/>
  <c r="U976"/>
  <c r="V976"/>
  <c r="W976"/>
  <c r="Y976"/>
  <c r="AB976"/>
  <c r="AC976"/>
  <c r="AD976"/>
  <c r="P977"/>
  <c r="T977"/>
  <c r="U977"/>
  <c r="V977"/>
  <c r="W977"/>
  <c r="Y977"/>
  <c r="AB977"/>
  <c r="AC977"/>
  <c r="AD977"/>
  <c r="P978"/>
  <c r="T978"/>
  <c r="U978"/>
  <c r="V978"/>
  <c r="W978"/>
  <c r="Y978"/>
  <c r="AB978"/>
  <c r="AC978"/>
  <c r="AD978"/>
  <c r="P979"/>
  <c r="T979"/>
  <c r="U979"/>
  <c r="V979"/>
  <c r="W979"/>
  <c r="Y979"/>
  <c r="AB979"/>
  <c r="AC979"/>
  <c r="AD979"/>
  <c r="P980"/>
  <c r="T980"/>
  <c r="U980"/>
  <c r="V980"/>
  <c r="W980"/>
  <c r="Y980"/>
  <c r="AB980"/>
  <c r="AC980"/>
  <c r="AD980"/>
  <c r="P981"/>
  <c r="T981"/>
  <c r="U981"/>
  <c r="V981"/>
  <c r="W981"/>
  <c r="Y981"/>
  <c r="AB981"/>
  <c r="AC981"/>
  <c r="AD981"/>
  <c r="P982"/>
  <c r="T982"/>
  <c r="U982"/>
  <c r="V982"/>
  <c r="W982"/>
  <c r="Y982"/>
  <c r="AB982"/>
  <c r="AC982"/>
  <c r="AD982"/>
  <c r="P983"/>
  <c r="T983"/>
  <c r="U983"/>
  <c r="V983"/>
  <c r="W983"/>
  <c r="Y983"/>
  <c r="AB983"/>
  <c r="AC983"/>
  <c r="AD983"/>
  <c r="P984"/>
  <c r="T984"/>
  <c r="U984"/>
  <c r="V984"/>
  <c r="W984"/>
  <c r="Y984"/>
  <c r="AB984"/>
  <c r="AC984"/>
  <c r="AD984"/>
  <c r="P985"/>
  <c r="T985"/>
  <c r="U985"/>
  <c r="V985"/>
  <c r="W985"/>
  <c r="Y985"/>
  <c r="AB985"/>
  <c r="AC985"/>
  <c r="AD985"/>
  <c r="P986"/>
  <c r="T986"/>
  <c r="U986"/>
  <c r="V986"/>
  <c r="W986"/>
  <c r="Y986"/>
  <c r="AB986"/>
  <c r="AC986"/>
  <c r="AD986"/>
  <c r="P987"/>
  <c r="T987"/>
  <c r="U987"/>
  <c r="V987"/>
  <c r="W987"/>
  <c r="Y987"/>
  <c r="AB987"/>
  <c r="AC987"/>
  <c r="AD987"/>
  <c r="P988"/>
  <c r="T988"/>
  <c r="U988"/>
  <c r="V988"/>
  <c r="W988"/>
  <c r="Y988"/>
  <c r="AB988"/>
  <c r="AC988"/>
  <c r="AD988"/>
  <c r="P989"/>
  <c r="T989"/>
  <c r="U989"/>
  <c r="V989"/>
  <c r="W989"/>
  <c r="Y989"/>
  <c r="AB989"/>
  <c r="AC989"/>
  <c r="AD989"/>
  <c r="P990"/>
  <c r="T990"/>
  <c r="U990"/>
  <c r="V990"/>
  <c r="W990"/>
  <c r="Y990"/>
  <c r="AB990"/>
  <c r="AC990"/>
  <c r="AD990"/>
  <c r="P991"/>
  <c r="T991"/>
  <c r="U991"/>
  <c r="V991"/>
  <c r="W991"/>
  <c r="Y991"/>
  <c r="AB991"/>
  <c r="AC991"/>
  <c r="AD991"/>
  <c r="P992"/>
  <c r="T992"/>
  <c r="U992"/>
  <c r="V992"/>
  <c r="W992"/>
  <c r="Y992"/>
  <c r="AB992"/>
  <c r="AC992"/>
  <c r="AD992"/>
  <c r="P993"/>
  <c r="W993"/>
  <c r="Y993"/>
  <c r="AB993"/>
  <c r="AC993"/>
  <c r="AD993"/>
  <c r="P994"/>
  <c r="T994"/>
  <c r="U994"/>
  <c r="V994"/>
  <c r="W994"/>
  <c r="Y994"/>
  <c r="AB994"/>
  <c r="AC994"/>
  <c r="AD994"/>
  <c r="P995"/>
  <c r="T995"/>
  <c r="U995"/>
  <c r="V995"/>
  <c r="W995"/>
  <c r="Y995"/>
  <c r="AB995"/>
  <c r="AC995"/>
  <c r="AD995"/>
  <c r="P996"/>
  <c r="T996"/>
  <c r="U996"/>
  <c r="V996"/>
  <c r="W996"/>
  <c r="Y996"/>
  <c r="AB996"/>
  <c r="AC996"/>
  <c r="AD996"/>
  <c r="P997"/>
  <c r="T997"/>
  <c r="U997"/>
  <c r="V997"/>
  <c r="W997"/>
  <c r="Y997"/>
  <c r="AB997"/>
  <c r="AC997"/>
  <c r="AD997"/>
  <c r="P998"/>
  <c r="W998"/>
  <c r="Y998"/>
  <c r="AB998"/>
  <c r="AC998"/>
  <c r="AD998"/>
  <c r="P999"/>
  <c r="W999"/>
  <c r="Y999"/>
  <c r="AB999"/>
  <c r="AC999"/>
  <c r="AD999"/>
  <c r="P1000"/>
  <c r="W1000"/>
  <c r="Y1000"/>
  <c r="AB1000"/>
  <c r="AC1000"/>
  <c r="AD1000"/>
  <c r="P1001"/>
  <c r="T1001"/>
  <c r="U1001"/>
  <c r="V1001"/>
  <c r="W1001"/>
  <c r="Y1001"/>
  <c r="AB1001"/>
  <c r="AC1001"/>
  <c r="AD1001"/>
  <c r="P1002"/>
  <c r="T1002"/>
  <c r="U1002"/>
  <c r="V1002"/>
  <c r="W1002"/>
  <c r="Y1002"/>
  <c r="AB1002"/>
  <c r="AC1002"/>
  <c r="AD1002"/>
  <c r="P1003"/>
  <c r="T1003"/>
  <c r="U1003"/>
  <c r="V1003"/>
  <c r="W1003"/>
  <c r="Y1003"/>
  <c r="AB1003"/>
  <c r="AC1003"/>
  <c r="AD1003"/>
  <c r="P1004"/>
  <c r="T1004"/>
  <c r="U1004"/>
  <c r="V1004"/>
  <c r="W1004"/>
  <c r="Y1004"/>
  <c r="AB1004"/>
  <c r="AC1004"/>
  <c r="AD1004"/>
  <c r="P1005"/>
  <c r="T1005"/>
  <c r="U1005"/>
  <c r="V1005"/>
  <c r="W1005"/>
  <c r="Y1005"/>
  <c r="AB1005"/>
  <c r="AC1005"/>
  <c r="AD1005"/>
  <c r="P1006"/>
  <c r="T1006"/>
  <c r="U1006"/>
  <c r="V1006"/>
  <c r="W1006"/>
  <c r="Y1006"/>
  <c r="AB1006"/>
  <c r="AC1006"/>
  <c r="AD1006"/>
  <c r="P1007"/>
  <c r="T1007"/>
  <c r="U1007"/>
  <c r="V1007"/>
  <c r="W1007"/>
  <c r="Y1007"/>
  <c r="AB1007"/>
  <c r="AC1007"/>
  <c r="AD1007"/>
  <c r="P1008"/>
  <c r="T1008"/>
  <c r="U1008"/>
  <c r="V1008"/>
  <c r="W1008"/>
  <c r="Y1008"/>
  <c r="AB1008"/>
  <c r="AC1008"/>
  <c r="AD1008"/>
  <c r="P1009"/>
  <c r="T1009"/>
  <c r="U1009"/>
  <c r="V1009"/>
  <c r="W1009"/>
  <c r="Y1009"/>
  <c r="AB1009"/>
  <c r="AC1009"/>
  <c r="AD1009"/>
  <c r="P1010"/>
  <c r="T1010"/>
  <c r="U1010"/>
  <c r="V1010"/>
  <c r="W1010"/>
  <c r="Y1010"/>
  <c r="AB1010"/>
  <c r="AC1010"/>
  <c r="AD1010"/>
  <c r="P1011"/>
  <c r="T1011"/>
  <c r="U1011"/>
  <c r="V1011"/>
  <c r="W1011"/>
  <c r="Y1011"/>
  <c r="AB1011"/>
  <c r="AC1011"/>
  <c r="AD1011"/>
  <c r="P1012"/>
  <c r="T1012"/>
  <c r="U1012"/>
  <c r="V1012"/>
  <c r="W1012"/>
  <c r="Y1012"/>
  <c r="AB1012"/>
  <c r="AC1012"/>
  <c r="AD1012"/>
  <c r="P1013"/>
  <c r="T1013"/>
  <c r="U1013"/>
  <c r="V1013"/>
  <c r="W1013"/>
  <c r="Y1013"/>
  <c r="AB1013"/>
  <c r="AC1013"/>
  <c r="AD1013"/>
  <c r="P1014"/>
  <c r="T1014"/>
  <c r="U1014"/>
  <c r="V1014"/>
  <c r="W1014"/>
  <c r="Y1014"/>
  <c r="AB1014"/>
  <c r="AC1014"/>
  <c r="AD1014"/>
  <c r="P1015"/>
  <c r="T1015"/>
  <c r="U1015"/>
  <c r="V1015"/>
  <c r="W1015"/>
  <c r="Y1015"/>
  <c r="AB1015"/>
  <c r="AC1015"/>
  <c r="AD1015"/>
  <c r="P1016"/>
  <c r="T1016"/>
  <c r="U1016"/>
  <c r="V1016"/>
  <c r="W1016"/>
  <c r="Y1016"/>
  <c r="AB1016"/>
  <c r="AC1016"/>
  <c r="AD1016"/>
  <c r="P1017"/>
  <c r="W1017"/>
  <c r="Y1017"/>
  <c r="AB1017"/>
  <c r="AC1017"/>
  <c r="AD1017"/>
  <c r="P1018"/>
  <c r="W1018"/>
  <c r="Y1018"/>
  <c r="AB1018"/>
  <c r="AC1018"/>
  <c r="AD1018"/>
  <c r="P1019"/>
  <c r="W1019"/>
  <c r="Y1019"/>
  <c r="AB1019"/>
  <c r="AC1019"/>
  <c r="AD1019"/>
  <c r="P1020"/>
  <c r="W1020"/>
  <c r="Y1020"/>
  <c r="AB1020"/>
  <c r="AC1020"/>
  <c r="AD1020"/>
  <c r="P1021"/>
  <c r="W1021"/>
  <c r="Y1021"/>
  <c r="AB1021"/>
  <c r="AC1021"/>
  <c r="AD1021"/>
  <c r="P1022"/>
  <c r="W1022"/>
  <c r="Y1022"/>
  <c r="AB1022"/>
  <c r="AC1022"/>
  <c r="AD1022"/>
  <c r="P1023"/>
  <c r="W1023"/>
  <c r="Y1023"/>
  <c r="AB1023"/>
  <c r="AC1023"/>
  <c r="AD1023"/>
  <c r="P1024"/>
  <c r="W1024"/>
  <c r="Y1024"/>
  <c r="AB1024"/>
  <c r="AC1024"/>
  <c r="AD1024"/>
  <c r="P1025"/>
  <c r="W1025"/>
  <c r="Y1025"/>
  <c r="AB1025"/>
  <c r="AC1025"/>
  <c r="AD1025"/>
  <c r="P1026"/>
  <c r="W1026"/>
  <c r="Y1026"/>
  <c r="AB1026"/>
  <c r="AC1026"/>
  <c r="AD1026"/>
  <c r="P1027"/>
  <c r="W1027"/>
  <c r="Y1027"/>
  <c r="AB1027"/>
  <c r="AC1027"/>
  <c r="AD1027"/>
  <c r="P1028"/>
  <c r="W1028"/>
  <c r="Y1028"/>
  <c r="AB1028"/>
  <c r="AC1028"/>
  <c r="AD1028"/>
  <c r="P1029"/>
  <c r="W1029"/>
  <c r="Y1029"/>
  <c r="AB1029"/>
  <c r="AC1029"/>
  <c r="AD1029"/>
  <c r="P1030"/>
  <c r="W1030"/>
  <c r="Y1030"/>
  <c r="AB1030"/>
  <c r="AC1030"/>
  <c r="AD1030"/>
  <c r="P1031"/>
  <c r="W1031"/>
  <c r="Y1031"/>
  <c r="AB1031"/>
  <c r="AC1031"/>
  <c r="AD1031"/>
  <c r="P1032"/>
  <c r="T1032"/>
  <c r="U1032"/>
  <c r="V1032"/>
  <c r="W1032"/>
  <c r="Y1032"/>
  <c r="AB1032"/>
  <c r="AC1032"/>
  <c r="AD1032"/>
  <c r="P1033"/>
  <c r="T1033"/>
  <c r="U1033"/>
  <c r="V1033"/>
  <c r="W1033"/>
  <c r="Y1033"/>
  <c r="AB1033"/>
  <c r="AC1033"/>
  <c r="AD1033"/>
  <c r="P1034"/>
  <c r="W1034"/>
  <c r="Y1034"/>
  <c r="AB1034"/>
  <c r="AC1034"/>
  <c r="AD1034"/>
  <c r="P1035"/>
  <c r="W1035"/>
  <c r="Y1035"/>
  <c r="AB1035"/>
  <c r="AC1035"/>
  <c r="AD1035"/>
  <c r="P1036"/>
  <c r="W1036"/>
  <c r="Y1036"/>
  <c r="AB1036"/>
  <c r="AC1036"/>
  <c r="AD1036"/>
  <c r="P1037"/>
  <c r="W1037"/>
  <c r="Y1037"/>
  <c r="AB1037"/>
  <c r="AC1037"/>
  <c r="AD1037"/>
  <c r="P1038"/>
  <c r="W1038"/>
  <c r="Y1038"/>
  <c r="AB1038"/>
  <c r="AC1038"/>
  <c r="AD1038"/>
  <c r="P1039"/>
  <c r="W1039"/>
  <c r="Y1039"/>
  <c r="AB1039"/>
  <c r="AC1039"/>
  <c r="AD1039"/>
  <c r="P1040"/>
  <c r="W1040"/>
  <c r="Y1040"/>
  <c r="AB1040"/>
  <c r="AC1040"/>
  <c r="AD1040"/>
  <c r="P1041"/>
  <c r="W1041"/>
  <c r="Y1041"/>
  <c r="AB1041"/>
  <c r="AC1041"/>
  <c r="AD1041"/>
  <c r="P1042"/>
  <c r="W1042"/>
  <c r="Y1042"/>
  <c r="AB1042"/>
  <c r="AC1042"/>
  <c r="AD1042"/>
  <c r="P1043"/>
  <c r="W1043"/>
  <c r="Y1043"/>
  <c r="AB1043"/>
  <c r="AC1043"/>
  <c r="AD1043"/>
  <c r="P1044"/>
  <c r="W1044"/>
  <c r="Y1044"/>
  <c r="AB1044"/>
  <c r="AC1044"/>
  <c r="AD1044"/>
  <c r="P1045"/>
  <c r="T1045"/>
  <c r="U1045"/>
  <c r="V1045"/>
  <c r="W1045"/>
  <c r="Y1045"/>
  <c r="AB1045"/>
  <c r="AC1045"/>
  <c r="AD1045"/>
  <c r="P1046"/>
  <c r="W1046"/>
  <c r="Y1046"/>
  <c r="AB1046"/>
  <c r="AC1046"/>
  <c r="AD1046"/>
  <c r="P1047"/>
  <c r="T1047"/>
  <c r="U1047"/>
  <c r="V1047"/>
  <c r="W1047"/>
  <c r="Y1047"/>
  <c r="AB1047"/>
  <c r="AC1047"/>
  <c r="AD1047"/>
  <c r="P1048"/>
  <c r="T1048"/>
  <c r="U1048"/>
  <c r="V1048"/>
  <c r="W1048"/>
  <c r="Y1048"/>
  <c r="AB1048"/>
  <c r="AC1048"/>
  <c r="AD1048"/>
  <c r="P1049"/>
  <c r="T1049"/>
  <c r="U1049"/>
  <c r="V1049"/>
  <c r="W1049"/>
  <c r="Y1049"/>
  <c r="AB1049"/>
  <c r="AC1049"/>
  <c r="AD1049"/>
  <c r="P1050"/>
  <c r="T1050"/>
  <c r="U1050"/>
  <c r="V1050"/>
  <c r="W1050"/>
  <c r="Y1050"/>
  <c r="AB1050"/>
  <c r="AC1050"/>
  <c r="AD1050"/>
  <c r="P1051"/>
  <c r="T1051"/>
  <c r="U1051"/>
  <c r="V1051"/>
  <c r="W1051"/>
  <c r="Y1051"/>
  <c r="AB1051"/>
  <c r="AC1051"/>
  <c r="AD1051"/>
  <c r="P1052"/>
  <c r="T1052"/>
  <c r="U1052"/>
  <c r="V1052"/>
  <c r="W1052"/>
  <c r="Y1052"/>
  <c r="AB1052"/>
  <c r="AC1052"/>
  <c r="AD1052"/>
  <c r="P1053"/>
  <c r="T1053"/>
  <c r="U1053"/>
  <c r="V1053"/>
  <c r="W1053"/>
  <c r="Y1053"/>
  <c r="AB1053"/>
  <c r="AC1053"/>
  <c r="AD1053"/>
  <c r="P1054"/>
  <c r="T1054"/>
  <c r="U1054"/>
  <c r="V1054"/>
  <c r="W1054"/>
  <c r="Y1054"/>
  <c r="AB1054"/>
  <c r="AC1054"/>
  <c r="AD1054"/>
  <c r="P1055"/>
  <c r="T1055"/>
  <c r="U1055"/>
  <c r="V1055"/>
  <c r="W1055"/>
  <c r="Y1055"/>
  <c r="AB1055"/>
  <c r="AC1055"/>
  <c r="AD1055"/>
  <c r="P1056"/>
  <c r="T1056"/>
  <c r="U1056"/>
  <c r="V1056"/>
  <c r="W1056"/>
  <c r="Y1056"/>
  <c r="AB1056"/>
  <c r="AC1056"/>
  <c r="AD1056"/>
  <c r="P1057"/>
  <c r="T1057"/>
  <c r="U1057"/>
  <c r="V1057"/>
  <c r="W1057"/>
  <c r="Y1057"/>
  <c r="AB1057"/>
  <c r="AC1057"/>
  <c r="AD1057"/>
  <c r="P1058"/>
  <c r="T1058"/>
  <c r="U1058"/>
  <c r="V1058"/>
  <c r="W1058"/>
  <c r="Y1058"/>
  <c r="AB1058"/>
  <c r="AC1058"/>
  <c r="AD1058"/>
  <c r="P1059"/>
  <c r="T1059"/>
  <c r="U1059"/>
  <c r="V1059"/>
  <c r="W1059"/>
  <c r="Y1059"/>
  <c r="AB1059"/>
  <c r="AC1059"/>
  <c r="AD1059"/>
  <c r="P1060"/>
  <c r="T1060"/>
  <c r="U1060"/>
  <c r="V1060"/>
  <c r="W1060"/>
  <c r="Y1060"/>
  <c r="AB1060"/>
  <c r="AC1060"/>
  <c r="AD1060"/>
  <c r="P1061"/>
  <c r="T1061"/>
  <c r="U1061"/>
  <c r="V1061"/>
  <c r="W1061"/>
  <c r="Y1061"/>
  <c r="AB1061"/>
  <c r="AC1061"/>
  <c r="AD1061"/>
  <c r="P1062"/>
  <c r="T1062"/>
  <c r="U1062"/>
  <c r="V1062"/>
  <c r="W1062"/>
  <c r="Y1062"/>
  <c r="AB1062"/>
  <c r="AC1062"/>
  <c r="AD1062"/>
  <c r="P1063"/>
  <c r="T1063"/>
  <c r="U1063"/>
  <c r="V1063"/>
  <c r="W1063"/>
  <c r="Y1063"/>
  <c r="AB1063"/>
  <c r="AC1063"/>
  <c r="AD1063"/>
  <c r="P1064"/>
  <c r="T1064"/>
  <c r="U1064"/>
  <c r="V1064"/>
  <c r="W1064"/>
  <c r="Y1064"/>
  <c r="AB1064"/>
  <c r="AC1064"/>
  <c r="AD1064"/>
  <c r="P1065"/>
  <c r="W1065"/>
  <c r="Y1065"/>
  <c r="AB1065"/>
  <c r="AC1065"/>
  <c r="AD1065"/>
  <c r="P1066"/>
  <c r="W1066"/>
  <c r="Y1066"/>
  <c r="AB1066"/>
  <c r="AC1066"/>
  <c r="AD1066"/>
  <c r="P1067"/>
  <c r="T1067"/>
  <c r="U1067"/>
  <c r="V1067"/>
  <c r="W1067"/>
  <c r="Y1067"/>
  <c r="AB1067"/>
  <c r="AC1067"/>
  <c r="P1068"/>
  <c r="W1068"/>
  <c r="Y1068"/>
  <c r="AB1068"/>
  <c r="AC1068"/>
  <c r="AD1068"/>
  <c r="P1069"/>
  <c r="W1069"/>
  <c r="Y1069"/>
  <c r="AB1069"/>
  <c r="AC1069"/>
  <c r="AD1069"/>
  <c r="P1070"/>
  <c r="W1070"/>
  <c r="Y1070"/>
  <c r="AB1070"/>
  <c r="AC1070"/>
  <c r="AD1070"/>
  <c r="P1071"/>
  <c r="W1071"/>
  <c r="Y1071"/>
  <c r="AB1071"/>
  <c r="AC1071"/>
  <c r="AD1071"/>
  <c r="P1072"/>
  <c r="W1072"/>
  <c r="Y1072"/>
  <c r="AB1072"/>
  <c r="AC1072"/>
  <c r="AD1072"/>
  <c r="P1073"/>
  <c r="W1073"/>
  <c r="Y1073"/>
  <c r="AB1073"/>
  <c r="AC1073"/>
  <c r="AD1073"/>
  <c r="P1074"/>
  <c r="W1074"/>
  <c r="Y1074"/>
  <c r="AB1074"/>
  <c r="AC1074"/>
  <c r="AD1074"/>
  <c r="P1075"/>
  <c r="W1075"/>
  <c r="Y1075"/>
  <c r="AB1075"/>
  <c r="AC1075"/>
  <c r="AD1075"/>
  <c r="P1076"/>
  <c r="W1076"/>
  <c r="Y1076"/>
  <c r="AB1076"/>
  <c r="AC1076"/>
  <c r="AD1076"/>
  <c r="P1077"/>
  <c r="W1077"/>
  <c r="Y1077"/>
  <c r="AB1077"/>
  <c r="AC1077"/>
  <c r="AD1077"/>
  <c r="P1078"/>
  <c r="W1078"/>
  <c r="Y1078"/>
  <c r="AB1078"/>
  <c r="AC1078"/>
  <c r="AD1078"/>
  <c r="P1079"/>
  <c r="W1079"/>
  <c r="Y1079"/>
  <c r="AB1079"/>
  <c r="AC1079"/>
  <c r="AD1079"/>
  <c r="P1080"/>
  <c r="W1080"/>
  <c r="Y1080"/>
  <c r="AB1080"/>
  <c r="AC1080"/>
  <c r="AD1080"/>
  <c r="P1081"/>
  <c r="W1081"/>
  <c r="Y1081"/>
  <c r="AB1081"/>
  <c r="AC1081"/>
  <c r="AD1081"/>
  <c r="P1082"/>
  <c r="W1082"/>
  <c r="Y1082"/>
  <c r="AB1082"/>
  <c r="AC1082"/>
  <c r="AD1082"/>
  <c r="P1083"/>
  <c r="W1083"/>
  <c r="Y1083"/>
  <c r="AB1083"/>
  <c r="AC1083"/>
  <c r="AD1083"/>
  <c r="P1084"/>
  <c r="W1084"/>
  <c r="Y1084"/>
  <c r="AB1084"/>
  <c r="AC1084"/>
  <c r="AD1084"/>
  <c r="P1085"/>
  <c r="W1085"/>
  <c r="Y1085"/>
  <c r="AB1085"/>
  <c r="AC1085"/>
  <c r="AD1085"/>
  <c r="P1086"/>
  <c r="W1086"/>
  <c r="Y1086"/>
  <c r="AB1086"/>
  <c r="AC1086"/>
  <c r="AD1086"/>
  <c r="P1087"/>
  <c r="W1087"/>
  <c r="Y1087"/>
  <c r="AB1087"/>
  <c r="AC1087"/>
  <c r="AD1087"/>
  <c r="P1088"/>
  <c r="W1088"/>
  <c r="Y1088"/>
  <c r="AB1088"/>
  <c r="AC1088"/>
  <c r="AD1088"/>
  <c r="P1089"/>
  <c r="W1089"/>
  <c r="Y1089"/>
  <c r="AB1089"/>
  <c r="AC1089"/>
  <c r="AD1089"/>
  <c r="P1090"/>
  <c r="W1090"/>
  <c r="Y1090"/>
  <c r="AB1090"/>
  <c r="AC1090"/>
  <c r="AD1090"/>
  <c r="P1091"/>
  <c r="W1091"/>
  <c r="Y1091"/>
  <c r="AB1091"/>
  <c r="AC1091"/>
  <c r="AD1091"/>
  <c r="P1092"/>
  <c r="W1092"/>
  <c r="Y1092"/>
  <c r="AB1092"/>
  <c r="AC1092"/>
  <c r="AD1092"/>
  <c r="P1093"/>
  <c r="W1093"/>
  <c r="Y1093"/>
  <c r="AB1093"/>
  <c r="AC1093"/>
  <c r="AD1093"/>
  <c r="P1094"/>
  <c r="W1094"/>
  <c r="Y1094"/>
  <c r="AB1094"/>
  <c r="AC1094"/>
  <c r="AD1094"/>
  <c r="P1095"/>
  <c r="W1095"/>
  <c r="Y1095"/>
  <c r="AB1095"/>
  <c r="AC1095"/>
  <c r="AD1095"/>
  <c r="P1096"/>
  <c r="W1096"/>
  <c r="Y1096"/>
  <c r="AB1096"/>
  <c r="AC1096"/>
  <c r="AD1096"/>
  <c r="P1097"/>
  <c r="W1097"/>
  <c r="Y1097"/>
  <c r="AB1097"/>
  <c r="AC1097"/>
  <c r="AD1097"/>
  <c r="P1098"/>
  <c r="W1098"/>
  <c r="Y1098"/>
  <c r="AB1098"/>
  <c r="AC1098"/>
  <c r="AD1098"/>
  <c r="P1099"/>
  <c r="W1099"/>
  <c r="Y1099"/>
  <c r="AB1099"/>
  <c r="AC1099"/>
  <c r="AD1099"/>
  <c r="P1100"/>
  <c r="W1100"/>
  <c r="Y1100"/>
  <c r="AB1100"/>
  <c r="AC1100"/>
  <c r="AD1100"/>
  <c r="P1101"/>
  <c r="W1101"/>
  <c r="Y1101"/>
  <c r="AB1101"/>
  <c r="AC1101"/>
  <c r="AD1101"/>
  <c r="P1102"/>
  <c r="W1102"/>
  <c r="Y1102"/>
  <c r="AB1102"/>
  <c r="AC1102"/>
  <c r="AD1102"/>
  <c r="P1103"/>
  <c r="W1103"/>
  <c r="Y1103"/>
  <c r="AB1103"/>
  <c r="AC1103"/>
  <c r="AD1103"/>
  <c r="P1104"/>
  <c r="W1104"/>
  <c r="Y1104"/>
  <c r="AB1104"/>
  <c r="AC1104"/>
  <c r="AD1104"/>
  <c r="P1105"/>
  <c r="T1105"/>
  <c r="U1105"/>
  <c r="V1105"/>
  <c r="W1105"/>
  <c r="Y1105"/>
  <c r="AB1105"/>
  <c r="AC1105"/>
  <c r="AD1105"/>
  <c r="P1106"/>
  <c r="T1106"/>
  <c r="U1106"/>
  <c r="V1106"/>
  <c r="W1106"/>
  <c r="Y1106"/>
  <c r="AB1106"/>
  <c r="AC1106"/>
  <c r="AD1106"/>
  <c r="P1107"/>
  <c r="T1107"/>
  <c r="U1107"/>
  <c r="V1107"/>
  <c r="W1107"/>
  <c r="Y1107"/>
  <c r="AB1107"/>
  <c r="AC1107"/>
  <c r="AD1107"/>
  <c r="P1108"/>
  <c r="T1108"/>
  <c r="U1108"/>
  <c r="V1108"/>
  <c r="W1108"/>
  <c r="Y1108"/>
  <c r="AB1108"/>
  <c r="AC1108"/>
  <c r="AD1108"/>
  <c r="P1109"/>
  <c r="T1109"/>
  <c r="U1109"/>
  <c r="V1109"/>
  <c r="W1109"/>
  <c r="Y1109"/>
  <c r="AB1109"/>
  <c r="AC1109"/>
  <c r="AD1109"/>
  <c r="P1110"/>
  <c r="W1110"/>
  <c r="Y1110"/>
  <c r="AB1110"/>
  <c r="AC1110"/>
  <c r="AD1110"/>
  <c r="P1111"/>
  <c r="W1111"/>
  <c r="Y1111"/>
  <c r="AB1111"/>
  <c r="AC1111"/>
  <c r="AD1111"/>
  <c r="P1112"/>
  <c r="W1112"/>
  <c r="Y1112"/>
  <c r="AB1112"/>
  <c r="AC1112"/>
  <c r="AD1112"/>
  <c r="P1113"/>
  <c r="W1113"/>
  <c r="Y1113"/>
  <c r="AB1113"/>
  <c r="AC1113"/>
  <c r="AD1113"/>
  <c r="P1114"/>
  <c r="W1114"/>
  <c r="Y1114"/>
  <c r="AB1114"/>
  <c r="AC1114"/>
  <c r="AD1114"/>
  <c r="P1115"/>
  <c r="W1115"/>
  <c r="Y1115"/>
  <c r="AB1115"/>
  <c r="AC1115"/>
  <c r="AD1115"/>
  <c r="P1116"/>
  <c r="W1116"/>
  <c r="Y1116"/>
  <c r="AB1116"/>
  <c r="AC1116"/>
  <c r="AD1116"/>
  <c r="P1117"/>
  <c r="W1117"/>
  <c r="Y1117"/>
  <c r="AB1117"/>
  <c r="AC1117"/>
  <c r="AD1117"/>
  <c r="P1118"/>
  <c r="T1118"/>
  <c r="U1118"/>
  <c r="V1118"/>
  <c r="W1118"/>
  <c r="Y1118"/>
  <c r="AB1118"/>
  <c r="AC1118"/>
  <c r="AD1118"/>
  <c r="P1119"/>
  <c r="T1119"/>
  <c r="U1119"/>
  <c r="V1119"/>
  <c r="W1119"/>
  <c r="Y1119"/>
  <c r="AB1119"/>
  <c r="AC1119"/>
  <c r="AD1119"/>
  <c r="P1120"/>
  <c r="T1120"/>
  <c r="U1120"/>
  <c r="V1120"/>
  <c r="W1120"/>
  <c r="Y1120"/>
  <c r="AB1120"/>
  <c r="AC1120"/>
  <c r="AD1120"/>
  <c r="P1121"/>
  <c r="T1121"/>
  <c r="U1121"/>
  <c r="V1121"/>
  <c r="W1121"/>
  <c r="Y1121"/>
  <c r="AB1121"/>
  <c r="AC1121"/>
  <c r="AD1121"/>
  <c r="P1122"/>
  <c r="W1122"/>
  <c r="Y1122"/>
  <c r="AB1122"/>
  <c r="AC1122"/>
  <c r="AD1122"/>
  <c r="P1123"/>
  <c r="W1123"/>
  <c r="Y1123"/>
  <c r="AB1123"/>
  <c r="AC1123"/>
  <c r="AD1123"/>
  <c r="P1124"/>
  <c r="W1124"/>
  <c r="Y1124"/>
  <c r="AB1124"/>
  <c r="AC1124"/>
  <c r="AD1124"/>
  <c r="P1125"/>
  <c r="W1125"/>
  <c r="Y1125"/>
  <c r="AB1125"/>
  <c r="AC1125"/>
  <c r="AD1125"/>
  <c r="P1126"/>
  <c r="W1126"/>
  <c r="Y1126"/>
  <c r="AB1126"/>
  <c r="AC1126"/>
  <c r="AD1126"/>
  <c r="P1127"/>
  <c r="W1127"/>
  <c r="Y1127"/>
  <c r="AB1127"/>
  <c r="AC1127"/>
  <c r="AD1127"/>
  <c r="P1128"/>
  <c r="W1128"/>
  <c r="Y1128"/>
  <c r="AB1128"/>
  <c r="AC1128"/>
  <c r="AD1128"/>
  <c r="P1129"/>
  <c r="W1129"/>
  <c r="Y1129"/>
  <c r="AB1129"/>
  <c r="AC1129"/>
  <c r="AD1129"/>
  <c r="P1130"/>
  <c r="W1130"/>
  <c r="Y1130"/>
  <c r="AB1130"/>
  <c r="AC1130"/>
  <c r="AD1130"/>
  <c r="P1131"/>
  <c r="T1131"/>
  <c r="U1131"/>
  <c r="V1131"/>
  <c r="W1131"/>
  <c r="Y1131"/>
  <c r="AB1131"/>
  <c r="AC1131"/>
  <c r="AD1131"/>
  <c r="P1132"/>
  <c r="T1132"/>
  <c r="U1132"/>
  <c r="V1132"/>
  <c r="W1132"/>
  <c r="Y1132"/>
  <c r="AB1132"/>
  <c r="AC1132"/>
  <c r="AD1132"/>
  <c r="P1133"/>
  <c r="T1133"/>
  <c r="U1133"/>
  <c r="V1133"/>
  <c r="W1133"/>
  <c r="Y1133"/>
  <c r="AB1133"/>
  <c r="AC1133"/>
  <c r="AD1133"/>
  <c r="P1134"/>
  <c r="T1134"/>
  <c r="U1134"/>
  <c r="V1134"/>
  <c r="W1134"/>
  <c r="Y1134"/>
  <c r="AB1134"/>
  <c r="AC1134"/>
  <c r="AD1134"/>
  <c r="P1135"/>
  <c r="W1135"/>
  <c r="Y1135"/>
  <c r="AB1135"/>
  <c r="AC1135"/>
  <c r="AD1135"/>
  <c r="P1136"/>
  <c r="T1136"/>
  <c r="U1136"/>
  <c r="V1136"/>
  <c r="W1136"/>
  <c r="Y1136"/>
  <c r="AB1136"/>
  <c r="AC1136"/>
  <c r="P1137"/>
  <c r="T1137"/>
  <c r="U1137"/>
  <c r="V1137"/>
  <c r="W1137"/>
  <c r="Y1137"/>
  <c r="AB1137"/>
  <c r="AC1137"/>
  <c r="AD1137"/>
  <c r="P1138"/>
  <c r="T1138"/>
  <c r="U1138"/>
  <c r="V1138"/>
  <c r="W1138"/>
  <c r="Y1138"/>
  <c r="AB1138"/>
  <c r="AC1138"/>
  <c r="AD1138"/>
  <c r="P1139"/>
  <c r="T1139"/>
  <c r="U1139"/>
  <c r="V1139"/>
  <c r="W1139"/>
  <c r="Y1139"/>
  <c r="AB1139"/>
  <c r="AC1139"/>
  <c r="AD1139"/>
  <c r="P1140"/>
  <c r="T1140"/>
  <c r="U1140"/>
  <c r="V1140"/>
  <c r="W1140"/>
  <c r="Y1140"/>
  <c r="AB1140"/>
  <c r="AC1140"/>
  <c r="AD1140"/>
  <c r="P1141"/>
  <c r="W1141"/>
  <c r="Y1141"/>
  <c r="AB1141"/>
  <c r="AC1141"/>
  <c r="AD1141"/>
  <c r="P1142"/>
  <c r="W1142"/>
  <c r="Y1142"/>
  <c r="AB1142"/>
  <c r="AC1142"/>
  <c r="AD1142"/>
  <c r="P1143"/>
  <c r="W1143"/>
  <c r="Y1143"/>
  <c r="AB1143"/>
  <c r="AC1143"/>
  <c r="AD1143"/>
  <c r="P1144"/>
  <c r="W1144"/>
  <c r="Y1144"/>
  <c r="AB1144"/>
  <c r="AC1144"/>
  <c r="AD1144"/>
  <c r="P1145"/>
  <c r="W1145"/>
  <c r="Y1145"/>
  <c r="AB1145"/>
  <c r="AC1145"/>
  <c r="AD1145"/>
  <c r="P1146"/>
  <c r="W1146"/>
  <c r="Y1146"/>
  <c r="AB1146"/>
  <c r="AC1146"/>
  <c r="AD1146"/>
  <c r="P1147"/>
  <c r="W1147"/>
  <c r="Y1147"/>
  <c r="AB1147"/>
  <c r="AC1147"/>
  <c r="AD1147"/>
  <c r="P1148"/>
  <c r="W1148"/>
  <c r="Y1148"/>
  <c r="AB1148"/>
  <c r="AC1148"/>
  <c r="AD1148"/>
  <c r="P1149"/>
  <c r="T1149"/>
  <c r="U1149"/>
  <c r="V1149"/>
  <c r="W1149"/>
  <c r="Y1149"/>
  <c r="AB1149"/>
  <c r="AC1149"/>
  <c r="AD1149"/>
  <c r="P1150"/>
  <c r="T1150"/>
  <c r="U1150"/>
  <c r="V1150"/>
  <c r="W1150"/>
  <c r="Y1150"/>
  <c r="AB1150"/>
  <c r="AC1150"/>
  <c r="AD1150"/>
  <c r="P1151"/>
  <c r="T1151"/>
  <c r="U1151"/>
  <c r="V1151"/>
  <c r="W1151"/>
  <c r="Y1151"/>
  <c r="AB1151"/>
  <c r="AC1151"/>
  <c r="AD1151"/>
  <c r="P1152"/>
  <c r="T1152"/>
  <c r="U1152"/>
  <c r="V1152"/>
  <c r="W1152"/>
  <c r="Y1152"/>
  <c r="AB1152"/>
  <c r="AC1152"/>
  <c r="AD1152"/>
  <c r="P1153"/>
  <c r="T1153"/>
  <c r="U1153"/>
  <c r="V1153"/>
  <c r="W1153"/>
  <c r="Y1153"/>
  <c r="AB1153"/>
  <c r="AC1153"/>
  <c r="AD1153"/>
  <c r="P1154"/>
  <c r="T1154"/>
  <c r="U1154"/>
  <c r="V1154"/>
  <c r="W1154"/>
  <c r="Y1154"/>
  <c r="AB1154"/>
  <c r="AC1154"/>
  <c r="AD1154"/>
  <c r="P1155"/>
  <c r="T1155"/>
  <c r="U1155"/>
  <c r="V1155"/>
  <c r="W1155"/>
  <c r="Y1155"/>
  <c r="AB1155"/>
  <c r="AC1155"/>
  <c r="AD1155"/>
  <c r="P1156"/>
  <c r="W1156"/>
  <c r="Y1156"/>
  <c r="AB1156"/>
  <c r="AC1156"/>
  <c r="AD1156"/>
  <c r="P1157"/>
  <c r="W1157"/>
  <c r="Y1157"/>
  <c r="AB1157"/>
  <c r="AC1157"/>
  <c r="AD1157"/>
  <c r="P1158"/>
  <c r="W1158"/>
  <c r="Y1158"/>
  <c r="AB1158"/>
  <c r="AC1158"/>
  <c r="AD1158"/>
  <c r="P1159"/>
  <c r="W1159"/>
  <c r="Y1159"/>
  <c r="AB1159"/>
  <c r="AC1159"/>
  <c r="AD1159"/>
  <c r="P1160"/>
  <c r="W1160"/>
  <c r="Y1160"/>
  <c r="AB1160"/>
  <c r="AC1160"/>
  <c r="AD1160"/>
  <c r="P1161"/>
  <c r="W1161"/>
  <c r="Y1161"/>
  <c r="AB1161"/>
  <c r="AC1161"/>
  <c r="AD1161"/>
  <c r="P1162"/>
  <c r="W1162"/>
  <c r="Y1162"/>
  <c r="AB1162"/>
  <c r="AC1162"/>
  <c r="AD1162"/>
  <c r="P1163"/>
  <c r="W1163"/>
  <c r="Y1163"/>
  <c r="AB1163"/>
  <c r="AC1163"/>
  <c r="AD1163"/>
  <c r="P1164"/>
  <c r="T1164"/>
  <c r="U1164"/>
  <c r="V1164"/>
  <c r="W1164"/>
  <c r="Y1164"/>
  <c r="AB1164"/>
  <c r="AC1164"/>
  <c r="AD1164"/>
  <c r="P1165"/>
  <c r="W1165"/>
  <c r="Y1165"/>
  <c r="AB1165"/>
  <c r="AC1165"/>
  <c r="AD1165"/>
  <c r="P1166"/>
  <c r="T1166"/>
  <c r="U1166"/>
  <c r="V1166"/>
  <c r="W1166"/>
  <c r="Y1166"/>
  <c r="AB1166"/>
  <c r="AC1166"/>
  <c r="AD1166"/>
  <c r="P1167"/>
  <c r="T1167"/>
  <c r="U1167"/>
  <c r="V1167"/>
  <c r="W1167"/>
  <c r="Y1167"/>
  <c r="AB1167"/>
  <c r="AC1167"/>
  <c r="AD1167"/>
  <c r="P1168"/>
  <c r="W1168"/>
  <c r="Y1168"/>
  <c r="AB1168"/>
  <c r="AC1168"/>
  <c r="AD1168"/>
  <c r="P1169"/>
  <c r="W1169"/>
  <c r="Y1169"/>
  <c r="AB1169"/>
  <c r="AC1169"/>
  <c r="AD1169"/>
  <c r="P1170"/>
  <c r="W1170"/>
  <c r="Y1170"/>
  <c r="AB1170"/>
  <c r="AC1170"/>
  <c r="AD1170"/>
  <c r="P1171"/>
  <c r="T1171"/>
  <c r="U1171"/>
  <c r="V1171"/>
  <c r="W1171"/>
  <c r="Y1171"/>
  <c r="AB1171"/>
  <c r="AC1171"/>
  <c r="AD1171"/>
  <c r="P1172"/>
  <c r="T1172"/>
  <c r="U1172"/>
  <c r="V1172"/>
  <c r="W1172"/>
  <c r="Y1172"/>
  <c r="AB1172"/>
  <c r="AC1172"/>
  <c r="AD1172"/>
  <c r="P1173"/>
  <c r="T1173"/>
  <c r="U1173"/>
  <c r="V1173"/>
  <c r="W1173"/>
  <c r="Y1173"/>
  <c r="AB1173"/>
  <c r="AC1173"/>
  <c r="AD1173"/>
  <c r="P1174"/>
  <c r="T1174"/>
  <c r="U1174"/>
  <c r="V1174"/>
  <c r="W1174"/>
  <c r="Y1174"/>
  <c r="AB1174"/>
  <c r="AC1174"/>
  <c r="AD1174"/>
  <c r="P1175"/>
  <c r="T1175"/>
  <c r="U1175"/>
  <c r="V1175"/>
  <c r="W1175"/>
  <c r="Y1175"/>
  <c r="AB1175"/>
  <c r="AC1175"/>
  <c r="AD1175"/>
  <c r="P1176"/>
  <c r="T1176"/>
  <c r="U1176"/>
  <c r="V1176"/>
  <c r="W1176"/>
  <c r="Y1176"/>
  <c r="AB1176"/>
  <c r="AC1176"/>
  <c r="AD1176"/>
  <c r="P1177"/>
  <c r="T1177"/>
  <c r="U1177"/>
  <c r="V1177"/>
  <c r="W1177"/>
  <c r="Y1177"/>
  <c r="AB1177"/>
  <c r="AC1177"/>
  <c r="AD1177"/>
  <c r="P1178"/>
  <c r="T1178"/>
  <c r="U1178"/>
  <c r="V1178"/>
  <c r="W1178"/>
  <c r="Y1178"/>
  <c r="AB1178"/>
  <c r="AC1178"/>
  <c r="AD1178"/>
  <c r="P1179"/>
  <c r="T1179"/>
  <c r="U1179"/>
  <c r="V1179"/>
  <c r="W1179"/>
  <c r="Y1179"/>
  <c r="AB1179"/>
  <c r="AC1179"/>
  <c r="AD1179"/>
  <c r="P1180"/>
  <c r="T1180"/>
  <c r="U1180"/>
  <c r="V1180"/>
  <c r="W1180"/>
  <c r="Y1180"/>
  <c r="AB1180"/>
  <c r="AC1180"/>
  <c r="AD1180"/>
  <c r="P1181"/>
  <c r="T1181"/>
  <c r="U1181"/>
  <c r="V1181"/>
  <c r="W1181"/>
  <c r="Y1181"/>
  <c r="AB1181"/>
  <c r="AC1181"/>
  <c r="AD1181"/>
  <c r="P1182"/>
  <c r="T1182"/>
  <c r="U1182"/>
  <c r="V1182"/>
  <c r="W1182"/>
  <c r="Y1182"/>
  <c r="AB1182"/>
  <c r="AC1182"/>
  <c r="AD1182"/>
  <c r="P1183"/>
  <c r="T1183"/>
  <c r="U1183"/>
  <c r="V1183"/>
  <c r="W1183"/>
  <c r="Y1183"/>
  <c r="AB1183"/>
  <c r="AC1183"/>
  <c r="AD1183"/>
  <c r="P1184"/>
  <c r="T1184"/>
  <c r="U1184"/>
  <c r="V1184"/>
  <c r="W1184"/>
  <c r="Y1184"/>
  <c r="AB1184"/>
  <c r="AC1184"/>
  <c r="AD1184"/>
  <c r="P1185"/>
  <c r="T1185"/>
  <c r="U1185"/>
  <c r="V1185"/>
  <c r="W1185"/>
  <c r="Y1185"/>
  <c r="AB1185"/>
  <c r="AC1185"/>
  <c r="AD1185"/>
  <c r="P1186"/>
  <c r="T1186"/>
  <c r="U1186"/>
  <c r="V1186"/>
  <c r="W1186"/>
  <c r="Y1186"/>
  <c r="AB1186"/>
  <c r="AC1186"/>
  <c r="AD1186"/>
  <c r="P1187"/>
  <c r="T1187"/>
  <c r="U1187"/>
  <c r="V1187"/>
  <c r="W1187"/>
  <c r="Y1187"/>
  <c r="AB1187"/>
  <c r="AC1187"/>
  <c r="AD1187"/>
  <c r="P1188"/>
  <c r="T1188"/>
  <c r="U1188"/>
  <c r="V1188"/>
  <c r="W1188"/>
  <c r="Y1188"/>
  <c r="AB1188"/>
  <c r="AC1188"/>
  <c r="AD1188"/>
  <c r="P1189"/>
  <c r="T1189"/>
  <c r="U1189"/>
  <c r="V1189"/>
  <c r="W1189"/>
  <c r="Y1189"/>
  <c r="AB1189"/>
  <c r="AC1189"/>
  <c r="AD1189"/>
  <c r="P1190"/>
  <c r="T1190"/>
  <c r="U1190"/>
  <c r="V1190"/>
  <c r="W1190"/>
  <c r="Y1190"/>
  <c r="AB1190"/>
  <c r="AC1190"/>
  <c r="AD1190"/>
  <c r="P1191"/>
  <c r="T1191"/>
  <c r="U1191"/>
  <c r="V1191"/>
  <c r="W1191"/>
  <c r="Y1191"/>
  <c r="AB1191"/>
  <c r="AC1191"/>
  <c r="AD1191"/>
  <c r="P1192"/>
  <c r="T1192"/>
  <c r="U1192"/>
  <c r="V1192"/>
  <c r="W1192"/>
  <c r="Y1192"/>
  <c r="AB1192"/>
  <c r="AC1192"/>
  <c r="AD1192"/>
  <c r="P1193"/>
  <c r="T1193"/>
  <c r="U1193"/>
  <c r="V1193"/>
  <c r="W1193"/>
  <c r="Y1193"/>
  <c r="AB1193"/>
  <c r="AC1193"/>
  <c r="AD1193"/>
  <c r="P1194"/>
  <c r="T1194"/>
  <c r="U1194"/>
  <c r="V1194"/>
  <c r="W1194"/>
  <c r="Y1194"/>
  <c r="AB1194"/>
  <c r="AC1194"/>
  <c r="AD1194"/>
  <c r="P1195"/>
  <c r="T1195"/>
  <c r="U1195"/>
  <c r="V1195"/>
  <c r="W1195"/>
  <c r="Y1195"/>
  <c r="AB1195"/>
  <c r="AC1195"/>
  <c r="AD1195"/>
  <c r="P1196"/>
  <c r="T1196"/>
  <c r="U1196"/>
  <c r="V1196"/>
  <c r="W1196"/>
  <c r="Y1196"/>
  <c r="AB1196"/>
  <c r="AC1196"/>
  <c r="AD1196"/>
  <c r="P1197"/>
  <c r="T1197"/>
  <c r="U1197"/>
  <c r="V1197"/>
  <c r="W1197"/>
  <c r="Y1197"/>
  <c r="AB1197"/>
  <c r="AC1197"/>
  <c r="AD1197"/>
  <c r="P1198"/>
  <c r="T1198"/>
  <c r="U1198"/>
  <c r="V1198"/>
  <c r="W1198"/>
  <c r="Y1198"/>
  <c r="AB1198"/>
  <c r="AC1198"/>
  <c r="AD1198"/>
  <c r="P1199"/>
  <c r="T1199"/>
  <c r="U1199"/>
  <c r="V1199"/>
  <c r="W1199"/>
  <c r="Y1199"/>
  <c r="AB1199"/>
  <c r="AC1199"/>
  <c r="AD1199"/>
  <c r="P1200"/>
  <c r="T1200"/>
  <c r="U1200"/>
  <c r="V1200"/>
  <c r="W1200"/>
  <c r="Y1200"/>
  <c r="AB1200"/>
  <c r="AC1200"/>
  <c r="AD1200"/>
  <c r="P1201"/>
  <c r="T1201"/>
  <c r="U1201"/>
  <c r="V1201"/>
  <c r="W1201"/>
  <c r="Y1201"/>
  <c r="AB1201"/>
  <c r="AC1201"/>
  <c r="AD1201"/>
  <c r="P1202"/>
  <c r="T1202"/>
  <c r="U1202"/>
  <c r="V1202"/>
  <c r="W1202"/>
  <c r="Y1202"/>
  <c r="AB1202"/>
  <c r="AC1202"/>
  <c r="AD1202"/>
  <c r="P1203"/>
  <c r="T1203"/>
  <c r="U1203"/>
  <c r="V1203"/>
  <c r="W1203"/>
  <c r="Y1203"/>
  <c r="AB1203"/>
  <c r="AC1203"/>
  <c r="AD1203"/>
  <c r="P1204"/>
  <c r="T1204"/>
  <c r="U1204"/>
  <c r="V1204"/>
  <c r="W1204"/>
  <c r="Y1204"/>
  <c r="AB1204"/>
  <c r="AC1204"/>
  <c r="AD1204"/>
  <c r="P1205"/>
  <c r="T1205"/>
  <c r="U1205"/>
  <c r="V1205"/>
  <c r="W1205"/>
  <c r="Y1205"/>
  <c r="AB1205"/>
  <c r="AC1205"/>
  <c r="AD1205"/>
  <c r="P1206"/>
  <c r="T1206"/>
  <c r="U1206"/>
  <c r="V1206"/>
  <c r="W1206"/>
  <c r="Y1206"/>
  <c r="AB1206"/>
  <c r="AC1206"/>
  <c r="AD1206"/>
  <c r="P1207"/>
  <c r="T1207"/>
  <c r="U1207"/>
  <c r="V1207"/>
  <c r="W1207"/>
  <c r="Y1207"/>
  <c r="AB1207"/>
  <c r="AC1207"/>
  <c r="AD1207"/>
  <c r="P1208"/>
  <c r="T1208"/>
  <c r="U1208"/>
  <c r="V1208"/>
  <c r="W1208"/>
  <c r="Y1208"/>
  <c r="AB1208"/>
  <c r="AC1208"/>
  <c r="AD1208"/>
  <c r="P1209"/>
  <c r="T1209"/>
  <c r="U1209"/>
  <c r="V1209"/>
  <c r="W1209"/>
  <c r="Y1209"/>
  <c r="AB1209"/>
  <c r="AC1209"/>
  <c r="AD1209"/>
  <c r="P1210"/>
  <c r="T1210"/>
  <c r="U1210"/>
  <c r="V1210"/>
  <c r="W1210"/>
  <c r="Y1210"/>
  <c r="AB1210"/>
  <c r="AC1210"/>
  <c r="AD1210"/>
  <c r="P1211"/>
  <c r="T1211"/>
  <c r="U1211"/>
  <c r="V1211"/>
  <c r="W1211"/>
  <c r="Y1211"/>
  <c r="AB1211"/>
  <c r="AC1211"/>
  <c r="AD1211"/>
  <c r="P1212"/>
  <c r="T1212"/>
  <c r="U1212"/>
  <c r="V1212"/>
  <c r="W1212"/>
  <c r="Y1212"/>
  <c r="AB1212"/>
  <c r="AC1212"/>
  <c r="AD1212"/>
  <c r="P1213"/>
  <c r="T1213"/>
  <c r="U1213"/>
  <c r="V1213"/>
  <c r="W1213"/>
  <c r="Y1213"/>
  <c r="AB1213"/>
  <c r="AC1213"/>
  <c r="AD1213"/>
  <c r="P1214"/>
  <c r="T1214"/>
  <c r="U1214"/>
  <c r="V1214"/>
  <c r="W1214"/>
  <c r="Y1214"/>
  <c r="AB1214"/>
  <c r="AC1214"/>
  <c r="AD1214"/>
  <c r="P1215"/>
  <c r="T1215"/>
  <c r="U1215"/>
  <c r="V1215"/>
  <c r="W1215"/>
  <c r="Y1215"/>
  <c r="AB1215"/>
  <c r="AC1215"/>
  <c r="AD1215"/>
  <c r="P1216"/>
  <c r="T1216"/>
  <c r="U1216"/>
  <c r="V1216"/>
  <c r="W1216"/>
  <c r="Y1216"/>
  <c r="AB1216"/>
  <c r="AC1216"/>
  <c r="AD1216"/>
  <c r="P1217"/>
  <c r="T1217"/>
  <c r="U1217"/>
  <c r="V1217"/>
  <c r="W1217"/>
  <c r="Y1217"/>
  <c r="AB1217"/>
  <c r="AC1217"/>
  <c r="AD1217"/>
  <c r="P1218"/>
  <c r="T1218"/>
  <c r="U1218"/>
  <c r="V1218"/>
  <c r="W1218"/>
  <c r="Y1218"/>
  <c r="AB1218"/>
  <c r="AC1218"/>
  <c r="AD1218"/>
  <c r="P1219"/>
  <c r="T1219"/>
  <c r="U1219"/>
  <c r="V1219"/>
  <c r="W1219"/>
  <c r="Y1219"/>
  <c r="AB1219"/>
  <c r="AC1219"/>
  <c r="AD1219"/>
  <c r="P1220"/>
  <c r="T1220"/>
  <c r="U1220"/>
  <c r="V1220"/>
  <c r="W1220"/>
  <c r="Y1220"/>
  <c r="AB1220"/>
  <c r="AC1220"/>
  <c r="AD1220"/>
  <c r="P1221"/>
  <c r="T1221"/>
  <c r="U1221"/>
  <c r="V1221"/>
  <c r="W1221"/>
  <c r="Y1221"/>
  <c r="AB1221"/>
  <c r="AC1221"/>
  <c r="AD1221"/>
  <c r="P1222"/>
  <c r="T1222"/>
  <c r="U1222"/>
  <c r="V1222"/>
  <c r="W1222"/>
  <c r="Y1222"/>
  <c r="AB1222"/>
  <c r="AC1222"/>
  <c r="AD1222"/>
  <c r="P1223"/>
  <c r="T1223"/>
  <c r="U1223"/>
  <c r="V1223"/>
  <c r="W1223"/>
  <c r="Y1223"/>
  <c r="AB1223"/>
  <c r="AC1223"/>
  <c r="AD1223"/>
  <c r="P1224"/>
  <c r="T1224"/>
  <c r="U1224"/>
  <c r="V1224"/>
  <c r="W1224"/>
  <c r="Y1224"/>
  <c r="AB1224"/>
  <c r="AC1224"/>
  <c r="AD1224"/>
  <c r="P1225"/>
  <c r="T1225"/>
  <c r="U1225"/>
  <c r="V1225"/>
  <c r="W1225"/>
  <c r="Y1225"/>
  <c r="AB1225"/>
  <c r="AC1225"/>
  <c r="AD1225"/>
  <c r="P1226"/>
  <c r="T1226"/>
  <c r="U1226"/>
  <c r="V1226"/>
  <c r="W1226"/>
  <c r="Y1226"/>
  <c r="AB1226"/>
  <c r="AC1226"/>
  <c r="AD1226"/>
  <c r="P1227"/>
  <c r="T1227"/>
  <c r="U1227"/>
  <c r="V1227"/>
  <c r="W1227"/>
  <c r="Y1227"/>
  <c r="AB1227"/>
  <c r="AC1227"/>
  <c r="AD1227"/>
  <c r="P1228"/>
  <c r="T1228"/>
  <c r="U1228"/>
  <c r="V1228"/>
  <c r="W1228"/>
  <c r="Y1228"/>
  <c r="AB1228"/>
  <c r="AC1228"/>
  <c r="AD1228"/>
  <c r="P1229"/>
  <c r="T1229"/>
  <c r="U1229"/>
  <c r="V1229"/>
  <c r="W1229"/>
  <c r="Y1229"/>
  <c r="AB1229"/>
  <c r="AC1229"/>
  <c r="AD1229"/>
  <c r="P1230"/>
  <c r="T1230"/>
  <c r="U1230"/>
  <c r="V1230"/>
  <c r="W1230"/>
  <c r="Y1230"/>
  <c r="AB1230"/>
  <c r="AC1230"/>
  <c r="P1231"/>
  <c r="T1231"/>
  <c r="U1231"/>
  <c r="V1231"/>
  <c r="W1231"/>
  <c r="Y1231"/>
  <c r="AB1231"/>
  <c r="AC1231"/>
  <c r="P1232"/>
  <c r="T1232"/>
  <c r="U1232"/>
  <c r="V1232"/>
  <c r="W1232"/>
  <c r="Y1232"/>
  <c r="AB1232"/>
  <c r="AC1232"/>
  <c r="P1233"/>
  <c r="T1233"/>
  <c r="U1233"/>
  <c r="V1233"/>
  <c r="W1233"/>
  <c r="Y1233"/>
  <c r="AB1233"/>
  <c r="AC1233"/>
  <c r="P1234"/>
  <c r="T1234"/>
  <c r="U1234"/>
  <c r="V1234"/>
  <c r="W1234"/>
  <c r="Y1234"/>
  <c r="AB1234"/>
  <c r="AC1234"/>
  <c r="P1235"/>
  <c r="T1235"/>
  <c r="U1235"/>
  <c r="V1235"/>
  <c r="W1235"/>
  <c r="Y1235"/>
  <c r="AB1235"/>
  <c r="AC1235"/>
  <c r="P1236"/>
  <c r="T1236"/>
  <c r="U1236"/>
  <c r="V1236"/>
  <c r="W1236"/>
  <c r="Y1236"/>
  <c r="AB1236"/>
  <c r="AC1236"/>
  <c r="P1237"/>
  <c r="T1237"/>
  <c r="U1237"/>
  <c r="V1237"/>
  <c r="W1237"/>
  <c r="Y1237"/>
  <c r="AB1237"/>
  <c r="AC1237"/>
  <c r="P1238"/>
  <c r="T1238"/>
  <c r="U1238"/>
  <c r="V1238"/>
  <c r="W1238"/>
  <c r="Y1238"/>
  <c r="AB1238"/>
  <c r="AC1238"/>
  <c r="P1239"/>
  <c r="T1239"/>
  <c r="U1239"/>
  <c r="V1239"/>
  <c r="W1239"/>
  <c r="Y1239"/>
  <c r="AB1239"/>
  <c r="AC1239"/>
  <c r="P1240"/>
  <c r="T1240"/>
  <c r="U1240"/>
  <c r="V1240"/>
  <c r="W1240"/>
  <c r="Y1240"/>
  <c r="AB1240"/>
  <c r="AC1240"/>
  <c r="P1241"/>
  <c r="T1241"/>
  <c r="U1241"/>
  <c r="V1241"/>
  <c r="W1241"/>
  <c r="Y1241"/>
  <c r="AB1241"/>
  <c r="AC1241"/>
  <c r="P1242"/>
  <c r="T1242"/>
  <c r="U1242"/>
  <c r="V1242"/>
  <c r="W1242"/>
  <c r="Y1242"/>
  <c r="AB1242"/>
  <c r="AC1242"/>
  <c r="P1243"/>
  <c r="T1243"/>
  <c r="U1243"/>
  <c r="V1243"/>
  <c r="W1243"/>
  <c r="Y1243"/>
  <c r="AB1243"/>
  <c r="AC1243"/>
  <c r="P1244"/>
  <c r="T1244"/>
  <c r="U1244"/>
  <c r="V1244"/>
  <c r="W1244"/>
  <c r="Y1244"/>
  <c r="AB1244"/>
  <c r="AC1244"/>
  <c r="P1245"/>
  <c r="T1245"/>
  <c r="U1245"/>
  <c r="V1245"/>
  <c r="W1245"/>
  <c r="Y1245"/>
  <c r="AB1245"/>
  <c r="AC1245"/>
  <c r="P1246"/>
  <c r="T1246"/>
  <c r="U1246"/>
  <c r="V1246"/>
  <c r="W1246"/>
  <c r="Y1246"/>
  <c r="AB1246"/>
  <c r="AC1246"/>
  <c r="P1247"/>
  <c r="T1247"/>
  <c r="U1247"/>
  <c r="V1247"/>
  <c r="W1247"/>
  <c r="Y1247"/>
  <c r="AB1247"/>
  <c r="AC1247"/>
  <c r="P1248"/>
  <c r="T1248"/>
  <c r="U1248"/>
  <c r="V1248"/>
  <c r="W1248"/>
  <c r="Y1248"/>
  <c r="AB1248"/>
  <c r="AC1248"/>
  <c r="P1249"/>
  <c r="T1249"/>
  <c r="U1249"/>
  <c r="V1249"/>
  <c r="W1249"/>
  <c r="Y1249"/>
  <c r="AB1249"/>
  <c r="AC1249"/>
  <c r="AD1249"/>
  <c r="P1250"/>
  <c r="T1250"/>
  <c r="U1250"/>
  <c r="V1250"/>
  <c r="W1250"/>
  <c r="Y1250"/>
  <c r="AB1250"/>
  <c r="AC1250"/>
  <c r="AD1250"/>
  <c r="P1251"/>
  <c r="T1251"/>
  <c r="U1251"/>
  <c r="V1251"/>
  <c r="W1251"/>
  <c r="Y1251"/>
  <c r="AB1251"/>
  <c r="AC1251"/>
  <c r="AD1251"/>
  <c r="P1252"/>
  <c r="T1252"/>
  <c r="U1252"/>
  <c r="V1252"/>
  <c r="W1252"/>
  <c r="Y1252"/>
  <c r="AB1252"/>
  <c r="AC1252"/>
  <c r="AD1252"/>
  <c r="P1253"/>
  <c r="T1253"/>
  <c r="U1253"/>
  <c r="V1253"/>
  <c r="W1253"/>
  <c r="Y1253"/>
  <c r="AB1253"/>
  <c r="AC1253"/>
  <c r="AD1253"/>
  <c r="P1254"/>
  <c r="T1254"/>
  <c r="U1254"/>
  <c r="V1254"/>
  <c r="W1254"/>
  <c r="Y1254"/>
  <c r="AB1254"/>
  <c r="AC1254"/>
  <c r="AD1254"/>
  <c r="P1255"/>
  <c r="T1255"/>
  <c r="U1255"/>
  <c r="V1255"/>
  <c r="W1255"/>
  <c r="Y1255"/>
  <c r="AB1255"/>
  <c r="AC1255"/>
  <c r="AD1255"/>
  <c r="P1256"/>
  <c r="W1256"/>
  <c r="Y1256"/>
  <c r="AB1256"/>
  <c r="AC1256"/>
  <c r="P1257"/>
  <c r="T1257"/>
  <c r="U1257"/>
  <c r="V1257"/>
  <c r="W1257"/>
  <c r="Y1257"/>
  <c r="AB1257"/>
  <c r="AC1257"/>
  <c r="AD1257"/>
  <c r="P1258"/>
  <c r="T1258"/>
  <c r="U1258"/>
  <c r="V1258"/>
  <c r="W1258"/>
  <c r="Y1258"/>
  <c r="AB1258"/>
  <c r="AC1258"/>
  <c r="AD1258"/>
  <c r="P1259"/>
  <c r="T1259"/>
  <c r="U1259"/>
  <c r="V1259"/>
  <c r="W1259"/>
  <c r="Y1259"/>
  <c r="AB1259"/>
  <c r="AC1259"/>
  <c r="AD1259"/>
  <c r="P1260"/>
  <c r="T1260"/>
  <c r="U1260"/>
  <c r="V1260"/>
  <c r="W1260"/>
  <c r="Y1260"/>
  <c r="AB1260"/>
  <c r="AC1260"/>
  <c r="AD1260"/>
  <c r="P1261"/>
  <c r="T1261"/>
  <c r="U1261"/>
  <c r="V1261"/>
  <c r="W1261"/>
  <c r="Y1261"/>
  <c r="AB1261"/>
  <c r="AC1261"/>
  <c r="AD1261"/>
  <c r="P1262"/>
  <c r="T1262"/>
  <c r="U1262"/>
  <c r="V1262"/>
  <c r="W1262"/>
  <c r="Y1262"/>
  <c r="AB1262"/>
  <c r="AC1262"/>
  <c r="AD1262"/>
  <c r="P1263"/>
  <c r="T1263"/>
  <c r="U1263"/>
  <c r="V1263"/>
  <c r="W1263"/>
  <c r="Y1263"/>
  <c r="AB1263"/>
  <c r="AC1263"/>
  <c r="AD1263"/>
  <c r="P1264"/>
  <c r="T1264"/>
  <c r="U1264"/>
  <c r="V1264"/>
  <c r="W1264"/>
  <c r="Y1264"/>
  <c r="AB1264"/>
  <c r="AC1264"/>
  <c r="AD1264"/>
  <c r="P1265"/>
  <c r="T1265"/>
  <c r="U1265"/>
  <c r="V1265"/>
  <c r="W1265"/>
  <c r="Y1265"/>
  <c r="AB1265"/>
  <c r="AC1265"/>
  <c r="AD1265"/>
  <c r="P1266"/>
  <c r="W1266"/>
  <c r="Y1266"/>
  <c r="AB1266"/>
  <c r="AC1266"/>
  <c r="P1267"/>
  <c r="W1267"/>
  <c r="Y1267"/>
  <c r="AB1267"/>
  <c r="AC1267"/>
  <c r="P1268"/>
  <c r="T1268"/>
  <c r="U1268"/>
  <c r="V1268"/>
  <c r="W1268"/>
  <c r="Y1268"/>
  <c r="AB1268"/>
  <c r="AC1268"/>
  <c r="AD1268"/>
  <c r="P1269"/>
  <c r="T1269"/>
  <c r="U1269"/>
  <c r="V1269"/>
  <c r="W1269"/>
  <c r="Y1269"/>
  <c r="AB1269"/>
  <c r="AC1269"/>
  <c r="AD1269"/>
  <c r="P1270"/>
  <c r="T1270"/>
  <c r="U1270"/>
  <c r="V1270"/>
  <c r="W1270"/>
  <c r="Y1270"/>
  <c r="AB1270"/>
  <c r="AC1270"/>
  <c r="AD1270"/>
  <c r="P1271"/>
  <c r="T1271"/>
  <c r="U1271"/>
  <c r="V1271"/>
  <c r="W1271"/>
  <c r="Y1271"/>
  <c r="AB1271"/>
  <c r="AC1271"/>
  <c r="AD1271"/>
  <c r="P1272"/>
  <c r="T1272"/>
  <c r="U1272"/>
  <c r="V1272"/>
  <c r="W1272"/>
  <c r="Y1272"/>
  <c r="AB1272"/>
  <c r="AC1272"/>
  <c r="AD1272"/>
  <c r="P1273"/>
  <c r="T1273"/>
  <c r="U1273"/>
  <c r="V1273"/>
  <c r="W1273"/>
  <c r="Y1273"/>
  <c r="AB1273"/>
  <c r="AC1273"/>
  <c r="AD1273"/>
  <c r="P1274"/>
  <c r="T1274"/>
  <c r="U1274"/>
  <c r="V1274"/>
  <c r="W1274"/>
  <c r="Y1274"/>
  <c r="AB1274"/>
  <c r="AC1274"/>
  <c r="AD1274"/>
  <c r="P1275"/>
  <c r="T1275"/>
  <c r="U1275"/>
  <c r="V1275"/>
  <c r="W1275"/>
  <c r="Y1275"/>
  <c r="AB1275"/>
  <c r="AC1275"/>
  <c r="AD1275"/>
  <c r="P1276"/>
  <c r="T1276"/>
  <c r="U1276"/>
  <c r="V1276"/>
  <c r="W1276"/>
  <c r="Y1276"/>
  <c r="AB1276"/>
  <c r="AC1276"/>
  <c r="AD1276"/>
  <c r="P1277"/>
  <c r="T1277"/>
  <c r="U1277"/>
  <c r="V1277"/>
  <c r="W1277"/>
  <c r="Y1277"/>
  <c r="AB1277"/>
  <c r="AC1277"/>
  <c r="AD1277"/>
  <c r="P1278"/>
  <c r="T1278"/>
  <c r="U1278"/>
  <c r="V1278"/>
  <c r="W1278"/>
  <c r="Y1278"/>
  <c r="AB1278"/>
  <c r="AC1278"/>
  <c r="AD1278"/>
  <c r="P1279"/>
  <c r="T1279"/>
  <c r="U1279"/>
  <c r="V1279"/>
  <c r="W1279"/>
  <c r="Y1279"/>
  <c r="AB1279"/>
  <c r="AC1279"/>
  <c r="AD1279"/>
  <c r="P1280"/>
  <c r="T1280"/>
  <c r="U1280"/>
  <c r="V1280"/>
  <c r="W1280"/>
  <c r="Y1280"/>
  <c r="AB1280"/>
  <c r="AC1280"/>
  <c r="AD1280"/>
  <c r="P1281"/>
  <c r="T1281"/>
  <c r="U1281"/>
  <c r="V1281"/>
  <c r="W1281"/>
  <c r="Y1281"/>
  <c r="AB1281"/>
  <c r="AC1281"/>
  <c r="AD1281"/>
  <c r="P1282"/>
  <c r="T1282"/>
  <c r="U1282"/>
  <c r="V1282"/>
  <c r="W1282"/>
  <c r="Y1282"/>
  <c r="AB1282"/>
  <c r="AC1282"/>
  <c r="AD1282"/>
  <c r="P1283"/>
  <c r="T1283"/>
  <c r="U1283"/>
  <c r="V1283"/>
  <c r="W1283"/>
  <c r="Y1283"/>
  <c r="AB1283"/>
  <c r="AC1283"/>
  <c r="AD1283"/>
  <c r="P1284"/>
  <c r="T1284"/>
  <c r="U1284"/>
  <c r="V1284"/>
  <c r="W1284"/>
  <c r="Y1284"/>
  <c r="AB1284"/>
  <c r="AC1284"/>
  <c r="AD1284"/>
  <c r="P1285"/>
  <c r="T1285"/>
  <c r="U1285"/>
  <c r="V1285"/>
  <c r="W1285"/>
  <c r="Y1285"/>
  <c r="AB1285"/>
  <c r="AC1285"/>
  <c r="AD1285"/>
  <c r="P1286"/>
  <c r="T1286"/>
  <c r="U1286"/>
  <c r="V1286"/>
  <c r="W1286"/>
  <c r="Y1286"/>
  <c r="AB1286"/>
  <c r="AC1286"/>
  <c r="AD1286"/>
  <c r="P1287"/>
  <c r="T1287"/>
  <c r="U1287"/>
  <c r="V1287"/>
  <c r="W1287"/>
  <c r="Y1287"/>
  <c r="AB1287"/>
  <c r="AC1287"/>
  <c r="AD1287"/>
  <c r="P1288"/>
  <c r="T1288"/>
  <c r="U1288"/>
  <c r="V1288"/>
  <c r="W1288"/>
  <c r="Y1288"/>
  <c r="AB1288"/>
  <c r="AC1288"/>
  <c r="AD1288"/>
  <c r="P1289"/>
  <c r="T1289"/>
  <c r="U1289"/>
  <c r="V1289"/>
  <c r="W1289"/>
  <c r="Y1289"/>
  <c r="AB1289"/>
  <c r="AC1289"/>
  <c r="AD1289"/>
  <c r="P1290"/>
  <c r="T1290"/>
  <c r="U1290"/>
  <c r="V1290"/>
  <c r="W1290"/>
  <c r="Y1290"/>
  <c r="AB1290"/>
  <c r="AC1290"/>
  <c r="AD1290"/>
  <c r="P1291"/>
  <c r="T1291"/>
  <c r="U1291"/>
  <c r="V1291"/>
  <c r="W1291"/>
  <c r="Y1291"/>
  <c r="AB1291"/>
  <c r="AC1291"/>
  <c r="AD1291"/>
  <c r="P1292"/>
  <c r="T1292"/>
  <c r="U1292"/>
  <c r="V1292"/>
  <c r="W1292"/>
  <c r="Y1292"/>
  <c r="AB1292"/>
  <c r="AC1292"/>
  <c r="AD1292"/>
  <c r="P1293"/>
  <c r="W1293"/>
  <c r="Y1293"/>
  <c r="AB1293"/>
  <c r="AC1293"/>
  <c r="P1294"/>
  <c r="W1294"/>
  <c r="Y1294"/>
  <c r="AB1294"/>
  <c r="AC1294"/>
  <c r="P1295"/>
  <c r="W1295"/>
  <c r="Y1295"/>
  <c r="AB1295"/>
  <c r="AC1295"/>
  <c r="P1296"/>
  <c r="W1296"/>
  <c r="Y1296"/>
  <c r="AB1296"/>
  <c r="AC1296"/>
  <c r="P1297"/>
  <c r="W1297"/>
  <c r="Y1297"/>
  <c r="AB1297"/>
  <c r="AC1297"/>
  <c r="P1298"/>
  <c r="W1298"/>
  <c r="Y1298"/>
  <c r="AB1298"/>
  <c r="AC1298"/>
  <c r="P1299"/>
  <c r="W1299"/>
  <c r="Y1299"/>
  <c r="AB1299"/>
  <c r="AC1299"/>
  <c r="P1300"/>
  <c r="W1300"/>
  <c r="Y1300"/>
  <c r="AB1300"/>
  <c r="AC1300"/>
  <c r="P1301"/>
  <c r="W1301"/>
  <c r="Y1301"/>
  <c r="AB1301"/>
  <c r="AC1301"/>
  <c r="P1302"/>
  <c r="W1302"/>
  <c r="Y1302"/>
  <c r="AB1302"/>
  <c r="AC1302"/>
  <c r="P1303"/>
  <c r="W1303"/>
  <c r="Y1303"/>
  <c r="AB1303"/>
  <c r="AC1303"/>
  <c r="P1304"/>
  <c r="W1304"/>
  <c r="Y1304"/>
  <c r="AB1304"/>
  <c r="AC1304"/>
  <c r="P1305"/>
  <c r="W1305"/>
  <c r="Y1305"/>
  <c r="AB1305"/>
  <c r="AC1305"/>
  <c r="P1306"/>
  <c r="W1306"/>
  <c r="Y1306"/>
  <c r="AB1306"/>
  <c r="AC1306"/>
  <c r="P1307"/>
  <c r="W1307"/>
  <c r="Y1307"/>
  <c r="AB1307"/>
  <c r="AC1307"/>
  <c r="P1308"/>
  <c r="W1308"/>
  <c r="Y1308"/>
  <c r="AB1308"/>
  <c r="AC1308"/>
  <c r="P1309"/>
  <c r="W1309"/>
  <c r="Y1309"/>
  <c r="AB1309"/>
  <c r="AC1309"/>
  <c r="P1310"/>
  <c r="W1310"/>
  <c r="Y1310"/>
  <c r="AB1310"/>
  <c r="AC1310"/>
  <c r="P1311"/>
  <c r="W1311"/>
  <c r="Y1311"/>
  <c r="AB1311"/>
  <c r="AC1311"/>
  <c r="P1312"/>
  <c r="W1312"/>
  <c r="Y1312"/>
  <c r="AB1312"/>
  <c r="AC1312"/>
  <c r="P1313"/>
  <c r="W1313"/>
  <c r="Y1313"/>
  <c r="AB1313"/>
  <c r="AC1313"/>
  <c r="P1314"/>
  <c r="W1314"/>
  <c r="Y1314"/>
  <c r="AB1314"/>
  <c r="AC1314"/>
  <c r="P1315"/>
  <c r="W1315"/>
  <c r="Y1315"/>
  <c r="AB1315"/>
  <c r="AC1315"/>
  <c r="P1316"/>
  <c r="W1316"/>
  <c r="Y1316"/>
  <c r="AB1316"/>
  <c r="AC1316"/>
  <c r="P1317"/>
  <c r="W1317"/>
  <c r="Y1317"/>
  <c r="AB1317"/>
  <c r="AC1317"/>
  <c r="P1318"/>
  <c r="W1318"/>
  <c r="Y1318"/>
  <c r="AB1318"/>
  <c r="AC1318"/>
  <c r="P1319"/>
  <c r="W1319"/>
  <c r="Y1319"/>
  <c r="AB1319"/>
  <c r="AC1319"/>
  <c r="P1320"/>
  <c r="W1320"/>
  <c r="Y1320"/>
  <c r="AB1320"/>
  <c r="AC1320"/>
  <c r="P1321"/>
  <c r="W1321"/>
  <c r="Y1321"/>
  <c r="AB1321"/>
  <c r="AC1321"/>
  <c r="P1322"/>
  <c r="W1322"/>
  <c r="Y1322"/>
  <c r="AB1322"/>
  <c r="AC1322"/>
  <c r="P1323"/>
  <c r="W1323"/>
  <c r="Y1323"/>
  <c r="AB1323"/>
  <c r="AC1323"/>
  <c r="P1324"/>
  <c r="W1324"/>
  <c r="Y1324"/>
  <c r="AB1324"/>
  <c r="AC1324"/>
  <c r="P1325"/>
  <c r="W1325"/>
  <c r="Y1325"/>
  <c r="AB1325"/>
  <c r="AC1325"/>
  <c r="P1326"/>
  <c r="W1326"/>
  <c r="Y1326"/>
  <c r="AB1326"/>
  <c r="AC1326"/>
  <c r="P1327"/>
  <c r="W1327"/>
  <c r="Y1327"/>
  <c r="AB1327"/>
  <c r="AC1327"/>
  <c r="P1328"/>
  <c r="W1328"/>
  <c r="Y1328"/>
  <c r="AB1328"/>
  <c r="AC1328"/>
  <c r="P1329"/>
  <c r="W1329"/>
  <c r="Y1329"/>
  <c r="AB1329"/>
  <c r="AC1329"/>
  <c r="P1330"/>
  <c r="W1330"/>
  <c r="Y1330"/>
  <c r="AB1330"/>
  <c r="AC1330"/>
  <c r="P1331"/>
  <c r="W1331"/>
  <c r="Y1331"/>
  <c r="AB1331"/>
  <c r="AC1331"/>
  <c r="P1332"/>
  <c r="W1332"/>
  <c r="Y1332"/>
  <c r="AB1332"/>
  <c r="AC1332"/>
  <c r="P1333"/>
  <c r="W1333"/>
  <c r="Y1333"/>
  <c r="AB1333"/>
  <c r="AC1333"/>
  <c r="P1334"/>
  <c r="W1334"/>
  <c r="Y1334"/>
  <c r="AB1334"/>
  <c r="AC1334"/>
  <c r="P1335"/>
  <c r="W1335"/>
  <c r="Y1335"/>
  <c r="AB1335"/>
  <c r="AC1335"/>
  <c r="P1336"/>
  <c r="W1336"/>
  <c r="Y1336"/>
  <c r="AB1336"/>
  <c r="AC1336"/>
  <c r="P1337"/>
  <c r="W1337"/>
  <c r="Y1337"/>
  <c r="AB1337"/>
  <c r="AC1337"/>
  <c r="P1338"/>
  <c r="W1338"/>
  <c r="Y1338"/>
  <c r="AB1338"/>
  <c r="AC1338"/>
  <c r="P1339"/>
  <c r="W1339"/>
  <c r="Y1339"/>
  <c r="AB1339"/>
  <c r="AC1339"/>
  <c r="P1340"/>
  <c r="W1340"/>
  <c r="Y1340"/>
  <c r="AB1340"/>
  <c r="AC1340"/>
  <c r="P1341"/>
  <c r="W1341"/>
  <c r="Y1341"/>
  <c r="AB1341"/>
  <c r="AC1341"/>
  <c r="P1342"/>
  <c r="W1342"/>
  <c r="Y1342"/>
  <c r="AB1342"/>
  <c r="AC1342"/>
  <c r="P1343"/>
  <c r="W1343"/>
  <c r="Y1343"/>
  <c r="AB1343"/>
  <c r="AC1343"/>
  <c r="P1344"/>
  <c r="W1344"/>
  <c r="Y1344"/>
  <c r="AB1344"/>
  <c r="AC1344"/>
  <c r="P1345"/>
  <c r="W1345"/>
  <c r="Y1345"/>
  <c r="AB1345"/>
  <c r="AC1345"/>
  <c r="P1346"/>
  <c r="W1346"/>
  <c r="Y1346"/>
  <c r="AB1346"/>
  <c r="AC1346"/>
  <c r="P1347"/>
  <c r="W1347"/>
  <c r="Y1347"/>
  <c r="AB1347"/>
  <c r="AC1347"/>
  <c r="P1348"/>
  <c r="W1348"/>
  <c r="Y1348"/>
  <c r="AB1348"/>
  <c r="AC1348"/>
  <c r="P1349"/>
  <c r="W1349"/>
  <c r="Y1349"/>
  <c r="AB1349"/>
  <c r="AC1349"/>
  <c r="P1350"/>
  <c r="W1350"/>
  <c r="Y1350"/>
  <c r="AB1350"/>
  <c r="AC1350"/>
  <c r="P1351"/>
  <c r="W1351"/>
  <c r="Y1351"/>
  <c r="AB1351"/>
  <c r="AC1351"/>
  <c r="P1352"/>
  <c r="W1352"/>
  <c r="Y1352"/>
  <c r="AB1352"/>
  <c r="AC1352"/>
  <c r="P1353"/>
  <c r="W1353"/>
  <c r="Y1353"/>
  <c r="AB1353"/>
  <c r="AC1353"/>
  <c r="P1354"/>
  <c r="W1354"/>
  <c r="Y1354"/>
  <c r="AB1354"/>
  <c r="AC1354"/>
  <c r="P1355"/>
  <c r="T1355"/>
  <c r="U1355"/>
  <c r="V1355"/>
  <c r="W1355"/>
  <c r="Y1355"/>
  <c r="AB1355"/>
  <c r="AC1355"/>
  <c r="AD1355"/>
  <c r="P1356"/>
  <c r="T1356"/>
  <c r="U1356"/>
  <c r="V1356"/>
  <c r="W1356"/>
  <c r="Y1356"/>
  <c r="AB1356"/>
  <c r="AC1356"/>
  <c r="AD1356"/>
  <c r="P1357"/>
  <c r="W1357"/>
  <c r="Y1357"/>
  <c r="AB1357"/>
  <c r="AC1357"/>
  <c r="AD1357"/>
  <c r="P1358"/>
  <c r="T1358"/>
  <c r="U1358"/>
  <c r="V1358"/>
  <c r="W1358"/>
  <c r="Y1358"/>
  <c r="AB1358"/>
  <c r="AC1358"/>
  <c r="AD1358"/>
  <c r="P1359"/>
  <c r="T1359"/>
  <c r="U1359"/>
  <c r="V1359"/>
  <c r="W1359"/>
  <c r="Y1359"/>
  <c r="AB1359"/>
  <c r="AC1359"/>
  <c r="AD1359"/>
  <c r="P1360"/>
  <c r="T1360"/>
  <c r="U1360"/>
  <c r="V1360"/>
  <c r="W1360"/>
  <c r="Y1360"/>
  <c r="AB1360"/>
  <c r="AC1360"/>
  <c r="AD1360"/>
  <c r="P1361"/>
  <c r="T1361"/>
  <c r="U1361"/>
  <c r="V1361"/>
  <c r="W1361"/>
  <c r="Y1361"/>
  <c r="AB1361"/>
  <c r="AC1361"/>
  <c r="AD1361"/>
  <c r="P1362"/>
  <c r="T1362"/>
  <c r="U1362"/>
  <c r="V1362"/>
  <c r="W1362"/>
  <c r="Y1362"/>
  <c r="AB1362"/>
  <c r="AC1362"/>
  <c r="AD1362"/>
  <c r="P1363"/>
  <c r="T1363"/>
  <c r="U1363"/>
  <c r="V1363"/>
  <c r="W1363"/>
  <c r="Y1363"/>
  <c r="AB1363"/>
  <c r="AC1363"/>
  <c r="AD1363"/>
  <c r="P1364"/>
  <c r="T1364"/>
  <c r="U1364"/>
  <c r="V1364"/>
  <c r="W1364"/>
  <c r="Y1364"/>
  <c r="AB1364"/>
  <c r="AC1364"/>
  <c r="AD1364"/>
  <c r="P1365"/>
  <c r="T1365"/>
  <c r="U1365"/>
  <c r="V1365"/>
  <c r="W1365"/>
  <c r="Y1365"/>
  <c r="AB1365"/>
  <c r="AC1365"/>
  <c r="AD1365"/>
  <c r="P1366"/>
  <c r="T1366"/>
  <c r="U1366"/>
  <c r="V1366"/>
  <c r="W1366"/>
  <c r="Y1366"/>
  <c r="AB1366"/>
  <c r="AC1366"/>
  <c r="AD1366"/>
  <c r="P1367"/>
  <c r="T1367"/>
  <c r="U1367"/>
  <c r="V1367"/>
  <c r="W1367"/>
  <c r="Y1367"/>
  <c r="AB1367"/>
  <c r="AC1367"/>
  <c r="P1368"/>
  <c r="T1368"/>
  <c r="U1368"/>
  <c r="V1368"/>
  <c r="W1368"/>
  <c r="Y1368"/>
  <c r="AB1368"/>
  <c r="AC1368"/>
  <c r="P1369"/>
  <c r="T1369"/>
  <c r="U1369"/>
  <c r="V1369"/>
  <c r="W1369"/>
  <c r="Y1369"/>
  <c r="AB1369"/>
  <c r="AC1369"/>
  <c r="P1370"/>
  <c r="T1370"/>
  <c r="U1370"/>
  <c r="V1370"/>
  <c r="W1370"/>
  <c r="Y1370"/>
  <c r="AB1370"/>
  <c r="AC1370"/>
  <c r="P1371"/>
  <c r="T1371"/>
  <c r="U1371"/>
  <c r="V1371"/>
  <c r="W1371"/>
  <c r="Y1371"/>
  <c r="AB1371"/>
  <c r="AC1371"/>
  <c r="P1372"/>
  <c r="T1372"/>
  <c r="U1372"/>
  <c r="V1372"/>
  <c r="W1372"/>
  <c r="Y1372"/>
  <c r="AB1372"/>
  <c r="AC1372"/>
  <c r="P1373"/>
  <c r="T1373"/>
  <c r="U1373"/>
  <c r="V1373"/>
  <c r="W1373"/>
  <c r="Y1373"/>
  <c r="AB1373"/>
  <c r="AC1373"/>
  <c r="P1374"/>
  <c r="T1374"/>
  <c r="U1374"/>
  <c r="V1374"/>
  <c r="W1374"/>
  <c r="Y1374"/>
  <c r="AB1374"/>
  <c r="AC1374"/>
  <c r="P1375"/>
  <c r="T1375"/>
  <c r="U1375"/>
  <c r="V1375"/>
  <c r="W1375"/>
  <c r="Y1375"/>
  <c r="AB1375"/>
  <c r="AC1375"/>
  <c r="AD1375"/>
  <c r="P1376"/>
  <c r="T1376"/>
  <c r="U1376"/>
  <c r="V1376"/>
  <c r="W1376"/>
  <c r="Y1376"/>
  <c r="AB1376"/>
  <c r="AC1376"/>
  <c r="AD1376"/>
  <c r="P1377"/>
  <c r="T1377"/>
  <c r="U1377"/>
  <c r="V1377"/>
  <c r="W1377"/>
  <c r="Y1377"/>
  <c r="AB1377"/>
  <c r="AC1377"/>
  <c r="P1378"/>
  <c r="T1378"/>
  <c r="U1378"/>
  <c r="V1378"/>
  <c r="W1378"/>
  <c r="Y1378"/>
  <c r="AB1378"/>
  <c r="AC1378"/>
  <c r="P1379"/>
  <c r="T1379"/>
  <c r="U1379"/>
  <c r="V1379"/>
  <c r="W1379"/>
  <c r="Y1379"/>
  <c r="AB1379"/>
  <c r="AC1379"/>
  <c r="AD1379"/>
  <c r="P1380"/>
  <c r="T1380"/>
  <c r="U1380"/>
  <c r="V1380"/>
  <c r="W1380"/>
  <c r="Y1380"/>
  <c r="AB1380"/>
  <c r="AC1380"/>
  <c r="AD1380"/>
  <c r="P1381"/>
  <c r="T1381"/>
  <c r="U1381"/>
  <c r="V1381"/>
  <c r="W1381"/>
  <c r="Y1381"/>
  <c r="AB1381"/>
  <c r="AC1381"/>
  <c r="P1382"/>
  <c r="T1382"/>
  <c r="U1382"/>
  <c r="V1382"/>
  <c r="W1382"/>
  <c r="Y1382"/>
  <c r="AB1382"/>
  <c r="AC1382"/>
  <c r="P1383"/>
  <c r="T1383"/>
  <c r="U1383"/>
  <c r="V1383"/>
  <c r="W1383"/>
  <c r="Y1383"/>
  <c r="AB1383"/>
  <c r="AC1383"/>
  <c r="P1384"/>
  <c r="T1384"/>
  <c r="U1384"/>
  <c r="V1384"/>
  <c r="W1384"/>
  <c r="Y1384"/>
  <c r="AB1384"/>
  <c r="AC1384"/>
  <c r="P1385"/>
  <c r="T1385"/>
  <c r="U1385"/>
  <c r="V1385"/>
  <c r="W1385"/>
  <c r="Y1385"/>
  <c r="AB1385"/>
  <c r="AC1385"/>
  <c r="P1386"/>
  <c r="T1386"/>
  <c r="U1386"/>
  <c r="V1386"/>
  <c r="W1386"/>
  <c r="Y1386"/>
  <c r="AB1386"/>
  <c r="AC1386"/>
  <c r="P1387"/>
  <c r="T1387"/>
  <c r="U1387"/>
  <c r="V1387"/>
  <c r="W1387"/>
  <c r="Y1387"/>
  <c r="AB1387"/>
  <c r="AC1387"/>
  <c r="AD1387"/>
  <c r="P1388"/>
  <c r="T1388"/>
  <c r="U1388"/>
  <c r="V1388"/>
  <c r="W1388"/>
  <c r="Y1388"/>
  <c r="AB1388"/>
  <c r="AC1388"/>
  <c r="AD1388"/>
  <c r="P1389"/>
  <c r="T1389"/>
  <c r="U1389"/>
  <c r="V1389"/>
  <c r="W1389"/>
  <c r="Y1389"/>
  <c r="AB1389"/>
  <c r="AC1389"/>
  <c r="AD1389"/>
  <c r="P1390"/>
  <c r="T1390"/>
  <c r="U1390"/>
  <c r="V1390"/>
  <c r="W1390"/>
  <c r="Y1390"/>
  <c r="AB1390"/>
  <c r="AC1390"/>
  <c r="AD1390"/>
  <c r="P1391"/>
  <c r="T1391"/>
  <c r="U1391"/>
  <c r="V1391"/>
  <c r="W1391"/>
  <c r="Y1391"/>
  <c r="AB1391"/>
  <c r="AC1391"/>
  <c r="AD1391"/>
  <c r="P1392"/>
  <c r="T1392"/>
  <c r="U1392"/>
  <c r="V1392"/>
  <c r="W1392"/>
  <c r="Y1392"/>
  <c r="AB1392"/>
  <c r="AC1392"/>
  <c r="AD1392"/>
  <c r="P1393"/>
  <c r="T1393"/>
  <c r="U1393"/>
  <c r="V1393"/>
  <c r="W1393"/>
  <c r="Y1393"/>
  <c r="AB1393"/>
  <c r="AC1393"/>
  <c r="AD1393"/>
  <c r="P1394"/>
  <c r="T1394"/>
  <c r="U1394"/>
  <c r="V1394"/>
  <c r="W1394"/>
  <c r="Y1394"/>
  <c r="AB1394"/>
  <c r="AC1394"/>
  <c r="AD1394"/>
  <c r="P1395"/>
  <c r="T1395"/>
  <c r="U1395"/>
  <c r="V1395"/>
  <c r="W1395"/>
  <c r="Y1395"/>
  <c r="AB1395"/>
  <c r="AC1395"/>
  <c r="AD1395"/>
  <c r="P1396"/>
  <c r="T1396"/>
  <c r="U1396"/>
  <c r="V1396"/>
  <c r="W1396"/>
  <c r="Y1396"/>
  <c r="AB1396"/>
  <c r="AC1396"/>
  <c r="AD1396"/>
  <c r="P1397"/>
  <c r="T1397"/>
  <c r="U1397"/>
  <c r="V1397"/>
  <c r="W1397"/>
  <c r="Y1397"/>
  <c r="AB1397"/>
  <c r="AC1397"/>
  <c r="AD1397"/>
  <c r="P1398"/>
  <c r="T1398"/>
  <c r="U1398"/>
  <c r="V1398"/>
  <c r="W1398"/>
  <c r="Y1398"/>
  <c r="AB1398"/>
  <c r="AC1398"/>
  <c r="AD1398"/>
  <c r="P1399"/>
  <c r="T1399"/>
  <c r="U1399"/>
  <c r="V1399"/>
  <c r="W1399"/>
  <c r="Y1399"/>
  <c r="AB1399"/>
  <c r="AC1399"/>
  <c r="AD1399"/>
  <c r="P1400"/>
  <c r="T1400"/>
  <c r="U1400"/>
  <c r="V1400"/>
  <c r="W1400"/>
  <c r="Y1400"/>
  <c r="AB1400"/>
  <c r="AC1400"/>
  <c r="AD1400"/>
  <c r="P1401"/>
  <c r="T1401"/>
  <c r="U1401"/>
  <c r="V1401"/>
  <c r="W1401"/>
  <c r="Y1401"/>
  <c r="AB1401"/>
  <c r="AC1401"/>
  <c r="AD1401"/>
  <c r="P1402"/>
  <c r="T1402"/>
  <c r="U1402"/>
  <c r="V1402"/>
  <c r="W1402"/>
  <c r="Y1402"/>
  <c r="AB1402"/>
  <c r="AC1402"/>
  <c r="AD1402"/>
  <c r="P1403"/>
  <c r="T1403"/>
  <c r="U1403"/>
  <c r="V1403"/>
  <c r="W1403"/>
  <c r="Y1403"/>
  <c r="AB1403"/>
  <c r="AC1403"/>
  <c r="AD1403"/>
  <c r="P1404"/>
  <c r="T1404"/>
  <c r="U1404"/>
  <c r="V1404"/>
  <c r="W1404"/>
  <c r="Y1404"/>
  <c r="AB1404"/>
  <c r="AC1404"/>
  <c r="AD1404"/>
  <c r="P1405"/>
  <c r="T1405"/>
  <c r="U1405"/>
  <c r="V1405"/>
  <c r="W1405"/>
  <c r="Y1405"/>
  <c r="AB1405"/>
  <c r="AC1405"/>
  <c r="AD1405"/>
  <c r="P1406"/>
  <c r="T1406"/>
  <c r="U1406"/>
  <c r="V1406"/>
  <c r="W1406"/>
  <c r="Y1406"/>
  <c r="AB1406"/>
  <c r="AC1406"/>
  <c r="AD1406"/>
  <c r="P1407"/>
  <c r="T1407"/>
  <c r="U1407"/>
  <c r="V1407"/>
  <c r="W1407"/>
  <c r="Y1407"/>
  <c r="AB1407"/>
  <c r="AC1407"/>
  <c r="AD1407"/>
  <c r="P1408"/>
  <c r="T1408"/>
  <c r="U1408"/>
  <c r="V1408"/>
  <c r="W1408"/>
  <c r="Y1408"/>
  <c r="AB1408"/>
  <c r="AC1408"/>
  <c r="P1409"/>
  <c r="T1409"/>
  <c r="U1409"/>
  <c r="V1409"/>
  <c r="W1409"/>
  <c r="Y1409"/>
  <c r="AB1409"/>
  <c r="AC1409"/>
  <c r="P1410"/>
  <c r="T1410"/>
  <c r="U1410"/>
  <c r="V1410"/>
  <c r="W1410"/>
  <c r="Y1410"/>
  <c r="AB1410"/>
  <c r="AC1410"/>
  <c r="P1411"/>
  <c r="T1411"/>
  <c r="U1411"/>
  <c r="V1411"/>
  <c r="W1411"/>
  <c r="Y1411"/>
  <c r="AB1411"/>
  <c r="AC1411"/>
  <c r="P1412"/>
  <c r="W1412"/>
  <c r="Y1412"/>
  <c r="AB1412"/>
  <c r="AC1412"/>
  <c r="P1413"/>
  <c r="W1413"/>
  <c r="Y1413"/>
  <c r="AB1413"/>
  <c r="AC1413"/>
  <c r="P1414"/>
  <c r="W1414"/>
  <c r="Y1414"/>
  <c r="AB1414"/>
  <c r="AC1414"/>
  <c r="P1415"/>
  <c r="W1415"/>
  <c r="Y1415"/>
  <c r="AB1415"/>
  <c r="AC1415"/>
  <c r="P1416"/>
  <c r="T1416"/>
  <c r="U1416"/>
  <c r="V1416"/>
  <c r="W1416"/>
  <c r="Y1416"/>
  <c r="AB1416"/>
  <c r="AC1416"/>
  <c r="P1417"/>
  <c r="W1417"/>
  <c r="Y1417"/>
  <c r="AB1417"/>
  <c r="AC1417"/>
  <c r="P1418"/>
  <c r="W1418"/>
  <c r="Y1418"/>
  <c r="AB1418"/>
  <c r="AC1418"/>
  <c r="P1419"/>
  <c r="W1419"/>
  <c r="Y1419"/>
  <c r="AB1419"/>
  <c r="AC1419"/>
  <c r="P1420"/>
  <c r="W1420"/>
  <c r="Y1420"/>
  <c r="AB1420"/>
  <c r="AC1420"/>
  <c r="P1421"/>
  <c r="W1421"/>
  <c r="Y1421"/>
  <c r="AB1421"/>
  <c r="AC1421"/>
  <c r="P1422"/>
  <c r="W1422"/>
  <c r="Y1422"/>
  <c r="AB1422"/>
  <c r="AC1422"/>
  <c r="P1423"/>
  <c r="W1423"/>
  <c r="Y1423"/>
  <c r="AB1423"/>
  <c r="AC1423"/>
  <c r="P1424"/>
  <c r="W1424"/>
  <c r="Y1424"/>
  <c r="AB1424"/>
  <c r="AC1424"/>
  <c r="P1425"/>
  <c r="W1425"/>
  <c r="Y1425"/>
  <c r="AB1425"/>
  <c r="AC1425"/>
  <c r="P1426"/>
  <c r="T1426"/>
  <c r="U1426"/>
  <c r="V1426"/>
  <c r="W1426"/>
  <c r="Y1426"/>
  <c r="AB1426"/>
  <c r="AC1426"/>
  <c r="P1427"/>
  <c r="W1427"/>
  <c r="Y1427"/>
  <c r="AB1427"/>
  <c r="AC1427"/>
  <c r="P1428"/>
  <c r="W1428"/>
  <c r="Y1428"/>
  <c r="AB1428"/>
  <c r="AC1428"/>
  <c r="P1429"/>
  <c r="W1429"/>
  <c r="Y1429"/>
  <c r="AB1429"/>
  <c r="AC1429"/>
  <c r="P1430"/>
  <c r="W1430"/>
  <c r="Y1430"/>
  <c r="AB1430"/>
  <c r="AC1430"/>
  <c r="P1431"/>
  <c r="W1431"/>
  <c r="Y1431"/>
  <c r="AB1431"/>
  <c r="AC1431"/>
  <c r="P1432"/>
  <c r="W1432"/>
  <c r="Y1432"/>
  <c r="AB1432"/>
  <c r="AC1432"/>
  <c r="P1433"/>
  <c r="W1433"/>
  <c r="Y1433"/>
  <c r="AB1433"/>
  <c r="AC1433"/>
  <c r="P1434"/>
  <c r="W1434"/>
  <c r="Y1434"/>
  <c r="AB1434"/>
  <c r="AC1434"/>
  <c r="P1435"/>
  <c r="W1435"/>
  <c r="Y1435"/>
  <c r="AB1435"/>
  <c r="AC1435"/>
  <c r="P1436"/>
  <c r="W1436"/>
  <c r="Y1436"/>
  <c r="AB1436"/>
  <c r="AC1436"/>
  <c r="P1437"/>
  <c r="W1437"/>
  <c r="Y1437"/>
  <c r="AB1437"/>
  <c r="AC1437"/>
  <c r="P1438"/>
  <c r="W1438"/>
  <c r="Y1438"/>
  <c r="AB1438"/>
  <c r="AC1438"/>
  <c r="P1439"/>
  <c r="W1439"/>
  <c r="Y1439"/>
  <c r="AB1439"/>
  <c r="AC1439"/>
  <c r="P1440"/>
  <c r="W1440"/>
  <c r="Y1440"/>
  <c r="AB1440"/>
  <c r="AC1440"/>
  <c r="P1441"/>
  <c r="W1441"/>
  <c r="Y1441"/>
  <c r="AB1441"/>
  <c r="AC1441"/>
  <c r="P1442"/>
  <c r="W1442"/>
  <c r="Y1442"/>
  <c r="AB1442"/>
  <c r="AC1442"/>
  <c r="P1443"/>
  <c r="W1443"/>
  <c r="Y1443"/>
  <c r="AB1443"/>
  <c r="AC1443"/>
  <c r="P1444"/>
  <c r="W1444"/>
  <c r="Y1444"/>
  <c r="AB1444"/>
  <c r="AC1444"/>
  <c r="P1445"/>
  <c r="W1445"/>
  <c r="Y1445"/>
  <c r="AB1445"/>
  <c r="AC1445"/>
  <c r="P1446"/>
  <c r="W1446"/>
  <c r="Y1446"/>
  <c r="AB1446"/>
  <c r="AC1446"/>
  <c r="P1447"/>
  <c r="W1447"/>
  <c r="Y1447"/>
  <c r="AB1447"/>
  <c r="AC1447"/>
  <c r="P1448"/>
  <c r="W1448"/>
  <c r="Y1448"/>
  <c r="AB1448"/>
  <c r="AC1448"/>
  <c r="P1449"/>
  <c r="W1449"/>
  <c r="Y1449"/>
  <c r="AB1449"/>
  <c r="AC1449"/>
  <c r="P1450"/>
  <c r="W1450"/>
  <c r="Y1450"/>
  <c r="AB1450"/>
  <c r="AC1450"/>
  <c r="P1451"/>
  <c r="W1451"/>
  <c r="Y1451"/>
  <c r="AB1451"/>
  <c r="AC1451"/>
  <c r="P1452"/>
  <c r="W1452"/>
  <c r="Y1452"/>
  <c r="AB1452"/>
  <c r="AC1452"/>
  <c r="P1453"/>
  <c r="W1453"/>
  <c r="Y1453"/>
  <c r="AB1453"/>
  <c r="AC1453"/>
  <c r="P1454"/>
  <c r="W1454"/>
  <c r="Y1454"/>
  <c r="AB1454"/>
  <c r="AC1454"/>
  <c r="P1455"/>
  <c r="W1455"/>
  <c r="Y1455"/>
  <c r="AB1455"/>
  <c r="AC1455"/>
  <c r="P1456"/>
  <c r="W1456"/>
  <c r="Y1456"/>
  <c r="AB1456"/>
  <c r="AC1456"/>
  <c r="P1457"/>
  <c r="W1457"/>
  <c r="Y1457"/>
  <c r="AB1457"/>
  <c r="AC1457"/>
  <c r="P1458"/>
  <c r="W1458"/>
  <c r="Y1458"/>
  <c r="AB1458"/>
  <c r="AC1458"/>
  <c r="P1459"/>
  <c r="W1459"/>
  <c r="Y1459"/>
  <c r="AB1459"/>
  <c r="AC1459"/>
  <c r="P1460"/>
  <c r="W1460"/>
  <c r="Y1460"/>
  <c r="AB1460"/>
  <c r="AC1460"/>
  <c r="P1461"/>
  <c r="W1461"/>
  <c r="Y1461"/>
  <c r="AB1461"/>
  <c r="AC1461"/>
  <c r="P1462"/>
  <c r="W1462"/>
  <c r="Y1462"/>
  <c r="AB1462"/>
  <c r="AC1462"/>
  <c r="P1463"/>
  <c r="W1463"/>
  <c r="Y1463"/>
  <c r="AB1463"/>
  <c r="AC1463"/>
  <c r="P1464"/>
  <c r="W1464"/>
  <c r="Y1464"/>
  <c r="AB1464"/>
  <c r="AC1464"/>
  <c r="P1465"/>
  <c r="W1465"/>
  <c r="Y1465"/>
  <c r="AB1465"/>
  <c r="AC1465"/>
  <c r="P1466"/>
  <c r="W1466"/>
  <c r="Y1466"/>
  <c r="AB1466"/>
  <c r="AC1466"/>
  <c r="P1467"/>
  <c r="W1467"/>
  <c r="Y1467"/>
  <c r="AB1467"/>
  <c r="AC1467"/>
  <c r="P1468"/>
  <c r="W1468"/>
  <c r="Y1468"/>
  <c r="AB1468"/>
  <c r="AC1468"/>
  <c r="P1469"/>
  <c r="W1469"/>
  <c r="Y1469"/>
  <c r="AB1469"/>
  <c r="AC1469"/>
  <c r="P1470"/>
  <c r="W1470"/>
  <c r="Y1470"/>
  <c r="AB1470"/>
  <c r="AC1470"/>
  <c r="P1471"/>
  <c r="W1471"/>
  <c r="Y1471"/>
  <c r="AB1471"/>
  <c r="AC1471"/>
  <c r="P1472"/>
  <c r="W1472"/>
  <c r="Y1472"/>
  <c r="AB1472"/>
  <c r="AC1472"/>
  <c r="P1473"/>
  <c r="W1473"/>
  <c r="Y1473"/>
  <c r="AB1473"/>
  <c r="AC1473"/>
  <c r="P1474"/>
  <c r="W1474"/>
  <c r="Y1474"/>
  <c r="AB1474"/>
  <c r="AC1474"/>
  <c r="P1475"/>
  <c r="W1475"/>
  <c r="Y1475"/>
  <c r="AB1475"/>
  <c r="AC1475"/>
  <c r="P1476"/>
  <c r="W1476"/>
  <c r="Y1476"/>
  <c r="AB1476"/>
  <c r="AC1476"/>
  <c r="P1477"/>
  <c r="W1477"/>
  <c r="Y1477"/>
  <c r="AB1477"/>
  <c r="AC1477"/>
  <c r="P1478"/>
  <c r="W1478"/>
  <c r="Y1478"/>
  <c r="AB1478"/>
  <c r="AC1478"/>
  <c r="P1479"/>
  <c r="W1479"/>
  <c r="Y1479"/>
  <c r="AB1479"/>
  <c r="AC1479"/>
  <c r="P1480"/>
  <c r="W1480"/>
  <c r="Y1480"/>
  <c r="AB1480"/>
  <c r="AC1480"/>
  <c r="P1481"/>
  <c r="W1481"/>
  <c r="Y1481"/>
  <c r="AB1481"/>
  <c r="AC1481"/>
  <c r="P1482"/>
  <c r="W1482"/>
  <c r="Y1482"/>
  <c r="AB1482"/>
  <c r="AC1482"/>
  <c r="P1483"/>
  <c r="W1483"/>
  <c r="Y1483"/>
  <c r="AB1483"/>
  <c r="AC1483"/>
  <c r="P1484"/>
  <c r="W1484"/>
  <c r="Y1484"/>
  <c r="AB1484"/>
  <c r="AC1484"/>
  <c r="P1485"/>
  <c r="W1485"/>
  <c r="Y1485"/>
  <c r="AB1485"/>
  <c r="AC1485"/>
  <c r="P1486"/>
  <c r="W1486"/>
  <c r="Y1486"/>
  <c r="AB1486"/>
  <c r="AC1486"/>
  <c r="P1487"/>
  <c r="W1487"/>
  <c r="Y1487"/>
  <c r="AB1487"/>
  <c r="AC1487"/>
  <c r="P1488"/>
  <c r="W1488"/>
  <c r="Y1488"/>
  <c r="AB1488"/>
  <c r="AC1488"/>
  <c r="P1489"/>
  <c r="W1489"/>
  <c r="Y1489"/>
  <c r="AB1489"/>
  <c r="AC1489"/>
  <c r="P1490"/>
  <c r="W1490"/>
  <c r="Y1490"/>
  <c r="AB1490"/>
  <c r="AC1490"/>
  <c r="P1491"/>
  <c r="W1491"/>
  <c r="Y1491"/>
  <c r="AB1491"/>
  <c r="AC1491"/>
  <c r="P1492"/>
  <c r="T1492"/>
  <c r="U1492"/>
  <c r="V1492"/>
  <c r="W1492"/>
  <c r="Y1492"/>
  <c r="AB1492"/>
  <c r="AC1492"/>
  <c r="P1493"/>
  <c r="T1493"/>
  <c r="U1493"/>
  <c r="V1493"/>
  <c r="W1493"/>
  <c r="Y1493"/>
  <c r="AB1493"/>
  <c r="AC1493"/>
  <c r="AD1493"/>
  <c r="P1494"/>
  <c r="T1494"/>
  <c r="U1494"/>
  <c r="V1494"/>
  <c r="W1494"/>
  <c r="Y1494"/>
  <c r="AB1494"/>
  <c r="AC1494"/>
  <c r="AD1494"/>
  <c r="P1495"/>
  <c r="T1495"/>
  <c r="U1495"/>
  <c r="V1495"/>
  <c r="W1495"/>
  <c r="Y1495"/>
  <c r="AB1495"/>
  <c r="AC1495"/>
  <c r="AD1495"/>
  <c r="P1496"/>
  <c r="T1496"/>
  <c r="U1496"/>
  <c r="V1496"/>
  <c r="W1496"/>
  <c r="Y1496"/>
  <c r="AB1496"/>
  <c r="AC1496"/>
  <c r="AD1496"/>
  <c r="P1497"/>
  <c r="W1497"/>
  <c r="Y1497"/>
  <c r="AB1497"/>
  <c r="AC1497"/>
  <c r="AD1497"/>
  <c r="P1498"/>
  <c r="W1498"/>
  <c r="Y1498"/>
  <c r="AB1498"/>
  <c r="AC1498"/>
  <c r="AD1498"/>
  <c r="P1499"/>
  <c r="W1499"/>
  <c r="Y1499"/>
  <c r="AB1499"/>
  <c r="AC1499"/>
  <c r="AD1499"/>
  <c r="P1500"/>
  <c r="W1500"/>
  <c r="Y1500"/>
  <c r="AB1500"/>
  <c r="AC1500"/>
  <c r="AD1500"/>
  <c r="P1501"/>
  <c r="W1501"/>
  <c r="Y1501"/>
  <c r="AB1501"/>
  <c r="AC1501"/>
  <c r="AD1501"/>
  <c r="P1502"/>
  <c r="W1502"/>
  <c r="Y1502"/>
  <c r="AB1502"/>
  <c r="AC1502"/>
  <c r="AD1502"/>
  <c r="P1503"/>
  <c r="T1503"/>
  <c r="U1503"/>
  <c r="V1503"/>
  <c r="W1503"/>
  <c r="Y1503"/>
  <c r="AB1503"/>
  <c r="AC1503"/>
  <c r="AD1503"/>
  <c r="P1504"/>
  <c r="T1504"/>
  <c r="U1504"/>
  <c r="V1504"/>
  <c r="W1504"/>
  <c r="Y1504"/>
  <c r="AB1504"/>
  <c r="AC1504"/>
  <c r="AD1504"/>
  <c r="P1505"/>
  <c r="T1505"/>
  <c r="U1505"/>
  <c r="V1505"/>
  <c r="W1505"/>
  <c r="Y1505"/>
  <c r="AB1505"/>
  <c r="AC1505"/>
  <c r="AD1505"/>
  <c r="P1506"/>
  <c r="T1506"/>
  <c r="U1506"/>
  <c r="V1506"/>
  <c r="W1506"/>
  <c r="Y1506"/>
  <c r="AB1506"/>
  <c r="AC1506"/>
  <c r="AD1506"/>
  <c r="P1507"/>
  <c r="T1507"/>
  <c r="U1507"/>
  <c r="V1507"/>
  <c r="W1507"/>
  <c r="Y1507"/>
  <c r="AB1507"/>
  <c r="AC1507"/>
  <c r="AD1507"/>
  <c r="P1508"/>
  <c r="T1508"/>
  <c r="U1508"/>
  <c r="V1508"/>
  <c r="W1508"/>
  <c r="Y1508"/>
  <c r="AB1508"/>
  <c r="AC1508"/>
  <c r="AD1508"/>
  <c r="P1509"/>
  <c r="T1509"/>
  <c r="U1509"/>
  <c r="V1509"/>
  <c r="W1509"/>
  <c r="Y1509"/>
  <c r="AB1509"/>
  <c r="AC1509"/>
  <c r="AD1509"/>
  <c r="P1510"/>
  <c r="T1510"/>
  <c r="U1510"/>
  <c r="V1510"/>
  <c r="W1510"/>
  <c r="Y1510"/>
  <c r="AB1510"/>
  <c r="AC1510"/>
  <c r="AD1510"/>
  <c r="P1511"/>
  <c r="T1511"/>
  <c r="U1511"/>
  <c r="V1511"/>
  <c r="W1511"/>
  <c r="Y1511"/>
  <c r="AB1511"/>
  <c r="AC1511"/>
  <c r="AD1511"/>
  <c r="P1512"/>
  <c r="W1512"/>
  <c r="Y1512"/>
  <c r="AB1512"/>
  <c r="AC1512"/>
  <c r="AD1512"/>
  <c r="P1513"/>
  <c r="W1513"/>
  <c r="Y1513"/>
  <c r="AB1513"/>
  <c r="AC1513"/>
  <c r="AD1513"/>
  <c r="P1514"/>
  <c r="W1514"/>
  <c r="Y1514"/>
  <c r="AB1514"/>
  <c r="AC1514"/>
  <c r="AD1514"/>
  <c r="P1515"/>
  <c r="W1515"/>
  <c r="Y1515"/>
  <c r="AB1515"/>
  <c r="AC1515"/>
  <c r="AD1515"/>
  <c r="P1516"/>
  <c r="W1516"/>
  <c r="Y1516"/>
  <c r="AB1516"/>
  <c r="AC1516"/>
  <c r="AD1516"/>
  <c r="P1517"/>
  <c r="W1517"/>
  <c r="Y1517"/>
  <c r="AB1517"/>
  <c r="AC1517"/>
  <c r="AD1517"/>
  <c r="P1518"/>
  <c r="W1518"/>
  <c r="Y1518"/>
  <c r="AB1518"/>
  <c r="AC1518"/>
  <c r="AD1518"/>
  <c r="P1519"/>
  <c r="W1519"/>
  <c r="Y1519"/>
  <c r="AB1519"/>
  <c r="AC1519"/>
  <c r="AD1519"/>
  <c r="P1520"/>
  <c r="W1520"/>
  <c r="Y1520"/>
  <c r="AB1520"/>
  <c r="AC1520"/>
  <c r="AD1520"/>
  <c r="P1521"/>
  <c r="W1521"/>
  <c r="Y1521"/>
  <c r="AB1521"/>
  <c r="AC1521"/>
  <c r="AD1521"/>
  <c r="P1522"/>
  <c r="W1522"/>
  <c r="Y1522"/>
  <c r="AB1522"/>
  <c r="AC1522"/>
  <c r="AD1522"/>
  <c r="P1523"/>
  <c r="W1523"/>
  <c r="Y1523"/>
  <c r="AB1523"/>
  <c r="AC1523"/>
  <c r="AD1523"/>
  <c r="P1524"/>
  <c r="W1524"/>
  <c r="Y1524"/>
  <c r="AB1524"/>
  <c r="AC1524"/>
  <c r="AD1524"/>
  <c r="P1525"/>
  <c r="W1525"/>
  <c r="Y1525"/>
  <c r="AB1525"/>
  <c r="AC1525"/>
  <c r="AD1525"/>
  <c r="P1526"/>
  <c r="W1526"/>
  <c r="Y1526"/>
  <c r="AB1526"/>
  <c r="AC1526"/>
  <c r="AD1526"/>
  <c r="P1527"/>
  <c r="W1527"/>
  <c r="Y1527"/>
  <c r="AB1527"/>
  <c r="AC1527"/>
  <c r="AD1527"/>
  <c r="P1528"/>
  <c r="W1528"/>
  <c r="Y1528"/>
  <c r="AB1528"/>
  <c r="AC1528"/>
  <c r="AD1528"/>
  <c r="P1529"/>
  <c r="W1529"/>
  <c r="Y1529"/>
  <c r="AB1529"/>
  <c r="AC1529"/>
  <c r="AD1529"/>
  <c r="P1530"/>
  <c r="W1530"/>
  <c r="Y1530"/>
  <c r="AB1530"/>
  <c r="AC1530"/>
  <c r="AD1530"/>
  <c r="P1531"/>
  <c r="W1531"/>
  <c r="Y1531"/>
  <c r="AB1531"/>
  <c r="AC1531"/>
  <c r="AD1531"/>
  <c r="P1532"/>
  <c r="W1532"/>
  <c r="Y1532"/>
  <c r="AB1532"/>
  <c r="AC1532"/>
  <c r="AD1532"/>
  <c r="P1533"/>
  <c r="W1533"/>
  <c r="Y1533"/>
  <c r="AB1533"/>
  <c r="AC1533"/>
  <c r="AD1533"/>
  <c r="P1534"/>
  <c r="W1534"/>
  <c r="Y1534"/>
  <c r="AB1534"/>
  <c r="AC1534"/>
  <c r="AD1534"/>
  <c r="P1535"/>
  <c r="W1535"/>
  <c r="Y1535"/>
  <c r="AB1535"/>
  <c r="AC1535"/>
  <c r="AD1535"/>
  <c r="P1536"/>
  <c r="W1536"/>
  <c r="Y1536"/>
  <c r="AB1536"/>
  <c r="AC1536"/>
  <c r="AD1536"/>
  <c r="P1537"/>
  <c r="W1537"/>
  <c r="Y1537"/>
  <c r="AB1537"/>
  <c r="AC1537"/>
  <c r="AD1537"/>
  <c r="P1538"/>
  <c r="W1538"/>
  <c r="Y1538"/>
  <c r="AB1538"/>
  <c r="AC1538"/>
  <c r="AD1538"/>
  <c r="P1539"/>
  <c r="W1539"/>
  <c r="Y1539"/>
  <c r="AB1539"/>
  <c r="AC1539"/>
  <c r="AD1539"/>
  <c r="P1540"/>
  <c r="W1540"/>
  <c r="Y1540"/>
  <c r="AB1540"/>
  <c r="AC1540"/>
  <c r="AD1540"/>
  <c r="P1541"/>
  <c r="W1541"/>
  <c r="Y1541"/>
  <c r="AB1541"/>
  <c r="AC1541"/>
  <c r="AD1541"/>
  <c r="P1542"/>
  <c r="W1542"/>
  <c r="Y1542"/>
  <c r="AB1542"/>
  <c r="AC1542"/>
  <c r="AD1542"/>
  <c r="P1543"/>
  <c r="W1543"/>
  <c r="Y1543"/>
  <c r="AB1543"/>
  <c r="AC1543"/>
  <c r="AD1543"/>
  <c r="P1544"/>
  <c r="W1544"/>
  <c r="Y1544"/>
  <c r="AB1544"/>
  <c r="AC1544"/>
  <c r="AD1544"/>
  <c r="P1545"/>
  <c r="W1545"/>
  <c r="Y1545"/>
  <c r="AB1545"/>
  <c r="AC1545"/>
  <c r="AD1545"/>
  <c r="P1546"/>
  <c r="W1546"/>
  <c r="Y1546"/>
  <c r="AB1546"/>
  <c r="AC1546"/>
  <c r="AD1546"/>
  <c r="P1547"/>
  <c r="W1547"/>
  <c r="Y1547"/>
  <c r="AB1547"/>
  <c r="AC1547"/>
  <c r="AD1547"/>
  <c r="P1548"/>
  <c r="W1548"/>
  <c r="Y1548"/>
  <c r="AB1548"/>
  <c r="AC1548"/>
  <c r="AD1548"/>
  <c r="P1549"/>
  <c r="W1549"/>
  <c r="Y1549"/>
  <c r="AB1549"/>
  <c r="AC1549"/>
  <c r="AD1549"/>
  <c r="P1550"/>
  <c r="W1550"/>
  <c r="Y1550"/>
  <c r="AB1550"/>
  <c r="AC1550"/>
  <c r="AD1550"/>
  <c r="P1551"/>
  <c r="W1551"/>
  <c r="Y1551"/>
  <c r="AB1551"/>
  <c r="AC1551"/>
  <c r="AD1551"/>
  <c r="P1552"/>
  <c r="W1552"/>
  <c r="Y1552"/>
  <c r="AB1552"/>
  <c r="AC1552"/>
  <c r="AD1552"/>
  <c r="P1553"/>
  <c r="W1553"/>
  <c r="Y1553"/>
  <c r="AB1553"/>
  <c r="AC1553"/>
  <c r="AD1553"/>
  <c r="P1554"/>
  <c r="W1554"/>
  <c r="Y1554"/>
  <c r="AB1554"/>
  <c r="AC1554"/>
  <c r="AD1554"/>
  <c r="P1555"/>
  <c r="W1555"/>
  <c r="Y1555"/>
  <c r="AB1555"/>
  <c r="AC1555"/>
  <c r="AD1555"/>
  <c r="P1556"/>
  <c r="W1556"/>
  <c r="Y1556"/>
  <c r="AB1556"/>
  <c r="AC1556"/>
  <c r="AD1556"/>
  <c r="P1557"/>
  <c r="T1557"/>
  <c r="U1557"/>
  <c r="V1557"/>
  <c r="W1557"/>
  <c r="Y1557"/>
  <c r="AB1557"/>
  <c r="AC1557"/>
  <c r="AD1557"/>
  <c r="P1558"/>
  <c r="T1558"/>
  <c r="U1558"/>
  <c r="V1558"/>
  <c r="W1558"/>
  <c r="Y1558"/>
  <c r="AB1558"/>
  <c r="AC1558"/>
  <c r="AD1558"/>
  <c r="P1559"/>
  <c r="W1559"/>
  <c r="Y1559"/>
  <c r="AB1559"/>
  <c r="AC1559"/>
  <c r="AD1559"/>
  <c r="P1560"/>
  <c r="W1560"/>
  <c r="Y1560"/>
  <c r="AB1560"/>
  <c r="AC1560"/>
  <c r="AD1560"/>
  <c r="P1561"/>
  <c r="W1561"/>
  <c r="Y1561"/>
  <c r="AB1561"/>
  <c r="AC1561"/>
  <c r="AD1561"/>
  <c r="P1562"/>
  <c r="W1562"/>
  <c r="Y1562"/>
  <c r="AB1562"/>
  <c r="AC1562"/>
  <c r="AD1562"/>
  <c r="P1563"/>
  <c r="W1563"/>
  <c r="Y1563"/>
  <c r="AB1563"/>
  <c r="AC1563"/>
  <c r="AD1563"/>
  <c r="P1564"/>
  <c r="W1564"/>
  <c r="Y1564"/>
  <c r="AB1564"/>
  <c r="AC1564"/>
  <c r="AD1564"/>
  <c r="P1565"/>
  <c r="W1565"/>
  <c r="Y1565"/>
  <c r="AB1565"/>
  <c r="AC1565"/>
  <c r="AD1565"/>
  <c r="P1566"/>
  <c r="W1566"/>
  <c r="Y1566"/>
  <c r="AB1566"/>
  <c r="AC1566"/>
  <c r="AD1566"/>
  <c r="P1567"/>
  <c r="W1567"/>
  <c r="Y1567"/>
  <c r="AB1567"/>
  <c r="AC1567"/>
  <c r="AD1567"/>
  <c r="P1568"/>
  <c r="T1568"/>
  <c r="U1568"/>
  <c r="V1568"/>
  <c r="W1568"/>
  <c r="Y1568"/>
  <c r="AB1568"/>
  <c r="AC1568"/>
  <c r="AD1568"/>
  <c r="P1569"/>
  <c r="T1569"/>
  <c r="U1569"/>
  <c r="V1569"/>
  <c r="W1569"/>
  <c r="Y1569"/>
  <c r="AB1569"/>
  <c r="AC1569"/>
  <c r="AD1569"/>
  <c r="P1570"/>
  <c r="T1570"/>
  <c r="U1570"/>
  <c r="V1570"/>
  <c r="W1570"/>
  <c r="Y1570"/>
  <c r="AB1570"/>
  <c r="AC1570"/>
  <c r="AD1570"/>
  <c r="P1571"/>
  <c r="T1571"/>
  <c r="U1571"/>
  <c r="V1571"/>
  <c r="W1571"/>
  <c r="Y1571"/>
  <c r="AB1571"/>
  <c r="AC1571"/>
  <c r="AD1571"/>
  <c r="P1572"/>
  <c r="W1572"/>
  <c r="Y1572"/>
  <c r="AB1572"/>
  <c r="AC1572"/>
  <c r="AD1572"/>
  <c r="P1573"/>
  <c r="W1573"/>
  <c r="Y1573"/>
  <c r="AB1573"/>
  <c r="AC1573"/>
  <c r="AD1573"/>
  <c r="P1574"/>
  <c r="W1574"/>
  <c r="Y1574"/>
  <c r="AB1574"/>
  <c r="AC1574"/>
  <c r="AD1574"/>
  <c r="P1575"/>
  <c r="W1575"/>
  <c r="Y1575"/>
  <c r="AB1575"/>
  <c r="AC1575"/>
  <c r="AD1575"/>
  <c r="P1576"/>
  <c r="W1576"/>
  <c r="Y1576"/>
  <c r="AB1576"/>
  <c r="AC1576"/>
  <c r="AD1576"/>
  <c r="P1577"/>
  <c r="W1577"/>
  <c r="Y1577"/>
  <c r="AB1577"/>
  <c r="AC1577"/>
  <c r="AD1577"/>
  <c r="P1578"/>
  <c r="W1578"/>
  <c r="Y1578"/>
  <c r="AB1578"/>
  <c r="AC1578"/>
  <c r="AD1578"/>
  <c r="P1579"/>
  <c r="W1579"/>
  <c r="Y1579"/>
  <c r="AB1579"/>
  <c r="AC1579"/>
  <c r="AD1579"/>
  <c r="P1580"/>
  <c r="W1580"/>
  <c r="Y1580"/>
  <c r="AB1580"/>
  <c r="AC1580"/>
  <c r="AD1580"/>
  <c r="P1581"/>
  <c r="W1581"/>
  <c r="Y1581"/>
  <c r="AB1581"/>
  <c r="AC1581"/>
  <c r="AD1581"/>
  <c r="P1582"/>
  <c r="W1582"/>
  <c r="Y1582"/>
  <c r="AB1582"/>
  <c r="AC1582"/>
  <c r="AD1582"/>
  <c r="P1583"/>
  <c r="W1583"/>
  <c r="Y1583"/>
  <c r="AB1583"/>
  <c r="AC1583"/>
  <c r="AD1583"/>
  <c r="P1584"/>
  <c r="W1584"/>
  <c r="Y1584"/>
  <c r="AB1584"/>
  <c r="AC1584"/>
  <c r="AD1584"/>
  <c r="P1585"/>
  <c r="W1585"/>
  <c r="Y1585"/>
  <c r="AB1585"/>
  <c r="AC1585"/>
  <c r="AD1585"/>
  <c r="P1586"/>
  <c r="W1586"/>
  <c r="Y1586"/>
  <c r="AB1586"/>
  <c r="AC1586"/>
  <c r="AD1586"/>
  <c r="P1587"/>
  <c r="W1587"/>
  <c r="Y1587"/>
  <c r="AB1587"/>
  <c r="AC1587"/>
  <c r="AD1587"/>
  <c r="P1588"/>
  <c r="W1588"/>
  <c r="Y1588"/>
  <c r="AB1588"/>
  <c r="AC1588"/>
  <c r="AD1588"/>
  <c r="P1589"/>
  <c r="W1589"/>
  <c r="Y1589"/>
  <c r="AB1589"/>
  <c r="AC1589"/>
  <c r="AD1589"/>
  <c r="P1590"/>
  <c r="W1590"/>
  <c r="Y1590"/>
  <c r="AB1590"/>
  <c r="AC1590"/>
  <c r="AD1590"/>
  <c r="P1591"/>
  <c r="W1591"/>
  <c r="Y1591"/>
  <c r="AB1591"/>
  <c r="AC1591"/>
  <c r="AD1591"/>
  <c r="P1592"/>
  <c r="W1592"/>
  <c r="Y1592"/>
  <c r="AB1592"/>
  <c r="AC1592"/>
  <c r="AD1592"/>
  <c r="P1593"/>
  <c r="W1593"/>
  <c r="Y1593"/>
  <c r="AB1593"/>
  <c r="AC1593"/>
  <c r="AD1593"/>
  <c r="P1594"/>
  <c r="W1594"/>
  <c r="Y1594"/>
  <c r="AB1594"/>
  <c r="AC1594"/>
  <c r="AD1594"/>
  <c r="P1595"/>
  <c r="W1595"/>
  <c r="Y1595"/>
  <c r="AB1595"/>
  <c r="AC1595"/>
  <c r="AD1595"/>
  <c r="P1596"/>
  <c r="W1596"/>
  <c r="Y1596"/>
  <c r="AB1596"/>
  <c r="AC1596"/>
  <c r="AD1596"/>
  <c r="P1597"/>
  <c r="W1597"/>
  <c r="Y1597"/>
  <c r="AB1597"/>
  <c r="AC1597"/>
  <c r="AD1597"/>
  <c r="P1598"/>
  <c r="W1598"/>
  <c r="Y1598"/>
  <c r="AB1598"/>
  <c r="AC1598"/>
  <c r="AD1598"/>
  <c r="P1599"/>
  <c r="W1599"/>
  <c r="Y1599"/>
  <c r="AB1599"/>
  <c r="AC1599"/>
  <c r="AD1599"/>
  <c r="P1600"/>
  <c r="W1600"/>
  <c r="Y1600"/>
  <c r="AB1600"/>
  <c r="AC1600"/>
  <c r="AD1600"/>
  <c r="P1601"/>
  <c r="W1601"/>
  <c r="Y1601"/>
  <c r="AB1601"/>
  <c r="AC1601"/>
  <c r="AD1601"/>
  <c r="P1602"/>
  <c r="W1602"/>
  <c r="Y1602"/>
  <c r="AB1602"/>
  <c r="AC1602"/>
  <c r="AD1602"/>
  <c r="P1603"/>
  <c r="T1603"/>
  <c r="U1603"/>
  <c r="V1603"/>
  <c r="W1603"/>
  <c r="Y1603"/>
  <c r="AB1603"/>
  <c r="AC1603"/>
  <c r="AD1603"/>
  <c r="P1604"/>
  <c r="T1604"/>
  <c r="U1604"/>
  <c r="V1604"/>
  <c r="W1604"/>
  <c r="Y1604"/>
  <c r="AB1604"/>
  <c r="AC1604"/>
  <c r="AD1604"/>
  <c r="P1605"/>
  <c r="W1605"/>
  <c r="Y1605"/>
  <c r="AB1605"/>
  <c r="AC1605"/>
  <c r="AD1605"/>
  <c r="P1606"/>
  <c r="W1606"/>
  <c r="Y1606"/>
  <c r="AB1606"/>
  <c r="AC1606"/>
  <c r="AD1606"/>
  <c r="P1607"/>
  <c r="W1607"/>
  <c r="Y1607"/>
  <c r="AB1607"/>
  <c r="AC1607"/>
  <c r="AD1607"/>
  <c r="P1608"/>
  <c r="W1608"/>
  <c r="Y1608"/>
  <c r="AB1608"/>
  <c r="AC1608"/>
  <c r="AD1608"/>
  <c r="P1609"/>
  <c r="W1609"/>
  <c r="Y1609"/>
  <c r="AB1609"/>
  <c r="AC1609"/>
  <c r="AD1609"/>
  <c r="P1610"/>
  <c r="W1610"/>
  <c r="Y1610"/>
  <c r="AB1610"/>
  <c r="AC1610"/>
  <c r="AD1610"/>
  <c r="P1611"/>
  <c r="W1611"/>
  <c r="Y1611"/>
  <c r="AB1611"/>
  <c r="AC1611"/>
  <c r="AD1611"/>
  <c r="P1612"/>
  <c r="T1612"/>
  <c r="U1612"/>
  <c r="V1612"/>
  <c r="W1612"/>
  <c r="Y1612"/>
  <c r="AB1612"/>
  <c r="AC1612"/>
  <c r="AD1612"/>
  <c r="P1613"/>
  <c r="W1613"/>
  <c r="Y1613"/>
  <c r="AB1613"/>
  <c r="AC1613"/>
  <c r="AD1613"/>
  <c r="P1614"/>
  <c r="W1614"/>
  <c r="Y1614"/>
  <c r="AB1614"/>
  <c r="AC1614"/>
  <c r="AD1614"/>
  <c r="P1615"/>
  <c r="W1615"/>
  <c r="Y1615"/>
  <c r="AB1615"/>
  <c r="AC1615"/>
  <c r="AD1615"/>
  <c r="P1616"/>
  <c r="W1616"/>
  <c r="Y1616"/>
  <c r="AB1616"/>
  <c r="AC1616"/>
  <c r="AD1616"/>
  <c r="P1617"/>
  <c r="W1617"/>
  <c r="Y1617"/>
  <c r="AB1617"/>
  <c r="AC1617"/>
  <c r="AD1617"/>
  <c r="P1618"/>
  <c r="W1618"/>
  <c r="Y1618"/>
  <c r="AB1618"/>
  <c r="AC1618"/>
  <c r="AD1618"/>
  <c r="P1619"/>
  <c r="W1619"/>
  <c r="Y1619"/>
  <c r="AB1619"/>
  <c r="AC1619"/>
  <c r="AD1619"/>
  <c r="P1620"/>
  <c r="W1620"/>
  <c r="Y1620"/>
  <c r="AB1620"/>
  <c r="AC1620"/>
  <c r="AD1620"/>
  <c r="P1621"/>
  <c r="W1621"/>
  <c r="Y1621"/>
  <c r="AB1621"/>
  <c r="AC1621"/>
  <c r="AD1621"/>
  <c r="P1622"/>
  <c r="W1622"/>
  <c r="Y1622"/>
  <c r="AB1622"/>
  <c r="AC1622"/>
  <c r="AD1622"/>
  <c r="P1623"/>
  <c r="W1623"/>
  <c r="Y1623"/>
  <c r="AB1623"/>
  <c r="AC1623"/>
  <c r="AD1623"/>
  <c r="P1624"/>
  <c r="W1624"/>
  <c r="Y1624"/>
  <c r="AB1624"/>
  <c r="AC1624"/>
  <c r="AD1624"/>
  <c r="P1625"/>
  <c r="W1625"/>
  <c r="Y1625"/>
  <c r="AB1625"/>
  <c r="AC1625"/>
  <c r="AD1625"/>
  <c r="P1626"/>
  <c r="W1626"/>
  <c r="Y1626"/>
  <c r="AB1626"/>
  <c r="AC1626"/>
  <c r="AD1626"/>
  <c r="P1627"/>
  <c r="W1627"/>
  <c r="Y1627"/>
  <c r="AB1627"/>
  <c r="AC1627"/>
  <c r="AD1627"/>
  <c r="P1628"/>
  <c r="W1628"/>
  <c r="Y1628"/>
  <c r="AB1628"/>
  <c r="AC1628"/>
  <c r="AD1628"/>
  <c r="P1629"/>
  <c r="W1629"/>
  <c r="Y1629"/>
  <c r="AB1629"/>
  <c r="AC1629"/>
  <c r="AD1629"/>
  <c r="P1630"/>
  <c r="W1630"/>
  <c r="Y1630"/>
  <c r="AB1630"/>
  <c r="AC1630"/>
  <c r="AD1630"/>
  <c r="P1631"/>
  <c r="W1631"/>
  <c r="Y1631"/>
  <c r="AB1631"/>
  <c r="AC1631"/>
  <c r="AD1631"/>
  <c r="P1632"/>
  <c r="W1632"/>
  <c r="Y1632"/>
  <c r="AB1632"/>
  <c r="AC1632"/>
  <c r="AD1632"/>
  <c r="P1633"/>
  <c r="W1633"/>
  <c r="Y1633"/>
  <c r="AB1633"/>
  <c r="AC1633"/>
  <c r="AD1633"/>
  <c r="P1634"/>
  <c r="W1634"/>
  <c r="Y1634"/>
  <c r="AB1634"/>
  <c r="AC1634"/>
  <c r="AD1634"/>
  <c r="P1635"/>
  <c r="W1635"/>
  <c r="Y1635"/>
  <c r="AB1635"/>
  <c r="AC1635"/>
  <c r="AD1635"/>
  <c r="P1636"/>
  <c r="W1636"/>
  <c r="Y1636"/>
  <c r="AB1636"/>
  <c r="AC1636"/>
  <c r="AD1636"/>
  <c r="P1637"/>
  <c r="W1637"/>
  <c r="Y1637"/>
  <c r="AB1637"/>
  <c r="AC1637"/>
  <c r="AD1637"/>
  <c r="P1638"/>
  <c r="W1638"/>
  <c r="Y1638"/>
  <c r="AB1638"/>
  <c r="AC1638"/>
  <c r="AD1638"/>
  <c r="P1639"/>
  <c r="W1639"/>
  <c r="Y1639"/>
  <c r="AB1639"/>
  <c r="AC1639"/>
  <c r="AD1639"/>
  <c r="P1640"/>
  <c r="W1640"/>
  <c r="Y1640"/>
  <c r="AB1640"/>
  <c r="AC1640"/>
  <c r="AD1640"/>
  <c r="P1641"/>
  <c r="T1641"/>
  <c r="U1641"/>
  <c r="V1641"/>
  <c r="W1641"/>
  <c r="Y1641"/>
  <c r="AB1641"/>
  <c r="AC1641"/>
  <c r="AD1641"/>
  <c r="P1642"/>
  <c r="T1642"/>
  <c r="U1642"/>
  <c r="V1642"/>
  <c r="W1642"/>
  <c r="Y1642"/>
  <c r="AB1642"/>
  <c r="AC1642"/>
  <c r="AD1642"/>
  <c r="P1643"/>
  <c r="T1643"/>
  <c r="U1643"/>
  <c r="V1643"/>
  <c r="W1643"/>
  <c r="Y1643"/>
  <c r="AB1643"/>
  <c r="AC1643"/>
  <c r="AD1643"/>
  <c r="P1644"/>
  <c r="T1644"/>
  <c r="U1644"/>
  <c r="V1644"/>
  <c r="W1644"/>
  <c r="Y1644"/>
  <c r="AB1644"/>
  <c r="AC1644"/>
  <c r="AD1644"/>
  <c r="P1645"/>
  <c r="T1645"/>
  <c r="U1645"/>
  <c r="V1645"/>
  <c r="W1645"/>
  <c r="Y1645"/>
  <c r="AB1645"/>
  <c r="AC1645"/>
  <c r="AD1645"/>
  <c r="P1646"/>
  <c r="T1646"/>
  <c r="U1646"/>
  <c r="V1646"/>
  <c r="W1646"/>
  <c r="Y1646"/>
  <c r="AB1646"/>
  <c r="AC1646"/>
  <c r="AD1646"/>
  <c r="P1647"/>
  <c r="T1647"/>
  <c r="U1647"/>
  <c r="V1647"/>
  <c r="W1647"/>
  <c r="Y1647"/>
  <c r="AB1647"/>
  <c r="AC1647"/>
  <c r="AD1647"/>
  <c r="P1648"/>
  <c r="W1648"/>
  <c r="Y1648"/>
  <c r="AB1648"/>
  <c r="AC1648"/>
  <c r="AD1648"/>
  <c r="P1649"/>
  <c r="W1649"/>
  <c r="Y1649"/>
  <c r="AB1649"/>
  <c r="AC1649"/>
  <c r="AD1649"/>
  <c r="P1650"/>
  <c r="W1650"/>
  <c r="Y1650"/>
  <c r="AB1650"/>
  <c r="AC1650"/>
  <c r="AD1650"/>
  <c r="P1651"/>
  <c r="W1651"/>
  <c r="Y1651"/>
  <c r="AB1651"/>
  <c r="AC1651"/>
  <c r="AD1651"/>
  <c r="P1652"/>
  <c r="W1652"/>
  <c r="Y1652"/>
  <c r="AB1652"/>
  <c r="AC1652"/>
  <c r="AD1652"/>
  <c r="P1653"/>
  <c r="W1653"/>
  <c r="Y1653"/>
  <c r="AB1653"/>
  <c r="AC1653"/>
  <c r="AD1653"/>
  <c r="P1654"/>
  <c r="W1654"/>
  <c r="Y1654"/>
  <c r="AB1654"/>
  <c r="AC1654"/>
  <c r="AD1654"/>
  <c r="P1655"/>
  <c r="T1655"/>
  <c r="U1655"/>
  <c r="V1655"/>
  <c r="W1655"/>
  <c r="Y1655"/>
  <c r="AB1655"/>
  <c r="AC1655"/>
  <c r="AD1655"/>
  <c r="P1656"/>
  <c r="T1656"/>
  <c r="U1656"/>
  <c r="V1656"/>
  <c r="W1656"/>
  <c r="Y1656"/>
  <c r="AB1656"/>
  <c r="AC1656"/>
  <c r="AD1656"/>
  <c r="P1657"/>
  <c r="T1657"/>
  <c r="U1657"/>
  <c r="V1657"/>
  <c r="W1657"/>
  <c r="Y1657"/>
  <c r="AB1657"/>
  <c r="AC1657"/>
  <c r="AD1657"/>
  <c r="P1658"/>
  <c r="T1658"/>
  <c r="U1658"/>
  <c r="V1658"/>
  <c r="W1658"/>
  <c r="Y1658"/>
  <c r="AB1658"/>
  <c r="AC1658"/>
  <c r="AD1658"/>
  <c r="P1659"/>
  <c r="T1659"/>
  <c r="U1659"/>
  <c r="V1659"/>
  <c r="W1659"/>
  <c r="Y1659"/>
  <c r="AB1659"/>
  <c r="AC1659"/>
  <c r="AD1659"/>
  <c r="P1660"/>
  <c r="W1660"/>
  <c r="Y1660"/>
  <c r="AB1660"/>
  <c r="AC1660"/>
  <c r="AD1660"/>
  <c r="P1661"/>
  <c r="W1661"/>
  <c r="Y1661"/>
  <c r="AB1661"/>
  <c r="AC1661"/>
  <c r="AD1661"/>
  <c r="P1662"/>
  <c r="W1662"/>
  <c r="Y1662"/>
  <c r="AB1662"/>
  <c r="AC1662"/>
  <c r="AD1662"/>
  <c r="P1663"/>
  <c r="W1663"/>
  <c r="Y1663"/>
  <c r="AB1663"/>
  <c r="AC1663"/>
  <c r="AD1663"/>
  <c r="P1668"/>
  <c r="W1668"/>
  <c r="Y1668"/>
  <c r="AB1668"/>
  <c r="AC1668"/>
  <c r="AD1668"/>
  <c r="P1671"/>
  <c r="W1671"/>
  <c r="Y1671"/>
  <c r="AB1671"/>
  <c r="AC1671"/>
  <c r="AD1671"/>
  <c r="P1674"/>
  <c r="W1674"/>
  <c r="Y1674"/>
  <c r="AB1674"/>
  <c r="AC1674"/>
  <c r="AD1674"/>
  <c r="P1677"/>
  <c r="W1677"/>
  <c r="Y1677"/>
  <c r="AB1677"/>
  <c r="AC1677"/>
  <c r="AD1677"/>
  <c r="P1664"/>
  <c r="W1664"/>
  <c r="Y1664"/>
  <c r="AB1664"/>
  <c r="AC1664"/>
  <c r="AD1664"/>
  <c r="P1678"/>
  <c r="W1678"/>
  <c r="Y1678"/>
  <c r="AB1678"/>
  <c r="AC1678"/>
  <c r="AD1678"/>
  <c r="P1681"/>
  <c r="W1681"/>
  <c r="Y1681"/>
  <c r="AB1681"/>
  <c r="AC1681"/>
  <c r="AD1681"/>
  <c r="P1684"/>
  <c r="W1684"/>
  <c r="Y1684"/>
  <c r="AB1684"/>
  <c r="AC1684"/>
  <c r="AD1684"/>
  <c r="P1687"/>
  <c r="W1687"/>
  <c r="Y1687"/>
  <c r="AB1687"/>
  <c r="AC1687"/>
  <c r="AD1687"/>
  <c r="P1690"/>
  <c r="W1690"/>
  <c r="Y1690"/>
  <c r="AB1690"/>
  <c r="AC1690"/>
  <c r="AD1690"/>
  <c r="P1693"/>
  <c r="W1693"/>
  <c r="Y1693"/>
  <c r="AB1693"/>
  <c r="AC1693"/>
  <c r="AD1693"/>
  <c r="P1696"/>
  <c r="W1696"/>
  <c r="Y1696"/>
  <c r="AB1696"/>
  <c r="AC1696"/>
  <c r="AD1696"/>
  <c r="P1699"/>
  <c r="W1699"/>
  <c r="Y1699"/>
  <c r="AB1699"/>
  <c r="AC1699"/>
  <c r="AD1699"/>
  <c r="P1700"/>
  <c r="W1700"/>
  <c r="Y1700"/>
  <c r="AB1700"/>
  <c r="AC1700"/>
  <c r="AD1700"/>
  <c r="P1697"/>
  <c r="W1697"/>
  <c r="Y1697"/>
  <c r="AB1697"/>
  <c r="AC1697"/>
  <c r="AD1697"/>
  <c r="P1694"/>
  <c r="W1694"/>
  <c r="Y1694"/>
  <c r="AB1694"/>
  <c r="AC1694"/>
  <c r="AD1694"/>
  <c r="P1666"/>
  <c r="W1666"/>
  <c r="Y1666"/>
  <c r="AB1666"/>
  <c r="AC1666"/>
  <c r="AD1666"/>
  <c r="P1669"/>
  <c r="W1669"/>
  <c r="Y1669"/>
  <c r="AB1669"/>
  <c r="AC1669"/>
  <c r="AD1669"/>
  <c r="P1672"/>
  <c r="W1672"/>
  <c r="Y1672"/>
  <c r="AB1672"/>
  <c r="AC1672"/>
  <c r="AD1672"/>
  <c r="P1675"/>
  <c r="W1675"/>
  <c r="Y1675"/>
  <c r="AB1675"/>
  <c r="AC1675"/>
  <c r="AD1675"/>
  <c r="P1691"/>
  <c r="W1691"/>
  <c r="Y1691"/>
  <c r="AB1691"/>
  <c r="AC1691"/>
  <c r="AD1691"/>
  <c r="P1679"/>
  <c r="W1679"/>
  <c r="Y1679"/>
  <c r="AB1679"/>
  <c r="AC1679"/>
  <c r="AD1679"/>
  <c r="P1682"/>
  <c r="W1682"/>
  <c r="Y1682"/>
  <c r="AB1682"/>
  <c r="AC1682"/>
  <c r="AD1682"/>
  <c r="P1685"/>
  <c r="W1685"/>
  <c r="Y1685"/>
  <c r="AB1685"/>
  <c r="AC1685"/>
  <c r="AD1685"/>
  <c r="P1688"/>
  <c r="W1688"/>
  <c r="Y1688"/>
  <c r="AB1688"/>
  <c r="AC1688"/>
  <c r="AD1688"/>
  <c r="P1665"/>
  <c r="W1665"/>
  <c r="Y1665"/>
  <c r="AB1665"/>
  <c r="AC1665"/>
  <c r="AD1665"/>
  <c r="P1702"/>
  <c r="W1702"/>
  <c r="Y1702"/>
  <c r="AB1702"/>
  <c r="AC1702"/>
  <c r="AD1702"/>
  <c r="P1703"/>
  <c r="W1703"/>
  <c r="Y1703"/>
  <c r="AB1703"/>
  <c r="AC1703"/>
  <c r="AD1703"/>
  <c r="P1701"/>
  <c r="T1701"/>
  <c r="U1701"/>
  <c r="V1701"/>
  <c r="W1701"/>
  <c r="Y1701"/>
  <c r="AB1701"/>
  <c r="AC1701"/>
  <c r="AD1701"/>
  <c r="P1698"/>
  <c r="T1698"/>
  <c r="U1698"/>
  <c r="V1698"/>
  <c r="W1698"/>
  <c r="Y1698"/>
  <c r="AB1698"/>
  <c r="AC1698"/>
  <c r="AD1698"/>
  <c r="P1695"/>
  <c r="T1695"/>
  <c r="U1695"/>
  <c r="V1695"/>
  <c r="W1695"/>
  <c r="Y1695"/>
  <c r="AB1695"/>
  <c r="AC1695"/>
  <c r="AD1695"/>
  <c r="P1667"/>
  <c r="T1667"/>
  <c r="U1667"/>
  <c r="V1667"/>
  <c r="W1667"/>
  <c r="Y1667"/>
  <c r="AB1667"/>
  <c r="AC1667"/>
  <c r="AD1667"/>
  <c r="P1670"/>
  <c r="T1670"/>
  <c r="U1670"/>
  <c r="V1670"/>
  <c r="W1670"/>
  <c r="Y1670"/>
  <c r="AB1670"/>
  <c r="AC1670"/>
  <c r="AD1670"/>
  <c r="P1673"/>
  <c r="T1673"/>
  <c r="U1673"/>
  <c r="V1673"/>
  <c r="W1673"/>
  <c r="Y1673"/>
  <c r="AB1673"/>
  <c r="AC1673"/>
  <c r="AD1673"/>
  <c r="P1676"/>
  <c r="T1676"/>
  <c r="U1676"/>
  <c r="V1676"/>
  <c r="W1676"/>
  <c r="Y1676"/>
  <c r="AB1676"/>
  <c r="AC1676"/>
  <c r="AD1676"/>
  <c r="P1692"/>
  <c r="T1692"/>
  <c r="U1692"/>
  <c r="V1692"/>
  <c r="W1692"/>
  <c r="Y1692"/>
  <c r="AB1692"/>
  <c r="AC1692"/>
  <c r="AD1692"/>
  <c r="P1680"/>
  <c r="T1680"/>
  <c r="U1680"/>
  <c r="V1680"/>
  <c r="W1680"/>
  <c r="Y1680"/>
  <c r="AB1680"/>
  <c r="AC1680"/>
  <c r="AD1680"/>
  <c r="P1683"/>
  <c r="T1683"/>
  <c r="U1683"/>
  <c r="V1683"/>
  <c r="W1683"/>
  <c r="Y1683"/>
  <c r="AB1683"/>
  <c r="AC1683"/>
  <c r="AD1683"/>
  <c r="P1686"/>
  <c r="T1686"/>
  <c r="U1686"/>
  <c r="V1686"/>
  <c r="W1686"/>
  <c r="Y1686"/>
  <c r="AB1686"/>
  <c r="AC1686"/>
  <c r="AD1686"/>
  <c r="P1689"/>
  <c r="T1689"/>
  <c r="U1689"/>
  <c r="V1689"/>
  <c r="W1689"/>
  <c r="Y1689"/>
  <c r="AB1689"/>
  <c r="AC1689"/>
  <c r="AD1689"/>
  <c r="P1704"/>
  <c r="T1704"/>
  <c r="U1704"/>
  <c r="V1704"/>
  <c r="W1704"/>
  <c r="Y1704"/>
  <c r="AB1704"/>
  <c r="AC1704"/>
  <c r="AD1704"/>
  <c r="P1705"/>
  <c r="T1705"/>
  <c r="U1705"/>
  <c r="V1705"/>
  <c r="W1705"/>
  <c r="Y1705"/>
  <c r="AB1705"/>
  <c r="AC1705"/>
  <c r="AD1705"/>
  <c r="P1706"/>
  <c r="T1706"/>
  <c r="U1706"/>
  <c r="V1706"/>
  <c r="W1706"/>
  <c r="Y1706"/>
  <c r="AB1706"/>
  <c r="AC1706"/>
  <c r="AD1706"/>
  <c r="P1707"/>
  <c r="T1707"/>
  <c r="U1707"/>
  <c r="V1707"/>
  <c r="W1707"/>
  <c r="Y1707"/>
  <c r="AB1707"/>
  <c r="AC1707"/>
  <c r="AD1707"/>
  <c r="P1708"/>
  <c r="T1708"/>
  <c r="U1708"/>
  <c r="V1708"/>
  <c r="W1708"/>
  <c r="Y1708"/>
  <c r="AB1708"/>
  <c r="AC1708"/>
  <c r="AD1708"/>
  <c r="P1709"/>
  <c r="T1709"/>
  <c r="U1709"/>
  <c r="V1709"/>
  <c r="W1709"/>
  <c r="Y1709"/>
  <c r="AB1709"/>
  <c r="AC1709"/>
  <c r="AD1709"/>
  <c r="P1710"/>
  <c r="T1710"/>
  <c r="U1710"/>
  <c r="V1710"/>
  <c r="W1710"/>
  <c r="Y1710"/>
  <c r="AB1710"/>
  <c r="AC1710"/>
  <c r="AD1710"/>
  <c r="P1711"/>
  <c r="T1711"/>
  <c r="U1711"/>
  <c r="V1711"/>
  <c r="W1711"/>
  <c r="Y1711"/>
  <c r="AB1711"/>
  <c r="AC1711"/>
  <c r="AD1711"/>
  <c r="P1712"/>
  <c r="T1712"/>
  <c r="U1712"/>
  <c r="V1712"/>
  <c r="W1712"/>
  <c r="Y1712"/>
  <c r="AB1712"/>
  <c r="AC1712"/>
  <c r="AD1712"/>
  <c r="P1713"/>
  <c r="W1713"/>
  <c r="Y1713"/>
  <c r="AB1713"/>
  <c r="AC1713"/>
  <c r="AD1713"/>
  <c r="P1714"/>
  <c r="W1714"/>
  <c r="Y1714"/>
  <c r="AB1714"/>
  <c r="AC1714"/>
  <c r="AD1714"/>
  <c r="P1715"/>
  <c r="T1715"/>
  <c r="U1715"/>
  <c r="V1715"/>
  <c r="W1715"/>
  <c r="Y1715"/>
  <c r="AB1715"/>
  <c r="AC1715"/>
  <c r="AD1715"/>
  <c r="P1716"/>
  <c r="W1716"/>
  <c r="Y1716"/>
  <c r="AB1716"/>
  <c r="AC1716"/>
  <c r="AD1716"/>
  <c r="P1717"/>
  <c r="W1717"/>
  <c r="Y1717"/>
  <c r="AB1717"/>
  <c r="AC1717"/>
  <c r="AD1717"/>
  <c r="P1718"/>
  <c r="W1718"/>
  <c r="Y1718"/>
  <c r="AB1718"/>
  <c r="AC1718"/>
  <c r="AD1718"/>
  <c r="P1719"/>
  <c r="W1719"/>
  <c r="Y1719"/>
  <c r="AB1719"/>
  <c r="AC1719"/>
  <c r="AD1719"/>
  <c r="P1720"/>
  <c r="W1720"/>
  <c r="Y1720"/>
  <c r="AB1720"/>
  <c r="AC1720"/>
  <c r="AD1720"/>
  <c r="P1721"/>
  <c r="W1721"/>
  <c r="Y1721"/>
  <c r="AB1721"/>
  <c r="AC1721"/>
  <c r="AD1721"/>
  <c r="P1722"/>
  <c r="W1722"/>
  <c r="Y1722"/>
  <c r="AB1722"/>
  <c r="AC1722"/>
  <c r="AD1722"/>
  <c r="P1723"/>
  <c r="W1723"/>
  <c r="Y1723"/>
  <c r="AB1723"/>
  <c r="AC1723"/>
  <c r="AD1723"/>
  <c r="P1724"/>
  <c r="W1724"/>
  <c r="Y1724"/>
  <c r="AB1724"/>
  <c r="AC1724"/>
  <c r="AD1724"/>
  <c r="P1725"/>
  <c r="T1725"/>
  <c r="U1725"/>
  <c r="V1725"/>
  <c r="W1725"/>
  <c r="Y1725"/>
  <c r="AB1725"/>
  <c r="AC1725"/>
  <c r="AD1725"/>
  <c r="P1726"/>
  <c r="T1726"/>
  <c r="U1726"/>
  <c r="V1726"/>
  <c r="W1726"/>
  <c r="Y1726"/>
  <c r="AB1726"/>
  <c r="AC1726"/>
  <c r="AD1726"/>
  <c r="P1727"/>
  <c r="T1727"/>
  <c r="U1727"/>
  <c r="V1727"/>
  <c r="W1727"/>
  <c r="Y1727"/>
  <c r="AB1727"/>
  <c r="AC1727"/>
  <c r="AD1727"/>
  <c r="P1728"/>
  <c r="T1728"/>
  <c r="U1728"/>
  <c r="V1728"/>
  <c r="W1728"/>
  <c r="Y1728"/>
  <c r="AB1728"/>
  <c r="AC1728"/>
  <c r="AD1728"/>
  <c r="P1729"/>
  <c r="T1729"/>
  <c r="U1729"/>
  <c r="V1729"/>
  <c r="W1729"/>
  <c r="Y1729"/>
  <c r="AB1729"/>
  <c r="AC1729"/>
  <c r="AD1729"/>
  <c r="P1730"/>
  <c r="T1730"/>
  <c r="U1730"/>
  <c r="V1730"/>
  <c r="W1730"/>
  <c r="Y1730"/>
  <c r="AB1730"/>
  <c r="AC1730"/>
  <c r="AD1730"/>
  <c r="P1731"/>
  <c r="T1731"/>
  <c r="U1731"/>
  <c r="V1731"/>
  <c r="W1731"/>
  <c r="Y1731"/>
  <c r="AB1731"/>
  <c r="AC1731"/>
  <c r="AD1731"/>
  <c r="P1732"/>
  <c r="T1732"/>
  <c r="U1732"/>
  <c r="V1732"/>
  <c r="W1732"/>
  <c r="Y1732"/>
  <c r="AB1732"/>
  <c r="AC1732"/>
  <c r="AD1732"/>
  <c r="P1733"/>
  <c r="W1733"/>
  <c r="Y1733"/>
  <c r="AB1733"/>
  <c r="AC1733"/>
  <c r="AD1733"/>
  <c r="P1734"/>
  <c r="W1734"/>
  <c r="Y1734"/>
  <c r="AB1734"/>
  <c r="AC1734"/>
  <c r="AD1734"/>
  <c r="P1735"/>
  <c r="W1735"/>
  <c r="Y1735"/>
  <c r="AB1735"/>
  <c r="AC1735"/>
  <c r="AD1735"/>
  <c r="P1736"/>
  <c r="W1736"/>
  <c r="Y1736"/>
  <c r="AB1736"/>
  <c r="AC1736"/>
  <c r="AD1736"/>
  <c r="P1737"/>
  <c r="W1737"/>
  <c r="Y1737"/>
  <c r="AB1737"/>
  <c r="AC1737"/>
  <c r="AD1737"/>
  <c r="P1738"/>
  <c r="W1738"/>
  <c r="Y1738"/>
  <c r="AB1738"/>
  <c r="AC1738"/>
  <c r="AD1738"/>
  <c r="P1739"/>
  <c r="W1739"/>
  <c r="Y1739"/>
  <c r="AB1739"/>
  <c r="AC1739"/>
  <c r="AD1739"/>
  <c r="P1740"/>
  <c r="W1740"/>
  <c r="Y1740"/>
  <c r="AB1740"/>
  <c r="AC1740"/>
  <c r="AD1740"/>
  <c r="P1741"/>
  <c r="W1741"/>
  <c r="Y1741"/>
  <c r="AB1741"/>
  <c r="AC1741"/>
  <c r="AD1741"/>
  <c r="P1742"/>
  <c r="W1742"/>
  <c r="Y1742"/>
  <c r="AB1742"/>
  <c r="AC1742"/>
  <c r="AD1742"/>
  <c r="P1743"/>
  <c r="W1743"/>
  <c r="Y1743"/>
  <c r="AB1743"/>
  <c r="AC1743"/>
  <c r="AD1743"/>
  <c r="P1744"/>
  <c r="W1744"/>
  <c r="Y1744"/>
  <c r="AB1744"/>
  <c r="AC1744"/>
  <c r="AD1744"/>
  <c r="P1745"/>
  <c r="W1745"/>
  <c r="Y1745"/>
  <c r="AB1745"/>
  <c r="AC1745"/>
  <c r="AD1745"/>
  <c r="P1746"/>
  <c r="W1746"/>
  <c r="Y1746"/>
  <c r="AB1746"/>
  <c r="AC1746"/>
  <c r="AD1746"/>
  <c r="P1747"/>
  <c r="W1747"/>
  <c r="Y1747"/>
  <c r="AB1747"/>
  <c r="AC1747"/>
  <c r="AD1747"/>
  <c r="P1748"/>
  <c r="W1748"/>
  <c r="Y1748"/>
  <c r="AB1748"/>
  <c r="AC1748"/>
  <c r="AD1748"/>
  <c r="P1749"/>
  <c r="W1749"/>
  <c r="Y1749"/>
  <c r="AB1749"/>
  <c r="AC1749"/>
  <c r="AD1749"/>
  <c r="P1750"/>
  <c r="W1750"/>
  <c r="Y1750"/>
  <c r="AB1750"/>
  <c r="AC1750"/>
  <c r="AD1750"/>
  <c r="P1751"/>
  <c r="W1751"/>
  <c r="Y1751"/>
  <c r="AB1751"/>
  <c r="AC1751"/>
  <c r="AD1751"/>
  <c r="P1752"/>
  <c r="W1752"/>
  <c r="Y1752"/>
  <c r="AB1752"/>
  <c r="AC1752"/>
  <c r="AD1752"/>
  <c r="P1753"/>
  <c r="W1753"/>
  <c r="Y1753"/>
  <c r="AB1753"/>
  <c r="AC1753"/>
  <c r="AD1753"/>
  <c r="P1754"/>
  <c r="W1754"/>
  <c r="Y1754"/>
  <c r="AB1754"/>
  <c r="AC1754"/>
  <c r="AD1754"/>
  <c r="P1755"/>
  <c r="W1755"/>
  <c r="Y1755"/>
  <c r="AB1755"/>
  <c r="AC1755"/>
  <c r="AD1755"/>
  <c r="P1756"/>
  <c r="W1756"/>
  <c r="Y1756"/>
  <c r="AB1756"/>
  <c r="AC1756"/>
  <c r="AD1756"/>
  <c r="P1757"/>
  <c r="W1757"/>
  <c r="Y1757"/>
  <c r="AB1757"/>
  <c r="AC1757"/>
  <c r="AD1757"/>
  <c r="P1758"/>
  <c r="T1758"/>
  <c r="U1758"/>
  <c r="V1758"/>
  <c r="W1758"/>
  <c r="Y1758"/>
  <c r="AB1758"/>
  <c r="AC1758"/>
  <c r="AD1758"/>
  <c r="P1759"/>
  <c r="T1759"/>
  <c r="U1759"/>
  <c r="V1759"/>
  <c r="W1759"/>
  <c r="Y1759"/>
  <c r="AB1759"/>
  <c r="AC1759"/>
  <c r="AD1759"/>
  <c r="P1760"/>
  <c r="T1760"/>
  <c r="U1760"/>
  <c r="V1760"/>
  <c r="W1760"/>
  <c r="Y1760"/>
  <c r="AB1760"/>
  <c r="AC1760"/>
  <c r="AD1760"/>
  <c r="P1761"/>
  <c r="T1761"/>
  <c r="U1761"/>
  <c r="V1761"/>
  <c r="W1761"/>
  <c r="Y1761"/>
  <c r="AB1761"/>
  <c r="AC1761"/>
  <c r="AD1761"/>
  <c r="P1762"/>
  <c r="T1762"/>
  <c r="U1762"/>
  <c r="V1762"/>
  <c r="W1762"/>
  <c r="Y1762"/>
  <c r="AB1762"/>
  <c r="AC1762"/>
  <c r="AD1762"/>
  <c r="P1763"/>
  <c r="T1763"/>
  <c r="U1763"/>
  <c r="V1763"/>
  <c r="W1763"/>
  <c r="Y1763"/>
  <c r="AB1763"/>
  <c r="AC1763"/>
  <c r="AD1763"/>
  <c r="P1764"/>
  <c r="T1764"/>
  <c r="U1764"/>
  <c r="V1764"/>
  <c r="W1764"/>
  <c r="Y1764"/>
  <c r="AB1764"/>
  <c r="AC1764"/>
  <c r="AD1764"/>
  <c r="P1766"/>
  <c r="T1766"/>
  <c r="U1766"/>
  <c r="V1766"/>
  <c r="W1766"/>
  <c r="Y1766"/>
  <c r="AB1766"/>
  <c r="AC1766"/>
  <c r="AD1766"/>
  <c r="P1767"/>
  <c r="T1767"/>
  <c r="U1767"/>
  <c r="V1767"/>
  <c r="W1767"/>
  <c r="Y1767"/>
  <c r="AB1767"/>
  <c r="AC1767"/>
  <c r="AD1767"/>
  <c r="P1768"/>
  <c r="T1768"/>
  <c r="U1768"/>
  <c r="V1768"/>
  <c r="W1768"/>
  <c r="Y1768"/>
  <c r="AB1768"/>
  <c r="AC1768"/>
  <c r="AD1768"/>
  <c r="P1769"/>
  <c r="T1769"/>
  <c r="U1769"/>
  <c r="V1769"/>
  <c r="W1769"/>
  <c r="Y1769"/>
  <c r="AB1769"/>
  <c r="AC1769"/>
  <c r="AD1769"/>
  <c r="P1770"/>
  <c r="T1770"/>
  <c r="U1770"/>
  <c r="V1770"/>
  <c r="W1770"/>
  <c r="Y1770"/>
  <c r="AB1770"/>
  <c r="AC1770"/>
  <c r="AD1770"/>
  <c r="P1771"/>
  <c r="T1771"/>
  <c r="U1771"/>
  <c r="V1771"/>
  <c r="W1771"/>
  <c r="Y1771"/>
  <c r="AB1771"/>
  <c r="AC1771"/>
  <c r="AD1771"/>
  <c r="P1772"/>
  <c r="T1772"/>
  <c r="U1772"/>
  <c r="V1772"/>
  <c r="W1772"/>
  <c r="Y1772"/>
  <c r="AB1772"/>
  <c r="AC1772"/>
  <c r="AD1772"/>
  <c r="P1773"/>
  <c r="T1773"/>
  <c r="U1773"/>
  <c r="V1773"/>
  <c r="W1773"/>
  <c r="Y1773"/>
  <c r="AB1773"/>
  <c r="AC1773"/>
  <c r="AD1773"/>
  <c r="P1774"/>
  <c r="T1774"/>
  <c r="U1774"/>
  <c r="V1774"/>
  <c r="W1774"/>
  <c r="Y1774"/>
  <c r="AB1774"/>
  <c r="AC1774"/>
  <c r="AD1774"/>
  <c r="P1775"/>
  <c r="T1775"/>
  <c r="U1775"/>
  <c r="V1775"/>
  <c r="W1775"/>
  <c r="Y1775"/>
  <c r="AB1775"/>
  <c r="AC1775"/>
  <c r="AD1775"/>
  <c r="P1776"/>
  <c r="T1776"/>
  <c r="U1776"/>
  <c r="V1776"/>
  <c r="W1776"/>
  <c r="Y1776"/>
  <c r="AB1776"/>
  <c r="AC1776"/>
  <c r="AD1776"/>
  <c r="P1777"/>
  <c r="T1777"/>
  <c r="U1777"/>
  <c r="V1777"/>
  <c r="W1777"/>
  <c r="Y1777"/>
  <c r="AB1777"/>
  <c r="AC1777"/>
  <c r="AD1777"/>
  <c r="P1778"/>
  <c r="T1778"/>
  <c r="U1778"/>
  <c r="V1778"/>
  <c r="W1778"/>
  <c r="Y1778"/>
  <c r="AB1778"/>
  <c r="AC1778"/>
  <c r="AD1778"/>
  <c r="P1779"/>
  <c r="T1779"/>
  <c r="U1779"/>
  <c r="V1779"/>
  <c r="W1779"/>
  <c r="Y1779"/>
  <c r="AB1779"/>
  <c r="AC1779"/>
  <c r="AD1779"/>
  <c r="P1780"/>
  <c r="T1780"/>
  <c r="U1780"/>
  <c r="V1780"/>
  <c r="W1780"/>
  <c r="Y1780"/>
  <c r="AB1780"/>
  <c r="AC1780"/>
  <c r="AD1780"/>
  <c r="P1781"/>
  <c r="T1781"/>
  <c r="U1781"/>
  <c r="V1781"/>
  <c r="W1781"/>
  <c r="Y1781"/>
  <c r="AB1781"/>
  <c r="AC1781"/>
  <c r="AD1781"/>
  <c r="P1782"/>
  <c r="T1782"/>
  <c r="U1782"/>
  <c r="V1782"/>
  <c r="W1782"/>
  <c r="Y1782"/>
  <c r="AB1782"/>
  <c r="AC1782"/>
  <c r="AD1782"/>
  <c r="P1783"/>
  <c r="T1783"/>
  <c r="U1783"/>
  <c r="V1783"/>
  <c r="W1783"/>
  <c r="Y1783"/>
  <c r="AB1783"/>
  <c r="AC1783"/>
  <c r="AD1783"/>
  <c r="P1784"/>
  <c r="T1784"/>
  <c r="U1784"/>
  <c r="V1784"/>
  <c r="W1784"/>
  <c r="Y1784"/>
  <c r="AB1784"/>
  <c r="AC1784"/>
  <c r="AD1784"/>
  <c r="P1785"/>
  <c r="T1785"/>
  <c r="U1785"/>
  <c r="V1785"/>
  <c r="W1785"/>
  <c r="Y1785"/>
  <c r="AB1785"/>
  <c r="AC1785"/>
  <c r="AD1785"/>
  <c r="P1786"/>
  <c r="W1786"/>
  <c r="Y1786"/>
  <c r="AB1786"/>
  <c r="AC1786"/>
  <c r="AD1786"/>
  <c r="P1787"/>
  <c r="W1787"/>
  <c r="Y1787"/>
  <c r="AB1787"/>
  <c r="AC1787"/>
  <c r="AD1787"/>
  <c r="P1788"/>
  <c r="W1788"/>
  <c r="Y1788"/>
  <c r="AB1788"/>
  <c r="AC1788"/>
  <c r="AD1788"/>
  <c r="P1789"/>
  <c r="T1789"/>
  <c r="U1789"/>
  <c r="V1789"/>
  <c r="W1789"/>
  <c r="Y1789"/>
  <c r="AB1789"/>
  <c r="AC1789"/>
  <c r="AD1789"/>
  <c r="P1790"/>
  <c r="W1790"/>
  <c r="Y1790"/>
  <c r="AB1790"/>
  <c r="AC1790"/>
  <c r="AD1790"/>
  <c r="P1791"/>
  <c r="T1791"/>
  <c r="U1791"/>
  <c r="V1791"/>
  <c r="W1791"/>
  <c r="Y1791"/>
  <c r="AB1791"/>
  <c r="AC1791"/>
  <c r="AD1791"/>
  <c r="P1937"/>
  <c r="T1937"/>
  <c r="U1937"/>
  <c r="V1937"/>
  <c r="W1937"/>
  <c r="Y1937"/>
  <c r="AB1937"/>
  <c r="AC1937"/>
  <c r="AD1937"/>
  <c r="P1938"/>
  <c r="T1938"/>
  <c r="U1938"/>
  <c r="V1938"/>
  <c r="W1938"/>
  <c r="Y1938"/>
  <c r="AB1938"/>
  <c r="AC1938"/>
  <c r="AD1938"/>
  <c r="P1792"/>
  <c r="T1792"/>
  <c r="U1792"/>
  <c r="V1792"/>
  <c r="W1792"/>
  <c r="Y1792"/>
  <c r="AB1792"/>
  <c r="AC1792"/>
  <c r="AD1792"/>
  <c r="P1793"/>
  <c r="T1793"/>
  <c r="U1793"/>
  <c r="V1793"/>
  <c r="W1793"/>
  <c r="Y1793"/>
  <c r="AB1793"/>
  <c r="AC1793"/>
  <c r="AD1793"/>
  <c r="P1794"/>
  <c r="T1794"/>
  <c r="U1794"/>
  <c r="V1794"/>
  <c r="W1794"/>
  <c r="Y1794"/>
  <c r="AB1794"/>
  <c r="AC1794"/>
  <c r="AD1794"/>
  <c r="P1796"/>
  <c r="T1796"/>
  <c r="U1796"/>
  <c r="V1796"/>
  <c r="W1796"/>
  <c r="Y1796"/>
  <c r="AB1796"/>
  <c r="AC1796"/>
  <c r="AD1796"/>
  <c r="P1797"/>
  <c r="T1797"/>
  <c r="U1797"/>
  <c r="V1797"/>
  <c r="W1797"/>
  <c r="Y1797"/>
  <c r="AB1797"/>
  <c r="AC1797"/>
  <c r="AD1797"/>
  <c r="P1798"/>
  <c r="T1798"/>
  <c r="U1798"/>
  <c r="V1798"/>
  <c r="W1798"/>
  <c r="Y1798"/>
  <c r="AB1798"/>
  <c r="AC1798"/>
  <c r="AD1798"/>
  <c r="P1799"/>
  <c r="T1799"/>
  <c r="U1799"/>
  <c r="V1799"/>
  <c r="W1799"/>
  <c r="Y1799"/>
  <c r="AB1799"/>
  <c r="AC1799"/>
  <c r="AD1799"/>
  <c r="P1800"/>
  <c r="T1800"/>
  <c r="U1800"/>
  <c r="V1800"/>
  <c r="W1800"/>
  <c r="Y1800"/>
  <c r="AB1800"/>
  <c r="AC1800"/>
  <c r="AD1800"/>
  <c r="P1801"/>
  <c r="T1801"/>
  <c r="U1801"/>
  <c r="V1801"/>
  <c r="W1801"/>
  <c r="Y1801"/>
  <c r="AB1801"/>
  <c r="AC1801"/>
  <c r="AD1801"/>
  <c r="P1802"/>
  <c r="T1802"/>
  <c r="U1802"/>
  <c r="V1802"/>
  <c r="W1802"/>
  <c r="Y1802"/>
  <c r="AB1802"/>
  <c r="AC1802"/>
  <c r="AD1802"/>
  <c r="P1803"/>
  <c r="T1803"/>
  <c r="U1803"/>
  <c r="V1803"/>
  <c r="W1803"/>
  <c r="Y1803"/>
  <c r="AB1803"/>
  <c r="AC1803"/>
  <c r="AD1803"/>
  <c r="P1804"/>
  <c r="W1804"/>
  <c r="Y1804"/>
  <c r="AB1804"/>
  <c r="AC1804"/>
  <c r="AD1804"/>
  <c r="P1805"/>
  <c r="W1805"/>
  <c r="Y1805"/>
  <c r="AB1805"/>
  <c r="AC1805"/>
  <c r="AD1805"/>
  <c r="P1806"/>
  <c r="W1806"/>
  <c r="Y1806"/>
  <c r="AB1806"/>
  <c r="AC1806"/>
  <c r="AD1806"/>
  <c r="P1807"/>
  <c r="T1807"/>
  <c r="U1807"/>
  <c r="V1807"/>
  <c r="W1807"/>
  <c r="Y1807"/>
  <c r="AB1807"/>
  <c r="AC1807"/>
  <c r="AD1807"/>
  <c r="P1808"/>
  <c r="T1808"/>
  <c r="U1808"/>
  <c r="V1808"/>
  <c r="W1808"/>
  <c r="Y1808"/>
  <c r="AB1808"/>
  <c r="AC1808"/>
  <c r="AD1808"/>
  <c r="P1809"/>
  <c r="T1809"/>
  <c r="U1809"/>
  <c r="V1809"/>
  <c r="W1809"/>
  <c r="Y1809"/>
  <c r="AB1809"/>
  <c r="AC1809"/>
  <c r="AD1809"/>
  <c r="P1810"/>
  <c r="T1810"/>
  <c r="U1810"/>
  <c r="V1810"/>
  <c r="W1810"/>
  <c r="Y1810"/>
  <c r="AB1810"/>
  <c r="AC1810"/>
  <c r="AD1810"/>
  <c r="P1811"/>
  <c r="T1811"/>
  <c r="U1811"/>
  <c r="V1811"/>
  <c r="W1811"/>
  <c r="Y1811"/>
  <c r="AB1811"/>
  <c r="AC1811"/>
  <c r="AD1811"/>
  <c r="P1812"/>
  <c r="T1812"/>
  <c r="U1812"/>
  <c r="V1812"/>
  <c r="W1812"/>
  <c r="Y1812"/>
  <c r="AB1812"/>
  <c r="AC1812"/>
  <c r="AD1812"/>
  <c r="P1813"/>
  <c r="T1813"/>
  <c r="U1813"/>
  <c r="V1813"/>
  <c r="W1813"/>
  <c r="Y1813"/>
  <c r="AB1813"/>
  <c r="AC1813"/>
  <c r="AD1813"/>
  <c r="P1814"/>
  <c r="W1814"/>
  <c r="Y1814"/>
  <c r="AB1814"/>
  <c r="AC1814"/>
  <c r="AD1814"/>
  <c r="P1815"/>
  <c r="T1815"/>
  <c r="U1815"/>
  <c r="V1815"/>
  <c r="W1815"/>
  <c r="Y1815"/>
  <c r="AB1815"/>
  <c r="AC1815"/>
  <c r="AD1815"/>
  <c r="P1816"/>
  <c r="T1816"/>
  <c r="U1816"/>
  <c r="V1816"/>
  <c r="W1816"/>
  <c r="Y1816"/>
  <c r="AB1816"/>
  <c r="AC1816"/>
  <c r="AD1816"/>
  <c r="P1939"/>
  <c r="T1939"/>
  <c r="U1939"/>
  <c r="V1939"/>
  <c r="W1939"/>
  <c r="Y1939"/>
  <c r="AB1939"/>
  <c r="AC1939"/>
  <c r="AD1939"/>
  <c r="P1940"/>
  <c r="T1940"/>
  <c r="U1940"/>
  <c r="V1940"/>
  <c r="W1940"/>
  <c r="Y1940"/>
  <c r="AB1940"/>
  <c r="AC1940"/>
  <c r="AD1940"/>
  <c r="P1817"/>
  <c r="T1817"/>
  <c r="U1817"/>
  <c r="V1817"/>
  <c r="W1817"/>
  <c r="Y1817"/>
  <c r="AB1817"/>
  <c r="AC1817"/>
  <c r="AD1817"/>
  <c r="P1818"/>
  <c r="T1818"/>
  <c r="U1818"/>
  <c r="V1818"/>
  <c r="W1818"/>
  <c r="Y1818"/>
  <c r="AB1818"/>
  <c r="AC1818"/>
  <c r="AD1818"/>
  <c r="P1819"/>
  <c r="T1819"/>
  <c r="U1819"/>
  <c r="V1819"/>
  <c r="W1819"/>
  <c r="Y1819"/>
  <c r="AB1819"/>
  <c r="AC1819"/>
  <c r="AD1819"/>
  <c r="P1820"/>
  <c r="W1820"/>
  <c r="Y1820"/>
  <c r="AB1820"/>
  <c r="AC1820"/>
  <c r="AD1820"/>
  <c r="P1821"/>
  <c r="W1821"/>
  <c r="Y1821"/>
  <c r="AB1821"/>
  <c r="AC1821"/>
  <c r="AD1821"/>
  <c r="P1822"/>
  <c r="W1822"/>
  <c r="Y1822"/>
  <c r="AB1822"/>
  <c r="AC1822"/>
  <c r="AD1822"/>
  <c r="P1823"/>
  <c r="W1823"/>
  <c r="Y1823"/>
  <c r="AB1823"/>
  <c r="AC1823"/>
  <c r="AD1823"/>
  <c r="P1824"/>
  <c r="W1824"/>
  <c r="Y1824"/>
  <c r="AB1824"/>
  <c r="AC1824"/>
  <c r="AD1824"/>
  <c r="P1825"/>
  <c r="W1825"/>
  <c r="Y1825"/>
  <c r="AB1825"/>
  <c r="AC1825"/>
  <c r="AD1825"/>
  <c r="P1826"/>
  <c r="W1826"/>
  <c r="Y1826"/>
  <c r="AB1826"/>
  <c r="AC1826"/>
  <c r="AD1826"/>
  <c r="P1827"/>
  <c r="W1827"/>
  <c r="Y1827"/>
  <c r="AB1827"/>
  <c r="AC1827"/>
  <c r="AD1827"/>
  <c r="P1828"/>
  <c r="W1828"/>
  <c r="Y1828"/>
  <c r="AB1828"/>
  <c r="AC1828"/>
  <c r="AD1828"/>
  <c r="P1829"/>
  <c r="W1829"/>
  <c r="Y1829"/>
  <c r="AB1829"/>
  <c r="AC1829"/>
  <c r="AD1829"/>
  <c r="P1830"/>
  <c r="W1830"/>
  <c r="Y1830"/>
  <c r="AB1830"/>
  <c r="AC1830"/>
  <c r="AD1830"/>
  <c r="P1831"/>
  <c r="W1831"/>
  <c r="Y1831"/>
  <c r="AB1831"/>
  <c r="AC1831"/>
  <c r="AD1831"/>
  <c r="P1832"/>
  <c r="W1832"/>
  <c r="Y1832"/>
  <c r="AB1832"/>
  <c r="AC1832"/>
  <c r="AD1832"/>
  <c r="P1833"/>
  <c r="W1833"/>
  <c r="Y1833"/>
  <c r="AB1833"/>
  <c r="AC1833"/>
  <c r="AD1833"/>
  <c r="P1834"/>
  <c r="W1834"/>
  <c r="Y1834"/>
  <c r="AB1834"/>
  <c r="AC1834"/>
  <c r="AD1834"/>
  <c r="P1835"/>
  <c r="W1835"/>
  <c r="Y1835"/>
  <c r="AB1835"/>
  <c r="AC1835"/>
  <c r="AD1835"/>
  <c r="P1836"/>
  <c r="W1836"/>
  <c r="Y1836"/>
  <c r="AB1836"/>
  <c r="AC1836"/>
  <c r="AD1836"/>
  <c r="P1837"/>
  <c r="W1837"/>
  <c r="Y1837"/>
  <c r="AB1837"/>
  <c r="AC1837"/>
  <c r="AD1837"/>
  <c r="P1838"/>
  <c r="W1838"/>
  <c r="Y1838"/>
  <c r="AB1838"/>
  <c r="AC1838"/>
  <c r="AD1838"/>
  <c r="P1839"/>
  <c r="T1839"/>
  <c r="U1839"/>
  <c r="V1839"/>
  <c r="W1839"/>
  <c r="Y1839"/>
  <c r="AB1839"/>
  <c r="AC1839"/>
  <c r="AD1839"/>
  <c r="P1840"/>
  <c r="T1840"/>
  <c r="U1840"/>
  <c r="V1840"/>
  <c r="W1840"/>
  <c r="Y1840"/>
  <c r="AB1840"/>
  <c r="AC1840"/>
  <c r="AD1840"/>
  <c r="P1841"/>
  <c r="T1841"/>
  <c r="U1841"/>
  <c r="V1841"/>
  <c r="W1841"/>
  <c r="Y1841"/>
  <c r="AB1841"/>
  <c r="AC1841"/>
  <c r="AD1841"/>
  <c r="P1842"/>
  <c r="T1842"/>
  <c r="U1842"/>
  <c r="V1842"/>
  <c r="W1842"/>
  <c r="Y1842"/>
  <c r="AB1842"/>
  <c r="AC1842"/>
  <c r="AD1842"/>
  <c r="P1941"/>
  <c r="T1941"/>
  <c r="U1941"/>
  <c r="V1941"/>
  <c r="W1941"/>
  <c r="Y1941"/>
  <c r="AB1941"/>
  <c r="AC1941"/>
  <c r="AD1941"/>
  <c r="P1942"/>
  <c r="T1942"/>
  <c r="U1942"/>
  <c r="V1942"/>
  <c r="W1942"/>
  <c r="Y1942"/>
  <c r="AB1942"/>
  <c r="AC1942"/>
  <c r="AD1942"/>
  <c r="P1943"/>
  <c r="T1943"/>
  <c r="U1943"/>
  <c r="V1943"/>
  <c r="W1943"/>
  <c r="Y1943"/>
  <c r="AB1943"/>
  <c r="AC1943"/>
  <c r="AD1943"/>
  <c r="P1944"/>
  <c r="T1944"/>
  <c r="U1944"/>
  <c r="V1944"/>
  <c r="W1944"/>
  <c r="Y1944"/>
  <c r="AB1944"/>
  <c r="AC1944"/>
  <c r="AD1944"/>
  <c r="P1843"/>
  <c r="W1843"/>
  <c r="Y1843"/>
  <c r="AB1843"/>
  <c r="AC1843"/>
  <c r="AD1843"/>
  <c r="P1844"/>
  <c r="W1844"/>
  <c r="Y1844"/>
  <c r="AB1844"/>
  <c r="AC1844"/>
  <c r="AD1844"/>
  <c r="P1845"/>
  <c r="W1845"/>
  <c r="Y1845"/>
  <c r="AB1845"/>
  <c r="AC1845"/>
  <c r="AD1845"/>
  <c r="P1846"/>
  <c r="T1846"/>
  <c r="U1846"/>
  <c r="V1846"/>
  <c r="W1846"/>
  <c r="Y1846"/>
  <c r="AB1846"/>
  <c r="AC1846"/>
  <c r="AD1846"/>
  <c r="P1847"/>
  <c r="T1847"/>
  <c r="U1847"/>
  <c r="V1847"/>
  <c r="W1847"/>
  <c r="Y1847"/>
  <c r="AB1847"/>
  <c r="AC1847"/>
  <c r="AD1847"/>
  <c r="P1945"/>
  <c r="T1945"/>
  <c r="U1945"/>
  <c r="V1945"/>
  <c r="W1945"/>
  <c r="Y1945"/>
  <c r="AB1945"/>
  <c r="AC1945"/>
  <c r="AD1945"/>
  <c r="P1946"/>
  <c r="T1946"/>
  <c r="U1946"/>
  <c r="V1946"/>
  <c r="W1946"/>
  <c r="Y1946"/>
  <c r="AB1946"/>
  <c r="AC1946"/>
  <c r="AD1946"/>
  <c r="P1848"/>
  <c r="T1848"/>
  <c r="U1848"/>
  <c r="V1848"/>
  <c r="W1848"/>
  <c r="Y1848"/>
  <c r="AB1848"/>
  <c r="AC1848"/>
  <c r="AD1848"/>
  <c r="P1849"/>
  <c r="T1849"/>
  <c r="U1849"/>
  <c r="V1849"/>
  <c r="W1849"/>
  <c r="Y1849"/>
  <c r="AB1849"/>
  <c r="AC1849"/>
  <c r="AD1849"/>
  <c r="P1850"/>
  <c r="W1850"/>
  <c r="Y1850"/>
  <c r="AB1850"/>
  <c r="AC1850"/>
  <c r="AD1850"/>
  <c r="P1851"/>
  <c r="T1851"/>
  <c r="U1851"/>
  <c r="V1851"/>
  <c r="W1851"/>
  <c r="Y1851"/>
  <c r="AB1851"/>
  <c r="AC1851"/>
  <c r="AD1851"/>
  <c r="P1852"/>
  <c r="T1852"/>
  <c r="U1852"/>
  <c r="V1852"/>
  <c r="W1852"/>
  <c r="Y1852"/>
  <c r="AB1852"/>
  <c r="AC1852"/>
  <c r="AD1852"/>
  <c r="P1853"/>
  <c r="W1853"/>
  <c r="Y1853"/>
  <c r="AB1853"/>
  <c r="AC1853"/>
  <c r="AD1853"/>
  <c r="P1854"/>
  <c r="T1854"/>
  <c r="U1854"/>
  <c r="V1854"/>
  <c r="W1854"/>
  <c r="Y1854"/>
  <c r="AB1854"/>
  <c r="AC1854"/>
  <c r="AD1854"/>
  <c r="P1855"/>
  <c r="T1855"/>
  <c r="U1855"/>
  <c r="V1855"/>
  <c r="W1855"/>
  <c r="Y1855"/>
  <c r="AB1855"/>
  <c r="AC1855"/>
  <c r="AD1855"/>
  <c r="P1856"/>
  <c r="T1856"/>
  <c r="U1856"/>
  <c r="V1856"/>
  <c r="W1856"/>
  <c r="Y1856"/>
  <c r="AB1856"/>
  <c r="AC1856"/>
  <c r="AD1856"/>
  <c r="P1857"/>
  <c r="T1857"/>
  <c r="U1857"/>
  <c r="V1857"/>
  <c r="W1857"/>
  <c r="Y1857"/>
  <c r="AB1857"/>
  <c r="AC1857"/>
  <c r="AD1857"/>
  <c r="P1858"/>
  <c r="T1858"/>
  <c r="U1858"/>
  <c r="V1858"/>
  <c r="W1858"/>
  <c r="Y1858"/>
  <c r="AB1858"/>
  <c r="AC1858"/>
  <c r="AD1858"/>
  <c r="P1859"/>
  <c r="T1859"/>
  <c r="U1859"/>
  <c r="V1859"/>
  <c r="W1859"/>
  <c r="Y1859"/>
  <c r="AB1859"/>
  <c r="AC1859"/>
  <c r="AD1859"/>
  <c r="P1860"/>
  <c r="W1860"/>
  <c r="Y1860"/>
  <c r="AB1860"/>
  <c r="AC1860"/>
  <c r="AD1860"/>
  <c r="P1861"/>
  <c r="T1861"/>
  <c r="U1861"/>
  <c r="V1861"/>
  <c r="W1861"/>
  <c r="Y1861"/>
  <c r="AB1861"/>
  <c r="AC1861"/>
  <c r="AD1861"/>
  <c r="P1862"/>
  <c r="T1862"/>
  <c r="U1862"/>
  <c r="V1862"/>
  <c r="W1862"/>
  <c r="Y1862"/>
  <c r="AB1862"/>
  <c r="AC1862"/>
  <c r="AD1862"/>
  <c r="P1863"/>
  <c r="W1863"/>
  <c r="Y1863"/>
  <c r="AB1863"/>
  <c r="AC1863"/>
  <c r="AD1863"/>
  <c r="P1864"/>
  <c r="W1864"/>
  <c r="Y1864"/>
  <c r="AB1864"/>
  <c r="AC1864"/>
  <c r="AD1864"/>
  <c r="P1865"/>
  <c r="W1865"/>
  <c r="Y1865"/>
  <c r="AB1865"/>
  <c r="AC1865"/>
  <c r="AD1865"/>
  <c r="P1866"/>
  <c r="W1866"/>
  <c r="Y1866"/>
  <c r="AB1866"/>
  <c r="AC1866"/>
  <c r="AD1866"/>
  <c r="P1867"/>
  <c r="W1867"/>
  <c r="Y1867"/>
  <c r="AB1867"/>
  <c r="AC1867"/>
  <c r="AD1867"/>
  <c r="P1868"/>
  <c r="W1868"/>
  <c r="Y1868"/>
  <c r="AB1868"/>
  <c r="AC1868"/>
  <c r="AD1868"/>
  <c r="P1869"/>
  <c r="W1869"/>
  <c r="Y1869"/>
  <c r="AB1869"/>
  <c r="AC1869"/>
  <c r="AD1869"/>
  <c r="P1870"/>
  <c r="W1870"/>
  <c r="Y1870"/>
  <c r="AB1870"/>
  <c r="AC1870"/>
  <c r="AD1870"/>
  <c r="P1876"/>
  <c r="W1876"/>
  <c r="Y1876"/>
  <c r="AB1876"/>
  <c r="AC1876"/>
  <c r="AD1876"/>
  <c r="P1877"/>
  <c r="W1877"/>
  <c r="Y1877"/>
  <c r="AB1877"/>
  <c r="AC1877"/>
  <c r="AD1877"/>
  <c r="P1878"/>
  <c r="W1878"/>
  <c r="Y1878"/>
  <c r="AB1878"/>
  <c r="AC1878"/>
  <c r="AD1878"/>
  <c r="P1879"/>
  <c r="W1879"/>
  <c r="Y1879"/>
  <c r="AB1879"/>
  <c r="AC1879"/>
  <c r="AD1879"/>
  <c r="P1880"/>
  <c r="W1880"/>
  <c r="Y1880"/>
  <c r="AB1880"/>
  <c r="AC1880"/>
  <c r="AD1880"/>
  <c r="P1881"/>
  <c r="W1881"/>
  <c r="Y1881"/>
  <c r="AB1881"/>
  <c r="AC1881"/>
  <c r="AD1881"/>
  <c r="P1882"/>
  <c r="T1882"/>
  <c r="U1882"/>
  <c r="V1882"/>
  <c r="W1882"/>
  <c r="Y1882"/>
  <c r="AB1882"/>
  <c r="AC1882"/>
  <c r="AD1882"/>
  <c r="P1950"/>
  <c r="T1950"/>
  <c r="U1950"/>
  <c r="V1950"/>
  <c r="W1950"/>
  <c r="Y1950"/>
  <c r="AB1950"/>
  <c r="AC1950"/>
  <c r="AD1950"/>
  <c r="P1951"/>
  <c r="T1951"/>
  <c r="U1951"/>
  <c r="V1951"/>
  <c r="W1951"/>
  <c r="Y1951"/>
  <c r="AB1951"/>
  <c r="AC1951"/>
  <c r="AD1951"/>
  <c r="P1883"/>
  <c r="T1883"/>
  <c r="U1883"/>
  <c r="V1883"/>
  <c r="W1883"/>
  <c r="Y1883"/>
  <c r="AB1883"/>
  <c r="AC1883"/>
  <c r="AD1883"/>
  <c r="P1884"/>
  <c r="T1884"/>
  <c r="U1884"/>
  <c r="V1884"/>
  <c r="W1884"/>
  <c r="Y1884"/>
  <c r="AB1884"/>
  <c r="AC1884"/>
  <c r="AD1884"/>
  <c r="P1885"/>
  <c r="T1885"/>
  <c r="U1885"/>
  <c r="V1885"/>
  <c r="W1885"/>
  <c r="Y1885"/>
  <c r="AB1885"/>
  <c r="AC1885"/>
  <c r="AD1885"/>
  <c r="P1886"/>
  <c r="T1886"/>
  <c r="U1886"/>
  <c r="V1886"/>
  <c r="W1886"/>
  <c r="Y1886"/>
  <c r="AB1886"/>
  <c r="AC1886"/>
  <c r="AD1886"/>
  <c r="P1887"/>
  <c r="T1887"/>
  <c r="U1887"/>
  <c r="V1887"/>
  <c r="W1887"/>
  <c r="Y1887"/>
  <c r="AB1887"/>
  <c r="AC1887"/>
  <c r="AD1887"/>
  <c r="P1888"/>
  <c r="T1888"/>
  <c r="U1888"/>
  <c r="V1888"/>
  <c r="W1888"/>
  <c r="Y1888"/>
  <c r="AB1888"/>
  <c r="AC1888"/>
  <c r="AD1888"/>
  <c r="P1889"/>
  <c r="W1889"/>
  <c r="Y1889"/>
  <c r="AB1889"/>
  <c r="AC1889"/>
  <c r="AD1889"/>
  <c r="P1952"/>
  <c r="T1952"/>
  <c r="U1952"/>
  <c r="V1952"/>
  <c r="W1952"/>
  <c r="Y1952"/>
  <c r="AB1952"/>
  <c r="AC1952"/>
  <c r="AD1952"/>
  <c r="P1953"/>
  <c r="T1953"/>
  <c r="U1953"/>
  <c r="V1953"/>
  <c r="W1953"/>
  <c r="Y1953"/>
  <c r="AB1953"/>
  <c r="AC1953"/>
  <c r="AD1953"/>
  <c r="P1890"/>
  <c r="T1890"/>
  <c r="U1890"/>
  <c r="V1890"/>
  <c r="W1890"/>
  <c r="Y1890"/>
  <c r="AB1890"/>
  <c r="AC1890"/>
  <c r="AD1890"/>
  <c r="P1891"/>
  <c r="T1891"/>
  <c r="U1891"/>
  <c r="V1891"/>
  <c r="W1891"/>
  <c r="Y1891"/>
  <c r="AB1891"/>
  <c r="AC1891"/>
  <c r="AD1891"/>
  <c r="P1892"/>
  <c r="T1892"/>
  <c r="U1892"/>
  <c r="V1892"/>
  <c r="W1892"/>
  <c r="Y1892"/>
  <c r="AB1892"/>
  <c r="AC1892"/>
  <c r="AD1892"/>
  <c r="P1893"/>
  <c r="T1893"/>
  <c r="U1893"/>
  <c r="V1893"/>
  <c r="W1893"/>
  <c r="Y1893"/>
  <c r="AB1893"/>
  <c r="AC1893"/>
  <c r="AD1893"/>
  <c r="P1894"/>
  <c r="T1894"/>
  <c r="U1894"/>
  <c r="V1894"/>
  <c r="W1894"/>
  <c r="Y1894"/>
  <c r="AB1894"/>
  <c r="AC1894"/>
  <c r="AD1894"/>
  <c r="P1895"/>
  <c r="T1895"/>
  <c r="U1895"/>
  <c r="V1895"/>
  <c r="W1895"/>
  <c r="Y1895"/>
  <c r="AB1895"/>
  <c r="AC1895"/>
  <c r="AD1895"/>
  <c r="P1896"/>
  <c r="T1896"/>
  <c r="U1896"/>
  <c r="V1896"/>
  <c r="W1896"/>
  <c r="Y1896"/>
  <c r="AB1896"/>
  <c r="AC1896"/>
  <c r="AD1896"/>
  <c r="P1897"/>
  <c r="T1897"/>
  <c r="U1897"/>
  <c r="V1897"/>
  <c r="W1897"/>
  <c r="Y1897"/>
  <c r="AB1897"/>
  <c r="AC1897"/>
  <c r="AD1897"/>
  <c r="P1898"/>
  <c r="T1898"/>
  <c r="U1898"/>
  <c r="V1898"/>
  <c r="W1898"/>
  <c r="Y1898"/>
  <c r="AB1898"/>
  <c r="AC1898"/>
  <c r="AD1898"/>
  <c r="P1899"/>
  <c r="T1899"/>
  <c r="U1899"/>
  <c r="V1899"/>
  <c r="W1899"/>
  <c r="Y1899"/>
  <c r="AB1899"/>
  <c r="AC1899"/>
  <c r="AD1899"/>
  <c r="P1900"/>
  <c r="W1900"/>
  <c r="Y1900"/>
  <c r="AB1900"/>
  <c r="AC1900"/>
  <c r="AD1900"/>
  <c r="P1901"/>
  <c r="W1901"/>
  <c r="Y1901"/>
  <c r="AB1901"/>
  <c r="AC1901"/>
  <c r="AD1901"/>
  <c r="P1902"/>
  <c r="W1902"/>
  <c r="Y1902"/>
  <c r="AB1902"/>
  <c r="AC1902"/>
  <c r="AD1902"/>
  <c r="P1903"/>
  <c r="W1903"/>
  <c r="Y1903"/>
  <c r="AB1903"/>
  <c r="AC1903"/>
  <c r="AD1903"/>
  <c r="P1904"/>
  <c r="W1904"/>
  <c r="Y1904"/>
  <c r="AB1904"/>
  <c r="AC1904"/>
  <c r="AD1904"/>
  <c r="P1905"/>
  <c r="W1905"/>
  <c r="Y1905"/>
  <c r="AB1905"/>
  <c r="AC1905"/>
  <c r="AD1905"/>
  <c r="P1906"/>
  <c r="W1906"/>
  <c r="Y1906"/>
  <c r="AB1906"/>
  <c r="AC1906"/>
  <c r="AD1906"/>
  <c r="P1907"/>
  <c r="W1907"/>
  <c r="Y1907"/>
  <c r="AB1907"/>
  <c r="AC1907"/>
  <c r="AD1907"/>
  <c r="P1908"/>
  <c r="W1908"/>
  <c r="Y1908"/>
  <c r="AB1908"/>
  <c r="AC1908"/>
  <c r="AD1908"/>
  <c r="P1909"/>
  <c r="W1909"/>
  <c r="Y1909"/>
  <c r="AB1909"/>
  <c r="AC1909"/>
  <c r="AD1909"/>
  <c r="P1910"/>
  <c r="W1910"/>
  <c r="Y1910"/>
  <c r="AB1910"/>
  <c r="AC1910"/>
  <c r="AD1910"/>
  <c r="P1911"/>
  <c r="W1911"/>
  <c r="Y1911"/>
  <c r="AB1911"/>
  <c r="AC1911"/>
  <c r="AD1911"/>
  <c r="P1912"/>
  <c r="W1912"/>
  <c r="Y1912"/>
  <c r="AB1912"/>
  <c r="AC1912"/>
  <c r="AD1912"/>
  <c r="P1913"/>
  <c r="T1913"/>
  <c r="U1913"/>
  <c r="V1913"/>
  <c r="W1913"/>
  <c r="Y1913"/>
  <c r="AB1913"/>
  <c r="AC1913"/>
  <c r="AD1913"/>
  <c r="P1914"/>
  <c r="T1914"/>
  <c r="U1914"/>
  <c r="V1914"/>
  <c r="W1914"/>
  <c r="Y1914"/>
  <c r="AB1914"/>
  <c r="AC1914"/>
  <c r="AD1914"/>
  <c r="P1915"/>
  <c r="T1915"/>
  <c r="U1915"/>
  <c r="V1915"/>
  <c r="W1915"/>
  <c r="Y1915"/>
  <c r="AB1915"/>
  <c r="AC1915"/>
  <c r="AD1915"/>
  <c r="P1916"/>
  <c r="T1916"/>
  <c r="U1916"/>
  <c r="V1916"/>
  <c r="W1916"/>
  <c r="Y1916"/>
  <c r="AB1916"/>
  <c r="AC1916"/>
  <c r="AD1916"/>
  <c r="P1954"/>
  <c r="T1954"/>
  <c r="U1954"/>
  <c r="V1954"/>
  <c r="W1954"/>
  <c r="Y1954"/>
  <c r="AB1954"/>
  <c r="AC1954"/>
  <c r="AD1954"/>
  <c r="P1955"/>
  <c r="T1955"/>
  <c r="U1955"/>
  <c r="V1955"/>
  <c r="W1955"/>
  <c r="Y1955"/>
  <c r="AB1955"/>
  <c r="AC1955"/>
  <c r="AD1955"/>
  <c r="P1956"/>
  <c r="T1956"/>
  <c r="U1956"/>
  <c r="V1956"/>
  <c r="W1956"/>
  <c r="Y1956"/>
  <c r="AB1956"/>
  <c r="AC1956"/>
  <c r="AD1956"/>
  <c r="P1957"/>
  <c r="T1957"/>
  <c r="U1957"/>
  <c r="V1957"/>
  <c r="W1957"/>
  <c r="Y1957"/>
  <c r="AB1957"/>
  <c r="AC1957"/>
  <c r="AD1957"/>
  <c r="P1917"/>
  <c r="T1917"/>
  <c r="U1917"/>
  <c r="V1917"/>
  <c r="W1917"/>
  <c r="Y1917"/>
  <c r="AB1917"/>
  <c r="AC1917"/>
  <c r="AD1917"/>
  <c r="P1918"/>
  <c r="T1918"/>
  <c r="U1918"/>
  <c r="V1918"/>
  <c r="W1918"/>
  <c r="Y1918"/>
  <c r="AB1918"/>
  <c r="AC1918"/>
  <c r="AD1918"/>
  <c r="P1919"/>
  <c r="T1919"/>
  <c r="U1919"/>
  <c r="V1919"/>
  <c r="W1919"/>
  <c r="Y1919"/>
  <c r="AB1919"/>
  <c r="AC1919"/>
  <c r="AD1919"/>
  <c r="P1920"/>
  <c r="T1920"/>
  <c r="U1920"/>
  <c r="V1920"/>
  <c r="W1920"/>
  <c r="Y1920"/>
  <c r="AB1920"/>
  <c r="AC1920"/>
  <c r="AD1920"/>
  <c r="P1921"/>
  <c r="T1921"/>
  <c r="U1921"/>
  <c r="V1921"/>
  <c r="W1921"/>
  <c r="Y1921"/>
  <c r="AB1921"/>
  <c r="AC1921"/>
  <c r="AD1921"/>
  <c r="P1922"/>
  <c r="T1922"/>
  <c r="U1922"/>
  <c r="V1922"/>
  <c r="W1922"/>
  <c r="Y1922"/>
  <c r="AB1922"/>
  <c r="AC1922"/>
  <c r="AD1922"/>
  <c r="P1923"/>
  <c r="T1923"/>
  <c r="U1923"/>
  <c r="V1923"/>
  <c r="W1923"/>
  <c r="Y1923"/>
  <c r="AB1923"/>
  <c r="AC1923"/>
  <c r="AD1923"/>
  <c r="P1924"/>
  <c r="T1924"/>
  <c r="U1924"/>
  <c r="V1924"/>
  <c r="W1924"/>
  <c r="Y1924"/>
  <c r="AB1924"/>
  <c r="AC1924"/>
  <c r="AD1924"/>
  <c r="P1925"/>
  <c r="T1925"/>
  <c r="U1925"/>
  <c r="V1925"/>
  <c r="W1925"/>
  <c r="Y1925"/>
  <c r="AB1925"/>
  <c r="AC1925"/>
  <c r="AD1925"/>
  <c r="P1926"/>
  <c r="T1926"/>
  <c r="U1926"/>
  <c r="V1926"/>
  <c r="W1926"/>
  <c r="Y1926"/>
  <c r="AB1926"/>
  <c r="AC1926"/>
  <c r="AD1926"/>
  <c r="P1927"/>
  <c r="T1927"/>
  <c r="U1927"/>
  <c r="V1927"/>
  <c r="W1927"/>
  <c r="Y1927"/>
  <c r="AB1927"/>
  <c r="AC1927"/>
  <c r="AD1927"/>
  <c r="P1928"/>
  <c r="T1928"/>
  <c r="U1928"/>
  <c r="V1928"/>
  <c r="W1928"/>
  <c r="Y1928"/>
  <c r="AB1928"/>
  <c r="AC1928"/>
  <c r="AD1928"/>
  <c r="P1929"/>
  <c r="T1929"/>
  <c r="U1929"/>
  <c r="V1929"/>
  <c r="W1929"/>
  <c r="Y1929"/>
  <c r="AB1929"/>
  <c r="AC1929"/>
  <c r="AD1929"/>
  <c r="P1930"/>
  <c r="T1930"/>
  <c r="U1930"/>
  <c r="V1930"/>
  <c r="W1930"/>
  <c r="Y1930"/>
  <c r="AB1930"/>
  <c r="AC1930"/>
  <c r="AD1930"/>
  <c r="P1931"/>
  <c r="T1931"/>
  <c r="U1931"/>
  <c r="V1931"/>
  <c r="W1931"/>
  <c r="Y1931"/>
  <c r="AB1931"/>
  <c r="AC1931"/>
  <c r="AD1931"/>
  <c r="P1960"/>
  <c r="T1960"/>
  <c r="U1960"/>
  <c r="V1960"/>
  <c r="W1960"/>
  <c r="Y1960"/>
  <c r="AB1960"/>
  <c r="AC1960"/>
  <c r="AD1960"/>
  <c r="P1961"/>
  <c r="T1961"/>
  <c r="U1961"/>
  <c r="V1961"/>
  <c r="W1961"/>
  <c r="Y1961"/>
  <c r="AB1961"/>
  <c r="AC1961"/>
  <c r="AD1961"/>
  <c r="P1964"/>
  <c r="T1964"/>
  <c r="U1964"/>
  <c r="V1964"/>
  <c r="W1964"/>
  <c r="Y1964"/>
  <c r="AB1964"/>
  <c r="AC1964"/>
  <c r="AD1964"/>
  <c r="P1965"/>
  <c r="T1965"/>
  <c r="U1965"/>
  <c r="V1965"/>
  <c r="W1965"/>
  <c r="Y1965"/>
  <c r="AB1965"/>
  <c r="AC1965"/>
  <c r="AD1965"/>
  <c r="P1966"/>
  <c r="T1966"/>
  <c r="U1966"/>
  <c r="V1966"/>
  <c r="W1966"/>
  <c r="Y1966"/>
  <c r="AB1966"/>
  <c r="AC1966"/>
  <c r="AD1966"/>
  <c r="P1967"/>
  <c r="T1967"/>
  <c r="U1967"/>
  <c r="V1967"/>
  <c r="W1967"/>
  <c r="Y1967"/>
  <c r="AB1967"/>
  <c r="AC1967"/>
  <c r="AD1967"/>
  <c r="P1968"/>
  <c r="T1968"/>
  <c r="U1968"/>
  <c r="V1968"/>
  <c r="W1968"/>
  <c r="Y1968"/>
  <c r="AB1968"/>
  <c r="AC1968"/>
  <c r="AD1968"/>
  <c r="P1969"/>
  <c r="T1969"/>
  <c r="U1969"/>
  <c r="V1969"/>
  <c r="W1969"/>
  <c r="Y1969"/>
  <c r="AB1969"/>
  <c r="AC1969"/>
  <c r="AD1969"/>
  <c r="P1970"/>
  <c r="T1970"/>
  <c r="U1970"/>
  <c r="V1970"/>
  <c r="W1970"/>
  <c r="Y1970"/>
  <c r="AB1970"/>
  <c r="AC1970"/>
  <c r="AD1970"/>
  <c r="P1971"/>
  <c r="T1971"/>
  <c r="U1971"/>
  <c r="V1971"/>
  <c r="W1971"/>
  <c r="Y1971"/>
  <c r="AB1971"/>
  <c r="AC1971"/>
  <c r="AD1971"/>
  <c r="P1972"/>
  <c r="T1972"/>
  <c r="U1972"/>
  <c r="V1972"/>
  <c r="W1972"/>
  <c r="Y1972"/>
  <c r="AB1972"/>
  <c r="AC1972"/>
  <c r="AD1972"/>
  <c r="P1973"/>
  <c r="T1973"/>
  <c r="U1973"/>
  <c r="V1973"/>
  <c r="W1973"/>
  <c r="Y1973"/>
  <c r="AB1973"/>
  <c r="AC1973"/>
  <c r="AD1973"/>
  <c r="P1974"/>
  <c r="T1974"/>
  <c r="U1974"/>
  <c r="V1974"/>
  <c r="W1974"/>
  <c r="Y1974"/>
  <c r="AB1974"/>
  <c r="AC1974"/>
  <c r="AD1974"/>
  <c r="P1975"/>
  <c r="T1975"/>
  <c r="U1975"/>
  <c r="V1975"/>
  <c r="W1975"/>
  <c r="Y1975"/>
  <c r="AB1975"/>
  <c r="AC1975"/>
  <c r="AD1975"/>
  <c r="P1976"/>
  <c r="T1976"/>
  <c r="U1976"/>
  <c r="V1976"/>
  <c r="W1976"/>
  <c r="Y1976"/>
  <c r="AB1976"/>
  <c r="AC1976"/>
  <c r="AD1976"/>
  <c r="P1977"/>
  <c r="T1977"/>
  <c r="U1977"/>
  <c r="V1977"/>
  <c r="W1977"/>
  <c r="Y1977"/>
  <c r="AB1977"/>
  <c r="AC1977"/>
  <c r="AD1977"/>
  <c r="P1978"/>
  <c r="T1978"/>
  <c r="U1978"/>
  <c r="V1978"/>
  <c r="W1978"/>
  <c r="Y1978"/>
  <c r="AB1978"/>
  <c r="AC1978"/>
  <c r="AD1978"/>
  <c r="P1979"/>
  <c r="T1979"/>
  <c r="U1979"/>
  <c r="V1979"/>
  <c r="W1979"/>
  <c r="Y1979"/>
  <c r="AB1979"/>
  <c r="AC1979"/>
  <c r="AD1979"/>
  <c r="P1980"/>
  <c r="T1980"/>
  <c r="U1980"/>
  <c r="V1980"/>
  <c r="W1980"/>
  <c r="Y1980"/>
  <c r="AB1980"/>
  <c r="AC1980"/>
  <c r="AD1980"/>
  <c r="P1981"/>
  <c r="T1981"/>
  <c r="U1981"/>
  <c r="V1981"/>
  <c r="W1981"/>
  <c r="Y1981"/>
  <c r="AB1981"/>
  <c r="AC1981"/>
  <c r="AD1981"/>
  <c r="P1982"/>
  <c r="T1982"/>
  <c r="U1982"/>
  <c r="V1982"/>
  <c r="W1982"/>
  <c r="Y1982"/>
  <c r="AB1982"/>
  <c r="AC1982"/>
  <c r="AD1982"/>
  <c r="P1983"/>
  <c r="T1983"/>
  <c r="U1983"/>
  <c r="V1983"/>
  <c r="W1983"/>
  <c r="Y1983"/>
  <c r="AB1983"/>
  <c r="AC1983"/>
  <c r="AD1983"/>
  <c r="P1984"/>
  <c r="T1984"/>
  <c r="U1984"/>
  <c r="V1984"/>
  <c r="W1984"/>
  <c r="Y1984"/>
  <c r="AB1984"/>
  <c r="AC1984"/>
  <c r="AD1984"/>
  <c r="P1985"/>
  <c r="T1985"/>
  <c r="U1985"/>
  <c r="V1985"/>
  <c r="W1985"/>
  <c r="Y1985"/>
  <c r="AB1985"/>
  <c r="AC1985"/>
  <c r="AD1985"/>
  <c r="P1986"/>
  <c r="T1986"/>
  <c r="U1986"/>
  <c r="V1986"/>
  <c r="W1986"/>
  <c r="Y1986"/>
  <c r="AB1986"/>
  <c r="AC1986"/>
  <c r="AD1986"/>
  <c r="P1987"/>
  <c r="T1987"/>
  <c r="U1987"/>
  <c r="V1987"/>
  <c r="W1987"/>
  <c r="Y1987"/>
  <c r="AB1987"/>
  <c r="AC1987"/>
  <c r="AD1987"/>
  <c r="P1988"/>
  <c r="T1988"/>
  <c r="U1988"/>
  <c r="V1988"/>
  <c r="W1988"/>
  <c r="Y1988"/>
  <c r="AB1988"/>
  <c r="AC1988"/>
  <c r="AD1988"/>
  <c r="P1989"/>
  <c r="T1989"/>
  <c r="U1989"/>
  <c r="V1989"/>
  <c r="W1989"/>
  <c r="Y1989"/>
  <c r="AB1989"/>
  <c r="AC1989"/>
  <c r="AD1989"/>
  <c r="P1990"/>
  <c r="T1990"/>
  <c r="U1990"/>
  <c r="V1990"/>
  <c r="W1990"/>
  <c r="Y1990"/>
  <c r="AB1990"/>
  <c r="AC1990"/>
  <c r="AD1990"/>
  <c r="P1991"/>
  <c r="T1991"/>
  <c r="U1991"/>
  <c r="V1991"/>
  <c r="W1991"/>
  <c r="Y1991"/>
  <c r="AB1991"/>
  <c r="AC1991"/>
  <c r="AD1991"/>
  <c r="P1992"/>
  <c r="T1992"/>
  <c r="U1992"/>
  <c r="V1992"/>
  <c r="W1992"/>
  <c r="Y1992"/>
  <c r="AB1992"/>
  <c r="AC1992"/>
  <c r="AD1992"/>
  <c r="P1993"/>
  <c r="T1993"/>
  <c r="U1993"/>
  <c r="V1993"/>
  <c r="W1993"/>
  <c r="Y1993"/>
  <c r="AB1993"/>
  <c r="AC1993"/>
  <c r="AD1993"/>
  <c r="P1994"/>
  <c r="T1994"/>
  <c r="U1994"/>
  <c r="V1994"/>
  <c r="W1994"/>
  <c r="Y1994"/>
  <c r="AB1994"/>
  <c r="AC1994"/>
  <c r="AD1994"/>
  <c r="P1995"/>
  <c r="T1995"/>
  <c r="U1995"/>
  <c r="V1995"/>
  <c r="W1995"/>
  <c r="Y1995"/>
  <c r="AB1995"/>
  <c r="AC1995"/>
  <c r="AD1995"/>
  <c r="P1996"/>
  <c r="T1996"/>
  <c r="U1996"/>
  <c r="V1996"/>
  <c r="W1996"/>
  <c r="Y1996"/>
  <c r="AB1996"/>
  <c r="AC1996"/>
  <c r="AD1996"/>
  <c r="P1997"/>
  <c r="T1997"/>
  <c r="U1997"/>
  <c r="V1997"/>
  <c r="W1997"/>
  <c r="Y1997"/>
  <c r="AB1997"/>
  <c r="AC1997"/>
  <c r="AD1997"/>
  <c r="P1998"/>
  <c r="T1998"/>
  <c r="U1998"/>
  <c r="V1998"/>
  <c r="W1998"/>
  <c r="Y1998"/>
  <c r="AB1998"/>
  <c r="AC1998"/>
  <c r="AD1998"/>
  <c r="P1999"/>
  <c r="T1999"/>
  <c r="U1999"/>
  <c r="V1999"/>
  <c r="W1999"/>
  <c r="Y1999"/>
  <c r="AB1999"/>
  <c r="AC1999"/>
  <c r="AD1999"/>
  <c r="P2000"/>
  <c r="T2000"/>
  <c r="U2000"/>
  <c r="V2000"/>
  <c r="W2000"/>
  <c r="Y2000"/>
  <c r="AB2000"/>
  <c r="AC2000"/>
  <c r="AD2000"/>
  <c r="P2001"/>
  <c r="T2001"/>
  <c r="U2001"/>
  <c r="V2001"/>
  <c r="W2001"/>
  <c r="Y2001"/>
  <c r="AB2001"/>
  <c r="AC2001"/>
  <c r="AD2001"/>
  <c r="P2002"/>
  <c r="T2002"/>
  <c r="U2002"/>
  <c r="V2002"/>
  <c r="W2002"/>
  <c r="Y2002"/>
  <c r="AB2002"/>
  <c r="AC2002"/>
  <c r="AD2002"/>
  <c r="P2144"/>
  <c r="T2144"/>
  <c r="U2144"/>
  <c r="V2144"/>
  <c r="W2144"/>
  <c r="Y2144"/>
  <c r="AB2144"/>
  <c r="AC2144"/>
  <c r="AD2144"/>
  <c r="P2145"/>
  <c r="T2145"/>
  <c r="U2145"/>
  <c r="V2145"/>
  <c r="W2145"/>
  <c r="Y2145"/>
  <c r="AB2145"/>
  <c r="AC2145"/>
  <c r="AD2145"/>
  <c r="P2003"/>
  <c r="T2003"/>
  <c r="U2003"/>
  <c r="V2003"/>
  <c r="W2003"/>
  <c r="Y2003"/>
  <c r="AB2003"/>
  <c r="AC2003"/>
  <c r="AD2003"/>
  <c r="P2004"/>
  <c r="T2004"/>
  <c r="U2004"/>
  <c r="V2004"/>
  <c r="W2004"/>
  <c r="Y2004"/>
  <c r="AB2004"/>
  <c r="AC2004"/>
  <c r="AD2004"/>
  <c r="P2005"/>
  <c r="T2005"/>
  <c r="U2005"/>
  <c r="V2005"/>
  <c r="W2005"/>
  <c r="Y2005"/>
  <c r="AB2005"/>
  <c r="AC2005"/>
  <c r="AD2005"/>
  <c r="P2006"/>
  <c r="T2006"/>
  <c r="U2006"/>
  <c r="V2006"/>
  <c r="W2006"/>
  <c r="Y2006"/>
  <c r="AB2006"/>
  <c r="AC2006"/>
  <c r="AD2006"/>
  <c r="P1958"/>
  <c r="T1958"/>
  <c r="U1958"/>
  <c r="V1958"/>
  <c r="W1958"/>
  <c r="Y1958"/>
  <c r="AB1958"/>
  <c r="AC1958"/>
  <c r="AD1958"/>
  <c r="P1959"/>
  <c r="T1959"/>
  <c r="U1959"/>
  <c r="V1959"/>
  <c r="W1959"/>
  <c r="Y1959"/>
  <c r="AB1959"/>
  <c r="AC1959"/>
  <c r="AD1959"/>
  <c r="P2146"/>
  <c r="T2146"/>
  <c r="U2146"/>
  <c r="V2146"/>
  <c r="W2146"/>
  <c r="Y2146"/>
  <c r="AB2146"/>
  <c r="AC2146"/>
  <c r="AD2146"/>
  <c r="P2147"/>
  <c r="T2147"/>
  <c r="U2147"/>
  <c r="V2147"/>
  <c r="W2147"/>
  <c r="Y2147"/>
  <c r="AB2147"/>
  <c r="AC2147"/>
  <c r="AD2147"/>
  <c r="P2148"/>
  <c r="T2148"/>
  <c r="U2148"/>
  <c r="V2148"/>
  <c r="W2148"/>
  <c r="Y2148"/>
  <c r="AB2148"/>
  <c r="AC2148"/>
  <c r="AD2148"/>
  <c r="P2149"/>
  <c r="T2149"/>
  <c r="U2149"/>
  <c r="V2149"/>
  <c r="W2149"/>
  <c r="Y2149"/>
  <c r="AB2149"/>
  <c r="AC2149"/>
  <c r="AD2149"/>
  <c r="P2150"/>
  <c r="T2150"/>
  <c r="U2150"/>
  <c r="V2150"/>
  <c r="W2150"/>
  <c r="Y2150"/>
  <c r="AB2150"/>
  <c r="AC2150"/>
  <c r="AD2150"/>
  <c r="P2158"/>
  <c r="T2158"/>
  <c r="U2158"/>
  <c r="V2158"/>
  <c r="W2158"/>
  <c r="Y2158"/>
  <c r="AB2158"/>
  <c r="AC2158"/>
  <c r="AD2158"/>
  <c r="P2159"/>
  <c r="T2159"/>
  <c r="U2159"/>
  <c r="V2159"/>
  <c r="W2159"/>
  <c r="Y2159"/>
  <c r="AB2159"/>
  <c r="AC2159"/>
  <c r="AD2159"/>
  <c r="P2163"/>
  <c r="T2163"/>
  <c r="U2163"/>
  <c r="V2163"/>
  <c r="W2163"/>
  <c r="Y2163"/>
  <c r="AB2163"/>
  <c r="AC2163"/>
  <c r="AD2163"/>
  <c r="P2164"/>
  <c r="T2164"/>
  <c r="U2164"/>
  <c r="V2164"/>
  <c r="W2164"/>
  <c r="Y2164"/>
  <c r="AB2164"/>
  <c r="AC2164"/>
  <c r="AD2164"/>
  <c r="P2154"/>
  <c r="T2154"/>
  <c r="U2154"/>
  <c r="V2154"/>
  <c r="W2154"/>
  <c r="Y2154"/>
  <c r="AB2154"/>
  <c r="AC2154"/>
  <c r="AD2154"/>
  <c r="P2155"/>
  <c r="T2155"/>
  <c r="U2155"/>
  <c r="V2155"/>
  <c r="W2155"/>
  <c r="Y2155"/>
  <c r="AB2155"/>
  <c r="AC2155"/>
  <c r="AD2155"/>
  <c r="P2156"/>
  <c r="T2156"/>
  <c r="U2156"/>
  <c r="V2156"/>
  <c r="W2156"/>
  <c r="Y2156"/>
  <c r="AB2156"/>
  <c r="AC2156"/>
  <c r="AD2156"/>
  <c r="P2157"/>
  <c r="T2157"/>
  <c r="U2157"/>
  <c r="V2157"/>
  <c r="W2157"/>
  <c r="Y2157"/>
  <c r="AB2157"/>
  <c r="AC2157"/>
  <c r="AD2157"/>
  <c r="P2160"/>
  <c r="T2160"/>
  <c r="U2160"/>
  <c r="V2160"/>
  <c r="W2160"/>
  <c r="Y2160"/>
  <c r="AB2160"/>
  <c r="AC2160"/>
  <c r="AD2160"/>
  <c r="P2161"/>
  <c r="T2161"/>
  <c r="U2161"/>
  <c r="V2161"/>
  <c r="W2161"/>
  <c r="Y2161"/>
  <c r="AB2161"/>
  <c r="AC2161"/>
  <c r="AD2161"/>
  <c r="P2162"/>
  <c r="T2162"/>
  <c r="U2162"/>
  <c r="V2162"/>
  <c r="W2162"/>
  <c r="Y2162"/>
  <c r="AB2162"/>
  <c r="AC2162"/>
  <c r="AD2162"/>
  <c r="P2165"/>
  <c r="T2165"/>
  <c r="U2165"/>
  <c r="V2165"/>
  <c r="W2165"/>
  <c r="Y2165"/>
  <c r="AB2165"/>
  <c r="AC2165"/>
  <c r="AD2165"/>
  <c r="P2166"/>
  <c r="T2166"/>
  <c r="U2166"/>
  <c r="V2166"/>
  <c r="W2166"/>
  <c r="Y2166"/>
  <c r="AB2166"/>
  <c r="AC2166"/>
  <c r="AD2166"/>
  <c r="P2167"/>
  <c r="T2167"/>
  <c r="U2167"/>
  <c r="V2167"/>
  <c r="W2167"/>
  <c r="Y2167"/>
  <c r="AB2167"/>
  <c r="AC2167"/>
  <c r="AD2167"/>
  <c r="P2168"/>
  <c r="T2168"/>
  <c r="U2168"/>
  <c r="V2168"/>
  <c r="W2168"/>
  <c r="Y2168"/>
  <c r="AB2168"/>
  <c r="AC2168"/>
  <c r="AD2168"/>
  <c r="P1947"/>
  <c r="T1947"/>
  <c r="U1947"/>
  <c r="V1947"/>
  <c r="W1947"/>
  <c r="Y1947"/>
  <c r="AB1947"/>
  <c r="AC1947"/>
  <c r="AD1947"/>
  <c r="P1948"/>
  <c r="T1948"/>
  <c r="U1948"/>
  <c r="V1948"/>
  <c r="W1948"/>
  <c r="Y1948"/>
  <c r="AB1948"/>
  <c r="AC1948"/>
  <c r="AD1948"/>
  <c r="P1949"/>
  <c r="T1949"/>
  <c r="U1949"/>
  <c r="V1949"/>
  <c r="W1949"/>
  <c r="Y1949"/>
  <c r="AB1949"/>
  <c r="AC1949"/>
  <c r="AD1949"/>
  <c r="P2151"/>
  <c r="T2151"/>
  <c r="U2151"/>
  <c r="V2151"/>
  <c r="W2151"/>
  <c r="Y2151"/>
  <c r="AB2151"/>
  <c r="AC2151"/>
  <c r="AD2151"/>
  <c r="P2152"/>
  <c r="T2152"/>
  <c r="U2152"/>
  <c r="V2152"/>
  <c r="W2152"/>
  <c r="Y2152"/>
  <c r="AB2152"/>
  <c r="AC2152"/>
  <c r="AD2152"/>
  <c r="P2153"/>
  <c r="T2153"/>
  <c r="U2153"/>
  <c r="V2153"/>
  <c r="W2153"/>
  <c r="Y2153"/>
  <c r="AB2153"/>
  <c r="AC2153"/>
  <c r="AD2153"/>
  <c r="P2169"/>
  <c r="T2169"/>
  <c r="U2169"/>
  <c r="V2169"/>
  <c r="W2169"/>
  <c r="Y2169"/>
  <c r="AB2169"/>
  <c r="AC2169"/>
  <c r="AD2169"/>
  <c r="P2170"/>
  <c r="T2170"/>
  <c r="U2170"/>
  <c r="V2170"/>
  <c r="W2170"/>
  <c r="Y2170"/>
  <c r="AB2170"/>
  <c r="AC2170"/>
  <c r="AD2170"/>
  <c r="P2171"/>
  <c r="T2171"/>
  <c r="U2171"/>
  <c r="V2171"/>
  <c r="W2171"/>
  <c r="Y2171"/>
  <c r="AB2171"/>
  <c r="AC2171"/>
  <c r="AD2171"/>
  <c r="P2007"/>
  <c r="T2007"/>
  <c r="U2007"/>
  <c r="V2007"/>
  <c r="W2007"/>
  <c r="Y2007"/>
  <c r="AB2007"/>
  <c r="AC2007"/>
  <c r="AD2007"/>
  <c r="P2008"/>
  <c r="W2008"/>
  <c r="Y2008"/>
  <c r="AB2008"/>
  <c r="AC2008"/>
  <c r="AD2008"/>
  <c r="P2009"/>
  <c r="T2009"/>
  <c r="U2009"/>
  <c r="V2009"/>
  <c r="W2009"/>
  <c r="Y2009"/>
  <c r="AB2009"/>
  <c r="AC2009"/>
  <c r="AD2009"/>
  <c r="P2010"/>
  <c r="T2010"/>
  <c r="U2010"/>
  <c r="V2010"/>
  <c r="W2010"/>
  <c r="Y2010"/>
  <c r="AB2010"/>
  <c r="AC2010"/>
  <c r="AD2010"/>
  <c r="P2011"/>
  <c r="T2011"/>
  <c r="U2011"/>
  <c r="V2011"/>
  <c r="W2011"/>
  <c r="Y2011"/>
  <c r="AB2011"/>
  <c r="AC2011"/>
  <c r="AD2011"/>
  <c r="P2012"/>
  <c r="W2012"/>
  <c r="Y2012"/>
  <c r="AB2012"/>
  <c r="AC2012"/>
  <c r="AD2012"/>
  <c r="P2013"/>
  <c r="W2013"/>
  <c r="Y2013"/>
  <c r="AB2013"/>
  <c r="AC2013"/>
  <c r="AD2013"/>
  <c r="P2014"/>
  <c r="W2014"/>
  <c r="Y2014"/>
  <c r="AB2014"/>
  <c r="AC2014"/>
  <c r="AD2014"/>
  <c r="P2015"/>
  <c r="W2015"/>
  <c r="Y2015"/>
  <c r="AB2015"/>
  <c r="AC2015"/>
  <c r="AD2015"/>
  <c r="P2016"/>
  <c r="T2016"/>
  <c r="U2016"/>
  <c r="V2016"/>
  <c r="W2016"/>
  <c r="Y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1"/>
  <c r="T2021"/>
  <c r="U2021"/>
  <c r="V2021"/>
  <c r="W2021"/>
  <c r="Y2021"/>
  <c r="AB2021"/>
  <c r="AC2021"/>
  <c r="AD2021"/>
  <c r="P2022"/>
  <c r="T2022"/>
  <c r="U2022"/>
  <c r="V2022"/>
  <c r="W2022"/>
  <c r="Y2022"/>
  <c r="AB2022"/>
  <c r="AC2022"/>
  <c r="AD2022"/>
  <c r="P2023"/>
  <c r="T2023"/>
  <c r="U2023"/>
  <c r="V2023"/>
  <c r="W2023"/>
  <c r="Y2023"/>
  <c r="AB2023"/>
  <c r="AC2023"/>
  <c r="AD2023"/>
  <c r="P2024"/>
  <c r="T2024"/>
  <c r="U2024"/>
  <c r="V2024"/>
  <c r="W2024"/>
  <c r="Y2024"/>
  <c r="AB2024"/>
  <c r="AC2024"/>
  <c r="AD2024"/>
  <c r="P2025"/>
  <c r="T2025"/>
  <c r="U2025"/>
  <c r="V2025"/>
  <c r="W2025"/>
  <c r="Y2025"/>
  <c r="AB2025"/>
  <c r="AC2025"/>
  <c r="AD2025"/>
  <c r="P2026"/>
  <c r="T2026"/>
  <c r="U2026"/>
  <c r="V2026"/>
  <c r="W2026"/>
  <c r="Y2026"/>
  <c r="AB2026"/>
  <c r="AC2026"/>
  <c r="AD2026"/>
  <c r="P2027"/>
  <c r="W2027"/>
  <c r="Y2027"/>
  <c r="AB2027"/>
  <c r="AC2027"/>
  <c r="AD2027"/>
  <c r="P2028"/>
  <c r="T2028"/>
  <c r="U2028"/>
  <c r="V2028"/>
  <c r="W2028"/>
  <c r="Y2028"/>
  <c r="AB2028"/>
  <c r="AC2028"/>
  <c r="AD2028"/>
  <c r="P2029"/>
  <c r="W2029"/>
  <c r="Y2029"/>
  <c r="AB2029"/>
  <c r="AC2029"/>
  <c r="AD2029"/>
  <c r="P2030"/>
  <c r="W2030"/>
  <c r="Y2030"/>
  <c r="AB2030"/>
  <c r="AC2030"/>
  <c r="AD2030"/>
  <c r="P2031"/>
  <c r="W2031"/>
  <c r="Y2031"/>
  <c r="AB2031"/>
  <c r="AC2031"/>
  <c r="AD2031"/>
  <c r="P2032"/>
  <c r="W2032"/>
  <c r="Y2032"/>
  <c r="AB2032"/>
  <c r="AC2032"/>
  <c r="AD2032"/>
  <c r="P2033"/>
  <c r="W2033"/>
  <c r="Y2033"/>
  <c r="AB2033"/>
  <c r="AC2033"/>
  <c r="AD2033"/>
  <c r="P2034"/>
  <c r="W2034"/>
  <c r="Y2034"/>
  <c r="AB2034"/>
  <c r="AC2034"/>
  <c r="AD2034"/>
  <c r="P2035"/>
  <c r="T2035"/>
  <c r="U2035"/>
  <c r="V2035"/>
  <c r="W2035"/>
  <c r="Y2035"/>
  <c r="AB2035"/>
  <c r="AC2035"/>
  <c r="AD2035"/>
  <c r="P2036"/>
  <c r="T2036"/>
  <c r="U2036"/>
  <c r="V2036"/>
  <c r="W2036"/>
  <c r="Y2036"/>
  <c r="AB2036"/>
  <c r="AC2036"/>
  <c r="AD2036"/>
  <c r="P2037"/>
  <c r="T2037"/>
  <c r="U2037"/>
  <c r="V2037"/>
  <c r="W2037"/>
  <c r="Y2037"/>
  <c r="AB2037"/>
  <c r="AC2037"/>
  <c r="AD2037"/>
  <c r="P2038"/>
  <c r="T2038"/>
  <c r="U2038"/>
  <c r="V2038"/>
  <c r="W2038"/>
  <c r="Y2038"/>
  <c r="AB2038"/>
  <c r="AC2038"/>
  <c r="AD2038"/>
  <c r="P2039"/>
  <c r="T2039"/>
  <c r="U2039"/>
  <c r="V2039"/>
  <c r="W2039"/>
  <c r="Y2039"/>
  <c r="AB2039"/>
  <c r="AC2039"/>
  <c r="AD2039"/>
  <c r="P2040"/>
  <c r="T2040"/>
  <c r="U2040"/>
  <c r="V2040"/>
  <c r="W2040"/>
  <c r="Y2040"/>
  <c r="AB2040"/>
  <c r="AC2040"/>
  <c r="AD2040"/>
  <c r="P2041"/>
  <c r="T2041"/>
  <c r="U2041"/>
  <c r="V2041"/>
  <c r="W2041"/>
  <c r="Y2041"/>
  <c r="AB2041"/>
  <c r="AC2041"/>
  <c r="AD2041"/>
  <c r="P2042"/>
  <c r="T2042"/>
  <c r="U2042"/>
  <c r="V2042"/>
  <c r="W2042"/>
  <c r="Y2042"/>
  <c r="AB2042"/>
  <c r="AC2042"/>
  <c r="AD2042"/>
  <c r="P2043"/>
  <c r="T2043"/>
  <c r="U2043"/>
  <c r="V2043"/>
  <c r="W2043"/>
  <c r="Y2043"/>
  <c r="AB2043"/>
  <c r="AC2043"/>
  <c r="AD2043"/>
  <c r="P2044"/>
  <c r="W2044"/>
  <c r="Y2044"/>
  <c r="AB2044"/>
  <c r="AC2044"/>
  <c r="AD2044"/>
  <c r="P2045"/>
  <c r="T2045"/>
  <c r="U2045"/>
  <c r="V2045"/>
  <c r="W2045"/>
  <c r="Y2045"/>
  <c r="AB2045"/>
  <c r="AC2045"/>
  <c r="AD2045"/>
  <c r="P2046"/>
  <c r="T2046"/>
  <c r="U2046"/>
  <c r="V2046"/>
  <c r="W2046"/>
  <c r="Y2046"/>
  <c r="AB2046"/>
  <c r="AC2046"/>
  <c r="AD2046"/>
  <c r="P2047"/>
  <c r="T2047"/>
  <c r="U2047"/>
  <c r="V2047"/>
  <c r="W2047"/>
  <c r="Y2047"/>
  <c r="AB2047"/>
  <c r="AC2047"/>
  <c r="AD2047"/>
  <c r="P2048"/>
  <c r="T2048"/>
  <c r="U2048"/>
  <c r="V2048"/>
  <c r="W2048"/>
  <c r="Y2048"/>
  <c r="AB2048"/>
  <c r="AC2048"/>
  <c r="AD2048"/>
  <c r="P2049"/>
  <c r="T2049"/>
  <c r="U2049"/>
  <c r="V2049"/>
  <c r="W2049"/>
  <c r="Y2049"/>
  <c r="AB2049"/>
  <c r="AC2049"/>
  <c r="AD2049"/>
  <c r="P2050"/>
  <c r="T2050"/>
  <c r="U2050"/>
  <c r="V2050"/>
  <c r="W2050"/>
  <c r="Y2050"/>
  <c r="AB2050"/>
  <c r="AC2050"/>
  <c r="AD2050"/>
  <c r="P2051"/>
  <c r="T2051"/>
  <c r="U2051"/>
  <c r="V2051"/>
  <c r="W2051"/>
  <c r="Y2051"/>
  <c r="AB2051"/>
  <c r="AC2051"/>
  <c r="AD2051"/>
  <c r="P2052"/>
  <c r="T2052"/>
  <c r="U2052"/>
  <c r="V2052"/>
  <c r="W2052"/>
  <c r="Y2052"/>
  <c r="AB2052"/>
  <c r="AC2052"/>
  <c r="AD2052"/>
  <c r="P2053"/>
  <c r="T2053"/>
  <c r="U2053"/>
  <c r="V2053"/>
  <c r="W2053"/>
  <c r="Y2053"/>
  <c r="AB2053"/>
  <c r="AC2053"/>
  <c r="AD2053"/>
  <c r="P2054"/>
  <c r="T2054"/>
  <c r="U2054"/>
  <c r="V2054"/>
  <c r="W2054"/>
  <c r="Y2054"/>
  <c r="AB2054"/>
  <c r="AC2054"/>
  <c r="AD2054"/>
  <c r="P2055"/>
  <c r="T2055"/>
  <c r="U2055"/>
  <c r="V2055"/>
  <c r="W2055"/>
  <c r="Y2055"/>
  <c r="AB2055"/>
  <c r="AC2055"/>
  <c r="AD2055"/>
  <c r="P2056"/>
  <c r="T2056"/>
  <c r="U2056"/>
  <c r="V2056"/>
  <c r="W2056"/>
  <c r="Y2056"/>
  <c r="AB2056"/>
  <c r="AC2056"/>
  <c r="AD2056"/>
  <c r="P2057"/>
  <c r="T2057"/>
  <c r="U2057"/>
  <c r="V2057"/>
  <c r="W2057"/>
  <c r="Y2057"/>
  <c r="AB2057"/>
  <c r="AC2057"/>
  <c r="AD2057"/>
  <c r="P2058"/>
  <c r="T2058"/>
  <c r="U2058"/>
  <c r="V2058"/>
  <c r="W2058"/>
  <c r="Y2058"/>
  <c r="AB2058"/>
  <c r="AC2058"/>
  <c r="AD2058"/>
  <c r="P2059"/>
  <c r="T2059"/>
  <c r="U2059"/>
  <c r="V2059"/>
  <c r="W2059"/>
  <c r="Y2059"/>
  <c r="AB2059"/>
  <c r="AC2059"/>
  <c r="AD2059"/>
  <c r="P2060"/>
  <c r="T2060"/>
  <c r="U2060"/>
  <c r="V2060"/>
  <c r="W2060"/>
  <c r="Y2060"/>
  <c r="AB2060"/>
  <c r="AC2060"/>
  <c r="AD2060"/>
  <c r="P2061"/>
  <c r="T2061"/>
  <c r="U2061"/>
  <c r="V2061"/>
  <c r="W2061"/>
  <c r="Y2061"/>
  <c r="AB2061"/>
  <c r="AC2061"/>
  <c r="AD2061"/>
  <c r="P2062"/>
  <c r="T2062"/>
  <c r="U2062"/>
  <c r="V2062"/>
  <c r="W2062"/>
  <c r="Y2062"/>
  <c r="AB2062"/>
  <c r="AC2062"/>
  <c r="AD2062"/>
  <c r="P2063"/>
  <c r="T2063"/>
  <c r="U2063"/>
  <c r="V2063"/>
  <c r="W2063"/>
  <c r="Y2063"/>
  <c r="AB2063"/>
  <c r="AC2063"/>
  <c r="AD2063"/>
  <c r="P2064"/>
  <c r="T2064"/>
  <c r="U2064"/>
  <c r="V2064"/>
  <c r="W2064"/>
  <c r="Y2064"/>
  <c r="AB2064"/>
  <c r="AC2064"/>
  <c r="AD2064"/>
  <c r="P2065"/>
  <c r="T2065"/>
  <c r="U2065"/>
  <c r="V2065"/>
  <c r="W2065"/>
  <c r="Y2065"/>
  <c r="AB2065"/>
  <c r="AC2065"/>
  <c r="AD2065"/>
  <c r="P2066"/>
  <c r="W2066"/>
  <c r="Y2066"/>
  <c r="AB2066"/>
  <c r="AC2066"/>
  <c r="AD2066"/>
  <c r="P2067"/>
  <c r="W2067"/>
  <c r="Y2067"/>
  <c r="AB2067"/>
  <c r="AC2067"/>
  <c r="AD2067"/>
  <c r="P2068"/>
  <c r="W2068"/>
  <c r="Y2068"/>
  <c r="AB2068"/>
  <c r="AC2068"/>
  <c r="AD2068"/>
  <c r="P2078"/>
  <c r="W2078"/>
  <c r="Y2078"/>
  <c r="AB2078"/>
  <c r="AC2078"/>
  <c r="AD2078"/>
  <c r="P2079"/>
  <c r="W2079"/>
  <c r="Y2079"/>
  <c r="AB2079"/>
  <c r="AC2079"/>
  <c r="AD2079"/>
  <c r="P2080"/>
  <c r="W2080"/>
  <c r="Y2080"/>
  <c r="AB2080"/>
  <c r="AC2080"/>
  <c r="AD2080"/>
  <c r="P2081"/>
  <c r="W2081"/>
  <c r="Y2081"/>
  <c r="AB2081"/>
  <c r="AC2081"/>
  <c r="AD2081"/>
  <c r="P2082"/>
  <c r="W2082"/>
  <c r="Y2082"/>
  <c r="AB2082"/>
  <c r="AC2082"/>
  <c r="AD2082"/>
  <c r="P2083"/>
  <c r="W2083"/>
  <c r="Y2083"/>
  <c r="AB2083"/>
  <c r="AC2083"/>
  <c r="AD2083"/>
  <c r="P2084"/>
  <c r="W2084"/>
  <c r="Y2084"/>
  <c r="AB2084"/>
  <c r="AC2084"/>
  <c r="AD2084"/>
  <c r="P2085"/>
  <c r="W2085"/>
  <c r="Y2085"/>
  <c r="AB2085"/>
  <c r="AC2085"/>
  <c r="AD2085"/>
  <c r="P2086"/>
  <c r="W2086"/>
  <c r="Y2086"/>
  <c r="AB2086"/>
  <c r="AC2086"/>
  <c r="AD2086"/>
  <c r="P2087"/>
  <c r="W2087"/>
  <c r="Y2087"/>
  <c r="AB2087"/>
  <c r="AC2087"/>
  <c r="AD2087"/>
  <c r="P2088"/>
  <c r="W2088"/>
  <c r="Y2088"/>
  <c r="AB2088"/>
  <c r="AC2088"/>
  <c r="AD2088"/>
  <c r="P2089"/>
  <c r="W2089"/>
  <c r="Y2089"/>
  <c r="AB2089"/>
  <c r="AC2089"/>
  <c r="AD2089"/>
  <c r="P2090"/>
  <c r="W2090"/>
  <c r="Y2090"/>
  <c r="AB2090"/>
  <c r="AC2090"/>
  <c r="AD2090"/>
  <c r="P2091"/>
  <c r="W2091"/>
  <c r="Y2091"/>
  <c r="AB2091"/>
  <c r="AC2091"/>
  <c r="AD2091"/>
  <c r="P2092"/>
  <c r="W2092"/>
  <c r="Y2092"/>
  <c r="AB2092"/>
  <c r="AC2092"/>
  <c r="AD2092"/>
  <c r="P2093"/>
  <c r="W2093"/>
  <c r="Y2093"/>
  <c r="AB2093"/>
  <c r="AC2093"/>
  <c r="AD2093"/>
  <c r="P2094"/>
  <c r="W2094"/>
  <c r="Y2094"/>
  <c r="AB2094"/>
  <c r="AC2094"/>
  <c r="AD2094"/>
  <c r="P2095"/>
  <c r="W2095"/>
  <c r="Y2095"/>
  <c r="AB2095"/>
  <c r="AC2095"/>
  <c r="AD2095"/>
  <c r="P2096"/>
  <c r="W2096"/>
  <c r="Y2096"/>
  <c r="AB2096"/>
  <c r="AC2096"/>
  <c r="AD2096"/>
  <c r="P2097"/>
  <c r="W2097"/>
  <c r="Y2097"/>
  <c r="AB2097"/>
  <c r="AC2097"/>
  <c r="AD2097"/>
  <c r="P2098"/>
  <c r="W2098"/>
  <c r="Y2098"/>
  <c r="AB2098"/>
  <c r="AC2098"/>
  <c r="AD2098"/>
  <c r="P2099"/>
  <c r="W2099"/>
  <c r="Y2099"/>
  <c r="AB2099"/>
  <c r="AC2099"/>
  <c r="AD2099"/>
  <c r="P2100"/>
  <c r="W2100"/>
  <c r="Y2100"/>
  <c r="AB2100"/>
  <c r="AC2100"/>
  <c r="AD2100"/>
  <c r="P2101"/>
  <c r="W2101"/>
  <c r="Y2101"/>
  <c r="AB2101"/>
  <c r="AC2101"/>
  <c r="AD2101"/>
  <c r="P2102"/>
  <c r="W2102"/>
  <c r="Y2102"/>
  <c r="AB2102"/>
  <c r="AC2102"/>
  <c r="AD2102"/>
  <c r="P2103"/>
  <c r="W2103"/>
  <c r="Y2103"/>
  <c r="AB2103"/>
  <c r="AC2103"/>
  <c r="AD2103"/>
  <c r="P2104"/>
  <c r="W2104"/>
  <c r="Y2104"/>
  <c r="AB2104"/>
  <c r="AC2104"/>
  <c r="AD2104"/>
  <c r="P2105"/>
  <c r="W2105"/>
  <c r="Y2105"/>
  <c r="AB2105"/>
  <c r="AC2105"/>
  <c r="AD2105"/>
  <c r="P2106"/>
  <c r="W2106"/>
  <c r="Y2106"/>
  <c r="AB2106"/>
  <c r="AC2106"/>
  <c r="AD2106"/>
  <c r="P2107"/>
  <c r="W2107"/>
  <c r="Y2107"/>
  <c r="AB2107"/>
  <c r="AC2107"/>
  <c r="AD2107"/>
  <c r="P2108"/>
  <c r="W2108"/>
  <c r="Y2108"/>
  <c r="AB2108"/>
  <c r="AC2108"/>
  <c r="AD2108"/>
  <c r="P2109"/>
  <c r="W2109"/>
  <c r="Y2109"/>
  <c r="AB2109"/>
  <c r="AC2109"/>
  <c r="AD2109"/>
  <c r="P2110"/>
  <c r="W2110"/>
  <c r="Y2110"/>
  <c r="AB2110"/>
  <c r="AC2110"/>
  <c r="AD2110"/>
  <c r="P2111"/>
  <c r="W2111"/>
  <c r="Y2111"/>
  <c r="AB2111"/>
  <c r="AC2111"/>
  <c r="AD2111"/>
  <c r="P2112"/>
  <c r="W2112"/>
  <c r="Y2112"/>
  <c r="AB2112"/>
  <c r="AC2112"/>
  <c r="AD2112"/>
  <c r="P2113"/>
  <c r="W2113"/>
  <c r="Y2113"/>
  <c r="AB2113"/>
  <c r="AC2113"/>
  <c r="AD2113"/>
  <c r="P2114"/>
  <c r="W2114"/>
  <c r="Y2114"/>
  <c r="AB2114"/>
  <c r="AC2114"/>
  <c r="AD2114"/>
  <c r="P2115"/>
  <c r="W2115"/>
  <c r="Y2115"/>
  <c r="AB2115"/>
  <c r="AC2115"/>
  <c r="AD2115"/>
  <c r="P2116"/>
  <c r="W2116"/>
  <c r="Y2116"/>
  <c r="AB2116"/>
  <c r="AC2116"/>
  <c r="AD2116"/>
  <c r="P2117"/>
  <c r="W2117"/>
  <c r="Y2117"/>
  <c r="AB2117"/>
  <c r="AC2117"/>
  <c r="AD2117"/>
  <c r="P2118"/>
  <c r="W2118"/>
  <c r="Y2118"/>
  <c r="AB2118"/>
  <c r="AC2118"/>
  <c r="AD2118"/>
  <c r="P2119"/>
  <c r="W2119"/>
  <c r="Y2119"/>
  <c r="AB2119"/>
  <c r="AC2119"/>
  <c r="AD2119"/>
  <c r="P2120"/>
  <c r="W2120"/>
  <c r="Y2120"/>
  <c r="AB2120"/>
  <c r="AC2120"/>
  <c r="AD2120"/>
  <c r="P2121"/>
  <c r="W2121"/>
  <c r="Y2121"/>
  <c r="AB2121"/>
  <c r="AC2121"/>
  <c r="AD2121"/>
  <c r="P2122"/>
  <c r="W2122"/>
  <c r="Y2122"/>
  <c r="AB2122"/>
  <c r="AC2122"/>
  <c r="AD2122"/>
  <c r="P2123"/>
  <c r="W2123"/>
  <c r="Y2123"/>
  <c r="AB2123"/>
  <c r="AC2123"/>
  <c r="AD2123"/>
  <c r="P2124"/>
  <c r="W2124"/>
  <c r="Y2124"/>
  <c r="AB2124"/>
  <c r="AC2124"/>
  <c r="AD2124"/>
  <c r="P2125"/>
  <c r="W2125"/>
  <c r="Y2125"/>
  <c r="AB2125"/>
  <c r="AC2125"/>
  <c r="AD2125"/>
  <c r="P2126"/>
  <c r="W2126"/>
  <c r="Y2126"/>
  <c r="AB2126"/>
  <c r="AC2126"/>
  <c r="AD2126"/>
  <c r="P2127"/>
  <c r="W2127"/>
  <c r="Y2127"/>
  <c r="AB2127"/>
  <c r="AC2127"/>
  <c r="AD2127"/>
  <c r="P2128"/>
  <c r="W2128"/>
  <c r="Y2128"/>
  <c r="AB2128"/>
  <c r="AC2128"/>
  <c r="AD2128"/>
  <c r="P2129"/>
  <c r="W2129"/>
  <c r="Y2129"/>
  <c r="AB2129"/>
  <c r="AC2129"/>
  <c r="AD2129"/>
  <c r="P2130"/>
  <c r="W2130"/>
  <c r="Y2130"/>
  <c r="AB2130"/>
  <c r="AC2130"/>
  <c r="AD2130"/>
  <c r="P2131"/>
  <c r="W2131"/>
  <c r="Y2131"/>
  <c r="AB2131"/>
  <c r="AC2131"/>
  <c r="AD2131"/>
  <c r="P2132"/>
  <c r="W2132"/>
  <c r="Y2132"/>
  <c r="AB2132"/>
  <c r="AC2132"/>
  <c r="AD2132"/>
  <c r="P2133"/>
  <c r="W2133"/>
  <c r="Y2133"/>
  <c r="AB2133"/>
  <c r="AC2133"/>
  <c r="AD2133"/>
  <c r="P2134"/>
  <c r="W2134"/>
  <c r="Y2134"/>
  <c r="AB2134"/>
  <c r="AC2134"/>
  <c r="AD2134"/>
  <c r="P2135"/>
  <c r="W2135"/>
  <c r="Y2135"/>
  <c r="AB2135"/>
  <c r="AC2135"/>
  <c r="AD2135"/>
  <c r="P2136"/>
  <c r="W2136"/>
  <c r="Y2136"/>
  <c r="AB2136"/>
  <c r="AC2136"/>
  <c r="AD2136"/>
  <c r="P2137"/>
  <c r="W2137"/>
  <c r="Y2137"/>
  <c r="AB2137"/>
  <c r="AC2137"/>
  <c r="AD2137"/>
  <c r="P2138"/>
  <c r="W2138"/>
  <c r="Y2138"/>
  <c r="AB2138"/>
  <c r="AC2138"/>
  <c r="AD2138"/>
  <c r="P2139"/>
  <c r="W2139"/>
  <c r="Y2139"/>
  <c r="AB2139"/>
  <c r="AC2139"/>
  <c r="AD2139"/>
  <c r="P2140"/>
  <c r="W2140"/>
  <c r="Y2140"/>
  <c r="AB2140"/>
  <c r="AC2140"/>
  <c r="AD2140"/>
  <c r="P2141"/>
  <c r="W2141"/>
  <c r="Y2141"/>
  <c r="AB2141"/>
  <c r="AC2141"/>
  <c r="AD2141"/>
  <c r="P2142"/>
  <c r="W2142"/>
  <c r="Y2142"/>
  <c r="AB2142"/>
  <c r="AC2142"/>
  <c r="AD2142"/>
  <c r="P2143"/>
  <c r="W2143"/>
  <c r="Y2143"/>
  <c r="AB2143"/>
  <c r="AC2143"/>
  <c r="AD2143"/>
  <c r="P2172"/>
  <c r="T2172"/>
  <c r="U2172"/>
  <c r="V2172"/>
  <c r="W2172"/>
  <c r="Y2172"/>
  <c r="AB2172"/>
  <c r="AC2172"/>
  <c r="AD2172"/>
  <c r="P2173"/>
  <c r="T2173"/>
  <c r="U2173"/>
  <c r="V2173"/>
  <c r="W2173"/>
  <c r="Y2173"/>
  <c r="AB2173"/>
  <c r="AC2173"/>
  <c r="AD2173"/>
  <c r="P2174"/>
  <c r="T2174"/>
  <c r="U2174"/>
  <c r="V2174"/>
  <c r="W2174"/>
  <c r="Y2174"/>
  <c r="AB2174"/>
  <c r="AC2174"/>
  <c r="AD2174"/>
  <c r="P2175"/>
  <c r="T2175"/>
  <c r="U2175"/>
  <c r="V2175"/>
  <c r="W2175"/>
  <c r="Y2175"/>
  <c r="AB2175"/>
  <c r="AC2175"/>
  <c r="AD2175"/>
  <c r="P2176"/>
  <c r="T2176"/>
  <c r="U2176"/>
  <c r="V2176"/>
  <c r="W2176"/>
  <c r="Y2176"/>
  <c r="AB2176"/>
  <c r="AC2176"/>
  <c r="AD2176"/>
  <c r="P2177"/>
  <c r="T2177"/>
  <c r="U2177"/>
  <c r="V2177"/>
  <c r="W2177"/>
  <c r="Y2177"/>
  <c r="AB2177"/>
  <c r="AC2177"/>
  <c r="AD2177"/>
  <c r="P2178"/>
  <c r="T2178"/>
  <c r="U2178"/>
  <c r="V2178"/>
  <c r="W2178"/>
  <c r="Y2178"/>
  <c r="AB2178"/>
  <c r="AC2178"/>
  <c r="AD2178"/>
  <c r="P2179"/>
  <c r="T2179"/>
  <c r="U2179"/>
  <c r="V2179"/>
  <c r="W2179"/>
  <c r="Y2179"/>
  <c r="AB2179"/>
  <c r="AC2179"/>
  <c r="AD2179"/>
  <c r="P2180"/>
  <c r="T2180"/>
  <c r="U2180"/>
  <c r="V2180"/>
  <c r="W2180"/>
  <c r="Y2180"/>
  <c r="AB2180"/>
  <c r="AC2180"/>
  <c r="AD2180"/>
  <c r="P2181"/>
  <c r="T2181"/>
  <c r="U2181"/>
  <c r="V2181"/>
  <c r="W2181"/>
  <c r="Y2181"/>
  <c r="AB2181"/>
  <c r="AC2181"/>
  <c r="AD2181"/>
  <c r="P2182"/>
  <c r="T2182"/>
  <c r="U2182"/>
  <c r="V2182"/>
  <c r="W2182"/>
  <c r="Y2182"/>
  <c r="AB2182"/>
  <c r="AC2182"/>
  <c r="AD2182"/>
  <c r="P2183"/>
  <c r="T2183"/>
  <c r="U2183"/>
  <c r="V2183"/>
  <c r="W2183"/>
  <c r="Y2183"/>
  <c r="AB2183"/>
  <c r="AC2183"/>
  <c r="AD2183"/>
  <c r="P2184"/>
  <c r="T2184"/>
  <c r="U2184"/>
  <c r="V2184"/>
  <c r="W2184"/>
  <c r="Y2184"/>
  <c r="AB2184"/>
  <c r="AC2184"/>
  <c r="AD2184"/>
  <c r="P2185"/>
  <c r="T2185"/>
  <c r="U2185"/>
  <c r="V2185"/>
  <c r="W2185"/>
  <c r="Y2185"/>
  <c r="AB2185"/>
  <c r="AC2185"/>
  <c r="AD2185"/>
  <c r="P2186"/>
  <c r="T2186"/>
  <c r="U2186"/>
  <c r="V2186"/>
  <c r="W2186"/>
  <c r="Y2186"/>
  <c r="AB2186"/>
  <c r="AC2186"/>
  <c r="AD2186"/>
  <c r="P2187"/>
  <c r="T2187"/>
  <c r="U2187"/>
  <c r="V2187"/>
  <c r="W2187"/>
  <c r="Y2187"/>
  <c r="AB2187"/>
  <c r="AC2187"/>
  <c r="AD2187"/>
  <c r="P2188"/>
  <c r="T2188"/>
  <c r="U2188"/>
  <c r="V2188"/>
  <c r="W2188"/>
  <c r="Y2188"/>
  <c r="AB2188"/>
  <c r="AC2188"/>
  <c r="AD2188"/>
  <c r="P2189"/>
  <c r="T2189"/>
  <c r="U2189"/>
  <c r="V2189"/>
  <c r="W2189"/>
  <c r="Y2189"/>
  <c r="AB2189"/>
  <c r="AC2189"/>
  <c r="AD2189"/>
  <c r="P2190"/>
  <c r="T2190"/>
  <c r="U2190"/>
  <c r="V2190"/>
  <c r="W2190"/>
  <c r="Y2190"/>
  <c r="AB2190"/>
  <c r="AC2190"/>
  <c r="AD2190"/>
  <c r="P2191"/>
  <c r="T2191"/>
  <c r="U2191"/>
  <c r="V2191"/>
  <c r="W2191"/>
  <c r="Y2191"/>
  <c r="AB2191"/>
  <c r="AC2191"/>
  <c r="AD2191"/>
  <c r="P2192"/>
  <c r="T2192"/>
  <c r="U2192"/>
  <c r="V2192"/>
  <c r="W2192"/>
  <c r="Y2192"/>
  <c r="AB2192"/>
  <c r="AC2192"/>
  <c r="AD2192"/>
  <c r="P2193"/>
  <c r="T2193"/>
  <c r="U2193"/>
  <c r="V2193"/>
  <c r="W2193"/>
  <c r="Y2193"/>
  <c r="AB2193"/>
  <c r="AC2193"/>
  <c r="AD2193"/>
  <c r="P2194"/>
  <c r="T2194"/>
  <c r="U2194"/>
  <c r="V2194"/>
  <c r="W2194"/>
  <c r="Y2194"/>
  <c r="AB2194"/>
  <c r="AC2194"/>
  <c r="AD2194"/>
  <c r="P2195"/>
  <c r="T2195"/>
  <c r="U2195"/>
  <c r="V2195"/>
  <c r="W2195"/>
  <c r="Y2195"/>
  <c r="AB2195"/>
  <c r="AC2195"/>
  <c r="AD2195"/>
  <c r="P2196"/>
  <c r="T2196"/>
  <c r="U2196"/>
  <c r="V2196"/>
  <c r="W2196"/>
  <c r="Y2196"/>
  <c r="AB2196"/>
  <c r="AC2196"/>
  <c r="AD2196"/>
  <c r="P2197"/>
  <c r="T2197"/>
  <c r="U2197"/>
  <c r="V2197"/>
  <c r="W2197"/>
  <c r="Y2197"/>
  <c r="AB2197"/>
  <c r="AC2197"/>
  <c r="AD2197"/>
  <c r="P2198"/>
  <c r="T2198"/>
  <c r="U2198"/>
  <c r="V2198"/>
  <c r="W2198"/>
  <c r="Y2198"/>
  <c r="AB2198"/>
  <c r="AC2198"/>
  <c r="AD2198"/>
  <c r="P2199"/>
  <c r="T2199"/>
  <c r="U2199"/>
  <c r="V2199"/>
  <c r="W2199"/>
  <c r="Y2199"/>
  <c r="AB2199"/>
  <c r="AC2199"/>
  <c r="AD2199"/>
  <c r="P2200"/>
  <c r="T2200"/>
  <c r="U2200"/>
  <c r="V2200"/>
  <c r="W2200"/>
  <c r="Y2200"/>
  <c r="AB2200"/>
  <c r="AC2200"/>
  <c r="AD2200"/>
  <c r="P2201"/>
  <c r="T2201"/>
  <c r="U2201"/>
  <c r="V2201"/>
  <c r="W2201"/>
  <c r="Y2201"/>
  <c r="AB2201"/>
  <c r="AC2201"/>
  <c r="AD2201"/>
  <c r="P2202"/>
  <c r="T2202"/>
  <c r="U2202"/>
  <c r="V2202"/>
  <c r="W2202"/>
  <c r="Y2202"/>
  <c r="AB2202"/>
  <c r="AC2202"/>
  <c r="AD2202"/>
  <c r="P2203"/>
  <c r="T2203"/>
  <c r="U2203"/>
  <c r="V2203"/>
  <c r="W2203"/>
  <c r="Y2203"/>
  <c r="AB2203"/>
  <c r="AC2203"/>
  <c r="AD2203"/>
  <c r="P2204"/>
  <c r="T2204"/>
  <c r="U2204"/>
  <c r="V2204"/>
  <c r="W2204"/>
  <c r="Y2204"/>
  <c r="AB2204"/>
  <c r="AC2204"/>
  <c r="AD2204"/>
  <c r="P2205"/>
  <c r="T2205"/>
  <c r="U2205"/>
  <c r="V2205"/>
  <c r="W2205"/>
  <c r="Y2205"/>
  <c r="AB2205"/>
  <c r="AC2205"/>
  <c r="AD2205"/>
  <c r="P2206"/>
  <c r="T2206"/>
  <c r="U2206"/>
  <c r="V2206"/>
  <c r="W2206"/>
  <c r="Y2206"/>
  <c r="AB2206"/>
  <c r="AC2206"/>
  <c r="AD2206"/>
  <c r="P2207"/>
  <c r="T2207"/>
  <c r="U2207"/>
  <c r="V2207"/>
  <c r="W2207"/>
  <c r="Y2207"/>
  <c r="AB2207"/>
  <c r="AC2207"/>
  <c r="AD2207"/>
  <c r="P2208"/>
  <c r="T2208"/>
  <c r="U2208"/>
  <c r="V2208"/>
  <c r="W2208"/>
  <c r="Y2208"/>
  <c r="AB2208"/>
  <c r="AC2208"/>
  <c r="AD2208"/>
  <c r="P2209"/>
  <c r="T2209"/>
  <c r="U2209"/>
  <c r="V2209"/>
  <c r="W2209"/>
  <c r="Y2209"/>
  <c r="AB2209"/>
  <c r="AC2209"/>
  <c r="AD2209"/>
  <c r="P2210"/>
  <c r="T2210"/>
  <c r="U2210"/>
  <c r="V2210"/>
  <c r="W2210"/>
  <c r="Y2210"/>
  <c r="AB2210"/>
  <c r="AC2210"/>
  <c r="AD2210"/>
  <c r="P2211"/>
  <c r="T2211"/>
  <c r="U2211"/>
  <c r="V2211"/>
  <c r="W2211"/>
  <c r="Y2211"/>
  <c r="AB2211"/>
  <c r="AC2211"/>
  <c r="AD2211"/>
  <c r="P2212"/>
  <c r="T2212"/>
  <c r="U2212"/>
  <c r="V2212"/>
  <c r="W2212"/>
  <c r="Y2212"/>
  <c r="AB2212"/>
  <c r="AC2212"/>
  <c r="AD2212"/>
  <c r="P2213"/>
  <c r="T2213"/>
  <c r="U2213"/>
  <c r="V2213"/>
  <c r="W2213"/>
  <c r="Y2213"/>
  <c r="AB2213"/>
  <c r="AC2213"/>
  <c r="AD2213"/>
  <c r="P2214"/>
  <c r="T2214"/>
  <c r="U2214"/>
  <c r="V2214"/>
  <c r="W2214"/>
  <c r="Y2214"/>
  <c r="AB2214"/>
  <c r="AC2214"/>
  <c r="AD2214"/>
  <c r="P2215"/>
  <c r="T2215"/>
  <c r="U2215"/>
  <c r="V2215"/>
  <c r="W2215"/>
  <c r="Y2215"/>
  <c r="AB2215"/>
  <c r="AC2215"/>
  <c r="AD2215"/>
  <c r="P2216"/>
  <c r="T2216"/>
  <c r="U2216"/>
  <c r="V2216"/>
  <c r="W2216"/>
  <c r="Y2216"/>
  <c r="AB2216"/>
  <c r="AC2216"/>
  <c r="AD2216"/>
  <c r="P2217"/>
  <c r="T2217"/>
  <c r="U2217"/>
  <c r="V2217"/>
  <c r="W2217"/>
  <c r="Y2217"/>
  <c r="AB2217"/>
  <c r="AC2217"/>
  <c r="AD2217"/>
  <c r="P2218"/>
  <c r="T2218"/>
  <c r="U2218"/>
  <c r="V2218"/>
  <c r="W2218"/>
  <c r="Y2218"/>
  <c r="AB2218"/>
  <c r="AC2218"/>
  <c r="AD2218"/>
  <c r="P2219"/>
  <c r="T2219"/>
  <c r="U2219"/>
  <c r="V2219"/>
  <c r="W2219"/>
  <c r="Y2219"/>
  <c r="AB2219"/>
  <c r="AC2219"/>
  <c r="AD2219"/>
  <c r="P2220"/>
  <c r="T2220"/>
  <c r="U2220"/>
  <c r="V2220"/>
  <c r="W2220"/>
  <c r="Y2220"/>
  <c r="AB2220"/>
  <c r="AC2220"/>
  <c r="AD2220"/>
  <c r="P2221"/>
  <c r="T2221"/>
  <c r="U2221"/>
  <c r="V2221"/>
  <c r="W2221"/>
  <c r="Y2221"/>
  <c r="AB2221"/>
  <c r="AC2221"/>
  <c r="AD2221"/>
  <c r="P2222"/>
  <c r="T2222"/>
  <c r="U2222"/>
  <c r="V2222"/>
  <c r="W2222"/>
  <c r="Y2222"/>
  <c r="AB2222"/>
  <c r="AC2222"/>
  <c r="AD2222"/>
  <c r="P2223"/>
  <c r="T2223"/>
  <c r="U2223"/>
  <c r="V2223"/>
  <c r="W2223"/>
  <c r="Y2223"/>
  <c r="AB2223"/>
  <c r="AC2223"/>
  <c r="AD2223"/>
  <c r="P2224"/>
  <c r="T2224"/>
  <c r="U2224"/>
  <c r="V2224"/>
  <c r="W2224"/>
  <c r="Y2224"/>
  <c r="AB2224"/>
  <c r="AC2224"/>
  <c r="AD2224"/>
  <c r="P2225"/>
  <c r="T2225"/>
  <c r="U2225"/>
  <c r="V2225"/>
  <c r="W2225"/>
  <c r="Y2225"/>
  <c r="AB2225"/>
  <c r="AC2225"/>
  <c r="AD2225"/>
  <c r="P2226"/>
  <c r="T2226"/>
  <c r="U2226"/>
  <c r="V2226"/>
  <c r="W2226"/>
  <c r="Y2226"/>
  <c r="AB2226"/>
  <c r="AC2226"/>
  <c r="AD2226"/>
  <c r="P2227"/>
  <c r="T2227"/>
  <c r="U2227"/>
  <c r="V2227"/>
  <c r="W2227"/>
  <c r="Y2227"/>
  <c r="AB2227"/>
  <c r="AC2227"/>
  <c r="AD2227"/>
  <c r="P2228"/>
  <c r="T2228"/>
  <c r="U2228"/>
  <c r="V2228"/>
  <c r="W2228"/>
  <c r="Y2228"/>
  <c r="AB2228"/>
  <c r="AC2228"/>
  <c r="AD2228"/>
  <c r="P2229"/>
  <c r="T2229"/>
  <c r="U2229"/>
  <c r="V2229"/>
  <c r="W2229"/>
  <c r="Y2229"/>
  <c r="AB2229"/>
  <c r="AC2229"/>
  <c r="AD2229"/>
  <c r="P2230"/>
  <c r="T2230"/>
  <c r="U2230"/>
  <c r="V2230"/>
  <c r="W2230"/>
  <c r="Y2230"/>
  <c r="AB2230"/>
  <c r="AC2230"/>
  <c r="AD2230"/>
  <c r="P2231"/>
  <c r="T2231"/>
  <c r="U2231"/>
  <c r="V2231"/>
  <c r="W2231"/>
  <c r="Y2231"/>
  <c r="AB2231"/>
  <c r="AC2231"/>
  <c r="AD2231"/>
  <c r="P2232"/>
  <c r="T2232"/>
  <c r="U2232"/>
  <c r="V2232"/>
  <c r="W2232"/>
  <c r="Y2232"/>
  <c r="AB2232"/>
  <c r="AC2232"/>
  <c r="AD2232"/>
  <c r="P2233"/>
  <c r="T2233"/>
  <c r="U2233"/>
  <c r="V2233"/>
  <c r="W2233"/>
  <c r="Y2233"/>
  <c r="AB2233"/>
  <c r="AC2233"/>
  <c r="AD2233"/>
  <c r="P2234"/>
  <c r="T2234"/>
  <c r="U2234"/>
  <c r="V2234"/>
  <c r="W2234"/>
  <c r="Y2234"/>
  <c r="AB2234"/>
  <c r="AC2234"/>
  <c r="AD2234"/>
  <c r="P2235"/>
  <c r="T2235"/>
  <c r="U2235"/>
  <c r="V2235"/>
  <c r="W2235"/>
  <c r="Y2235"/>
  <c r="AB2235"/>
  <c r="AC2235"/>
  <c r="AD2235"/>
  <c r="P2236"/>
  <c r="T2236"/>
  <c r="U2236"/>
  <c r="V2236"/>
  <c r="W2236"/>
  <c r="Y2236"/>
  <c r="AB2236"/>
  <c r="AC2236"/>
  <c r="AD2236"/>
  <c r="P2237"/>
  <c r="T2237"/>
  <c r="U2237"/>
  <c r="V2237"/>
  <c r="W2237"/>
  <c r="Y2237"/>
  <c r="AB2237"/>
  <c r="AC2237"/>
  <c r="AD2237"/>
  <c r="P2238"/>
  <c r="T2238"/>
  <c r="U2238"/>
  <c r="V2238"/>
  <c r="W2238"/>
  <c r="Y2238"/>
  <c r="AB2238"/>
  <c r="AC2238"/>
  <c r="AD2238"/>
  <c r="P2239"/>
  <c r="T2239"/>
  <c r="U2239"/>
  <c r="V2239"/>
  <c r="W2239"/>
  <c r="Y2239"/>
  <c r="AB2239"/>
  <c r="AC2239"/>
  <c r="AD2239"/>
  <c r="P2240"/>
  <c r="T2240"/>
  <c r="U2240"/>
  <c r="V2240"/>
  <c r="W2240"/>
  <c r="Y2240"/>
  <c r="AB2240"/>
  <c r="AC2240"/>
  <c r="AD2240"/>
  <c r="P2241"/>
  <c r="T2241"/>
  <c r="U2241"/>
  <c r="V2241"/>
  <c r="W2241"/>
  <c r="Y2241"/>
  <c r="AB2241"/>
  <c r="AC2241"/>
  <c r="AD2241"/>
  <c r="P2242"/>
  <c r="T2242"/>
  <c r="U2242"/>
  <c r="V2242"/>
  <c r="W2242"/>
  <c r="Y2242"/>
  <c r="AB2242"/>
  <c r="AC2242"/>
  <c r="AD2242"/>
  <c r="P2243"/>
  <c r="T2243"/>
  <c r="U2243"/>
  <c r="V2243"/>
  <c r="W2243"/>
  <c r="Y2243"/>
  <c r="AB2243"/>
  <c r="AC2243"/>
  <c r="AD2243"/>
  <c r="P2244"/>
  <c r="T2244"/>
  <c r="U2244"/>
  <c r="V2244"/>
  <c r="W2244"/>
  <c r="Y2244"/>
  <c r="AB2244"/>
  <c r="AC2244"/>
  <c r="AD2244"/>
  <c r="P2245"/>
  <c r="T2245"/>
  <c r="U2245"/>
  <c r="V2245"/>
  <c r="W2245"/>
  <c r="Y2245"/>
  <c r="AB2245"/>
  <c r="AC2245"/>
  <c r="AD2245"/>
  <c r="P2246"/>
  <c r="T2246"/>
  <c r="U2246"/>
  <c r="V2246"/>
  <c r="W2246"/>
  <c r="Y2246"/>
  <c r="AB2246"/>
  <c r="AC2246"/>
  <c r="AD2246"/>
  <c r="P2247"/>
  <c r="T2247"/>
  <c r="U2247"/>
  <c r="V2247"/>
  <c r="W2247"/>
  <c r="Y2247"/>
  <c r="AB2247"/>
  <c r="AC2247"/>
  <c r="AD2247"/>
  <c r="P2248"/>
  <c r="T2248"/>
  <c r="U2248"/>
  <c r="V2248"/>
  <c r="W2248"/>
  <c r="Y2248"/>
  <c r="AB2248"/>
  <c r="AC2248"/>
  <c r="AD2248"/>
  <c r="P2249"/>
  <c r="T2249"/>
  <c r="U2249"/>
  <c r="V2249"/>
  <c r="W2249"/>
  <c r="Y2249"/>
  <c r="AB2249"/>
  <c r="AC2249"/>
  <c r="AD2249"/>
  <c r="P2250"/>
  <c r="T2250"/>
  <c r="U2250"/>
  <c r="V2250"/>
  <c r="W2250"/>
  <c r="Y2250"/>
  <c r="AB2250"/>
  <c r="AC2250"/>
  <c r="AD2250"/>
  <c r="P2251"/>
  <c r="T2251"/>
  <c r="U2251"/>
  <c r="V2251"/>
  <c r="W2251"/>
  <c r="Y2251"/>
  <c r="AB2251"/>
  <c r="AC2251"/>
  <c r="AD2251"/>
  <c r="P2252"/>
  <c r="T2252"/>
  <c r="U2252"/>
  <c r="V2252"/>
  <c r="W2252"/>
  <c r="Y2252"/>
  <c r="AB2252"/>
  <c r="AC2252"/>
  <c r="AD2252"/>
  <c r="P2253"/>
  <c r="T2253"/>
  <c r="U2253"/>
  <c r="V2253"/>
  <c r="W2253"/>
  <c r="Y2253"/>
  <c r="AB2253"/>
  <c r="AC2253"/>
  <c r="AD2253"/>
  <c r="P2254"/>
  <c r="T2254"/>
  <c r="U2254"/>
  <c r="V2254"/>
  <c r="W2254"/>
  <c r="Y2254"/>
  <c r="AB2254"/>
  <c r="AC2254"/>
  <c r="AD2254"/>
  <c r="P2255"/>
  <c r="T2255"/>
  <c r="U2255"/>
  <c r="V2255"/>
  <c r="W2255"/>
  <c r="Y2255"/>
  <c r="AB2255"/>
  <c r="AC2255"/>
  <c r="AD2255"/>
  <c r="P2256"/>
  <c r="T2256"/>
  <c r="U2256"/>
  <c r="V2256"/>
  <c r="W2256"/>
  <c r="Y2256"/>
  <c r="AB2256"/>
  <c r="AC2256"/>
  <c r="AD2256"/>
  <c r="P2257"/>
  <c r="T2257"/>
  <c r="U2257"/>
  <c r="V2257"/>
  <c r="W2257"/>
  <c r="Y2257"/>
  <c r="AB2257"/>
  <c r="AC2257"/>
  <c r="AD2257"/>
  <c r="P2258"/>
  <c r="T2258"/>
  <c r="U2258"/>
  <c r="V2258"/>
  <c r="W2258"/>
  <c r="Y2258"/>
  <c r="AB2258"/>
  <c r="AC2258"/>
  <c r="AD2258"/>
  <c r="P2259"/>
  <c r="T2259"/>
  <c r="U2259"/>
  <c r="V2259"/>
  <c r="W2259"/>
  <c r="Y2259"/>
  <c r="AB2259"/>
  <c r="AC2259"/>
  <c r="AD2259"/>
  <c r="P2260"/>
  <c r="T2260"/>
  <c r="U2260"/>
  <c r="V2260"/>
  <c r="W2260"/>
  <c r="Y2260"/>
  <c r="AB2260"/>
  <c r="AC2260"/>
  <c r="AD2260"/>
  <c r="P2261"/>
  <c r="T2261"/>
  <c r="U2261"/>
  <c r="V2261"/>
  <c r="W2261"/>
  <c r="Y2261"/>
  <c r="AB2261"/>
  <c r="AC2261"/>
  <c r="AD2261"/>
  <c r="P2262"/>
  <c r="T2262"/>
  <c r="U2262"/>
  <c r="V2262"/>
  <c r="W2262"/>
  <c r="Y2262"/>
  <c r="AB2262"/>
  <c r="AC2262"/>
  <c r="AD2262"/>
  <c r="P2263"/>
  <c r="T2263"/>
  <c r="U2263"/>
  <c r="V2263"/>
  <c r="W2263"/>
  <c r="Y2263"/>
  <c r="AB2263"/>
  <c r="AC2263"/>
  <c r="AD2263"/>
  <c r="P2264"/>
  <c r="T2264"/>
  <c r="U2264"/>
  <c r="V2264"/>
  <c r="W2264"/>
  <c r="Y2264"/>
  <c r="AB2264"/>
  <c r="AC2264"/>
  <c r="AD2264"/>
  <c r="P2265"/>
  <c r="T2265"/>
  <c r="U2265"/>
  <c r="V2265"/>
  <c r="W2265"/>
  <c r="Y2265"/>
  <c r="AB2265"/>
  <c r="AC2265"/>
  <c r="AD2265"/>
  <c r="P2266"/>
  <c r="T2266"/>
  <c r="U2266"/>
  <c r="V2266"/>
  <c r="W2266"/>
  <c r="Y2266"/>
  <c r="AB2266"/>
  <c r="AC2266"/>
  <c r="AD2266"/>
  <c r="P2267"/>
  <c r="T2267"/>
  <c r="U2267"/>
  <c r="V2267"/>
  <c r="W2267"/>
  <c r="Y2267"/>
  <c r="AB2267"/>
  <c r="AC2267"/>
  <c r="AD2267"/>
  <c r="P2268"/>
  <c r="T2268"/>
  <c r="U2268"/>
  <c r="V2268"/>
  <c r="W2268"/>
  <c r="Y2268"/>
  <c r="AB2268"/>
  <c r="AC2268"/>
  <c r="AD2268"/>
  <c r="P2269"/>
  <c r="T2269"/>
  <c r="U2269"/>
  <c r="V2269"/>
  <c r="W2269"/>
  <c r="Y2269"/>
  <c r="AB2269"/>
  <c r="AC2269"/>
  <c r="AD2269"/>
  <c r="P2270"/>
  <c r="T2270"/>
  <c r="U2270"/>
  <c r="V2270"/>
  <c r="W2270"/>
  <c r="Y2270"/>
  <c r="AB2270"/>
  <c r="AC2270"/>
  <c r="AD2270"/>
  <c r="P2271"/>
  <c r="T2271"/>
  <c r="U2271"/>
  <c r="V2271"/>
  <c r="W2271"/>
  <c r="Y2271"/>
  <c r="AB2271"/>
  <c r="AC2271"/>
  <c r="AD2271"/>
  <c r="P2272"/>
  <c r="T2272"/>
  <c r="U2272"/>
  <c r="V2272"/>
  <c r="W2272"/>
  <c r="Y2272"/>
  <c r="AB2272"/>
  <c r="AC2272"/>
  <c r="AD2272"/>
  <c r="P2273"/>
  <c r="T2273"/>
  <c r="U2273"/>
  <c r="V2273"/>
  <c r="W2273"/>
  <c r="Y2273"/>
  <c r="AB2273"/>
  <c r="AC2273"/>
  <c r="AD2273"/>
  <c r="P2274"/>
  <c r="T2274"/>
  <c r="U2274"/>
  <c r="V2274"/>
  <c r="W2274"/>
  <c r="Y2274"/>
  <c r="AB2274"/>
  <c r="AC2274"/>
  <c r="AD2274"/>
  <c r="P2275"/>
  <c r="T2275"/>
  <c r="U2275"/>
  <c r="V2275"/>
  <c r="W2275"/>
  <c r="Y2275"/>
  <c r="AB2275"/>
  <c r="AC2275"/>
  <c r="AD2275"/>
  <c r="P2276"/>
  <c r="T2276"/>
  <c r="U2276"/>
  <c r="V2276"/>
  <c r="W2276"/>
  <c r="Y2276"/>
  <c r="AB2276"/>
  <c r="AC2276"/>
  <c r="AD2276"/>
  <c r="P2277"/>
  <c r="T2277"/>
  <c r="U2277"/>
  <c r="V2277"/>
  <c r="W2277"/>
  <c r="Y2277"/>
  <c r="AB2277"/>
  <c r="AC2277"/>
  <c r="AD2277"/>
  <c r="P2278"/>
  <c r="T2278"/>
  <c r="U2278"/>
  <c r="V2278"/>
  <c r="W2278"/>
  <c r="Y2278"/>
  <c r="AB2278"/>
  <c r="AC2278"/>
  <c r="AD2278"/>
  <c r="P2279"/>
  <c r="T2279"/>
  <c r="U2279"/>
  <c r="V2279"/>
  <c r="W2279"/>
  <c r="Y2279"/>
  <c r="AB2279"/>
  <c r="AC2279"/>
  <c r="AD2279"/>
  <c r="P2280"/>
  <c r="T2280"/>
  <c r="U2280"/>
  <c r="V2280"/>
  <c r="W2280"/>
  <c r="Y2280"/>
  <c r="AB2280"/>
  <c r="AC2280"/>
  <c r="AD2280"/>
  <c r="P2281"/>
  <c r="T2281"/>
  <c r="U2281"/>
  <c r="V2281"/>
  <c r="W2281"/>
  <c r="Y2281"/>
  <c r="AB2281"/>
  <c r="AC2281"/>
  <c r="AD2281"/>
  <c r="P2282"/>
  <c r="T2282"/>
  <c r="U2282"/>
  <c r="V2282"/>
  <c r="W2282"/>
  <c r="Y2282"/>
  <c r="AB2282"/>
  <c r="AC2282"/>
  <c r="AD2282"/>
  <c r="P2283"/>
  <c r="T2283"/>
  <c r="U2283"/>
  <c r="V2283"/>
  <c r="W2283"/>
  <c r="Y2283"/>
  <c r="AB2283"/>
  <c r="AC2283"/>
  <c r="AD2283"/>
  <c r="P2284"/>
  <c r="T2284"/>
  <c r="U2284"/>
  <c r="V2284"/>
  <c r="W2284"/>
  <c r="Y2284"/>
  <c r="AB2284"/>
  <c r="AC2284"/>
  <c r="AD2284"/>
  <c r="P2285"/>
  <c r="T2285"/>
  <c r="U2285"/>
  <c r="V2285"/>
  <c r="W2285"/>
  <c r="Y2285"/>
  <c r="AB2285"/>
  <c r="AC2285"/>
  <c r="AD2285"/>
  <c r="P2286"/>
  <c r="T2286"/>
  <c r="U2286"/>
  <c r="V2286"/>
  <c r="W2286"/>
  <c r="Y2286"/>
  <c r="AB2286"/>
  <c r="AC2286"/>
  <c r="AD2286"/>
  <c r="P2287"/>
  <c r="T2287"/>
  <c r="U2287"/>
  <c r="V2287"/>
  <c r="W2287"/>
  <c r="Y2287"/>
  <c r="AB2287"/>
  <c r="AC2287"/>
  <c r="AD2287"/>
  <c r="P2288"/>
  <c r="T2288"/>
  <c r="U2288"/>
  <c r="V2288"/>
  <c r="W2288"/>
  <c r="Y2288"/>
  <c r="AB2288"/>
  <c r="AC2288"/>
  <c r="AD2288"/>
  <c r="P2289"/>
  <c r="T2289"/>
  <c r="U2289"/>
  <c r="V2289"/>
  <c r="W2289"/>
  <c r="Y2289"/>
  <c r="AB2289"/>
  <c r="AC2289"/>
  <c r="AD2289"/>
  <c r="P2290"/>
  <c r="T2290"/>
  <c r="U2290"/>
  <c r="V2290"/>
  <c r="W2290"/>
  <c r="Y2290"/>
  <c r="AB2290"/>
  <c r="AC2290"/>
  <c r="AD2290"/>
  <c r="P2291"/>
  <c r="T2291"/>
  <c r="U2291"/>
  <c r="V2291"/>
  <c r="W2291"/>
  <c r="Y2291"/>
  <c r="AB2291"/>
  <c r="AC2291"/>
  <c r="AD2291"/>
  <c r="P2292"/>
  <c r="T2292"/>
  <c r="U2292"/>
  <c r="V2292"/>
  <c r="W2292"/>
  <c r="Y2292"/>
  <c r="AB2292"/>
  <c r="AC2292"/>
  <c r="AD2292"/>
  <c r="P2293"/>
  <c r="T2293"/>
  <c r="U2293"/>
  <c r="V2293"/>
  <c r="W2293"/>
  <c r="Y2293"/>
  <c r="AB2293"/>
  <c r="AC2293"/>
  <c r="AD2293"/>
  <c r="P2294"/>
  <c r="T2294"/>
  <c r="U2294"/>
  <c r="V2294"/>
  <c r="W2294"/>
  <c r="Y2294"/>
  <c r="AB2294"/>
  <c r="AC2294"/>
  <c r="AD2294"/>
  <c r="P2295"/>
  <c r="T2295"/>
  <c r="U2295"/>
  <c r="V2295"/>
  <c r="W2295"/>
  <c r="Y2295"/>
  <c r="AB2295"/>
  <c r="AC2295"/>
  <c r="AD2295"/>
  <c r="P2296"/>
  <c r="T2296"/>
  <c r="U2296"/>
  <c r="V2296"/>
  <c r="W2296"/>
  <c r="Y2296"/>
  <c r="AB2296"/>
  <c r="AC2296"/>
  <c r="AD2296"/>
  <c r="P2297"/>
  <c r="T2297"/>
  <c r="U2297"/>
  <c r="V2297"/>
  <c r="W2297"/>
  <c r="Y2297"/>
  <c r="AB2297"/>
  <c r="AC2297"/>
  <c r="AD2297"/>
  <c r="P2298"/>
  <c r="T2298"/>
  <c r="U2298"/>
  <c r="V2298"/>
  <c r="W2298"/>
  <c r="Y2298"/>
  <c r="AB2298"/>
  <c r="AC2298"/>
  <c r="AD2298"/>
  <c r="P2299"/>
  <c r="T2299"/>
  <c r="U2299"/>
  <c r="V2299"/>
  <c r="W2299"/>
  <c r="Y2299"/>
  <c r="AB2299"/>
  <c r="AC2299"/>
  <c r="AD2299"/>
  <c r="P2300"/>
  <c r="T2300"/>
  <c r="U2300"/>
  <c r="V2300"/>
  <c r="W2300"/>
  <c r="Y2300"/>
  <c r="AB2300"/>
  <c r="AC2300"/>
  <c r="AD2300"/>
  <c r="P2301"/>
  <c r="T2301"/>
  <c r="U2301"/>
  <c r="V2301"/>
  <c r="W2301"/>
  <c r="Y2301"/>
  <c r="AB2301"/>
  <c r="AC2301"/>
  <c r="AD2301"/>
  <c r="P2302"/>
  <c r="T2302"/>
  <c r="U2302"/>
  <c r="V2302"/>
  <c r="W2302"/>
  <c r="Y2302"/>
  <c r="AB2302"/>
  <c r="AC2302"/>
  <c r="AD2302"/>
  <c r="P2303"/>
  <c r="T2303"/>
  <c r="U2303"/>
  <c r="V2303"/>
  <c r="W2303"/>
  <c r="Y2303"/>
  <c r="AB2303"/>
  <c r="AC2303"/>
  <c r="AD2303"/>
  <c r="P2304"/>
  <c r="T2304"/>
  <c r="U2304"/>
  <c r="V2304"/>
  <c r="W2304"/>
  <c r="Y2304"/>
  <c r="AB2304"/>
  <c r="AC2304"/>
  <c r="AD2304"/>
  <c r="P2305"/>
  <c r="T2305"/>
  <c r="U2305"/>
  <c r="V2305"/>
  <c r="W2305"/>
  <c r="Y2305"/>
  <c r="AB2305"/>
  <c r="AC2305"/>
  <c r="AD2305"/>
  <c r="P2306"/>
  <c r="T2306"/>
  <c r="U2306"/>
  <c r="V2306"/>
  <c r="W2306"/>
  <c r="Y2306"/>
  <c r="AB2306"/>
  <c r="AC2306"/>
  <c r="AD2306"/>
  <c r="P2307"/>
  <c r="T2307"/>
  <c r="U2307"/>
  <c r="V2307"/>
  <c r="W2307"/>
  <c r="Y2307"/>
  <c r="AB2307"/>
  <c r="AC2307"/>
  <c r="AD2307"/>
  <c r="P2308"/>
  <c r="T2308"/>
  <c r="U2308"/>
  <c r="V2308"/>
  <c r="W2308"/>
  <c r="Y2308"/>
  <c r="AB2308"/>
  <c r="AC2308"/>
  <c r="AD2308"/>
  <c r="P2309"/>
  <c r="T2309"/>
  <c r="U2309"/>
  <c r="V2309"/>
  <c r="W2309"/>
  <c r="Y2309"/>
  <c r="AB2309"/>
  <c r="AC2309"/>
  <c r="AD2309"/>
  <c r="P2310"/>
  <c r="T2310"/>
  <c r="U2310"/>
  <c r="V2310"/>
  <c r="W2310"/>
  <c r="Y2310"/>
  <c r="AB2310"/>
  <c r="AC2310"/>
  <c r="AD2310"/>
  <c r="P2311"/>
  <c r="T2311"/>
  <c r="U2311"/>
  <c r="V2311"/>
  <c r="W2311"/>
  <c r="Y2311"/>
  <c r="AB2311"/>
  <c r="AC2311"/>
  <c r="AD2311"/>
  <c r="P2312"/>
  <c r="T2312"/>
  <c r="U2312"/>
  <c r="V2312"/>
  <c r="W2312"/>
  <c r="Y2312"/>
  <c r="AB2312"/>
  <c r="AC2312"/>
  <c r="AD2312"/>
  <c r="P2313"/>
  <c r="T2313"/>
  <c r="U2313"/>
  <c r="V2313"/>
  <c r="W2313"/>
  <c r="Y2313"/>
  <c r="AB2313"/>
  <c r="AC2313"/>
  <c r="AD2313"/>
  <c r="P2314"/>
  <c r="T2314"/>
  <c r="U2314"/>
  <c r="V2314"/>
  <c r="W2314"/>
  <c r="Y2314"/>
  <c r="AB2314"/>
  <c r="AC2314"/>
  <c r="AD2314"/>
  <c r="P2315"/>
  <c r="T2315"/>
  <c r="U2315"/>
  <c r="V2315"/>
  <c r="W2315"/>
  <c r="Y2315"/>
  <c r="AB2315"/>
  <c r="AC2315"/>
  <c r="AD2315"/>
  <c r="P2316"/>
  <c r="T2316"/>
  <c r="U2316"/>
  <c r="V2316"/>
  <c r="W2316"/>
  <c r="Y2316"/>
  <c r="AB2316"/>
  <c r="AC2316"/>
  <c r="AD2316"/>
  <c r="P2317"/>
  <c r="T2317"/>
  <c r="U2317"/>
  <c r="V2317"/>
  <c r="W2317"/>
  <c r="Y2317"/>
  <c r="AB2317"/>
  <c r="AC2317"/>
  <c r="AD2317"/>
  <c r="P2318"/>
  <c r="T2318"/>
  <c r="U2318"/>
  <c r="V2318"/>
  <c r="W2318"/>
  <c r="Y2318"/>
  <c r="AB2318"/>
  <c r="AC2318"/>
  <c r="AD2318"/>
  <c r="P2319"/>
  <c r="T2319"/>
  <c r="U2319"/>
  <c r="V2319"/>
  <c r="W2319"/>
  <c r="Y2319"/>
  <c r="AB2319"/>
  <c r="AC2319"/>
  <c r="AD2319"/>
  <c r="P2320"/>
  <c r="T2320"/>
  <c r="U2320"/>
  <c r="V2320"/>
  <c r="W2320"/>
  <c r="Y2320"/>
  <c r="AB2320"/>
  <c r="AC2320"/>
  <c r="AD2320"/>
  <c r="P2321"/>
  <c r="T2321"/>
  <c r="U2321"/>
  <c r="V2321"/>
  <c r="W2321"/>
  <c r="Y2321"/>
  <c r="AB2321"/>
  <c r="AC2321"/>
  <c r="AD2321"/>
  <c r="P2322"/>
  <c r="T2322"/>
  <c r="U2322"/>
  <c r="V2322"/>
  <c r="W2322"/>
  <c r="Y2322"/>
  <c r="AB2322"/>
  <c r="AC2322"/>
  <c r="AD2322"/>
  <c r="P2323"/>
  <c r="T2323"/>
  <c r="U2323"/>
  <c r="V2323"/>
  <c r="W2323"/>
  <c r="Y2323"/>
  <c r="AB2323"/>
  <c r="AC2323"/>
  <c r="AD2323"/>
  <c r="P2324"/>
  <c r="T2324"/>
  <c r="U2324"/>
  <c r="V2324"/>
  <c r="W2324"/>
  <c r="Y2324"/>
  <c r="AB2324"/>
  <c r="AC2324"/>
  <c r="AD2324"/>
  <c r="P2325"/>
  <c r="T2325"/>
  <c r="U2325"/>
  <c r="V2325"/>
  <c r="W2325"/>
  <c r="Y2325"/>
  <c r="AB2325"/>
  <c r="AC2325"/>
  <c r="AD2325"/>
  <c r="P2326"/>
  <c r="T2326"/>
  <c r="U2326"/>
  <c r="V2326"/>
  <c r="W2326"/>
  <c r="Y2326"/>
  <c r="AB2326"/>
  <c r="AC2326"/>
  <c r="AD2326"/>
  <c r="P2327"/>
  <c r="T2327"/>
  <c r="U2327"/>
  <c r="V2327"/>
  <c r="W2327"/>
  <c r="Y2327"/>
  <c r="AB2327"/>
  <c r="AC2327"/>
  <c r="AD2327"/>
  <c r="P2328"/>
  <c r="T2328"/>
  <c r="U2328"/>
  <c r="V2328"/>
  <c r="W2328"/>
  <c r="Y2328"/>
  <c r="AB2328"/>
  <c r="AC2328"/>
  <c r="AD2328"/>
  <c r="P2329"/>
  <c r="T2329"/>
  <c r="U2329"/>
  <c r="V2329"/>
  <c r="W2329"/>
  <c r="Y2329"/>
  <c r="AB2329"/>
  <c r="AC2329"/>
  <c r="AD2329"/>
  <c r="P2330"/>
  <c r="T2330"/>
  <c r="U2330"/>
  <c r="V2330"/>
  <c r="W2330"/>
  <c r="Y2330"/>
  <c r="AB2330"/>
  <c r="AC2330"/>
  <c r="AD2330"/>
  <c r="P2331"/>
  <c r="T2331"/>
  <c r="U2331"/>
  <c r="V2331"/>
  <c r="W2331"/>
  <c r="Y2331"/>
  <c r="AB2331"/>
  <c r="AC2331"/>
  <c r="AD2331"/>
  <c r="P2332"/>
  <c r="T2332"/>
  <c r="U2332"/>
  <c r="V2332"/>
  <c r="W2332"/>
  <c r="Y2332"/>
  <c r="AB2332"/>
  <c r="AC2332"/>
  <c r="AD2332"/>
  <c r="P2333"/>
  <c r="T2333"/>
  <c r="U2333"/>
  <c r="V2333"/>
  <c r="W2333"/>
  <c r="Y2333"/>
  <c r="AB2333"/>
  <c r="AC2333"/>
  <c r="AD2333"/>
  <c r="P2334"/>
  <c r="T2334"/>
  <c r="U2334"/>
  <c r="V2334"/>
  <c r="W2334"/>
  <c r="Y2334"/>
  <c r="AB2334"/>
  <c r="AC2334"/>
  <c r="AD2334"/>
  <c r="P2335"/>
  <c r="T2335"/>
  <c r="U2335"/>
  <c r="V2335"/>
  <c r="W2335"/>
  <c r="Y2335"/>
  <c r="AB2335"/>
  <c r="AC2335"/>
  <c r="AD2335"/>
  <c r="P2336"/>
  <c r="T2336"/>
  <c r="U2336"/>
  <c r="V2336"/>
  <c r="W2336"/>
  <c r="Y2336"/>
  <c r="AB2336"/>
  <c r="AC2336"/>
  <c r="AD2336"/>
  <c r="P2337"/>
  <c r="T2337"/>
  <c r="U2337"/>
  <c r="V2337"/>
  <c r="W2337"/>
  <c r="Y2337"/>
  <c r="AB2337"/>
  <c r="AC2337"/>
  <c r="AD2337"/>
  <c r="P2338"/>
  <c r="T2338"/>
  <c r="U2338"/>
  <c r="V2338"/>
  <c r="W2338"/>
  <c r="Y2338"/>
  <c r="AB2338"/>
  <c r="AC2338"/>
  <c r="AD2338"/>
  <c r="P2339"/>
  <c r="T2339"/>
  <c r="U2339"/>
  <c r="V2339"/>
  <c r="W2339"/>
  <c r="Y2339"/>
  <c r="AB2339"/>
  <c r="AC2339"/>
  <c r="AD2339"/>
  <c r="P2340"/>
  <c r="T2340"/>
  <c r="U2340"/>
  <c r="V2340"/>
  <c r="W2340"/>
  <c r="Y2340"/>
  <c r="AB2340"/>
  <c r="AC2340"/>
  <c r="AD2340"/>
  <c r="P2341"/>
  <c r="T2341"/>
  <c r="U2341"/>
  <c r="V2341"/>
  <c r="W2341"/>
  <c r="Y2341"/>
  <c r="AB2341"/>
  <c r="AC2341"/>
  <c r="AD2341"/>
  <c r="P2342"/>
  <c r="T2342"/>
  <c r="U2342"/>
  <c r="V2342"/>
  <c r="W2342"/>
  <c r="Y2342"/>
  <c r="AB2342"/>
  <c r="AC2342"/>
  <c r="AD2342"/>
  <c r="P2343"/>
  <c r="T2343"/>
  <c r="U2343"/>
  <c r="V2343"/>
  <c r="W2343"/>
  <c r="Y2343"/>
  <c r="AB2343"/>
  <c r="AC2343"/>
  <c r="AD2343"/>
  <c r="P2344"/>
  <c r="T2344"/>
  <c r="U2344"/>
  <c r="V2344"/>
  <c r="W2344"/>
  <c r="Y2344"/>
  <c r="AB2344"/>
  <c r="AC2344"/>
  <c r="AD2344"/>
  <c r="P2345"/>
  <c r="T2345"/>
  <c r="U2345"/>
  <c r="V2345"/>
  <c r="W2345"/>
  <c r="Y2345"/>
  <c r="AB2345"/>
  <c r="AC2345"/>
  <c r="AD2345"/>
  <c r="P2346"/>
  <c r="T2346"/>
  <c r="U2346"/>
  <c r="V2346"/>
  <c r="W2346"/>
  <c r="Y2346"/>
  <c r="AB2346"/>
  <c r="AC2346"/>
  <c r="AD2346"/>
  <c r="P2347"/>
  <c r="T2347"/>
  <c r="U2347"/>
  <c r="V2347"/>
  <c r="W2347"/>
  <c r="Y2347"/>
  <c r="AB2347"/>
  <c r="AC2347"/>
  <c r="AD2347"/>
  <c r="P2348"/>
  <c r="T2348"/>
  <c r="U2348"/>
  <c r="V2348"/>
  <c r="W2348"/>
  <c r="Y2348"/>
  <c r="AB2348"/>
  <c r="AC2348"/>
  <c r="AD2348"/>
  <c r="P2349"/>
  <c r="T2349"/>
  <c r="U2349"/>
  <c r="V2349"/>
  <c r="W2349"/>
  <c r="Y2349"/>
  <c r="AB2349"/>
  <c r="AC2349"/>
  <c r="AD2349"/>
  <c r="P2350"/>
  <c r="T2350"/>
  <c r="U2350"/>
  <c r="V2350"/>
  <c r="W2350"/>
  <c r="Y2350"/>
  <c r="AB2350"/>
  <c r="AC2350"/>
  <c r="AD2350"/>
  <c r="P2351"/>
  <c r="T2351"/>
  <c r="U2351"/>
  <c r="V2351"/>
  <c r="W2351"/>
  <c r="Y2351"/>
  <c r="AB2351"/>
  <c r="AC2351"/>
  <c r="AD2351"/>
  <c r="P2352"/>
  <c r="T2352"/>
  <c r="U2352"/>
  <c r="V2352"/>
  <c r="W2352"/>
  <c r="Y2352"/>
  <c r="AB2352"/>
  <c r="AC2352"/>
  <c r="AD2352"/>
  <c r="P2353"/>
  <c r="T2353"/>
  <c r="U2353"/>
  <c r="V2353"/>
  <c r="W2353"/>
  <c r="Y2353"/>
  <c r="AB2353"/>
  <c r="AC2353"/>
  <c r="AD2353"/>
  <c r="P2354"/>
  <c r="T2354"/>
  <c r="U2354"/>
  <c r="V2354"/>
  <c r="W2354"/>
  <c r="Y2354"/>
  <c r="AB2354"/>
  <c r="AC2354"/>
  <c r="AD2354"/>
  <c r="P2355"/>
  <c r="T2355"/>
  <c r="U2355"/>
  <c r="V2355"/>
  <c r="W2355"/>
  <c r="Y2355"/>
  <c r="AB2355"/>
  <c r="AC2355"/>
  <c r="AD2355"/>
  <c r="P2356"/>
  <c r="T2356"/>
  <c r="U2356"/>
  <c r="V2356"/>
  <c r="W2356"/>
  <c r="Y2356"/>
  <c r="AB2356"/>
  <c r="AC2356"/>
  <c r="AD2356"/>
  <c r="P2357"/>
  <c r="T2357"/>
  <c r="U2357"/>
  <c r="V2357"/>
  <c r="W2357"/>
  <c r="Y2357"/>
  <c r="AB2357"/>
  <c r="AC2357"/>
  <c r="AD2357"/>
  <c r="P2358"/>
  <c r="T2358"/>
  <c r="U2358"/>
  <c r="V2358"/>
  <c r="W2358"/>
  <c r="Y2358"/>
  <c r="AB2358"/>
  <c r="AC2358"/>
  <c r="AD2358"/>
  <c r="P2359"/>
  <c r="T2359"/>
  <c r="U2359"/>
  <c r="V2359"/>
  <c r="W2359"/>
  <c r="Y2359"/>
  <c r="AB2359"/>
  <c r="AC2359"/>
  <c r="AD2359"/>
  <c r="P2360"/>
  <c r="T2360"/>
  <c r="U2360"/>
  <c r="V2360"/>
  <c r="W2360"/>
  <c r="Y2360"/>
  <c r="AB2360"/>
  <c r="AC2360"/>
  <c r="AD2360"/>
  <c r="P2361"/>
  <c r="T2361"/>
  <c r="U2361"/>
  <c r="V2361"/>
  <c r="W2361"/>
  <c r="Y2361"/>
  <c r="AB2361"/>
  <c r="AC2361"/>
  <c r="AD2361"/>
  <c r="P2362"/>
  <c r="T2362"/>
  <c r="U2362"/>
  <c r="V2362"/>
  <c r="W2362"/>
  <c r="Y2362"/>
  <c r="AB2362"/>
  <c r="AC2362"/>
  <c r="AD2362"/>
  <c r="P2363"/>
  <c r="T2363"/>
  <c r="U2363"/>
  <c r="V2363"/>
  <c r="W2363"/>
  <c r="Y2363"/>
  <c r="AB2363"/>
  <c r="AC2363"/>
  <c r="AD2363"/>
  <c r="P2364"/>
  <c r="T2364"/>
  <c r="U2364"/>
  <c r="V2364"/>
  <c r="W2364"/>
  <c r="Y2364"/>
  <c r="AB2364"/>
  <c r="AC2364"/>
  <c r="AD2364"/>
  <c r="P2365"/>
  <c r="T2365"/>
  <c r="U2365"/>
  <c r="V2365"/>
  <c r="W2365"/>
  <c r="Y2365"/>
  <c r="AB2365"/>
  <c r="AC2365"/>
  <c r="AD2365"/>
  <c r="P2366"/>
  <c r="T2366"/>
  <c r="U2366"/>
  <c r="V2366"/>
  <c r="W2366"/>
  <c r="Y2366"/>
  <c r="AB2366"/>
  <c r="AC2366"/>
  <c r="AD2366"/>
  <c r="P2367"/>
  <c r="T2367"/>
  <c r="U2367"/>
  <c r="V2367"/>
  <c r="W2367"/>
  <c r="Y2367"/>
  <c r="AB2367"/>
  <c r="AC2367"/>
  <c r="AD2367"/>
  <c r="P2368"/>
  <c r="T2368"/>
  <c r="U2368"/>
  <c r="V2368"/>
  <c r="W2368"/>
  <c r="Y2368"/>
  <c r="AB2368"/>
  <c r="AC2368"/>
  <c r="AD2368"/>
  <c r="P2369"/>
  <c r="T2369"/>
  <c r="U2369"/>
  <c r="V2369"/>
  <c r="W2369"/>
  <c r="Y2369"/>
  <c r="AB2369"/>
  <c r="AC2369"/>
  <c r="AD2369"/>
  <c r="P2370"/>
  <c r="T2370"/>
  <c r="U2370"/>
  <c r="V2370"/>
  <c r="W2370"/>
  <c r="Y2370"/>
  <c r="AB2370"/>
  <c r="AC2370"/>
  <c r="AD2370"/>
  <c r="P2371"/>
  <c r="T2371"/>
  <c r="U2371"/>
  <c r="V2371"/>
  <c r="W2371"/>
  <c r="Y2371"/>
  <c r="AB2371"/>
  <c r="AC2371"/>
  <c r="AD2371"/>
  <c r="P2372"/>
  <c r="T2372"/>
  <c r="U2372"/>
  <c r="V2372"/>
  <c r="W2372"/>
  <c r="Y2372"/>
  <c r="AB2372"/>
  <c r="AC2372"/>
  <c r="AD2372"/>
  <c r="P2373"/>
  <c r="T2373"/>
  <c r="U2373"/>
  <c r="V2373"/>
  <c r="W2373"/>
  <c r="Y2373"/>
  <c r="AB2373"/>
  <c r="AC2373"/>
  <c r="AD2373"/>
  <c r="P2374"/>
  <c r="T2374"/>
  <c r="U2374"/>
  <c r="V2374"/>
  <c r="W2374"/>
  <c r="Y2374"/>
  <c r="AB2374"/>
  <c r="AC2374"/>
  <c r="AD2374"/>
  <c r="P2375"/>
  <c r="T2375"/>
  <c r="U2375"/>
  <c r="V2375"/>
  <c r="W2375"/>
  <c r="Y2375"/>
  <c r="AB2375"/>
  <c r="AC2375"/>
  <c r="AD2375"/>
  <c r="P2376"/>
  <c r="T2376"/>
  <c r="U2376"/>
  <c r="V2376"/>
  <c r="W2376"/>
  <c r="Y2376"/>
  <c r="AB2376"/>
  <c r="AC2376"/>
  <c r="AD2376"/>
  <c r="P2377"/>
  <c r="T2377"/>
  <c r="U2377"/>
  <c r="V2377"/>
  <c r="W2377"/>
  <c r="Y2377"/>
  <c r="AB2377"/>
  <c r="AC2377"/>
  <c r="AD2377"/>
  <c r="P2378"/>
  <c r="T2378"/>
  <c r="U2378"/>
  <c r="V2378"/>
  <c r="W2378"/>
  <c r="Y2378"/>
  <c r="AB2378"/>
  <c r="AC2378"/>
  <c r="AD2378"/>
  <c r="P2379"/>
  <c r="T2379"/>
  <c r="U2379"/>
  <c r="V2379"/>
  <c r="W2379"/>
  <c r="Y2379"/>
  <c r="AB2379"/>
  <c r="AC2379"/>
  <c r="AD2379"/>
  <c r="P2380"/>
  <c r="T2380"/>
  <c r="U2380"/>
  <c r="V2380"/>
  <c r="W2380"/>
  <c r="Y2380"/>
  <c r="AB2380"/>
  <c r="AC2380"/>
  <c r="AD2380"/>
  <c r="P2381"/>
  <c r="T2381"/>
  <c r="U2381"/>
  <c r="V2381"/>
  <c r="W2381"/>
  <c r="Y2381"/>
  <c r="AB2381"/>
  <c r="AC2381"/>
  <c r="AD2381"/>
  <c r="P2382"/>
  <c r="T2382"/>
  <c r="U2382"/>
  <c r="V2382"/>
  <c r="W2382"/>
  <c r="Y2382"/>
  <c r="AB2382"/>
  <c r="AC2382"/>
  <c r="AD2382"/>
  <c r="P2383"/>
  <c r="T2383"/>
  <c r="U2383"/>
  <c r="V2383"/>
  <c r="W2383"/>
  <c r="Y2383"/>
  <c r="AB2383"/>
  <c r="AC2383"/>
  <c r="AD2383"/>
  <c r="P2384"/>
  <c r="T2384"/>
  <c r="U2384"/>
  <c r="V2384"/>
  <c r="W2384"/>
  <c r="Y2384"/>
  <c r="AB2384"/>
  <c r="AC2384"/>
  <c r="AD2384"/>
  <c r="P2385"/>
  <c r="T2385"/>
  <c r="U2385"/>
  <c r="V2385"/>
  <c r="W2385"/>
  <c r="Y2385"/>
  <c r="AB2385"/>
  <c r="AC2385"/>
  <c r="AD2385"/>
  <c r="P2386"/>
  <c r="T2386"/>
  <c r="U2386"/>
  <c r="V2386"/>
  <c r="W2386"/>
  <c r="Y2386"/>
  <c r="AB2386"/>
  <c r="AC2386"/>
  <c r="AD2386"/>
  <c r="P2387"/>
  <c r="T2387"/>
  <c r="U2387"/>
  <c r="V2387"/>
  <c r="W2387"/>
  <c r="Y2387"/>
  <c r="AB2387"/>
  <c r="AC2387"/>
  <c r="AD2387"/>
  <c r="P2388"/>
  <c r="T2388"/>
  <c r="U2388"/>
  <c r="V2388"/>
  <c r="W2388"/>
  <c r="Y2388"/>
  <c r="AB2388"/>
  <c r="AC2388"/>
  <c r="AD2388"/>
  <c r="P2389"/>
  <c r="T2389"/>
  <c r="U2389"/>
  <c r="V2389"/>
  <c r="W2389"/>
  <c r="Y2389"/>
  <c r="AB2389"/>
  <c r="AC2389"/>
  <c r="AD2389"/>
  <c r="P2390"/>
  <c r="T2390"/>
  <c r="U2390"/>
  <c r="V2390"/>
  <c r="W2390"/>
  <c r="Y2390"/>
  <c r="AB2390"/>
  <c r="AC2390"/>
  <c r="AD2390"/>
  <c r="P2391"/>
  <c r="T2391"/>
  <c r="U2391"/>
  <c r="V2391"/>
  <c r="W2391"/>
  <c r="Y2391"/>
  <c r="AB2391"/>
  <c r="AC2391"/>
  <c r="AD2391"/>
  <c r="P2392"/>
  <c r="T2392"/>
  <c r="U2392"/>
  <c r="V2392"/>
  <c r="W2392"/>
  <c r="Y2392"/>
  <c r="AB2392"/>
  <c r="AC2392"/>
  <c r="AD2392"/>
  <c r="P2393"/>
  <c r="T2393"/>
  <c r="U2393"/>
  <c r="V2393"/>
  <c r="W2393"/>
  <c r="Y2393"/>
  <c r="AB2393"/>
  <c r="AC2393"/>
  <c r="AD2393"/>
  <c r="P2394"/>
  <c r="T2394"/>
  <c r="U2394"/>
  <c r="V2394"/>
  <c r="W2394"/>
  <c r="Y2394"/>
  <c r="AB2394"/>
  <c r="AC2394"/>
  <c r="AD2394"/>
  <c r="P2395"/>
  <c r="T2395"/>
  <c r="U2395"/>
  <c r="V2395"/>
  <c r="W2395"/>
  <c r="Y2395"/>
  <c r="AB2395"/>
  <c r="AC2395"/>
  <c r="AD2395"/>
  <c r="P2396"/>
  <c r="T2396"/>
  <c r="U2396"/>
  <c r="V2396"/>
  <c r="W2396"/>
  <c r="Y2396"/>
  <c r="AB2396"/>
  <c r="AC2396"/>
  <c r="AD2396"/>
  <c r="P2397"/>
  <c r="T2397"/>
  <c r="U2397"/>
  <c r="V2397"/>
  <c r="W2397"/>
  <c r="Y2397"/>
  <c r="AB2397"/>
  <c r="AC2397"/>
  <c r="AD2397"/>
  <c r="P2398"/>
  <c r="T2398"/>
  <c r="U2398"/>
  <c r="V2398"/>
  <c r="W2398"/>
  <c r="Y2398"/>
  <c r="AB2398"/>
  <c r="AC2398"/>
  <c r="AD2398"/>
  <c r="P2399"/>
  <c r="T2399"/>
  <c r="U2399"/>
  <c r="V2399"/>
  <c r="W2399"/>
  <c r="Y2399"/>
  <c r="AB2399"/>
  <c r="AC2399"/>
  <c r="AD2399"/>
  <c r="P2400"/>
  <c r="T2400"/>
  <c r="U2400"/>
  <c r="V2400"/>
  <c r="W2400"/>
  <c r="Y2400"/>
  <c r="AB2400"/>
  <c r="AC2400"/>
  <c r="AD2400"/>
  <c r="P2401"/>
  <c r="T2401"/>
  <c r="U2401"/>
  <c r="V2401"/>
  <c r="W2401"/>
  <c r="Y2401"/>
  <c r="AB2401"/>
  <c r="AC2401"/>
  <c r="AD2401"/>
  <c r="P2402"/>
  <c r="T2402"/>
  <c r="U2402"/>
  <c r="V2402"/>
  <c r="W2402"/>
  <c r="Y2402"/>
  <c r="AB2402"/>
  <c r="AC2402"/>
  <c r="AD2402"/>
  <c r="P2403"/>
  <c r="T2403"/>
  <c r="U2403"/>
  <c r="V2403"/>
  <c r="W2403"/>
  <c r="Y2403"/>
  <c r="AB2403"/>
  <c r="AC2403"/>
  <c r="AD2403"/>
  <c r="P2404"/>
  <c r="T2404"/>
  <c r="U2404"/>
  <c r="V2404"/>
  <c r="W2404"/>
  <c r="Y2404"/>
  <c r="AB2404"/>
  <c r="AC2404"/>
  <c r="AD2404"/>
  <c r="P2405"/>
  <c r="T2405"/>
  <c r="U2405"/>
  <c r="V2405"/>
  <c r="W2405"/>
  <c r="Y2405"/>
  <c r="AB2405"/>
  <c r="AC2405"/>
  <c r="AD2405"/>
  <c r="P2406"/>
  <c r="T2406"/>
  <c r="U2406"/>
  <c r="V2406"/>
  <c r="W2406"/>
  <c r="Y2406"/>
  <c r="AB2406"/>
  <c r="AC2406"/>
  <c r="AD2406"/>
  <c r="P2407"/>
  <c r="T2407"/>
  <c r="U2407"/>
  <c r="V2407"/>
  <c r="W2407"/>
  <c r="Y2407"/>
  <c r="AB2407"/>
  <c r="AC2407"/>
  <c r="AD2407"/>
  <c r="P2408"/>
  <c r="T2408"/>
  <c r="U2408"/>
  <c r="V2408"/>
  <c r="W2408"/>
  <c r="Y2408"/>
  <c r="AB2408"/>
  <c r="AC2408"/>
  <c r="AD2408"/>
  <c r="P2409"/>
  <c r="T2409"/>
  <c r="U2409"/>
  <c r="V2409"/>
  <c r="W2409"/>
  <c r="Y2409"/>
  <c r="AB2409"/>
  <c r="AC2409"/>
  <c r="AD2409"/>
  <c r="P2410"/>
  <c r="T2410"/>
  <c r="U2410"/>
  <c r="V2410"/>
  <c r="W2410"/>
  <c r="Y2410"/>
  <c r="AB2410"/>
  <c r="AC2410"/>
  <c r="AD2410"/>
  <c r="P2411"/>
  <c r="T2411"/>
  <c r="U2411"/>
  <c r="V2411"/>
  <c r="W2411"/>
  <c r="Y2411"/>
  <c r="AB2411"/>
  <c r="AC2411"/>
  <c r="AD2411"/>
  <c r="P2412"/>
  <c r="T2412"/>
  <c r="U2412"/>
  <c r="V2412"/>
  <c r="W2412"/>
  <c r="Y2412"/>
  <c r="AB2412"/>
  <c r="AC2412"/>
  <c r="AD2412"/>
  <c r="P2413"/>
  <c r="T2413"/>
  <c r="U2413"/>
  <c r="V2413"/>
  <c r="W2413"/>
  <c r="Y2413"/>
  <c r="AB2413"/>
  <c r="AC2413"/>
  <c r="AD2413"/>
  <c r="P2414"/>
  <c r="T2414"/>
  <c r="U2414"/>
  <c r="V2414"/>
  <c r="W2414"/>
  <c r="Y2414"/>
  <c r="AB2414"/>
  <c r="AC2414"/>
  <c r="AD2414"/>
  <c r="P2415"/>
  <c r="T2415"/>
  <c r="U2415"/>
  <c r="V2415"/>
  <c r="W2415"/>
  <c r="Y2415"/>
  <c r="AB2415"/>
  <c r="AC2415"/>
  <c r="AD2415"/>
  <c r="P2416"/>
  <c r="T2416"/>
  <c r="U2416"/>
  <c r="V2416"/>
  <c r="W2416"/>
  <c r="Y2416"/>
  <c r="AB2416"/>
  <c r="AC2416"/>
  <c r="AD2416"/>
  <c r="P2417"/>
  <c r="T2417"/>
  <c r="U2417"/>
  <c r="V2417"/>
  <c r="W2417"/>
  <c r="Y2417"/>
  <c r="AB2417"/>
  <c r="AC2417"/>
  <c r="AD2417"/>
  <c r="P2418"/>
  <c r="T2418"/>
  <c r="U2418"/>
  <c r="V2418"/>
  <c r="W2418"/>
  <c r="Y2418"/>
  <c r="AB2418"/>
  <c r="AC2418"/>
  <c r="AD2418"/>
  <c r="P2419"/>
  <c r="T2419"/>
  <c r="U2419"/>
  <c r="V2419"/>
  <c r="W2419"/>
  <c r="Y2419"/>
  <c r="AB2419"/>
  <c r="AC2419"/>
  <c r="AD2419"/>
  <c r="P2420"/>
  <c r="T2420"/>
  <c r="U2420"/>
  <c r="V2420"/>
  <c r="W2420"/>
  <c r="Y2420"/>
  <c r="AB2420"/>
  <c r="AC2420"/>
  <c r="AD2420"/>
  <c r="P2421"/>
  <c r="T2421"/>
  <c r="U2421"/>
  <c r="V2421"/>
  <c r="W2421"/>
  <c r="Y2421"/>
  <c r="AB2421"/>
  <c r="AC2421"/>
  <c r="AD2421"/>
  <c r="P2422"/>
  <c r="T2422"/>
  <c r="U2422"/>
  <c r="V2422"/>
  <c r="W2422"/>
  <c r="Y2422"/>
  <c r="AB2422"/>
  <c r="AC2422"/>
  <c r="AD2422"/>
  <c r="P2423"/>
  <c r="T2423"/>
  <c r="U2423"/>
  <c r="V2423"/>
  <c r="W2423"/>
  <c r="Y2423"/>
  <c r="AB2423"/>
  <c r="AC2423"/>
  <c r="AD2423"/>
  <c r="P2424"/>
  <c r="T2424"/>
  <c r="U2424"/>
  <c r="V2424"/>
  <c r="W2424"/>
  <c r="Y2424"/>
  <c r="AB2424"/>
  <c r="AC2424"/>
  <c r="AD2424"/>
  <c r="P2425"/>
  <c r="T2425"/>
  <c r="U2425"/>
  <c r="V2425"/>
  <c r="W2425"/>
  <c r="Y2425"/>
  <c r="AB2425"/>
  <c r="AC2425"/>
  <c r="AD2425"/>
  <c r="P2426"/>
  <c r="T2426"/>
  <c r="U2426"/>
  <c r="V2426"/>
  <c r="W2426"/>
  <c r="Y2426"/>
  <c r="AB2426"/>
  <c r="AC2426"/>
  <c r="AD2426"/>
  <c r="P2427"/>
  <c r="T2427"/>
  <c r="U2427"/>
  <c r="V2427"/>
  <c r="W2427"/>
  <c r="Y2427"/>
  <c r="AB2427"/>
  <c r="AC2427"/>
  <c r="AD2427"/>
  <c r="P2428"/>
  <c r="T2428"/>
  <c r="U2428"/>
  <c r="V2428"/>
  <c r="W2428"/>
  <c r="Y2428"/>
  <c r="AB2428"/>
  <c r="AC2428"/>
  <c r="AD2428"/>
  <c r="P2429"/>
  <c r="T2429"/>
  <c r="U2429"/>
  <c r="V2429"/>
  <c r="W2429"/>
  <c r="Y2429"/>
  <c r="AB2429"/>
  <c r="AC2429"/>
  <c r="AD2429"/>
  <c r="P2430"/>
  <c r="T2430"/>
  <c r="U2430"/>
  <c r="V2430"/>
  <c r="W2430"/>
  <c r="Y2430"/>
  <c r="AB2430"/>
  <c r="AC2430"/>
  <c r="AD2430"/>
  <c r="P2431"/>
  <c r="T2431"/>
  <c r="U2431"/>
  <c r="V2431"/>
  <c r="W2431"/>
  <c r="Y2431"/>
  <c r="AB2431"/>
  <c r="AC2431"/>
  <c r="AD2431"/>
  <c r="P2432"/>
  <c r="T2432"/>
  <c r="U2432"/>
  <c r="V2432"/>
  <c r="W2432"/>
  <c r="Y2432"/>
  <c r="AB2432"/>
  <c r="AC2432"/>
  <c r="AD2432"/>
  <c r="P2433"/>
  <c r="T2433"/>
  <c r="U2433"/>
  <c r="V2433"/>
  <c r="W2433"/>
  <c r="Y2433"/>
  <c r="AB2433"/>
  <c r="AC2433"/>
  <c r="AD2433"/>
  <c r="P2434"/>
  <c r="T2434"/>
  <c r="U2434"/>
  <c r="V2434"/>
  <c r="W2434"/>
  <c r="Y2434"/>
  <c r="AB2434"/>
  <c r="AC2434"/>
  <c r="AD2434"/>
  <c r="P2435"/>
  <c r="T2435"/>
  <c r="U2435"/>
  <c r="V2435"/>
  <c r="W2435"/>
  <c r="Y2435"/>
  <c r="AB2435"/>
  <c r="AC2435"/>
  <c r="AD2435"/>
  <c r="P2436"/>
  <c r="T2436"/>
  <c r="U2436"/>
  <c r="V2436"/>
  <c r="W2436"/>
  <c r="Y2436"/>
  <c r="AB2436"/>
  <c r="AC2436"/>
  <c r="AD2436"/>
  <c r="P2437"/>
  <c r="T2437"/>
  <c r="U2437"/>
  <c r="V2437"/>
  <c r="W2437"/>
  <c r="Y2437"/>
  <c r="AB2437"/>
  <c r="AC2437"/>
  <c r="AD2437"/>
  <c r="P2438"/>
  <c r="T2438"/>
  <c r="U2438"/>
  <c r="V2438"/>
  <c r="W2438"/>
  <c r="Y2438"/>
  <c r="AB2438"/>
  <c r="AC2438"/>
  <c r="AD2438"/>
  <c r="P2439"/>
  <c r="T2439"/>
  <c r="U2439"/>
  <c r="V2439"/>
  <c r="W2439"/>
  <c r="Y2439"/>
  <c r="AB2439"/>
  <c r="AC2439"/>
  <c r="AD2439"/>
  <c r="P2440"/>
  <c r="T2440"/>
  <c r="U2440"/>
  <c r="V2440"/>
  <c r="W2440"/>
  <c r="Y2440"/>
  <c r="AB2440"/>
  <c r="AC2440"/>
  <c r="AD2440"/>
  <c r="P2441"/>
  <c r="T2441"/>
  <c r="U2441"/>
  <c r="V2441"/>
  <c r="W2441"/>
  <c r="Y2441"/>
  <c r="AB2441"/>
  <c r="AC2441"/>
  <c r="AD2441"/>
  <c r="P2442"/>
  <c r="T2442"/>
  <c r="U2442"/>
  <c r="V2442"/>
  <c r="W2442"/>
  <c r="Y2442"/>
  <c r="AB2442"/>
  <c r="AC2442"/>
  <c r="AD2442"/>
  <c r="P2443"/>
  <c r="T2443"/>
  <c r="U2443"/>
  <c r="V2443"/>
  <c r="W2443"/>
  <c r="Y2443"/>
  <c r="AB2443"/>
  <c r="AC2443"/>
  <c r="AD2443"/>
  <c r="P2444"/>
  <c r="T2444"/>
  <c r="U2444"/>
  <c r="V2444"/>
  <c r="W2444"/>
  <c r="Y2444"/>
  <c r="AB2444"/>
  <c r="AC2444"/>
  <c r="AD2444"/>
  <c r="P2445"/>
  <c r="T2445"/>
  <c r="U2445"/>
  <c r="V2445"/>
  <c r="W2445"/>
  <c r="Y2445"/>
  <c r="AB2445"/>
  <c r="AC2445"/>
  <c r="AD2445"/>
  <c r="P2446"/>
  <c r="T2446"/>
  <c r="U2446"/>
  <c r="V2446"/>
  <c r="W2446"/>
  <c r="Y2446"/>
  <c r="AB2446"/>
  <c r="AC2446"/>
  <c r="AD2446"/>
  <c r="P2447"/>
  <c r="T2447"/>
  <c r="U2447"/>
  <c r="V2447"/>
  <c r="W2447"/>
  <c r="Y2447"/>
  <c r="AB2447"/>
  <c r="AC2447"/>
  <c r="AD2447"/>
  <c r="P2448"/>
  <c r="T2448"/>
  <c r="U2448"/>
  <c r="V2448"/>
  <c r="W2448"/>
  <c r="Y2448"/>
  <c r="AB2448"/>
  <c r="AC2448"/>
  <c r="AD2448"/>
  <c r="P2449"/>
  <c r="T2449"/>
  <c r="U2449"/>
  <c r="V2449"/>
  <c r="W2449"/>
  <c r="Y2449"/>
  <c r="AB2449"/>
  <c r="AC2449"/>
  <c r="AD2449"/>
  <c r="P2450"/>
  <c r="T2450"/>
  <c r="U2450"/>
  <c r="V2450"/>
  <c r="W2450"/>
  <c r="Y2450"/>
  <c r="AB2450"/>
  <c r="AC2450"/>
  <c r="AD2450"/>
  <c r="P2451"/>
  <c r="T2451"/>
  <c r="U2451"/>
  <c r="V2451"/>
  <c r="W2451"/>
  <c r="Y2451"/>
  <c r="AB2451"/>
  <c r="AC2451"/>
  <c r="AD2451"/>
  <c r="P2452"/>
  <c r="T2452"/>
  <c r="U2452"/>
  <c r="V2452"/>
  <c r="W2452"/>
  <c r="Y2452"/>
  <c r="AB2452"/>
  <c r="AC2452"/>
  <c r="AD2452"/>
  <c r="P2453"/>
  <c r="T2453"/>
  <c r="U2453"/>
  <c r="V2453"/>
  <c r="W2453"/>
  <c r="Y2453"/>
  <c r="AB2453"/>
  <c r="AC2453"/>
  <c r="AD2453"/>
  <c r="P2454"/>
  <c r="T2454"/>
  <c r="U2454"/>
  <c r="V2454"/>
  <c r="W2454"/>
  <c r="Y2454"/>
  <c r="AB2454"/>
  <c r="AC2454"/>
  <c r="AD2454"/>
  <c r="P2455"/>
  <c r="T2455"/>
  <c r="U2455"/>
  <c r="V2455"/>
  <c r="W2455"/>
  <c r="Y2455"/>
  <c r="AB2455"/>
  <c r="AC2455"/>
  <c r="AD2455"/>
  <c r="P2456"/>
  <c r="T2456"/>
  <c r="U2456"/>
  <c r="V2456"/>
  <c r="W2456"/>
  <c r="Y2456"/>
  <c r="AB2456"/>
  <c r="AC2456"/>
  <c r="AD2456"/>
  <c r="P2457"/>
  <c r="T2457"/>
  <c r="U2457"/>
  <c r="V2457"/>
  <c r="W2457"/>
  <c r="Y2457"/>
  <c r="AB2457"/>
  <c r="AC2457"/>
  <c r="AD2457"/>
  <c r="P2458"/>
  <c r="T2458"/>
  <c r="U2458"/>
  <c r="V2458"/>
  <c r="W2458"/>
  <c r="Y2458"/>
  <c r="AB2458"/>
  <c r="AC2458"/>
  <c r="AD2458"/>
  <c r="P2459"/>
  <c r="T2459"/>
  <c r="U2459"/>
  <c r="V2459"/>
  <c r="W2459"/>
  <c r="Y2459"/>
  <c r="AB2459"/>
  <c r="AC2459"/>
  <c r="AD2459"/>
  <c r="P2460"/>
  <c r="T2460"/>
  <c r="U2460"/>
  <c r="V2460"/>
  <c r="W2460"/>
  <c r="Y2460"/>
  <c r="AB2460"/>
  <c r="AC2460"/>
  <c r="AD2460"/>
  <c r="P2461"/>
  <c r="T2461"/>
  <c r="U2461"/>
  <c r="V2461"/>
  <c r="W2461"/>
  <c r="Y2461"/>
  <c r="AB2461"/>
  <c r="AC2461"/>
  <c r="AD2461"/>
  <c r="P2462"/>
  <c r="T2462"/>
  <c r="U2462"/>
  <c r="V2462"/>
  <c r="W2462"/>
  <c r="Y2462"/>
  <c r="AB2462"/>
  <c r="AC2462"/>
  <c r="AD2462"/>
  <c r="P2463"/>
  <c r="T2463"/>
  <c r="U2463"/>
  <c r="V2463"/>
  <c r="W2463"/>
  <c r="Y2463"/>
  <c r="AB2463"/>
  <c r="AC2463"/>
  <c r="AD2463"/>
  <c r="P2464"/>
  <c r="T2464"/>
  <c r="U2464"/>
  <c r="V2464"/>
  <c r="W2464"/>
  <c r="Y2464"/>
  <c r="AB2464"/>
  <c r="AC2464"/>
  <c r="AD2464"/>
  <c r="P2465"/>
  <c r="T2465"/>
  <c r="U2465"/>
  <c r="V2465"/>
  <c r="W2465"/>
  <c r="Y2465"/>
  <c r="AB2465"/>
  <c r="AC2465"/>
  <c r="AD2465"/>
  <c r="P2466"/>
  <c r="T2466"/>
  <c r="U2466"/>
  <c r="V2466"/>
  <c r="W2466"/>
  <c r="Y2466"/>
  <c r="AB2466"/>
  <c r="AC2466"/>
  <c r="AD2466"/>
  <c r="P2467"/>
  <c r="T2467"/>
  <c r="U2467"/>
  <c r="V2467"/>
  <c r="W2467"/>
  <c r="Y2467"/>
  <c r="AB2467"/>
  <c r="AC2467"/>
  <c r="AD2467"/>
  <c r="P2468"/>
  <c r="T2468"/>
  <c r="U2468"/>
  <c r="V2468"/>
  <c r="W2468"/>
  <c r="Y2468"/>
  <c r="AB2468"/>
  <c r="AC2468"/>
  <c r="AD2468"/>
  <c r="P2469"/>
  <c r="T2469"/>
  <c r="U2469"/>
  <c r="V2469"/>
  <c r="W2469"/>
  <c r="Y2469"/>
  <c r="AB2469"/>
  <c r="AC2469"/>
  <c r="AD2469"/>
  <c r="P2470"/>
  <c r="T2470"/>
  <c r="U2470"/>
  <c r="V2470"/>
  <c r="W2470"/>
  <c r="Y2470"/>
  <c r="AB2470"/>
  <c r="AC2470"/>
  <c r="AD2470"/>
  <c r="P2471"/>
  <c r="T2471"/>
  <c r="U2471"/>
  <c r="V2471"/>
  <c r="W2471"/>
  <c r="Y2471"/>
  <c r="AB2471"/>
  <c r="AC2471"/>
  <c r="AD2471"/>
  <c r="P2472"/>
  <c r="T2472"/>
  <c r="U2472"/>
  <c r="V2472"/>
  <c r="W2472"/>
  <c r="Y2472"/>
  <c r="AB2472"/>
  <c r="AC2472"/>
  <c r="AD2472"/>
  <c r="P2473"/>
  <c r="T2473"/>
  <c r="U2473"/>
  <c r="V2473"/>
  <c r="W2473"/>
  <c r="Y2473"/>
  <c r="AB2473"/>
  <c r="AC2473"/>
  <c r="AD2473"/>
  <c r="P2474"/>
  <c r="T2474"/>
  <c r="U2474"/>
  <c r="V2474"/>
  <c r="W2474"/>
  <c r="Y2474"/>
  <c r="AB2474"/>
  <c r="AC2474"/>
  <c r="AD2474"/>
  <c r="P2475"/>
  <c r="T2475"/>
  <c r="U2475"/>
  <c r="V2475"/>
  <c r="W2475"/>
  <c r="Y2475"/>
  <c r="AB2475"/>
  <c r="AC2475"/>
  <c r="AD2475"/>
  <c r="P2476"/>
  <c r="T2476"/>
  <c r="U2476"/>
  <c r="V2476"/>
  <c r="W2476"/>
  <c r="Y2476"/>
  <c r="AB2476"/>
  <c r="AC2476"/>
  <c r="AD2476"/>
  <c r="P2477"/>
  <c r="T2477"/>
  <c r="U2477"/>
  <c r="V2477"/>
  <c r="W2477"/>
  <c r="Y2477"/>
  <c r="AB2477"/>
  <c r="AC2477"/>
  <c r="AD2477"/>
  <c r="P2478"/>
  <c r="T2478"/>
  <c r="U2478"/>
  <c r="V2478"/>
  <c r="W2478"/>
  <c r="Y2478"/>
  <c r="AB2478"/>
  <c r="AC2478"/>
  <c r="AD2478"/>
  <c r="P2479"/>
  <c r="T2479"/>
  <c r="U2479"/>
  <c r="V2479"/>
  <c r="W2479"/>
  <c r="Y2479"/>
  <c r="AB2479"/>
  <c r="AC2479"/>
  <c r="AD2479"/>
  <c r="P2480"/>
  <c r="T2480"/>
  <c r="U2480"/>
  <c r="V2480"/>
  <c r="W2480"/>
  <c r="Y2480"/>
  <c r="AB2480"/>
  <c r="AC2480"/>
  <c r="AD2480"/>
  <c r="P2481"/>
  <c r="T2481"/>
  <c r="U2481"/>
  <c r="V2481"/>
  <c r="W2481"/>
  <c r="Y2481"/>
  <c r="AB2481"/>
  <c r="AC2481"/>
  <c r="AD2481"/>
  <c r="P2482"/>
  <c r="T2482"/>
  <c r="U2482"/>
  <c r="V2482"/>
  <c r="W2482"/>
  <c r="Y2482"/>
  <c r="AB2482"/>
  <c r="AC2482"/>
  <c r="AD2482"/>
  <c r="P2483"/>
  <c r="T2483"/>
  <c r="U2483"/>
  <c r="V2483"/>
  <c r="W2483"/>
  <c r="Y2483"/>
  <c r="AB2483"/>
  <c r="AC2483"/>
  <c r="AD2483"/>
  <c r="P2484"/>
  <c r="T2484"/>
  <c r="U2484"/>
  <c r="V2484"/>
  <c r="W2484"/>
  <c r="Y2484"/>
  <c r="AB2484"/>
  <c r="AC2484"/>
  <c r="AD2484"/>
  <c r="P2485"/>
  <c r="T2485"/>
  <c r="U2485"/>
  <c r="V2485"/>
  <c r="W2485"/>
  <c r="Y2485"/>
  <c r="AB2485"/>
  <c r="AC2485"/>
  <c r="AD2485"/>
  <c r="P2486"/>
  <c r="T2486"/>
  <c r="U2486"/>
  <c r="V2486"/>
  <c r="W2486"/>
  <c r="Y2486"/>
  <c r="AB2486"/>
  <c r="AC2486"/>
  <c r="AD2486"/>
  <c r="P2487"/>
  <c r="T2487"/>
  <c r="U2487"/>
  <c r="V2487"/>
  <c r="W2487"/>
  <c r="Y2487"/>
  <c r="AB2487"/>
  <c r="AC2487"/>
  <c r="AD2487"/>
  <c r="P2488"/>
  <c r="T2488"/>
  <c r="U2488"/>
  <c r="V2488"/>
  <c r="W2488"/>
  <c r="Y2488"/>
  <c r="AB2488"/>
  <c r="AC2488"/>
  <c r="AD2488"/>
  <c r="P2489"/>
  <c r="T2489"/>
  <c r="U2489"/>
  <c r="V2489"/>
  <c r="W2489"/>
  <c r="Y2489"/>
  <c r="AB2489"/>
  <c r="AC2489"/>
  <c r="AD2489"/>
  <c r="P2490"/>
  <c r="T2490"/>
  <c r="U2490"/>
  <c r="V2490"/>
  <c r="W2490"/>
  <c r="Y2490"/>
  <c r="AB2490"/>
  <c r="AC2490"/>
  <c r="AD2490"/>
  <c r="P2491"/>
  <c r="T2491"/>
  <c r="U2491"/>
  <c r="V2491"/>
  <c r="W2491"/>
  <c r="Y2491"/>
  <c r="AB2491"/>
  <c r="AC2491"/>
  <c r="AD2491"/>
  <c r="P2492"/>
  <c r="T2492"/>
  <c r="U2492"/>
  <c r="V2492"/>
  <c r="W2492"/>
  <c r="Y2492"/>
  <c r="AB2492"/>
  <c r="AC2492"/>
  <c r="AD2492"/>
  <c r="P2493"/>
  <c r="T2493"/>
  <c r="U2493"/>
  <c r="V2493"/>
  <c r="W2493"/>
  <c r="Y2493"/>
  <c r="AB2493"/>
  <c r="AC2493"/>
  <c r="AD2493"/>
  <c r="P2494"/>
  <c r="T2494"/>
  <c r="U2494"/>
  <c r="V2494"/>
  <c r="W2494"/>
  <c r="Y2494"/>
  <c r="AB2494"/>
  <c r="AC2494"/>
  <c r="AD2494"/>
  <c r="P2495"/>
  <c r="T2495"/>
  <c r="U2495"/>
  <c r="V2495"/>
  <c r="W2495"/>
  <c r="Y2495"/>
  <c r="AB2495"/>
  <c r="AC2495"/>
  <c r="AD2495"/>
  <c r="P2496"/>
  <c r="T2496"/>
  <c r="U2496"/>
  <c r="V2496"/>
  <c r="W2496"/>
  <c r="Y2496"/>
  <c r="AB2496"/>
  <c r="AC2496"/>
  <c r="AD2496"/>
  <c r="P2497"/>
  <c r="T2497"/>
  <c r="U2497"/>
  <c r="V2497"/>
  <c r="W2497"/>
  <c r="Y2497"/>
  <c r="AB2497"/>
  <c r="AC2497"/>
  <c r="AD2497"/>
  <c r="P2498"/>
  <c r="T2498"/>
  <c r="U2498"/>
  <c r="V2498"/>
  <c r="W2498"/>
  <c r="Y2498"/>
  <c r="AB2498"/>
  <c r="AC2498"/>
  <c r="AD2498"/>
  <c r="P2499"/>
  <c r="T2499"/>
  <c r="U2499"/>
  <c r="V2499"/>
  <c r="W2499"/>
  <c r="Y2499"/>
  <c r="AB2499"/>
  <c r="AC2499"/>
  <c r="AD2499"/>
  <c r="P2500"/>
  <c r="T2500"/>
  <c r="U2500"/>
  <c r="V2500"/>
  <c r="W2500"/>
  <c r="Y2500"/>
  <c r="AB2500"/>
  <c r="AC2500"/>
  <c r="AD2500"/>
  <c r="P2501"/>
  <c r="T2501"/>
  <c r="U2501"/>
  <c r="V2501"/>
  <c r="W2501"/>
  <c r="Y2501"/>
  <c r="AB2501"/>
  <c r="AC2501"/>
  <c r="AD2501"/>
  <c r="P2502"/>
  <c r="T2502"/>
  <c r="U2502"/>
  <c r="V2502"/>
  <c r="W2502"/>
  <c r="Y2502"/>
  <c r="AB2502"/>
  <c r="AC2502"/>
  <c r="AD2502"/>
  <c r="P2503"/>
  <c r="T2503"/>
  <c r="U2503"/>
  <c r="V2503"/>
  <c r="W2503"/>
  <c r="Y2503"/>
  <c r="AB2503"/>
  <c r="AC2503"/>
  <c r="AD2503"/>
  <c r="P2504"/>
  <c r="T2504"/>
  <c r="U2504"/>
  <c r="V2504"/>
  <c r="W2504"/>
  <c r="Y2504"/>
  <c r="AB2504"/>
  <c r="AC2504"/>
  <c r="AD2504"/>
  <c r="P2505"/>
  <c r="T2505"/>
  <c r="U2505"/>
  <c r="V2505"/>
  <c r="W2505"/>
  <c r="Y2505"/>
  <c r="AB2505"/>
  <c r="AC2505"/>
  <c r="AD2505"/>
  <c r="P2506"/>
  <c r="T2506"/>
  <c r="U2506"/>
  <c r="V2506"/>
  <c r="W2506"/>
  <c r="Y2506"/>
  <c r="AB2506"/>
  <c r="AC2506"/>
  <c r="AD2506"/>
  <c r="P2507"/>
  <c r="T2507"/>
  <c r="U2507"/>
  <c r="V2507"/>
  <c r="W2507"/>
  <c r="Y2507"/>
  <c r="AB2507"/>
  <c r="AC2507"/>
  <c r="AD2507"/>
  <c r="P2508"/>
  <c r="T2508"/>
  <c r="U2508"/>
  <c r="V2508"/>
  <c r="W2508"/>
  <c r="Y2508"/>
  <c r="AB2508"/>
  <c r="AC2508"/>
  <c r="AD2508"/>
  <c r="P2509"/>
  <c r="T2509"/>
  <c r="U2509"/>
  <c r="V2509"/>
  <c r="W2509"/>
  <c r="Y2509"/>
  <c r="AB2509"/>
  <c r="AC2509"/>
  <c r="AD2509"/>
  <c r="P2510"/>
  <c r="T2510"/>
  <c r="U2510"/>
  <c r="V2510"/>
  <c r="W2510"/>
  <c r="Y2510"/>
  <c r="AB2510"/>
  <c r="AC2510"/>
  <c r="AD2510"/>
  <c r="P2511"/>
  <c r="T2511"/>
  <c r="U2511"/>
  <c r="V2511"/>
  <c r="W2511"/>
  <c r="Y2511"/>
  <c r="AB2511"/>
  <c r="AC2511"/>
  <c r="AD2511"/>
  <c r="P2512"/>
  <c r="T2512"/>
  <c r="U2512"/>
  <c r="V2512"/>
  <c r="W2512"/>
  <c r="Y2512"/>
  <c r="AB2512"/>
  <c r="AC2512"/>
  <c r="AD2512"/>
  <c r="P2513"/>
  <c r="T2513"/>
  <c r="U2513"/>
  <c r="V2513"/>
  <c r="W2513"/>
  <c r="Y2513"/>
  <c r="AB2513"/>
  <c r="AC2513"/>
  <c r="AD2513"/>
  <c r="P2514"/>
  <c r="T2514"/>
  <c r="U2514"/>
  <c r="V2514"/>
  <c r="W2514"/>
  <c r="Y2514"/>
  <c r="AB2514"/>
  <c r="AC2514"/>
  <c r="AD2514"/>
  <c r="P2515"/>
  <c r="T2515"/>
  <c r="U2515"/>
  <c r="V2515"/>
  <c r="W2515"/>
  <c r="Y2515"/>
  <c r="AB2515"/>
  <c r="AC2515"/>
  <c r="AD2515"/>
  <c r="P2516"/>
  <c r="T2516"/>
  <c r="U2516"/>
  <c r="V2516"/>
  <c r="W2516"/>
  <c r="Y2516"/>
  <c r="AB2516"/>
  <c r="AC2516"/>
  <c r="AD2516"/>
  <c r="P2517"/>
  <c r="T2517"/>
  <c r="U2517"/>
  <c r="V2517"/>
  <c r="W2517"/>
  <c r="Y2517"/>
  <c r="AB2517"/>
  <c r="AC2517"/>
  <c r="AD2517"/>
  <c r="P2518"/>
  <c r="T2518"/>
  <c r="U2518"/>
  <c r="V2518"/>
  <c r="W2518"/>
  <c r="Y2518"/>
  <c r="AB2518"/>
  <c r="AC2518"/>
  <c r="AD2518"/>
  <c r="P2519"/>
  <c r="T2519"/>
  <c r="U2519"/>
  <c r="V2519"/>
  <c r="W2519"/>
  <c r="Y2519"/>
  <c r="AB2519"/>
  <c r="AC2519"/>
  <c r="AD2519"/>
  <c r="P2520"/>
  <c r="T2520"/>
  <c r="U2520"/>
  <c r="V2520"/>
  <c r="W2520"/>
  <c r="Y2520"/>
  <c r="AB2520"/>
  <c r="AC2520"/>
  <c r="AD2520"/>
  <c r="P2521"/>
  <c r="T2521"/>
  <c r="U2521"/>
  <c r="V2521"/>
  <c r="W2521"/>
  <c r="Y2521"/>
  <c r="AB2521"/>
  <c r="AC2521"/>
  <c r="AD2521"/>
  <c r="P2522"/>
  <c r="T2522"/>
  <c r="U2522"/>
  <c r="V2522"/>
  <c r="W2522"/>
  <c r="Y2522"/>
  <c r="AB2522"/>
  <c r="AC2522"/>
  <c r="AD2522"/>
  <c r="P2523"/>
  <c r="T2523"/>
  <c r="U2523"/>
  <c r="V2523"/>
  <c r="W2523"/>
  <c r="Y2523"/>
  <c r="AB2523"/>
  <c r="AC2523"/>
  <c r="AD2523"/>
  <c r="P2524"/>
  <c r="T2524"/>
  <c r="U2524"/>
  <c r="V2524"/>
  <c r="W2524"/>
  <c r="Y2524"/>
  <c r="AB2524"/>
  <c r="AC2524"/>
  <c r="AD2524"/>
  <c r="P2525"/>
  <c r="T2525"/>
  <c r="U2525"/>
  <c r="V2525"/>
  <c r="W2525"/>
  <c r="Y2525"/>
  <c r="AB2525"/>
  <c r="AC2525"/>
  <c r="AD2525"/>
  <c r="P2526"/>
  <c r="T2526"/>
  <c r="U2526"/>
  <c r="V2526"/>
  <c r="W2526"/>
  <c r="Y2526"/>
  <c r="AB2526"/>
  <c r="AC2526"/>
  <c r="AD2526"/>
  <c r="P2527"/>
  <c r="T2527"/>
  <c r="U2527"/>
  <c r="V2527"/>
  <c r="W2527"/>
  <c r="Y2527"/>
  <c r="AB2527"/>
  <c r="AC2527"/>
  <c r="AD2527"/>
  <c r="P2528"/>
  <c r="T2528"/>
  <c r="U2528"/>
  <c r="V2528"/>
  <c r="W2528"/>
  <c r="Y2528"/>
  <c r="AB2528"/>
  <c r="AC2528"/>
  <c r="AD2528"/>
  <c r="P2529"/>
  <c r="T2529"/>
  <c r="U2529"/>
  <c r="V2529"/>
  <c r="W2529"/>
  <c r="Y2529"/>
  <c r="AB2529"/>
  <c r="AC2529"/>
  <c r="AD2529"/>
  <c r="P2530"/>
  <c r="T2530"/>
  <c r="U2530"/>
  <c r="V2530"/>
  <c r="W2530"/>
  <c r="Y2530"/>
  <c r="AB2530"/>
  <c r="AC2530"/>
  <c r="AD2530"/>
  <c r="P2531"/>
  <c r="T2531"/>
  <c r="U2531"/>
  <c r="V2531"/>
  <c r="W2531"/>
  <c r="Y2531"/>
  <c r="AB2531"/>
  <c r="AC2531"/>
  <c r="AD2531"/>
  <c r="P2532"/>
  <c r="T2532"/>
  <c r="U2532"/>
  <c r="V2532"/>
  <c r="W2532"/>
  <c r="Y2532"/>
  <c r="AB2532"/>
  <c r="AC2532"/>
  <c r="AD2532"/>
  <c r="P2533"/>
  <c r="T2533"/>
  <c r="U2533"/>
  <c r="V2533"/>
  <c r="W2533"/>
  <c r="Y2533"/>
  <c r="AB2533"/>
  <c r="AC2533"/>
  <c r="AD2533"/>
  <c r="P2534"/>
  <c r="T2534"/>
  <c r="U2534"/>
  <c r="V2534"/>
  <c r="W2534"/>
  <c r="Y2534"/>
  <c r="AB2534"/>
  <c r="AC2534"/>
  <c r="AD2534"/>
  <c r="P2535"/>
  <c r="T2535"/>
  <c r="U2535"/>
  <c r="V2535"/>
  <c r="W2535"/>
  <c r="Y2535"/>
  <c r="AB2535"/>
  <c r="AC2535"/>
  <c r="AD2535"/>
  <c r="P2536"/>
  <c r="T2536"/>
  <c r="U2536"/>
  <c r="V2536"/>
  <c r="W2536"/>
  <c r="Y2536"/>
  <c r="AB2536"/>
  <c r="AC2536"/>
  <c r="AD2536"/>
  <c r="P2537"/>
  <c r="T2537"/>
  <c r="U2537"/>
  <c r="V2537"/>
  <c r="W2537"/>
  <c r="Y2537"/>
  <c r="AB2537"/>
  <c r="AC2537"/>
  <c r="AD2537"/>
  <c r="P2538"/>
  <c r="T2538"/>
  <c r="U2538"/>
  <c r="V2538"/>
  <c r="W2538"/>
  <c r="Y2538"/>
  <c r="AB2538"/>
  <c r="AC2538"/>
  <c r="AD2538"/>
  <c r="P2539"/>
  <c r="T2539"/>
  <c r="U2539"/>
  <c r="V2539"/>
  <c r="W2539"/>
  <c r="Y2539"/>
  <c r="AB2539"/>
  <c r="AC2539"/>
  <c r="AD2539"/>
  <c r="P2540"/>
  <c r="T2540"/>
  <c r="U2540"/>
  <c r="V2540"/>
  <c r="W2540"/>
  <c r="Y2540"/>
  <c r="AB2540"/>
  <c r="AC2540"/>
  <c r="AD2540"/>
  <c r="P2541"/>
  <c r="T2541"/>
  <c r="U2541"/>
  <c r="V2541"/>
  <c r="W2541"/>
  <c r="Y2541"/>
  <c r="AB2541"/>
  <c r="AC2541"/>
  <c r="AD2541"/>
  <c r="P2542"/>
  <c r="T2542"/>
  <c r="U2542"/>
  <c r="V2542"/>
  <c r="W2542"/>
  <c r="Y2542"/>
  <c r="AB2542"/>
  <c r="AC2542"/>
  <c r="AD2542"/>
  <c r="P2543"/>
  <c r="T2543"/>
  <c r="U2543"/>
  <c r="V2543"/>
  <c r="W2543"/>
  <c r="Y2543"/>
  <c r="AB2543"/>
  <c r="AC2543"/>
  <c r="AD2543"/>
  <c r="P2544"/>
  <c r="T2544"/>
  <c r="U2544"/>
  <c r="V2544"/>
  <c r="W2544"/>
  <c r="Y2544"/>
  <c r="AB2544"/>
  <c r="AC2544"/>
  <c r="AD2544"/>
  <c r="P2545"/>
  <c r="T2545"/>
  <c r="U2545"/>
  <c r="V2545"/>
  <c r="W2545"/>
  <c r="Y2545"/>
  <c r="AB2545"/>
  <c r="AC2545"/>
  <c r="AD2545"/>
  <c r="P2546"/>
  <c r="T2546"/>
  <c r="U2546"/>
  <c r="V2546"/>
  <c r="W2546"/>
  <c r="Y2546"/>
  <c r="AB2546"/>
  <c r="AC2546"/>
  <c r="AD2546"/>
  <c r="P2547"/>
  <c r="T2547"/>
  <c r="U2547"/>
  <c r="V2547"/>
  <c r="W2547"/>
  <c r="Y2547"/>
  <c r="AB2547"/>
  <c r="AC2547"/>
  <c r="AD2547"/>
  <c r="P2548"/>
  <c r="T2548"/>
  <c r="U2548"/>
  <c r="V2548"/>
  <c r="W2548"/>
  <c r="Y2548"/>
  <c r="AB2548"/>
  <c r="AC2548"/>
  <c r="AD2548"/>
  <c r="P2549"/>
  <c r="T2549"/>
  <c r="U2549"/>
  <c r="V2549"/>
  <c r="W2549"/>
  <c r="Y2549"/>
  <c r="AB2549"/>
  <c r="AC2549"/>
  <c r="AD2549"/>
  <c r="P2550"/>
  <c r="T2550"/>
  <c r="U2550"/>
  <c r="V2550"/>
  <c r="W2550"/>
  <c r="Y2550"/>
  <c r="AB2550"/>
  <c r="AC2550"/>
  <c r="AD2550"/>
  <c r="P2551"/>
  <c r="T2551"/>
  <c r="U2551"/>
  <c r="V2551"/>
  <c r="W2551"/>
  <c r="Y2551"/>
  <c r="AB2551"/>
  <c r="AC2551"/>
  <c r="AD2551"/>
  <c r="P2552"/>
  <c r="T2552"/>
  <c r="U2552"/>
  <c r="V2552"/>
  <c r="W2552"/>
  <c r="Y2552"/>
  <c r="AB2552"/>
  <c r="AC2552"/>
  <c r="AD2552"/>
  <c r="P2553"/>
  <c r="T2553"/>
  <c r="U2553"/>
  <c r="V2553"/>
  <c r="W2553"/>
  <c r="Y2553"/>
  <c r="AB2553"/>
  <c r="AC2553"/>
  <c r="AD2553"/>
  <c r="P2554"/>
  <c r="T2554"/>
  <c r="U2554"/>
  <c r="V2554"/>
  <c r="W2554"/>
  <c r="Y2554"/>
  <c r="AB2554"/>
  <c r="AC2554"/>
  <c r="AD2554"/>
  <c r="P2555"/>
  <c r="T2555"/>
  <c r="U2555"/>
  <c r="V2555"/>
  <c r="W2555"/>
  <c r="Y2555"/>
  <c r="AB2555"/>
  <c r="AC2555"/>
  <c r="AD2555"/>
  <c r="P2556"/>
  <c r="T2556"/>
  <c r="U2556"/>
  <c r="V2556"/>
  <c r="W2556"/>
  <c r="Y2556"/>
  <c r="AB2556"/>
  <c r="AC2556"/>
  <c r="AD2556"/>
  <c r="P2557"/>
  <c r="T2557"/>
  <c r="U2557"/>
  <c r="V2557"/>
  <c r="W2557"/>
  <c r="Y2557"/>
  <c r="AB2557"/>
  <c r="AC2557"/>
  <c r="AD2557"/>
  <c r="P2558"/>
  <c r="T2558"/>
  <c r="U2558"/>
  <c r="V2558"/>
  <c r="W2558"/>
  <c r="Y2558"/>
  <c r="AB2558"/>
  <c r="AC2558"/>
  <c r="AD2558"/>
  <c r="P2559"/>
  <c r="T2559"/>
  <c r="U2559"/>
  <c r="V2559"/>
  <c r="W2559"/>
  <c r="Y2559"/>
  <c r="AB2559"/>
  <c r="AC2559"/>
  <c r="AD2559"/>
  <c r="P2560"/>
  <c r="T2560"/>
  <c r="U2560"/>
  <c r="V2560"/>
  <c r="W2560"/>
  <c r="Y2560"/>
  <c r="AB2560"/>
  <c r="AC2560"/>
  <c r="AD2560"/>
  <c r="P2561"/>
  <c r="T2561"/>
  <c r="U2561"/>
  <c r="V2561"/>
  <c r="W2561"/>
  <c r="Y2561"/>
  <c r="AB2561"/>
  <c r="AC2561"/>
  <c r="AD2561"/>
  <c r="P2562"/>
  <c r="T2562"/>
  <c r="U2562"/>
  <c r="V2562"/>
  <c r="W2562"/>
  <c r="Y2562"/>
  <c r="AB2562"/>
  <c r="AC2562"/>
  <c r="AD2562"/>
  <c r="P2563"/>
  <c r="T2563"/>
  <c r="U2563"/>
  <c r="V2563"/>
  <c r="W2563"/>
  <c r="Y2563"/>
  <c r="AB2563"/>
  <c r="AC2563"/>
  <c r="AD2563"/>
  <c r="P2564"/>
  <c r="T2564"/>
  <c r="U2564"/>
  <c r="V2564"/>
  <c r="W2564"/>
  <c r="Y2564"/>
  <c r="AB2564"/>
  <c r="AC2564"/>
  <c r="AD2564"/>
  <c r="P2565"/>
  <c r="T2565"/>
  <c r="U2565"/>
  <c r="V2565"/>
  <c r="W2565"/>
  <c r="Y2565"/>
  <c r="AB2565"/>
  <c r="AC2565"/>
  <c r="AD2565"/>
  <c r="P2566"/>
  <c r="T2566"/>
  <c r="U2566"/>
  <c r="V2566"/>
  <c r="W2566"/>
  <c r="Y2566"/>
  <c r="AB2566"/>
  <c r="AC2566"/>
  <c r="AD2566"/>
  <c r="P2567"/>
  <c r="T2567"/>
  <c r="U2567"/>
  <c r="V2567"/>
  <c r="W2567"/>
  <c r="Y2567"/>
  <c r="AB2567"/>
  <c r="AC2567"/>
  <c r="AD2567"/>
  <c r="P2568"/>
  <c r="T2568"/>
  <c r="U2568"/>
  <c r="V2568"/>
  <c r="W2568"/>
  <c r="Y2568"/>
  <c r="AB2568"/>
  <c r="AC2568"/>
  <c r="AD2568"/>
  <c r="P2569"/>
  <c r="T2569"/>
  <c r="U2569"/>
  <c r="V2569"/>
  <c r="W2569"/>
  <c r="Y2569"/>
  <c r="AB2569"/>
  <c r="AC2569"/>
  <c r="AD2569"/>
  <c r="P2570"/>
  <c r="T2570"/>
  <c r="U2570"/>
  <c r="V2570"/>
  <c r="W2570"/>
  <c r="Y2570"/>
  <c r="AB2570"/>
  <c r="AC2570"/>
  <c r="AD2570"/>
  <c r="P2571"/>
  <c r="T2571"/>
  <c r="U2571"/>
  <c r="V2571"/>
  <c r="W2571"/>
  <c r="Y2571"/>
  <c r="AB2571"/>
  <c r="AC2571"/>
  <c r="AD2571"/>
  <c r="P2572"/>
  <c r="T2572"/>
  <c r="U2572"/>
  <c r="V2572"/>
  <c r="W2572"/>
  <c r="Y2572"/>
  <c r="AB2572"/>
  <c r="AC2572"/>
  <c r="AD2572"/>
  <c r="P2573"/>
  <c r="T2573"/>
  <c r="U2573"/>
  <c r="V2573"/>
  <c r="W2573"/>
  <c r="Y2573"/>
  <c r="AB2573"/>
  <c r="AC2573"/>
  <c r="AD2573"/>
  <c r="P2574"/>
  <c r="T2574"/>
  <c r="U2574"/>
  <c r="V2574"/>
  <c r="W2574"/>
  <c r="Y2574"/>
  <c r="AB2574"/>
  <c r="AC2574"/>
  <c r="AD2574"/>
  <c r="P2575"/>
  <c r="T2575"/>
  <c r="U2575"/>
  <c r="V2575"/>
  <c r="W2575"/>
  <c r="Y2575"/>
  <c r="AB2575"/>
  <c r="AC2575"/>
  <c r="AD2575"/>
  <c r="P2576"/>
  <c r="T2576"/>
  <c r="U2576"/>
  <c r="V2576"/>
  <c r="W2576"/>
  <c r="Y2576"/>
  <c r="AB2576"/>
  <c r="AC2576"/>
  <c r="AD2576"/>
  <c r="P2577"/>
  <c r="T2577"/>
  <c r="U2577"/>
  <c r="V2577"/>
  <c r="W2577"/>
  <c r="Y2577"/>
  <c r="AB2577"/>
  <c r="AC2577"/>
  <c r="AD2577"/>
  <c r="P2578"/>
  <c r="T2578"/>
  <c r="U2578"/>
  <c r="V2578"/>
  <c r="W2578"/>
  <c r="Y2578"/>
  <c r="AB2578"/>
  <c r="AC2578"/>
  <c r="AD2578"/>
  <c r="P2579"/>
  <c r="T2579"/>
  <c r="U2579"/>
  <c r="V2579"/>
  <c r="W2579"/>
  <c r="Y2579"/>
  <c r="AB2579"/>
  <c r="AC2579"/>
  <c r="AD2579"/>
  <c r="P2580"/>
  <c r="T2580"/>
  <c r="U2580"/>
  <c r="V2580"/>
  <c r="W2580"/>
  <c r="Y2580"/>
  <c r="AB2580"/>
  <c r="AC2580"/>
  <c r="AD2580"/>
  <c r="P2581"/>
  <c r="T2581"/>
  <c r="U2581"/>
  <c r="V2581"/>
  <c r="W2581"/>
  <c r="Y2581"/>
  <c r="AB2581"/>
  <c r="AC2581"/>
  <c r="AD2581"/>
  <c r="P2582"/>
  <c r="T2582"/>
  <c r="U2582"/>
  <c r="V2582"/>
  <c r="W2582"/>
  <c r="Y2582"/>
  <c r="AB2582"/>
  <c r="AC2582"/>
  <c r="AD2582"/>
  <c r="P2583"/>
  <c r="T2583"/>
  <c r="U2583"/>
  <c r="V2583"/>
  <c r="W2583"/>
  <c r="Y2583"/>
  <c r="AB2583"/>
  <c r="AC2583"/>
  <c r="AD2583"/>
  <c r="P2584"/>
  <c r="T2584"/>
  <c r="U2584"/>
  <c r="V2584"/>
  <c r="W2584"/>
  <c r="Y2584"/>
  <c r="AB2584"/>
  <c r="AC2584"/>
  <c r="AD2584"/>
  <c r="P2585"/>
  <c r="T2585"/>
  <c r="U2585"/>
  <c r="V2585"/>
  <c r="W2585"/>
  <c r="Y2585"/>
  <c r="AB2585"/>
  <c r="AC2585"/>
  <c r="AD2585"/>
  <c r="P2586"/>
  <c r="T2586"/>
  <c r="U2586"/>
  <c r="V2586"/>
  <c r="W2586"/>
  <c r="Y2586"/>
  <c r="AB2586"/>
  <c r="AC2586"/>
  <c r="AD2586"/>
  <c r="P2587"/>
  <c r="T2587"/>
  <c r="U2587"/>
  <c r="V2587"/>
  <c r="W2587"/>
  <c r="Y2587"/>
  <c r="AB2587"/>
  <c r="AC2587"/>
  <c r="AD2587"/>
  <c r="P2588"/>
  <c r="T2588"/>
  <c r="U2588"/>
  <c r="V2588"/>
  <c r="W2588"/>
  <c r="Y2588"/>
  <c r="AB2588"/>
  <c r="AC2588"/>
  <c r="AD2588"/>
  <c r="P2589"/>
  <c r="T2589"/>
  <c r="U2589"/>
  <c r="V2589"/>
  <c r="W2589"/>
  <c r="Y2589"/>
  <c r="AB2589"/>
  <c r="AC2589"/>
  <c r="AD2589"/>
  <c r="P2590"/>
  <c r="T2590"/>
  <c r="U2590"/>
  <c r="V2590"/>
  <c r="W2590"/>
  <c r="Y2590"/>
  <c r="AB2590"/>
  <c r="AC2590"/>
  <c r="AD2590"/>
  <c r="P2591"/>
  <c r="T2591"/>
  <c r="U2591"/>
  <c r="V2591"/>
  <c r="W2591"/>
  <c r="Y2591"/>
  <c r="AB2591"/>
  <c r="AC2591"/>
  <c r="AD2591"/>
  <c r="P2592"/>
  <c r="T2592"/>
  <c r="U2592"/>
  <c r="V2592"/>
  <c r="W2592"/>
  <c r="Y2592"/>
  <c r="AB2592"/>
  <c r="AC2592"/>
  <c r="AD2592"/>
  <c r="P2593"/>
  <c r="T2593"/>
  <c r="U2593"/>
  <c r="V2593"/>
  <c r="W2593"/>
  <c r="Y2593"/>
  <c r="AB2593"/>
  <c r="AC2593"/>
  <c r="AD2593"/>
  <c r="P2594"/>
  <c r="T2594"/>
  <c r="U2594"/>
  <c r="V2594"/>
  <c r="W2594"/>
  <c r="Y2594"/>
  <c r="AB2594"/>
  <c r="AC2594"/>
  <c r="AD2594"/>
  <c r="P2595"/>
  <c r="T2595"/>
  <c r="U2595"/>
  <c r="V2595"/>
  <c r="W2595"/>
  <c r="Y2595"/>
  <c r="AB2595"/>
  <c r="AC2595"/>
  <c r="AD2595"/>
  <c r="P2596"/>
  <c r="T2596"/>
  <c r="U2596"/>
  <c r="V2596"/>
  <c r="W2596"/>
  <c r="Y2596"/>
  <c r="AB2596"/>
  <c r="AC2596"/>
  <c r="AD2596"/>
  <c r="P2597"/>
  <c r="T2597"/>
  <c r="U2597"/>
  <c r="V2597"/>
  <c r="W2597"/>
  <c r="Y2597"/>
  <c r="AB2597"/>
  <c r="AC2597"/>
  <c r="AD2597"/>
  <c r="P2598"/>
  <c r="T2598"/>
  <c r="U2598"/>
  <c r="V2598"/>
  <c r="W2598"/>
  <c r="Y2598"/>
  <c r="AB2598"/>
  <c r="AC2598"/>
  <c r="AD2598"/>
  <c r="P2599"/>
  <c r="T2599"/>
  <c r="U2599"/>
  <c r="V2599"/>
  <c r="W2599"/>
  <c r="Y2599"/>
  <c r="AB2599"/>
  <c r="AC2599"/>
  <c r="AD2599"/>
  <c r="P2600"/>
  <c r="T2600"/>
  <c r="U2600"/>
  <c r="V2600"/>
  <c r="W2600"/>
  <c r="Y2600"/>
  <c r="AB2600"/>
  <c r="AC2600"/>
  <c r="AD2600"/>
  <c r="P2601"/>
  <c r="T2601"/>
  <c r="U2601"/>
  <c r="V2601"/>
  <c r="W2601"/>
  <c r="Y2601"/>
  <c r="AB2601"/>
  <c r="AC2601"/>
  <c r="AD2601"/>
  <c r="P2602"/>
  <c r="T2602"/>
  <c r="U2602"/>
  <c r="V2602"/>
  <c r="W2602"/>
  <c r="Y2602"/>
  <c r="AB2602"/>
  <c r="AC2602"/>
  <c r="AD2602"/>
  <c r="P2603"/>
  <c r="T2603"/>
  <c r="U2603"/>
  <c r="V2603"/>
  <c r="W2603"/>
  <c r="Y2603"/>
  <c r="AB2603"/>
  <c r="AC2603"/>
  <c r="AD2603"/>
  <c r="P2604"/>
  <c r="T2604"/>
  <c r="U2604"/>
  <c r="V2604"/>
  <c r="W2604"/>
  <c r="Y2604"/>
  <c r="AB2604"/>
  <c r="AC2604"/>
  <c r="AD2604"/>
  <c r="P2605"/>
  <c r="T2605"/>
  <c r="U2605"/>
  <c r="V2605"/>
  <c r="W2605"/>
  <c r="Y2605"/>
  <c r="AB2605"/>
  <c r="AC2605"/>
  <c r="AD2605"/>
  <c r="P2606"/>
  <c r="T2606"/>
  <c r="U2606"/>
  <c r="V2606"/>
  <c r="W2606"/>
  <c r="Y2606"/>
  <c r="AB2606"/>
  <c r="AC2606"/>
  <c r="AD2606"/>
  <c r="P2607"/>
  <c r="T2607"/>
  <c r="U2607"/>
  <c r="V2607"/>
  <c r="W2607"/>
  <c r="Y2607"/>
  <c r="AB2607"/>
  <c r="AC2607"/>
  <c r="AD2607"/>
  <c r="P2608"/>
  <c r="T2608"/>
  <c r="U2608"/>
  <c r="V2608"/>
  <c r="W2608"/>
  <c r="Y2608"/>
  <c r="AB2608"/>
  <c r="AC2608"/>
  <c r="AD2608"/>
  <c r="P2609"/>
  <c r="T2609"/>
  <c r="U2609"/>
  <c r="V2609"/>
  <c r="W2609"/>
  <c r="Y2609"/>
  <c r="AB2609"/>
  <c r="AC2609"/>
  <c r="AD2609"/>
  <c r="P2610"/>
  <c r="T2610"/>
  <c r="U2610"/>
  <c r="V2610"/>
  <c r="W2610"/>
  <c r="Y2610"/>
  <c r="AB2610"/>
  <c r="AC2610"/>
  <c r="AD2610"/>
  <c r="P2611"/>
  <c r="T2611"/>
  <c r="U2611"/>
  <c r="V2611"/>
  <c r="W2611"/>
  <c r="Y2611"/>
  <c r="AB2611"/>
  <c r="AC2611"/>
  <c r="AD2611"/>
  <c r="P2612"/>
  <c r="T2612"/>
  <c r="U2612"/>
  <c r="V2612"/>
  <c r="W2612"/>
  <c r="Y2612"/>
  <c r="AB2612"/>
  <c r="AC2612"/>
  <c r="AD2612"/>
  <c r="P2613"/>
  <c r="T2613"/>
  <c r="U2613"/>
  <c r="V2613"/>
  <c r="W2613"/>
  <c r="Y2613"/>
  <c r="AB2613"/>
  <c r="AC2613"/>
  <c r="AD2613"/>
  <c r="P2614"/>
  <c r="T2614"/>
  <c r="U2614"/>
  <c r="V2614"/>
  <c r="W2614"/>
  <c r="Y2614"/>
  <c r="AB2614"/>
  <c r="AC2614"/>
  <c r="AD2614"/>
  <c r="P2615"/>
  <c r="T2615"/>
  <c r="U2615"/>
  <c r="V2615"/>
  <c r="W2615"/>
  <c r="Y2615"/>
  <c r="AB2615"/>
  <c r="AC2615"/>
  <c r="AD2615"/>
  <c r="P2616"/>
  <c r="T2616"/>
  <c r="U2616"/>
  <c r="V2616"/>
  <c r="W2616"/>
  <c r="Y2616"/>
  <c r="AB2616"/>
  <c r="AC2616"/>
  <c r="AD2616"/>
  <c r="P2617"/>
  <c r="T2617"/>
  <c r="U2617"/>
  <c r="V2617"/>
  <c r="W2617"/>
  <c r="Y2617"/>
  <c r="AB2617"/>
  <c r="AC2617"/>
  <c r="AD2617"/>
  <c r="P2618"/>
  <c r="T2618"/>
  <c r="U2618"/>
  <c r="V2618"/>
  <c r="W2618"/>
  <c r="Y2618"/>
  <c r="AB2618"/>
  <c r="AC2618"/>
  <c r="AD2618"/>
  <c r="P2619"/>
  <c r="T2619"/>
  <c r="U2619"/>
  <c r="V2619"/>
  <c r="W2619"/>
  <c r="Y2619"/>
  <c r="AB2619"/>
  <c r="AC2619"/>
  <c r="AD2619"/>
  <c r="P2620"/>
  <c r="T2620"/>
  <c r="U2620"/>
  <c r="V2620"/>
  <c r="W2620"/>
  <c r="Y2620"/>
  <c r="AB2620"/>
  <c r="AC2620"/>
  <c r="AD2620"/>
  <c r="P2621"/>
  <c r="T2621"/>
  <c r="U2621"/>
  <c r="V2621"/>
  <c r="W2621"/>
  <c r="Y2621"/>
  <c r="AB2621"/>
  <c r="AC2621"/>
  <c r="AD2621"/>
  <c r="P2622"/>
  <c r="T2622"/>
  <c r="U2622"/>
  <c r="V2622"/>
  <c r="W2622"/>
  <c r="Y2622"/>
  <c r="AB2622"/>
  <c r="AC2622"/>
  <c r="AD2622"/>
  <c r="P2623"/>
  <c r="T2623"/>
  <c r="U2623"/>
  <c r="V2623"/>
  <c r="W2623"/>
  <c r="Y2623"/>
  <c r="AB2623"/>
  <c r="AC2623"/>
  <c r="AD2623"/>
  <c r="P2624"/>
  <c r="T2624"/>
  <c r="U2624"/>
  <c r="V2624"/>
  <c r="W2624"/>
  <c r="Y2624"/>
  <c r="AB2624"/>
  <c r="AC2624"/>
  <c r="AD2624"/>
  <c r="P2625"/>
  <c r="T2625"/>
  <c r="U2625"/>
  <c r="V2625"/>
  <c r="W2625"/>
  <c r="Y2625"/>
  <c r="AB2625"/>
  <c r="AC2625"/>
  <c r="AD2625"/>
  <c r="P2626"/>
  <c r="T2626"/>
  <c r="U2626"/>
  <c r="V2626"/>
  <c r="W2626"/>
  <c r="Y2626"/>
  <c r="AB2626"/>
  <c r="AC2626"/>
  <c r="AD2626"/>
  <c r="P2627"/>
  <c r="T2627"/>
  <c r="U2627"/>
  <c r="V2627"/>
  <c r="W2627"/>
  <c r="Y2627"/>
  <c r="AB2627"/>
  <c r="AC2627"/>
  <c r="AD2627"/>
  <c r="P2628"/>
  <c r="T2628"/>
  <c r="U2628"/>
  <c r="V2628"/>
  <c r="W2628"/>
  <c r="Y2628"/>
  <c r="AB2628"/>
  <c r="AC2628"/>
  <c r="AD2628"/>
  <c r="P2629"/>
  <c r="T2629"/>
  <c r="U2629"/>
  <c r="V2629"/>
  <c r="W2629"/>
  <c r="Y2629"/>
  <c r="AB2629"/>
  <c r="AC2629"/>
  <c r="AD2629"/>
  <c r="P2630"/>
  <c r="T2630"/>
  <c r="U2630"/>
  <c r="V2630"/>
  <c r="W2630"/>
  <c r="Y2630"/>
  <c r="AB2630"/>
  <c r="AC2630"/>
  <c r="AD2630"/>
  <c r="P2631"/>
  <c r="T2631"/>
  <c r="U2631"/>
  <c r="V2631"/>
  <c r="W2631"/>
  <c r="Y2631"/>
  <c r="AB2631"/>
  <c r="AC2631"/>
  <c r="AD2631"/>
  <c r="P2632"/>
  <c r="T2632"/>
  <c r="U2632"/>
  <c r="V2632"/>
  <c r="W2632"/>
  <c r="Y2632"/>
  <c r="AB2632"/>
  <c r="AC2632"/>
  <c r="AD2632"/>
  <c r="P2633"/>
  <c r="T2633"/>
  <c r="U2633"/>
  <c r="V2633"/>
  <c r="W2633"/>
  <c r="Y2633"/>
  <c r="AB2633"/>
  <c r="AC2633"/>
  <c r="AD2633"/>
  <c r="P2634"/>
  <c r="T2634"/>
  <c r="U2634"/>
  <c r="V2634"/>
  <c r="W2634"/>
  <c r="Y2634"/>
  <c r="AB2634"/>
  <c r="AC2634"/>
  <c r="AD2634"/>
  <c r="P2635"/>
  <c r="T2635"/>
  <c r="U2635"/>
  <c r="V2635"/>
  <c r="W2635"/>
  <c r="Y2635"/>
  <c r="AB2635"/>
  <c r="AC2635"/>
  <c r="AD2635"/>
  <c r="P2636"/>
  <c r="T2636"/>
  <c r="U2636"/>
  <c r="V2636"/>
  <c r="W2636"/>
  <c r="Y2636"/>
  <c r="AB2636"/>
  <c r="AC2636"/>
  <c r="AD2636"/>
  <c r="P2637"/>
  <c r="T2637"/>
  <c r="U2637"/>
  <c r="V2637"/>
  <c r="W2637"/>
  <c r="Y2637"/>
  <c r="AB2637"/>
  <c r="AC2637"/>
  <c r="AD2637"/>
  <c r="P2638"/>
  <c r="T2638"/>
  <c r="U2638"/>
  <c r="V2638"/>
  <c r="W2638"/>
  <c r="Y2638"/>
  <c r="AB2638"/>
  <c r="AC2638"/>
  <c r="AD2638"/>
  <c r="P2639"/>
  <c r="T2639"/>
  <c r="U2639"/>
  <c r="V2639"/>
  <c r="W2639"/>
  <c r="Y2639"/>
  <c r="AB2639"/>
  <c r="AC2639"/>
  <c r="AD2639"/>
  <c r="P2640"/>
  <c r="T2640"/>
  <c r="U2640"/>
  <c r="V2640"/>
  <c r="W2640"/>
  <c r="Y2640"/>
  <c r="AB2640"/>
  <c r="AC2640"/>
  <c r="AD2640"/>
  <c r="P2641"/>
  <c r="T2641"/>
  <c r="U2641"/>
  <c r="V2641"/>
  <c r="W2641"/>
  <c r="Y2641"/>
  <c r="AB2641"/>
  <c r="AC2641"/>
  <c r="AD2641"/>
  <c r="P2642"/>
  <c r="T2642"/>
  <c r="U2642"/>
  <c r="V2642"/>
  <c r="W2642"/>
  <c r="Y2642"/>
  <c r="AB2642"/>
  <c r="AC2642"/>
  <c r="AD2642"/>
  <c r="P2643"/>
  <c r="T2643"/>
  <c r="U2643"/>
  <c r="V2643"/>
  <c r="W2643"/>
  <c r="Y2643"/>
  <c r="AB2643"/>
  <c r="AC2643"/>
  <c r="AD2643"/>
  <c r="P2644"/>
  <c r="T2644"/>
  <c r="U2644"/>
  <c r="V2644"/>
  <c r="W2644"/>
  <c r="Y2644"/>
  <c r="AB2644"/>
  <c r="AC2644"/>
  <c r="AD2644"/>
  <c r="P2645"/>
  <c r="T2645"/>
  <c r="U2645"/>
  <c r="V2645"/>
  <c r="W2645"/>
  <c r="Y2645"/>
  <c r="AB2645"/>
  <c r="AC2645"/>
  <c r="AD2645"/>
  <c r="P2646"/>
  <c r="T2646"/>
  <c r="U2646"/>
  <c r="V2646"/>
  <c r="W2646"/>
  <c r="Y2646"/>
  <c r="AB2646"/>
  <c r="AC2646"/>
  <c r="AD2646"/>
  <c r="P2647"/>
  <c r="T2647"/>
  <c r="U2647"/>
  <c r="V2647"/>
  <c r="W2647"/>
  <c r="Y2647"/>
  <c r="AB2647"/>
  <c r="AC2647"/>
  <c r="AD2647"/>
  <c r="P2648"/>
  <c r="T2648"/>
  <c r="U2648"/>
  <c r="V2648"/>
  <c r="W2648"/>
  <c r="Y2648"/>
  <c r="AB2648"/>
  <c r="AC2648"/>
  <c r="AD2648"/>
  <c r="P2649"/>
  <c r="T2649"/>
  <c r="U2649"/>
  <c r="V2649"/>
  <c r="W2649"/>
  <c r="Y2649"/>
  <c r="AB2649"/>
  <c r="AC2649"/>
  <c r="AD2649"/>
  <c r="P2650"/>
  <c r="T2650"/>
  <c r="U2650"/>
  <c r="V2650"/>
  <c r="W2650"/>
  <c r="Y2650"/>
  <c r="AB2650"/>
  <c r="AC2650"/>
  <c r="AD2650"/>
  <c r="P2651"/>
  <c r="T2651"/>
  <c r="U2651"/>
  <c r="V2651"/>
  <c r="W2651"/>
  <c r="Y2651"/>
  <c r="AB2651"/>
  <c r="AC2651"/>
  <c r="AD2651"/>
  <c r="P2652"/>
  <c r="T2652"/>
  <c r="U2652"/>
  <c r="V2652"/>
  <c r="W2652"/>
  <c r="Y2652"/>
  <c r="AB2652"/>
  <c r="AC2652"/>
  <c r="AD2652"/>
  <c r="P2653"/>
  <c r="T2653"/>
  <c r="U2653"/>
  <c r="V2653"/>
  <c r="W2653"/>
  <c r="Y2653"/>
  <c r="AB2653"/>
  <c r="AC2653"/>
  <c r="AD2653"/>
  <c r="P2654"/>
  <c r="T2654"/>
  <c r="U2654"/>
  <c r="V2654"/>
  <c r="W2654"/>
  <c r="Y2654"/>
  <c r="AB2654"/>
  <c r="AC2654"/>
  <c r="AD2654"/>
  <c r="P2655"/>
  <c r="T2655"/>
  <c r="U2655"/>
  <c r="V2655"/>
  <c r="W2655"/>
  <c r="Y2655"/>
  <c r="AB2655"/>
  <c r="AC2655"/>
  <c r="AD2655"/>
  <c r="P2656"/>
  <c r="T2656"/>
  <c r="U2656"/>
  <c r="V2656"/>
  <c r="W2656"/>
  <c r="Y2656"/>
  <c r="AB2656"/>
  <c r="AC2656"/>
  <c r="AD2656"/>
  <c r="P2657"/>
  <c r="T2657"/>
  <c r="U2657"/>
  <c r="V2657"/>
  <c r="W2657"/>
  <c r="Y2657"/>
  <c r="AB2657"/>
  <c r="AC2657"/>
  <c r="AD2657"/>
  <c r="P2658"/>
  <c r="T2658"/>
  <c r="U2658"/>
  <c r="V2658"/>
  <c r="W2658"/>
  <c r="Y2658"/>
  <c r="AB2658"/>
  <c r="AC2658"/>
  <c r="AD2658"/>
  <c r="P2659"/>
  <c r="T2659"/>
  <c r="U2659"/>
  <c r="V2659"/>
  <c r="W2659"/>
  <c r="Y2659"/>
  <c r="AB2659"/>
  <c r="AC2659"/>
  <c r="AD2659"/>
  <c r="P2660"/>
  <c r="T2660"/>
  <c r="U2660"/>
  <c r="V2660"/>
  <c r="W2660"/>
  <c r="Y2660"/>
  <c r="AB2660"/>
  <c r="AC2660"/>
  <c r="AD2660"/>
  <c r="P2661"/>
  <c r="T2661"/>
  <c r="U2661"/>
  <c r="V2661"/>
  <c r="W2661"/>
  <c r="Y2661"/>
  <c r="AB2661"/>
  <c r="AC2661"/>
  <c r="AD2661"/>
  <c r="P2662"/>
  <c r="T2662"/>
  <c r="U2662"/>
  <c r="V2662"/>
  <c r="W2662"/>
  <c r="Y2662"/>
  <c r="AB2662"/>
  <c r="AC2662"/>
  <c r="AD2662"/>
  <c r="P2663"/>
  <c r="T2663"/>
  <c r="U2663"/>
  <c r="V2663"/>
  <c r="W2663"/>
  <c r="Y2663"/>
  <c r="AB2663"/>
  <c r="AC2663"/>
  <c r="AD2663"/>
  <c r="P2664"/>
  <c r="T2664"/>
  <c r="U2664"/>
  <c r="V2664"/>
  <c r="W2664"/>
  <c r="Y2664"/>
  <c r="AB2664"/>
  <c r="AC2664"/>
  <c r="AD2664"/>
  <c r="P2665"/>
  <c r="T2665"/>
  <c r="U2665"/>
  <c r="V2665"/>
  <c r="W2665"/>
  <c r="Y2665"/>
  <c r="AB2665"/>
  <c r="AC2665"/>
  <c r="AD2665"/>
  <c r="P2666"/>
  <c r="T2666"/>
  <c r="U2666"/>
  <c r="V2666"/>
  <c r="W2666"/>
  <c r="Y2666"/>
  <c r="AB2666"/>
  <c r="AC2666"/>
  <c r="AD2666"/>
  <c r="P2667"/>
  <c r="T2667"/>
  <c r="U2667"/>
  <c r="V2667"/>
  <c r="W2667"/>
  <c r="Y2667"/>
  <c r="AB2667"/>
  <c r="AC2667"/>
  <c r="AD2667"/>
  <c r="P2668"/>
  <c r="T2668"/>
  <c r="U2668"/>
  <c r="V2668"/>
  <c r="W2668"/>
  <c r="Y2668"/>
  <c r="AB2668"/>
  <c r="AC2668"/>
  <c r="AD2668"/>
  <c r="P2669"/>
  <c r="T2669"/>
  <c r="U2669"/>
  <c r="V2669"/>
  <c r="W2669"/>
  <c r="Y2669"/>
  <c r="AB2669"/>
  <c r="AC2669"/>
  <c r="AD2669"/>
  <c r="P2670"/>
  <c r="T2670"/>
  <c r="U2670"/>
  <c r="V2670"/>
  <c r="W2670"/>
  <c r="Y2670"/>
  <c r="AB2670"/>
  <c r="AC2670"/>
  <c r="AD2670"/>
  <c r="P2671"/>
  <c r="T2671"/>
  <c r="U2671"/>
  <c r="V2671"/>
  <c r="W2671"/>
  <c r="Y2671"/>
  <c r="AB2671"/>
  <c r="AC2671"/>
  <c r="AD2671"/>
  <c r="P2672"/>
  <c r="T2672"/>
  <c r="U2672"/>
  <c r="V2672"/>
  <c r="W2672"/>
  <c r="Y2672"/>
  <c r="AB2672"/>
  <c r="AC2672"/>
  <c r="AD2672"/>
  <c r="P2673"/>
  <c r="T2673"/>
  <c r="U2673"/>
  <c r="V2673"/>
  <c r="W2673"/>
  <c r="Y2673"/>
  <c r="AB2673"/>
  <c r="AC2673"/>
  <c r="AD2673"/>
  <c r="P2674"/>
  <c r="T2674"/>
  <c r="U2674"/>
  <c r="V2674"/>
  <c r="W2674"/>
  <c r="Y2674"/>
  <c r="AB2674"/>
  <c r="AC2674"/>
  <c r="AD2674"/>
  <c r="P2675"/>
  <c r="T2675"/>
  <c r="U2675"/>
  <c r="V2675"/>
  <c r="W2675"/>
  <c r="Y2675"/>
  <c r="AB2675"/>
  <c r="AC2675"/>
  <c r="AD2675"/>
  <c r="P2676"/>
  <c r="T2676"/>
  <c r="U2676"/>
  <c r="V2676"/>
  <c r="W2676"/>
  <c r="Y2676"/>
  <c r="AB2676"/>
  <c r="AC2676"/>
  <c r="AD2676"/>
  <c r="P2677"/>
  <c r="T2677"/>
  <c r="U2677"/>
  <c r="V2677"/>
  <c r="W2677"/>
  <c r="Y2677"/>
  <c r="AB2677"/>
  <c r="AC2677"/>
  <c r="AD2677"/>
  <c r="P2678"/>
  <c r="T2678"/>
  <c r="U2678"/>
  <c r="V2678"/>
  <c r="W2678"/>
  <c r="Y2678"/>
  <c r="AB2678"/>
  <c r="AC2678"/>
  <c r="AD2678"/>
  <c r="P2679"/>
  <c r="T2679"/>
  <c r="U2679"/>
  <c r="V2679"/>
  <c r="W2679"/>
  <c r="Y2679"/>
  <c r="AB2679"/>
  <c r="AC2679"/>
  <c r="AD2679"/>
  <c r="P2680"/>
  <c r="T2680"/>
  <c r="U2680"/>
  <c r="V2680"/>
  <c r="W2680"/>
  <c r="Y2680"/>
  <c r="AB2680"/>
  <c r="AC2680"/>
  <c r="AD2680"/>
  <c r="P2681"/>
  <c r="T2681"/>
  <c r="U2681"/>
  <c r="V2681"/>
  <c r="W2681"/>
  <c r="Y2681"/>
  <c r="AB2681"/>
  <c r="AC2681"/>
  <c r="AD2681"/>
  <c r="P2682"/>
  <c r="T2682"/>
  <c r="U2682"/>
  <c r="V2682"/>
  <c r="W2682"/>
  <c r="Y2682"/>
  <c r="AB2682"/>
  <c r="AC2682"/>
  <c r="AD2682"/>
  <c r="P2683"/>
  <c r="T2683"/>
  <c r="U2683"/>
  <c r="V2683"/>
  <c r="W2683"/>
  <c r="Y2683"/>
  <c r="AB2683"/>
  <c r="AC2683"/>
  <c r="AD2683"/>
  <c r="P2684"/>
  <c r="T2684"/>
  <c r="U2684"/>
  <c r="V2684"/>
  <c r="W2684"/>
  <c r="Y2684"/>
  <c r="AB2684"/>
  <c r="AC2684"/>
  <c r="AD2684"/>
  <c r="P2685"/>
  <c r="T2685"/>
  <c r="U2685"/>
  <c r="V2685"/>
  <c r="W2685"/>
  <c r="Y2685"/>
  <c r="AB2685"/>
  <c r="AC2685"/>
  <c r="AD2685"/>
  <c r="P2686"/>
  <c r="T2686"/>
  <c r="U2686"/>
  <c r="V2686"/>
  <c r="W2686"/>
  <c r="Y2686"/>
  <c r="AB2686"/>
  <c r="AC2686"/>
  <c r="AD2686"/>
  <c r="P2687"/>
  <c r="T2687"/>
  <c r="U2687"/>
  <c r="V2687"/>
  <c r="W2687"/>
  <c r="Y2687"/>
  <c r="AB2687"/>
  <c r="AC2687"/>
  <c r="AD2687"/>
  <c r="P2688"/>
  <c r="T2688"/>
  <c r="U2688"/>
  <c r="V2688"/>
  <c r="W2688"/>
  <c r="Y2688"/>
  <c r="AB2688"/>
  <c r="AC2688"/>
  <c r="AD2688"/>
  <c r="P2689"/>
  <c r="T2689"/>
  <c r="U2689"/>
  <c r="V2689"/>
  <c r="W2689"/>
  <c r="Y2689"/>
  <c r="AB2689"/>
  <c r="AC2689"/>
  <c r="AD2689"/>
  <c r="P2690"/>
  <c r="T2690"/>
  <c r="U2690"/>
  <c r="V2690"/>
  <c r="W2690"/>
  <c r="Y2690"/>
  <c r="AB2690"/>
  <c r="AC2690"/>
  <c r="AD2690"/>
  <c r="P2691"/>
  <c r="T2691"/>
  <c r="U2691"/>
  <c r="V2691"/>
  <c r="W2691"/>
  <c r="Y2691"/>
  <c r="AB2691"/>
  <c r="AC2691"/>
  <c r="AD2691"/>
  <c r="P2692"/>
  <c r="T2692"/>
  <c r="U2692"/>
  <c r="V2692"/>
  <c r="W2692"/>
  <c r="Y2692"/>
  <c r="AB2692"/>
  <c r="AC2692"/>
  <c r="AD2692"/>
  <c r="P2693"/>
  <c r="T2693"/>
  <c r="U2693"/>
  <c r="V2693"/>
  <c r="W2693"/>
  <c r="Y2693"/>
  <c r="AB2693"/>
  <c r="AC2693"/>
  <c r="AD2693"/>
  <c r="P2694"/>
  <c r="T2694"/>
  <c r="U2694"/>
  <c r="V2694"/>
  <c r="W2694"/>
  <c r="Y2694"/>
  <c r="AB2694"/>
  <c r="AC2694"/>
  <c r="AD2694"/>
  <c r="P2695"/>
  <c r="T2695"/>
  <c r="U2695"/>
  <c r="V2695"/>
  <c r="W2695"/>
  <c r="Y2695"/>
  <c r="AB2695"/>
  <c r="AC2695"/>
  <c r="AD2695"/>
  <c r="P2696"/>
  <c r="T2696"/>
  <c r="U2696"/>
  <c r="V2696"/>
  <c r="W2696"/>
  <c r="Y2696"/>
  <c r="AB2696"/>
  <c r="AC2696"/>
  <c r="AD2696"/>
  <c r="P2697"/>
  <c r="T2697"/>
  <c r="U2697"/>
  <c r="V2697"/>
  <c r="W2697"/>
  <c r="Y2697"/>
  <c r="AB2697"/>
  <c r="AC2697"/>
  <c r="AD2697"/>
  <c r="P2698"/>
  <c r="T2698"/>
  <c r="U2698"/>
  <c r="V2698"/>
  <c r="W2698"/>
  <c r="Y2698"/>
  <c r="AB2698"/>
  <c r="AC2698"/>
  <c r="AD2698"/>
  <c r="P2699"/>
  <c r="T2699"/>
  <c r="U2699"/>
  <c r="V2699"/>
  <c r="W2699"/>
  <c r="Y2699"/>
  <c r="AB2699"/>
  <c r="AC2699"/>
  <c r="AD2699"/>
  <c r="P2700"/>
  <c r="T2700"/>
  <c r="U2700"/>
  <c r="V2700"/>
  <c r="W2700"/>
  <c r="Y2700"/>
  <c r="AB2700"/>
  <c r="AC2700"/>
  <c r="AD2700"/>
  <c r="P2701"/>
  <c r="T2701"/>
  <c r="U2701"/>
  <c r="V2701"/>
  <c r="W2701"/>
  <c r="Y2701"/>
  <c r="AB2701"/>
  <c r="AC2701"/>
  <c r="AD2701"/>
  <c r="P2702"/>
  <c r="T2702"/>
  <c r="U2702"/>
  <c r="V2702"/>
  <c r="W2702"/>
  <c r="Y2702"/>
  <c r="AB2702"/>
  <c r="AC2702"/>
  <c r="AD2702"/>
  <c r="P2703"/>
  <c r="T2703"/>
  <c r="U2703"/>
  <c r="V2703"/>
  <c r="W2703"/>
  <c r="Y2703"/>
  <c r="AB2703"/>
  <c r="AC2703"/>
  <c r="AD2703"/>
  <c r="P2704"/>
  <c r="T2704"/>
  <c r="U2704"/>
  <c r="V2704"/>
  <c r="W2704"/>
  <c r="Y2704"/>
  <c r="AB2704"/>
  <c r="AC2704"/>
  <c r="AD2704"/>
  <c r="P2705"/>
  <c r="T2705"/>
  <c r="U2705"/>
  <c r="V2705"/>
  <c r="W2705"/>
  <c r="Y2705"/>
  <c r="AB2705"/>
  <c r="AC2705"/>
  <c r="AD2705"/>
  <c r="P2706"/>
  <c r="T2706"/>
  <c r="U2706"/>
  <c r="V2706"/>
  <c r="W2706"/>
  <c r="Y2706"/>
  <c r="AB2706"/>
  <c r="AC2706"/>
  <c r="AD2706"/>
  <c r="P2707"/>
  <c r="T2707"/>
  <c r="U2707"/>
  <c r="V2707"/>
  <c r="W2707"/>
  <c r="Y2707"/>
  <c r="AB2707"/>
  <c r="AC2707"/>
  <c r="AD2707"/>
  <c r="P2708"/>
  <c r="T2708"/>
  <c r="U2708"/>
  <c r="V2708"/>
  <c r="W2708"/>
  <c r="Y2708"/>
  <c r="AB2708"/>
  <c r="AC2708"/>
  <c r="AD2708"/>
  <c r="P2709"/>
  <c r="T2709"/>
  <c r="U2709"/>
  <c r="V2709"/>
  <c r="W2709"/>
  <c r="Y2709"/>
  <c r="AB2709"/>
  <c r="AC2709"/>
  <c r="AD2709"/>
  <c r="P2710"/>
  <c r="T2710"/>
  <c r="U2710"/>
  <c r="V2710"/>
  <c r="W2710"/>
  <c r="Y2710"/>
  <c r="AB2710"/>
  <c r="AC2710"/>
  <c r="AD2710"/>
  <c r="P2711"/>
  <c r="T2711"/>
  <c r="U2711"/>
  <c r="V2711"/>
  <c r="W2711"/>
  <c r="Y2711"/>
  <c r="AB2711"/>
  <c r="AC2711"/>
  <c r="AD2711"/>
  <c r="P2712"/>
  <c r="T2712"/>
  <c r="U2712"/>
  <c r="V2712"/>
  <c r="W2712"/>
  <c r="Y2712"/>
  <c r="AB2712"/>
  <c r="AC2712"/>
  <c r="AD2712"/>
  <c r="P2713"/>
  <c r="T2713"/>
  <c r="U2713"/>
  <c r="V2713"/>
  <c r="W2713"/>
  <c r="Y2713"/>
  <c r="AB2713"/>
  <c r="AC2713"/>
  <c r="AD2713"/>
  <c r="P2714"/>
  <c r="T2714"/>
  <c r="U2714"/>
  <c r="V2714"/>
  <c r="W2714"/>
  <c r="Y2714"/>
  <c r="AB2714"/>
  <c r="AC2714"/>
  <c r="AD2714"/>
  <c r="P2715"/>
  <c r="T2715"/>
  <c r="U2715"/>
  <c r="V2715"/>
  <c r="W2715"/>
  <c r="Y2715"/>
  <c r="AB2715"/>
  <c r="AC2715"/>
  <c r="AD2715"/>
  <c r="P2716"/>
  <c r="T2716"/>
  <c r="U2716"/>
  <c r="V2716"/>
  <c r="W2716"/>
  <c r="Y2716"/>
  <c r="AB2716"/>
  <c r="AC2716"/>
  <c r="AD2716"/>
  <c r="P2717"/>
  <c r="T2717"/>
  <c r="U2717"/>
  <c r="V2717"/>
  <c r="W2717"/>
  <c r="Y2717"/>
  <c r="AB2717"/>
  <c r="AC2717"/>
  <c r="AD2717"/>
  <c r="P2718"/>
  <c r="T2718"/>
  <c r="U2718"/>
  <c r="V2718"/>
  <c r="W2718"/>
  <c r="Y2718"/>
  <c r="AB2718"/>
  <c r="AC2718"/>
  <c r="AD2718"/>
  <c r="P2719"/>
  <c r="T2719"/>
  <c r="U2719"/>
  <c r="V2719"/>
  <c r="W2719"/>
  <c r="Y2719"/>
  <c r="AB2719"/>
  <c r="AC2719"/>
  <c r="AD2719"/>
  <c r="P2720"/>
  <c r="T2720"/>
  <c r="U2720"/>
  <c r="V2720"/>
  <c r="W2720"/>
  <c r="Y2720"/>
  <c r="AB2720"/>
  <c r="AC2720"/>
  <c r="AD2720"/>
  <c r="P2721"/>
  <c r="T2721"/>
  <c r="U2721"/>
  <c r="V2721"/>
  <c r="W2721"/>
  <c r="Y2721"/>
  <c r="AB2721"/>
  <c r="AC2721"/>
  <c r="AD2721"/>
  <c r="P2722"/>
  <c r="T2722"/>
  <c r="U2722"/>
  <c r="V2722"/>
  <c r="W2722"/>
  <c r="Y2722"/>
  <c r="AB2722"/>
  <c r="AC2722"/>
  <c r="AD2722"/>
  <c r="P2723"/>
  <c r="T2723"/>
  <c r="U2723"/>
  <c r="V2723"/>
  <c r="W2723"/>
  <c r="Y2723"/>
  <c r="AB2723"/>
  <c r="AC2723"/>
  <c r="AD2723"/>
  <c r="P2724"/>
  <c r="T2724"/>
  <c r="U2724"/>
  <c r="V2724"/>
  <c r="W2724"/>
  <c r="Y2724"/>
  <c r="AB2724"/>
  <c r="AC2724"/>
  <c r="AD2724"/>
  <c r="P2725"/>
  <c r="T2725"/>
  <c r="U2725"/>
  <c r="V2725"/>
  <c r="W2725"/>
  <c r="Y2725"/>
  <c r="AB2725"/>
  <c r="AC2725"/>
  <c r="AD2725"/>
  <c r="P2726"/>
  <c r="T2726"/>
  <c r="U2726"/>
  <c r="V2726"/>
  <c r="W2726"/>
  <c r="Y2726"/>
  <c r="AB2726"/>
  <c r="AC2726"/>
  <c r="AD2726"/>
  <c r="P2727"/>
  <c r="T2727"/>
  <c r="U2727"/>
  <c r="V2727"/>
  <c r="W2727"/>
  <c r="Y2727"/>
  <c r="AB2727"/>
  <c r="AC2727"/>
  <c r="AD2727"/>
  <c r="P2728"/>
  <c r="T2728"/>
  <c r="U2728"/>
  <c r="V2728"/>
  <c r="W2728"/>
  <c r="Y2728"/>
  <c r="AB2728"/>
  <c r="AC2728"/>
  <c r="AD2728"/>
  <c r="P2729"/>
  <c r="T2729"/>
  <c r="U2729"/>
  <c r="V2729"/>
  <c r="W2729"/>
  <c r="Y2729"/>
  <c r="AB2729"/>
  <c r="AC2729"/>
  <c r="AD2729"/>
  <c r="P2730"/>
  <c r="T2730"/>
  <c r="U2730"/>
  <c r="V2730"/>
  <c r="W2730"/>
  <c r="Y2730"/>
  <c r="AB2730"/>
  <c r="AC2730"/>
  <c r="AD2730"/>
  <c r="P2731"/>
  <c r="T2731"/>
  <c r="U2731"/>
  <c r="V2731"/>
  <c r="W2731"/>
  <c r="Y2731"/>
  <c r="AB2731"/>
  <c r="AC2731"/>
  <c r="AD2731"/>
  <c r="P2732"/>
  <c r="T2732"/>
  <c r="U2732"/>
  <c r="V2732"/>
  <c r="W2732"/>
  <c r="Y2732"/>
  <c r="AB2732"/>
  <c r="AC2732"/>
  <c r="AD2732"/>
  <c r="P2733"/>
  <c r="T2733"/>
  <c r="U2733"/>
  <c r="V2733"/>
  <c r="W2733"/>
  <c r="Y2733"/>
  <c r="AB2733"/>
  <c r="AC2733"/>
  <c r="AD2733"/>
  <c r="P2734"/>
  <c r="T2734"/>
  <c r="U2734"/>
  <c r="V2734"/>
  <c r="W2734"/>
  <c r="Y2734"/>
  <c r="AB2734"/>
  <c r="AC2734"/>
  <c r="AD2734"/>
  <c r="P2735"/>
  <c r="T2735"/>
  <c r="U2735"/>
  <c r="V2735"/>
  <c r="W2735"/>
  <c r="Y2735"/>
  <c r="AB2735"/>
  <c r="AC2735"/>
  <c r="AD2735"/>
  <c r="P2736"/>
  <c r="T2736"/>
  <c r="U2736"/>
  <c r="V2736"/>
  <c r="W2736"/>
  <c r="Y2736"/>
  <c r="AB2736"/>
  <c r="AC2736"/>
  <c r="AD2736"/>
  <c r="P2737"/>
  <c r="T2737"/>
  <c r="U2737"/>
  <c r="V2737"/>
  <c r="W2737"/>
  <c r="Y2737"/>
  <c r="AB2737"/>
  <c r="AC2737"/>
  <c r="AD2737"/>
  <c r="P2738"/>
  <c r="T2738"/>
  <c r="U2738"/>
  <c r="V2738"/>
  <c r="W2738"/>
  <c r="Y2738"/>
  <c r="AB2738"/>
  <c r="AC2738"/>
  <c r="AD2738"/>
  <c r="P2739"/>
  <c r="T2739"/>
  <c r="U2739"/>
  <c r="V2739"/>
  <c r="W2739"/>
  <c r="Y2739"/>
  <c r="AB2739"/>
  <c r="AC2739"/>
  <c r="AD2739"/>
  <c r="P2740"/>
  <c r="T2740"/>
  <c r="U2740"/>
  <c r="V2740"/>
  <c r="W2740"/>
  <c r="Y2740"/>
  <c r="AB2740"/>
  <c r="AC2740"/>
  <c r="AD2740"/>
  <c r="P2741"/>
  <c r="T2741"/>
  <c r="U2741"/>
  <c r="V2741"/>
  <c r="W2741"/>
  <c r="Y2741"/>
  <c r="AB2741"/>
  <c r="AC2741"/>
  <c r="AD2741"/>
  <c r="P2742"/>
  <c r="T2742"/>
  <c r="U2742"/>
  <c r="V2742"/>
  <c r="W2742"/>
  <c r="Y2742"/>
  <c r="AB2742"/>
  <c r="AC2742"/>
  <c r="AD2742"/>
  <c r="P2743"/>
  <c r="T2743"/>
  <c r="U2743"/>
  <c r="V2743"/>
  <c r="W2743"/>
  <c r="Y2743"/>
  <c r="AB2743"/>
  <c r="AC2743"/>
  <c r="AD2743"/>
  <c r="P2744"/>
  <c r="T2744"/>
  <c r="U2744"/>
  <c r="V2744"/>
  <c r="W2744"/>
  <c r="Y2744"/>
  <c r="AB2744"/>
  <c r="AC2744"/>
  <c r="AD2744"/>
  <c r="P2745"/>
  <c r="T2745"/>
  <c r="U2745"/>
  <c r="V2745"/>
  <c r="W2745"/>
  <c r="Y2745"/>
  <c r="AB2745"/>
  <c r="AC2745"/>
  <c r="AD2745"/>
  <c r="P2746"/>
  <c r="T2746"/>
  <c r="U2746"/>
  <c r="V2746"/>
  <c r="W2746"/>
  <c r="Y2746"/>
  <c r="AB2746"/>
  <c r="AC2746"/>
  <c r="AD2746"/>
  <c r="P2747"/>
  <c r="T2747"/>
  <c r="U2747"/>
  <c r="V2747"/>
  <c r="W2747"/>
  <c r="Y2747"/>
  <c r="AB2747"/>
  <c r="AC2747"/>
  <c r="AD2747"/>
  <c r="P2748"/>
  <c r="T2748"/>
  <c r="U2748"/>
  <c r="V2748"/>
  <c r="W2748"/>
  <c r="Y2748"/>
  <c r="AB2748"/>
  <c r="AC2748"/>
  <c r="AD2748"/>
  <c r="P2749"/>
  <c r="T2749"/>
  <c r="U2749"/>
  <c r="V2749"/>
  <c r="W2749"/>
  <c r="Y2749"/>
  <c r="AB2749"/>
  <c r="AC2749"/>
  <c r="AD2749"/>
  <c r="P2750"/>
  <c r="T2750"/>
  <c r="U2750"/>
  <c r="V2750"/>
  <c r="W2750"/>
  <c r="Y2750"/>
  <c r="AB2750"/>
  <c r="AC2750"/>
  <c r="AD2750"/>
  <c r="P2751"/>
  <c r="T2751"/>
  <c r="U2751"/>
  <c r="V2751"/>
  <c r="W2751"/>
  <c r="Y2751"/>
  <c r="AB2751"/>
  <c r="AC2751"/>
  <c r="AD2751"/>
  <c r="P2752"/>
  <c r="T2752"/>
  <c r="U2752"/>
  <c r="V2752"/>
  <c r="W2752"/>
  <c r="Y2752"/>
  <c r="AB2752"/>
  <c r="AC2752"/>
  <c r="AD2752"/>
  <c r="P2753"/>
  <c r="T2753"/>
  <c r="U2753"/>
  <c r="V2753"/>
  <c r="W2753"/>
  <c r="Y2753"/>
  <c r="AB2753"/>
  <c r="AC2753"/>
  <c r="AD2753"/>
  <c r="P2754"/>
  <c r="T2754"/>
  <c r="U2754"/>
  <c r="V2754"/>
  <c r="W2754"/>
  <c r="Y2754"/>
  <c r="AB2754"/>
  <c r="AC2754"/>
  <c r="AD2754"/>
  <c r="P2755"/>
  <c r="T2755"/>
  <c r="U2755"/>
  <c r="V2755"/>
  <c r="W2755"/>
  <c r="Y2755"/>
  <c r="AB2755"/>
  <c r="AC2755"/>
  <c r="AD2755"/>
  <c r="P2756"/>
  <c r="T2756"/>
  <c r="U2756"/>
  <c r="V2756"/>
  <c r="W2756"/>
  <c r="Y2756"/>
  <c r="AB2756"/>
  <c r="AC2756"/>
  <c r="AD2756"/>
  <c r="P2757"/>
  <c r="T2757"/>
  <c r="U2757"/>
  <c r="V2757"/>
  <c r="W2757"/>
  <c r="Y2757"/>
  <c r="AB2757"/>
  <c r="AC2757"/>
  <c r="AD2757"/>
  <c r="P2758"/>
  <c r="T2758"/>
  <c r="U2758"/>
  <c r="V2758"/>
  <c r="W2758"/>
  <c r="Y2758"/>
  <c r="AB2758"/>
  <c r="AC2758"/>
  <c r="AD2758"/>
  <c r="P2759"/>
  <c r="T2759"/>
  <c r="U2759"/>
  <c r="V2759"/>
  <c r="W2759"/>
  <c r="Y2759"/>
  <c r="AB2759"/>
  <c r="AC2759"/>
  <c r="AD2759"/>
  <c r="P2760"/>
  <c r="T2760"/>
  <c r="U2760"/>
  <c r="V2760"/>
  <c r="W2760"/>
  <c r="Y2760"/>
  <c r="AB2760"/>
  <c r="AC2760"/>
  <c r="AD2760"/>
  <c r="P2761"/>
  <c r="T2761"/>
  <c r="U2761"/>
  <c r="V2761"/>
  <c r="W2761"/>
  <c r="Y2761"/>
  <c r="AB2761"/>
  <c r="AC2761"/>
  <c r="AD2761"/>
  <c r="P2762"/>
  <c r="T2762"/>
  <c r="U2762"/>
  <c r="V2762"/>
  <c r="W2762"/>
  <c r="Y2762"/>
  <c r="AB2762"/>
  <c r="AC2762"/>
  <c r="AD2762"/>
  <c r="P2763"/>
  <c r="T2763"/>
  <c r="U2763"/>
  <c r="V2763"/>
  <c r="W2763"/>
  <c r="Y2763"/>
  <c r="AB2763"/>
  <c r="AC2763"/>
  <c r="AD2763"/>
  <c r="P2764"/>
  <c r="T2764"/>
  <c r="U2764"/>
  <c r="V2764"/>
  <c r="W2764"/>
  <c r="Y2764"/>
  <c r="AB2764"/>
  <c r="AC2764"/>
  <c r="AD2764"/>
  <c r="P2765"/>
  <c r="T2765"/>
  <c r="U2765"/>
  <c r="V2765"/>
  <c r="W2765"/>
  <c r="Y2765"/>
  <c r="AB2765"/>
  <c r="AC2765"/>
  <c r="AD2765"/>
  <c r="P2766"/>
  <c r="T2766"/>
  <c r="U2766"/>
  <c r="V2766"/>
  <c r="W2766"/>
  <c r="Y2766"/>
  <c r="AB2766"/>
  <c r="AC2766"/>
  <c r="AD2766"/>
  <c r="P2767"/>
  <c r="T2767"/>
  <c r="U2767"/>
  <c r="V2767"/>
  <c r="W2767"/>
  <c r="Y2767"/>
  <c r="AB2767"/>
  <c r="AC2767"/>
  <c r="AD2767"/>
  <c r="P2768"/>
  <c r="T2768"/>
  <c r="U2768"/>
  <c r="V2768"/>
  <c r="W2768"/>
  <c r="Y2768"/>
  <c r="AB2768"/>
  <c r="AC2768"/>
  <c r="AD2768"/>
  <c r="P2769"/>
  <c r="T2769"/>
  <c r="U2769"/>
  <c r="V2769"/>
  <c r="W2769"/>
  <c r="Y2769"/>
  <c r="AB2769"/>
  <c r="AC2769"/>
  <c r="AD2769"/>
  <c r="P2770"/>
  <c r="T2770"/>
  <c r="U2770"/>
  <c r="V2770"/>
  <c r="W2770"/>
  <c r="Y2770"/>
  <c r="AB2770"/>
  <c r="AC2770"/>
  <c r="AD2770"/>
  <c r="P2771"/>
  <c r="T2771"/>
  <c r="U2771"/>
  <c r="V2771"/>
  <c r="W2771"/>
  <c r="Y2771"/>
  <c r="AB2771"/>
  <c r="AC2771"/>
  <c r="AD2771"/>
  <c r="P2772"/>
  <c r="T2772"/>
  <c r="U2772"/>
  <c r="V2772"/>
  <c r="W2772"/>
  <c r="Y2772"/>
  <c r="AB2772"/>
  <c r="AC2772"/>
  <c r="AD2772"/>
  <c r="P2773"/>
  <c r="T2773"/>
  <c r="U2773"/>
  <c r="V2773"/>
  <c r="W2773"/>
  <c r="Y2773"/>
  <c r="AB2773"/>
  <c r="AC2773"/>
  <c r="AD2773"/>
  <c r="P2774"/>
  <c r="T2774"/>
  <c r="U2774"/>
  <c r="V2774"/>
  <c r="W2774"/>
  <c r="Y2774"/>
  <c r="AB2774"/>
  <c r="AC2774"/>
  <c r="AD2774"/>
  <c r="P2775"/>
  <c r="T2775"/>
  <c r="U2775"/>
  <c r="V2775"/>
  <c r="W2775"/>
  <c r="Y2775"/>
  <c r="AB2775"/>
  <c r="AC2775"/>
  <c r="AD2775"/>
  <c r="P2776"/>
  <c r="T2776"/>
  <c r="U2776"/>
  <c r="V2776"/>
  <c r="W2776"/>
  <c r="Y2776"/>
  <c r="AB2776"/>
  <c r="AC2776"/>
  <c r="AD2776"/>
  <c r="P2777"/>
  <c r="T2777"/>
  <c r="U2777"/>
  <c r="V2777"/>
  <c r="W2777"/>
  <c r="Y2777"/>
  <c r="AB2777"/>
  <c r="AC2777"/>
  <c r="AD2777"/>
  <c r="P2778"/>
  <c r="T2778"/>
  <c r="U2778"/>
  <c r="V2778"/>
  <c r="W2778"/>
  <c r="Y2778"/>
  <c r="AB2778"/>
  <c r="AC2778"/>
  <c r="AD2778"/>
  <c r="P2779"/>
  <c r="T2779"/>
  <c r="U2779"/>
  <c r="V2779"/>
  <c r="W2779"/>
  <c r="Y2779"/>
  <c r="AB2779"/>
  <c r="AC2779"/>
  <c r="AD2779"/>
  <c r="P2780"/>
  <c r="T2780"/>
  <c r="U2780"/>
  <c r="V2780"/>
  <c r="W2780"/>
  <c r="Y2780"/>
  <c r="AB2780"/>
  <c r="AC2780"/>
  <c r="AD2780"/>
  <c r="P2781"/>
  <c r="T2781"/>
  <c r="U2781"/>
  <c r="V2781"/>
  <c r="W2781"/>
  <c r="Y2781"/>
  <c r="AB2781"/>
  <c r="AC2781"/>
  <c r="AD2781"/>
  <c r="P2782"/>
  <c r="T2782"/>
  <c r="U2782"/>
  <c r="V2782"/>
  <c r="W2782"/>
  <c r="Y2782"/>
  <c r="AB2782"/>
  <c r="AC2782"/>
  <c r="AD2782"/>
  <c r="P2783"/>
  <c r="T2783"/>
  <c r="U2783"/>
  <c r="V2783"/>
  <c r="W2783"/>
  <c r="Y2783"/>
  <c r="AB2783"/>
  <c r="AC2783"/>
  <c r="AD2783"/>
  <c r="P2784"/>
  <c r="T2784"/>
  <c r="U2784"/>
  <c r="V2784"/>
  <c r="W2784"/>
  <c r="Y2784"/>
  <c r="AB2784"/>
  <c r="AC2784"/>
  <c r="AD2784"/>
  <c r="P2785"/>
  <c r="T2785"/>
  <c r="U2785"/>
  <c r="V2785"/>
  <c r="W2785"/>
  <c r="Y2785"/>
  <c r="AB2785"/>
  <c r="AC2785"/>
  <c r="AD2785"/>
  <c r="P2786"/>
  <c r="T2786"/>
  <c r="U2786"/>
  <c r="V2786"/>
  <c r="W2786"/>
  <c r="Y2786"/>
  <c r="AB2786"/>
  <c r="AC2786"/>
  <c r="AD2786"/>
  <c r="P2787"/>
  <c r="T2787"/>
  <c r="U2787"/>
  <c r="V2787"/>
  <c r="W2787"/>
  <c r="Y2787"/>
  <c r="AB2787"/>
  <c r="AC2787"/>
  <c r="AD2787"/>
  <c r="P2788"/>
  <c r="T2788"/>
  <c r="U2788"/>
  <c r="V2788"/>
  <c r="W2788"/>
  <c r="Y2788"/>
  <c r="AB2788"/>
  <c r="AC2788"/>
  <c r="AD2788"/>
  <c r="P2789"/>
  <c r="T2789"/>
  <c r="U2789"/>
  <c r="V2789"/>
  <c r="W2789"/>
  <c r="Y2789"/>
  <c r="AB2789"/>
  <c r="AC2789"/>
  <c r="AD2789"/>
  <c r="P2790"/>
  <c r="T2790"/>
  <c r="U2790"/>
  <c r="V2790"/>
  <c r="W2790"/>
  <c r="Y2790"/>
  <c r="AB2790"/>
  <c r="AC2790"/>
  <c r="AD2790"/>
  <c r="P2791"/>
  <c r="T2791"/>
  <c r="U2791"/>
  <c r="V2791"/>
  <c r="W2791"/>
  <c r="Y2791"/>
  <c r="AB2791"/>
  <c r="AC2791"/>
  <c r="AD2791"/>
  <c r="P2792"/>
  <c r="T2792"/>
  <c r="U2792"/>
  <c r="V2792"/>
  <c r="W2792"/>
  <c r="Y2792"/>
  <c r="AB2792"/>
  <c r="AC2792"/>
  <c r="AD2792"/>
  <c r="P2793"/>
  <c r="T2793"/>
  <c r="U2793"/>
  <c r="V2793"/>
  <c r="W2793"/>
  <c r="Y2793"/>
  <c r="AB2793"/>
  <c r="AC2793"/>
  <c r="AD2793"/>
  <c r="P2794"/>
  <c r="T2794"/>
  <c r="U2794"/>
  <c r="V2794"/>
  <c r="W2794"/>
  <c r="Y2794"/>
  <c r="AB2794"/>
  <c r="AC2794"/>
  <c r="AD2794"/>
  <c r="P2795"/>
  <c r="T2795"/>
  <c r="U2795"/>
  <c r="V2795"/>
  <c r="W2795"/>
  <c r="Y2795"/>
  <c r="AB2795"/>
  <c r="AC2795"/>
  <c r="AD2795"/>
  <c r="P2796"/>
  <c r="T2796"/>
  <c r="U2796"/>
  <c r="V2796"/>
  <c r="W2796"/>
  <c r="Y2796"/>
  <c r="AB2796"/>
  <c r="AC2796"/>
  <c r="AD2796"/>
  <c r="P2797"/>
  <c r="T2797"/>
  <c r="U2797"/>
  <c r="V2797"/>
  <c r="W2797"/>
  <c r="Y2797"/>
  <c r="AB2797"/>
  <c r="AC2797"/>
  <c r="AD2797"/>
  <c r="P2798"/>
  <c r="T2798"/>
  <c r="U2798"/>
  <c r="V2798"/>
  <c r="W2798"/>
  <c r="Y2798"/>
  <c r="AB2798"/>
  <c r="AC2798"/>
  <c r="AD2798"/>
  <c r="P2799"/>
  <c r="T2799"/>
  <c r="U2799"/>
  <c r="V2799"/>
  <c r="W2799"/>
  <c r="Y2799"/>
  <c r="AB2799"/>
  <c r="AC2799"/>
  <c r="AD2799"/>
  <c r="P2800"/>
  <c r="T2800"/>
  <c r="U2800"/>
  <c r="V2800"/>
  <c r="W2800"/>
  <c r="Y2800"/>
  <c r="AB2800"/>
  <c r="AC2800"/>
  <c r="AD2800"/>
  <c r="P2801"/>
  <c r="T2801"/>
  <c r="U2801"/>
  <c r="V2801"/>
  <c r="W2801"/>
  <c r="Y2801"/>
  <c r="AB2801"/>
  <c r="AC2801"/>
  <c r="AD2801"/>
  <c r="P2802"/>
  <c r="T2802"/>
  <c r="U2802"/>
  <c r="V2802"/>
  <c r="W2802"/>
  <c r="Y2802"/>
  <c r="AB2802"/>
  <c r="AC2802"/>
  <c r="AD2802"/>
  <c r="P2803"/>
  <c r="T2803"/>
  <c r="U2803"/>
  <c r="V2803"/>
  <c r="W2803"/>
  <c r="Y2803"/>
  <c r="AB2803"/>
  <c r="AC2803"/>
  <c r="AD2803"/>
  <c r="P2804"/>
  <c r="T2804"/>
  <c r="U2804"/>
  <c r="V2804"/>
  <c r="W2804"/>
  <c r="Y2804"/>
  <c r="AB2804"/>
  <c r="AC2804"/>
  <c r="AD2804"/>
  <c r="P2805"/>
  <c r="T2805"/>
  <c r="U2805"/>
  <c r="V2805"/>
  <c r="W2805"/>
  <c r="Y2805"/>
  <c r="AB2805"/>
  <c r="AC2805"/>
  <c r="AD2805"/>
  <c r="P2806"/>
  <c r="T2806"/>
  <c r="U2806"/>
  <c r="V2806"/>
  <c r="W2806"/>
  <c r="Y2806"/>
  <c r="AB2806"/>
  <c r="AC2806"/>
  <c r="AD2806"/>
  <c r="P2807"/>
  <c r="T2807"/>
  <c r="U2807"/>
  <c r="V2807"/>
  <c r="W2807"/>
  <c r="Y2807"/>
  <c r="AB2807"/>
  <c r="AC2807"/>
  <c r="AD2807"/>
  <c r="P2808"/>
  <c r="T2808"/>
  <c r="U2808"/>
  <c r="V2808"/>
  <c r="W2808"/>
  <c r="Y2808"/>
  <c r="AB2808"/>
  <c r="AC2808"/>
  <c r="AD2808"/>
  <c r="P2809"/>
  <c r="T2809"/>
  <c r="U2809"/>
  <c r="V2809"/>
  <c r="W2809"/>
  <c r="Y2809"/>
  <c r="AB2809"/>
  <c r="AC2809"/>
  <c r="AD2809"/>
  <c r="P2810"/>
  <c r="T2810"/>
  <c r="U2810"/>
  <c r="V2810"/>
  <c r="W2810"/>
  <c r="Y2810"/>
  <c r="AB2810"/>
  <c r="AC2810"/>
  <c r="AD2810"/>
  <c r="P2811"/>
  <c r="T2811"/>
  <c r="U2811"/>
  <c r="V2811"/>
  <c r="W2811"/>
  <c r="Y2811"/>
  <c r="AB2811"/>
  <c r="AC2811"/>
  <c r="AD2811"/>
  <c r="P2812"/>
  <c r="T2812"/>
  <c r="U2812"/>
  <c r="V2812"/>
  <c r="W2812"/>
  <c r="Y2812"/>
  <c r="AB2812"/>
  <c r="AC2812"/>
  <c r="AD2812"/>
  <c r="P2813"/>
  <c r="T2813"/>
  <c r="U2813"/>
  <c r="V2813"/>
  <c r="W2813"/>
  <c r="Y2813"/>
  <c r="AB2813"/>
  <c r="AC2813"/>
  <c r="AD2813"/>
  <c r="P2814"/>
  <c r="T2814"/>
  <c r="U2814"/>
  <c r="V2814"/>
  <c r="W2814"/>
  <c r="Y2814"/>
  <c r="AB2814"/>
  <c r="AC2814"/>
  <c r="AD2814"/>
  <c r="P2815"/>
  <c r="T2815"/>
  <c r="U2815"/>
  <c r="V2815"/>
  <c r="W2815"/>
  <c r="Y2815"/>
  <c r="AB2815"/>
  <c r="AC2815"/>
  <c r="AD2815"/>
  <c r="P2816"/>
  <c r="T2816"/>
  <c r="U2816"/>
  <c r="V2816"/>
  <c r="W2816"/>
  <c r="Y2816"/>
  <c r="AB2816"/>
  <c r="AC2816"/>
  <c r="AD2816"/>
  <c r="P2817"/>
  <c r="T2817"/>
  <c r="U2817"/>
  <c r="V2817"/>
  <c r="W2817"/>
  <c r="Y2817"/>
  <c r="AB2817"/>
  <c r="AC2817"/>
  <c r="AD2817"/>
  <c r="P2818"/>
  <c r="T2818"/>
  <c r="U2818"/>
  <c r="V2818"/>
  <c r="W2818"/>
  <c r="Y2818"/>
  <c r="AB2818"/>
  <c r="AC2818"/>
  <c r="AD2818"/>
  <c r="P2819"/>
  <c r="T2819"/>
  <c r="U2819"/>
  <c r="V2819"/>
  <c r="W2819"/>
  <c r="Y2819"/>
  <c r="AB2819"/>
  <c r="AC2819"/>
  <c r="AD2819"/>
  <c r="P2820"/>
  <c r="T2820"/>
  <c r="U2820"/>
  <c r="V2820"/>
  <c r="W2820"/>
  <c r="Y2820"/>
  <c r="AB2820"/>
  <c r="AC2820"/>
  <c r="AD2820"/>
  <c r="P2821"/>
  <c r="T2821"/>
  <c r="U2821"/>
  <c r="V2821"/>
  <c r="W2821"/>
  <c r="Y2821"/>
  <c r="AB2821"/>
  <c r="AC2821"/>
  <c r="AD2821"/>
  <c r="P2822"/>
  <c r="T2822"/>
  <c r="U2822"/>
  <c r="V2822"/>
  <c r="W2822"/>
  <c r="Y2822"/>
  <c r="AB2822"/>
  <c r="AC2822"/>
  <c r="AD2822"/>
  <c r="P2823"/>
  <c r="T2823"/>
  <c r="U2823"/>
  <c r="V2823"/>
  <c r="W2823"/>
  <c r="Y2823"/>
  <c r="AB2823"/>
  <c r="AC2823"/>
  <c r="AD2823"/>
  <c r="P2824"/>
  <c r="T2824"/>
  <c r="U2824"/>
  <c r="V2824"/>
  <c r="W2824"/>
  <c r="Y2824"/>
  <c r="AB2824"/>
  <c r="AC2824"/>
  <c r="AD2824"/>
  <c r="P2825"/>
  <c r="T2825"/>
  <c r="U2825"/>
  <c r="V2825"/>
  <c r="W2825"/>
  <c r="Y2825"/>
  <c r="AB2825"/>
  <c r="AC2825"/>
  <c r="AD2825"/>
  <c r="P2826"/>
  <c r="T2826"/>
  <c r="U2826"/>
  <c r="V2826"/>
  <c r="W2826"/>
  <c r="Y2826"/>
  <c r="AB2826"/>
  <c r="AC2826"/>
  <c r="AD2826"/>
  <c r="P2827"/>
  <c r="T2827"/>
  <c r="U2827"/>
  <c r="V2827"/>
  <c r="W2827"/>
  <c r="Y2827"/>
  <c r="AB2827"/>
  <c r="AC2827"/>
  <c r="AD2827"/>
  <c r="P2828"/>
  <c r="T2828"/>
  <c r="U2828"/>
  <c r="V2828"/>
  <c r="W2828"/>
  <c r="Y2828"/>
  <c r="AB2828"/>
  <c r="AC2828"/>
  <c r="AD2828"/>
  <c r="P2829"/>
  <c r="T2829"/>
  <c r="U2829"/>
  <c r="V2829"/>
  <c r="W2829"/>
  <c r="Y2829"/>
  <c r="AB2829"/>
  <c r="AC2829"/>
  <c r="AD2829"/>
  <c r="P2830"/>
  <c r="T2830"/>
  <c r="U2830"/>
  <c r="V2830"/>
  <c r="W2830"/>
  <c r="Y2830"/>
  <c r="AB2830"/>
  <c r="AC2830"/>
  <c r="AD2830"/>
  <c r="M644"/>
  <c r="M642"/>
  <c r="C642"/>
  <c r="AD642" s="1"/>
  <c r="M641"/>
  <c r="C641"/>
  <c r="AD641" s="1"/>
  <c r="M643"/>
  <c r="C643"/>
  <c r="AD643" s="1"/>
  <c r="B68" i="55"/>
  <c r="A68" s="1"/>
  <c r="M647" i="34"/>
  <c r="C647"/>
  <c r="AD647" s="1"/>
  <c r="M646"/>
  <c r="C646"/>
  <c r="AD646" s="1"/>
  <c r="M645"/>
  <c r="C645"/>
  <c r="AD645" s="1"/>
  <c r="C644"/>
  <c r="AD644" s="1"/>
  <c r="M640"/>
  <c r="C640"/>
  <c r="AD640" s="1"/>
  <c r="M639"/>
  <c r="C639"/>
  <c r="AD639" s="1"/>
  <c r="M638"/>
  <c r="C638"/>
  <c r="AD638" s="1"/>
  <c r="M637"/>
  <c r="C637"/>
  <c r="AD637" s="1"/>
  <c r="M636"/>
  <c r="C636"/>
  <c r="AD636" s="1"/>
  <c r="M635"/>
  <c r="C635"/>
  <c r="AD635" s="1"/>
  <c r="M634"/>
  <c r="C634"/>
  <c r="AD634" s="1"/>
  <c r="M633"/>
  <c r="C633"/>
  <c r="AD633" s="1"/>
  <c r="M630"/>
  <c r="C630"/>
  <c r="AD630" s="1"/>
  <c r="M629"/>
  <c r="C629"/>
  <c r="AD629" s="1"/>
  <c r="M632"/>
  <c r="C632"/>
  <c r="AD632" s="1"/>
  <c r="M631"/>
  <c r="C631"/>
  <c r="AD631" s="1"/>
  <c r="M628"/>
  <c r="C628"/>
  <c r="AD628" s="1"/>
  <c r="M627"/>
  <c r="C627"/>
  <c r="AD627" s="1"/>
  <c r="M626"/>
  <c r="C626"/>
  <c r="AD626" s="1"/>
  <c r="M625"/>
  <c r="C625"/>
  <c r="AD625" s="1"/>
  <c r="M624"/>
  <c r="C624"/>
  <c r="AD624" s="1"/>
  <c r="M622"/>
  <c r="M623"/>
  <c r="C623"/>
  <c r="AD623" s="1"/>
  <c r="C622"/>
  <c r="AD622" s="1"/>
  <c r="M621"/>
  <c r="C621"/>
  <c r="AD621" s="1"/>
  <c r="M620"/>
  <c r="C620"/>
  <c r="AD620" s="1"/>
  <c r="M619"/>
  <c r="C619"/>
  <c r="AD619" s="1"/>
  <c r="M618"/>
  <c r="C618"/>
  <c r="AD618" s="1"/>
  <c r="C617"/>
  <c r="AD617" s="1"/>
  <c r="M616"/>
  <c r="C616"/>
  <c r="AD616" s="1"/>
  <c r="M615"/>
  <c r="C615"/>
  <c r="AD615" s="1"/>
  <c r="M614"/>
  <c r="C614"/>
  <c r="AD614" s="1"/>
  <c r="M613"/>
  <c r="C613"/>
  <c r="AD613" s="1"/>
  <c r="M612"/>
  <c r="C612"/>
  <c r="AD612" s="1"/>
  <c r="M611"/>
  <c r="C611"/>
  <c r="AD611" s="1"/>
  <c r="M610"/>
  <c r="C610"/>
  <c r="AD610" s="1"/>
  <c r="M609"/>
  <c r="C609"/>
  <c r="AD609" s="1"/>
  <c r="M608"/>
  <c r="C608"/>
  <c r="AD608" s="1"/>
  <c r="M607"/>
  <c r="C607"/>
  <c r="AD607" s="1"/>
  <c r="M606"/>
  <c r="C606"/>
  <c r="AD606" s="1"/>
  <c r="M605"/>
  <c r="C605"/>
  <c r="AD605" s="1"/>
  <c r="M604"/>
  <c r="C604"/>
  <c r="AD604" s="1"/>
  <c r="M602"/>
  <c r="M600"/>
  <c r="M603"/>
  <c r="C603"/>
  <c r="AD603" s="1"/>
  <c r="C602"/>
  <c r="AD602" s="1"/>
  <c r="M601"/>
  <c r="C601"/>
  <c r="AD601" s="1"/>
  <c r="C600"/>
  <c r="AD600" s="1"/>
  <c r="M599"/>
  <c r="C599"/>
  <c r="AD599" s="1"/>
  <c r="M598"/>
  <c r="C598"/>
  <c r="AD598" s="1"/>
  <c r="M597"/>
  <c r="C597"/>
  <c r="AD597" s="1"/>
  <c r="M596"/>
  <c r="C596"/>
  <c r="AD596" s="1"/>
  <c r="M595"/>
  <c r="C595"/>
  <c r="AD595" s="1"/>
  <c r="M594"/>
  <c r="C594"/>
  <c r="AD594" s="1"/>
  <c r="M593"/>
  <c r="C593"/>
  <c r="AD593" s="1"/>
  <c r="M592"/>
  <c r="C592"/>
  <c r="AD592" s="1"/>
  <c r="M591"/>
  <c r="C591"/>
  <c r="AD591" s="1"/>
  <c r="M590"/>
  <c r="C590"/>
  <c r="AD590" s="1"/>
  <c r="M589"/>
  <c r="C589"/>
  <c r="AD589" s="1"/>
  <c r="M588"/>
  <c r="C588"/>
  <c r="AD588" s="1"/>
  <c r="M586"/>
  <c r="M583"/>
  <c r="C583"/>
  <c r="AD583" s="1"/>
  <c r="M582"/>
  <c r="C582"/>
  <c r="AD582" s="1"/>
  <c r="M581"/>
  <c r="C581"/>
  <c r="AD581" s="1"/>
  <c r="M585"/>
  <c r="M587"/>
  <c r="C587"/>
  <c r="AD587" s="1"/>
  <c r="C586"/>
  <c r="AD586" s="1"/>
  <c r="C585"/>
  <c r="AD585" s="1"/>
  <c r="M584"/>
  <c r="C584"/>
  <c r="AD584" s="1"/>
  <c r="M580"/>
  <c r="C580"/>
  <c r="AD580" s="1"/>
  <c r="M579"/>
  <c r="C579"/>
  <c r="AD579" s="1"/>
  <c r="M578"/>
  <c r="C578"/>
  <c r="AD578" s="1"/>
  <c r="M577"/>
  <c r="C577"/>
  <c r="AD577" s="1"/>
  <c r="M568"/>
  <c r="C568"/>
  <c r="AD568" s="1"/>
  <c r="M567"/>
  <c r="C567"/>
  <c r="AD567" s="1"/>
  <c r="M566"/>
  <c r="C566"/>
  <c r="AD566" s="1"/>
  <c r="M573"/>
  <c r="M576"/>
  <c r="C576"/>
  <c r="AD576" s="1"/>
  <c r="M575"/>
  <c r="C575"/>
  <c r="AD575" s="1"/>
  <c r="M574"/>
  <c r="C574"/>
  <c r="AD574" s="1"/>
  <c r="C573"/>
  <c r="AD573" s="1"/>
  <c r="M572"/>
  <c r="C572"/>
  <c r="AD572" s="1"/>
  <c r="M571"/>
  <c r="C571"/>
  <c r="AD571" s="1"/>
  <c r="M570"/>
  <c r="C570"/>
  <c r="AD570" s="1"/>
  <c r="M569"/>
  <c r="C569"/>
  <c r="AD569" s="1"/>
  <c r="M565"/>
  <c r="C565"/>
  <c r="AD565" s="1"/>
  <c r="M564"/>
  <c r="C564"/>
  <c r="AD564" s="1"/>
  <c r="M563"/>
  <c r="C563"/>
  <c r="AD563" s="1"/>
  <c r="M562"/>
  <c r="C562"/>
  <c r="AD562" s="1"/>
  <c r="M561"/>
  <c r="C561"/>
  <c r="AD561" s="1"/>
  <c r="M560"/>
  <c r="C560"/>
  <c r="AD560" s="1"/>
  <c r="M559"/>
  <c r="C559"/>
  <c r="AD559" s="1"/>
  <c r="M540"/>
  <c r="C534"/>
  <c r="C535"/>
  <c r="AD535" s="1"/>
  <c r="C536"/>
  <c r="AD536" s="1"/>
  <c r="C537"/>
  <c r="AD537" s="1"/>
  <c r="C538"/>
  <c r="AD538" s="1"/>
  <c r="C539"/>
  <c r="AD539" s="1"/>
  <c r="C540"/>
  <c r="AD540" s="1"/>
  <c r="C541"/>
  <c r="AD541" s="1"/>
  <c r="M539"/>
  <c r="M538"/>
  <c r="M537"/>
  <c r="M536"/>
  <c r="M535"/>
  <c r="M534"/>
  <c r="M554"/>
  <c r="C554"/>
  <c r="AD554" s="1"/>
  <c r="M555"/>
  <c r="C555"/>
  <c r="AD555" s="1"/>
  <c r="M543"/>
  <c r="C543"/>
  <c r="AD543" s="1"/>
  <c r="M542"/>
  <c r="C542"/>
  <c r="AD542" s="1"/>
  <c r="M549"/>
  <c r="C549"/>
  <c r="AD549" s="1"/>
  <c r="M548"/>
  <c r="C548"/>
  <c r="AD548" s="1"/>
  <c r="M547"/>
  <c r="C547"/>
  <c r="AD547" s="1"/>
  <c r="M553"/>
  <c r="M545"/>
  <c r="C558"/>
  <c r="AD558" s="1"/>
  <c r="M557"/>
  <c r="C557"/>
  <c r="AD557" s="1"/>
  <c r="C556"/>
  <c r="AD556" s="1"/>
  <c r="C553"/>
  <c r="AD553" s="1"/>
  <c r="M552"/>
  <c r="C552"/>
  <c r="AD552" s="1"/>
  <c r="M551"/>
  <c r="C551"/>
  <c r="AD551" s="1"/>
  <c r="M550"/>
  <c r="C550"/>
  <c r="AD550" s="1"/>
  <c r="M546"/>
  <c r="C546"/>
  <c r="AD546" s="1"/>
  <c r="C545"/>
  <c r="AD545" s="1"/>
  <c r="M544"/>
  <c r="C544"/>
  <c r="AD544" s="1"/>
  <c r="M533"/>
  <c r="M532"/>
  <c r="C532"/>
  <c r="AD532" s="1"/>
  <c r="C524"/>
  <c r="AD524" s="1"/>
  <c r="C533"/>
  <c r="AD533" s="1"/>
  <c r="M531"/>
  <c r="C531"/>
  <c r="AD531" s="1"/>
  <c r="M530"/>
  <c r="C530"/>
  <c r="AD530" s="1"/>
  <c r="M529"/>
  <c r="C529"/>
  <c r="AD529" s="1"/>
  <c r="M528"/>
  <c r="C528"/>
  <c r="AD528" s="1"/>
  <c r="M527"/>
  <c r="C527"/>
  <c r="AD527" s="1"/>
  <c r="M526"/>
  <c r="C526"/>
  <c r="AD526" s="1"/>
  <c r="M525"/>
  <c r="C525"/>
  <c r="AD525" s="1"/>
  <c r="M524"/>
  <c r="F69" i="55"/>
  <c r="E69"/>
  <c r="M418" i="34"/>
  <c r="E418"/>
  <c r="B418"/>
  <c r="M417"/>
  <c r="E417"/>
  <c r="B417"/>
  <c r="M416"/>
  <c r="E416"/>
  <c r="B416"/>
  <c r="V132" i="60"/>
  <c r="V133"/>
  <c r="V134"/>
  <c r="M412" i="34"/>
  <c r="E412"/>
  <c r="B412"/>
  <c r="M411"/>
  <c r="E411"/>
  <c r="B411"/>
  <c r="V128" i="60"/>
  <c r="V129"/>
  <c r="M465" i="34"/>
  <c r="E465"/>
  <c r="B465"/>
  <c r="M464"/>
  <c r="E464"/>
  <c r="B464"/>
  <c r="M463"/>
  <c r="E463"/>
  <c r="B463"/>
  <c r="M467"/>
  <c r="E467"/>
  <c r="B467"/>
  <c r="M466"/>
  <c r="E466"/>
  <c r="B466"/>
  <c r="M438"/>
  <c r="E438"/>
  <c r="B438"/>
  <c r="M431"/>
  <c r="E431"/>
  <c r="B431"/>
  <c r="M430"/>
  <c r="E430"/>
  <c r="B430"/>
  <c r="M429"/>
  <c r="E429"/>
  <c r="B429"/>
  <c r="M434"/>
  <c r="E434"/>
  <c r="B434"/>
  <c r="M433"/>
  <c r="E433"/>
  <c r="B433"/>
  <c r="M432"/>
  <c r="E432"/>
  <c r="B432"/>
  <c r="M409"/>
  <c r="E409"/>
  <c r="B409"/>
  <c r="M408"/>
  <c r="E408"/>
  <c r="B408"/>
  <c r="M407"/>
  <c r="E407"/>
  <c r="B407"/>
  <c r="M414"/>
  <c r="E414"/>
  <c r="B414"/>
  <c r="M413"/>
  <c r="E413"/>
  <c r="B413"/>
  <c r="M410"/>
  <c r="E410"/>
  <c r="B410"/>
  <c r="M415"/>
  <c r="E415"/>
  <c r="B415"/>
  <c r="M384"/>
  <c r="E384"/>
  <c r="B384"/>
  <c r="M383"/>
  <c r="E383"/>
  <c r="B383"/>
  <c r="M382"/>
  <c r="E382"/>
  <c r="B382"/>
  <c r="M387"/>
  <c r="E387"/>
  <c r="B387"/>
  <c r="M386"/>
  <c r="E386"/>
  <c r="B386"/>
  <c r="M385"/>
  <c r="E385"/>
  <c r="B385"/>
  <c r="D173" i="60"/>
  <c r="G173" s="1"/>
  <c r="D172"/>
  <c r="G172" s="1"/>
  <c r="D171"/>
  <c r="G171" s="1"/>
  <c r="D170"/>
  <c r="G170" s="1"/>
  <c r="D169"/>
  <c r="D176" s="1"/>
  <c r="V156"/>
  <c r="V157"/>
  <c r="L146" s="1"/>
  <c r="V158"/>
  <c r="L147" s="1"/>
  <c r="V159"/>
  <c r="L145" s="1"/>
  <c r="V160"/>
  <c r="L148" s="1"/>
  <c r="V161"/>
  <c r="D148"/>
  <c r="D147"/>
  <c r="D146"/>
  <c r="G146" s="1"/>
  <c r="D145"/>
  <c r="D144"/>
  <c r="G144" s="1"/>
  <c r="D119"/>
  <c r="AF176" i="34"/>
  <c r="C115" i="60"/>
  <c r="M512" i="34"/>
  <c r="C512"/>
  <c r="AD512" s="1"/>
  <c r="M511"/>
  <c r="C511"/>
  <c r="AD511" s="1"/>
  <c r="N75" i="55"/>
  <c r="V103" i="60"/>
  <c r="V104"/>
  <c r="V105"/>
  <c r="I60" i="12" l="1"/>
  <c r="I45"/>
  <c r="I53"/>
  <c r="I57"/>
  <c r="I61"/>
  <c r="I39"/>
  <c r="I43"/>
  <c r="I58"/>
  <c r="I62"/>
  <c r="I36"/>
  <c r="I51"/>
  <c r="G169" i="60"/>
  <c r="G176" s="1"/>
  <c r="B538" i="34"/>
  <c r="S538" s="1"/>
  <c r="B650"/>
  <c r="Q650" s="1"/>
  <c r="B679"/>
  <c r="B680"/>
  <c r="B678"/>
  <c r="B676"/>
  <c r="S676" s="1"/>
  <c r="B662"/>
  <c r="B661"/>
  <c r="B656"/>
  <c r="S656" s="1"/>
  <c r="B654"/>
  <c r="Q654" s="1"/>
  <c r="B652"/>
  <c r="S652" s="1"/>
  <c r="B648"/>
  <c r="S648" s="1"/>
  <c r="S412"/>
  <c r="Q412"/>
  <c r="R412"/>
  <c r="Q434"/>
  <c r="R434"/>
  <c r="S434"/>
  <c r="S464"/>
  <c r="Q464"/>
  <c r="R464"/>
  <c r="Q411"/>
  <c r="R411"/>
  <c r="S411"/>
  <c r="S387"/>
  <c r="Q387"/>
  <c r="R387"/>
  <c r="Q415"/>
  <c r="R415"/>
  <c r="S415"/>
  <c r="Q386"/>
  <c r="R386"/>
  <c r="S386"/>
  <c r="R384"/>
  <c r="S384"/>
  <c r="Q384"/>
  <c r="Q414"/>
  <c r="R414"/>
  <c r="S414"/>
  <c r="S432"/>
  <c r="Q432"/>
  <c r="R432"/>
  <c r="Q430"/>
  <c r="R430"/>
  <c r="S430"/>
  <c r="Q467"/>
  <c r="R467"/>
  <c r="S467"/>
  <c r="R417"/>
  <c r="S417"/>
  <c r="Q417"/>
  <c r="B625"/>
  <c r="S625" s="1"/>
  <c r="Q466"/>
  <c r="R466"/>
  <c r="S466"/>
  <c r="Q385"/>
  <c r="R385"/>
  <c r="S385"/>
  <c r="S383"/>
  <c r="Q383"/>
  <c r="R383"/>
  <c r="R413"/>
  <c r="S413"/>
  <c r="Q413"/>
  <c r="R409"/>
  <c r="S409"/>
  <c r="Q409"/>
  <c r="S416"/>
  <c r="Q416"/>
  <c r="R416"/>
  <c r="Q382"/>
  <c r="R382"/>
  <c r="S382"/>
  <c r="B536"/>
  <c r="A536" s="1"/>
  <c r="R429"/>
  <c r="S429"/>
  <c r="Q429"/>
  <c r="R465"/>
  <c r="S465"/>
  <c r="Q465"/>
  <c r="Q410"/>
  <c r="R410"/>
  <c r="S410"/>
  <c r="S408"/>
  <c r="Q408"/>
  <c r="R408"/>
  <c r="Q438"/>
  <c r="R438"/>
  <c r="S438"/>
  <c r="Q407"/>
  <c r="R407"/>
  <c r="S407"/>
  <c r="R433"/>
  <c r="S433"/>
  <c r="Q433"/>
  <c r="Q431"/>
  <c r="R431"/>
  <c r="S431"/>
  <c r="Q463"/>
  <c r="R463"/>
  <c r="S463"/>
  <c r="Q418"/>
  <c r="R418"/>
  <c r="S418"/>
  <c r="B534"/>
  <c r="A534" s="1"/>
  <c r="AD534"/>
  <c r="B675"/>
  <c r="R675" s="1"/>
  <c r="B649"/>
  <c r="B651"/>
  <c r="B653"/>
  <c r="B655"/>
  <c r="B657"/>
  <c r="B659"/>
  <c r="B658"/>
  <c r="B660"/>
  <c r="B672"/>
  <c r="S672" s="1"/>
  <c r="B673"/>
  <c r="R673" s="1"/>
  <c r="B674"/>
  <c r="S674" s="1"/>
  <c r="B668"/>
  <c r="S668" s="1"/>
  <c r="B670"/>
  <c r="S670" s="1"/>
  <c r="B664"/>
  <c r="S664" s="1"/>
  <c r="B666"/>
  <c r="S666" s="1"/>
  <c r="B634"/>
  <c r="A634" s="1"/>
  <c r="Q625"/>
  <c r="B663"/>
  <c r="B665"/>
  <c r="B667"/>
  <c r="B669"/>
  <c r="B671"/>
  <c r="B677"/>
  <c r="B636"/>
  <c r="B615"/>
  <c r="A615" s="1"/>
  <c r="B641"/>
  <c r="B642"/>
  <c r="B643"/>
  <c r="B633"/>
  <c r="B635"/>
  <c r="B637"/>
  <c r="B639"/>
  <c r="B644"/>
  <c r="B646"/>
  <c r="B638"/>
  <c r="B640"/>
  <c r="B645"/>
  <c r="B647"/>
  <c r="B629"/>
  <c r="B630"/>
  <c r="B631"/>
  <c r="B632"/>
  <c r="B624"/>
  <c r="B627"/>
  <c r="B626"/>
  <c r="B628"/>
  <c r="B623"/>
  <c r="B619"/>
  <c r="B622"/>
  <c r="B620"/>
  <c r="B621"/>
  <c r="B618"/>
  <c r="M617"/>
  <c r="B616"/>
  <c r="B617"/>
  <c r="B614"/>
  <c r="B613"/>
  <c r="B612"/>
  <c r="B604"/>
  <c r="B606"/>
  <c r="B608"/>
  <c r="B610"/>
  <c r="B605"/>
  <c r="B607"/>
  <c r="B609"/>
  <c r="B611"/>
  <c r="B590"/>
  <c r="B592"/>
  <c r="B594"/>
  <c r="B596"/>
  <c r="B598"/>
  <c r="B600"/>
  <c r="B602"/>
  <c r="B591"/>
  <c r="B593"/>
  <c r="B595"/>
  <c r="B597"/>
  <c r="B599"/>
  <c r="B601"/>
  <c r="B603"/>
  <c r="B588"/>
  <c r="B589"/>
  <c r="B586"/>
  <c r="B582"/>
  <c r="B581"/>
  <c r="B583"/>
  <c r="B587"/>
  <c r="B584"/>
  <c r="B580"/>
  <c r="B585"/>
  <c r="B578"/>
  <c r="B577"/>
  <c r="B579"/>
  <c r="B567"/>
  <c r="B566"/>
  <c r="B568"/>
  <c r="B560"/>
  <c r="B562"/>
  <c r="B564"/>
  <c r="B569"/>
  <c r="B571"/>
  <c r="B573"/>
  <c r="B575"/>
  <c r="B559"/>
  <c r="B561"/>
  <c r="B563"/>
  <c r="B565"/>
  <c r="B570"/>
  <c r="B572"/>
  <c r="B574"/>
  <c r="B576"/>
  <c r="M541"/>
  <c r="B555"/>
  <c r="B554"/>
  <c r="A554" s="1"/>
  <c r="M556"/>
  <c r="A412"/>
  <c r="M558"/>
  <c r="B543"/>
  <c r="B545"/>
  <c r="B535"/>
  <c r="B537"/>
  <c r="B539"/>
  <c r="B541"/>
  <c r="B540"/>
  <c r="B542"/>
  <c r="B550"/>
  <c r="B548"/>
  <c r="B547"/>
  <c r="B549"/>
  <c r="B552"/>
  <c r="B544"/>
  <c r="B546"/>
  <c r="B551"/>
  <c r="B553"/>
  <c r="B557"/>
  <c r="B556"/>
  <c r="B558"/>
  <c r="B532"/>
  <c r="B525"/>
  <c r="B527"/>
  <c r="B529"/>
  <c r="B531"/>
  <c r="B524"/>
  <c r="B526"/>
  <c r="B528"/>
  <c r="B530"/>
  <c r="B533"/>
  <c r="A431"/>
  <c r="A434"/>
  <c r="A410"/>
  <c r="A414"/>
  <c r="A409"/>
  <c r="A418"/>
  <c r="A417"/>
  <c r="A416"/>
  <c r="A415"/>
  <c r="A432"/>
  <c r="A429"/>
  <c r="A466"/>
  <c r="A465"/>
  <c r="A463"/>
  <c r="A411"/>
  <c r="A464"/>
  <c r="A467"/>
  <c r="A438"/>
  <c r="A430"/>
  <c r="A433"/>
  <c r="A408"/>
  <c r="A407"/>
  <c r="A413"/>
  <c r="A385"/>
  <c r="A382"/>
  <c r="A387"/>
  <c r="A384"/>
  <c r="A383"/>
  <c r="A386"/>
  <c r="G148" i="60"/>
  <c r="G145"/>
  <c r="G147"/>
  <c r="B512" i="34"/>
  <c r="B511"/>
  <c r="A538" l="1"/>
  <c r="R652"/>
  <c r="A676"/>
  <c r="S650"/>
  <c r="R650"/>
  <c r="R538"/>
  <c r="R654"/>
  <c r="R676"/>
  <c r="R625"/>
  <c r="R648"/>
  <c r="A625"/>
  <c r="A650"/>
  <c r="Q538"/>
  <c r="S654"/>
  <c r="A670"/>
  <c r="R664"/>
  <c r="A664"/>
  <c r="Q672"/>
  <c r="A654"/>
  <c r="Q680"/>
  <c r="A680"/>
  <c r="S680"/>
  <c r="R680"/>
  <c r="S679"/>
  <c r="R679"/>
  <c r="Q679"/>
  <c r="A679"/>
  <c r="Q678"/>
  <c r="A678"/>
  <c r="S678"/>
  <c r="R678"/>
  <c r="R668"/>
  <c r="A672"/>
  <c r="R672"/>
  <c r="Q670"/>
  <c r="A675"/>
  <c r="Q676"/>
  <c r="Q662"/>
  <c r="A662"/>
  <c r="S662"/>
  <c r="R662"/>
  <c r="Q661"/>
  <c r="A661"/>
  <c r="S661"/>
  <c r="R661"/>
  <c r="R656"/>
  <c r="Q656"/>
  <c r="A656"/>
  <c r="Q652"/>
  <c r="A652"/>
  <c r="Q648"/>
  <c r="A648"/>
  <c r="S511"/>
  <c r="Q511"/>
  <c r="R511"/>
  <c r="Q528"/>
  <c r="R528"/>
  <c r="S528"/>
  <c r="Q529"/>
  <c r="R529"/>
  <c r="S529"/>
  <c r="S558"/>
  <c r="Q558"/>
  <c r="R558"/>
  <c r="R551"/>
  <c r="S551"/>
  <c r="Q551"/>
  <c r="Q549"/>
  <c r="R549"/>
  <c r="S549"/>
  <c r="S542"/>
  <c r="Q542"/>
  <c r="R542"/>
  <c r="R539"/>
  <c r="S539"/>
  <c r="Q539"/>
  <c r="R555"/>
  <c r="S555"/>
  <c r="Q555"/>
  <c r="Q572"/>
  <c r="R572"/>
  <c r="S572"/>
  <c r="Q561"/>
  <c r="R561"/>
  <c r="S561"/>
  <c r="R571"/>
  <c r="S571"/>
  <c r="Q571"/>
  <c r="Q560"/>
  <c r="R560"/>
  <c r="S560"/>
  <c r="R579"/>
  <c r="S579"/>
  <c r="Q579"/>
  <c r="Q580"/>
  <c r="R580"/>
  <c r="S580"/>
  <c r="Q581"/>
  <c r="R581"/>
  <c r="S581"/>
  <c r="Q588"/>
  <c r="R588"/>
  <c r="S588"/>
  <c r="Q597"/>
  <c r="R597"/>
  <c r="S597"/>
  <c r="S602"/>
  <c r="Q602"/>
  <c r="R602"/>
  <c r="S594"/>
  <c r="Q594"/>
  <c r="R594"/>
  <c r="Q609"/>
  <c r="R609"/>
  <c r="S609"/>
  <c r="Q608"/>
  <c r="R608"/>
  <c r="S608"/>
  <c r="Q668"/>
  <c r="Q675"/>
  <c r="S675"/>
  <c r="S534"/>
  <c r="Q534"/>
  <c r="R534"/>
  <c r="R512"/>
  <c r="Q512"/>
  <c r="S512"/>
  <c r="S526"/>
  <c r="Q526"/>
  <c r="R526"/>
  <c r="R527"/>
  <c r="S527"/>
  <c r="Q527"/>
  <c r="Q556"/>
  <c r="R556"/>
  <c r="S556"/>
  <c r="S546"/>
  <c r="Q546"/>
  <c r="R546"/>
  <c r="R547"/>
  <c r="S547"/>
  <c r="Q547"/>
  <c r="Q537"/>
  <c r="R537"/>
  <c r="S537"/>
  <c r="Q545"/>
  <c r="R545"/>
  <c r="S545"/>
  <c r="S570"/>
  <c r="Q570"/>
  <c r="R570"/>
  <c r="R559"/>
  <c r="S559"/>
  <c r="Q559"/>
  <c r="Q569"/>
  <c r="R569"/>
  <c r="S569"/>
  <c r="Q568"/>
  <c r="R568"/>
  <c r="S568"/>
  <c r="Q577"/>
  <c r="R577"/>
  <c r="S577"/>
  <c r="Q584"/>
  <c r="R584"/>
  <c r="S584"/>
  <c r="S582"/>
  <c r="Q582"/>
  <c r="R582"/>
  <c r="R603"/>
  <c r="S603"/>
  <c r="Q603"/>
  <c r="R595"/>
  <c r="S595"/>
  <c r="Q595"/>
  <c r="Q600"/>
  <c r="R600"/>
  <c r="S600"/>
  <c r="Q592"/>
  <c r="R592"/>
  <c r="S592"/>
  <c r="R607"/>
  <c r="S607"/>
  <c r="Q607"/>
  <c r="S606"/>
  <c r="Q606"/>
  <c r="R606"/>
  <c r="Q674"/>
  <c r="A668"/>
  <c r="Q533"/>
  <c r="R533"/>
  <c r="S533"/>
  <c r="Q524"/>
  <c r="R524"/>
  <c r="S524"/>
  <c r="Q525"/>
  <c r="R525"/>
  <c r="S525"/>
  <c r="Q557"/>
  <c r="R557"/>
  <c r="S557"/>
  <c r="Q544"/>
  <c r="R544"/>
  <c r="S544"/>
  <c r="Q548"/>
  <c r="R548"/>
  <c r="S548"/>
  <c r="Q540"/>
  <c r="R540"/>
  <c r="S540"/>
  <c r="R535"/>
  <c r="S535"/>
  <c r="Q535"/>
  <c r="R543"/>
  <c r="S543"/>
  <c r="Q543"/>
  <c r="Q576"/>
  <c r="R576"/>
  <c r="S576"/>
  <c r="Q565"/>
  <c r="R565"/>
  <c r="S565"/>
  <c r="R575"/>
  <c r="S575"/>
  <c r="Q575"/>
  <c r="Q564"/>
  <c r="R564"/>
  <c r="S564"/>
  <c r="S566"/>
  <c r="Q566"/>
  <c r="R566"/>
  <c r="S578"/>
  <c r="Q578"/>
  <c r="R578"/>
  <c r="R587"/>
  <c r="S587"/>
  <c r="Q587"/>
  <c r="S586"/>
  <c r="Q586"/>
  <c r="R586"/>
  <c r="Q601"/>
  <c r="R601"/>
  <c r="S601"/>
  <c r="Q593"/>
  <c r="R593"/>
  <c r="S593"/>
  <c r="S598"/>
  <c r="Q598"/>
  <c r="R598"/>
  <c r="S590"/>
  <c r="Q590"/>
  <c r="R590"/>
  <c r="Q605"/>
  <c r="R605"/>
  <c r="S605"/>
  <c r="Q604"/>
  <c r="R604"/>
  <c r="S604"/>
  <c r="S530"/>
  <c r="Q530"/>
  <c r="R530"/>
  <c r="R531"/>
  <c r="S531"/>
  <c r="Q531"/>
  <c r="Q532"/>
  <c r="R532"/>
  <c r="S532"/>
  <c r="Q553"/>
  <c r="R553"/>
  <c r="S553"/>
  <c r="Q552"/>
  <c r="R552"/>
  <c r="S552"/>
  <c r="S550"/>
  <c r="Q550"/>
  <c r="R550"/>
  <c r="Q541"/>
  <c r="R541"/>
  <c r="S541"/>
  <c r="S554"/>
  <c r="Q554"/>
  <c r="R554"/>
  <c r="S574"/>
  <c r="Q574"/>
  <c r="R574"/>
  <c r="R563"/>
  <c r="S563"/>
  <c r="Q563"/>
  <c r="Q573"/>
  <c r="R573"/>
  <c r="S573"/>
  <c r="S562"/>
  <c r="Q562"/>
  <c r="R562"/>
  <c r="R567"/>
  <c r="S567"/>
  <c r="Q567"/>
  <c r="Q585"/>
  <c r="R585"/>
  <c r="S585"/>
  <c r="R583"/>
  <c r="S583"/>
  <c r="Q583"/>
  <c r="Q589"/>
  <c r="R589"/>
  <c r="S589"/>
  <c r="R599"/>
  <c r="S599"/>
  <c r="Q599"/>
  <c r="R591"/>
  <c r="S591"/>
  <c r="Q591"/>
  <c r="Q596"/>
  <c r="R596"/>
  <c r="S596"/>
  <c r="R611"/>
  <c r="S611"/>
  <c r="Q611"/>
  <c r="S610"/>
  <c r="Q610"/>
  <c r="R610"/>
  <c r="Q536"/>
  <c r="R536"/>
  <c r="S536"/>
  <c r="S653"/>
  <c r="R653"/>
  <c r="Q653"/>
  <c r="A653"/>
  <c r="S659"/>
  <c r="R659"/>
  <c r="Q659"/>
  <c r="A659"/>
  <c r="S651"/>
  <c r="R651"/>
  <c r="Q651"/>
  <c r="A651"/>
  <c r="Q660"/>
  <c r="A660"/>
  <c r="S660"/>
  <c r="R660"/>
  <c r="S657"/>
  <c r="R657"/>
  <c r="Q657"/>
  <c r="A657"/>
  <c r="S649"/>
  <c r="R649"/>
  <c r="Q649"/>
  <c r="A649"/>
  <c r="Q658"/>
  <c r="A658"/>
  <c r="S658"/>
  <c r="R658"/>
  <c r="S655"/>
  <c r="R655"/>
  <c r="Q655"/>
  <c r="A655"/>
  <c r="A673"/>
  <c r="Q673"/>
  <c r="S673"/>
  <c r="R674"/>
  <c r="A674"/>
  <c r="R670"/>
  <c r="R666"/>
  <c r="Q664"/>
  <c r="A666"/>
  <c r="Q666"/>
  <c r="R613"/>
  <c r="Q613"/>
  <c r="S613"/>
  <c r="R622"/>
  <c r="Q622"/>
  <c r="S622"/>
  <c r="Q632"/>
  <c r="R632"/>
  <c r="S632"/>
  <c r="S647"/>
  <c r="Q647"/>
  <c r="R647"/>
  <c r="Q646"/>
  <c r="R646"/>
  <c r="S646"/>
  <c r="S635"/>
  <c r="Q635"/>
  <c r="R635"/>
  <c r="S643"/>
  <c r="Q643"/>
  <c r="R643"/>
  <c r="Q636"/>
  <c r="R636"/>
  <c r="S636"/>
  <c r="Q667"/>
  <c r="A667"/>
  <c r="S667"/>
  <c r="R667"/>
  <c r="R614"/>
  <c r="Q614"/>
  <c r="S614"/>
  <c r="R619"/>
  <c r="Q619"/>
  <c r="S619"/>
  <c r="S631"/>
  <c r="Q631"/>
  <c r="R631"/>
  <c r="Q644"/>
  <c r="R644"/>
  <c r="S644"/>
  <c r="S633"/>
  <c r="Q633"/>
  <c r="R633"/>
  <c r="Q642"/>
  <c r="R642"/>
  <c r="S642"/>
  <c r="Q665"/>
  <c r="A665"/>
  <c r="S665"/>
  <c r="R665"/>
  <c r="R618"/>
  <c r="Q618"/>
  <c r="S618"/>
  <c r="R626"/>
  <c r="Q626"/>
  <c r="S626"/>
  <c r="S645"/>
  <c r="Q645"/>
  <c r="R645"/>
  <c r="Q677"/>
  <c r="A677"/>
  <c r="S677"/>
  <c r="R677"/>
  <c r="R617"/>
  <c r="Q617"/>
  <c r="S617"/>
  <c r="R621"/>
  <c r="Q621"/>
  <c r="S621"/>
  <c r="R623"/>
  <c r="Q623"/>
  <c r="S623"/>
  <c r="S627"/>
  <c r="Q627"/>
  <c r="R627"/>
  <c r="R630"/>
  <c r="Q630"/>
  <c r="S630"/>
  <c r="Q640"/>
  <c r="R640"/>
  <c r="S640"/>
  <c r="S639"/>
  <c r="Q639"/>
  <c r="R639"/>
  <c r="S641"/>
  <c r="Q641"/>
  <c r="R641"/>
  <c r="Q671"/>
  <c r="A671"/>
  <c r="S671"/>
  <c r="R671"/>
  <c r="Q663"/>
  <c r="A663"/>
  <c r="S663"/>
  <c r="R663"/>
  <c r="R612"/>
  <c r="Q612"/>
  <c r="S612"/>
  <c r="R616"/>
  <c r="Q616"/>
  <c r="S616"/>
  <c r="R620"/>
  <c r="Q620"/>
  <c r="S620"/>
  <c r="R628"/>
  <c r="S628"/>
  <c r="Q628"/>
  <c r="R624"/>
  <c r="Q624"/>
  <c r="S624"/>
  <c r="Q629"/>
  <c r="R629"/>
  <c r="S629"/>
  <c r="Q638"/>
  <c r="R638"/>
  <c r="S638"/>
  <c r="S637"/>
  <c r="Q637"/>
  <c r="R637"/>
  <c r="R615"/>
  <c r="Q615"/>
  <c r="S615"/>
  <c r="Q669"/>
  <c r="A669"/>
  <c r="S669"/>
  <c r="R669"/>
  <c r="Q634"/>
  <c r="R634"/>
  <c r="S634"/>
  <c r="A636"/>
  <c r="A642"/>
  <c r="A641"/>
  <c r="A643"/>
  <c r="A647"/>
  <c r="A638"/>
  <c r="A639"/>
  <c r="A645"/>
  <c r="A646"/>
  <c r="A637"/>
  <c r="A633"/>
  <c r="A644"/>
  <c r="A640"/>
  <c r="A635"/>
  <c r="A629"/>
  <c r="A630"/>
  <c r="A632"/>
  <c r="A612"/>
  <c r="A631"/>
  <c r="A627"/>
  <c r="A626"/>
  <c r="A624"/>
  <c r="A628"/>
  <c r="A623"/>
  <c r="A545"/>
  <c r="A617"/>
  <c r="A622"/>
  <c r="A621"/>
  <c r="A620"/>
  <c r="A619"/>
  <c r="A618"/>
  <c r="A616"/>
  <c r="A614"/>
  <c r="A613"/>
  <c r="A611"/>
  <c r="A610"/>
  <c r="A609"/>
  <c r="A608"/>
  <c r="A607"/>
  <c r="A606"/>
  <c r="A605"/>
  <c r="A604"/>
  <c r="A587"/>
  <c r="A586"/>
  <c r="A599"/>
  <c r="A595"/>
  <c r="A600"/>
  <c r="A596"/>
  <c r="A597"/>
  <c r="A593"/>
  <c r="A598"/>
  <c r="A594"/>
  <c r="A603"/>
  <c r="A591"/>
  <c r="A592"/>
  <c r="A601"/>
  <c r="A602"/>
  <c r="A590"/>
  <c r="A577"/>
  <c r="A589"/>
  <c r="A588"/>
  <c r="A582"/>
  <c r="A581"/>
  <c r="A583"/>
  <c r="A580"/>
  <c r="A585"/>
  <c r="A584"/>
  <c r="A555"/>
  <c r="A578"/>
  <c r="A579"/>
  <c r="A568"/>
  <c r="A566"/>
  <c r="A567"/>
  <c r="A570"/>
  <c r="A559"/>
  <c r="A569"/>
  <c r="A576"/>
  <c r="A565"/>
  <c r="A575"/>
  <c r="A564"/>
  <c r="A574"/>
  <c r="A563"/>
  <c r="A573"/>
  <c r="A562"/>
  <c r="A572"/>
  <c r="A561"/>
  <c r="A571"/>
  <c r="A560"/>
  <c r="A543"/>
  <c r="A540"/>
  <c r="A535"/>
  <c r="A541"/>
  <c r="A539"/>
  <c r="A537"/>
  <c r="A542"/>
  <c r="A550"/>
  <c r="A549"/>
  <c r="A547"/>
  <c r="A548"/>
  <c r="A552"/>
  <c r="A557"/>
  <c r="A544"/>
  <c r="A553"/>
  <c r="A558"/>
  <c r="A551"/>
  <c r="A556"/>
  <c r="A546"/>
  <c r="A532"/>
  <c r="A530"/>
  <c r="A531"/>
  <c r="A528"/>
  <c r="A529"/>
  <c r="A526"/>
  <c r="A527"/>
  <c r="A533"/>
  <c r="A524"/>
  <c r="A525"/>
  <c r="A512"/>
  <c r="A511"/>
  <c r="V100" i="60" l="1"/>
  <c r="L87" s="1"/>
  <c r="V101"/>
  <c r="V102"/>
  <c r="V182"/>
  <c r="L172" s="1"/>
  <c r="L86" l="1"/>
  <c r="M217" i="34"/>
  <c r="E217"/>
  <c r="B217"/>
  <c r="M462"/>
  <c r="E462"/>
  <c r="B462"/>
  <c r="M461"/>
  <c r="E461"/>
  <c r="B461"/>
  <c r="M460"/>
  <c r="E460"/>
  <c r="B460"/>
  <c r="M459"/>
  <c r="E459"/>
  <c r="B459"/>
  <c r="M458"/>
  <c r="E458"/>
  <c r="B458"/>
  <c r="M457"/>
  <c r="E457"/>
  <c r="B457"/>
  <c r="M456"/>
  <c r="E456"/>
  <c r="B456"/>
  <c r="M455"/>
  <c r="E455"/>
  <c r="B455"/>
  <c r="M437"/>
  <c r="E437"/>
  <c r="B437"/>
  <c r="M436"/>
  <c r="E436"/>
  <c r="B436"/>
  <c r="M435"/>
  <c r="E435"/>
  <c r="B435"/>
  <c r="M428"/>
  <c r="E428"/>
  <c r="B428"/>
  <c r="M427"/>
  <c r="E427"/>
  <c r="B427"/>
  <c r="M426"/>
  <c r="E426"/>
  <c r="B426"/>
  <c r="M425"/>
  <c r="E425"/>
  <c r="B425"/>
  <c r="M424"/>
  <c r="E424"/>
  <c r="B424"/>
  <c r="M423"/>
  <c r="E423"/>
  <c r="B423"/>
  <c r="M422"/>
  <c r="E422"/>
  <c r="B422"/>
  <c r="M421"/>
  <c r="E421"/>
  <c r="B421"/>
  <c r="M406"/>
  <c r="E406"/>
  <c r="B406"/>
  <c r="M405"/>
  <c r="E405"/>
  <c r="B405"/>
  <c r="M404"/>
  <c r="E404"/>
  <c r="B404"/>
  <c r="M403"/>
  <c r="E403"/>
  <c r="B403"/>
  <c r="M402"/>
  <c r="E402"/>
  <c r="B402"/>
  <c r="M401"/>
  <c r="E401"/>
  <c r="B401"/>
  <c r="M400"/>
  <c r="E400"/>
  <c r="B400"/>
  <c r="M399"/>
  <c r="E399"/>
  <c r="B399"/>
  <c r="M388"/>
  <c r="E388"/>
  <c r="B388"/>
  <c r="M381"/>
  <c r="E381"/>
  <c r="B381"/>
  <c r="M380"/>
  <c r="E380"/>
  <c r="B380"/>
  <c r="M379"/>
  <c r="E379"/>
  <c r="B379"/>
  <c r="M378"/>
  <c r="E378"/>
  <c r="B378"/>
  <c r="M377"/>
  <c r="E377"/>
  <c r="B377"/>
  <c r="M376"/>
  <c r="E376"/>
  <c r="B376"/>
  <c r="M375"/>
  <c r="E375"/>
  <c r="B375"/>
  <c r="M374"/>
  <c r="E374"/>
  <c r="B374"/>
  <c r="M366"/>
  <c r="E366"/>
  <c r="B366"/>
  <c r="M365"/>
  <c r="E365"/>
  <c r="B365"/>
  <c r="M364"/>
  <c r="E364"/>
  <c r="B364"/>
  <c r="M363"/>
  <c r="E363"/>
  <c r="B363"/>
  <c r="M362"/>
  <c r="E362"/>
  <c r="B362"/>
  <c r="M361"/>
  <c r="E361"/>
  <c r="B361"/>
  <c r="M360"/>
  <c r="E360"/>
  <c r="B360"/>
  <c r="M359"/>
  <c r="E359"/>
  <c r="B359"/>
  <c r="M358"/>
  <c r="E358"/>
  <c r="B358"/>
  <c r="M336"/>
  <c r="E336"/>
  <c r="B336"/>
  <c r="S359" l="1"/>
  <c r="Q359"/>
  <c r="R359"/>
  <c r="S363"/>
  <c r="Q363"/>
  <c r="R363"/>
  <c r="Q374"/>
  <c r="R374"/>
  <c r="S374"/>
  <c r="Q377"/>
  <c r="R377"/>
  <c r="S377"/>
  <c r="R401"/>
  <c r="S401"/>
  <c r="Q401"/>
  <c r="Q361"/>
  <c r="R361"/>
  <c r="S361"/>
  <c r="Q365"/>
  <c r="R365"/>
  <c r="S365"/>
  <c r="R376"/>
  <c r="S376"/>
  <c r="Q376"/>
  <c r="R380"/>
  <c r="S380"/>
  <c r="Q380"/>
  <c r="S400"/>
  <c r="Q400"/>
  <c r="R400"/>
  <c r="S404"/>
  <c r="Q404"/>
  <c r="R404"/>
  <c r="Q422"/>
  <c r="R422"/>
  <c r="S422"/>
  <c r="Q426"/>
  <c r="R426"/>
  <c r="S426"/>
  <c r="S436"/>
  <c r="Q436"/>
  <c r="R436"/>
  <c r="R457"/>
  <c r="S457"/>
  <c r="Q457"/>
  <c r="R461"/>
  <c r="S461"/>
  <c r="Q461"/>
  <c r="Q378"/>
  <c r="R378"/>
  <c r="S378"/>
  <c r="Q366"/>
  <c r="R366"/>
  <c r="S366"/>
  <c r="R336"/>
  <c r="S336"/>
  <c r="Q336"/>
  <c r="A360"/>
  <c r="R360"/>
  <c r="S360"/>
  <c r="Q360"/>
  <c r="R364"/>
  <c r="S364"/>
  <c r="Q364"/>
  <c r="S375"/>
  <c r="Q375"/>
  <c r="R375"/>
  <c r="S379"/>
  <c r="Q379"/>
  <c r="R379"/>
  <c r="Q399"/>
  <c r="R399"/>
  <c r="S399"/>
  <c r="Q403"/>
  <c r="R403"/>
  <c r="S403"/>
  <c r="R421"/>
  <c r="S421"/>
  <c r="Q421"/>
  <c r="R425"/>
  <c r="S425"/>
  <c r="Q425"/>
  <c r="Q435"/>
  <c r="R435"/>
  <c r="S435"/>
  <c r="S456"/>
  <c r="Q456"/>
  <c r="R456"/>
  <c r="S460"/>
  <c r="Q460"/>
  <c r="R460"/>
  <c r="R388"/>
  <c r="S388"/>
  <c r="Q388"/>
  <c r="Q402"/>
  <c r="R402"/>
  <c r="S402"/>
  <c r="Q406"/>
  <c r="R406"/>
  <c r="S406"/>
  <c r="S424"/>
  <c r="Q424"/>
  <c r="R424"/>
  <c r="S428"/>
  <c r="Q428"/>
  <c r="R428"/>
  <c r="Q455"/>
  <c r="R455"/>
  <c r="S455"/>
  <c r="Q459"/>
  <c r="R459"/>
  <c r="S459"/>
  <c r="Q217"/>
  <c r="R217"/>
  <c r="S217"/>
  <c r="Q358"/>
  <c r="R358"/>
  <c r="S358"/>
  <c r="Q362"/>
  <c r="R362"/>
  <c r="S362"/>
  <c r="Q381"/>
  <c r="R381"/>
  <c r="S381"/>
  <c r="R405"/>
  <c r="S405"/>
  <c r="Q405"/>
  <c r="Q423"/>
  <c r="R423"/>
  <c r="S423"/>
  <c r="Q427"/>
  <c r="R427"/>
  <c r="S427"/>
  <c r="R437"/>
  <c r="S437"/>
  <c r="Q437"/>
  <c r="Q458"/>
  <c r="R458"/>
  <c r="S458"/>
  <c r="Q462"/>
  <c r="R462"/>
  <c r="S462"/>
  <c r="A405"/>
  <c r="A403"/>
  <c r="A401"/>
  <c r="A217"/>
  <c r="A456"/>
  <c r="A458"/>
  <c r="A460"/>
  <c r="A462"/>
  <c r="A455"/>
  <c r="A457"/>
  <c r="A459"/>
  <c r="A461"/>
  <c r="A422"/>
  <c r="A424"/>
  <c r="A426"/>
  <c r="A428"/>
  <c r="A436"/>
  <c r="A421"/>
  <c r="A423"/>
  <c r="A425"/>
  <c r="A427"/>
  <c r="A435"/>
  <c r="A437"/>
  <c r="A400"/>
  <c r="A402"/>
  <c r="A404"/>
  <c r="A406"/>
  <c r="A399"/>
  <c r="A380"/>
  <c r="A336"/>
  <c r="A388"/>
  <c r="A375"/>
  <c r="A377"/>
  <c r="A379"/>
  <c r="A381"/>
  <c r="A374"/>
  <c r="A376"/>
  <c r="A378"/>
  <c r="A366"/>
  <c r="A364"/>
  <c r="A359"/>
  <c r="A361"/>
  <c r="A363"/>
  <c r="A365"/>
  <c r="A358"/>
  <c r="A362"/>
  <c r="E54" i="55"/>
  <c r="F54"/>
  <c r="V175" i="60"/>
  <c r="M419" i="34"/>
  <c r="AB11"/>
  <c r="AB10"/>
  <c r="J1807"/>
  <c r="V70" i="60"/>
  <c r="V71"/>
  <c r="V72"/>
  <c r="V73"/>
  <c r="V74"/>
  <c r="V87"/>
  <c r="V88"/>
  <c r="V89"/>
  <c r="V90"/>
  <c r="V91"/>
  <c r="V92"/>
  <c r="V93"/>
  <c r="V113"/>
  <c r="V114"/>
  <c r="V115"/>
  <c r="V116"/>
  <c r="V117"/>
  <c r="V118"/>
  <c r="V119"/>
  <c r="V120"/>
  <c r="V169"/>
  <c r="V170"/>
  <c r="V171"/>
  <c r="V172"/>
  <c r="V173"/>
  <c r="V174"/>
  <c r="E160" i="34"/>
  <c r="B160"/>
  <c r="E159"/>
  <c r="B159"/>
  <c r="M158"/>
  <c r="M160" s="1"/>
  <c r="E158"/>
  <c r="B158"/>
  <c r="M157"/>
  <c r="M159" s="1"/>
  <c r="E157"/>
  <c r="B157"/>
  <c r="M156"/>
  <c r="E156"/>
  <c r="B156"/>
  <c r="M155"/>
  <c r="E155"/>
  <c r="B155"/>
  <c r="M154"/>
  <c r="E154"/>
  <c r="B154"/>
  <c r="M153"/>
  <c r="E153"/>
  <c r="B153"/>
  <c r="M152"/>
  <c r="E152"/>
  <c r="B152"/>
  <c r="M151"/>
  <c r="E151"/>
  <c r="B151"/>
  <c r="M150"/>
  <c r="E150"/>
  <c r="B150"/>
  <c r="M149"/>
  <c r="E149"/>
  <c r="B149"/>
  <c r="E148"/>
  <c r="B148"/>
  <c r="E147"/>
  <c r="B147"/>
  <c r="E146"/>
  <c r="B146"/>
  <c r="E145"/>
  <c r="B145"/>
  <c r="M144"/>
  <c r="M146" s="1"/>
  <c r="E144"/>
  <c r="B144"/>
  <c r="M143"/>
  <c r="M145" s="1"/>
  <c r="E143"/>
  <c r="B143"/>
  <c r="M142"/>
  <c r="E142"/>
  <c r="B142"/>
  <c r="M141"/>
  <c r="E141"/>
  <c r="B141"/>
  <c r="M140"/>
  <c r="E140"/>
  <c r="B140"/>
  <c r="M139"/>
  <c r="E139"/>
  <c r="B139"/>
  <c r="M138"/>
  <c r="E138"/>
  <c r="B138"/>
  <c r="M137"/>
  <c r="E137"/>
  <c r="B137"/>
  <c r="M136"/>
  <c r="E136"/>
  <c r="B136"/>
  <c r="M135"/>
  <c r="E135"/>
  <c r="B135"/>
  <c r="E134"/>
  <c r="B134"/>
  <c r="E133"/>
  <c r="B133"/>
  <c r="E274"/>
  <c r="B274"/>
  <c r="E273"/>
  <c r="B273"/>
  <c r="E272"/>
  <c r="B272"/>
  <c r="E271"/>
  <c r="B271"/>
  <c r="E270"/>
  <c r="B270"/>
  <c r="E266"/>
  <c r="B266"/>
  <c r="E265"/>
  <c r="B265"/>
  <c r="E264"/>
  <c r="B264"/>
  <c r="E263"/>
  <c r="B263"/>
  <c r="E262"/>
  <c r="B262"/>
  <c r="E261"/>
  <c r="B261"/>
  <c r="E260"/>
  <c r="B260"/>
  <c r="E259"/>
  <c r="B259"/>
  <c r="D112" i="60"/>
  <c r="G112" s="1"/>
  <c r="E248" i="34"/>
  <c r="B248"/>
  <c r="E247"/>
  <c r="B247"/>
  <c r="E246"/>
  <c r="B246"/>
  <c r="E245"/>
  <c r="B245"/>
  <c r="E244"/>
  <c r="B244"/>
  <c r="E243"/>
  <c r="B243"/>
  <c r="E242"/>
  <c r="B242"/>
  <c r="E241"/>
  <c r="B241"/>
  <c r="E240"/>
  <c r="B240"/>
  <c r="E239"/>
  <c r="B239"/>
  <c r="E232"/>
  <c r="E238"/>
  <c r="B232"/>
  <c r="E231"/>
  <c r="B231"/>
  <c r="E230"/>
  <c r="B230"/>
  <c r="E229"/>
  <c r="B229"/>
  <c r="E228"/>
  <c r="B228"/>
  <c r="D113" i="60"/>
  <c r="G113" s="1"/>
  <c r="D114"/>
  <c r="G114" s="1"/>
  <c r="G115"/>
  <c r="D116"/>
  <c r="G116" s="1"/>
  <c r="D117"/>
  <c r="G117" s="1"/>
  <c r="D118"/>
  <c r="G118" s="1"/>
  <c r="G119"/>
  <c r="D120"/>
  <c r="G120" s="1"/>
  <c r="D121"/>
  <c r="G121" s="1"/>
  <c r="D122"/>
  <c r="G122" s="1"/>
  <c r="D123"/>
  <c r="G123" s="1"/>
  <c r="D124"/>
  <c r="G124" s="1"/>
  <c r="C222" i="34"/>
  <c r="AD222" s="1"/>
  <c r="C221"/>
  <c r="AD221" s="1"/>
  <c r="C220"/>
  <c r="AD220" s="1"/>
  <c r="C219"/>
  <c r="AD219" s="1"/>
  <c r="C218"/>
  <c r="AD218" s="1"/>
  <c r="D88" i="60"/>
  <c r="G88" s="1"/>
  <c r="D89"/>
  <c r="G89" s="1"/>
  <c r="D90"/>
  <c r="G90" s="1"/>
  <c r="A91"/>
  <c r="C91"/>
  <c r="D91" s="1"/>
  <c r="G91" s="1"/>
  <c r="M213" i="34"/>
  <c r="E213"/>
  <c r="B213"/>
  <c r="M215"/>
  <c r="E215"/>
  <c r="B215"/>
  <c r="M214"/>
  <c r="E214"/>
  <c r="B214"/>
  <c r="M216"/>
  <c r="M224"/>
  <c r="M225"/>
  <c r="M226"/>
  <c r="M227"/>
  <c r="M249"/>
  <c r="M250"/>
  <c r="M251"/>
  <c r="M252"/>
  <c r="M253"/>
  <c r="M254"/>
  <c r="M255"/>
  <c r="M256"/>
  <c r="M257"/>
  <c r="M258"/>
  <c r="M267"/>
  <c r="M268"/>
  <c r="M269"/>
  <c r="M276"/>
  <c r="M277"/>
  <c r="M278"/>
  <c r="M279"/>
  <c r="M280"/>
  <c r="M281"/>
  <c r="M282"/>
  <c r="M283"/>
  <c r="M284"/>
  <c r="M285"/>
  <c r="E285"/>
  <c r="B285"/>
  <c r="E284"/>
  <c r="B284"/>
  <c r="E283"/>
  <c r="B283"/>
  <c r="E282"/>
  <c r="B282"/>
  <c r="E281"/>
  <c r="B281"/>
  <c r="E280"/>
  <c r="B280"/>
  <c r="E279"/>
  <c r="B279"/>
  <c r="E278"/>
  <c r="B278"/>
  <c r="E277"/>
  <c r="B277"/>
  <c r="E276"/>
  <c r="B276"/>
  <c r="E269"/>
  <c r="B269"/>
  <c r="E268"/>
  <c r="B268"/>
  <c r="E267"/>
  <c r="B267"/>
  <c r="E258"/>
  <c r="B258"/>
  <c r="E257"/>
  <c r="B257"/>
  <c r="E256"/>
  <c r="B256"/>
  <c r="E255"/>
  <c r="B255"/>
  <c r="E254"/>
  <c r="B254"/>
  <c r="E253"/>
  <c r="B253"/>
  <c r="E252"/>
  <c r="B252"/>
  <c r="E251"/>
  <c r="B251"/>
  <c r="E250"/>
  <c r="B250"/>
  <c r="E249"/>
  <c r="B249"/>
  <c r="E237"/>
  <c r="B237"/>
  <c r="E236"/>
  <c r="B236"/>
  <c r="E235"/>
  <c r="B235"/>
  <c r="E234"/>
  <c r="B234"/>
  <c r="E233"/>
  <c r="B233"/>
  <c r="C227"/>
  <c r="AD227" s="1"/>
  <c r="C226"/>
  <c r="AD226" s="1"/>
  <c r="C225"/>
  <c r="AD225" s="1"/>
  <c r="C224"/>
  <c r="AD224" s="1"/>
  <c r="C223"/>
  <c r="AD223" s="1"/>
  <c r="E216"/>
  <c r="B216"/>
  <c r="E186"/>
  <c r="E187"/>
  <c r="E188"/>
  <c r="E189"/>
  <c r="E48"/>
  <c r="B48"/>
  <c r="E47"/>
  <c r="B47"/>
  <c r="E46"/>
  <c r="B46"/>
  <c r="E45"/>
  <c r="B45"/>
  <c r="E44"/>
  <c r="B44"/>
  <c r="E43"/>
  <c r="B43"/>
  <c r="E33"/>
  <c r="E34"/>
  <c r="E42"/>
  <c r="B42"/>
  <c r="E41"/>
  <c r="B41"/>
  <c r="E40"/>
  <c r="B40"/>
  <c r="E39"/>
  <c r="B39"/>
  <c r="E38"/>
  <c r="B38"/>
  <c r="E37"/>
  <c r="B37"/>
  <c r="E36"/>
  <c r="B36"/>
  <c r="E35"/>
  <c r="B35"/>
  <c r="B34"/>
  <c r="B2304"/>
  <c r="B2303"/>
  <c r="B2302"/>
  <c r="B2301"/>
  <c r="B2300"/>
  <c r="B2299"/>
  <c r="B2298"/>
  <c r="B2297"/>
  <c r="B2296"/>
  <c r="B2295"/>
  <c r="B2294"/>
  <c r="B2293"/>
  <c r="B2292"/>
  <c r="B2291"/>
  <c r="B2290"/>
  <c r="B2289"/>
  <c r="B2288"/>
  <c r="B2287"/>
  <c r="B2286"/>
  <c r="B2285"/>
  <c r="B2284"/>
  <c r="B2283"/>
  <c r="B2282"/>
  <c r="B2281"/>
  <c r="B2280"/>
  <c r="B2279"/>
  <c r="B2278"/>
  <c r="B2277"/>
  <c r="B2276"/>
  <c r="B2275"/>
  <c r="B2274"/>
  <c r="B2273"/>
  <c r="B2272"/>
  <c r="B2271"/>
  <c r="B2270"/>
  <c r="B2269"/>
  <c r="B2268"/>
  <c r="B2267"/>
  <c r="B2266"/>
  <c r="B2265"/>
  <c r="B2264"/>
  <c r="B2263"/>
  <c r="B2262"/>
  <c r="B2261"/>
  <c r="B2260"/>
  <c r="B2259"/>
  <c r="B2258"/>
  <c r="B2257"/>
  <c r="B2256"/>
  <c r="B2255"/>
  <c r="B2254"/>
  <c r="B2253"/>
  <c r="B2252"/>
  <c r="B2251"/>
  <c r="B2250"/>
  <c r="B2249"/>
  <c r="B2248"/>
  <c r="B2247"/>
  <c r="B2246"/>
  <c r="B2245"/>
  <c r="B2244"/>
  <c r="B2243"/>
  <c r="B2242"/>
  <c r="B2241"/>
  <c r="B2240"/>
  <c r="B2239"/>
  <c r="B2238"/>
  <c r="B2237"/>
  <c r="B2236"/>
  <c r="B2235"/>
  <c r="B2234"/>
  <c r="B2233"/>
  <c r="B2232"/>
  <c r="B2231"/>
  <c r="B2230"/>
  <c r="B2229"/>
  <c r="B2228"/>
  <c r="B2227"/>
  <c r="B2226"/>
  <c r="B2225"/>
  <c r="B2224"/>
  <c r="B2223"/>
  <c r="B2222"/>
  <c r="B2221"/>
  <c r="B2220"/>
  <c r="B2219"/>
  <c r="B2218"/>
  <c r="B2217"/>
  <c r="B2216"/>
  <c r="B2215"/>
  <c r="B2214"/>
  <c r="B2213"/>
  <c r="B2212"/>
  <c r="B2211"/>
  <c r="B2210"/>
  <c r="B2209"/>
  <c r="B2208"/>
  <c r="B2207"/>
  <c r="B2206"/>
  <c r="B2205"/>
  <c r="B2204"/>
  <c r="B2203"/>
  <c r="B2202"/>
  <c r="B2201"/>
  <c r="B2200"/>
  <c r="B2199"/>
  <c r="B2198"/>
  <c r="B2197"/>
  <c r="B2196"/>
  <c r="B2195"/>
  <c r="B2194"/>
  <c r="B2193"/>
  <c r="B2192"/>
  <c r="B2191"/>
  <c r="B2190"/>
  <c r="B2189"/>
  <c r="B2188"/>
  <c r="B2187"/>
  <c r="B2186"/>
  <c r="B2185"/>
  <c r="B2184"/>
  <c r="B2183"/>
  <c r="B2182"/>
  <c r="B2181"/>
  <c r="B2180"/>
  <c r="B2179"/>
  <c r="B2178"/>
  <c r="B2177"/>
  <c r="B2176"/>
  <c r="B2175"/>
  <c r="B2174"/>
  <c r="B2435"/>
  <c r="B2434"/>
  <c r="B2433"/>
  <c r="B2432"/>
  <c r="B2431"/>
  <c r="B2430"/>
  <c r="B2429"/>
  <c r="B2428"/>
  <c r="B2427"/>
  <c r="B2426"/>
  <c r="B2425"/>
  <c r="B2424"/>
  <c r="B2423"/>
  <c r="B2422"/>
  <c r="B2421"/>
  <c r="B2420"/>
  <c r="B2419"/>
  <c r="B2418"/>
  <c r="B2417"/>
  <c r="B2416"/>
  <c r="B2415"/>
  <c r="B2414"/>
  <c r="B2413"/>
  <c r="B2412"/>
  <c r="B2411"/>
  <c r="B2410"/>
  <c r="B2409"/>
  <c r="B2408"/>
  <c r="B2407"/>
  <c r="B2406"/>
  <c r="B2405"/>
  <c r="B2404"/>
  <c r="B2403"/>
  <c r="B2402"/>
  <c r="B2401"/>
  <c r="B2400"/>
  <c r="B2399"/>
  <c r="B2398"/>
  <c r="B2397"/>
  <c r="B2396"/>
  <c r="B2395"/>
  <c r="B2394"/>
  <c r="B2393"/>
  <c r="B2392"/>
  <c r="B2391"/>
  <c r="B2390"/>
  <c r="B2389"/>
  <c r="B2388"/>
  <c r="B2387"/>
  <c r="B2386"/>
  <c r="B2385"/>
  <c r="B2384"/>
  <c r="B2383"/>
  <c r="B2382"/>
  <c r="B2381"/>
  <c r="B2380"/>
  <c r="B2379"/>
  <c r="B2378"/>
  <c r="B2377"/>
  <c r="B2376"/>
  <c r="B2375"/>
  <c r="B2374"/>
  <c r="B2373"/>
  <c r="B2372"/>
  <c r="B2371"/>
  <c r="B2370"/>
  <c r="B2369"/>
  <c r="B2368"/>
  <c r="B2367"/>
  <c r="B2366"/>
  <c r="B2365"/>
  <c r="B2364"/>
  <c r="B2363"/>
  <c r="B2362"/>
  <c r="B2361"/>
  <c r="B2360"/>
  <c r="B2359"/>
  <c r="B2358"/>
  <c r="B2357"/>
  <c r="B2356"/>
  <c r="B2355"/>
  <c r="B2354"/>
  <c r="B2353"/>
  <c r="B2352"/>
  <c r="B2351"/>
  <c r="B2350"/>
  <c r="B2349"/>
  <c r="B2348"/>
  <c r="B2347"/>
  <c r="B2346"/>
  <c r="B2345"/>
  <c r="B2344"/>
  <c r="B2343"/>
  <c r="B2342"/>
  <c r="B2341"/>
  <c r="B2340"/>
  <c r="B2339"/>
  <c r="B2338"/>
  <c r="B2337"/>
  <c r="B2336"/>
  <c r="B2335"/>
  <c r="B2334"/>
  <c r="B2333"/>
  <c r="B2332"/>
  <c r="B2331"/>
  <c r="B2330"/>
  <c r="B2329"/>
  <c r="B2328"/>
  <c r="B2327"/>
  <c r="B2326"/>
  <c r="B2325"/>
  <c r="B2324"/>
  <c r="B2323"/>
  <c r="B2322"/>
  <c r="B2321"/>
  <c r="B2320"/>
  <c r="B2319"/>
  <c r="B2318"/>
  <c r="B2317"/>
  <c r="B2316"/>
  <c r="B2315"/>
  <c r="B2314"/>
  <c r="B2313"/>
  <c r="B2312"/>
  <c r="B2311"/>
  <c r="B2310"/>
  <c r="B2309"/>
  <c r="B2308"/>
  <c r="B2307"/>
  <c r="B2306"/>
  <c r="B2305"/>
  <c r="B2566"/>
  <c r="B2565"/>
  <c r="B2564"/>
  <c r="B2563"/>
  <c r="B2562"/>
  <c r="B2561"/>
  <c r="B2560"/>
  <c r="B2559"/>
  <c r="B2558"/>
  <c r="B2557"/>
  <c r="B2556"/>
  <c r="B2555"/>
  <c r="B2554"/>
  <c r="B2553"/>
  <c r="B2552"/>
  <c r="B2551"/>
  <c r="B2550"/>
  <c r="B2549"/>
  <c r="B2548"/>
  <c r="B2547"/>
  <c r="B2546"/>
  <c r="B2545"/>
  <c r="B2544"/>
  <c r="B2543"/>
  <c r="B2542"/>
  <c r="B2541"/>
  <c r="B2540"/>
  <c r="B2539"/>
  <c r="B2538"/>
  <c r="B2537"/>
  <c r="B2536"/>
  <c r="B2535"/>
  <c r="B2534"/>
  <c r="B2533"/>
  <c r="B2532"/>
  <c r="B2531"/>
  <c r="B2530"/>
  <c r="B2529"/>
  <c r="B2528"/>
  <c r="B2527"/>
  <c r="B2526"/>
  <c r="B2525"/>
  <c r="B2524"/>
  <c r="B2523"/>
  <c r="B2522"/>
  <c r="B2521"/>
  <c r="B2520"/>
  <c r="B2519"/>
  <c r="B2518"/>
  <c r="B2517"/>
  <c r="B2516"/>
  <c r="B2515"/>
  <c r="B2514"/>
  <c r="B2513"/>
  <c r="B2512"/>
  <c r="B2511"/>
  <c r="B2510"/>
  <c r="B2509"/>
  <c r="B2508"/>
  <c r="B2507"/>
  <c r="B2506"/>
  <c r="B2505"/>
  <c r="B2504"/>
  <c r="B2503"/>
  <c r="B2502"/>
  <c r="B2501"/>
  <c r="B2500"/>
  <c r="B2499"/>
  <c r="B2498"/>
  <c r="B2497"/>
  <c r="B2496"/>
  <c r="B2495"/>
  <c r="B2494"/>
  <c r="B2493"/>
  <c r="B2492"/>
  <c r="B2491"/>
  <c r="B2490"/>
  <c r="B2489"/>
  <c r="B2488"/>
  <c r="B2487"/>
  <c r="B2486"/>
  <c r="B2485"/>
  <c r="B2484"/>
  <c r="B2483"/>
  <c r="B2482"/>
  <c r="B2481"/>
  <c r="B2480"/>
  <c r="B2479"/>
  <c r="B2478"/>
  <c r="B2477"/>
  <c r="B2476"/>
  <c r="B2475"/>
  <c r="B2474"/>
  <c r="B2473"/>
  <c r="B2472"/>
  <c r="B2471"/>
  <c r="B2470"/>
  <c r="B2469"/>
  <c r="B2468"/>
  <c r="B2467"/>
  <c r="B2466"/>
  <c r="B2465"/>
  <c r="B2464"/>
  <c r="B2463"/>
  <c r="B2462"/>
  <c r="B2461"/>
  <c r="B2460"/>
  <c r="B2459"/>
  <c r="B2458"/>
  <c r="B2457"/>
  <c r="B2456"/>
  <c r="B2455"/>
  <c r="B2454"/>
  <c r="B2453"/>
  <c r="B2452"/>
  <c r="B2451"/>
  <c r="B2450"/>
  <c r="B2449"/>
  <c r="B2448"/>
  <c r="B2447"/>
  <c r="B2446"/>
  <c r="B2445"/>
  <c r="B2444"/>
  <c r="B2443"/>
  <c r="B2442"/>
  <c r="B2441"/>
  <c r="B2440"/>
  <c r="B2439"/>
  <c r="B2438"/>
  <c r="B2437"/>
  <c r="B2436"/>
  <c r="B2697"/>
  <c r="B2696"/>
  <c r="B2695"/>
  <c r="B2694"/>
  <c r="B2693"/>
  <c r="B2692"/>
  <c r="B2691"/>
  <c r="B2690"/>
  <c r="B2689"/>
  <c r="B2688"/>
  <c r="B2687"/>
  <c r="B2686"/>
  <c r="B2685"/>
  <c r="B2684"/>
  <c r="B2683"/>
  <c r="B2682"/>
  <c r="B2681"/>
  <c r="B2680"/>
  <c r="B2679"/>
  <c r="B2678"/>
  <c r="B2677"/>
  <c r="B2676"/>
  <c r="B2675"/>
  <c r="B2674"/>
  <c r="B2673"/>
  <c r="B2672"/>
  <c r="B2671"/>
  <c r="B2670"/>
  <c r="B2669"/>
  <c r="B2668"/>
  <c r="B2667"/>
  <c r="B2666"/>
  <c r="B2665"/>
  <c r="B2664"/>
  <c r="B2663"/>
  <c r="B2662"/>
  <c r="B2661"/>
  <c r="B2660"/>
  <c r="B2659"/>
  <c r="B2658"/>
  <c r="B2657"/>
  <c r="B2656"/>
  <c r="B2655"/>
  <c r="B2654"/>
  <c r="B2653"/>
  <c r="B2652"/>
  <c r="B2651"/>
  <c r="B2650"/>
  <c r="B2649"/>
  <c r="B2648"/>
  <c r="B2647"/>
  <c r="B2646"/>
  <c r="B2645"/>
  <c r="B2644"/>
  <c r="B2643"/>
  <c r="B2642"/>
  <c r="B2641"/>
  <c r="B2640"/>
  <c r="B2639"/>
  <c r="B2638"/>
  <c r="B2637"/>
  <c r="B2636"/>
  <c r="B2635"/>
  <c r="B2634"/>
  <c r="B2633"/>
  <c r="B2632"/>
  <c r="B2631"/>
  <c r="B2630"/>
  <c r="B2629"/>
  <c r="B2628"/>
  <c r="B2627"/>
  <c r="B2626"/>
  <c r="B2625"/>
  <c r="B2624"/>
  <c r="B2623"/>
  <c r="B2622"/>
  <c r="B2621"/>
  <c r="B2620"/>
  <c r="B2619"/>
  <c r="B2618"/>
  <c r="B2617"/>
  <c r="B2616"/>
  <c r="B2615"/>
  <c r="B2614"/>
  <c r="B2613"/>
  <c r="B2612"/>
  <c r="B2611"/>
  <c r="B2610"/>
  <c r="B2609"/>
  <c r="B2608"/>
  <c r="B2607"/>
  <c r="B2606"/>
  <c r="B2605"/>
  <c r="B2604"/>
  <c r="B2603"/>
  <c r="B2602"/>
  <c r="B2601"/>
  <c r="B2600"/>
  <c r="B2599"/>
  <c r="B2598"/>
  <c r="B2597"/>
  <c r="B2596"/>
  <c r="B2595"/>
  <c r="B2594"/>
  <c r="B2593"/>
  <c r="B2592"/>
  <c r="B2591"/>
  <c r="B2590"/>
  <c r="B2589"/>
  <c r="B2588"/>
  <c r="B2587"/>
  <c r="B2586"/>
  <c r="B2585"/>
  <c r="B2584"/>
  <c r="B2583"/>
  <c r="B2582"/>
  <c r="B2581"/>
  <c r="B2580"/>
  <c r="B2579"/>
  <c r="B2578"/>
  <c r="B2577"/>
  <c r="B2576"/>
  <c r="B2575"/>
  <c r="B2574"/>
  <c r="B2573"/>
  <c r="B2572"/>
  <c r="B2571"/>
  <c r="B2570"/>
  <c r="B2569"/>
  <c r="B2568"/>
  <c r="B2567"/>
  <c r="M2062"/>
  <c r="E2062"/>
  <c r="B2062"/>
  <c r="M2059"/>
  <c r="E2060"/>
  <c r="B2060"/>
  <c r="E2023"/>
  <c r="B2023"/>
  <c r="M2022"/>
  <c r="E2022"/>
  <c r="B2022"/>
  <c r="R2574" l="1"/>
  <c r="S2574"/>
  <c r="Q2574"/>
  <c r="R2586"/>
  <c r="S2586"/>
  <c r="Q2586"/>
  <c r="R2598"/>
  <c r="S2598"/>
  <c r="Q2598"/>
  <c r="R2610"/>
  <c r="S2610"/>
  <c r="Q2610"/>
  <c r="R2618"/>
  <c r="S2618"/>
  <c r="Q2618"/>
  <c r="R2630"/>
  <c r="S2630"/>
  <c r="Q2630"/>
  <c r="R2642"/>
  <c r="S2642"/>
  <c r="Q2642"/>
  <c r="R2654"/>
  <c r="S2654"/>
  <c r="Q2654"/>
  <c r="R2662"/>
  <c r="S2662"/>
  <c r="Q2662"/>
  <c r="R2674"/>
  <c r="S2674"/>
  <c r="Q2674"/>
  <c r="R2686"/>
  <c r="S2686"/>
  <c r="Q2686"/>
  <c r="Q2436"/>
  <c r="R2436"/>
  <c r="S2436"/>
  <c r="Q2448"/>
  <c r="R2448"/>
  <c r="S2448"/>
  <c r="Q2460"/>
  <c r="R2460"/>
  <c r="S2460"/>
  <c r="Q2468"/>
  <c r="R2468"/>
  <c r="S2468"/>
  <c r="Q2480"/>
  <c r="R2480"/>
  <c r="S2480"/>
  <c r="Q2524"/>
  <c r="R2524"/>
  <c r="S2524"/>
  <c r="S2023"/>
  <c r="Q2023"/>
  <c r="R2023"/>
  <c r="Q2567"/>
  <c r="R2567"/>
  <c r="S2567"/>
  <c r="Q2571"/>
  <c r="R2571"/>
  <c r="S2571"/>
  <c r="Q2575"/>
  <c r="R2575"/>
  <c r="S2575"/>
  <c r="Q2579"/>
  <c r="R2579"/>
  <c r="S2579"/>
  <c r="Q2583"/>
  <c r="R2583"/>
  <c r="S2583"/>
  <c r="Q2587"/>
  <c r="R2587"/>
  <c r="S2587"/>
  <c r="Q2591"/>
  <c r="R2591"/>
  <c r="S2591"/>
  <c r="Q2595"/>
  <c r="R2595"/>
  <c r="S2595"/>
  <c r="Q2599"/>
  <c r="R2599"/>
  <c r="S2599"/>
  <c r="Q2603"/>
  <c r="R2603"/>
  <c r="S2603"/>
  <c r="Q2607"/>
  <c r="R2607"/>
  <c r="S2607"/>
  <c r="Q2611"/>
  <c r="R2611"/>
  <c r="S2611"/>
  <c r="Q2615"/>
  <c r="R2615"/>
  <c r="S2615"/>
  <c r="A2619"/>
  <c r="Q2619"/>
  <c r="R2619"/>
  <c r="S2619"/>
  <c r="Q2623"/>
  <c r="R2623"/>
  <c r="S2623"/>
  <c r="A2627"/>
  <c r="Q2627"/>
  <c r="R2627"/>
  <c r="S2627"/>
  <c r="Q2631"/>
  <c r="R2631"/>
  <c r="S2631"/>
  <c r="A2635"/>
  <c r="Q2635"/>
  <c r="R2635"/>
  <c r="S2635"/>
  <c r="Q2639"/>
  <c r="R2639"/>
  <c r="S2639"/>
  <c r="Q2643"/>
  <c r="R2643"/>
  <c r="S2643"/>
  <c r="Q2647"/>
  <c r="R2647"/>
  <c r="S2647"/>
  <c r="Q2651"/>
  <c r="R2651"/>
  <c r="S2651"/>
  <c r="Q2655"/>
  <c r="R2655"/>
  <c r="S2655"/>
  <c r="Q2659"/>
  <c r="R2659"/>
  <c r="S2659"/>
  <c r="Q2663"/>
  <c r="R2663"/>
  <c r="S2663"/>
  <c r="Q2667"/>
  <c r="R2667"/>
  <c r="S2667"/>
  <c r="Q2671"/>
  <c r="R2671"/>
  <c r="S2671"/>
  <c r="Q2675"/>
  <c r="R2675"/>
  <c r="S2675"/>
  <c r="Q2679"/>
  <c r="R2679"/>
  <c r="S2679"/>
  <c r="Q2683"/>
  <c r="R2683"/>
  <c r="S2683"/>
  <c r="Q2687"/>
  <c r="R2687"/>
  <c r="S2687"/>
  <c r="Q2691"/>
  <c r="R2691"/>
  <c r="S2691"/>
  <c r="Q2695"/>
  <c r="R2695"/>
  <c r="S2695"/>
  <c r="S2437"/>
  <c r="Q2437"/>
  <c r="R2437"/>
  <c r="S2441"/>
  <c r="Q2441"/>
  <c r="R2441"/>
  <c r="S2445"/>
  <c r="Q2445"/>
  <c r="R2445"/>
  <c r="S2449"/>
  <c r="Q2449"/>
  <c r="R2449"/>
  <c r="S2453"/>
  <c r="Q2453"/>
  <c r="R2453"/>
  <c r="S2457"/>
  <c r="Q2457"/>
  <c r="R2457"/>
  <c r="S2461"/>
  <c r="Q2461"/>
  <c r="R2461"/>
  <c r="S2465"/>
  <c r="Q2465"/>
  <c r="R2465"/>
  <c r="S2469"/>
  <c r="Q2469"/>
  <c r="R2469"/>
  <c r="S2473"/>
  <c r="Q2473"/>
  <c r="R2473"/>
  <c r="S2477"/>
  <c r="Q2477"/>
  <c r="R2477"/>
  <c r="S2481"/>
  <c r="Q2481"/>
  <c r="R2481"/>
  <c r="S2485"/>
  <c r="Q2485"/>
  <c r="R2485"/>
  <c r="S2489"/>
  <c r="Q2489"/>
  <c r="R2489"/>
  <c r="S2493"/>
  <c r="Q2493"/>
  <c r="R2493"/>
  <c r="S2497"/>
  <c r="Q2497"/>
  <c r="R2497"/>
  <c r="S2501"/>
  <c r="Q2501"/>
  <c r="R2501"/>
  <c r="S2505"/>
  <c r="Q2505"/>
  <c r="R2505"/>
  <c r="S2509"/>
  <c r="Q2509"/>
  <c r="R2509"/>
  <c r="S2513"/>
  <c r="Q2513"/>
  <c r="R2513"/>
  <c r="S2517"/>
  <c r="Q2517"/>
  <c r="R2517"/>
  <c r="S2521"/>
  <c r="Q2521"/>
  <c r="R2521"/>
  <c r="S2525"/>
  <c r="Q2525"/>
  <c r="R2525"/>
  <c r="S2529"/>
  <c r="Q2529"/>
  <c r="R2529"/>
  <c r="S2533"/>
  <c r="Q2533"/>
  <c r="R2533"/>
  <c r="S2537"/>
  <c r="R2537"/>
  <c r="Q2537"/>
  <c r="S2541"/>
  <c r="R2541"/>
  <c r="Q2541"/>
  <c r="S2545"/>
  <c r="R2545"/>
  <c r="Q2545"/>
  <c r="S2549"/>
  <c r="R2549"/>
  <c r="Q2549"/>
  <c r="S2553"/>
  <c r="R2553"/>
  <c r="Q2553"/>
  <c r="R2557"/>
  <c r="Q2557"/>
  <c r="S2557"/>
  <c r="S2561"/>
  <c r="Q2561"/>
  <c r="R2561"/>
  <c r="S2565"/>
  <c r="Q2565"/>
  <c r="R2565"/>
  <c r="Q2307"/>
  <c r="R2307"/>
  <c r="S2307"/>
  <c r="Q2311"/>
  <c r="R2311"/>
  <c r="S2311"/>
  <c r="Q2315"/>
  <c r="R2315"/>
  <c r="S2315"/>
  <c r="Q2319"/>
  <c r="R2319"/>
  <c r="S2319"/>
  <c r="Q2323"/>
  <c r="R2323"/>
  <c r="S2323"/>
  <c r="Q2327"/>
  <c r="R2327"/>
  <c r="S2327"/>
  <c r="Q2331"/>
  <c r="R2331"/>
  <c r="S2331"/>
  <c r="Q2335"/>
  <c r="R2335"/>
  <c r="S2335"/>
  <c r="Q2339"/>
  <c r="R2339"/>
  <c r="S2339"/>
  <c r="Q2343"/>
  <c r="R2343"/>
  <c r="S2343"/>
  <c r="Q2347"/>
  <c r="R2347"/>
  <c r="S2347"/>
  <c r="Q2351"/>
  <c r="R2351"/>
  <c r="S2351"/>
  <c r="Q2355"/>
  <c r="R2355"/>
  <c r="S2355"/>
  <c r="Q2359"/>
  <c r="R2359"/>
  <c r="S2359"/>
  <c r="Q2363"/>
  <c r="R2363"/>
  <c r="S2363"/>
  <c r="Q2367"/>
  <c r="R2367"/>
  <c r="S2367"/>
  <c r="Q2371"/>
  <c r="R2371"/>
  <c r="S2371"/>
  <c r="Q2375"/>
  <c r="R2375"/>
  <c r="S2375"/>
  <c r="Q2379"/>
  <c r="R2379"/>
  <c r="S2379"/>
  <c r="Q2383"/>
  <c r="R2383"/>
  <c r="S2383"/>
  <c r="Q2387"/>
  <c r="R2387"/>
  <c r="S2387"/>
  <c r="Q2391"/>
  <c r="R2391"/>
  <c r="S2391"/>
  <c r="Q2395"/>
  <c r="R2395"/>
  <c r="S2395"/>
  <c r="Q2399"/>
  <c r="R2399"/>
  <c r="S2399"/>
  <c r="Q2403"/>
  <c r="R2403"/>
  <c r="S2403"/>
  <c r="Q2407"/>
  <c r="R2407"/>
  <c r="S2407"/>
  <c r="Q2411"/>
  <c r="R2411"/>
  <c r="S2411"/>
  <c r="Q2415"/>
  <c r="R2415"/>
  <c r="S2415"/>
  <c r="Q2419"/>
  <c r="R2419"/>
  <c r="S2419"/>
  <c r="Q2423"/>
  <c r="R2423"/>
  <c r="S2423"/>
  <c r="Q2427"/>
  <c r="R2427"/>
  <c r="S2427"/>
  <c r="Q2431"/>
  <c r="R2431"/>
  <c r="S2431"/>
  <c r="Q2435"/>
  <c r="R2435"/>
  <c r="S2435"/>
  <c r="S2177"/>
  <c r="Q2177"/>
  <c r="R2177"/>
  <c r="S2181"/>
  <c r="Q2181"/>
  <c r="R2181"/>
  <c r="S2185"/>
  <c r="Q2185"/>
  <c r="R2185"/>
  <c r="S2189"/>
  <c r="Q2189"/>
  <c r="R2189"/>
  <c r="S2193"/>
  <c r="Q2193"/>
  <c r="R2193"/>
  <c r="S2197"/>
  <c r="Q2197"/>
  <c r="R2197"/>
  <c r="S2201"/>
  <c r="Q2201"/>
  <c r="R2201"/>
  <c r="S2205"/>
  <c r="Q2205"/>
  <c r="R2205"/>
  <c r="S2209"/>
  <c r="Q2209"/>
  <c r="R2209"/>
  <c r="S2213"/>
  <c r="Q2213"/>
  <c r="R2213"/>
  <c r="S2217"/>
  <c r="Q2217"/>
  <c r="R2217"/>
  <c r="S2221"/>
  <c r="Q2221"/>
  <c r="R2221"/>
  <c r="S2225"/>
  <c r="Q2225"/>
  <c r="R2225"/>
  <c r="S2229"/>
  <c r="Q2229"/>
  <c r="R2229"/>
  <c r="S2233"/>
  <c r="Q2233"/>
  <c r="R2233"/>
  <c r="S2237"/>
  <c r="Q2237"/>
  <c r="R2237"/>
  <c r="S2241"/>
  <c r="Q2241"/>
  <c r="R2241"/>
  <c r="S2245"/>
  <c r="Q2245"/>
  <c r="R2245"/>
  <c r="S2249"/>
  <c r="Q2249"/>
  <c r="R2249"/>
  <c r="S2253"/>
  <c r="Q2253"/>
  <c r="R2253"/>
  <c r="S2257"/>
  <c r="Q2257"/>
  <c r="R2257"/>
  <c r="S2261"/>
  <c r="Q2261"/>
  <c r="R2261"/>
  <c r="S2265"/>
  <c r="Q2265"/>
  <c r="R2265"/>
  <c r="S2269"/>
  <c r="Q2269"/>
  <c r="R2269"/>
  <c r="S2273"/>
  <c r="Q2273"/>
  <c r="R2273"/>
  <c r="S2277"/>
  <c r="Q2277"/>
  <c r="R2277"/>
  <c r="S2281"/>
  <c r="Q2281"/>
  <c r="R2281"/>
  <c r="S2285"/>
  <c r="Q2285"/>
  <c r="R2285"/>
  <c r="S2289"/>
  <c r="Q2289"/>
  <c r="R2289"/>
  <c r="S2293"/>
  <c r="Q2293"/>
  <c r="R2293"/>
  <c r="S2297"/>
  <c r="Q2297"/>
  <c r="R2297"/>
  <c r="S2301"/>
  <c r="Q2301"/>
  <c r="R2301"/>
  <c r="Q34"/>
  <c r="R34"/>
  <c r="S34"/>
  <c r="Q234"/>
  <c r="R234"/>
  <c r="S234"/>
  <c r="R236"/>
  <c r="S236"/>
  <c r="Q236"/>
  <c r="Q249"/>
  <c r="R249"/>
  <c r="S249"/>
  <c r="S251"/>
  <c r="Q251"/>
  <c r="R251"/>
  <c r="Q253"/>
  <c r="R253"/>
  <c r="S253"/>
  <c r="S255"/>
  <c r="Q255"/>
  <c r="R255"/>
  <c r="Q257"/>
  <c r="R257"/>
  <c r="S257"/>
  <c r="R267"/>
  <c r="S267"/>
  <c r="Q267"/>
  <c r="Q269"/>
  <c r="R269"/>
  <c r="S269"/>
  <c r="Q277"/>
  <c r="R277"/>
  <c r="S277"/>
  <c r="A279"/>
  <c r="S279"/>
  <c r="Q279"/>
  <c r="R279"/>
  <c r="Q281"/>
  <c r="R281"/>
  <c r="S281"/>
  <c r="S283"/>
  <c r="Q283"/>
  <c r="R283"/>
  <c r="Q285"/>
  <c r="R285"/>
  <c r="S285"/>
  <c r="Q214"/>
  <c r="R214"/>
  <c r="S214"/>
  <c r="Q230"/>
  <c r="R230"/>
  <c r="S230"/>
  <c r="Q241"/>
  <c r="R241"/>
  <c r="S241"/>
  <c r="Q245"/>
  <c r="R245"/>
  <c r="S245"/>
  <c r="Q260"/>
  <c r="R260"/>
  <c r="S260"/>
  <c r="Q264"/>
  <c r="R264"/>
  <c r="S264"/>
  <c r="R271"/>
  <c r="S271"/>
  <c r="Q271"/>
  <c r="S133"/>
  <c r="Q133"/>
  <c r="R133"/>
  <c r="Q135"/>
  <c r="R135"/>
  <c r="S135"/>
  <c r="Q139"/>
  <c r="R139"/>
  <c r="S139"/>
  <c r="Q143"/>
  <c r="R143"/>
  <c r="S143"/>
  <c r="R146"/>
  <c r="S146"/>
  <c r="Q146"/>
  <c r="Q148"/>
  <c r="R148"/>
  <c r="S148"/>
  <c r="Q151"/>
  <c r="R151"/>
  <c r="S151"/>
  <c r="Q155"/>
  <c r="R155"/>
  <c r="S155"/>
  <c r="Q159"/>
  <c r="R159"/>
  <c r="S159"/>
  <c r="S2569"/>
  <c r="Q2569"/>
  <c r="R2569"/>
  <c r="S2577"/>
  <c r="Q2577"/>
  <c r="R2577"/>
  <c r="R2570"/>
  <c r="S2570"/>
  <c r="Q2570"/>
  <c r="R2578"/>
  <c r="S2578"/>
  <c r="Q2578"/>
  <c r="R2590"/>
  <c r="S2590"/>
  <c r="Q2590"/>
  <c r="R2602"/>
  <c r="S2602"/>
  <c r="Q2602"/>
  <c r="R2614"/>
  <c r="S2614"/>
  <c r="Q2614"/>
  <c r="R2622"/>
  <c r="S2622"/>
  <c r="Q2622"/>
  <c r="R2634"/>
  <c r="S2634"/>
  <c r="Q2634"/>
  <c r="R2646"/>
  <c r="S2646"/>
  <c r="Q2646"/>
  <c r="R2658"/>
  <c r="S2658"/>
  <c r="Q2658"/>
  <c r="R2670"/>
  <c r="S2670"/>
  <c r="Q2670"/>
  <c r="R2682"/>
  <c r="S2682"/>
  <c r="Q2682"/>
  <c r="R2694"/>
  <c r="S2694"/>
  <c r="Q2694"/>
  <c r="Q2440"/>
  <c r="R2440"/>
  <c r="S2440"/>
  <c r="Q2452"/>
  <c r="R2452"/>
  <c r="S2452"/>
  <c r="Q2484"/>
  <c r="R2484"/>
  <c r="S2484"/>
  <c r="Q2022"/>
  <c r="R2022"/>
  <c r="S2022"/>
  <c r="Q2062"/>
  <c r="R2062"/>
  <c r="S2062"/>
  <c r="Q2568"/>
  <c r="R2568"/>
  <c r="S2568"/>
  <c r="Q2572"/>
  <c r="R2572"/>
  <c r="S2572"/>
  <c r="Q2576"/>
  <c r="R2576"/>
  <c r="S2576"/>
  <c r="Q2580"/>
  <c r="R2580"/>
  <c r="S2580"/>
  <c r="Q2584"/>
  <c r="R2584"/>
  <c r="S2584"/>
  <c r="Q2588"/>
  <c r="R2588"/>
  <c r="S2588"/>
  <c r="Q2592"/>
  <c r="R2592"/>
  <c r="S2592"/>
  <c r="Q2596"/>
  <c r="R2596"/>
  <c r="S2596"/>
  <c r="Q2600"/>
  <c r="R2600"/>
  <c r="S2600"/>
  <c r="Q2604"/>
  <c r="R2604"/>
  <c r="S2604"/>
  <c r="Q2608"/>
  <c r="R2608"/>
  <c r="S2608"/>
  <c r="Q2612"/>
  <c r="R2612"/>
  <c r="S2612"/>
  <c r="Q2616"/>
  <c r="R2616"/>
  <c r="S2616"/>
  <c r="Q2620"/>
  <c r="R2620"/>
  <c r="S2620"/>
  <c r="Q2624"/>
  <c r="R2624"/>
  <c r="S2624"/>
  <c r="Q2628"/>
  <c r="R2628"/>
  <c r="S2628"/>
  <c r="Q2632"/>
  <c r="R2632"/>
  <c r="S2632"/>
  <c r="Q2636"/>
  <c r="R2636"/>
  <c r="S2636"/>
  <c r="Q2640"/>
  <c r="R2640"/>
  <c r="S2640"/>
  <c r="Q2644"/>
  <c r="R2644"/>
  <c r="S2644"/>
  <c r="Q2648"/>
  <c r="R2648"/>
  <c r="S2648"/>
  <c r="Q2652"/>
  <c r="R2652"/>
  <c r="S2652"/>
  <c r="Q2656"/>
  <c r="R2656"/>
  <c r="S2656"/>
  <c r="Q2660"/>
  <c r="R2660"/>
  <c r="S2660"/>
  <c r="Q2664"/>
  <c r="R2664"/>
  <c r="S2664"/>
  <c r="Q2668"/>
  <c r="R2668"/>
  <c r="S2668"/>
  <c r="Q2672"/>
  <c r="R2672"/>
  <c r="S2672"/>
  <c r="Q2676"/>
  <c r="R2676"/>
  <c r="S2676"/>
  <c r="Q2680"/>
  <c r="R2680"/>
  <c r="S2680"/>
  <c r="Q2684"/>
  <c r="R2684"/>
  <c r="S2684"/>
  <c r="Q2688"/>
  <c r="R2688"/>
  <c r="S2688"/>
  <c r="Q2692"/>
  <c r="R2692"/>
  <c r="S2692"/>
  <c r="Q2696"/>
  <c r="R2696"/>
  <c r="S2696"/>
  <c r="R2438"/>
  <c r="S2438"/>
  <c r="Q2438"/>
  <c r="R2442"/>
  <c r="S2442"/>
  <c r="Q2442"/>
  <c r="R2446"/>
  <c r="S2446"/>
  <c r="Q2446"/>
  <c r="R2450"/>
  <c r="S2450"/>
  <c r="Q2450"/>
  <c r="R2454"/>
  <c r="S2454"/>
  <c r="Q2454"/>
  <c r="R2458"/>
  <c r="S2458"/>
  <c r="Q2458"/>
  <c r="R2462"/>
  <c r="S2462"/>
  <c r="Q2462"/>
  <c r="R2466"/>
  <c r="S2466"/>
  <c r="Q2466"/>
  <c r="R2470"/>
  <c r="S2470"/>
  <c r="Q2470"/>
  <c r="R2474"/>
  <c r="S2474"/>
  <c r="Q2474"/>
  <c r="R2478"/>
  <c r="S2478"/>
  <c r="Q2478"/>
  <c r="R2482"/>
  <c r="S2482"/>
  <c r="Q2482"/>
  <c r="R2486"/>
  <c r="S2486"/>
  <c r="Q2486"/>
  <c r="R2490"/>
  <c r="S2490"/>
  <c r="Q2490"/>
  <c r="R2494"/>
  <c r="S2494"/>
  <c r="Q2494"/>
  <c r="R2498"/>
  <c r="S2498"/>
  <c r="Q2498"/>
  <c r="R2502"/>
  <c r="S2502"/>
  <c r="Q2502"/>
  <c r="R2506"/>
  <c r="S2506"/>
  <c r="Q2506"/>
  <c r="R2510"/>
  <c r="S2510"/>
  <c r="Q2510"/>
  <c r="R2514"/>
  <c r="S2514"/>
  <c r="Q2514"/>
  <c r="R2518"/>
  <c r="S2518"/>
  <c r="Q2518"/>
  <c r="R2522"/>
  <c r="S2522"/>
  <c r="Q2522"/>
  <c r="R2526"/>
  <c r="S2526"/>
  <c r="Q2526"/>
  <c r="R2530"/>
  <c r="S2530"/>
  <c r="Q2530"/>
  <c r="R2534"/>
  <c r="S2534"/>
  <c r="Q2534"/>
  <c r="R2538"/>
  <c r="S2538"/>
  <c r="Q2538"/>
  <c r="R2542"/>
  <c r="S2542"/>
  <c r="Q2542"/>
  <c r="R2546"/>
  <c r="Q2546"/>
  <c r="S2546"/>
  <c r="R2550"/>
  <c r="Q2550"/>
  <c r="S2550"/>
  <c r="R2554"/>
  <c r="Q2554"/>
  <c r="S2554"/>
  <c r="Q2558"/>
  <c r="R2558"/>
  <c r="S2558"/>
  <c r="R2562"/>
  <c r="S2562"/>
  <c r="Q2562"/>
  <c r="R2566"/>
  <c r="S2566"/>
  <c r="Q2566"/>
  <c r="Q2308"/>
  <c r="R2308"/>
  <c r="S2308"/>
  <c r="Q2312"/>
  <c r="R2312"/>
  <c r="S2312"/>
  <c r="Q2316"/>
  <c r="R2316"/>
  <c r="S2316"/>
  <c r="Q2320"/>
  <c r="R2320"/>
  <c r="S2320"/>
  <c r="Q2324"/>
  <c r="R2324"/>
  <c r="S2324"/>
  <c r="Q2328"/>
  <c r="R2328"/>
  <c r="S2328"/>
  <c r="Q2332"/>
  <c r="R2332"/>
  <c r="S2332"/>
  <c r="Q2336"/>
  <c r="R2336"/>
  <c r="S2336"/>
  <c r="Q2340"/>
  <c r="R2340"/>
  <c r="S2340"/>
  <c r="Q2344"/>
  <c r="R2344"/>
  <c r="S2344"/>
  <c r="Q2348"/>
  <c r="R2348"/>
  <c r="S2348"/>
  <c r="Q2352"/>
  <c r="R2352"/>
  <c r="S2352"/>
  <c r="Q2356"/>
  <c r="R2356"/>
  <c r="S2356"/>
  <c r="Q2360"/>
  <c r="R2360"/>
  <c r="S2360"/>
  <c r="Q2364"/>
  <c r="R2364"/>
  <c r="S2364"/>
  <c r="Q2368"/>
  <c r="R2368"/>
  <c r="S2368"/>
  <c r="Q2372"/>
  <c r="R2372"/>
  <c r="S2372"/>
  <c r="Q2376"/>
  <c r="R2376"/>
  <c r="S2376"/>
  <c r="Q2380"/>
  <c r="R2380"/>
  <c r="S2380"/>
  <c r="Q2384"/>
  <c r="R2384"/>
  <c r="S2384"/>
  <c r="Q2388"/>
  <c r="R2388"/>
  <c r="S2388"/>
  <c r="Q2392"/>
  <c r="R2392"/>
  <c r="S2392"/>
  <c r="Q2396"/>
  <c r="R2396"/>
  <c r="S2396"/>
  <c r="Q2400"/>
  <c r="R2400"/>
  <c r="S2400"/>
  <c r="Q2404"/>
  <c r="R2404"/>
  <c r="S2404"/>
  <c r="Q2408"/>
  <c r="R2408"/>
  <c r="S2408"/>
  <c r="Q2412"/>
  <c r="R2412"/>
  <c r="S2412"/>
  <c r="Q2416"/>
  <c r="R2416"/>
  <c r="S2416"/>
  <c r="Q2420"/>
  <c r="R2420"/>
  <c r="S2420"/>
  <c r="Q2424"/>
  <c r="R2424"/>
  <c r="S2424"/>
  <c r="Q2428"/>
  <c r="R2428"/>
  <c r="S2428"/>
  <c r="Q2432"/>
  <c r="R2432"/>
  <c r="S2432"/>
  <c r="R2174"/>
  <c r="S2174"/>
  <c r="Q2174"/>
  <c r="R2178"/>
  <c r="S2178"/>
  <c r="Q2178"/>
  <c r="R2182"/>
  <c r="S2182"/>
  <c r="Q2182"/>
  <c r="R2186"/>
  <c r="S2186"/>
  <c r="Q2186"/>
  <c r="R2190"/>
  <c r="S2190"/>
  <c r="Q2190"/>
  <c r="R2194"/>
  <c r="S2194"/>
  <c r="Q2194"/>
  <c r="R2198"/>
  <c r="S2198"/>
  <c r="Q2198"/>
  <c r="R2202"/>
  <c r="S2202"/>
  <c r="Q2202"/>
  <c r="R2206"/>
  <c r="S2206"/>
  <c r="Q2206"/>
  <c r="R2210"/>
  <c r="S2210"/>
  <c r="Q2210"/>
  <c r="R2214"/>
  <c r="S2214"/>
  <c r="Q2214"/>
  <c r="R2218"/>
  <c r="S2218"/>
  <c r="Q2218"/>
  <c r="R2222"/>
  <c r="S2222"/>
  <c r="Q2222"/>
  <c r="R2226"/>
  <c r="S2226"/>
  <c r="Q2226"/>
  <c r="R2230"/>
  <c r="S2230"/>
  <c r="Q2230"/>
  <c r="R2234"/>
  <c r="S2234"/>
  <c r="Q2234"/>
  <c r="R2238"/>
  <c r="S2238"/>
  <c r="Q2238"/>
  <c r="R2242"/>
  <c r="S2242"/>
  <c r="Q2242"/>
  <c r="R2246"/>
  <c r="S2246"/>
  <c r="Q2246"/>
  <c r="R2250"/>
  <c r="S2250"/>
  <c r="Q2250"/>
  <c r="R2254"/>
  <c r="S2254"/>
  <c r="Q2254"/>
  <c r="R2258"/>
  <c r="S2258"/>
  <c r="Q2258"/>
  <c r="R2262"/>
  <c r="S2262"/>
  <c r="Q2262"/>
  <c r="R2266"/>
  <c r="S2266"/>
  <c r="Q2266"/>
  <c r="R2270"/>
  <c r="S2270"/>
  <c r="Q2270"/>
  <c r="R2274"/>
  <c r="S2274"/>
  <c r="Q2274"/>
  <c r="R2278"/>
  <c r="S2278"/>
  <c r="Q2278"/>
  <c r="R2282"/>
  <c r="S2282"/>
  <c r="Q2282"/>
  <c r="R2286"/>
  <c r="S2286"/>
  <c r="Q2286"/>
  <c r="R2290"/>
  <c r="S2290"/>
  <c r="Q2290"/>
  <c r="R2294"/>
  <c r="S2294"/>
  <c r="Q2294"/>
  <c r="R2298"/>
  <c r="S2298"/>
  <c r="Q2298"/>
  <c r="R2302"/>
  <c r="S2302"/>
  <c r="Q2302"/>
  <c r="S35"/>
  <c r="Q35"/>
  <c r="R35"/>
  <c r="Q37"/>
  <c r="R37"/>
  <c r="S37"/>
  <c r="S39"/>
  <c r="Q39"/>
  <c r="R39"/>
  <c r="Q41"/>
  <c r="R41"/>
  <c r="S41"/>
  <c r="R44"/>
  <c r="S44"/>
  <c r="Q44"/>
  <c r="Q46"/>
  <c r="R46"/>
  <c r="S46"/>
  <c r="R48"/>
  <c r="S48"/>
  <c r="Q48"/>
  <c r="Q229"/>
  <c r="R229"/>
  <c r="S229"/>
  <c r="R240"/>
  <c r="S240"/>
  <c r="Q240"/>
  <c r="R244"/>
  <c r="S244"/>
  <c r="Q244"/>
  <c r="R248"/>
  <c r="S248"/>
  <c r="Q248"/>
  <c r="S259"/>
  <c r="Q259"/>
  <c r="R259"/>
  <c r="R263"/>
  <c r="S263"/>
  <c r="Q263"/>
  <c r="S270"/>
  <c r="Q270"/>
  <c r="R270"/>
  <c r="S274"/>
  <c r="Q274"/>
  <c r="R274"/>
  <c r="R138"/>
  <c r="S138"/>
  <c r="Q138"/>
  <c r="R142"/>
  <c r="S142"/>
  <c r="Q142"/>
  <c r="R150"/>
  <c r="S150"/>
  <c r="Q150"/>
  <c r="R154"/>
  <c r="S154"/>
  <c r="Q154"/>
  <c r="R158"/>
  <c r="S158"/>
  <c r="Q158"/>
  <c r="S2573"/>
  <c r="Q2573"/>
  <c r="R2573"/>
  <c r="S2581"/>
  <c r="Q2581"/>
  <c r="R2581"/>
  <c r="S2585"/>
  <c r="Q2585"/>
  <c r="R2585"/>
  <c r="S2589"/>
  <c r="Q2589"/>
  <c r="R2589"/>
  <c r="S2593"/>
  <c r="Q2593"/>
  <c r="R2593"/>
  <c r="S2597"/>
  <c r="Q2597"/>
  <c r="R2597"/>
  <c r="S2601"/>
  <c r="Q2601"/>
  <c r="R2601"/>
  <c r="S2605"/>
  <c r="Q2605"/>
  <c r="R2605"/>
  <c r="S2609"/>
  <c r="Q2609"/>
  <c r="R2609"/>
  <c r="S2613"/>
  <c r="Q2613"/>
  <c r="R2613"/>
  <c r="A2617"/>
  <c r="S2617"/>
  <c r="Q2617"/>
  <c r="R2617"/>
  <c r="S2621"/>
  <c r="Q2621"/>
  <c r="R2621"/>
  <c r="A2625"/>
  <c r="S2625"/>
  <c r="Q2625"/>
  <c r="R2625"/>
  <c r="S2629"/>
  <c r="Q2629"/>
  <c r="R2629"/>
  <c r="A2633"/>
  <c r="S2633"/>
  <c r="Q2633"/>
  <c r="R2633"/>
  <c r="S2637"/>
  <c r="Q2637"/>
  <c r="R2637"/>
  <c r="A2641"/>
  <c r="S2641"/>
  <c r="Q2641"/>
  <c r="R2641"/>
  <c r="S2645"/>
  <c r="Q2645"/>
  <c r="R2645"/>
  <c r="A2649"/>
  <c r="S2649"/>
  <c r="Q2649"/>
  <c r="R2649"/>
  <c r="S2653"/>
  <c r="Q2653"/>
  <c r="R2653"/>
  <c r="S2657"/>
  <c r="Q2657"/>
  <c r="R2657"/>
  <c r="S2661"/>
  <c r="Q2661"/>
  <c r="R2661"/>
  <c r="S2665"/>
  <c r="Q2665"/>
  <c r="R2665"/>
  <c r="S2669"/>
  <c r="Q2669"/>
  <c r="R2669"/>
  <c r="S2673"/>
  <c r="Q2673"/>
  <c r="R2673"/>
  <c r="S2677"/>
  <c r="Q2677"/>
  <c r="R2677"/>
  <c r="S2681"/>
  <c r="Q2681"/>
  <c r="R2681"/>
  <c r="S2685"/>
  <c r="Q2685"/>
  <c r="R2685"/>
  <c r="S2689"/>
  <c r="Q2689"/>
  <c r="R2689"/>
  <c r="S2693"/>
  <c r="Q2693"/>
  <c r="R2693"/>
  <c r="S2697"/>
  <c r="Q2697"/>
  <c r="R2697"/>
  <c r="Q2439"/>
  <c r="R2439"/>
  <c r="S2439"/>
  <c r="Q2443"/>
  <c r="R2443"/>
  <c r="S2443"/>
  <c r="Q2447"/>
  <c r="R2447"/>
  <c r="S2447"/>
  <c r="Q2451"/>
  <c r="R2451"/>
  <c r="S2451"/>
  <c r="Q2455"/>
  <c r="R2455"/>
  <c r="S2455"/>
  <c r="Q2459"/>
  <c r="R2459"/>
  <c r="S2459"/>
  <c r="Q2463"/>
  <c r="R2463"/>
  <c r="S2463"/>
  <c r="Q2467"/>
  <c r="R2467"/>
  <c r="S2467"/>
  <c r="Q2471"/>
  <c r="R2471"/>
  <c r="S2471"/>
  <c r="Q2475"/>
  <c r="R2475"/>
  <c r="S2475"/>
  <c r="Q2479"/>
  <c r="R2479"/>
  <c r="S2479"/>
  <c r="Q2483"/>
  <c r="R2483"/>
  <c r="S2483"/>
  <c r="Q2487"/>
  <c r="R2487"/>
  <c r="S2487"/>
  <c r="Q2491"/>
  <c r="R2491"/>
  <c r="S2491"/>
  <c r="Q2495"/>
  <c r="R2495"/>
  <c r="S2495"/>
  <c r="Q2499"/>
  <c r="R2499"/>
  <c r="S2499"/>
  <c r="Q2503"/>
  <c r="R2503"/>
  <c r="S2503"/>
  <c r="Q2507"/>
  <c r="R2507"/>
  <c r="S2507"/>
  <c r="Q2511"/>
  <c r="R2511"/>
  <c r="S2511"/>
  <c r="Q2515"/>
  <c r="R2515"/>
  <c r="S2515"/>
  <c r="Q2519"/>
  <c r="R2519"/>
  <c r="S2519"/>
  <c r="Q2523"/>
  <c r="R2523"/>
  <c r="S2523"/>
  <c r="Q2527"/>
  <c r="R2527"/>
  <c r="S2527"/>
  <c r="Q2531"/>
  <c r="R2531"/>
  <c r="S2531"/>
  <c r="Q2535"/>
  <c r="R2535"/>
  <c r="S2535"/>
  <c r="Q2539"/>
  <c r="R2539"/>
  <c r="S2539"/>
  <c r="Q2543"/>
  <c r="R2543"/>
  <c r="S2543"/>
  <c r="Q2547"/>
  <c r="S2547"/>
  <c r="R2547"/>
  <c r="Q2551"/>
  <c r="R2551"/>
  <c r="S2551"/>
  <c r="R2555"/>
  <c r="S2555"/>
  <c r="Q2555"/>
  <c r="Q2559"/>
  <c r="R2559"/>
  <c r="S2559"/>
  <c r="Q2563"/>
  <c r="R2563"/>
  <c r="S2563"/>
  <c r="S2305"/>
  <c r="Q2305"/>
  <c r="R2305"/>
  <c r="S2309"/>
  <c r="Q2309"/>
  <c r="R2309"/>
  <c r="S2313"/>
  <c r="Q2313"/>
  <c r="R2313"/>
  <c r="S2317"/>
  <c r="Q2317"/>
  <c r="R2317"/>
  <c r="S2321"/>
  <c r="Q2321"/>
  <c r="R2321"/>
  <c r="S2325"/>
  <c r="Q2325"/>
  <c r="R2325"/>
  <c r="S2329"/>
  <c r="Q2329"/>
  <c r="R2329"/>
  <c r="S2333"/>
  <c r="Q2333"/>
  <c r="R2333"/>
  <c r="S2337"/>
  <c r="Q2337"/>
  <c r="R2337"/>
  <c r="S2341"/>
  <c r="Q2341"/>
  <c r="R2341"/>
  <c r="S2345"/>
  <c r="Q2345"/>
  <c r="R2345"/>
  <c r="S2349"/>
  <c r="Q2349"/>
  <c r="R2349"/>
  <c r="S2353"/>
  <c r="Q2353"/>
  <c r="R2353"/>
  <c r="S2357"/>
  <c r="Q2357"/>
  <c r="R2357"/>
  <c r="S2361"/>
  <c r="Q2361"/>
  <c r="R2361"/>
  <c r="S2365"/>
  <c r="Q2365"/>
  <c r="R2365"/>
  <c r="S2369"/>
  <c r="Q2369"/>
  <c r="R2369"/>
  <c r="S2373"/>
  <c r="Q2373"/>
  <c r="R2373"/>
  <c r="S2377"/>
  <c r="Q2377"/>
  <c r="R2377"/>
  <c r="S2381"/>
  <c r="Q2381"/>
  <c r="R2381"/>
  <c r="S2385"/>
  <c r="Q2385"/>
  <c r="R2385"/>
  <c r="S2389"/>
  <c r="Q2389"/>
  <c r="R2389"/>
  <c r="S2393"/>
  <c r="Q2393"/>
  <c r="R2393"/>
  <c r="S2397"/>
  <c r="Q2397"/>
  <c r="R2397"/>
  <c r="S2401"/>
  <c r="Q2401"/>
  <c r="R2401"/>
  <c r="S2405"/>
  <c r="Q2405"/>
  <c r="R2405"/>
  <c r="S2409"/>
  <c r="Q2409"/>
  <c r="R2409"/>
  <c r="S2413"/>
  <c r="Q2413"/>
  <c r="R2413"/>
  <c r="S2417"/>
  <c r="Q2417"/>
  <c r="R2417"/>
  <c r="S2421"/>
  <c r="Q2421"/>
  <c r="R2421"/>
  <c r="S2425"/>
  <c r="Q2425"/>
  <c r="R2425"/>
  <c r="S2429"/>
  <c r="Q2429"/>
  <c r="R2429"/>
  <c r="S2433"/>
  <c r="Q2433"/>
  <c r="R2433"/>
  <c r="Q2175"/>
  <c r="R2175"/>
  <c r="S2175"/>
  <c r="Q2179"/>
  <c r="R2179"/>
  <c r="S2179"/>
  <c r="Q2183"/>
  <c r="R2183"/>
  <c r="S2183"/>
  <c r="Q2187"/>
  <c r="R2187"/>
  <c r="S2187"/>
  <c r="Q2191"/>
  <c r="R2191"/>
  <c r="S2191"/>
  <c r="Q2195"/>
  <c r="R2195"/>
  <c r="S2195"/>
  <c r="Q2199"/>
  <c r="R2199"/>
  <c r="S2199"/>
  <c r="Q2203"/>
  <c r="R2203"/>
  <c r="S2203"/>
  <c r="Q2207"/>
  <c r="R2207"/>
  <c r="S2207"/>
  <c r="Q2211"/>
  <c r="R2211"/>
  <c r="S2211"/>
  <c r="Q2215"/>
  <c r="R2215"/>
  <c r="S2215"/>
  <c r="Q2219"/>
  <c r="R2219"/>
  <c r="S2219"/>
  <c r="Q2223"/>
  <c r="R2223"/>
  <c r="S2223"/>
  <c r="Q2227"/>
  <c r="R2227"/>
  <c r="S2227"/>
  <c r="Q2231"/>
  <c r="R2231"/>
  <c r="S2231"/>
  <c r="Q2235"/>
  <c r="R2235"/>
  <c r="S2235"/>
  <c r="Q2239"/>
  <c r="R2239"/>
  <c r="S2239"/>
  <c r="Q2243"/>
  <c r="R2243"/>
  <c r="S2243"/>
  <c r="Q2247"/>
  <c r="R2247"/>
  <c r="S2247"/>
  <c r="Q2251"/>
  <c r="R2251"/>
  <c r="S2251"/>
  <c r="Q2255"/>
  <c r="R2255"/>
  <c r="S2255"/>
  <c r="Q2259"/>
  <c r="R2259"/>
  <c r="S2259"/>
  <c r="Q2263"/>
  <c r="R2263"/>
  <c r="S2263"/>
  <c r="Q2267"/>
  <c r="R2267"/>
  <c r="S2267"/>
  <c r="Q2271"/>
  <c r="R2271"/>
  <c r="S2271"/>
  <c r="Q2275"/>
  <c r="R2275"/>
  <c r="S2275"/>
  <c r="Q2279"/>
  <c r="R2279"/>
  <c r="S2279"/>
  <c r="Q2283"/>
  <c r="R2283"/>
  <c r="S2283"/>
  <c r="Q2287"/>
  <c r="R2287"/>
  <c r="S2287"/>
  <c r="Q2291"/>
  <c r="R2291"/>
  <c r="S2291"/>
  <c r="Q2295"/>
  <c r="R2295"/>
  <c r="S2295"/>
  <c r="Q2299"/>
  <c r="R2299"/>
  <c r="S2299"/>
  <c r="Q2303"/>
  <c r="R2303"/>
  <c r="S2303"/>
  <c r="Q233"/>
  <c r="R233"/>
  <c r="S233"/>
  <c r="S235"/>
  <c r="Q235"/>
  <c r="R235"/>
  <c r="Q237"/>
  <c r="R237"/>
  <c r="S237"/>
  <c r="Q250"/>
  <c r="R250"/>
  <c r="S250"/>
  <c r="R252"/>
  <c r="S252"/>
  <c r="Q252"/>
  <c r="Q254"/>
  <c r="R254"/>
  <c r="S254"/>
  <c r="R256"/>
  <c r="S256"/>
  <c r="Q256"/>
  <c r="Q258"/>
  <c r="R258"/>
  <c r="S258"/>
  <c r="Q268"/>
  <c r="R268"/>
  <c r="S268"/>
  <c r="R276"/>
  <c r="S276"/>
  <c r="Q276"/>
  <c r="Q278"/>
  <c r="R278"/>
  <c r="S278"/>
  <c r="R280"/>
  <c r="S280"/>
  <c r="Q280"/>
  <c r="Q282"/>
  <c r="R282"/>
  <c r="S282"/>
  <c r="R284"/>
  <c r="S284"/>
  <c r="Q284"/>
  <c r="Q213"/>
  <c r="R213"/>
  <c r="S213"/>
  <c r="R228"/>
  <c r="S228"/>
  <c r="Q228"/>
  <c r="R232"/>
  <c r="S232"/>
  <c r="Q232"/>
  <c r="S239"/>
  <c r="Q239"/>
  <c r="R239"/>
  <c r="S243"/>
  <c r="Q243"/>
  <c r="R243"/>
  <c r="S247"/>
  <c r="Q247"/>
  <c r="R247"/>
  <c r="S262"/>
  <c r="Q262"/>
  <c r="R262"/>
  <c r="S266"/>
  <c r="Q266"/>
  <c r="R266"/>
  <c r="Q273"/>
  <c r="R273"/>
  <c r="S273"/>
  <c r="R134"/>
  <c r="S134"/>
  <c r="Q134"/>
  <c r="S137"/>
  <c r="Q137"/>
  <c r="R137"/>
  <c r="S141"/>
  <c r="Q141"/>
  <c r="R141"/>
  <c r="S145"/>
  <c r="Q145"/>
  <c r="R145"/>
  <c r="Q147"/>
  <c r="R147"/>
  <c r="S147"/>
  <c r="S149"/>
  <c r="Q149"/>
  <c r="R149"/>
  <c r="S153"/>
  <c r="Q153"/>
  <c r="R153"/>
  <c r="S157"/>
  <c r="Q157"/>
  <c r="R157"/>
  <c r="Q160"/>
  <c r="R160"/>
  <c r="S160"/>
  <c r="R2060"/>
  <c r="S2060"/>
  <c r="Q2060"/>
  <c r="R2582"/>
  <c r="S2582"/>
  <c r="Q2582"/>
  <c r="R2594"/>
  <c r="S2594"/>
  <c r="Q2594"/>
  <c r="R2606"/>
  <c r="S2606"/>
  <c r="Q2606"/>
  <c r="R2626"/>
  <c r="S2626"/>
  <c r="Q2626"/>
  <c r="R2638"/>
  <c r="S2638"/>
  <c r="Q2638"/>
  <c r="R2650"/>
  <c r="S2650"/>
  <c r="Q2650"/>
  <c r="R2666"/>
  <c r="S2666"/>
  <c r="Q2666"/>
  <c r="R2678"/>
  <c r="S2678"/>
  <c r="Q2678"/>
  <c r="R2690"/>
  <c r="S2690"/>
  <c r="Q2690"/>
  <c r="Q2444"/>
  <c r="R2444"/>
  <c r="S2444"/>
  <c r="Q2456"/>
  <c r="R2456"/>
  <c r="S2456"/>
  <c r="Q2464"/>
  <c r="R2464"/>
  <c r="S2464"/>
  <c r="Q2472"/>
  <c r="R2472"/>
  <c r="S2472"/>
  <c r="Q2476"/>
  <c r="R2476"/>
  <c r="S2476"/>
  <c r="Q2488"/>
  <c r="R2488"/>
  <c r="S2488"/>
  <c r="Q2492"/>
  <c r="R2492"/>
  <c r="S2492"/>
  <c r="Q2496"/>
  <c r="R2496"/>
  <c r="S2496"/>
  <c r="Q2500"/>
  <c r="R2500"/>
  <c r="S2500"/>
  <c r="Q2504"/>
  <c r="R2504"/>
  <c r="S2504"/>
  <c r="Q2508"/>
  <c r="R2508"/>
  <c r="S2508"/>
  <c r="Q2512"/>
  <c r="R2512"/>
  <c r="S2512"/>
  <c r="Q2516"/>
  <c r="R2516"/>
  <c r="S2516"/>
  <c r="Q2520"/>
  <c r="R2520"/>
  <c r="S2520"/>
  <c r="Q2528"/>
  <c r="R2528"/>
  <c r="S2528"/>
  <c r="Q2532"/>
  <c r="R2532"/>
  <c r="S2532"/>
  <c r="Q2536"/>
  <c r="R2536"/>
  <c r="S2536"/>
  <c r="Q2540"/>
  <c r="S2540"/>
  <c r="R2540"/>
  <c r="Q2544"/>
  <c r="S2544"/>
  <c r="R2544"/>
  <c r="S2548"/>
  <c r="R2548"/>
  <c r="Q2548"/>
  <c r="S2552"/>
  <c r="Q2552"/>
  <c r="R2552"/>
  <c r="S2556"/>
  <c r="Q2556"/>
  <c r="R2556"/>
  <c r="Q2560"/>
  <c r="R2560"/>
  <c r="S2560"/>
  <c r="Q2564"/>
  <c r="R2564"/>
  <c r="S2564"/>
  <c r="R2306"/>
  <c r="S2306"/>
  <c r="Q2306"/>
  <c r="R2310"/>
  <c r="S2310"/>
  <c r="Q2310"/>
  <c r="R2314"/>
  <c r="S2314"/>
  <c r="Q2314"/>
  <c r="R2318"/>
  <c r="S2318"/>
  <c r="Q2318"/>
  <c r="R2322"/>
  <c r="S2322"/>
  <c r="Q2322"/>
  <c r="R2326"/>
  <c r="S2326"/>
  <c r="Q2326"/>
  <c r="R2330"/>
  <c r="S2330"/>
  <c r="Q2330"/>
  <c r="R2334"/>
  <c r="S2334"/>
  <c r="Q2334"/>
  <c r="R2338"/>
  <c r="S2338"/>
  <c r="Q2338"/>
  <c r="R2342"/>
  <c r="S2342"/>
  <c r="Q2342"/>
  <c r="R2346"/>
  <c r="S2346"/>
  <c r="Q2346"/>
  <c r="R2350"/>
  <c r="S2350"/>
  <c r="Q2350"/>
  <c r="R2354"/>
  <c r="S2354"/>
  <c r="Q2354"/>
  <c r="R2358"/>
  <c r="S2358"/>
  <c r="Q2358"/>
  <c r="R2362"/>
  <c r="S2362"/>
  <c r="Q2362"/>
  <c r="R2366"/>
  <c r="S2366"/>
  <c r="Q2366"/>
  <c r="R2370"/>
  <c r="S2370"/>
  <c r="Q2370"/>
  <c r="R2374"/>
  <c r="S2374"/>
  <c r="Q2374"/>
  <c r="R2378"/>
  <c r="S2378"/>
  <c r="Q2378"/>
  <c r="R2382"/>
  <c r="S2382"/>
  <c r="Q2382"/>
  <c r="R2386"/>
  <c r="S2386"/>
  <c r="Q2386"/>
  <c r="R2390"/>
  <c r="S2390"/>
  <c r="Q2390"/>
  <c r="R2394"/>
  <c r="S2394"/>
  <c r="Q2394"/>
  <c r="R2398"/>
  <c r="S2398"/>
  <c r="Q2398"/>
  <c r="R2402"/>
  <c r="S2402"/>
  <c r="Q2402"/>
  <c r="R2406"/>
  <c r="S2406"/>
  <c r="Q2406"/>
  <c r="R2410"/>
  <c r="S2410"/>
  <c r="Q2410"/>
  <c r="R2414"/>
  <c r="S2414"/>
  <c r="Q2414"/>
  <c r="R2418"/>
  <c r="S2418"/>
  <c r="Q2418"/>
  <c r="R2422"/>
  <c r="S2422"/>
  <c r="Q2422"/>
  <c r="R2426"/>
  <c r="S2426"/>
  <c r="Q2426"/>
  <c r="R2430"/>
  <c r="S2430"/>
  <c r="Q2430"/>
  <c r="R2434"/>
  <c r="S2434"/>
  <c r="Q2434"/>
  <c r="Q2176"/>
  <c r="R2176"/>
  <c r="S2176"/>
  <c r="Q2180"/>
  <c r="R2180"/>
  <c r="S2180"/>
  <c r="Q2184"/>
  <c r="R2184"/>
  <c r="S2184"/>
  <c r="Q2188"/>
  <c r="R2188"/>
  <c r="S2188"/>
  <c r="Q2192"/>
  <c r="R2192"/>
  <c r="S2192"/>
  <c r="Q2196"/>
  <c r="R2196"/>
  <c r="S2196"/>
  <c r="Q2200"/>
  <c r="R2200"/>
  <c r="S2200"/>
  <c r="Q2204"/>
  <c r="R2204"/>
  <c r="S2204"/>
  <c r="Q2208"/>
  <c r="R2208"/>
  <c r="S2208"/>
  <c r="Q2212"/>
  <c r="R2212"/>
  <c r="S2212"/>
  <c r="Q2216"/>
  <c r="R2216"/>
  <c r="S2216"/>
  <c r="Q2220"/>
  <c r="R2220"/>
  <c r="S2220"/>
  <c r="Q2224"/>
  <c r="R2224"/>
  <c r="S2224"/>
  <c r="Q2228"/>
  <c r="R2228"/>
  <c r="S2228"/>
  <c r="Q2232"/>
  <c r="R2232"/>
  <c r="S2232"/>
  <c r="Q2236"/>
  <c r="R2236"/>
  <c r="S2236"/>
  <c r="Q2240"/>
  <c r="R2240"/>
  <c r="S2240"/>
  <c r="Q2244"/>
  <c r="R2244"/>
  <c r="S2244"/>
  <c r="Q2248"/>
  <c r="R2248"/>
  <c r="S2248"/>
  <c r="Q2252"/>
  <c r="R2252"/>
  <c r="S2252"/>
  <c r="Q2256"/>
  <c r="R2256"/>
  <c r="S2256"/>
  <c r="Q2260"/>
  <c r="R2260"/>
  <c r="S2260"/>
  <c r="Q2264"/>
  <c r="R2264"/>
  <c r="S2264"/>
  <c r="Q2268"/>
  <c r="R2268"/>
  <c r="S2268"/>
  <c r="Q2272"/>
  <c r="R2272"/>
  <c r="S2272"/>
  <c r="Q2276"/>
  <c r="R2276"/>
  <c r="S2276"/>
  <c r="Q2280"/>
  <c r="R2280"/>
  <c r="S2280"/>
  <c r="Q2284"/>
  <c r="R2284"/>
  <c r="S2284"/>
  <c r="Q2288"/>
  <c r="R2288"/>
  <c r="S2288"/>
  <c r="Q2292"/>
  <c r="R2292"/>
  <c r="S2292"/>
  <c r="Q2296"/>
  <c r="R2296"/>
  <c r="S2296"/>
  <c r="Q2300"/>
  <c r="R2300"/>
  <c r="S2300"/>
  <c r="Q2304"/>
  <c r="R2304"/>
  <c r="S2304"/>
  <c r="R36"/>
  <c r="S36"/>
  <c r="Q36"/>
  <c r="Q38"/>
  <c r="R38"/>
  <c r="S38"/>
  <c r="R40"/>
  <c r="S40"/>
  <c r="Q40"/>
  <c r="Q42"/>
  <c r="R42"/>
  <c r="S42"/>
  <c r="S43"/>
  <c r="Q43"/>
  <c r="R43"/>
  <c r="Q45"/>
  <c r="R45"/>
  <c r="S45"/>
  <c r="S47"/>
  <c r="Q47"/>
  <c r="R47"/>
  <c r="R216"/>
  <c r="S216"/>
  <c r="Q216"/>
  <c r="S215"/>
  <c r="Q215"/>
  <c r="R215"/>
  <c r="S231"/>
  <c r="Q231"/>
  <c r="R231"/>
  <c r="Q242"/>
  <c r="R242"/>
  <c r="S242"/>
  <c r="Q246"/>
  <c r="R246"/>
  <c r="S246"/>
  <c r="Q261"/>
  <c r="R261"/>
  <c r="S261"/>
  <c r="Q265"/>
  <c r="R265"/>
  <c r="S265"/>
  <c r="Q272"/>
  <c r="R272"/>
  <c r="S272"/>
  <c r="Q136"/>
  <c r="R136"/>
  <c r="S136"/>
  <c r="Q140"/>
  <c r="R140"/>
  <c r="S140"/>
  <c r="Q144"/>
  <c r="R144"/>
  <c r="S144"/>
  <c r="Q152"/>
  <c r="R152"/>
  <c r="S152"/>
  <c r="Q156"/>
  <c r="R156"/>
  <c r="S156"/>
  <c r="A244"/>
  <c r="A261"/>
  <c r="A160"/>
  <c r="A240"/>
  <c r="A248"/>
  <c r="A274"/>
  <c r="A148"/>
  <c r="A158"/>
  <c r="A134"/>
  <c r="A133"/>
  <c r="A136"/>
  <c r="A138"/>
  <c r="A140"/>
  <c r="A142"/>
  <c r="A144"/>
  <c r="A146"/>
  <c r="A149"/>
  <c r="A151"/>
  <c r="A153"/>
  <c r="A155"/>
  <c r="A157"/>
  <c r="A159"/>
  <c r="A135"/>
  <c r="A137"/>
  <c r="A139"/>
  <c r="A141"/>
  <c r="A143"/>
  <c r="A145"/>
  <c r="A147"/>
  <c r="A150"/>
  <c r="A152"/>
  <c r="A154"/>
  <c r="A156"/>
  <c r="A263"/>
  <c r="A262"/>
  <c r="A264"/>
  <c r="A266"/>
  <c r="A271"/>
  <c r="A273"/>
  <c r="A265"/>
  <c r="A270"/>
  <c r="A272"/>
  <c r="A259"/>
  <c r="A260"/>
  <c r="A242"/>
  <c r="A246"/>
  <c r="A239"/>
  <c r="A241"/>
  <c r="A243"/>
  <c r="A245"/>
  <c r="A247"/>
  <c r="A229"/>
  <c r="A231"/>
  <c r="A228"/>
  <c r="A230"/>
  <c r="A232"/>
  <c r="B238"/>
  <c r="B219"/>
  <c r="B221"/>
  <c r="B218"/>
  <c r="B220"/>
  <c r="B222"/>
  <c r="A216"/>
  <c r="A215"/>
  <c r="A213"/>
  <c r="A214"/>
  <c r="B226"/>
  <c r="B227"/>
  <c r="A269"/>
  <c r="A280"/>
  <c r="A276"/>
  <c r="B223"/>
  <c r="A283"/>
  <c r="A234"/>
  <c r="A249"/>
  <c r="A253"/>
  <c r="A257"/>
  <c r="A235"/>
  <c r="A250"/>
  <c r="A254"/>
  <c r="A258"/>
  <c r="A284"/>
  <c r="B225"/>
  <c r="A233"/>
  <c r="A237"/>
  <c r="A252"/>
  <c r="A256"/>
  <c r="A268"/>
  <c r="A278"/>
  <c r="A282"/>
  <c r="B224"/>
  <c r="A236"/>
  <c r="A251"/>
  <c r="A255"/>
  <c r="A267"/>
  <c r="A277"/>
  <c r="A281"/>
  <c r="A285"/>
  <c r="A47"/>
  <c r="A41"/>
  <c r="A44"/>
  <c r="A48"/>
  <c r="A43"/>
  <c r="A45"/>
  <c r="A46"/>
  <c r="A42"/>
  <c r="A38"/>
  <c r="A37"/>
  <c r="A34"/>
  <c r="A35"/>
  <c r="A39"/>
  <c r="A36"/>
  <c r="A40"/>
  <c r="A2312"/>
  <c r="A2570"/>
  <c r="A2571"/>
  <c r="A2344"/>
  <c r="A2345"/>
  <c r="A2388"/>
  <c r="A2022"/>
  <c r="A2567"/>
  <c r="A2613"/>
  <c r="A2644"/>
  <c r="A2338"/>
  <c r="A2340"/>
  <c r="A2341"/>
  <c r="A2384"/>
  <c r="A2372"/>
  <c r="A2651"/>
  <c r="A2652"/>
  <c r="A2655"/>
  <c r="A2257"/>
  <c r="A2604"/>
  <c r="A2608"/>
  <c r="A2632"/>
  <c r="A2647"/>
  <c r="A2648"/>
  <c r="A2318"/>
  <c r="A2342"/>
  <c r="A2255"/>
  <c r="A2605"/>
  <c r="A2609"/>
  <c r="A2612"/>
  <c r="A2636"/>
  <c r="A2639"/>
  <c r="A2640"/>
  <c r="A2643"/>
  <c r="A2326"/>
  <c r="A2328"/>
  <c r="A2329"/>
  <c r="A2358"/>
  <c r="A2360"/>
  <c r="A2361"/>
  <c r="A2376"/>
  <c r="A2392"/>
  <c r="A2241"/>
  <c r="A2249"/>
  <c r="A2368"/>
  <c r="A2628"/>
  <c r="A2631"/>
  <c r="A2323"/>
  <c r="A2325"/>
  <c r="A2354"/>
  <c r="A2356"/>
  <c r="A2357"/>
  <c r="A2364"/>
  <c r="A2380"/>
  <c r="A2618"/>
  <c r="A2626"/>
  <c r="A2634"/>
  <c r="A2642"/>
  <c r="A2650"/>
  <c r="A2314"/>
  <c r="A2316"/>
  <c r="A2322"/>
  <c r="A2334"/>
  <c r="A2336"/>
  <c r="A2337"/>
  <c r="A2350"/>
  <c r="A2352"/>
  <c r="A2353"/>
  <c r="A2239"/>
  <c r="A2247"/>
  <c r="A2569"/>
  <c r="A2572"/>
  <c r="A2603"/>
  <c r="A2606"/>
  <c r="A2611"/>
  <c r="A2614"/>
  <c r="A2622"/>
  <c r="A2630"/>
  <c r="A2638"/>
  <c r="A2646"/>
  <c r="A2654"/>
  <c r="A2307"/>
  <c r="A2243"/>
  <c r="A2251"/>
  <c r="A2259"/>
  <c r="A2568"/>
  <c r="A2602"/>
  <c r="A2607"/>
  <c r="A2610"/>
  <c r="A2615"/>
  <c r="A2616"/>
  <c r="A2620"/>
  <c r="A2623"/>
  <c r="A2624"/>
  <c r="A2308"/>
  <c r="A2311"/>
  <c r="A2330"/>
  <c r="A2332"/>
  <c r="A2333"/>
  <c r="A2346"/>
  <c r="A2348"/>
  <c r="A2349"/>
  <c r="A2362"/>
  <c r="A2366"/>
  <c r="A2370"/>
  <c r="A2374"/>
  <c r="A2378"/>
  <c r="A2382"/>
  <c r="A2386"/>
  <c r="A2390"/>
  <c r="A2237"/>
  <c r="A2245"/>
  <c r="A2253"/>
  <c r="A2261"/>
  <c r="A2060"/>
  <c r="A2062"/>
  <c r="A2023"/>
  <c r="A2601"/>
  <c r="A2621"/>
  <c r="A2629"/>
  <c r="A2637"/>
  <c r="A2645"/>
  <c r="A2653"/>
  <c r="A2365"/>
  <c r="A2369"/>
  <c r="A2373"/>
  <c r="A2377"/>
  <c r="A2381"/>
  <c r="A2385"/>
  <c r="A2389"/>
  <c r="A2393"/>
  <c r="A2236"/>
  <c r="A2238"/>
  <c r="A2240"/>
  <c r="A2242"/>
  <c r="A2244"/>
  <c r="A2246"/>
  <c r="A2248"/>
  <c r="A2250"/>
  <c r="A2252"/>
  <c r="A2254"/>
  <c r="A2256"/>
  <c r="A2258"/>
  <c r="A2260"/>
  <c r="A2262"/>
  <c r="A2320"/>
  <c r="A2324"/>
  <c r="A2327"/>
  <c r="A2331"/>
  <c r="A2335"/>
  <c r="A2339"/>
  <c r="A2343"/>
  <c r="A2347"/>
  <c r="A2351"/>
  <c r="A2355"/>
  <c r="A2359"/>
  <c r="A2363"/>
  <c r="A2367"/>
  <c r="A2371"/>
  <c r="A2375"/>
  <c r="A2379"/>
  <c r="A2383"/>
  <c r="A2387"/>
  <c r="A2391"/>
  <c r="A2174"/>
  <c r="A2175"/>
  <c r="A2176"/>
  <c r="A2177"/>
  <c r="A2178"/>
  <c r="A2179"/>
  <c r="A2180"/>
  <c r="A2181"/>
  <c r="A2182"/>
  <c r="A2183"/>
  <c r="A2184"/>
  <c r="A2185"/>
  <c r="A2186"/>
  <c r="A2187"/>
  <c r="A2189"/>
  <c r="A2191"/>
  <c r="A2193"/>
  <c r="A2188"/>
  <c r="A2190"/>
  <c r="A2192"/>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64"/>
  <c r="A2266"/>
  <c r="A2268"/>
  <c r="A2270"/>
  <c r="A2272"/>
  <c r="A2274"/>
  <c r="A2276"/>
  <c r="A2263"/>
  <c r="A2265"/>
  <c r="A2267"/>
  <c r="A2269"/>
  <c r="A2271"/>
  <c r="A2273"/>
  <c r="A2275"/>
  <c r="A2277"/>
  <c r="A2278"/>
  <c r="A2279"/>
  <c r="A2280"/>
  <c r="A2281"/>
  <c r="A2282"/>
  <c r="A2283"/>
  <c r="A2284"/>
  <c r="A2285"/>
  <c r="A2286"/>
  <c r="A2287"/>
  <c r="A2288"/>
  <c r="A2289"/>
  <c r="A2290"/>
  <c r="A2291"/>
  <c r="A2292"/>
  <c r="A2293"/>
  <c r="A2294"/>
  <c r="A2295"/>
  <c r="A2296"/>
  <c r="A2297"/>
  <c r="A2298"/>
  <c r="A2299"/>
  <c r="A2300"/>
  <c r="A2301"/>
  <c r="A2302"/>
  <c r="A2303"/>
  <c r="A2304"/>
  <c r="A2306"/>
  <c r="A2310"/>
  <c r="A2305"/>
  <c r="A2309"/>
  <c r="A2313"/>
  <c r="A2315"/>
  <c r="A2317"/>
  <c r="A2319"/>
  <c r="A2321"/>
  <c r="A2394"/>
  <c r="A2396"/>
  <c r="A2398"/>
  <c r="A2401"/>
  <c r="A2405"/>
  <c r="A2402"/>
  <c r="A2406"/>
  <c r="A2395"/>
  <c r="A2397"/>
  <c r="A2399"/>
  <c r="A2403"/>
  <c r="A2400"/>
  <c r="A2404"/>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5"/>
  <c r="A2459"/>
  <c r="A2463"/>
  <c r="A2467"/>
  <c r="A2456"/>
  <c r="A2460"/>
  <c r="A2464"/>
  <c r="A2468"/>
  <c r="A2457"/>
  <c r="A2461"/>
  <c r="A2465"/>
  <c r="A2469"/>
  <c r="A2454"/>
  <c r="A2458"/>
  <c r="A2462"/>
  <c r="A2466"/>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32"/>
  <c r="A2536"/>
  <c r="A2526"/>
  <c r="A2528"/>
  <c r="A2530"/>
  <c r="A2533"/>
  <c r="A2537"/>
  <c r="A2534"/>
  <c r="A2538"/>
  <c r="A2525"/>
  <c r="A2527"/>
  <c r="A2529"/>
  <c r="A2531"/>
  <c r="A2535"/>
  <c r="A2539"/>
  <c r="A2540"/>
  <c r="A2541"/>
  <c r="A2542"/>
  <c r="A2543"/>
  <c r="A2544"/>
  <c r="A2545"/>
  <c r="A2546"/>
  <c r="A2547"/>
  <c r="A2548"/>
  <c r="A2549"/>
  <c r="A2550"/>
  <c r="A2551"/>
  <c r="A2552"/>
  <c r="A2553"/>
  <c r="A2554"/>
  <c r="A2555"/>
  <c r="A2556"/>
  <c r="A2557"/>
  <c r="A2558"/>
  <c r="A2559"/>
  <c r="A2560"/>
  <c r="A2561"/>
  <c r="A2562"/>
  <c r="A2563"/>
  <c r="A2564"/>
  <c r="A2565"/>
  <c r="A2566"/>
  <c r="A2574"/>
  <c r="A2576"/>
  <c r="A2578"/>
  <c r="A2580"/>
  <c r="A2573"/>
  <c r="A2575"/>
  <c r="A2577"/>
  <c r="A2579"/>
  <c r="A2581"/>
  <c r="A2663"/>
  <c r="A2667"/>
  <c r="A2656"/>
  <c r="A2658"/>
  <c r="A2660"/>
  <c r="A2664"/>
  <c r="A2668"/>
  <c r="A2582"/>
  <c r="A2583"/>
  <c r="A2584"/>
  <c r="A2585"/>
  <c r="A2586"/>
  <c r="A2587"/>
  <c r="A2588"/>
  <c r="A2589"/>
  <c r="A2590"/>
  <c r="A2591"/>
  <c r="A2592"/>
  <c r="A2593"/>
  <c r="A2594"/>
  <c r="A2595"/>
  <c r="A2596"/>
  <c r="A2597"/>
  <c r="A2598"/>
  <c r="A2599"/>
  <c r="A2600"/>
  <c r="A2661"/>
  <c r="A2665"/>
  <c r="A2669"/>
  <c r="A2670"/>
  <c r="A2671"/>
  <c r="A2657"/>
  <c r="A2659"/>
  <c r="A2662"/>
  <c r="A2666"/>
  <c r="A2672"/>
  <c r="A2673"/>
  <c r="A2674"/>
  <c r="A2675"/>
  <c r="A2676"/>
  <c r="A2677"/>
  <c r="A2678"/>
  <c r="A2679"/>
  <c r="A2680"/>
  <c r="A2681"/>
  <c r="A2682"/>
  <c r="A2683"/>
  <c r="A2684"/>
  <c r="A2685"/>
  <c r="A2686"/>
  <c r="A2687"/>
  <c r="A2688"/>
  <c r="A2689"/>
  <c r="A2690"/>
  <c r="A2691"/>
  <c r="A2692"/>
  <c r="A2693"/>
  <c r="A2694"/>
  <c r="A2695"/>
  <c r="A2696"/>
  <c r="A2697"/>
  <c r="Q222" l="1"/>
  <c r="R222"/>
  <c r="S222"/>
  <c r="S219"/>
  <c r="Q219"/>
  <c r="R219"/>
  <c r="R220"/>
  <c r="S220"/>
  <c r="Q220"/>
  <c r="Q238"/>
  <c r="R238"/>
  <c r="S238"/>
  <c r="S223"/>
  <c r="Q223"/>
  <c r="R223"/>
  <c r="S227"/>
  <c r="Q227"/>
  <c r="R227"/>
  <c r="Q218"/>
  <c r="R218"/>
  <c r="S218"/>
  <c r="R224"/>
  <c r="S224"/>
  <c r="Q224"/>
  <c r="Q225"/>
  <c r="R225"/>
  <c r="S225"/>
  <c r="Q226"/>
  <c r="R226"/>
  <c r="S226"/>
  <c r="Q221"/>
  <c r="R221"/>
  <c r="S221"/>
  <c r="A227"/>
  <c r="A238"/>
  <c r="A220"/>
  <c r="A218"/>
  <c r="A221"/>
  <c r="A222"/>
  <c r="A219"/>
  <c r="A223"/>
  <c r="A226"/>
  <c r="A224"/>
  <c r="A225"/>
  <c r="M2025"/>
  <c r="E2025"/>
  <c r="B2025"/>
  <c r="E2046"/>
  <c r="B2046"/>
  <c r="Q2025" l="1"/>
  <c r="R2025"/>
  <c r="S2025"/>
  <c r="Q2046"/>
  <c r="R2046"/>
  <c r="S2046"/>
  <c r="A2025"/>
  <c r="A2046"/>
  <c r="B2165" l="1"/>
  <c r="B2166"/>
  <c r="A34" i="12"/>
  <c r="I34"/>
  <c r="B2169" i="34"/>
  <c r="B2170"/>
  <c r="B2171"/>
  <c r="Q2171" l="1"/>
  <c r="R2171"/>
  <c r="S2171"/>
  <c r="Q2165"/>
  <c r="R2165"/>
  <c r="S2165"/>
  <c r="Q2170"/>
  <c r="R2170"/>
  <c r="S2170"/>
  <c r="R2169"/>
  <c r="S2169"/>
  <c r="Q2169"/>
  <c r="S2166"/>
  <c r="Q2166"/>
  <c r="R2166"/>
  <c r="A2170"/>
  <c r="A2169"/>
  <c r="A2166"/>
  <c r="A2165"/>
  <c r="A2171"/>
  <c r="E2058"/>
  <c r="B2058"/>
  <c r="Q2058" l="1"/>
  <c r="R2058"/>
  <c r="S2058"/>
  <c r="A2058"/>
  <c r="E2037"/>
  <c r="B2037"/>
  <c r="M2036"/>
  <c r="E2015"/>
  <c r="B2015"/>
  <c r="S2015" l="1"/>
  <c r="Q2015"/>
  <c r="R2015"/>
  <c r="Q2037"/>
  <c r="R2037"/>
  <c r="S2037"/>
  <c r="A2037"/>
  <c r="A2015"/>
  <c r="M2085" l="1"/>
  <c r="M2086"/>
  <c r="M2067" l="1"/>
  <c r="M2068"/>
  <c r="M2078"/>
  <c r="M2079"/>
  <c r="M2080"/>
  <c r="M2082"/>
  <c r="M2083"/>
  <c r="M2084"/>
  <c r="M2066"/>
  <c r="B2027"/>
  <c r="E2027"/>
  <c r="M2027"/>
  <c r="B2028"/>
  <c r="E2028"/>
  <c r="M2028"/>
  <c r="E2065"/>
  <c r="B2065"/>
  <c r="E2064"/>
  <c r="B2064"/>
  <c r="E2063"/>
  <c r="B2063"/>
  <c r="E2061"/>
  <c r="B2061"/>
  <c r="E2059"/>
  <c r="B2059"/>
  <c r="E2056"/>
  <c r="B2056"/>
  <c r="E2055"/>
  <c r="B2055"/>
  <c r="E2054"/>
  <c r="B2054"/>
  <c r="E2048"/>
  <c r="B2048"/>
  <c r="E2047"/>
  <c r="B2047"/>
  <c r="B2045"/>
  <c r="E2045"/>
  <c r="B2039"/>
  <c r="E2039"/>
  <c r="M2038"/>
  <c r="E2038"/>
  <c r="B2038"/>
  <c r="M2035"/>
  <c r="K199"/>
  <c r="M199" s="1"/>
  <c r="K198"/>
  <c r="M198" s="1"/>
  <c r="B197"/>
  <c r="E197"/>
  <c r="K197"/>
  <c r="M197" s="1"/>
  <c r="B196"/>
  <c r="E196"/>
  <c r="K196"/>
  <c r="M196" s="1"/>
  <c r="B195"/>
  <c r="E195"/>
  <c r="K195"/>
  <c r="M195" s="1"/>
  <c r="B194"/>
  <c r="E194"/>
  <c r="K194"/>
  <c r="M194" s="1"/>
  <c r="B191"/>
  <c r="E191"/>
  <c r="K191"/>
  <c r="M191" s="1"/>
  <c r="B192"/>
  <c r="E192"/>
  <c r="K192"/>
  <c r="M192" s="1"/>
  <c r="B193"/>
  <c r="E193"/>
  <c r="K193"/>
  <c r="M193" s="1"/>
  <c r="K190"/>
  <c r="M190" s="1"/>
  <c r="E190"/>
  <c r="B190"/>
  <c r="S191" l="1"/>
  <c r="Q191"/>
  <c r="R191"/>
  <c r="Q197"/>
  <c r="R197"/>
  <c r="S197"/>
  <c r="Q2045"/>
  <c r="R2045"/>
  <c r="S2045"/>
  <c r="S2039"/>
  <c r="Q2039"/>
  <c r="R2039"/>
  <c r="R192"/>
  <c r="S192"/>
  <c r="Q192"/>
  <c r="R196"/>
  <c r="S196"/>
  <c r="Q196"/>
  <c r="Q193"/>
  <c r="R193"/>
  <c r="S193"/>
  <c r="S195"/>
  <c r="Q195"/>
  <c r="R195"/>
  <c r="Q194"/>
  <c r="R194"/>
  <c r="S194"/>
  <c r="S2047"/>
  <c r="Q2047"/>
  <c r="R2047"/>
  <c r="Q2054"/>
  <c r="R2054"/>
  <c r="S2054"/>
  <c r="R2056"/>
  <c r="S2056"/>
  <c r="Q2056"/>
  <c r="Q2061"/>
  <c r="R2061"/>
  <c r="S2061"/>
  <c r="R2064"/>
  <c r="S2064"/>
  <c r="Q2064"/>
  <c r="S2027"/>
  <c r="Q2027"/>
  <c r="R2027"/>
  <c r="Q2038"/>
  <c r="R2038"/>
  <c r="S2038"/>
  <c r="Q190"/>
  <c r="R190"/>
  <c r="S190"/>
  <c r="R2048"/>
  <c r="S2048"/>
  <c r="Q2048"/>
  <c r="S2055"/>
  <c r="Q2055"/>
  <c r="R2055"/>
  <c r="S2059"/>
  <c r="Q2059"/>
  <c r="R2059"/>
  <c r="S2063"/>
  <c r="Q2063"/>
  <c r="R2063"/>
  <c r="Q2065"/>
  <c r="R2065"/>
  <c r="S2065"/>
  <c r="R2028"/>
  <c r="S2028"/>
  <c r="Q2028"/>
  <c r="A192"/>
  <c r="A196"/>
  <c r="A193"/>
  <c r="A195"/>
  <c r="A2045"/>
  <c r="A194"/>
  <c r="A2027"/>
  <c r="A191"/>
  <c r="A197"/>
  <c r="A2039"/>
  <c r="A2028"/>
  <c r="A2063"/>
  <c r="A2065"/>
  <c r="A2064"/>
  <c r="A2061"/>
  <c r="A2059"/>
  <c r="A2054"/>
  <c r="A2038"/>
  <c r="A2055"/>
  <c r="A2056"/>
  <c r="A2048"/>
  <c r="A2047"/>
  <c r="A190"/>
  <c r="M2032"/>
  <c r="E2032"/>
  <c r="B2032"/>
  <c r="M2030"/>
  <c r="E2030"/>
  <c r="B2030"/>
  <c r="M2031"/>
  <c r="M2033"/>
  <c r="M2029"/>
  <c r="B1609"/>
  <c r="B1610"/>
  <c r="B1611"/>
  <c r="B1612"/>
  <c r="Q1610" l="1"/>
  <c r="R1610"/>
  <c r="S1610"/>
  <c r="R1609"/>
  <c r="S1609"/>
  <c r="Q1609"/>
  <c r="Q2030"/>
  <c r="R2030"/>
  <c r="S2030"/>
  <c r="S1612"/>
  <c r="Q1612"/>
  <c r="R1612"/>
  <c r="Q1611"/>
  <c r="R1611"/>
  <c r="S1611"/>
  <c r="R2032"/>
  <c r="S2032"/>
  <c r="Q2032"/>
  <c r="A2030"/>
  <c r="A2032"/>
  <c r="A1609"/>
  <c r="A1610"/>
  <c r="A1611"/>
  <c r="A1612"/>
  <c r="E1845"/>
  <c r="B1845"/>
  <c r="M1806"/>
  <c r="E1806"/>
  <c r="B1806"/>
  <c r="E1660"/>
  <c r="B1660"/>
  <c r="B1536"/>
  <c r="E1523"/>
  <c r="B1523"/>
  <c r="S1536" l="1"/>
  <c r="Q1536"/>
  <c r="R1536"/>
  <c r="Q1523"/>
  <c r="R1523"/>
  <c r="S1523"/>
  <c r="Q1845"/>
  <c r="R1845"/>
  <c r="S1845"/>
  <c r="S1806"/>
  <c r="R1806"/>
  <c r="Q1806"/>
  <c r="Q1660"/>
  <c r="R1660"/>
  <c r="S1660"/>
  <c r="A1806"/>
  <c r="A1845"/>
  <c r="A1660"/>
  <c r="A1523"/>
  <c r="A1536"/>
  <c r="E1878"/>
  <c r="B1878"/>
  <c r="M1877"/>
  <c r="E1877"/>
  <c r="B1877"/>
  <c r="M1876"/>
  <c r="E1876"/>
  <c r="B1876"/>
  <c r="M1870"/>
  <c r="M1879"/>
  <c r="M1880"/>
  <c r="M1881"/>
  <c r="E1612"/>
  <c r="M1609"/>
  <c r="E1609"/>
  <c r="E1654"/>
  <c r="M1818"/>
  <c r="M1817"/>
  <c r="M1810"/>
  <c r="E1817"/>
  <c r="B1817"/>
  <c r="E1811"/>
  <c r="B1811"/>
  <c r="M1801"/>
  <c r="M1800"/>
  <c r="E1800"/>
  <c r="B1800"/>
  <c r="M1797"/>
  <c r="E1798"/>
  <c r="B1798"/>
  <c r="E1711"/>
  <c r="B1711"/>
  <c r="A14" i="62"/>
  <c r="A15"/>
  <c r="A16"/>
  <c r="A17"/>
  <c r="A18"/>
  <c r="A19"/>
  <c r="M1843" i="34"/>
  <c r="M1869"/>
  <c r="M1844"/>
  <c r="M1640"/>
  <c r="M1650"/>
  <c r="M1665"/>
  <c r="E1665"/>
  <c r="B1665"/>
  <c r="E1756"/>
  <c r="B1756"/>
  <c r="E1556"/>
  <c r="B1556"/>
  <c r="E1554"/>
  <c r="B1554"/>
  <c r="E1533"/>
  <c r="B1533"/>
  <c r="E1689"/>
  <c r="B1689"/>
  <c r="E1686"/>
  <c r="B1686"/>
  <c r="E1683"/>
  <c r="B1683"/>
  <c r="E1680"/>
  <c r="B1680"/>
  <c r="E1692"/>
  <c r="B1692"/>
  <c r="E1676"/>
  <c r="B1676"/>
  <c r="E1673"/>
  <c r="B1673"/>
  <c r="E1670"/>
  <c r="B1670"/>
  <c r="E1667"/>
  <c r="B1667"/>
  <c r="E1695"/>
  <c r="B1695"/>
  <c r="E1698"/>
  <c r="B1698"/>
  <c r="E1701"/>
  <c r="B1701"/>
  <c r="M1675"/>
  <c r="E1675"/>
  <c r="B1675"/>
  <c r="M1672"/>
  <c r="E1672"/>
  <c r="B1672"/>
  <c r="M1669"/>
  <c r="E1669"/>
  <c r="B1669"/>
  <c r="A41" i="45"/>
  <c r="A35"/>
  <c r="A36"/>
  <c r="A37"/>
  <c r="A8"/>
  <c r="A33"/>
  <c r="A34"/>
  <c r="A38"/>
  <c r="A40"/>
  <c r="A39"/>
  <c r="A42"/>
  <c r="A43"/>
  <c r="A44"/>
  <c r="A45"/>
  <c r="A46"/>
  <c r="A49"/>
  <c r="A47"/>
  <c r="A48"/>
  <c r="A50"/>
  <c r="M1697" i="34"/>
  <c r="M1694"/>
  <c r="M1666"/>
  <c r="M1691"/>
  <c r="M1679"/>
  <c r="M1682"/>
  <c r="M1685"/>
  <c r="M1688"/>
  <c r="M1700"/>
  <c r="Q1669" l="1"/>
  <c r="R1669"/>
  <c r="S1669"/>
  <c r="Q1800"/>
  <c r="R1800"/>
  <c r="S1800"/>
  <c r="Q1701"/>
  <c r="R1701"/>
  <c r="S1701"/>
  <c r="S1695"/>
  <c r="Q1695"/>
  <c r="R1695"/>
  <c r="Q1670"/>
  <c r="R1670"/>
  <c r="S1670"/>
  <c r="S1676"/>
  <c r="Q1676"/>
  <c r="R1676"/>
  <c r="Q1680"/>
  <c r="R1680"/>
  <c r="S1680"/>
  <c r="S1686"/>
  <c r="Q1686"/>
  <c r="R1686"/>
  <c r="R1533"/>
  <c r="S1533"/>
  <c r="Q1533"/>
  <c r="S1556"/>
  <c r="Q1556"/>
  <c r="R1556"/>
  <c r="Q1665"/>
  <c r="R1665"/>
  <c r="S1665"/>
  <c r="S1798"/>
  <c r="Q1798"/>
  <c r="R1798"/>
  <c r="R1877"/>
  <c r="S1877"/>
  <c r="Q1877"/>
  <c r="R1675"/>
  <c r="S1675"/>
  <c r="Q1675"/>
  <c r="Q1817"/>
  <c r="R1817"/>
  <c r="S1817"/>
  <c r="S1876"/>
  <c r="Q1876"/>
  <c r="R1876"/>
  <c r="S1672"/>
  <c r="Q1672"/>
  <c r="R1672"/>
  <c r="Q1698"/>
  <c r="R1698"/>
  <c r="S1698"/>
  <c r="R1667"/>
  <c r="S1667"/>
  <c r="Q1667"/>
  <c r="Q1673"/>
  <c r="R1673"/>
  <c r="S1673"/>
  <c r="R1692"/>
  <c r="S1692"/>
  <c r="Q1692"/>
  <c r="Q1683"/>
  <c r="R1683"/>
  <c r="S1683"/>
  <c r="R1689"/>
  <c r="S1689"/>
  <c r="Q1689"/>
  <c r="Q1554"/>
  <c r="R1554"/>
  <c r="S1554"/>
  <c r="Q1756"/>
  <c r="R1756"/>
  <c r="S1756"/>
  <c r="R1711"/>
  <c r="S1711"/>
  <c r="Q1711"/>
  <c r="Q1811"/>
  <c r="R1811"/>
  <c r="S1811"/>
  <c r="Q1878"/>
  <c r="R1878"/>
  <c r="S1878"/>
  <c r="A1669"/>
  <c r="A1672"/>
  <c r="A1701"/>
  <c r="A1698"/>
  <c r="A1695"/>
  <c r="A1667"/>
  <c r="A1670"/>
  <c r="A1673"/>
  <c r="A1676"/>
  <c r="A1692"/>
  <c r="A1680"/>
  <c r="A1683"/>
  <c r="A1686"/>
  <c r="A1689"/>
  <c r="A1533"/>
  <c r="A1554"/>
  <c r="A1556"/>
  <c r="A1756"/>
  <c r="A1665"/>
  <c r="A1711"/>
  <c r="A1798"/>
  <c r="A1877"/>
  <c r="A1675"/>
  <c r="A1800"/>
  <c r="A1811"/>
  <c r="A1817"/>
  <c r="A1876"/>
  <c r="A1878"/>
  <c r="E1799"/>
  <c r="B1799"/>
  <c r="A5" i="43"/>
  <c r="E6"/>
  <c r="P11" i="34"/>
  <c r="T11"/>
  <c r="U11"/>
  <c r="V11"/>
  <c r="W11"/>
  <c r="Y11"/>
  <c r="AC11"/>
  <c r="R1799" l="1"/>
  <c r="S1799"/>
  <c r="Q1799"/>
  <c r="A1799"/>
  <c r="B2161"/>
  <c r="B2162"/>
  <c r="A31" i="12"/>
  <c r="A32"/>
  <c r="B454" i="34"/>
  <c r="E454"/>
  <c r="M451"/>
  <c r="M452"/>
  <c r="M453"/>
  <c r="M450"/>
  <c r="B47" i="55"/>
  <c r="A47" s="1"/>
  <c r="B48"/>
  <c r="A48" s="1"/>
  <c r="B49"/>
  <c r="A49" s="1"/>
  <c r="B450" i="34"/>
  <c r="E450"/>
  <c r="B451"/>
  <c r="E451"/>
  <c r="M2005"/>
  <c r="B45" i="55"/>
  <c r="A45" s="1"/>
  <c r="B46"/>
  <c r="A46" s="1"/>
  <c r="M448" i="34"/>
  <c r="M445"/>
  <c r="M446"/>
  <c r="E445"/>
  <c r="M444"/>
  <c r="M2003"/>
  <c r="M2144"/>
  <c r="M440"/>
  <c r="M441"/>
  <c r="M442"/>
  <c r="M439"/>
  <c r="B43" i="55"/>
  <c r="A43" s="1"/>
  <c r="B42"/>
  <c r="A42" s="1"/>
  <c r="B41"/>
  <c r="A41" s="1"/>
  <c r="B440" i="34"/>
  <c r="E440"/>
  <c r="B441"/>
  <c r="E441"/>
  <c r="B442"/>
  <c r="E442"/>
  <c r="E443"/>
  <c r="B443"/>
  <c r="E439"/>
  <c r="B439"/>
  <c r="B2762"/>
  <c r="B2763"/>
  <c r="B2764"/>
  <c r="B2765"/>
  <c r="B2766"/>
  <c r="B2767"/>
  <c r="B2768"/>
  <c r="B2769"/>
  <c r="B2770"/>
  <c r="B2771"/>
  <c r="B2772"/>
  <c r="B2773"/>
  <c r="B2774"/>
  <c r="B2775"/>
  <c r="B2776"/>
  <c r="B2777"/>
  <c r="B2778"/>
  <c r="B2779"/>
  <c r="B2780"/>
  <c r="B2781"/>
  <c r="B2782"/>
  <c r="B2783"/>
  <c r="B2784"/>
  <c r="B2785"/>
  <c r="B2786"/>
  <c r="B2787"/>
  <c r="B2788"/>
  <c r="B2789"/>
  <c r="B2790"/>
  <c r="B2791"/>
  <c r="B2792"/>
  <c r="B2793"/>
  <c r="B2794"/>
  <c r="B2795"/>
  <c r="B2796"/>
  <c r="B2797"/>
  <c r="B2798"/>
  <c r="B2799"/>
  <c r="B2800"/>
  <c r="B2801"/>
  <c r="B2802"/>
  <c r="B2803"/>
  <c r="B2804"/>
  <c r="B2805"/>
  <c r="B2806"/>
  <c r="B2807"/>
  <c r="B2808"/>
  <c r="B2809"/>
  <c r="B2810"/>
  <c r="B2811"/>
  <c r="B2812"/>
  <c r="B2813"/>
  <c r="B2814"/>
  <c r="B2815"/>
  <c r="B2816"/>
  <c r="B2817"/>
  <c r="B2818"/>
  <c r="B2819"/>
  <c r="B2820"/>
  <c r="B2821"/>
  <c r="B2822"/>
  <c r="B2823"/>
  <c r="B2824"/>
  <c r="B2825"/>
  <c r="B2826"/>
  <c r="B2004"/>
  <c r="E2004"/>
  <c r="B444"/>
  <c r="E444"/>
  <c r="B445"/>
  <c r="B446"/>
  <c r="E446"/>
  <c r="B447"/>
  <c r="E447"/>
  <c r="B448"/>
  <c r="E448"/>
  <c r="B449"/>
  <c r="E449"/>
  <c r="B2005"/>
  <c r="E2005"/>
  <c r="B2006"/>
  <c r="E2006"/>
  <c r="B452"/>
  <c r="E452"/>
  <c r="B453"/>
  <c r="E453"/>
  <c r="B1958"/>
  <c r="B1959"/>
  <c r="B2146"/>
  <c r="B2147"/>
  <c r="B2148"/>
  <c r="B2149"/>
  <c r="B2150"/>
  <c r="B2158"/>
  <c r="B2159"/>
  <c r="B2163"/>
  <c r="B2164"/>
  <c r="B2154"/>
  <c r="B2155"/>
  <c r="B2156"/>
  <c r="B2157"/>
  <c r="B2160"/>
  <c r="B2167"/>
  <c r="B2168"/>
  <c r="B1947"/>
  <c r="B1948"/>
  <c r="B1949"/>
  <c r="B2151"/>
  <c r="B2152"/>
  <c r="B2153"/>
  <c r="B1700"/>
  <c r="E1700"/>
  <c r="B1697"/>
  <c r="E1697"/>
  <c r="B1694"/>
  <c r="E1694"/>
  <c r="B1666"/>
  <c r="E1666"/>
  <c r="B1691"/>
  <c r="E1691"/>
  <c r="B1679"/>
  <c r="E1679"/>
  <c r="B1682"/>
  <c r="E1682"/>
  <c r="B1685"/>
  <c r="E1685"/>
  <c r="B1688"/>
  <c r="E1688"/>
  <c r="B1843"/>
  <c r="E1843"/>
  <c r="B1869"/>
  <c r="E1869"/>
  <c r="B1844"/>
  <c r="E1844"/>
  <c r="B1879"/>
  <c r="E1879"/>
  <c r="B1880"/>
  <c r="E1880"/>
  <c r="B1881"/>
  <c r="E1881"/>
  <c r="B2029"/>
  <c r="E2029"/>
  <c r="B2031"/>
  <c r="E2031"/>
  <c r="B2033"/>
  <c r="E2033"/>
  <c r="B2034"/>
  <c r="E2034"/>
  <c r="B198"/>
  <c r="E198"/>
  <c r="B199"/>
  <c r="E199"/>
  <c r="B2035"/>
  <c r="E2035"/>
  <c r="B2036"/>
  <c r="E2036"/>
  <c r="B2040"/>
  <c r="E2040"/>
  <c r="B2041"/>
  <c r="E2041"/>
  <c r="B2042"/>
  <c r="E2042"/>
  <c r="B2043"/>
  <c r="E2043"/>
  <c r="B2044"/>
  <c r="E2044"/>
  <c r="B2049"/>
  <c r="E2049"/>
  <c r="B2050"/>
  <c r="E2050"/>
  <c r="B2051"/>
  <c r="E2051"/>
  <c r="B2052"/>
  <c r="E2052"/>
  <c r="B2053"/>
  <c r="E2053"/>
  <c r="B2057"/>
  <c r="E2057"/>
  <c r="B2066"/>
  <c r="E2066"/>
  <c r="B2067"/>
  <c r="E2067"/>
  <c r="B2068"/>
  <c r="E2068"/>
  <c r="B2078"/>
  <c r="E2078"/>
  <c r="B2079"/>
  <c r="E2079"/>
  <c r="B2080"/>
  <c r="E2080"/>
  <c r="B2081"/>
  <c r="E2081"/>
  <c r="B2082"/>
  <c r="E2082"/>
  <c r="B2083"/>
  <c r="E2083"/>
  <c r="B2084"/>
  <c r="E2084"/>
  <c r="B2085"/>
  <c r="E2085"/>
  <c r="B2086"/>
  <c r="E2086"/>
  <c r="B2087"/>
  <c r="E2087"/>
  <c r="B2088"/>
  <c r="E2088"/>
  <c r="B2089"/>
  <c r="E2089"/>
  <c r="B2090"/>
  <c r="E2090"/>
  <c r="B2091"/>
  <c r="E2091"/>
  <c r="B2092"/>
  <c r="E2092"/>
  <c r="B2093"/>
  <c r="E2093"/>
  <c r="B2094"/>
  <c r="E2094"/>
  <c r="B2095"/>
  <c r="E2095"/>
  <c r="B2096"/>
  <c r="E2096"/>
  <c r="B2097"/>
  <c r="E2097"/>
  <c r="B2098"/>
  <c r="E2098"/>
  <c r="B2099"/>
  <c r="E2099"/>
  <c r="B2100"/>
  <c r="E2100"/>
  <c r="B2101"/>
  <c r="E2101"/>
  <c r="B2102"/>
  <c r="E2102"/>
  <c r="B2103"/>
  <c r="E2103"/>
  <c r="B2104"/>
  <c r="E2104"/>
  <c r="B2105"/>
  <c r="E2105"/>
  <c r="B2106"/>
  <c r="E2106"/>
  <c r="B2107"/>
  <c r="E2107"/>
  <c r="B2108"/>
  <c r="E2108"/>
  <c r="B2109"/>
  <c r="E2109"/>
  <c r="B2110"/>
  <c r="E2110"/>
  <c r="B2111"/>
  <c r="E2111"/>
  <c r="B2112"/>
  <c r="E2112"/>
  <c r="B2113"/>
  <c r="E2113"/>
  <c r="B2114"/>
  <c r="E2114"/>
  <c r="B2115"/>
  <c r="E2115"/>
  <c r="B2116"/>
  <c r="E2116"/>
  <c r="B2117"/>
  <c r="E2117"/>
  <c r="B2118"/>
  <c r="E2118"/>
  <c r="B2119"/>
  <c r="E2119"/>
  <c r="B2120"/>
  <c r="E2120"/>
  <c r="B2121"/>
  <c r="E2121"/>
  <c r="B2122"/>
  <c r="E2122"/>
  <c r="B2123"/>
  <c r="E2123"/>
  <c r="B2124"/>
  <c r="E2124"/>
  <c r="B2125"/>
  <c r="E2125"/>
  <c r="B2126"/>
  <c r="E2126"/>
  <c r="B2127"/>
  <c r="E2127"/>
  <c r="B2128"/>
  <c r="E2128"/>
  <c r="B2129"/>
  <c r="E2129"/>
  <c r="B2130"/>
  <c r="E2130"/>
  <c r="B2131"/>
  <c r="E2131"/>
  <c r="B2132"/>
  <c r="E2132"/>
  <c r="B2133"/>
  <c r="E2133"/>
  <c r="B2134"/>
  <c r="E2134"/>
  <c r="B2135"/>
  <c r="E2135"/>
  <c r="B2136"/>
  <c r="E2136"/>
  <c r="B2137"/>
  <c r="E2137"/>
  <c r="B2138"/>
  <c r="E2138"/>
  <c r="B2139"/>
  <c r="E2139"/>
  <c r="B2140"/>
  <c r="E2140"/>
  <c r="B2141"/>
  <c r="E2141"/>
  <c r="B2142"/>
  <c r="E2142"/>
  <c r="B2143"/>
  <c r="E2143"/>
  <c r="B2172"/>
  <c r="B2173"/>
  <c r="B2698"/>
  <c r="B2699"/>
  <c r="B2700"/>
  <c r="B2701"/>
  <c r="B2702"/>
  <c r="B2703"/>
  <c r="B2704"/>
  <c r="B2705"/>
  <c r="B2706"/>
  <c r="B2707"/>
  <c r="B2708"/>
  <c r="B2709"/>
  <c r="B2710"/>
  <c r="B2711"/>
  <c r="B2712"/>
  <c r="B2713"/>
  <c r="B2714"/>
  <c r="B2715"/>
  <c r="B2716"/>
  <c r="B2717"/>
  <c r="B2718"/>
  <c r="B2719"/>
  <c r="B2720"/>
  <c r="B2721"/>
  <c r="B2722"/>
  <c r="B2723"/>
  <c r="B2724"/>
  <c r="B2725"/>
  <c r="B2726"/>
  <c r="B2727"/>
  <c r="B2728"/>
  <c r="B2729"/>
  <c r="B2730"/>
  <c r="B2731"/>
  <c r="B2732"/>
  <c r="B2733"/>
  <c r="B2734"/>
  <c r="B2735"/>
  <c r="B2736"/>
  <c r="B2737"/>
  <c r="B2738"/>
  <c r="B2739"/>
  <c r="B2740"/>
  <c r="B2741"/>
  <c r="B2742"/>
  <c r="B2743"/>
  <c r="B2744"/>
  <c r="B2745"/>
  <c r="B2746"/>
  <c r="B2747"/>
  <c r="B2748"/>
  <c r="B2749"/>
  <c r="B2750"/>
  <c r="B2751"/>
  <c r="B2752"/>
  <c r="B2753"/>
  <c r="B2754"/>
  <c r="B2755"/>
  <c r="B2756"/>
  <c r="B2757"/>
  <c r="B2758"/>
  <c r="B2759"/>
  <c r="B2760"/>
  <c r="B2761"/>
  <c r="B2827"/>
  <c r="B2828"/>
  <c r="B2829"/>
  <c r="B2830"/>
  <c r="B2144"/>
  <c r="B2145"/>
  <c r="B2003"/>
  <c r="B2002"/>
  <c r="E1999"/>
  <c r="E2000"/>
  <c r="E2001"/>
  <c r="E2002"/>
  <c r="E2003"/>
  <c r="B1986"/>
  <c r="B1987"/>
  <c r="B1988"/>
  <c r="B1989"/>
  <c r="B1990"/>
  <c r="B1991"/>
  <c r="B1992"/>
  <c r="B1993"/>
  <c r="B1994"/>
  <c r="B1995"/>
  <c r="B1996"/>
  <c r="B1997"/>
  <c r="B1998"/>
  <c r="B1999"/>
  <c r="B2000"/>
  <c r="B2001"/>
  <c r="E1984"/>
  <c r="E1983"/>
  <c r="E1980"/>
  <c r="E1981"/>
  <c r="E1982"/>
  <c r="E1985"/>
  <c r="E1986"/>
  <c r="E1987"/>
  <c r="E1988"/>
  <c r="E1989"/>
  <c r="E1990"/>
  <c r="E1991"/>
  <c r="E1992"/>
  <c r="E1993"/>
  <c r="E1994"/>
  <c r="E1995"/>
  <c r="E1996"/>
  <c r="E1997"/>
  <c r="E1998"/>
  <c r="E1971"/>
  <c r="E1972"/>
  <c r="E1973"/>
  <c r="E1974"/>
  <c r="E1975"/>
  <c r="E1976"/>
  <c r="E1977"/>
  <c r="E1978"/>
  <c r="E1979"/>
  <c r="E1970"/>
  <c r="B1969"/>
  <c r="E1969"/>
  <c r="E1968"/>
  <c r="B1968"/>
  <c r="B1970"/>
  <c r="B1971"/>
  <c r="B1972"/>
  <c r="B1973"/>
  <c r="B1974"/>
  <c r="B1975"/>
  <c r="B1976"/>
  <c r="B1977"/>
  <c r="B1978"/>
  <c r="B1979"/>
  <c r="B1980"/>
  <c r="B1981"/>
  <c r="B1982"/>
  <c r="B1983"/>
  <c r="B1984"/>
  <c r="B1985"/>
  <c r="B1967"/>
  <c r="E1967"/>
  <c r="B1966"/>
  <c r="E1966"/>
  <c r="E2014"/>
  <c r="E2013"/>
  <c r="E1965"/>
  <c r="E1964"/>
  <c r="E2012"/>
  <c r="E2026"/>
  <c r="E2024"/>
  <c r="E2021"/>
  <c r="B2021"/>
  <c r="M2021"/>
  <c r="B2024"/>
  <c r="M2024"/>
  <c r="B2026"/>
  <c r="M2026"/>
  <c r="B2012"/>
  <c r="B1964"/>
  <c r="B1965"/>
  <c r="B2013"/>
  <c r="B2014"/>
  <c r="B2018"/>
  <c r="E2018"/>
  <c r="M2018"/>
  <c r="B2019"/>
  <c r="E2019"/>
  <c r="M2019"/>
  <c r="B2020"/>
  <c r="E2020"/>
  <c r="M2020"/>
  <c r="M2017"/>
  <c r="E2017"/>
  <c r="B2017"/>
  <c r="M2016"/>
  <c r="E2016"/>
  <c r="B2016"/>
  <c r="M2011"/>
  <c r="E2011"/>
  <c r="M2010"/>
  <c r="E2010"/>
  <c r="B2010"/>
  <c r="M2009"/>
  <c r="E2009"/>
  <c r="M2008"/>
  <c r="E2008"/>
  <c r="M2007"/>
  <c r="E2007"/>
  <c r="M1920"/>
  <c r="E1920"/>
  <c r="B1920"/>
  <c r="M1919"/>
  <c r="E1919"/>
  <c r="B1915"/>
  <c r="E1915"/>
  <c r="M1915"/>
  <c r="M1914"/>
  <c r="M1899"/>
  <c r="E1899"/>
  <c r="M1890"/>
  <c r="M1796"/>
  <c r="B1919"/>
  <c r="B2007"/>
  <c r="B2008"/>
  <c r="B2009"/>
  <c r="B2011"/>
  <c r="M1793"/>
  <c r="E1793"/>
  <c r="A30" i="12"/>
  <c r="K189" i="34"/>
  <c r="M189" s="1"/>
  <c r="B188"/>
  <c r="M187"/>
  <c r="K186"/>
  <c r="M186" s="1"/>
  <c r="B186"/>
  <c r="B187"/>
  <c r="B189"/>
  <c r="E1914"/>
  <c r="B1914"/>
  <c r="E1913"/>
  <c r="B1913"/>
  <c r="E1892"/>
  <c r="E1893"/>
  <c r="E1894"/>
  <c r="E1895"/>
  <c r="E1896"/>
  <c r="E1897"/>
  <c r="E1898"/>
  <c r="B1891"/>
  <c r="E1891"/>
  <c r="E1818"/>
  <c r="B1818"/>
  <c r="B1810"/>
  <c r="E1810"/>
  <c r="E1801"/>
  <c r="B1801"/>
  <c r="E1712"/>
  <c r="E1715"/>
  <c r="E1794"/>
  <c r="E1792"/>
  <c r="E1796"/>
  <c r="E1797"/>
  <c r="E1890"/>
  <c r="B1712"/>
  <c r="B1715"/>
  <c r="B1794"/>
  <c r="B1792"/>
  <c r="B1796"/>
  <c r="B1797"/>
  <c r="B1890"/>
  <c r="E1657"/>
  <c r="B22" i="55"/>
  <c r="A22" s="1"/>
  <c r="S2007" i="34" l="1"/>
  <c r="Q2007"/>
  <c r="R2007"/>
  <c r="Q1920"/>
  <c r="R1920"/>
  <c r="S1920"/>
  <c r="Q2018"/>
  <c r="R2018"/>
  <c r="S2018"/>
  <c r="S1964"/>
  <c r="Q1964"/>
  <c r="R1964"/>
  <c r="R1985"/>
  <c r="S1985"/>
  <c r="Q1985"/>
  <c r="R1981"/>
  <c r="S1981"/>
  <c r="Q1981"/>
  <c r="R1977"/>
  <c r="S1977"/>
  <c r="Q1977"/>
  <c r="R1973"/>
  <c r="S1973"/>
  <c r="Q1973"/>
  <c r="S1968"/>
  <c r="Q1968"/>
  <c r="R1968"/>
  <c r="Q1998"/>
  <c r="R1998"/>
  <c r="S1998"/>
  <c r="Q1994"/>
  <c r="R1994"/>
  <c r="S1994"/>
  <c r="Q1990"/>
  <c r="R1990"/>
  <c r="S1990"/>
  <c r="Q1986"/>
  <c r="R1986"/>
  <c r="S1986"/>
  <c r="Q2002"/>
  <c r="R2002"/>
  <c r="S2002"/>
  <c r="R2830"/>
  <c r="S2830"/>
  <c r="Q2830"/>
  <c r="S2761"/>
  <c r="Q2761"/>
  <c r="R2761"/>
  <c r="S2757"/>
  <c r="Q2757"/>
  <c r="R2757"/>
  <c r="S2753"/>
  <c r="Q2753"/>
  <c r="R2753"/>
  <c r="S2749"/>
  <c r="Q2749"/>
  <c r="R2749"/>
  <c r="S2745"/>
  <c r="Q2745"/>
  <c r="R2745"/>
  <c r="S2741"/>
  <c r="Q2741"/>
  <c r="R2741"/>
  <c r="S2737"/>
  <c r="Q2737"/>
  <c r="R2737"/>
  <c r="S2733"/>
  <c r="Q2733"/>
  <c r="R2733"/>
  <c r="S2729"/>
  <c r="Q2729"/>
  <c r="R2729"/>
  <c r="S2725"/>
  <c r="Q2725"/>
  <c r="R2725"/>
  <c r="S2721"/>
  <c r="Q2721"/>
  <c r="R2721"/>
  <c r="S2717"/>
  <c r="Q2717"/>
  <c r="R2717"/>
  <c r="S2713"/>
  <c r="Q2713"/>
  <c r="R2713"/>
  <c r="S2709"/>
  <c r="Q2709"/>
  <c r="R2709"/>
  <c r="S2705"/>
  <c r="Q2705"/>
  <c r="R2705"/>
  <c r="S2701"/>
  <c r="Q2701"/>
  <c r="R2701"/>
  <c r="S2173"/>
  <c r="Q2173"/>
  <c r="R2173"/>
  <c r="S2153"/>
  <c r="Q2153"/>
  <c r="R2153"/>
  <c r="S1948"/>
  <c r="Q1948"/>
  <c r="R1948"/>
  <c r="Q2164"/>
  <c r="R2164"/>
  <c r="S2164"/>
  <c r="Q2150"/>
  <c r="R2150"/>
  <c r="S2150"/>
  <c r="S2147"/>
  <c r="Q2147"/>
  <c r="R2147"/>
  <c r="R1958"/>
  <c r="S1958"/>
  <c r="Q1958"/>
  <c r="S452"/>
  <c r="Q452"/>
  <c r="R452"/>
  <c r="Q2005"/>
  <c r="R2005"/>
  <c r="S2005"/>
  <c r="S448"/>
  <c r="Q448"/>
  <c r="R448"/>
  <c r="Q446"/>
  <c r="R446"/>
  <c r="S446"/>
  <c r="Q2824"/>
  <c r="R2824"/>
  <c r="S2824"/>
  <c r="Q2820"/>
  <c r="R2820"/>
  <c r="S2820"/>
  <c r="Q2816"/>
  <c r="R2816"/>
  <c r="S2816"/>
  <c r="Q2812"/>
  <c r="R2812"/>
  <c r="S2812"/>
  <c r="Q2808"/>
  <c r="R2808"/>
  <c r="S2808"/>
  <c r="Q2804"/>
  <c r="R2804"/>
  <c r="S2804"/>
  <c r="Q2800"/>
  <c r="R2800"/>
  <c r="S2800"/>
  <c r="Q2796"/>
  <c r="R2796"/>
  <c r="S2796"/>
  <c r="Q2792"/>
  <c r="R2792"/>
  <c r="S2792"/>
  <c r="Q2788"/>
  <c r="R2788"/>
  <c r="S2788"/>
  <c r="Q2784"/>
  <c r="R2784"/>
  <c r="S2784"/>
  <c r="Q2780"/>
  <c r="R2780"/>
  <c r="S2780"/>
  <c r="Q2776"/>
  <c r="R2776"/>
  <c r="S2776"/>
  <c r="Q2772"/>
  <c r="R2772"/>
  <c r="S2772"/>
  <c r="Q2768"/>
  <c r="R2768"/>
  <c r="S2768"/>
  <c r="Q2764"/>
  <c r="R2764"/>
  <c r="S2764"/>
  <c r="Q442"/>
  <c r="R442"/>
  <c r="S442"/>
  <c r="S440"/>
  <c r="Q440"/>
  <c r="R440"/>
  <c r="Q1796"/>
  <c r="R1796"/>
  <c r="S1796"/>
  <c r="Q1801"/>
  <c r="S1801"/>
  <c r="R1801"/>
  <c r="Q1818"/>
  <c r="R1818"/>
  <c r="S1818"/>
  <c r="S187"/>
  <c r="Q187"/>
  <c r="R187"/>
  <c r="Q1914"/>
  <c r="R1914"/>
  <c r="S1914"/>
  <c r="S2011"/>
  <c r="Q2011"/>
  <c r="R2011"/>
  <c r="Q2010"/>
  <c r="R2010"/>
  <c r="S2010"/>
  <c r="Q2017"/>
  <c r="R2017"/>
  <c r="S2017"/>
  <c r="S2019"/>
  <c r="Q2019"/>
  <c r="R2019"/>
  <c r="Q2014"/>
  <c r="R2014"/>
  <c r="S2014"/>
  <c r="R2012"/>
  <c r="S2012"/>
  <c r="Q2012"/>
  <c r="R2024"/>
  <c r="S2024"/>
  <c r="Q2024"/>
  <c r="Q1966"/>
  <c r="R1966"/>
  <c r="S1966"/>
  <c r="S1984"/>
  <c r="Q1984"/>
  <c r="R1984"/>
  <c r="S1980"/>
  <c r="Q1980"/>
  <c r="R1980"/>
  <c r="S1976"/>
  <c r="Q1976"/>
  <c r="R1976"/>
  <c r="S1972"/>
  <c r="Q1972"/>
  <c r="R1972"/>
  <c r="R2001"/>
  <c r="S2001"/>
  <c r="Q2001"/>
  <c r="R1997"/>
  <c r="S1997"/>
  <c r="Q1997"/>
  <c r="R1993"/>
  <c r="S1993"/>
  <c r="Q1993"/>
  <c r="R1989"/>
  <c r="S1989"/>
  <c r="Q1989"/>
  <c r="R2003"/>
  <c r="S2003"/>
  <c r="Q2003"/>
  <c r="S2829"/>
  <c r="Q2829"/>
  <c r="R2829"/>
  <c r="Q2760"/>
  <c r="R2760"/>
  <c r="S2760"/>
  <c r="Q2756"/>
  <c r="R2756"/>
  <c r="S2756"/>
  <c r="Q2752"/>
  <c r="R2752"/>
  <c r="S2752"/>
  <c r="Q2748"/>
  <c r="R2748"/>
  <c r="S2748"/>
  <c r="Q2744"/>
  <c r="R2744"/>
  <c r="S2744"/>
  <c r="Q2740"/>
  <c r="R2740"/>
  <c r="S2740"/>
  <c r="Q2736"/>
  <c r="R2736"/>
  <c r="S2736"/>
  <c r="Q2732"/>
  <c r="R2732"/>
  <c r="S2732"/>
  <c r="Q2728"/>
  <c r="R2728"/>
  <c r="S2728"/>
  <c r="Q2724"/>
  <c r="R2724"/>
  <c r="S2724"/>
  <c r="Q2720"/>
  <c r="R2720"/>
  <c r="S2720"/>
  <c r="Q2716"/>
  <c r="R2716"/>
  <c r="S2716"/>
  <c r="Q2712"/>
  <c r="R2712"/>
  <c r="S2712"/>
  <c r="Q2708"/>
  <c r="R2708"/>
  <c r="S2708"/>
  <c r="Q2704"/>
  <c r="R2704"/>
  <c r="S2704"/>
  <c r="Q2700"/>
  <c r="R2700"/>
  <c r="S2700"/>
  <c r="Q2172"/>
  <c r="R2172"/>
  <c r="S2172"/>
  <c r="R2142"/>
  <c r="S2142"/>
  <c r="Q2142"/>
  <c r="Q2140"/>
  <c r="R2140"/>
  <c r="S2140"/>
  <c r="R2138"/>
  <c r="S2138"/>
  <c r="Q2138"/>
  <c r="Q2136"/>
  <c r="R2136"/>
  <c r="S2136"/>
  <c r="R2134"/>
  <c r="S2134"/>
  <c r="Q2134"/>
  <c r="Q2132"/>
  <c r="R2132"/>
  <c r="S2132"/>
  <c r="R2130"/>
  <c r="S2130"/>
  <c r="Q2130"/>
  <c r="Q2128"/>
  <c r="R2128"/>
  <c r="S2128"/>
  <c r="R2126"/>
  <c r="S2126"/>
  <c r="Q2126"/>
  <c r="Q2124"/>
  <c r="R2124"/>
  <c r="S2124"/>
  <c r="R2122"/>
  <c r="S2122"/>
  <c r="Q2122"/>
  <c r="Q2120"/>
  <c r="R2120"/>
  <c r="S2120"/>
  <c r="R2118"/>
  <c r="S2118"/>
  <c r="Q2118"/>
  <c r="Q2116"/>
  <c r="R2116"/>
  <c r="S2116"/>
  <c r="R2114"/>
  <c r="S2114"/>
  <c r="Q2114"/>
  <c r="Q2112"/>
  <c r="R2112"/>
  <c r="S2112"/>
  <c r="Q2110"/>
  <c r="R2110"/>
  <c r="S2110"/>
  <c r="R2108"/>
  <c r="Q2108"/>
  <c r="S2108"/>
  <c r="Q2106"/>
  <c r="R2106"/>
  <c r="S2106"/>
  <c r="Q2104"/>
  <c r="R2104"/>
  <c r="S2104"/>
  <c r="Q2102"/>
  <c r="S2102"/>
  <c r="R2102"/>
  <c r="S2100"/>
  <c r="Q2100"/>
  <c r="R2100"/>
  <c r="Q2098"/>
  <c r="S2098"/>
  <c r="R2098"/>
  <c r="S2096"/>
  <c r="Q2096"/>
  <c r="R2096"/>
  <c r="Q2094"/>
  <c r="R2094"/>
  <c r="S2094"/>
  <c r="S2092"/>
  <c r="Q2092"/>
  <c r="R2092"/>
  <c r="Q2090"/>
  <c r="R2090"/>
  <c r="S2090"/>
  <c r="S2088"/>
  <c r="Q2088"/>
  <c r="R2088"/>
  <c r="Q2086"/>
  <c r="R2086"/>
  <c r="S2086"/>
  <c r="S2084"/>
  <c r="Q2084"/>
  <c r="R2084"/>
  <c r="Q2082"/>
  <c r="R2082"/>
  <c r="S2082"/>
  <c r="S2080"/>
  <c r="Q2080"/>
  <c r="R2080"/>
  <c r="Q2078"/>
  <c r="R2078"/>
  <c r="S2078"/>
  <c r="S2067"/>
  <c r="Q2067"/>
  <c r="R2067"/>
  <c r="Q2057"/>
  <c r="R2057"/>
  <c r="S2057"/>
  <c r="R2052"/>
  <c r="S2052"/>
  <c r="Q2052"/>
  <c r="Q2050"/>
  <c r="R2050"/>
  <c r="S2050"/>
  <c r="R2044"/>
  <c r="S2044"/>
  <c r="Q2044"/>
  <c r="Q2042"/>
  <c r="R2042"/>
  <c r="S2042"/>
  <c r="R2040"/>
  <c r="S2040"/>
  <c r="Q2040"/>
  <c r="S2035"/>
  <c r="Q2035"/>
  <c r="R2035"/>
  <c r="Q198"/>
  <c r="R198"/>
  <c r="S198"/>
  <c r="Q2033"/>
  <c r="R2033"/>
  <c r="S2033"/>
  <c r="Q2029"/>
  <c r="R2029"/>
  <c r="S2029"/>
  <c r="S1880"/>
  <c r="Q1880"/>
  <c r="R1880"/>
  <c r="Q1844"/>
  <c r="R1844"/>
  <c r="S1844"/>
  <c r="R1843"/>
  <c r="S1843"/>
  <c r="Q1843"/>
  <c r="R1685"/>
  <c r="S1685"/>
  <c r="Q1685"/>
  <c r="Q1679"/>
  <c r="R1679"/>
  <c r="S1679"/>
  <c r="Q1666"/>
  <c r="R1666"/>
  <c r="S1666"/>
  <c r="S1697"/>
  <c r="Q1697"/>
  <c r="R1697"/>
  <c r="Q2152"/>
  <c r="R2152"/>
  <c r="S2152"/>
  <c r="Q1947"/>
  <c r="R1947"/>
  <c r="S1947"/>
  <c r="S2160"/>
  <c r="Q2160"/>
  <c r="R2160"/>
  <c r="R2155"/>
  <c r="S2155"/>
  <c r="Q2155"/>
  <c r="Q2163"/>
  <c r="R2163"/>
  <c r="S2163"/>
  <c r="Q2149"/>
  <c r="R2149"/>
  <c r="S2149"/>
  <c r="R445"/>
  <c r="S445"/>
  <c r="Q445"/>
  <c r="Q2004"/>
  <c r="R2004"/>
  <c r="S2004"/>
  <c r="Q2823"/>
  <c r="R2823"/>
  <c r="S2823"/>
  <c r="Q2819"/>
  <c r="R2819"/>
  <c r="S2819"/>
  <c r="Q2815"/>
  <c r="R2815"/>
  <c r="S2815"/>
  <c r="Q2811"/>
  <c r="R2811"/>
  <c r="S2811"/>
  <c r="Q2807"/>
  <c r="R2807"/>
  <c r="S2807"/>
  <c r="Q2803"/>
  <c r="R2803"/>
  <c r="S2803"/>
  <c r="Q2799"/>
  <c r="R2799"/>
  <c r="S2799"/>
  <c r="Q2795"/>
  <c r="R2795"/>
  <c r="S2795"/>
  <c r="Q2791"/>
  <c r="R2791"/>
  <c r="S2791"/>
  <c r="Q2787"/>
  <c r="R2787"/>
  <c r="S2787"/>
  <c r="Q2783"/>
  <c r="R2783"/>
  <c r="S2783"/>
  <c r="Q2779"/>
  <c r="R2779"/>
  <c r="S2779"/>
  <c r="Q2775"/>
  <c r="R2775"/>
  <c r="S2775"/>
  <c r="Q2771"/>
  <c r="R2771"/>
  <c r="S2771"/>
  <c r="Q2767"/>
  <c r="R2767"/>
  <c r="S2767"/>
  <c r="Q2763"/>
  <c r="R2763"/>
  <c r="S2763"/>
  <c r="Q443"/>
  <c r="R443"/>
  <c r="S443"/>
  <c r="Q450"/>
  <c r="R450"/>
  <c r="S450"/>
  <c r="R2161"/>
  <c r="S2161"/>
  <c r="Q2161"/>
  <c r="Q1712"/>
  <c r="R1712"/>
  <c r="S1712"/>
  <c r="R188"/>
  <c r="S188"/>
  <c r="Q188"/>
  <c r="Q1792"/>
  <c r="R1792"/>
  <c r="S1792"/>
  <c r="Q2009"/>
  <c r="R2009"/>
  <c r="S2009"/>
  <c r="R2020"/>
  <c r="S2020"/>
  <c r="Q2020"/>
  <c r="Q2013"/>
  <c r="R2013"/>
  <c r="S2013"/>
  <c r="Q1983"/>
  <c r="R1983"/>
  <c r="S1983"/>
  <c r="S2000"/>
  <c r="Q2000"/>
  <c r="R2000"/>
  <c r="S1996"/>
  <c r="Q1996"/>
  <c r="R1996"/>
  <c r="S1992"/>
  <c r="Q1992"/>
  <c r="R1992"/>
  <c r="S1988"/>
  <c r="Q1988"/>
  <c r="R1988"/>
  <c r="S2145"/>
  <c r="Q2145"/>
  <c r="R2145"/>
  <c r="Q2828"/>
  <c r="R2828"/>
  <c r="S2828"/>
  <c r="Q2759"/>
  <c r="R2759"/>
  <c r="S2759"/>
  <c r="Q2755"/>
  <c r="R2755"/>
  <c r="S2755"/>
  <c r="Q2751"/>
  <c r="R2751"/>
  <c r="S2751"/>
  <c r="Q2747"/>
  <c r="R2747"/>
  <c r="S2747"/>
  <c r="Q2743"/>
  <c r="R2743"/>
  <c r="S2743"/>
  <c r="Q2739"/>
  <c r="R2739"/>
  <c r="S2739"/>
  <c r="Q2735"/>
  <c r="R2735"/>
  <c r="S2735"/>
  <c r="Q2731"/>
  <c r="R2731"/>
  <c r="S2731"/>
  <c r="Q2727"/>
  <c r="R2727"/>
  <c r="S2727"/>
  <c r="Q2723"/>
  <c r="R2723"/>
  <c r="S2723"/>
  <c r="Q2719"/>
  <c r="R2719"/>
  <c r="S2719"/>
  <c r="Q2715"/>
  <c r="R2715"/>
  <c r="S2715"/>
  <c r="Q2711"/>
  <c r="R2711"/>
  <c r="S2711"/>
  <c r="Q2707"/>
  <c r="R2707"/>
  <c r="S2707"/>
  <c r="Q2703"/>
  <c r="R2703"/>
  <c r="S2703"/>
  <c r="Q2699"/>
  <c r="R2699"/>
  <c r="S2699"/>
  <c r="Q2151"/>
  <c r="R2151"/>
  <c r="S2151"/>
  <c r="Q2168"/>
  <c r="R2168"/>
  <c r="S2168"/>
  <c r="Q2157"/>
  <c r="R2157"/>
  <c r="S2157"/>
  <c r="R2159"/>
  <c r="S2159"/>
  <c r="Q2159"/>
  <c r="R2148"/>
  <c r="S2148"/>
  <c r="Q2148"/>
  <c r="Q2146"/>
  <c r="R2146"/>
  <c r="S2146"/>
  <c r="R453"/>
  <c r="S453"/>
  <c r="Q453"/>
  <c r="S2006"/>
  <c r="Q2006"/>
  <c r="R2006"/>
  <c r="R449"/>
  <c r="S449"/>
  <c r="Q449"/>
  <c r="Q447"/>
  <c r="R447"/>
  <c r="S447"/>
  <c r="R2826"/>
  <c r="S2826"/>
  <c r="Q2826"/>
  <c r="R2822"/>
  <c r="S2822"/>
  <c r="Q2822"/>
  <c r="R2818"/>
  <c r="S2818"/>
  <c r="Q2818"/>
  <c r="R2814"/>
  <c r="S2814"/>
  <c r="Q2814"/>
  <c r="R2810"/>
  <c r="S2810"/>
  <c r="Q2810"/>
  <c r="R2806"/>
  <c r="S2806"/>
  <c r="Q2806"/>
  <c r="R2802"/>
  <c r="S2802"/>
  <c r="Q2802"/>
  <c r="R2798"/>
  <c r="S2798"/>
  <c r="Q2798"/>
  <c r="R2794"/>
  <c r="S2794"/>
  <c r="Q2794"/>
  <c r="R2790"/>
  <c r="S2790"/>
  <c r="Q2790"/>
  <c r="R2786"/>
  <c r="S2786"/>
  <c r="Q2786"/>
  <c r="R2782"/>
  <c r="S2782"/>
  <c r="Q2782"/>
  <c r="R2778"/>
  <c r="S2778"/>
  <c r="Q2778"/>
  <c r="R2774"/>
  <c r="S2774"/>
  <c r="Q2774"/>
  <c r="R2770"/>
  <c r="S2770"/>
  <c r="Q2770"/>
  <c r="R2766"/>
  <c r="S2766"/>
  <c r="Q2766"/>
  <c r="R2762"/>
  <c r="S2762"/>
  <c r="Q2762"/>
  <c r="R441"/>
  <c r="S441"/>
  <c r="Q441"/>
  <c r="Q454"/>
  <c r="R454"/>
  <c r="S454"/>
  <c r="Q186"/>
  <c r="R186"/>
  <c r="S186"/>
  <c r="R1919"/>
  <c r="S1919"/>
  <c r="Q1919"/>
  <c r="Q1915"/>
  <c r="R1915"/>
  <c r="S1915"/>
  <c r="Q1890"/>
  <c r="R1890"/>
  <c r="S1890"/>
  <c r="R1794"/>
  <c r="S1794"/>
  <c r="Q1794"/>
  <c r="R2016"/>
  <c r="S2016"/>
  <c r="Q2016"/>
  <c r="Q1979"/>
  <c r="R1979"/>
  <c r="S1979"/>
  <c r="Q1975"/>
  <c r="R1975"/>
  <c r="S1975"/>
  <c r="Q1971"/>
  <c r="R1971"/>
  <c r="S1971"/>
  <c r="Q1797"/>
  <c r="R1797"/>
  <c r="S1797"/>
  <c r="R1715"/>
  <c r="S1715"/>
  <c r="Q1715"/>
  <c r="R1810"/>
  <c r="Q1810"/>
  <c r="S1810"/>
  <c r="Q1891"/>
  <c r="R1891"/>
  <c r="S1891"/>
  <c r="R1913"/>
  <c r="S1913"/>
  <c r="Q1913"/>
  <c r="Q189"/>
  <c r="R189"/>
  <c r="S189"/>
  <c r="R2008"/>
  <c r="S2008"/>
  <c r="Q2008"/>
  <c r="R1965"/>
  <c r="S1965"/>
  <c r="Q1965"/>
  <c r="Q2026"/>
  <c r="R2026"/>
  <c r="S2026"/>
  <c r="Q2021"/>
  <c r="R2021"/>
  <c r="S2021"/>
  <c r="Q1967"/>
  <c r="R1967"/>
  <c r="S1967"/>
  <c r="Q1982"/>
  <c r="R1982"/>
  <c r="S1982"/>
  <c r="Q1978"/>
  <c r="R1978"/>
  <c r="S1978"/>
  <c r="Q1974"/>
  <c r="R1974"/>
  <c r="S1974"/>
  <c r="Q1970"/>
  <c r="R1970"/>
  <c r="S1970"/>
  <c r="R1969"/>
  <c r="S1969"/>
  <c r="Q1969"/>
  <c r="Q1999"/>
  <c r="R1999"/>
  <c r="S1999"/>
  <c r="Q1995"/>
  <c r="R1995"/>
  <c r="S1995"/>
  <c r="Q1991"/>
  <c r="R1991"/>
  <c r="S1991"/>
  <c r="Q1987"/>
  <c r="R1987"/>
  <c r="S1987"/>
  <c r="Q2144"/>
  <c r="R2144"/>
  <c r="S2144"/>
  <c r="Q2827"/>
  <c r="R2827"/>
  <c r="S2827"/>
  <c r="R2758"/>
  <c r="S2758"/>
  <c r="Q2758"/>
  <c r="R2754"/>
  <c r="S2754"/>
  <c r="Q2754"/>
  <c r="R2750"/>
  <c r="S2750"/>
  <c r="Q2750"/>
  <c r="R2746"/>
  <c r="S2746"/>
  <c r="Q2746"/>
  <c r="R2742"/>
  <c r="S2742"/>
  <c r="Q2742"/>
  <c r="R2738"/>
  <c r="S2738"/>
  <c r="Q2738"/>
  <c r="R2734"/>
  <c r="S2734"/>
  <c r="Q2734"/>
  <c r="R2730"/>
  <c r="S2730"/>
  <c r="Q2730"/>
  <c r="R2726"/>
  <c r="S2726"/>
  <c r="Q2726"/>
  <c r="R2722"/>
  <c r="S2722"/>
  <c r="Q2722"/>
  <c r="R2718"/>
  <c r="S2718"/>
  <c r="Q2718"/>
  <c r="R2714"/>
  <c r="S2714"/>
  <c r="Q2714"/>
  <c r="R2710"/>
  <c r="S2710"/>
  <c r="Q2710"/>
  <c r="R2706"/>
  <c r="S2706"/>
  <c r="Q2706"/>
  <c r="R2702"/>
  <c r="S2702"/>
  <c r="Q2702"/>
  <c r="R2698"/>
  <c r="S2698"/>
  <c r="Q2698"/>
  <c r="Q2143"/>
  <c r="R2143"/>
  <c r="S2143"/>
  <c r="S2141"/>
  <c r="Q2141"/>
  <c r="R2141"/>
  <c r="Q2139"/>
  <c r="R2139"/>
  <c r="S2139"/>
  <c r="S2137"/>
  <c r="Q2137"/>
  <c r="R2137"/>
  <c r="Q2135"/>
  <c r="R2135"/>
  <c r="S2135"/>
  <c r="S2133"/>
  <c r="Q2133"/>
  <c r="R2133"/>
  <c r="Q2131"/>
  <c r="R2131"/>
  <c r="S2131"/>
  <c r="S2129"/>
  <c r="Q2129"/>
  <c r="R2129"/>
  <c r="Q2127"/>
  <c r="R2127"/>
  <c r="S2127"/>
  <c r="S2125"/>
  <c r="Q2125"/>
  <c r="R2125"/>
  <c r="Q2123"/>
  <c r="R2123"/>
  <c r="S2123"/>
  <c r="S2121"/>
  <c r="Q2121"/>
  <c r="R2121"/>
  <c r="Q2119"/>
  <c r="R2119"/>
  <c r="S2119"/>
  <c r="S2117"/>
  <c r="Q2117"/>
  <c r="R2117"/>
  <c r="Q2115"/>
  <c r="R2115"/>
  <c r="S2115"/>
  <c r="S2113"/>
  <c r="Q2113"/>
  <c r="R2113"/>
  <c r="S2111"/>
  <c r="Q2111"/>
  <c r="R2111"/>
  <c r="Q2109"/>
  <c r="R2109"/>
  <c r="S2109"/>
  <c r="S2107"/>
  <c r="Q2107"/>
  <c r="R2107"/>
  <c r="Q2105"/>
  <c r="R2105"/>
  <c r="S2105"/>
  <c r="R2103"/>
  <c r="S2103"/>
  <c r="Q2103"/>
  <c r="R2101"/>
  <c r="Q2101"/>
  <c r="S2101"/>
  <c r="R2099"/>
  <c r="S2099"/>
  <c r="Q2099"/>
  <c r="R2097"/>
  <c r="Q2097"/>
  <c r="S2097"/>
  <c r="Q2095"/>
  <c r="R2095"/>
  <c r="S2095"/>
  <c r="R2093"/>
  <c r="S2093"/>
  <c r="Q2093"/>
  <c r="Q2091"/>
  <c r="R2091"/>
  <c r="S2091"/>
  <c r="R2089"/>
  <c r="S2089"/>
  <c r="Q2089"/>
  <c r="Q2087"/>
  <c r="R2087"/>
  <c r="S2087"/>
  <c r="R2085"/>
  <c r="S2085"/>
  <c r="Q2085"/>
  <c r="Q2083"/>
  <c r="R2083"/>
  <c r="S2083"/>
  <c r="R2081"/>
  <c r="S2081"/>
  <c r="Q2081"/>
  <c r="Q2079"/>
  <c r="R2079"/>
  <c r="S2079"/>
  <c r="R2068"/>
  <c r="S2068"/>
  <c r="Q2068"/>
  <c r="Q2066"/>
  <c r="R2066"/>
  <c r="S2066"/>
  <c r="Q2053"/>
  <c r="R2053"/>
  <c r="S2053"/>
  <c r="S2051"/>
  <c r="Q2051"/>
  <c r="R2051"/>
  <c r="Q2049"/>
  <c r="R2049"/>
  <c r="S2049"/>
  <c r="S2043"/>
  <c r="Q2043"/>
  <c r="R2043"/>
  <c r="Q2041"/>
  <c r="R2041"/>
  <c r="S2041"/>
  <c r="R2036"/>
  <c r="S2036"/>
  <c r="Q2036"/>
  <c r="S199"/>
  <c r="Q199"/>
  <c r="R199"/>
  <c r="Q2034"/>
  <c r="R2034"/>
  <c r="S2034"/>
  <c r="S2031"/>
  <c r="Q2031"/>
  <c r="R2031"/>
  <c r="R1881"/>
  <c r="S1881"/>
  <c r="Q1881"/>
  <c r="Q1879"/>
  <c r="R1879"/>
  <c r="S1879"/>
  <c r="R1869"/>
  <c r="S1869"/>
  <c r="Q1869"/>
  <c r="Q1688"/>
  <c r="R1688"/>
  <c r="S1688"/>
  <c r="S1682"/>
  <c r="Q1682"/>
  <c r="R1682"/>
  <c r="Q1691"/>
  <c r="R1691"/>
  <c r="S1691"/>
  <c r="R1694"/>
  <c r="S1694"/>
  <c r="Q1694"/>
  <c r="Q1700"/>
  <c r="R1700"/>
  <c r="S1700"/>
  <c r="R1949"/>
  <c r="S1949"/>
  <c r="Q1949"/>
  <c r="R2167"/>
  <c r="S2167"/>
  <c r="Q2167"/>
  <c r="Q2156"/>
  <c r="R2156"/>
  <c r="S2156"/>
  <c r="S2154"/>
  <c r="Q2154"/>
  <c r="R2154"/>
  <c r="S2158"/>
  <c r="Q2158"/>
  <c r="R2158"/>
  <c r="Q1959"/>
  <c r="R1959"/>
  <c r="S1959"/>
  <c r="S444"/>
  <c r="Q444"/>
  <c r="R444"/>
  <c r="S2825"/>
  <c r="Q2825"/>
  <c r="R2825"/>
  <c r="S2821"/>
  <c r="Q2821"/>
  <c r="R2821"/>
  <c r="S2817"/>
  <c r="Q2817"/>
  <c r="R2817"/>
  <c r="S2813"/>
  <c r="Q2813"/>
  <c r="R2813"/>
  <c r="S2809"/>
  <c r="Q2809"/>
  <c r="R2809"/>
  <c r="S2805"/>
  <c r="Q2805"/>
  <c r="R2805"/>
  <c r="S2801"/>
  <c r="Q2801"/>
  <c r="R2801"/>
  <c r="S2797"/>
  <c r="Q2797"/>
  <c r="R2797"/>
  <c r="S2793"/>
  <c r="Q2793"/>
  <c r="R2793"/>
  <c r="S2789"/>
  <c r="Q2789"/>
  <c r="R2789"/>
  <c r="S2785"/>
  <c r="Q2785"/>
  <c r="R2785"/>
  <c r="S2781"/>
  <c r="Q2781"/>
  <c r="R2781"/>
  <c r="S2777"/>
  <c r="Q2777"/>
  <c r="R2777"/>
  <c r="S2773"/>
  <c r="Q2773"/>
  <c r="R2773"/>
  <c r="S2769"/>
  <c r="Q2769"/>
  <c r="R2769"/>
  <c r="S2765"/>
  <c r="Q2765"/>
  <c r="R2765"/>
  <c r="Q439"/>
  <c r="R439"/>
  <c r="S439"/>
  <c r="Q451"/>
  <c r="R451"/>
  <c r="S451"/>
  <c r="Q2162"/>
  <c r="R2162"/>
  <c r="S2162"/>
  <c r="A1792"/>
  <c r="A1891"/>
  <c r="A1913"/>
  <c r="A188"/>
  <c r="A2009"/>
  <c r="A2016"/>
  <c r="A2020"/>
  <c r="A2013"/>
  <c r="A1985"/>
  <c r="A1981"/>
  <c r="A1977"/>
  <c r="A1973"/>
  <c r="A1999"/>
  <c r="A1995"/>
  <c r="A1992"/>
  <c r="A1988"/>
  <c r="A2145"/>
  <c r="A1890"/>
  <c r="A1796"/>
  <c r="A1794"/>
  <c r="A1712"/>
  <c r="A1801"/>
  <c r="A1818"/>
  <c r="A187"/>
  <c r="A2011"/>
  <c r="A2008"/>
  <c r="A1919"/>
  <c r="A1915"/>
  <c r="A2010"/>
  <c r="A2017"/>
  <c r="A2019"/>
  <c r="A2014"/>
  <c r="A1965"/>
  <c r="A2012"/>
  <c r="A2026"/>
  <c r="A2024"/>
  <c r="A2021"/>
  <c r="A1966"/>
  <c r="A1967"/>
  <c r="A1984"/>
  <c r="A1982"/>
  <c r="A1980"/>
  <c r="A1978"/>
  <c r="A1976"/>
  <c r="A1974"/>
  <c r="A1972"/>
  <c r="A1971"/>
  <c r="A1968"/>
  <c r="A2000"/>
  <c r="A1998"/>
  <c r="A1996"/>
  <c r="A1994"/>
  <c r="A1991"/>
  <c r="A1989"/>
  <c r="A1987"/>
  <c r="A2003"/>
  <c r="A2144"/>
  <c r="A2830"/>
  <c r="A2829"/>
  <c r="A2828"/>
  <c r="A2827"/>
  <c r="A2761"/>
  <c r="A2760"/>
  <c r="A2759"/>
  <c r="A2758"/>
  <c r="A2757"/>
  <c r="A2756"/>
  <c r="A2755"/>
  <c r="A2754"/>
  <c r="A2753"/>
  <c r="A2752"/>
  <c r="A2751"/>
  <c r="A2750"/>
  <c r="A2749"/>
  <c r="A2748"/>
  <c r="A2747"/>
  <c r="A2746"/>
  <c r="A2745"/>
  <c r="A2744"/>
  <c r="A2743"/>
  <c r="A2742"/>
  <c r="A2741"/>
  <c r="A2740"/>
  <c r="A2739"/>
  <c r="A2738"/>
  <c r="A2737"/>
  <c r="A2736"/>
  <c r="A2735"/>
  <c r="A2734"/>
  <c r="A2733"/>
  <c r="A1797"/>
  <c r="A1715"/>
  <c r="A1810"/>
  <c r="A1914"/>
  <c r="A189"/>
  <c r="A186"/>
  <c r="A2007"/>
  <c r="A1920"/>
  <c r="A2018"/>
  <c r="A1964"/>
  <c r="A1983"/>
  <c r="A1979"/>
  <c r="A1975"/>
  <c r="A1970"/>
  <c r="A1969"/>
  <c r="A2001"/>
  <c r="A1997"/>
  <c r="A1993"/>
  <c r="A1990"/>
  <c r="A1986"/>
  <c r="A2002"/>
  <c r="A2732"/>
  <c r="A2731"/>
  <c r="A2730"/>
  <c r="A2729"/>
  <c r="A2728"/>
  <c r="A2727"/>
  <c r="A2726"/>
  <c r="A2725"/>
  <c r="A2724"/>
  <c r="A2723"/>
  <c r="A2722"/>
  <c r="A2721"/>
  <c r="A2720"/>
  <c r="A2719"/>
  <c r="A2718"/>
  <c r="A2717"/>
  <c r="A2716"/>
  <c r="A2715"/>
  <c r="A2714"/>
  <c r="A2713"/>
  <c r="A2712"/>
  <c r="A2711"/>
  <c r="A2710"/>
  <c r="A2709"/>
  <c r="A2708"/>
  <c r="A2707"/>
  <c r="A2706"/>
  <c r="A2705"/>
  <c r="A2704"/>
  <c r="A2703"/>
  <c r="A2702"/>
  <c r="A2701"/>
  <c r="A2700"/>
  <c r="A2699"/>
  <c r="A2698"/>
  <c r="A2173"/>
  <c r="A2172"/>
  <c r="A2143"/>
  <c r="A2142"/>
  <c r="A2141"/>
  <c r="A2140"/>
  <c r="A2139"/>
  <c r="A2138"/>
  <c r="A2137"/>
  <c r="A2136"/>
  <c r="A2135"/>
  <c r="A2134"/>
  <c r="A2133"/>
  <c r="A2132"/>
  <c r="A2131"/>
  <c r="A2130"/>
  <c r="A2129"/>
  <c r="A2128"/>
  <c r="A2127"/>
  <c r="A2126"/>
  <c r="A2125"/>
  <c r="A2124"/>
  <c r="A2123"/>
  <c r="A2122"/>
  <c r="A2121"/>
  <c r="A2120"/>
  <c r="A2119"/>
  <c r="A2118"/>
  <c r="A2117"/>
  <c r="A2116"/>
  <c r="A2115"/>
  <c r="A2114"/>
  <c r="A2113"/>
  <c r="A2112"/>
  <c r="A2111"/>
  <c r="A2110"/>
  <c r="A2109"/>
  <c r="A2108"/>
  <c r="A2107"/>
  <c r="A2106"/>
  <c r="A2105"/>
  <c r="A2104"/>
  <c r="A2103"/>
  <c r="A2102"/>
  <c r="A2101"/>
  <c r="A2100"/>
  <c r="A2099"/>
  <c r="A2098"/>
  <c r="A2097"/>
  <c r="A2096"/>
  <c r="A2095"/>
  <c r="A2094"/>
  <c r="A2093"/>
  <c r="A2092"/>
  <c r="A2091"/>
  <c r="A2090"/>
  <c r="A2089"/>
  <c r="A2088"/>
  <c r="A2087"/>
  <c r="A2086"/>
  <c r="A2085"/>
  <c r="A2084"/>
  <c r="A2083"/>
  <c r="A2082"/>
  <c r="A2081"/>
  <c r="A2080"/>
  <c r="A2079"/>
  <c r="A2078"/>
  <c r="A2068"/>
  <c r="A2067"/>
  <c r="A2066"/>
  <c r="A2057"/>
  <c r="A2053"/>
  <c r="A2052"/>
  <c r="A2051"/>
  <c r="A2050"/>
  <c r="A2049"/>
  <c r="A2044"/>
  <c r="A2043"/>
  <c r="A2042"/>
  <c r="A2041"/>
  <c r="A2040"/>
  <c r="A2036"/>
  <c r="A2035"/>
  <c r="A199"/>
  <c r="A198"/>
  <c r="A2034"/>
  <c r="A2033"/>
  <c r="A2031"/>
  <c r="A2029"/>
  <c r="A1881"/>
  <c r="A1880"/>
  <c r="A1879"/>
  <c r="A1844"/>
  <c r="A1869"/>
  <c r="A1843"/>
  <c r="A1688"/>
  <c r="A1685"/>
  <c r="A1682"/>
  <c r="A1679"/>
  <c r="A1691"/>
  <c r="A1666"/>
  <c r="A1694"/>
  <c r="A1697"/>
  <c r="A1700"/>
  <c r="A2152"/>
  <c r="A1949"/>
  <c r="A1947"/>
  <c r="A2167"/>
  <c r="A2160"/>
  <c r="A2156"/>
  <c r="A2155"/>
  <c r="A2154"/>
  <c r="A2163"/>
  <c r="A2158"/>
  <c r="A2149"/>
  <c r="A1959"/>
  <c r="A445"/>
  <c r="A444"/>
  <c r="A2004"/>
  <c r="A2826"/>
  <c r="A2825"/>
  <c r="A2824"/>
  <c r="A2823"/>
  <c r="A2822"/>
  <c r="A2821"/>
  <c r="A2820"/>
  <c r="A2819"/>
  <c r="A2818"/>
  <c r="A2817"/>
  <c r="A2816"/>
  <c r="A2815"/>
  <c r="A2814"/>
  <c r="A2813"/>
  <c r="A2812"/>
  <c r="A2811"/>
  <c r="A2810"/>
  <c r="A2809"/>
  <c r="A2808"/>
  <c r="A2807"/>
  <c r="A2806"/>
  <c r="A2805"/>
  <c r="A2804"/>
  <c r="A2803"/>
  <c r="A2802"/>
  <c r="A2801"/>
  <c r="A2800"/>
  <c r="A2799"/>
  <c r="A2798"/>
  <c r="A2797"/>
  <c r="A2796"/>
  <c r="A2795"/>
  <c r="A2794"/>
  <c r="A2793"/>
  <c r="A2792"/>
  <c r="A2791"/>
  <c r="A2790"/>
  <c r="A2789"/>
  <c r="A2788"/>
  <c r="A2787"/>
  <c r="A2786"/>
  <c r="A2785"/>
  <c r="A2784"/>
  <c r="A2783"/>
  <c r="A2782"/>
  <c r="A2781"/>
  <c r="A2780"/>
  <c r="A2779"/>
  <c r="A2778"/>
  <c r="A2777"/>
  <c r="A2776"/>
  <c r="A2775"/>
  <c r="A2774"/>
  <c r="A2773"/>
  <c r="A2772"/>
  <c r="A2771"/>
  <c r="A2770"/>
  <c r="A2769"/>
  <c r="A2768"/>
  <c r="A2767"/>
  <c r="A2766"/>
  <c r="A2765"/>
  <c r="A2764"/>
  <c r="A2763"/>
  <c r="A2762"/>
  <c r="A442"/>
  <c r="A441"/>
  <c r="A440"/>
  <c r="A454"/>
  <c r="A2153"/>
  <c r="A2151"/>
  <c r="A1948"/>
  <c r="A2168"/>
  <c r="A2157"/>
  <c r="A2164"/>
  <c r="A2159"/>
  <c r="A2150"/>
  <c r="A2148"/>
  <c r="A2147"/>
  <c r="A2146"/>
  <c r="A1958"/>
  <c r="A453"/>
  <c r="A452"/>
  <c r="A2006"/>
  <c r="A2005"/>
  <c r="A449"/>
  <c r="A448"/>
  <c r="A447"/>
  <c r="A446"/>
  <c r="A439"/>
  <c r="A443"/>
  <c r="A451"/>
  <c r="A450"/>
  <c r="A2162"/>
  <c r="A2161"/>
  <c r="B36" i="55"/>
  <c r="A36" s="1"/>
  <c r="B37"/>
  <c r="A37" s="1"/>
  <c r="B38"/>
  <c r="A38" s="1"/>
  <c r="B39"/>
  <c r="A39" s="1"/>
  <c r="B40"/>
  <c r="A40" s="1"/>
  <c r="B44"/>
  <c r="A44" s="1"/>
  <c r="E1912" i="34" l="1"/>
  <c r="E1901"/>
  <c r="B1901"/>
  <c r="E1910"/>
  <c r="B1910"/>
  <c r="E1909"/>
  <c r="B1909"/>
  <c r="E1900"/>
  <c r="B1900"/>
  <c r="E1908"/>
  <c r="B1908"/>
  <c r="E1907"/>
  <c r="B1907"/>
  <c r="E1906"/>
  <c r="B1906"/>
  <c r="E1905"/>
  <c r="B1905"/>
  <c r="E1904"/>
  <c r="B1904"/>
  <c r="E1903"/>
  <c r="B1903"/>
  <c r="E1902"/>
  <c r="B1902"/>
  <c r="E1889"/>
  <c r="Q1902" l="1"/>
  <c r="R1902"/>
  <c r="S1902"/>
  <c r="Q1906"/>
  <c r="R1906"/>
  <c r="S1906"/>
  <c r="R1909"/>
  <c r="S1909"/>
  <c r="Q1909"/>
  <c r="R1901"/>
  <c r="S1901"/>
  <c r="Q1901"/>
  <c r="S1904"/>
  <c r="Q1904"/>
  <c r="R1904"/>
  <c r="S1908"/>
  <c r="Q1908"/>
  <c r="R1908"/>
  <c r="Q1903"/>
  <c r="R1903"/>
  <c r="S1903"/>
  <c r="R1905"/>
  <c r="S1905"/>
  <c r="Q1905"/>
  <c r="Q1907"/>
  <c r="R1907"/>
  <c r="S1907"/>
  <c r="S1900"/>
  <c r="Q1900"/>
  <c r="R1900"/>
  <c r="Q1910"/>
  <c r="R1910"/>
  <c r="S1910"/>
  <c r="A1902"/>
  <c r="A1903"/>
  <c r="A1904"/>
  <c r="A1905"/>
  <c r="A1906"/>
  <c r="A1907"/>
  <c r="A1908"/>
  <c r="A1900"/>
  <c r="A1909"/>
  <c r="A1910"/>
  <c r="A1901"/>
  <c r="E1868"/>
  <c r="B1868"/>
  <c r="E1867"/>
  <c r="B1867"/>
  <c r="E1866"/>
  <c r="B1866"/>
  <c r="E1865"/>
  <c r="E1860"/>
  <c r="B1860"/>
  <c r="E1838"/>
  <c r="B1838"/>
  <c r="E1837"/>
  <c r="B1837"/>
  <c r="E1836"/>
  <c r="B1836"/>
  <c r="B1853"/>
  <c r="E1853"/>
  <c r="E1835"/>
  <c r="B1835"/>
  <c r="E1834"/>
  <c r="B1834"/>
  <c r="E1833"/>
  <c r="B1833"/>
  <c r="E1832"/>
  <c r="B1832"/>
  <c r="E1831"/>
  <c r="B1831"/>
  <c r="E1830"/>
  <c r="B1830"/>
  <c r="E1829"/>
  <c r="B1829"/>
  <c r="E1828"/>
  <c r="E1827"/>
  <c r="E1826"/>
  <c r="E1825"/>
  <c r="B1825"/>
  <c r="E1824"/>
  <c r="B1824"/>
  <c r="E1823"/>
  <c r="B1823"/>
  <c r="E1821"/>
  <c r="E1822"/>
  <c r="E1820"/>
  <c r="E1814"/>
  <c r="B1805"/>
  <c r="E1805"/>
  <c r="E1804"/>
  <c r="B1957"/>
  <c r="B1956"/>
  <c r="B1951"/>
  <c r="B1950"/>
  <c r="B1955"/>
  <c r="B1954"/>
  <c r="B1953"/>
  <c r="B1952"/>
  <c r="B1940"/>
  <c r="B1944"/>
  <c r="E1847"/>
  <c r="E1846"/>
  <c r="M1961"/>
  <c r="B1961"/>
  <c r="M1960"/>
  <c r="B1802"/>
  <c r="E1802"/>
  <c r="B1803"/>
  <c r="E1803"/>
  <c r="B420"/>
  <c r="E420"/>
  <c r="B419"/>
  <c r="E419"/>
  <c r="B1946"/>
  <c r="B1945"/>
  <c r="B1808"/>
  <c r="E1808"/>
  <c r="B1807"/>
  <c r="E1807"/>
  <c r="E1790"/>
  <c r="E1791"/>
  <c r="E1819"/>
  <c r="E1850"/>
  <c r="E1863"/>
  <c r="E1911"/>
  <c r="B1791"/>
  <c r="B1819"/>
  <c r="B1850"/>
  <c r="B1863"/>
  <c r="B1911"/>
  <c r="B1809"/>
  <c r="E1809"/>
  <c r="B1930"/>
  <c r="E1930"/>
  <c r="B1929"/>
  <c r="E1929"/>
  <c r="B1938"/>
  <c r="B1960"/>
  <c r="B1846"/>
  <c r="B1847"/>
  <c r="B1943"/>
  <c r="B1939"/>
  <c r="B1941"/>
  <c r="B1942"/>
  <c r="B1804"/>
  <c r="B1814"/>
  <c r="B1820"/>
  <c r="B1821"/>
  <c r="B1822"/>
  <c r="B1826"/>
  <c r="B1827"/>
  <c r="B1828"/>
  <c r="B1865"/>
  <c r="B1889"/>
  <c r="B1912"/>
  <c r="B1657"/>
  <c r="B1892"/>
  <c r="B1893"/>
  <c r="B1894"/>
  <c r="B1895"/>
  <c r="B1896"/>
  <c r="B1897"/>
  <c r="B1898"/>
  <c r="B1793"/>
  <c r="B1899"/>
  <c r="B1931"/>
  <c r="E1931"/>
  <c r="E1928"/>
  <c r="B1928"/>
  <c r="E1927"/>
  <c r="B1927"/>
  <c r="E1926"/>
  <c r="E1925"/>
  <c r="E1924"/>
  <c r="B1924"/>
  <c r="E1923"/>
  <c r="B1923"/>
  <c r="E1922"/>
  <c r="B1922"/>
  <c r="E1921"/>
  <c r="B1921"/>
  <c r="B1918"/>
  <c r="E1918"/>
  <c r="B1917"/>
  <c r="E1917"/>
  <c r="B1916"/>
  <c r="E1916"/>
  <c r="E1886"/>
  <c r="B1886"/>
  <c r="E1885"/>
  <c r="B1885"/>
  <c r="E1859"/>
  <c r="B1859"/>
  <c r="E1858"/>
  <c r="B1858"/>
  <c r="B1884"/>
  <c r="E1884"/>
  <c r="E1883"/>
  <c r="E1882"/>
  <c r="E1864"/>
  <c r="E1862"/>
  <c r="B1862"/>
  <c r="E1861"/>
  <c r="B1861"/>
  <c r="M1856"/>
  <c r="E1856"/>
  <c r="E1857"/>
  <c r="B1857"/>
  <c r="B1856"/>
  <c r="E1855"/>
  <c r="B1855"/>
  <c r="E1854"/>
  <c r="B1854"/>
  <c r="B1852"/>
  <c r="E1852"/>
  <c r="B1851"/>
  <c r="E1851"/>
  <c r="B1849"/>
  <c r="E1849"/>
  <c r="B1848"/>
  <c r="E1848"/>
  <c r="B1842"/>
  <c r="E1842"/>
  <c r="B1841"/>
  <c r="E1841"/>
  <c r="B1840"/>
  <c r="E1840"/>
  <c r="B1839"/>
  <c r="E1839"/>
  <c r="B1816"/>
  <c r="E1816"/>
  <c r="E1815"/>
  <c r="B1888"/>
  <c r="E1888"/>
  <c r="E1887"/>
  <c r="B1813"/>
  <c r="E1813"/>
  <c r="E1812"/>
  <c r="B1762"/>
  <c r="B1627"/>
  <c r="E1627"/>
  <c r="B1626"/>
  <c r="E1626"/>
  <c r="M1626"/>
  <c r="B1654"/>
  <c r="B1579"/>
  <c r="E1579"/>
  <c r="M1579"/>
  <c r="B1647"/>
  <c r="B1784"/>
  <c r="B1785"/>
  <c r="B1743"/>
  <c r="E1743"/>
  <c r="M1743"/>
  <c r="B1744"/>
  <c r="E1744"/>
  <c r="M1744"/>
  <c r="B1745"/>
  <c r="E1745"/>
  <c r="M1745"/>
  <c r="B1651"/>
  <c r="E1651"/>
  <c r="M1651"/>
  <c r="B1652"/>
  <c r="E1652"/>
  <c r="M1652"/>
  <c r="B1653"/>
  <c r="E1653"/>
  <c r="M1653"/>
  <c r="B1622"/>
  <c r="E1622"/>
  <c r="M1622"/>
  <c r="B1623"/>
  <c r="E1623"/>
  <c r="M1623"/>
  <c r="B1624"/>
  <c r="E1624"/>
  <c r="M1624"/>
  <c r="B1625"/>
  <c r="E1625"/>
  <c r="M1625"/>
  <c r="M1610"/>
  <c r="M1611"/>
  <c r="E1610"/>
  <c r="E1611"/>
  <c r="M1578"/>
  <c r="M1577"/>
  <c r="M1576"/>
  <c r="M1575"/>
  <c r="E1575"/>
  <c r="E1576"/>
  <c r="E1577"/>
  <c r="E1578"/>
  <c r="B1575"/>
  <c r="B1576"/>
  <c r="B1577"/>
  <c r="B1578"/>
  <c r="B1526"/>
  <c r="E1526"/>
  <c r="M1526"/>
  <c r="B1527"/>
  <c r="E1527"/>
  <c r="M1527"/>
  <c r="B1528"/>
  <c r="E1528"/>
  <c r="M1528"/>
  <c r="B1734"/>
  <c r="E1734"/>
  <c r="B1616"/>
  <c r="E1616"/>
  <c r="E172"/>
  <c r="E173"/>
  <c r="E174"/>
  <c r="E175"/>
  <c r="E176"/>
  <c r="E177"/>
  <c r="E178"/>
  <c r="E179"/>
  <c r="E180"/>
  <c r="E181"/>
  <c r="E182"/>
  <c r="E183"/>
  <c r="E184"/>
  <c r="E185"/>
  <c r="E171"/>
  <c r="B185"/>
  <c r="K185"/>
  <c r="M185" s="1"/>
  <c r="B174"/>
  <c r="K174"/>
  <c r="M174" s="1"/>
  <c r="B175"/>
  <c r="K175"/>
  <c r="M175" s="1"/>
  <c r="B176"/>
  <c r="K176"/>
  <c r="M176" s="1"/>
  <c r="B177"/>
  <c r="K177"/>
  <c r="M177" s="1"/>
  <c r="B178"/>
  <c r="K178"/>
  <c r="M178" s="1"/>
  <c r="B179"/>
  <c r="K179"/>
  <c r="M179" s="1"/>
  <c r="B180"/>
  <c r="K180"/>
  <c r="M180" s="1"/>
  <c r="B181"/>
  <c r="K181"/>
  <c r="M181" s="1"/>
  <c r="B182"/>
  <c r="K182"/>
  <c r="M182" s="1"/>
  <c r="B183"/>
  <c r="K183"/>
  <c r="M183" s="1"/>
  <c r="B184"/>
  <c r="K184"/>
  <c r="M184" s="1"/>
  <c r="B1755"/>
  <c r="E1755"/>
  <c r="M1755"/>
  <c r="M1555"/>
  <c r="M1553"/>
  <c r="B1748"/>
  <c r="B1749"/>
  <c r="B1750"/>
  <c r="B1751"/>
  <c r="B1752"/>
  <c r="B1753"/>
  <c r="B1754"/>
  <c r="B1532"/>
  <c r="B1553"/>
  <c r="B1555"/>
  <c r="M1532"/>
  <c r="E1754"/>
  <c r="E1753"/>
  <c r="E1750"/>
  <c r="E1751"/>
  <c r="E1748"/>
  <c r="E1749"/>
  <c r="E1752"/>
  <c r="E1532"/>
  <c r="E1553"/>
  <c r="E1555"/>
  <c r="M1747"/>
  <c r="E1747"/>
  <c r="E1703"/>
  <c r="E1702"/>
  <c r="M1549"/>
  <c r="E1549"/>
  <c r="E1550"/>
  <c r="E1551"/>
  <c r="E1552"/>
  <c r="E1628"/>
  <c r="E1629"/>
  <c r="E1630"/>
  <c r="E1631"/>
  <c r="E1714"/>
  <c r="E1548"/>
  <c r="M1543"/>
  <c r="M1544"/>
  <c r="M1545"/>
  <c r="M1546"/>
  <c r="M1562"/>
  <c r="M1563"/>
  <c r="M1574"/>
  <c r="M1608"/>
  <c r="M1618"/>
  <c r="M1619"/>
  <c r="M1620"/>
  <c r="M1621"/>
  <c r="M1634"/>
  <c r="M1635"/>
  <c r="M1636"/>
  <c r="M1637"/>
  <c r="M1638"/>
  <c r="M1639"/>
  <c r="M1649"/>
  <c r="M1659"/>
  <c r="M1742"/>
  <c r="M1757"/>
  <c r="M1786"/>
  <c r="M1525"/>
  <c r="M1530"/>
  <c r="E1531"/>
  <c r="E1530"/>
  <c r="E1786"/>
  <c r="B1786"/>
  <c r="E1757"/>
  <c r="E1742"/>
  <c r="B1778"/>
  <c r="B1779"/>
  <c r="B1780"/>
  <c r="B1781"/>
  <c r="B1782"/>
  <c r="B1783"/>
  <c r="E1659"/>
  <c r="E1649"/>
  <c r="E1638"/>
  <c r="E1639"/>
  <c r="E1640"/>
  <c r="E1636"/>
  <c r="E1637"/>
  <c r="B1635"/>
  <c r="E1635"/>
  <c r="E1634"/>
  <c r="A29" i="12"/>
  <c r="B395" i="34"/>
  <c r="M395"/>
  <c r="B396"/>
  <c r="E1621"/>
  <c r="B1621"/>
  <c r="E1620"/>
  <c r="E1619"/>
  <c r="E1618"/>
  <c r="B1608"/>
  <c r="E1608"/>
  <c r="E1574"/>
  <c r="E1544"/>
  <c r="E1545"/>
  <c r="E1546"/>
  <c r="E1562"/>
  <c r="E1563"/>
  <c r="E1543"/>
  <c r="E1525"/>
  <c r="B1543"/>
  <c r="B1544"/>
  <c r="B1545"/>
  <c r="B1546"/>
  <c r="B1562"/>
  <c r="B1563"/>
  <c r="B1574"/>
  <c r="B1618"/>
  <c r="B1619"/>
  <c r="B1620"/>
  <c r="B1634"/>
  <c r="B1636"/>
  <c r="B1637"/>
  <c r="B1638"/>
  <c r="B1639"/>
  <c r="B1640"/>
  <c r="B1649"/>
  <c r="B1659"/>
  <c r="B1742"/>
  <c r="B1757"/>
  <c r="B1530"/>
  <c r="B1531"/>
  <c r="B1548"/>
  <c r="B1549"/>
  <c r="B1550"/>
  <c r="B1551"/>
  <c r="B1552"/>
  <c r="B1628"/>
  <c r="B1629"/>
  <c r="B1630"/>
  <c r="B1631"/>
  <c r="B1702"/>
  <c r="B1703"/>
  <c r="B1714"/>
  <c r="B1747"/>
  <c r="B1790"/>
  <c r="B1812"/>
  <c r="B1887"/>
  <c r="B1815"/>
  <c r="B1864"/>
  <c r="B1882"/>
  <c r="B1883"/>
  <c r="B1538"/>
  <c r="B1559"/>
  <c r="B1572"/>
  <c r="B1605"/>
  <c r="B1632"/>
  <c r="B1648"/>
  <c r="B1710"/>
  <c r="B1493"/>
  <c r="B1494"/>
  <c r="B1495"/>
  <c r="B1496"/>
  <c r="B1497"/>
  <c r="B1503"/>
  <c r="B1504"/>
  <c r="B1505"/>
  <c r="B1506"/>
  <c r="B1507"/>
  <c r="B1508"/>
  <c r="B1509"/>
  <c r="B1510"/>
  <c r="B1511"/>
  <c r="B1534"/>
  <c r="B1535"/>
  <c r="B1557"/>
  <c r="B1558"/>
  <c r="B1564"/>
  <c r="B1568"/>
  <c r="B1569"/>
  <c r="B1570"/>
  <c r="B1571"/>
  <c r="B1603"/>
  <c r="B1604"/>
  <c r="B1641"/>
  <c r="B1642"/>
  <c r="B1643"/>
  <c r="B1644"/>
  <c r="B1645"/>
  <c r="B1646"/>
  <c r="B1655"/>
  <c r="B1656"/>
  <c r="B1658"/>
  <c r="B1704"/>
  <c r="B1705"/>
  <c r="B1706"/>
  <c r="B1707"/>
  <c r="B1708"/>
  <c r="B1709"/>
  <c r="B1724"/>
  <c r="B1725"/>
  <c r="B1726"/>
  <c r="B1727"/>
  <c r="B1728"/>
  <c r="B1729"/>
  <c r="B1730"/>
  <c r="B1731"/>
  <c r="B1732"/>
  <c r="B1789"/>
  <c r="B1758"/>
  <c r="B1759"/>
  <c r="B1760"/>
  <c r="B1761"/>
  <c r="B1763"/>
  <c r="B1764"/>
  <c r="B1766"/>
  <c r="B1767"/>
  <c r="B1768"/>
  <c r="B1769"/>
  <c r="B1770"/>
  <c r="B1771"/>
  <c r="B1772"/>
  <c r="B1773"/>
  <c r="B1774"/>
  <c r="B1775"/>
  <c r="B1776"/>
  <c r="B1777"/>
  <c r="B389"/>
  <c r="B390"/>
  <c r="B391"/>
  <c r="B392"/>
  <c r="B393"/>
  <c r="B397"/>
  <c r="B398"/>
  <c r="B1498"/>
  <c r="B1499"/>
  <c r="B1500"/>
  <c r="B1501"/>
  <c r="B1502"/>
  <c r="B1512"/>
  <c r="B1513"/>
  <c r="B1514"/>
  <c r="B1515"/>
  <c r="B1516"/>
  <c r="B1517"/>
  <c r="B1518"/>
  <c r="B1519"/>
  <c r="B1520"/>
  <c r="B1521"/>
  <c r="B1522"/>
  <c r="B1524"/>
  <c r="B1529"/>
  <c r="B1539"/>
  <c r="B1540"/>
  <c r="B1547"/>
  <c r="B1541"/>
  <c r="B1542"/>
  <c r="B1560"/>
  <c r="B1561"/>
  <c r="B1565"/>
  <c r="B1566"/>
  <c r="B1567"/>
  <c r="B1573"/>
  <c r="B1580"/>
  <c r="B1581"/>
  <c r="B1582"/>
  <c r="B1583"/>
  <c r="B1584"/>
  <c r="B1585"/>
  <c r="B1586"/>
  <c r="B1587"/>
  <c r="B1588"/>
  <c r="B1589"/>
  <c r="B1590"/>
  <c r="B1591"/>
  <c r="B1592"/>
  <c r="B1593"/>
  <c r="B1594"/>
  <c r="B1595"/>
  <c r="B1596"/>
  <c r="B1597"/>
  <c r="B1598"/>
  <c r="B1599"/>
  <c r="B1600"/>
  <c r="B1601"/>
  <c r="B1602"/>
  <c r="B1613"/>
  <c r="B1614"/>
  <c r="B1606"/>
  <c r="B1615"/>
  <c r="B1607"/>
  <c r="B1617"/>
  <c r="B1633"/>
  <c r="B1650"/>
  <c r="B1661"/>
  <c r="B1662"/>
  <c r="B1663"/>
  <c r="B1668"/>
  <c r="B1671"/>
  <c r="B1674"/>
  <c r="B1677"/>
  <c r="B1664"/>
  <c r="B1678"/>
  <c r="B1681"/>
  <c r="B1684"/>
  <c r="B1687"/>
  <c r="B1690"/>
  <c r="B1693"/>
  <c r="B1696"/>
  <c r="B1699"/>
  <c r="B1713"/>
  <c r="B1716"/>
  <c r="B1717"/>
  <c r="B1718"/>
  <c r="B1719"/>
  <c r="B1720"/>
  <c r="B1721"/>
  <c r="B1722"/>
  <c r="B1723"/>
  <c r="B1746"/>
  <c r="B1733"/>
  <c r="B1735"/>
  <c r="B1736"/>
  <c r="B1737"/>
  <c r="B1738"/>
  <c r="B1739"/>
  <c r="B1740"/>
  <c r="B1741"/>
  <c r="B1787"/>
  <c r="B1788"/>
  <c r="B1525"/>
  <c r="B1925"/>
  <c r="B1926"/>
  <c r="B1937"/>
  <c r="E1788"/>
  <c r="E1787"/>
  <c r="E1741"/>
  <c r="E1735"/>
  <c r="E1736"/>
  <c r="E1737"/>
  <c r="E1738"/>
  <c r="E1739"/>
  <c r="E1740"/>
  <c r="E1733"/>
  <c r="E1746"/>
  <c r="E1717"/>
  <c r="E1718"/>
  <c r="E1719"/>
  <c r="E1720"/>
  <c r="E1721"/>
  <c r="E1722"/>
  <c r="E1723"/>
  <c r="E1716"/>
  <c r="E1713"/>
  <c r="E1681"/>
  <c r="E1684"/>
  <c r="E1687"/>
  <c r="E1690"/>
  <c r="E1693"/>
  <c r="E1696"/>
  <c r="E1699"/>
  <c r="E1613"/>
  <c r="E1614"/>
  <c r="E1606"/>
  <c r="E1615"/>
  <c r="E1607"/>
  <c r="E1617"/>
  <c r="E1633"/>
  <c r="E1650"/>
  <c r="E1661"/>
  <c r="E1662"/>
  <c r="E1663"/>
  <c r="E1668"/>
  <c r="E1671"/>
  <c r="E1674"/>
  <c r="E1677"/>
  <c r="E1664"/>
  <c r="E1678"/>
  <c r="E1597"/>
  <c r="E1598"/>
  <c r="E1599"/>
  <c r="E1600"/>
  <c r="E1601"/>
  <c r="E1602"/>
  <c r="E1596"/>
  <c r="E1588"/>
  <c r="E1589"/>
  <c r="E1590"/>
  <c r="E1591"/>
  <c r="E1592"/>
  <c r="E1593"/>
  <c r="E1594"/>
  <c r="E1595"/>
  <c r="E1586"/>
  <c r="E1587"/>
  <c r="E1582"/>
  <c r="E1583"/>
  <c r="E1584"/>
  <c r="E1585"/>
  <c r="E1541"/>
  <c r="E1542"/>
  <c r="E1560"/>
  <c r="E1561"/>
  <c r="E1565"/>
  <c r="E1566"/>
  <c r="E1567"/>
  <c r="E1573"/>
  <c r="E1580"/>
  <c r="E1581"/>
  <c r="E1547"/>
  <c r="E1540"/>
  <c r="E1539"/>
  <c r="E1529"/>
  <c r="E1524"/>
  <c r="E1521"/>
  <c r="E1522"/>
  <c r="E1499"/>
  <c r="E1500"/>
  <c r="E1501"/>
  <c r="E1502"/>
  <c r="E1512"/>
  <c r="E1513"/>
  <c r="E1514"/>
  <c r="E1515"/>
  <c r="E1516"/>
  <c r="E1517"/>
  <c r="E1518"/>
  <c r="E1519"/>
  <c r="E1520"/>
  <c r="E1498"/>
  <c r="M397"/>
  <c r="M393"/>
  <c r="M390"/>
  <c r="M391"/>
  <c r="M389"/>
  <c r="R1937" l="1"/>
  <c r="S1937"/>
  <c r="Q1937"/>
  <c r="R1788"/>
  <c r="S1788"/>
  <c r="Q1788"/>
  <c r="R1739"/>
  <c r="S1739"/>
  <c r="Q1739"/>
  <c r="R1735"/>
  <c r="S1735"/>
  <c r="Q1735"/>
  <c r="S1722"/>
  <c r="Q1722"/>
  <c r="R1722"/>
  <c r="S1718"/>
  <c r="Q1718"/>
  <c r="R1718"/>
  <c r="Q1699"/>
  <c r="R1699"/>
  <c r="S1699"/>
  <c r="Q1687"/>
  <c r="R1687"/>
  <c r="S1687"/>
  <c r="Q1664"/>
  <c r="R1664"/>
  <c r="S1664"/>
  <c r="Q1668"/>
  <c r="R1668"/>
  <c r="S1668"/>
  <c r="S1650"/>
  <c r="Q1650"/>
  <c r="R1650"/>
  <c r="Q1615"/>
  <c r="R1615"/>
  <c r="S1615"/>
  <c r="Q1602"/>
  <c r="R1602"/>
  <c r="S1602"/>
  <c r="Q1598"/>
  <c r="R1598"/>
  <c r="S1598"/>
  <c r="Q1594"/>
  <c r="R1594"/>
  <c r="S1594"/>
  <c r="Q1590"/>
  <c r="R1590"/>
  <c r="S1590"/>
  <c r="Q1586"/>
  <c r="R1586"/>
  <c r="S1586"/>
  <c r="Q1582"/>
  <c r="R1582"/>
  <c r="S1582"/>
  <c r="Q1567"/>
  <c r="R1567"/>
  <c r="S1567"/>
  <c r="S1560"/>
  <c r="Q1560"/>
  <c r="R1560"/>
  <c r="S1540"/>
  <c r="Q1540"/>
  <c r="R1540"/>
  <c r="Q1522"/>
  <c r="R1522"/>
  <c r="S1522"/>
  <c r="Q1518"/>
  <c r="R1518"/>
  <c r="S1518"/>
  <c r="Q1514"/>
  <c r="R1514"/>
  <c r="S1514"/>
  <c r="R1501"/>
  <c r="S1501"/>
  <c r="Q1501"/>
  <c r="Q398"/>
  <c r="R398"/>
  <c r="S398"/>
  <c r="S391"/>
  <c r="Q391"/>
  <c r="R391"/>
  <c r="R1776"/>
  <c r="S1776"/>
  <c r="Q1776"/>
  <c r="R1772"/>
  <c r="S1772"/>
  <c r="Q1772"/>
  <c r="R1768"/>
  <c r="S1768"/>
  <c r="Q1768"/>
  <c r="R1763"/>
  <c r="S1763"/>
  <c r="Q1763"/>
  <c r="S1758"/>
  <c r="Q1758"/>
  <c r="R1758"/>
  <c r="S1730"/>
  <c r="Q1730"/>
  <c r="R1730"/>
  <c r="S1726"/>
  <c r="Q1726"/>
  <c r="R1726"/>
  <c r="Q1708"/>
  <c r="R1708"/>
  <c r="S1708"/>
  <c r="Q1704"/>
  <c r="R1704"/>
  <c r="S1704"/>
  <c r="S1646"/>
  <c r="Q1646"/>
  <c r="R1646"/>
  <c r="S1642"/>
  <c r="Q1642"/>
  <c r="R1642"/>
  <c r="Q1571"/>
  <c r="R1571"/>
  <c r="S1571"/>
  <c r="S1564"/>
  <c r="Q1564"/>
  <c r="R1564"/>
  <c r="Q1534"/>
  <c r="R1534"/>
  <c r="S1534"/>
  <c r="S1508"/>
  <c r="Q1508"/>
  <c r="R1508"/>
  <c r="S1504"/>
  <c r="Q1504"/>
  <c r="R1504"/>
  <c r="Q1495"/>
  <c r="R1495"/>
  <c r="S1495"/>
  <c r="Q1648"/>
  <c r="R1648"/>
  <c r="S1648"/>
  <c r="Q1559"/>
  <c r="R1559"/>
  <c r="S1559"/>
  <c r="S1864"/>
  <c r="Q1864"/>
  <c r="R1864"/>
  <c r="Q1790"/>
  <c r="R1790"/>
  <c r="S1790"/>
  <c r="S1702"/>
  <c r="Q1702"/>
  <c r="R1702"/>
  <c r="Q1628"/>
  <c r="R1628"/>
  <c r="S1628"/>
  <c r="R1549"/>
  <c r="S1549"/>
  <c r="Q1549"/>
  <c r="Q1757"/>
  <c r="R1757"/>
  <c r="S1757"/>
  <c r="Q1640"/>
  <c r="R1640"/>
  <c r="S1640"/>
  <c r="Q1636"/>
  <c r="R1636"/>
  <c r="S1636"/>
  <c r="Q1618"/>
  <c r="R1618"/>
  <c r="S1618"/>
  <c r="Q1546"/>
  <c r="R1546"/>
  <c r="S1546"/>
  <c r="R1780"/>
  <c r="S1780"/>
  <c r="Q1780"/>
  <c r="Q1555"/>
  <c r="R1555"/>
  <c r="S1555"/>
  <c r="Q1753"/>
  <c r="R1753"/>
  <c r="S1753"/>
  <c r="Q1749"/>
  <c r="R1749"/>
  <c r="S1749"/>
  <c r="R184"/>
  <c r="S184"/>
  <c r="Q184"/>
  <c r="Q182"/>
  <c r="R182"/>
  <c r="S182"/>
  <c r="R180"/>
  <c r="S180"/>
  <c r="Q180"/>
  <c r="Q178"/>
  <c r="R178"/>
  <c r="S178"/>
  <c r="S176"/>
  <c r="Q176"/>
  <c r="R176"/>
  <c r="R174"/>
  <c r="Q174"/>
  <c r="S174"/>
  <c r="S1528"/>
  <c r="Q1528"/>
  <c r="R1528"/>
  <c r="R1577"/>
  <c r="S1577"/>
  <c r="Q1577"/>
  <c r="S1622"/>
  <c r="Q1622"/>
  <c r="R1622"/>
  <c r="Q1745"/>
  <c r="R1745"/>
  <c r="S1745"/>
  <c r="R1784"/>
  <c r="S1784"/>
  <c r="Q1784"/>
  <c r="Q1579"/>
  <c r="R1579"/>
  <c r="S1579"/>
  <c r="S1626"/>
  <c r="Q1626"/>
  <c r="R1626"/>
  <c r="Q1816"/>
  <c r="R1816"/>
  <c r="S1816"/>
  <c r="Q1840"/>
  <c r="R1840"/>
  <c r="S1840"/>
  <c r="S1842"/>
  <c r="Q1842"/>
  <c r="R1842"/>
  <c r="R1849"/>
  <c r="S1849"/>
  <c r="Q1849"/>
  <c r="S1852"/>
  <c r="Q1852"/>
  <c r="R1852"/>
  <c r="Q1858"/>
  <c r="R1858"/>
  <c r="S1858"/>
  <c r="Q1885"/>
  <c r="R1885"/>
  <c r="S1885"/>
  <c r="S1922"/>
  <c r="Q1922"/>
  <c r="R1922"/>
  <c r="Q1924"/>
  <c r="R1924"/>
  <c r="S1924"/>
  <c r="R1927"/>
  <c r="S1927"/>
  <c r="Q1927"/>
  <c r="Q1898"/>
  <c r="R1898"/>
  <c r="S1898"/>
  <c r="Q1894"/>
  <c r="R1894"/>
  <c r="S1894"/>
  <c r="S1912"/>
  <c r="Q1912"/>
  <c r="R1912"/>
  <c r="R1827"/>
  <c r="S1827"/>
  <c r="Q1827"/>
  <c r="R1820"/>
  <c r="Q1820"/>
  <c r="S1820"/>
  <c r="R1941"/>
  <c r="S1941"/>
  <c r="Q1941"/>
  <c r="S1846"/>
  <c r="Q1846"/>
  <c r="R1846"/>
  <c r="Q1929"/>
  <c r="R1929"/>
  <c r="S1929"/>
  <c r="S1809"/>
  <c r="Q1809"/>
  <c r="R1809"/>
  <c r="S1819"/>
  <c r="Q1819"/>
  <c r="R1819"/>
  <c r="Q1946"/>
  <c r="R1946"/>
  <c r="S1946"/>
  <c r="R1823"/>
  <c r="S1823"/>
  <c r="Q1823"/>
  <c r="Q1825"/>
  <c r="R1825"/>
  <c r="S1825"/>
  <c r="R1853"/>
  <c r="S1853"/>
  <c r="Q1853"/>
  <c r="Q1867"/>
  <c r="R1867"/>
  <c r="S1867"/>
  <c r="S1926"/>
  <c r="Q1926"/>
  <c r="R1926"/>
  <c r="S1787"/>
  <c r="Q1787"/>
  <c r="R1787"/>
  <c r="S1738"/>
  <c r="Q1738"/>
  <c r="R1738"/>
  <c r="Q1733"/>
  <c r="R1733"/>
  <c r="S1733"/>
  <c r="Q1721"/>
  <c r="R1721"/>
  <c r="S1721"/>
  <c r="Q1717"/>
  <c r="R1717"/>
  <c r="S1717"/>
  <c r="R1696"/>
  <c r="S1696"/>
  <c r="Q1696"/>
  <c r="R1684"/>
  <c r="S1684"/>
  <c r="Q1684"/>
  <c r="R1677"/>
  <c r="S1677"/>
  <c r="Q1677"/>
  <c r="R1663"/>
  <c r="S1663"/>
  <c r="Q1663"/>
  <c r="Q1633"/>
  <c r="R1633"/>
  <c r="S1633"/>
  <c r="Q1606"/>
  <c r="R1606"/>
  <c r="S1606"/>
  <c r="R1601"/>
  <c r="S1601"/>
  <c r="Q1601"/>
  <c r="R1597"/>
  <c r="S1597"/>
  <c r="Q1597"/>
  <c r="R1593"/>
  <c r="S1593"/>
  <c r="Q1593"/>
  <c r="R1589"/>
  <c r="S1589"/>
  <c r="Q1589"/>
  <c r="R1585"/>
  <c r="S1585"/>
  <c r="Q1585"/>
  <c r="R1581"/>
  <c r="S1581"/>
  <c r="Q1581"/>
  <c r="Q1566"/>
  <c r="R1566"/>
  <c r="S1566"/>
  <c r="Q1542"/>
  <c r="R1542"/>
  <c r="S1542"/>
  <c r="Q1539"/>
  <c r="R1539"/>
  <c r="S1539"/>
  <c r="R1521"/>
  <c r="S1521"/>
  <c r="Q1521"/>
  <c r="R1517"/>
  <c r="S1517"/>
  <c r="Q1517"/>
  <c r="R1513"/>
  <c r="S1513"/>
  <c r="Q1513"/>
  <c r="S1500"/>
  <c r="Q1500"/>
  <c r="R1500"/>
  <c r="R397"/>
  <c r="S397"/>
  <c r="Q397"/>
  <c r="Q390"/>
  <c r="R390"/>
  <c r="S390"/>
  <c r="S1775"/>
  <c r="Q1775"/>
  <c r="R1775"/>
  <c r="S1771"/>
  <c r="Q1771"/>
  <c r="R1771"/>
  <c r="S1767"/>
  <c r="Q1767"/>
  <c r="R1767"/>
  <c r="Q1761"/>
  <c r="R1761"/>
  <c r="S1761"/>
  <c r="Q1789"/>
  <c r="R1789"/>
  <c r="S1789"/>
  <c r="Q1729"/>
  <c r="R1729"/>
  <c r="S1729"/>
  <c r="Q1725"/>
  <c r="R1725"/>
  <c r="S1725"/>
  <c r="R1707"/>
  <c r="S1707"/>
  <c r="Q1707"/>
  <c r="S1658"/>
  <c r="Q1658"/>
  <c r="R1658"/>
  <c r="Q1645"/>
  <c r="R1645"/>
  <c r="S1645"/>
  <c r="Q1641"/>
  <c r="R1641"/>
  <c r="S1641"/>
  <c r="Q1570"/>
  <c r="R1570"/>
  <c r="S1570"/>
  <c r="Q1558"/>
  <c r="R1558"/>
  <c r="S1558"/>
  <c r="Q1511"/>
  <c r="R1511"/>
  <c r="S1511"/>
  <c r="Q1507"/>
  <c r="R1507"/>
  <c r="S1507"/>
  <c r="Q1503"/>
  <c r="R1503"/>
  <c r="S1503"/>
  <c r="Q1494"/>
  <c r="R1494"/>
  <c r="S1494"/>
  <c r="Q1632"/>
  <c r="R1632"/>
  <c r="S1632"/>
  <c r="Q1538"/>
  <c r="R1538"/>
  <c r="S1538"/>
  <c r="Q1815"/>
  <c r="R1815"/>
  <c r="S1815"/>
  <c r="R1747"/>
  <c r="S1747"/>
  <c r="Q1747"/>
  <c r="R1631"/>
  <c r="S1631"/>
  <c r="Q1631"/>
  <c r="S1552"/>
  <c r="Q1552"/>
  <c r="R1552"/>
  <c r="S1548"/>
  <c r="Q1548"/>
  <c r="R1548"/>
  <c r="S1742"/>
  <c r="Q1742"/>
  <c r="R1742"/>
  <c r="R1639"/>
  <c r="S1639"/>
  <c r="Q1639"/>
  <c r="S1634"/>
  <c r="Q1634"/>
  <c r="R1634"/>
  <c r="Q1574"/>
  <c r="R1574"/>
  <c r="S1574"/>
  <c r="R1545"/>
  <c r="S1545"/>
  <c r="Q1545"/>
  <c r="S1608"/>
  <c r="Q1608"/>
  <c r="R1608"/>
  <c r="Q1621"/>
  <c r="R1621"/>
  <c r="S1621"/>
  <c r="Q395"/>
  <c r="R395"/>
  <c r="S395"/>
  <c r="R1635"/>
  <c r="S1635"/>
  <c r="Q1635"/>
  <c r="S1783"/>
  <c r="Q1783"/>
  <c r="R1783"/>
  <c r="S1779"/>
  <c r="Q1779"/>
  <c r="R1779"/>
  <c r="Q1786"/>
  <c r="R1786"/>
  <c r="S1786"/>
  <c r="R1553"/>
  <c r="S1553"/>
  <c r="Q1553"/>
  <c r="Q1752"/>
  <c r="R1752"/>
  <c r="S1752"/>
  <c r="Q1748"/>
  <c r="R1748"/>
  <c r="S1748"/>
  <c r="S1734"/>
  <c r="Q1734"/>
  <c r="R1734"/>
  <c r="S1576"/>
  <c r="Q1576"/>
  <c r="R1576"/>
  <c r="R1623"/>
  <c r="S1623"/>
  <c r="Q1623"/>
  <c r="R1651"/>
  <c r="S1651"/>
  <c r="Q1651"/>
  <c r="R1647"/>
  <c r="S1647"/>
  <c r="Q1647"/>
  <c r="S1654"/>
  <c r="Q1654"/>
  <c r="R1654"/>
  <c r="Q1888"/>
  <c r="R1888"/>
  <c r="S1888"/>
  <c r="Q1854"/>
  <c r="R1854"/>
  <c r="S1854"/>
  <c r="S1856"/>
  <c r="Q1856"/>
  <c r="R1856"/>
  <c r="Q1862"/>
  <c r="R1862"/>
  <c r="S1862"/>
  <c r="S1916"/>
  <c r="Q1916"/>
  <c r="R1916"/>
  <c r="S1918"/>
  <c r="Q1918"/>
  <c r="R1918"/>
  <c r="R1931"/>
  <c r="S1931"/>
  <c r="Q1931"/>
  <c r="R1897"/>
  <c r="S1897"/>
  <c r="Q1897"/>
  <c r="R1893"/>
  <c r="S1893"/>
  <c r="Q1893"/>
  <c r="Q1889"/>
  <c r="R1889"/>
  <c r="S1889"/>
  <c r="S1826"/>
  <c r="Q1826"/>
  <c r="R1826"/>
  <c r="R1814"/>
  <c r="Q1814"/>
  <c r="S1814"/>
  <c r="S1939"/>
  <c r="Q1939"/>
  <c r="R1939"/>
  <c r="Q1960"/>
  <c r="R1960"/>
  <c r="S1960"/>
  <c r="Q1911"/>
  <c r="R1911"/>
  <c r="S1911"/>
  <c r="S1791"/>
  <c r="Q1791"/>
  <c r="R1791"/>
  <c r="Q1808"/>
  <c r="R1808"/>
  <c r="S1808"/>
  <c r="S420"/>
  <c r="Q420"/>
  <c r="R420"/>
  <c r="S1802"/>
  <c r="R1802"/>
  <c r="Q1802"/>
  <c r="Q1961"/>
  <c r="R1961"/>
  <c r="S1961"/>
  <c r="R1953"/>
  <c r="S1953"/>
  <c r="Q1953"/>
  <c r="Q1955"/>
  <c r="R1955"/>
  <c r="S1955"/>
  <c r="Q1950"/>
  <c r="R1950"/>
  <c r="S1950"/>
  <c r="Q1956"/>
  <c r="R1956"/>
  <c r="S1956"/>
  <c r="Q1829"/>
  <c r="R1829"/>
  <c r="S1829"/>
  <c r="R1831"/>
  <c r="S1831"/>
  <c r="Q1831"/>
  <c r="Q1833"/>
  <c r="R1833"/>
  <c r="S1833"/>
  <c r="R1835"/>
  <c r="S1835"/>
  <c r="Q1835"/>
  <c r="Q1836"/>
  <c r="R1836"/>
  <c r="S1836"/>
  <c r="S1838"/>
  <c r="Q1838"/>
  <c r="R1838"/>
  <c r="Q1925"/>
  <c r="R1925"/>
  <c r="S1925"/>
  <c r="Q1741"/>
  <c r="R1741"/>
  <c r="S1741"/>
  <c r="Q1737"/>
  <c r="R1737"/>
  <c r="S1737"/>
  <c r="S1746"/>
  <c r="Q1746"/>
  <c r="R1746"/>
  <c r="Q1720"/>
  <c r="R1720"/>
  <c r="S1720"/>
  <c r="Q1716"/>
  <c r="R1716"/>
  <c r="S1716"/>
  <c r="S1693"/>
  <c r="Q1693"/>
  <c r="R1693"/>
  <c r="S1681"/>
  <c r="Q1681"/>
  <c r="R1681"/>
  <c r="S1674"/>
  <c r="Q1674"/>
  <c r="R1674"/>
  <c r="S1662"/>
  <c r="Q1662"/>
  <c r="R1662"/>
  <c r="R1617"/>
  <c r="S1617"/>
  <c r="Q1617"/>
  <c r="Q1614"/>
  <c r="R1614"/>
  <c r="S1614"/>
  <c r="S1600"/>
  <c r="Q1600"/>
  <c r="R1600"/>
  <c r="S1596"/>
  <c r="Q1596"/>
  <c r="R1596"/>
  <c r="S1592"/>
  <c r="Q1592"/>
  <c r="R1592"/>
  <c r="S1588"/>
  <c r="Q1588"/>
  <c r="R1588"/>
  <c r="S1584"/>
  <c r="Q1584"/>
  <c r="R1584"/>
  <c r="S1580"/>
  <c r="Q1580"/>
  <c r="R1580"/>
  <c r="R1565"/>
  <c r="S1565"/>
  <c r="Q1565"/>
  <c r="R1541"/>
  <c r="S1541"/>
  <c r="Q1541"/>
  <c r="R1529"/>
  <c r="S1529"/>
  <c r="Q1529"/>
  <c r="S1520"/>
  <c r="Q1520"/>
  <c r="R1520"/>
  <c r="S1516"/>
  <c r="Q1516"/>
  <c r="R1516"/>
  <c r="S1512"/>
  <c r="Q1512"/>
  <c r="R1512"/>
  <c r="Q1499"/>
  <c r="R1499"/>
  <c r="S1499"/>
  <c r="Q393"/>
  <c r="R393"/>
  <c r="S393"/>
  <c r="Q389"/>
  <c r="R389"/>
  <c r="S389"/>
  <c r="Q1774"/>
  <c r="R1774"/>
  <c r="S1774"/>
  <c r="Q1770"/>
  <c r="R1770"/>
  <c r="S1770"/>
  <c r="Q1766"/>
  <c r="R1766"/>
  <c r="S1766"/>
  <c r="Q1760"/>
  <c r="R1760"/>
  <c r="S1760"/>
  <c r="Q1732"/>
  <c r="R1732"/>
  <c r="S1732"/>
  <c r="Q1728"/>
  <c r="R1728"/>
  <c r="S1728"/>
  <c r="Q1724"/>
  <c r="R1724"/>
  <c r="S1724"/>
  <c r="S1706"/>
  <c r="Q1706"/>
  <c r="R1706"/>
  <c r="Q1656"/>
  <c r="R1656"/>
  <c r="S1656"/>
  <c r="Q1644"/>
  <c r="R1644"/>
  <c r="S1644"/>
  <c r="S1604"/>
  <c r="Q1604"/>
  <c r="R1604"/>
  <c r="R1569"/>
  <c r="S1569"/>
  <c r="Q1569"/>
  <c r="R1557"/>
  <c r="S1557"/>
  <c r="Q1557"/>
  <c r="Q1510"/>
  <c r="R1510"/>
  <c r="S1510"/>
  <c r="Q1506"/>
  <c r="R1506"/>
  <c r="S1506"/>
  <c r="R1497"/>
  <c r="S1497"/>
  <c r="Q1497"/>
  <c r="R1493"/>
  <c r="S1493"/>
  <c r="Q1493"/>
  <c r="R1605"/>
  <c r="S1605"/>
  <c r="Q1605"/>
  <c r="R1883"/>
  <c r="S1883"/>
  <c r="Q1883"/>
  <c r="R1887"/>
  <c r="S1887"/>
  <c r="Q1887"/>
  <c r="S1714"/>
  <c r="Q1714"/>
  <c r="R1714"/>
  <c r="S1630"/>
  <c r="Q1630"/>
  <c r="R1630"/>
  <c r="Q1551"/>
  <c r="R1551"/>
  <c r="S1551"/>
  <c r="Q1531"/>
  <c r="R1531"/>
  <c r="S1531"/>
  <c r="R1659"/>
  <c r="S1659"/>
  <c r="Q1659"/>
  <c r="S1638"/>
  <c r="Q1638"/>
  <c r="R1638"/>
  <c r="Q1620"/>
  <c r="R1620"/>
  <c r="S1620"/>
  <c r="Q1563"/>
  <c r="R1563"/>
  <c r="S1563"/>
  <c r="S1544"/>
  <c r="Q1544"/>
  <c r="R1544"/>
  <c r="Q1782"/>
  <c r="R1782"/>
  <c r="S1782"/>
  <c r="Q1778"/>
  <c r="R1778"/>
  <c r="S1778"/>
  <c r="S1532"/>
  <c r="Q1532"/>
  <c r="R1532"/>
  <c r="R1751"/>
  <c r="S1751"/>
  <c r="Q1751"/>
  <c r="R1755"/>
  <c r="S1755"/>
  <c r="Q1755"/>
  <c r="S183"/>
  <c r="Q183"/>
  <c r="R183"/>
  <c r="Q181"/>
  <c r="R181"/>
  <c r="S181"/>
  <c r="S179"/>
  <c r="Q179"/>
  <c r="R179"/>
  <c r="Q177"/>
  <c r="R177"/>
  <c r="S177"/>
  <c r="Q175"/>
  <c r="R175"/>
  <c r="S175"/>
  <c r="Q185"/>
  <c r="R185"/>
  <c r="S185"/>
  <c r="Q1526"/>
  <c r="R1526"/>
  <c r="S1526"/>
  <c r="Q1575"/>
  <c r="R1575"/>
  <c r="S1575"/>
  <c r="Q1624"/>
  <c r="R1624"/>
  <c r="S1624"/>
  <c r="Q1652"/>
  <c r="R1652"/>
  <c r="S1652"/>
  <c r="R1743"/>
  <c r="S1743"/>
  <c r="Q1743"/>
  <c r="R1627"/>
  <c r="S1627"/>
  <c r="Q1627"/>
  <c r="S1813"/>
  <c r="Q1813"/>
  <c r="R1813"/>
  <c r="R1839"/>
  <c r="S1839"/>
  <c r="Q1839"/>
  <c r="Q1841"/>
  <c r="R1841"/>
  <c r="S1841"/>
  <c r="S1848"/>
  <c r="Q1848"/>
  <c r="R1848"/>
  <c r="Q1851"/>
  <c r="R1851"/>
  <c r="S1851"/>
  <c r="R1857"/>
  <c r="S1857"/>
  <c r="Q1857"/>
  <c r="Q1859"/>
  <c r="R1859"/>
  <c r="S1859"/>
  <c r="S1886"/>
  <c r="Q1886"/>
  <c r="R1886"/>
  <c r="Q1921"/>
  <c r="R1921"/>
  <c r="S1921"/>
  <c r="R1923"/>
  <c r="S1923"/>
  <c r="Q1923"/>
  <c r="Q1928"/>
  <c r="R1928"/>
  <c r="S1928"/>
  <c r="Q1899"/>
  <c r="R1899"/>
  <c r="S1899"/>
  <c r="S1896"/>
  <c r="Q1896"/>
  <c r="R1896"/>
  <c r="S1892"/>
  <c r="Q1892"/>
  <c r="R1892"/>
  <c r="R1865"/>
  <c r="S1865"/>
  <c r="Q1865"/>
  <c r="S1822"/>
  <c r="Q1822"/>
  <c r="R1822"/>
  <c r="Q1804"/>
  <c r="R1804"/>
  <c r="S1804"/>
  <c r="Q1943"/>
  <c r="R1943"/>
  <c r="S1943"/>
  <c r="Q1938"/>
  <c r="R1938"/>
  <c r="S1938"/>
  <c r="S1930"/>
  <c r="Q1930"/>
  <c r="R1930"/>
  <c r="Q1863"/>
  <c r="R1863"/>
  <c r="S1863"/>
  <c r="Q1945"/>
  <c r="R1945"/>
  <c r="S1945"/>
  <c r="R1940"/>
  <c r="Q1940"/>
  <c r="S1940"/>
  <c r="Q1824"/>
  <c r="R1824"/>
  <c r="S1824"/>
  <c r="Q1866"/>
  <c r="R1866"/>
  <c r="S1866"/>
  <c r="S1868"/>
  <c r="Q1868"/>
  <c r="R1868"/>
  <c r="R1525"/>
  <c r="S1525"/>
  <c r="Q1525"/>
  <c r="Q1740"/>
  <c r="R1740"/>
  <c r="S1740"/>
  <c r="Q1736"/>
  <c r="R1736"/>
  <c r="S1736"/>
  <c r="R1723"/>
  <c r="S1723"/>
  <c r="Q1723"/>
  <c r="R1719"/>
  <c r="S1719"/>
  <c r="Q1719"/>
  <c r="Q1713"/>
  <c r="R1713"/>
  <c r="S1713"/>
  <c r="Q1690"/>
  <c r="R1690"/>
  <c r="S1690"/>
  <c r="Q1678"/>
  <c r="R1678"/>
  <c r="S1678"/>
  <c r="Q1671"/>
  <c r="R1671"/>
  <c r="S1671"/>
  <c r="Q1661"/>
  <c r="R1661"/>
  <c r="S1661"/>
  <c r="Q1607"/>
  <c r="R1607"/>
  <c r="S1607"/>
  <c r="R1613"/>
  <c r="S1613"/>
  <c r="Q1613"/>
  <c r="Q1599"/>
  <c r="R1599"/>
  <c r="S1599"/>
  <c r="Q1595"/>
  <c r="R1595"/>
  <c r="S1595"/>
  <c r="Q1591"/>
  <c r="R1591"/>
  <c r="S1591"/>
  <c r="Q1587"/>
  <c r="R1587"/>
  <c r="S1587"/>
  <c r="Q1583"/>
  <c r="R1583"/>
  <c r="S1583"/>
  <c r="R1573"/>
  <c r="S1573"/>
  <c r="Q1573"/>
  <c r="R1561"/>
  <c r="S1561"/>
  <c r="Q1561"/>
  <c r="Q1547"/>
  <c r="R1547"/>
  <c r="S1547"/>
  <c r="S1524"/>
  <c r="Q1524"/>
  <c r="R1524"/>
  <c r="Q1519"/>
  <c r="R1519"/>
  <c r="S1519"/>
  <c r="Q1515"/>
  <c r="R1515"/>
  <c r="S1515"/>
  <c r="Q1502"/>
  <c r="R1502"/>
  <c r="S1502"/>
  <c r="Q1498"/>
  <c r="R1498"/>
  <c r="S1498"/>
  <c r="R392"/>
  <c r="S392"/>
  <c r="Q392"/>
  <c r="Q1777"/>
  <c r="R1777"/>
  <c r="S1777"/>
  <c r="Q1773"/>
  <c r="R1773"/>
  <c r="S1773"/>
  <c r="Q1769"/>
  <c r="R1769"/>
  <c r="S1769"/>
  <c r="Q1764"/>
  <c r="R1764"/>
  <c r="S1764"/>
  <c r="R1759"/>
  <c r="S1759"/>
  <c r="Q1759"/>
  <c r="R1731"/>
  <c r="S1731"/>
  <c r="Q1731"/>
  <c r="R1727"/>
  <c r="S1727"/>
  <c r="Q1727"/>
  <c r="Q1709"/>
  <c r="R1709"/>
  <c r="S1709"/>
  <c r="Q1705"/>
  <c r="R1705"/>
  <c r="S1705"/>
  <c r="R1655"/>
  <c r="S1655"/>
  <c r="Q1655"/>
  <c r="R1643"/>
  <c r="S1643"/>
  <c r="Q1643"/>
  <c r="Q1603"/>
  <c r="R1603"/>
  <c r="S1603"/>
  <c r="S1568"/>
  <c r="Q1568"/>
  <c r="R1568"/>
  <c r="Q1535"/>
  <c r="R1535"/>
  <c r="S1535"/>
  <c r="R1509"/>
  <c r="S1509"/>
  <c r="Q1509"/>
  <c r="R1505"/>
  <c r="S1505"/>
  <c r="Q1505"/>
  <c r="S1496"/>
  <c r="Q1496"/>
  <c r="R1496"/>
  <c r="S1710"/>
  <c r="Q1710"/>
  <c r="R1710"/>
  <c r="S1572"/>
  <c r="Q1572"/>
  <c r="R1572"/>
  <c r="Q1882"/>
  <c r="R1882"/>
  <c r="S1882"/>
  <c r="Q1812"/>
  <c r="R1812"/>
  <c r="S1812"/>
  <c r="R1703"/>
  <c r="S1703"/>
  <c r="Q1703"/>
  <c r="Q1629"/>
  <c r="R1629"/>
  <c r="S1629"/>
  <c r="Q1550"/>
  <c r="R1550"/>
  <c r="S1550"/>
  <c r="Q1530"/>
  <c r="R1530"/>
  <c r="S1530"/>
  <c r="Q1649"/>
  <c r="R1649"/>
  <c r="S1649"/>
  <c r="Q1637"/>
  <c r="R1637"/>
  <c r="S1637"/>
  <c r="R1619"/>
  <c r="S1619"/>
  <c r="Q1619"/>
  <c r="Q1562"/>
  <c r="R1562"/>
  <c r="S1562"/>
  <c r="Q1543"/>
  <c r="R1543"/>
  <c r="S1543"/>
  <c r="S396"/>
  <c r="Q396"/>
  <c r="R396"/>
  <c r="Q1781"/>
  <c r="R1781"/>
  <c r="S1781"/>
  <c r="S1754"/>
  <c r="Q1754"/>
  <c r="R1754"/>
  <c r="S1750"/>
  <c r="Q1750"/>
  <c r="R1750"/>
  <c r="S1616"/>
  <c r="Q1616"/>
  <c r="R1616"/>
  <c r="Q1527"/>
  <c r="R1527"/>
  <c r="S1527"/>
  <c r="Q1578"/>
  <c r="R1578"/>
  <c r="S1578"/>
  <c r="Q1625"/>
  <c r="R1625"/>
  <c r="S1625"/>
  <c r="Q1653"/>
  <c r="R1653"/>
  <c r="S1653"/>
  <c r="Q1744"/>
  <c r="R1744"/>
  <c r="S1744"/>
  <c r="Q1785"/>
  <c r="R1785"/>
  <c r="S1785"/>
  <c r="S1762"/>
  <c r="Q1762"/>
  <c r="R1762"/>
  <c r="Q1855"/>
  <c r="R1855"/>
  <c r="S1855"/>
  <c r="R1861"/>
  <c r="S1861"/>
  <c r="Q1861"/>
  <c r="Q1884"/>
  <c r="R1884"/>
  <c r="S1884"/>
  <c r="Q1917"/>
  <c r="R1917"/>
  <c r="S1917"/>
  <c r="S1793"/>
  <c r="Q1793"/>
  <c r="R1793"/>
  <c r="Q1895"/>
  <c r="R1895"/>
  <c r="S1895"/>
  <c r="Q1657"/>
  <c r="R1657"/>
  <c r="S1657"/>
  <c r="Q1828"/>
  <c r="R1828"/>
  <c r="S1828"/>
  <c r="Q1821"/>
  <c r="R1821"/>
  <c r="S1821"/>
  <c r="Q1942"/>
  <c r="R1942"/>
  <c r="S1942"/>
  <c r="R1847"/>
  <c r="S1847"/>
  <c r="Q1847"/>
  <c r="Q1850"/>
  <c r="R1850"/>
  <c r="S1850"/>
  <c r="R1807"/>
  <c r="Q1807"/>
  <c r="S1807"/>
  <c r="Q419"/>
  <c r="R419"/>
  <c r="S419"/>
  <c r="R1803"/>
  <c r="S1803"/>
  <c r="Q1803"/>
  <c r="S1944"/>
  <c r="Q1944"/>
  <c r="R1944"/>
  <c r="S1952"/>
  <c r="Q1952"/>
  <c r="R1952"/>
  <c r="R1954"/>
  <c r="S1954"/>
  <c r="Q1954"/>
  <c r="S1951"/>
  <c r="Q1951"/>
  <c r="R1951"/>
  <c r="S1957"/>
  <c r="Q1957"/>
  <c r="R1957"/>
  <c r="Q1805"/>
  <c r="S1805"/>
  <c r="R1805"/>
  <c r="S1830"/>
  <c r="Q1830"/>
  <c r="R1830"/>
  <c r="Q1832"/>
  <c r="R1832"/>
  <c r="S1832"/>
  <c r="S1834"/>
  <c r="Q1834"/>
  <c r="R1834"/>
  <c r="Q1837"/>
  <c r="R1837"/>
  <c r="S1837"/>
  <c r="S1860"/>
  <c r="Q1860"/>
  <c r="R1860"/>
  <c r="A1937"/>
  <c r="A1925"/>
  <c r="A1788"/>
  <c r="A1741"/>
  <c r="A1739"/>
  <c r="A1737"/>
  <c r="A1735"/>
  <c r="A1746"/>
  <c r="A1722"/>
  <c r="A1720"/>
  <c r="A1718"/>
  <c r="A1716"/>
  <c r="A1699"/>
  <c r="A1693"/>
  <c r="A1687"/>
  <c r="A1681"/>
  <c r="A1664"/>
  <c r="A1674"/>
  <c r="A1668"/>
  <c r="A1662"/>
  <c r="A1650"/>
  <c r="A1617"/>
  <c r="A1615"/>
  <c r="A1614"/>
  <c r="A1602"/>
  <c r="A1600"/>
  <c r="A1598"/>
  <c r="A1596"/>
  <c r="A1594"/>
  <c r="A1592"/>
  <c r="A1590"/>
  <c r="A1588"/>
  <c r="A1586"/>
  <c r="A1584"/>
  <c r="A1582"/>
  <c r="A1580"/>
  <c r="A1567"/>
  <c r="A1565"/>
  <c r="A1560"/>
  <c r="A1541"/>
  <c r="A1540"/>
  <c r="A1529"/>
  <c r="A1522"/>
  <c r="A1520"/>
  <c r="A1518"/>
  <c r="A1516"/>
  <c r="A1514"/>
  <c r="A1512"/>
  <c r="A1501"/>
  <c r="A1499"/>
  <c r="A398"/>
  <c r="A393"/>
  <c r="A391"/>
  <c r="A389"/>
  <c r="A1776"/>
  <c r="A1774"/>
  <c r="A1772"/>
  <c r="A1770"/>
  <c r="A1768"/>
  <c r="A1766"/>
  <c r="A1763"/>
  <c r="A1760"/>
  <c r="A1758"/>
  <c r="A1732"/>
  <c r="A1730"/>
  <c r="A1728"/>
  <c r="A1726"/>
  <c r="A1724"/>
  <c r="A1708"/>
  <c r="A1706"/>
  <c r="A1704"/>
  <c r="A1656"/>
  <c r="A1646"/>
  <c r="A1644"/>
  <c r="A1642"/>
  <c r="A1604"/>
  <c r="A1571"/>
  <c r="A1569"/>
  <c r="A1564"/>
  <c r="A1557"/>
  <c r="A1534"/>
  <c r="A1510"/>
  <c r="A1508"/>
  <c r="A1506"/>
  <c r="A1504"/>
  <c r="A1497"/>
  <c r="A1495"/>
  <c r="A1493"/>
  <c r="A1648"/>
  <c r="A1605"/>
  <c r="A1559"/>
  <c r="A1883"/>
  <c r="A1864"/>
  <c r="A1887"/>
  <c r="A1747"/>
  <c r="A1703"/>
  <c r="A1631"/>
  <c r="A1629"/>
  <c r="A1552"/>
  <c r="A1550"/>
  <c r="A1548"/>
  <c r="A1530"/>
  <c r="A1742"/>
  <c r="A1649"/>
  <c r="A1639"/>
  <c r="A1637"/>
  <c r="A1634"/>
  <c r="A1619"/>
  <c r="A1574"/>
  <c r="A1562"/>
  <c r="A1545"/>
  <c r="A1543"/>
  <c r="A1608"/>
  <c r="A1621"/>
  <c r="A396"/>
  <c r="A395"/>
  <c r="A1635"/>
  <c r="A1783"/>
  <c r="A1781"/>
  <c r="A1779"/>
  <c r="A1786"/>
  <c r="A1553"/>
  <c r="A1754"/>
  <c r="A1752"/>
  <c r="A1750"/>
  <c r="A1748"/>
  <c r="A1616"/>
  <c r="A1734"/>
  <c r="A1527"/>
  <c r="A1578"/>
  <c r="A1576"/>
  <c r="A1625"/>
  <c r="A1623"/>
  <c r="A1653"/>
  <c r="A1651"/>
  <c r="A1744"/>
  <c r="A1785"/>
  <c r="A1647"/>
  <c r="A1654"/>
  <c r="A1762"/>
  <c r="A1813"/>
  <c r="A1816"/>
  <c r="A1839"/>
  <c r="A1840"/>
  <c r="A1841"/>
  <c r="A1842"/>
  <c r="A1848"/>
  <c r="A1849"/>
  <c r="A1851"/>
  <c r="A1852"/>
  <c r="A1857"/>
  <c r="A1858"/>
  <c r="A1859"/>
  <c r="A1885"/>
  <c r="A1886"/>
  <c r="A1921"/>
  <c r="A1922"/>
  <c r="A1923"/>
  <c r="A1924"/>
  <c r="A1927"/>
  <c r="A1928"/>
  <c r="A1899"/>
  <c r="A1898"/>
  <c r="A1896"/>
  <c r="A1894"/>
  <c r="A1892"/>
  <c r="A1912"/>
  <c r="A1865"/>
  <c r="A1827"/>
  <c r="A1822"/>
  <c r="A1820"/>
  <c r="A1804"/>
  <c r="A1941"/>
  <c r="A1943"/>
  <c r="A1846"/>
  <c r="A1938"/>
  <c r="A1929"/>
  <c r="A1930"/>
  <c r="A1809"/>
  <c r="A1863"/>
  <c r="A1819"/>
  <c r="A1945"/>
  <c r="A1946"/>
  <c r="A1940"/>
  <c r="A1823"/>
  <c r="A1824"/>
  <c r="A1825"/>
  <c r="A1853"/>
  <c r="A1866"/>
  <c r="A1867"/>
  <c r="A1868"/>
  <c r="A1926"/>
  <c r="A1525"/>
  <c r="A1787"/>
  <c r="A1740"/>
  <c r="A1738"/>
  <c r="A1736"/>
  <c r="A1733"/>
  <c r="A1723"/>
  <c r="A1721"/>
  <c r="A1719"/>
  <c r="A1717"/>
  <c r="A1713"/>
  <c r="A1696"/>
  <c r="A1690"/>
  <c r="A1684"/>
  <c r="A1678"/>
  <c r="A1677"/>
  <c r="A1671"/>
  <c r="A1663"/>
  <c r="A1661"/>
  <c r="A1633"/>
  <c r="A1607"/>
  <c r="A1606"/>
  <c r="A1613"/>
  <c r="A1601"/>
  <c r="A1599"/>
  <c r="A1597"/>
  <c r="A1595"/>
  <c r="A1593"/>
  <c r="A1591"/>
  <c r="A1589"/>
  <c r="A1587"/>
  <c r="A1585"/>
  <c r="A1583"/>
  <c r="A1581"/>
  <c r="A1573"/>
  <c r="A1566"/>
  <c r="A1561"/>
  <c r="A1542"/>
  <c r="A1547"/>
  <c r="A1539"/>
  <c r="A1524"/>
  <c r="A1521"/>
  <c r="A1519"/>
  <c r="A1517"/>
  <c r="A1515"/>
  <c r="A1513"/>
  <c r="A1502"/>
  <c r="A1500"/>
  <c r="A1498"/>
  <c r="A397"/>
  <c r="A392"/>
  <c r="A390"/>
  <c r="A1777"/>
  <c r="A1775"/>
  <c r="A1773"/>
  <c r="A1771"/>
  <c r="A1769"/>
  <c r="A1767"/>
  <c r="A1764"/>
  <c r="A1761"/>
  <c r="A1759"/>
  <c r="A1789"/>
  <c r="A1731"/>
  <c r="A1729"/>
  <c r="A1727"/>
  <c r="A1725"/>
  <c r="A1709"/>
  <c r="A1707"/>
  <c r="A1705"/>
  <c r="A1658"/>
  <c r="A1655"/>
  <c r="A1645"/>
  <c r="A1643"/>
  <c r="A1641"/>
  <c r="A1603"/>
  <c r="A1570"/>
  <c r="A1568"/>
  <c r="A1558"/>
  <c r="A1535"/>
  <c r="A1511"/>
  <c r="A1509"/>
  <c r="A1507"/>
  <c r="A1505"/>
  <c r="A1503"/>
  <c r="A1496"/>
  <c r="A1494"/>
  <c r="A1710"/>
  <c r="A1632"/>
  <c r="A1572"/>
  <c r="A1538"/>
  <c r="A1882"/>
  <c r="A1815"/>
  <c r="A1812"/>
  <c r="A1790"/>
  <c r="A1714"/>
  <c r="A1702"/>
  <c r="A1630"/>
  <c r="A1628"/>
  <c r="A1551"/>
  <c r="A1549"/>
  <c r="A1531"/>
  <c r="A1757"/>
  <c r="A1659"/>
  <c r="A1640"/>
  <c r="A1638"/>
  <c r="A1636"/>
  <c r="A1620"/>
  <c r="A1618"/>
  <c r="A1563"/>
  <c r="A1546"/>
  <c r="A1544"/>
  <c r="A1782"/>
  <c r="A1780"/>
  <c r="A1778"/>
  <c r="A1555"/>
  <c r="A1532"/>
  <c r="A1753"/>
  <c r="A1751"/>
  <c r="A1749"/>
  <c r="A1755"/>
  <c r="A184"/>
  <c r="A183"/>
  <c r="A182"/>
  <c r="A181"/>
  <c r="A180"/>
  <c r="A179"/>
  <c r="A178"/>
  <c r="A177"/>
  <c r="A176"/>
  <c r="A175"/>
  <c r="A174"/>
  <c r="A185"/>
  <c r="A1528"/>
  <c r="A1526"/>
  <c r="A1577"/>
  <c r="A1575"/>
  <c r="A1624"/>
  <c r="A1622"/>
  <c r="A1652"/>
  <c r="A1745"/>
  <c r="A1743"/>
  <c r="A1784"/>
  <c r="A1579"/>
  <c r="A1626"/>
  <c r="A1627"/>
  <c r="A1888"/>
  <c r="A1854"/>
  <c r="A1855"/>
  <c r="A1856"/>
  <c r="A1861"/>
  <c r="A1862"/>
  <c r="A1884"/>
  <c r="A1916"/>
  <c r="A1917"/>
  <c r="A1918"/>
  <c r="A1931"/>
  <c r="A1793"/>
  <c r="A1897"/>
  <c r="A1895"/>
  <c r="A1893"/>
  <c r="A1657"/>
  <c r="A1889"/>
  <c r="A1828"/>
  <c r="A1826"/>
  <c r="A1821"/>
  <c r="A1814"/>
  <c r="A1942"/>
  <c r="A1939"/>
  <c r="A1847"/>
  <c r="A1960"/>
  <c r="A1911"/>
  <c r="A1850"/>
  <c r="A1791"/>
  <c r="A1807"/>
  <c r="A1808"/>
  <c r="A419"/>
  <c r="A420"/>
  <c r="A1803"/>
  <c r="A1802"/>
  <c r="A1961"/>
  <c r="A1944"/>
  <c r="A1952"/>
  <c r="A1953"/>
  <c r="A1954"/>
  <c r="A1955"/>
  <c r="A1950"/>
  <c r="A1951"/>
  <c r="A1956"/>
  <c r="A1957"/>
  <c r="A1805"/>
  <c r="A1829"/>
  <c r="A1830"/>
  <c r="A1831"/>
  <c r="A1832"/>
  <c r="A1833"/>
  <c r="A1834"/>
  <c r="A1835"/>
  <c r="A1836"/>
  <c r="A1837"/>
  <c r="A1838"/>
  <c r="A1860"/>
  <c r="K171"/>
  <c r="M171" s="1"/>
  <c r="B171"/>
  <c r="K173"/>
  <c r="M173" s="1"/>
  <c r="B173"/>
  <c r="K172"/>
  <c r="M172" s="1"/>
  <c r="B172"/>
  <c r="S173" l="1"/>
  <c r="R173"/>
  <c r="Q173"/>
  <c r="Q172"/>
  <c r="R172"/>
  <c r="S172"/>
  <c r="Q171"/>
  <c r="R171"/>
  <c r="S171"/>
  <c r="A172"/>
  <c r="A173"/>
  <c r="A171"/>
  <c r="C1492"/>
  <c r="AD1492" s="1"/>
  <c r="C167"/>
  <c r="AD167" s="1"/>
  <c r="C168"/>
  <c r="AD168" s="1"/>
  <c r="C169"/>
  <c r="AD169" s="1"/>
  <c r="C170"/>
  <c r="AD170" s="1"/>
  <c r="C166"/>
  <c r="AD166" s="1"/>
  <c r="C1482"/>
  <c r="AD1482" s="1"/>
  <c r="C1483"/>
  <c r="AD1483" s="1"/>
  <c r="C1484"/>
  <c r="AD1484" s="1"/>
  <c r="C1485"/>
  <c r="AD1485" s="1"/>
  <c r="C1486"/>
  <c r="AD1486" s="1"/>
  <c r="C1487"/>
  <c r="AD1487" s="1"/>
  <c r="C1488"/>
  <c r="AD1488" s="1"/>
  <c r="C1489"/>
  <c r="AD1489" s="1"/>
  <c r="C1490"/>
  <c r="AD1490" s="1"/>
  <c r="C1491"/>
  <c r="AD1491" s="1"/>
  <c r="C1473"/>
  <c r="AD1473" s="1"/>
  <c r="C1474"/>
  <c r="AD1474" s="1"/>
  <c r="C1475"/>
  <c r="AD1475" s="1"/>
  <c r="C1476"/>
  <c r="AD1476" s="1"/>
  <c r="C1477"/>
  <c r="AD1477" s="1"/>
  <c r="C1478"/>
  <c r="AD1478" s="1"/>
  <c r="C1479"/>
  <c r="AD1479" s="1"/>
  <c r="C1480"/>
  <c r="AD1480" s="1"/>
  <c r="C1481"/>
  <c r="AD1481" s="1"/>
  <c r="C1460"/>
  <c r="AD1460" s="1"/>
  <c r="C1461"/>
  <c r="AD1461" s="1"/>
  <c r="C1462"/>
  <c r="AD1462" s="1"/>
  <c r="C1463"/>
  <c r="AD1463" s="1"/>
  <c r="C1464"/>
  <c r="AD1464" s="1"/>
  <c r="C1465"/>
  <c r="AD1465" s="1"/>
  <c r="C1466"/>
  <c r="AD1466" s="1"/>
  <c r="C1467"/>
  <c r="AD1467" s="1"/>
  <c r="C1468"/>
  <c r="AD1468" s="1"/>
  <c r="C1469"/>
  <c r="AD1469" s="1"/>
  <c r="C1470"/>
  <c r="AD1470" s="1"/>
  <c r="C1471"/>
  <c r="AD1471" s="1"/>
  <c r="C1472"/>
  <c r="AD1472" s="1"/>
  <c r="B1390"/>
  <c r="C1438"/>
  <c r="AD1438" s="1"/>
  <c r="C1437"/>
  <c r="AD1437" s="1"/>
  <c r="C1440"/>
  <c r="AD1440" s="1"/>
  <c r="C1439"/>
  <c r="AD1439" s="1"/>
  <c r="C1433"/>
  <c r="AD1433" s="1"/>
  <c r="C1432"/>
  <c r="AD1432" s="1"/>
  <c r="C1449"/>
  <c r="AD1449" s="1"/>
  <c r="C1450"/>
  <c r="AD1450" s="1"/>
  <c r="C1451"/>
  <c r="AD1451" s="1"/>
  <c r="C1452"/>
  <c r="AD1452" s="1"/>
  <c r="C1453"/>
  <c r="AD1453" s="1"/>
  <c r="C1454"/>
  <c r="AD1454" s="1"/>
  <c r="C1455"/>
  <c r="AD1455" s="1"/>
  <c r="C1456"/>
  <c r="AD1456" s="1"/>
  <c r="C1457"/>
  <c r="AD1457" s="1"/>
  <c r="C1458"/>
  <c r="AD1458" s="1"/>
  <c r="C1459"/>
  <c r="AD1459" s="1"/>
  <c r="C1447"/>
  <c r="AD1447" s="1"/>
  <c r="C1448"/>
  <c r="AD1448" s="1"/>
  <c r="C1441"/>
  <c r="AD1441" s="1"/>
  <c r="C1436"/>
  <c r="AD1436" s="1"/>
  <c r="C1435"/>
  <c r="AD1435" s="1"/>
  <c r="C1431"/>
  <c r="AD1431" s="1"/>
  <c r="C1430"/>
  <c r="AD1430" s="1"/>
  <c r="C1446"/>
  <c r="AD1446" s="1"/>
  <c r="C1445"/>
  <c r="AD1445" s="1"/>
  <c r="C1444"/>
  <c r="AD1444" s="1"/>
  <c r="C1443"/>
  <c r="AD1443" s="1"/>
  <c r="C1442"/>
  <c r="AD1442" s="1"/>
  <c r="C1434"/>
  <c r="AD1434" s="1"/>
  <c r="C1429"/>
  <c r="AD1429" s="1"/>
  <c r="M1427"/>
  <c r="C1427"/>
  <c r="AD1427" s="1"/>
  <c r="M1428"/>
  <c r="C1428"/>
  <c r="AD1428" s="1"/>
  <c r="C1426"/>
  <c r="AD1426" s="1"/>
  <c r="C1416"/>
  <c r="AD1416" s="1"/>
  <c r="M1423"/>
  <c r="C1423"/>
  <c r="AD1423" s="1"/>
  <c r="M1418"/>
  <c r="C1418"/>
  <c r="AD1418" s="1"/>
  <c r="M1417"/>
  <c r="C1417"/>
  <c r="AD1417" s="1"/>
  <c r="C1425"/>
  <c r="AD1425" s="1"/>
  <c r="M1413"/>
  <c r="C1413"/>
  <c r="AD1413" s="1"/>
  <c r="M1415"/>
  <c r="C1415"/>
  <c r="AD1415" s="1"/>
  <c r="M1414"/>
  <c r="C1414"/>
  <c r="AD1414" s="1"/>
  <c r="C1386"/>
  <c r="AD1386" s="1"/>
  <c r="C1385"/>
  <c r="AD1385" s="1"/>
  <c r="C1382"/>
  <c r="AD1382" s="1"/>
  <c r="C1381"/>
  <c r="AD1381" s="1"/>
  <c r="C1374"/>
  <c r="AD1374" s="1"/>
  <c r="C1373"/>
  <c r="AD1373" s="1"/>
  <c r="C1368"/>
  <c r="AD1368" s="1"/>
  <c r="C1367"/>
  <c r="AD1367" s="1"/>
  <c r="B1387"/>
  <c r="C1372"/>
  <c r="AD1372" s="1"/>
  <c r="C1371"/>
  <c r="AD1371" s="1"/>
  <c r="C1370"/>
  <c r="AD1370" s="1"/>
  <c r="C1369"/>
  <c r="AD1369" s="1"/>
  <c r="C1384"/>
  <c r="AD1384" s="1"/>
  <c r="C1383"/>
  <c r="AD1383" s="1"/>
  <c r="C1378"/>
  <c r="AD1378" s="1"/>
  <c r="C1377"/>
  <c r="AD1377" s="1"/>
  <c r="B1389"/>
  <c r="B1388"/>
  <c r="M368"/>
  <c r="M369"/>
  <c r="M370"/>
  <c r="M371"/>
  <c r="M372"/>
  <c r="M1408"/>
  <c r="M1410"/>
  <c r="M367"/>
  <c r="C1409"/>
  <c r="AD1409" s="1"/>
  <c r="C1410"/>
  <c r="AD1410" s="1"/>
  <c r="C1411"/>
  <c r="AD1411" s="1"/>
  <c r="C1408"/>
  <c r="AD1408" s="1"/>
  <c r="B1537"/>
  <c r="K169"/>
  <c r="M169" s="1"/>
  <c r="K170"/>
  <c r="M170" s="1"/>
  <c r="K168"/>
  <c r="M168" s="1"/>
  <c r="K167"/>
  <c r="M167" s="1"/>
  <c r="K166"/>
  <c r="M166" s="1"/>
  <c r="M1421"/>
  <c r="M1422"/>
  <c r="M1424"/>
  <c r="M1425"/>
  <c r="M1419"/>
  <c r="M1420"/>
  <c r="M1412"/>
  <c r="Q1387" l="1"/>
  <c r="R1387"/>
  <c r="S1387"/>
  <c r="S1388"/>
  <c r="Q1388"/>
  <c r="R1388"/>
  <c r="R1389"/>
  <c r="S1389"/>
  <c r="Q1389"/>
  <c r="Q1390"/>
  <c r="R1390"/>
  <c r="S1390"/>
  <c r="R1537"/>
  <c r="S1537"/>
  <c r="Q1537"/>
  <c r="A1537"/>
  <c r="A1388"/>
  <c r="A1387"/>
  <c r="A1389"/>
  <c r="A1390"/>
  <c r="B1367"/>
  <c r="B1381"/>
  <c r="B1434"/>
  <c r="B1435"/>
  <c r="B1456"/>
  <c r="B1452"/>
  <c r="B1432"/>
  <c r="B1437"/>
  <c r="B1471"/>
  <c r="B1467"/>
  <c r="B1473"/>
  <c r="B1488"/>
  <c r="B1484"/>
  <c r="B1446"/>
  <c r="B1459"/>
  <c r="B1451"/>
  <c r="B1470"/>
  <c r="B169"/>
  <c r="B1371"/>
  <c r="B1373"/>
  <c r="B1385"/>
  <c r="B1458"/>
  <c r="B1454"/>
  <c r="B1439"/>
  <c r="B1461"/>
  <c r="B1490"/>
  <c r="B1486"/>
  <c r="B1377"/>
  <c r="B1369"/>
  <c r="B1444"/>
  <c r="B1448"/>
  <c r="B1453"/>
  <c r="B1449"/>
  <c r="B1472"/>
  <c r="B1468"/>
  <c r="B1460"/>
  <c r="B1478"/>
  <c r="B1489"/>
  <c r="B1485"/>
  <c r="B166"/>
  <c r="B167"/>
  <c r="B1479"/>
  <c r="B168"/>
  <c r="B170"/>
  <c r="B1475"/>
  <c r="B1465"/>
  <c r="B1477"/>
  <c r="B1481"/>
  <c r="B1482"/>
  <c r="B1463"/>
  <c r="B1442"/>
  <c r="B1455"/>
  <c r="B1462"/>
  <c r="B1464"/>
  <c r="B1476"/>
  <c r="B1480"/>
  <c r="B1483"/>
  <c r="B1487"/>
  <c r="B1474"/>
  <c r="B1443"/>
  <c r="B1457"/>
  <c r="B1466"/>
  <c r="B1492"/>
  <c r="B1469"/>
  <c r="B1441"/>
  <c r="B1447"/>
  <c r="B1378"/>
  <c r="B1383"/>
  <c r="B1429"/>
  <c r="B1450"/>
  <c r="B1384"/>
  <c r="B1445"/>
  <c r="B1491"/>
  <c r="B1438"/>
  <c r="B1440"/>
  <c r="B1433"/>
  <c r="B1436"/>
  <c r="B1430"/>
  <c r="B1431"/>
  <c r="B1427"/>
  <c r="B1428"/>
  <c r="B1426"/>
  <c r="B1416"/>
  <c r="B1368"/>
  <c r="B1410"/>
  <c r="B1411"/>
  <c r="B1423"/>
  <c r="B1418"/>
  <c r="B1417"/>
  <c r="B1413"/>
  <c r="B1414"/>
  <c r="B1415"/>
  <c r="B1386"/>
  <c r="B1382"/>
  <c r="B1374"/>
  <c r="B1372"/>
  <c r="B1370"/>
  <c r="O16" i="63"/>
  <c r="N16"/>
  <c r="M16"/>
  <c r="L16"/>
  <c r="C1421" i="34"/>
  <c r="AD1421" s="1"/>
  <c r="C1422"/>
  <c r="AD1422" s="1"/>
  <c r="C1424"/>
  <c r="AD1424" s="1"/>
  <c r="C1419"/>
  <c r="AD1419" s="1"/>
  <c r="C1420"/>
  <c r="AD1420" s="1"/>
  <c r="C1412"/>
  <c r="AD1412" s="1"/>
  <c r="B368"/>
  <c r="B369"/>
  <c r="B370"/>
  <c r="B371"/>
  <c r="B372"/>
  <c r="B373"/>
  <c r="B1395"/>
  <c r="B1394"/>
  <c r="B1401"/>
  <c r="B1400"/>
  <c r="B1399"/>
  <c r="B1396"/>
  <c r="A28" i="12"/>
  <c r="I28"/>
  <c r="B1407" i="34"/>
  <c r="B1406"/>
  <c r="B1405"/>
  <c r="B1404"/>
  <c r="B1403"/>
  <c r="B1402"/>
  <c r="B1355"/>
  <c r="B1356"/>
  <c r="B1357"/>
  <c r="B1359"/>
  <c r="B1289"/>
  <c r="B1290"/>
  <c r="B1291"/>
  <c r="B1292"/>
  <c r="B1288"/>
  <c r="B1287"/>
  <c r="B1284"/>
  <c r="B1285"/>
  <c r="B1286"/>
  <c r="C1353"/>
  <c r="AD1353" s="1"/>
  <c r="K1352"/>
  <c r="K1351"/>
  <c r="C1352"/>
  <c r="AD1352" s="1"/>
  <c r="K1350"/>
  <c r="C1351"/>
  <c r="AD1351" s="1"/>
  <c r="C1350"/>
  <c r="AD1350" s="1"/>
  <c r="K1348"/>
  <c r="M1349"/>
  <c r="C1349"/>
  <c r="AD1349" s="1"/>
  <c r="C1318"/>
  <c r="AD1318" s="1"/>
  <c r="C1317"/>
  <c r="AD1317" s="1"/>
  <c r="C1319"/>
  <c r="AD1319" s="1"/>
  <c r="C1320"/>
  <c r="AD1320" s="1"/>
  <c r="C1266"/>
  <c r="AD1266" s="1"/>
  <c r="C1342"/>
  <c r="AD1342" s="1"/>
  <c r="C1343"/>
  <c r="AD1343" s="1"/>
  <c r="C1267"/>
  <c r="AD1267" s="1"/>
  <c r="C1344"/>
  <c r="AD1344" s="1"/>
  <c r="C1345"/>
  <c r="AD1345" s="1"/>
  <c r="C1346"/>
  <c r="AD1346" s="1"/>
  <c r="C1347"/>
  <c r="AD1347" s="1"/>
  <c r="C1348"/>
  <c r="AD1348" s="1"/>
  <c r="C1354"/>
  <c r="AD1354" s="1"/>
  <c r="C1332"/>
  <c r="AD1332" s="1"/>
  <c r="C1333"/>
  <c r="AD1333" s="1"/>
  <c r="C1334"/>
  <c r="AD1334" s="1"/>
  <c r="C1335"/>
  <c r="AD1335" s="1"/>
  <c r="C1336"/>
  <c r="AD1336" s="1"/>
  <c r="C1337"/>
  <c r="AD1337" s="1"/>
  <c r="C1338"/>
  <c r="AD1338" s="1"/>
  <c r="C1339"/>
  <c r="AD1339" s="1"/>
  <c r="C1340"/>
  <c r="AD1340" s="1"/>
  <c r="C1341"/>
  <c r="AD1341" s="1"/>
  <c r="C1325"/>
  <c r="AD1325" s="1"/>
  <c r="C1326"/>
  <c r="AD1326" s="1"/>
  <c r="C1327"/>
  <c r="AD1327" s="1"/>
  <c r="C1328"/>
  <c r="AD1328" s="1"/>
  <c r="C1329"/>
  <c r="AD1329" s="1"/>
  <c r="C1330"/>
  <c r="AD1330" s="1"/>
  <c r="C1331"/>
  <c r="AD1331" s="1"/>
  <c r="Q1359" l="1"/>
  <c r="R1359"/>
  <c r="S1359"/>
  <c r="Q1394"/>
  <c r="R1394"/>
  <c r="S1394"/>
  <c r="Q1374"/>
  <c r="R1374"/>
  <c r="S1374"/>
  <c r="S1384"/>
  <c r="Q1384"/>
  <c r="R1384"/>
  <c r="S1284"/>
  <c r="Q1284"/>
  <c r="R1284"/>
  <c r="Q1287"/>
  <c r="R1287"/>
  <c r="S1287"/>
  <c r="Q1290"/>
  <c r="R1290"/>
  <c r="S1290"/>
  <c r="S1356"/>
  <c r="Q1356"/>
  <c r="R1356"/>
  <c r="S1404"/>
  <c r="Q1404"/>
  <c r="R1404"/>
  <c r="S1400"/>
  <c r="Q1400"/>
  <c r="R1400"/>
  <c r="Q373"/>
  <c r="R373"/>
  <c r="S373"/>
  <c r="Q369"/>
  <c r="R369"/>
  <c r="S369"/>
  <c r="Q1370"/>
  <c r="R1370"/>
  <c r="S1370"/>
  <c r="Q1386"/>
  <c r="R1386"/>
  <c r="S1386"/>
  <c r="R1417"/>
  <c r="S1417"/>
  <c r="Q1417"/>
  <c r="Q1410"/>
  <c r="R1410"/>
  <c r="S1410"/>
  <c r="S1428"/>
  <c r="Q1428"/>
  <c r="R1428"/>
  <c r="S1436"/>
  <c r="Q1436"/>
  <c r="R1436"/>
  <c r="Q1491"/>
  <c r="R1491"/>
  <c r="S1491"/>
  <c r="R1429"/>
  <c r="S1429"/>
  <c r="Q1429"/>
  <c r="R1441"/>
  <c r="S1441"/>
  <c r="Q1441"/>
  <c r="R1457"/>
  <c r="S1457"/>
  <c r="Q1457"/>
  <c r="R1483"/>
  <c r="S1483"/>
  <c r="Q1483"/>
  <c r="Q1462"/>
  <c r="R1462"/>
  <c r="S1462"/>
  <c r="Q1482"/>
  <c r="S1482"/>
  <c r="R1482"/>
  <c r="R1475"/>
  <c r="S1475"/>
  <c r="Q1475"/>
  <c r="Q167"/>
  <c r="R167"/>
  <c r="S167"/>
  <c r="Q1478"/>
  <c r="S1478"/>
  <c r="R1478"/>
  <c r="R1449"/>
  <c r="S1449"/>
  <c r="Q1449"/>
  <c r="R1369"/>
  <c r="S1369"/>
  <c r="Q1369"/>
  <c r="R1461"/>
  <c r="S1461"/>
  <c r="Q1461"/>
  <c r="R1385"/>
  <c r="S1385"/>
  <c r="Q1385"/>
  <c r="Q1470"/>
  <c r="S1470"/>
  <c r="R1470"/>
  <c r="S1484"/>
  <c r="Q1484"/>
  <c r="R1484"/>
  <c r="R1471"/>
  <c r="S1471"/>
  <c r="Q1471"/>
  <c r="S1456"/>
  <c r="Q1456"/>
  <c r="R1456"/>
  <c r="Q1367"/>
  <c r="R1367"/>
  <c r="S1367"/>
  <c r="Q1286"/>
  <c r="R1286"/>
  <c r="S1286"/>
  <c r="Q1406"/>
  <c r="R1406"/>
  <c r="S1406"/>
  <c r="Q1431"/>
  <c r="R1431"/>
  <c r="S1431"/>
  <c r="S1288"/>
  <c r="Q1288"/>
  <c r="R1288"/>
  <c r="R1289"/>
  <c r="S1289"/>
  <c r="Q1289"/>
  <c r="Q1355"/>
  <c r="R1355"/>
  <c r="S1355"/>
  <c r="R1405"/>
  <c r="S1405"/>
  <c r="Q1405"/>
  <c r="R1401"/>
  <c r="S1401"/>
  <c r="Q1401"/>
  <c r="R372"/>
  <c r="S372"/>
  <c r="Q372"/>
  <c r="R368"/>
  <c r="S368"/>
  <c r="Q368"/>
  <c r="S1372"/>
  <c r="Q1372"/>
  <c r="R1372"/>
  <c r="Q1415"/>
  <c r="R1415"/>
  <c r="S1415"/>
  <c r="Q1418"/>
  <c r="R1418"/>
  <c r="S1418"/>
  <c r="S1368"/>
  <c r="Q1368"/>
  <c r="R1368"/>
  <c r="Q1427"/>
  <c r="R1427"/>
  <c r="S1427"/>
  <c r="R1433"/>
  <c r="S1433"/>
  <c r="Q1433"/>
  <c r="R1445"/>
  <c r="S1445"/>
  <c r="Q1445"/>
  <c r="Q1383"/>
  <c r="R1383"/>
  <c r="S1383"/>
  <c r="R1469"/>
  <c r="Q1469"/>
  <c r="S1469"/>
  <c r="Q1443"/>
  <c r="R1443"/>
  <c r="S1443"/>
  <c r="S1480"/>
  <c r="Q1480"/>
  <c r="R1480"/>
  <c r="Q1455"/>
  <c r="R1455"/>
  <c r="S1455"/>
  <c r="R1481"/>
  <c r="Q1481"/>
  <c r="S1481"/>
  <c r="R170"/>
  <c r="S170"/>
  <c r="Q170"/>
  <c r="R166"/>
  <c r="S166"/>
  <c r="Q166"/>
  <c r="S1460"/>
  <c r="Q1460"/>
  <c r="R1460"/>
  <c r="R1453"/>
  <c r="S1453"/>
  <c r="Q1453"/>
  <c r="R1377"/>
  <c r="S1377"/>
  <c r="Q1377"/>
  <c r="Q1439"/>
  <c r="R1439"/>
  <c r="S1439"/>
  <c r="R1373"/>
  <c r="S1373"/>
  <c r="Q1373"/>
  <c r="Q1451"/>
  <c r="R1451"/>
  <c r="S1451"/>
  <c r="S1488"/>
  <c r="Q1488"/>
  <c r="R1488"/>
  <c r="R1437"/>
  <c r="S1437"/>
  <c r="Q1437"/>
  <c r="Q1435"/>
  <c r="R1435"/>
  <c r="S1435"/>
  <c r="Q1414"/>
  <c r="R1414"/>
  <c r="S1414"/>
  <c r="S1416"/>
  <c r="Q1416"/>
  <c r="R1416"/>
  <c r="S1440"/>
  <c r="Q1440"/>
  <c r="R1440"/>
  <c r="Q1378"/>
  <c r="R1378"/>
  <c r="S1378"/>
  <c r="S1492"/>
  <c r="Q1492"/>
  <c r="R1492"/>
  <c r="Q1474"/>
  <c r="S1474"/>
  <c r="R1474"/>
  <c r="S1476"/>
  <c r="Q1476"/>
  <c r="R1476"/>
  <c r="Q1442"/>
  <c r="R1442"/>
  <c r="S1442"/>
  <c r="R1477"/>
  <c r="Q1477"/>
  <c r="S1477"/>
  <c r="Q168"/>
  <c r="R168"/>
  <c r="S168"/>
  <c r="R1485"/>
  <c r="Q1485"/>
  <c r="S1485"/>
  <c r="S1468"/>
  <c r="Q1468"/>
  <c r="R1468"/>
  <c r="S1448"/>
  <c r="Q1448"/>
  <c r="R1448"/>
  <c r="Q1486"/>
  <c r="S1486"/>
  <c r="R1486"/>
  <c r="Q1454"/>
  <c r="R1454"/>
  <c r="S1454"/>
  <c r="Q1371"/>
  <c r="R1371"/>
  <c r="S1371"/>
  <c r="Q1459"/>
  <c r="R1459"/>
  <c r="S1459"/>
  <c r="R1473"/>
  <c r="Q1473"/>
  <c r="S1473"/>
  <c r="S1432"/>
  <c r="Q1432"/>
  <c r="R1432"/>
  <c r="Q1434"/>
  <c r="R1434"/>
  <c r="S1434"/>
  <c r="S1292"/>
  <c r="Q1292"/>
  <c r="R1292"/>
  <c r="Q1402"/>
  <c r="R1402"/>
  <c r="S1402"/>
  <c r="S1396"/>
  <c r="Q1396"/>
  <c r="R1396"/>
  <c r="S371"/>
  <c r="Q371"/>
  <c r="R371"/>
  <c r="Q1423"/>
  <c r="R1423"/>
  <c r="S1423"/>
  <c r="R1285"/>
  <c r="S1285"/>
  <c r="Q1285"/>
  <c r="Q1291"/>
  <c r="R1291"/>
  <c r="S1291"/>
  <c r="R1357"/>
  <c r="S1357"/>
  <c r="Q1357"/>
  <c r="Q1403"/>
  <c r="R1403"/>
  <c r="S1403"/>
  <c r="Q1407"/>
  <c r="R1407"/>
  <c r="S1407"/>
  <c r="Q1399"/>
  <c r="R1399"/>
  <c r="S1399"/>
  <c r="Q1395"/>
  <c r="R1395"/>
  <c r="S1395"/>
  <c r="Q370"/>
  <c r="R370"/>
  <c r="S370"/>
  <c r="Q1382"/>
  <c r="R1382"/>
  <c r="S1382"/>
  <c r="R1413"/>
  <c r="S1413"/>
  <c r="Q1413"/>
  <c r="Q1411"/>
  <c r="R1411"/>
  <c r="S1411"/>
  <c r="Q1426"/>
  <c r="R1426"/>
  <c r="S1426"/>
  <c r="Q1430"/>
  <c r="R1430"/>
  <c r="S1430"/>
  <c r="Q1438"/>
  <c r="R1438"/>
  <c r="S1438"/>
  <c r="Q1450"/>
  <c r="R1450"/>
  <c r="S1450"/>
  <c r="Q1447"/>
  <c r="R1447"/>
  <c r="S1447"/>
  <c r="Q1466"/>
  <c r="S1466"/>
  <c r="R1466"/>
  <c r="Q1487"/>
  <c r="R1487"/>
  <c r="S1487"/>
  <c r="S1464"/>
  <c r="Q1464"/>
  <c r="R1464"/>
  <c r="Q1463"/>
  <c r="R1463"/>
  <c r="S1463"/>
  <c r="R1465"/>
  <c r="S1465"/>
  <c r="Q1465"/>
  <c r="R1479"/>
  <c r="S1479"/>
  <c r="Q1479"/>
  <c r="R1489"/>
  <c r="S1489"/>
  <c r="Q1489"/>
  <c r="S1472"/>
  <c r="Q1472"/>
  <c r="R1472"/>
  <c r="S1444"/>
  <c r="Q1444"/>
  <c r="R1444"/>
  <c r="Q1490"/>
  <c r="R1490"/>
  <c r="S1490"/>
  <c r="Q1458"/>
  <c r="R1458"/>
  <c r="S1458"/>
  <c r="S169"/>
  <c r="Q169"/>
  <c r="R169"/>
  <c r="Q1446"/>
  <c r="R1446"/>
  <c r="S1446"/>
  <c r="R1467"/>
  <c r="S1467"/>
  <c r="Q1467"/>
  <c r="S1452"/>
  <c r="Q1452"/>
  <c r="R1452"/>
  <c r="R1381"/>
  <c r="S1381"/>
  <c r="Q1381"/>
  <c r="A1285"/>
  <c r="A1288"/>
  <c r="A1291"/>
  <c r="A1289"/>
  <c r="A1357"/>
  <c r="A1402"/>
  <c r="A1404"/>
  <c r="A1406"/>
  <c r="A1396"/>
  <c r="A1400"/>
  <c r="A1394"/>
  <c r="A373"/>
  <c r="A371"/>
  <c r="A369"/>
  <c r="A1370"/>
  <c r="A1374"/>
  <c r="A1386"/>
  <c r="A1414"/>
  <c r="A1417"/>
  <c r="A1423"/>
  <c r="A1410"/>
  <c r="A1416"/>
  <c r="A1428"/>
  <c r="A1431"/>
  <c r="A1436"/>
  <c r="A1440"/>
  <c r="A1491"/>
  <c r="A1384"/>
  <c r="A1429"/>
  <c r="A1378"/>
  <c r="A1441"/>
  <c r="A1492"/>
  <c r="A1457"/>
  <c r="A1474"/>
  <c r="A1483"/>
  <c r="A1476"/>
  <c r="A1462"/>
  <c r="A1442"/>
  <c r="A1482"/>
  <c r="A1477"/>
  <c r="A1475"/>
  <c r="A168"/>
  <c r="A167"/>
  <c r="A1485"/>
  <c r="A1478"/>
  <c r="A1468"/>
  <c r="A1449"/>
  <c r="A1448"/>
  <c r="A1369"/>
  <c r="A1486"/>
  <c r="A1461"/>
  <c r="A1454"/>
  <c r="A1385"/>
  <c r="A1371"/>
  <c r="A1470"/>
  <c r="A1459"/>
  <c r="A1484"/>
  <c r="A1473"/>
  <c r="A1471"/>
  <c r="A1432"/>
  <c r="A1456"/>
  <c r="A1434"/>
  <c r="A1367"/>
  <c r="A1286"/>
  <c r="A1284"/>
  <c r="A1287"/>
  <c r="A1292"/>
  <c r="A1290"/>
  <c r="A1359"/>
  <c r="A1356"/>
  <c r="A1355"/>
  <c r="A1403"/>
  <c r="A1405"/>
  <c r="A1407"/>
  <c r="A1399"/>
  <c r="A1401"/>
  <c r="A1395"/>
  <c r="A372"/>
  <c r="A370"/>
  <c r="A368"/>
  <c r="A1372"/>
  <c r="A1382"/>
  <c r="A1415"/>
  <c r="A1413"/>
  <c r="A1418"/>
  <c r="A1411"/>
  <c r="A1368"/>
  <c r="A1426"/>
  <c r="A1427"/>
  <c r="A1430"/>
  <c r="A1433"/>
  <c r="A1438"/>
  <c r="A1445"/>
  <c r="A1450"/>
  <c r="A1383"/>
  <c r="A1447"/>
  <c r="A1469"/>
  <c r="A1466"/>
  <c r="A1443"/>
  <c r="A1487"/>
  <c r="A1480"/>
  <c r="A1464"/>
  <c r="A1455"/>
  <c r="A1463"/>
  <c r="A1481"/>
  <c r="A1465"/>
  <c r="A170"/>
  <c r="A1479"/>
  <c r="A166"/>
  <c r="A1489"/>
  <c r="A1460"/>
  <c r="A1472"/>
  <c r="A1453"/>
  <c r="A1444"/>
  <c r="A1377"/>
  <c r="A1490"/>
  <c r="A1439"/>
  <c r="A1458"/>
  <c r="A1373"/>
  <c r="A169"/>
  <c r="A1451"/>
  <c r="A1446"/>
  <c r="A1488"/>
  <c r="A1467"/>
  <c r="A1437"/>
  <c r="A1452"/>
  <c r="A1435"/>
  <c r="A1381"/>
  <c r="B1317"/>
  <c r="B1353"/>
  <c r="B1352"/>
  <c r="B1351"/>
  <c r="B1350"/>
  <c r="B1349"/>
  <c r="B1318"/>
  <c r="B1319"/>
  <c r="B1320"/>
  <c r="B1266"/>
  <c r="C1256"/>
  <c r="AD1256" s="1"/>
  <c r="C1312"/>
  <c r="AD1312" s="1"/>
  <c r="C1313"/>
  <c r="AD1313" s="1"/>
  <c r="C1314"/>
  <c r="AD1314" s="1"/>
  <c r="C1315"/>
  <c r="AD1315" s="1"/>
  <c r="C1316"/>
  <c r="AD1316" s="1"/>
  <c r="C1321"/>
  <c r="AD1321" s="1"/>
  <c r="C1322"/>
  <c r="AD1322" s="1"/>
  <c r="C1323"/>
  <c r="AD1323" s="1"/>
  <c r="C1324"/>
  <c r="AD1324" s="1"/>
  <c r="C1303"/>
  <c r="AD1303" s="1"/>
  <c r="C1304"/>
  <c r="AD1304" s="1"/>
  <c r="C1305"/>
  <c r="AD1305" s="1"/>
  <c r="C1306"/>
  <c r="AD1306" s="1"/>
  <c r="C1307"/>
  <c r="AD1307" s="1"/>
  <c r="C1308"/>
  <c r="AD1308" s="1"/>
  <c r="C1309"/>
  <c r="AD1309" s="1"/>
  <c r="C1310"/>
  <c r="AD1310" s="1"/>
  <c r="C1311"/>
  <c r="AD1311" s="1"/>
  <c r="M1297"/>
  <c r="M1298"/>
  <c r="M1299"/>
  <c r="M1300"/>
  <c r="M1301"/>
  <c r="M1302"/>
  <c r="M1294"/>
  <c r="M1295"/>
  <c r="M1296"/>
  <c r="M1293"/>
  <c r="C1294"/>
  <c r="AD1294" s="1"/>
  <c r="C1295"/>
  <c r="AD1295" s="1"/>
  <c r="C1296"/>
  <c r="AD1296" s="1"/>
  <c r="C1297"/>
  <c r="AD1297" s="1"/>
  <c r="C1298"/>
  <c r="AD1298" s="1"/>
  <c r="C1299"/>
  <c r="AD1299" s="1"/>
  <c r="C1300"/>
  <c r="AD1300" s="1"/>
  <c r="C1301"/>
  <c r="AD1301" s="1"/>
  <c r="C1302"/>
  <c r="AD1302" s="1"/>
  <c r="C1293"/>
  <c r="AD1293" s="1"/>
  <c r="M356"/>
  <c r="B356"/>
  <c r="E356"/>
  <c r="B357"/>
  <c r="E357"/>
  <c r="B1274"/>
  <c r="E1274"/>
  <c r="B1275"/>
  <c r="E1275"/>
  <c r="B1264"/>
  <c r="B1265"/>
  <c r="B1270"/>
  <c r="B1271"/>
  <c r="A16" i="12"/>
  <c r="B1282" i="34"/>
  <c r="B1283"/>
  <c r="A19" i="12"/>
  <c r="B1223" i="34"/>
  <c r="B1268"/>
  <c r="B1269"/>
  <c r="E354"/>
  <c r="E355"/>
  <c r="M354"/>
  <c r="B354"/>
  <c r="B355"/>
  <c r="B1263"/>
  <c r="B1249"/>
  <c r="E1249"/>
  <c r="B1278"/>
  <c r="B1257"/>
  <c r="E1257"/>
  <c r="A15" i="12"/>
  <c r="B21" i="55"/>
  <c r="A21" s="1"/>
  <c r="B353" i="34"/>
  <c r="E353"/>
  <c r="M352"/>
  <c r="B352"/>
  <c r="E352"/>
  <c r="B351"/>
  <c r="E351"/>
  <c r="M350"/>
  <c r="B350"/>
  <c r="E350"/>
  <c r="B349"/>
  <c r="E349"/>
  <c r="M348"/>
  <c r="B348"/>
  <c r="E348"/>
  <c r="B347"/>
  <c r="E347"/>
  <c r="B346"/>
  <c r="E346"/>
  <c r="M346"/>
  <c r="M345"/>
  <c r="E345"/>
  <c r="B345"/>
  <c r="E1276"/>
  <c r="B1273"/>
  <c r="E1273"/>
  <c r="E1272"/>
  <c r="B1262"/>
  <c r="E1262"/>
  <c r="E1261"/>
  <c r="E1260"/>
  <c r="E1259"/>
  <c r="E1258"/>
  <c r="B1255"/>
  <c r="E1255"/>
  <c r="E1254"/>
  <c r="B1253"/>
  <c r="E1253"/>
  <c r="B1251"/>
  <c r="E1251"/>
  <c r="B1252"/>
  <c r="E1252"/>
  <c r="B1250"/>
  <c r="E1250"/>
  <c r="Q1251" l="1"/>
  <c r="R1251"/>
  <c r="S1251"/>
  <c r="Q1282"/>
  <c r="R1282"/>
  <c r="S1282"/>
  <c r="S1252"/>
  <c r="Q1252"/>
  <c r="R1252"/>
  <c r="R1253"/>
  <c r="S1253"/>
  <c r="Q1253"/>
  <c r="R1273"/>
  <c r="S1273"/>
  <c r="Q1273"/>
  <c r="Q350"/>
  <c r="R350"/>
  <c r="S350"/>
  <c r="Q353"/>
  <c r="R353"/>
  <c r="S353"/>
  <c r="R1257"/>
  <c r="S1257"/>
  <c r="Q1257"/>
  <c r="S1268"/>
  <c r="Q1268"/>
  <c r="R1268"/>
  <c r="Q1283"/>
  <c r="R1283"/>
  <c r="S1283"/>
  <c r="Q1271"/>
  <c r="R1271"/>
  <c r="S1271"/>
  <c r="Q1266"/>
  <c r="R1266"/>
  <c r="S1266"/>
  <c r="R1349"/>
  <c r="S1349"/>
  <c r="Q1349"/>
  <c r="R1353"/>
  <c r="S1353"/>
  <c r="Q1353"/>
  <c r="Q349"/>
  <c r="R349"/>
  <c r="S349"/>
  <c r="S355"/>
  <c r="Q355"/>
  <c r="R355"/>
  <c r="R1265"/>
  <c r="S1265"/>
  <c r="Q1265"/>
  <c r="Q1262"/>
  <c r="R1262"/>
  <c r="S1262"/>
  <c r="S347"/>
  <c r="R347"/>
  <c r="Q347"/>
  <c r="R352"/>
  <c r="S352"/>
  <c r="Q352"/>
  <c r="R1249"/>
  <c r="S1249"/>
  <c r="Q1249"/>
  <c r="Q1263"/>
  <c r="R1263"/>
  <c r="S1263"/>
  <c r="Q1223"/>
  <c r="R1223"/>
  <c r="S1223"/>
  <c r="Q1270"/>
  <c r="R1270"/>
  <c r="S1270"/>
  <c r="Q1275"/>
  <c r="R1275"/>
  <c r="S1275"/>
  <c r="Q357"/>
  <c r="R357"/>
  <c r="S357"/>
  <c r="S1320"/>
  <c r="Q1320"/>
  <c r="R1320"/>
  <c r="Q1350"/>
  <c r="R1350"/>
  <c r="S1350"/>
  <c r="R1317"/>
  <c r="S1317"/>
  <c r="Q1317"/>
  <c r="Q345"/>
  <c r="S345"/>
  <c r="R345"/>
  <c r="Q1319"/>
  <c r="R1319"/>
  <c r="S1319"/>
  <c r="Q1351"/>
  <c r="R1351"/>
  <c r="S1351"/>
  <c r="Q1250"/>
  <c r="R1250"/>
  <c r="S1250"/>
  <c r="Q1255"/>
  <c r="R1255"/>
  <c r="S1255"/>
  <c r="S346"/>
  <c r="Q346"/>
  <c r="R346"/>
  <c r="R348"/>
  <c r="Q348"/>
  <c r="S348"/>
  <c r="S351"/>
  <c r="Q351"/>
  <c r="R351"/>
  <c r="Q1278"/>
  <c r="R1278"/>
  <c r="S1278"/>
  <c r="Q354"/>
  <c r="R354"/>
  <c r="S354"/>
  <c r="R1269"/>
  <c r="S1269"/>
  <c r="Q1269"/>
  <c r="S1264"/>
  <c r="Q1264"/>
  <c r="R1264"/>
  <c r="Q1274"/>
  <c r="R1274"/>
  <c r="S1274"/>
  <c r="R356"/>
  <c r="S356"/>
  <c r="Q356"/>
  <c r="Q1318"/>
  <c r="R1318"/>
  <c r="S1318"/>
  <c r="S1352"/>
  <c r="Q1352"/>
  <c r="R1352"/>
  <c r="A1255"/>
  <c r="A1262"/>
  <c r="A346"/>
  <c r="A347"/>
  <c r="A348"/>
  <c r="A351"/>
  <c r="A352"/>
  <c r="A1278"/>
  <c r="A1249"/>
  <c r="A1263"/>
  <c r="A354"/>
  <c r="A1269"/>
  <c r="A1223"/>
  <c r="A1270"/>
  <c r="A1264"/>
  <c r="A1275"/>
  <c r="A1274"/>
  <c r="A357"/>
  <c r="A356"/>
  <c r="A1320"/>
  <c r="A1318"/>
  <c r="A1350"/>
  <c r="A1352"/>
  <c r="A1317"/>
  <c r="A1250"/>
  <c r="A1252"/>
  <c r="A1251"/>
  <c r="A1253"/>
  <c r="A1273"/>
  <c r="A345"/>
  <c r="A349"/>
  <c r="A350"/>
  <c r="A353"/>
  <c r="A1257"/>
  <c r="A355"/>
  <c r="A1268"/>
  <c r="A1283"/>
  <c r="A1282"/>
  <c r="A1271"/>
  <c r="A1265"/>
  <c r="A1266"/>
  <c r="A1319"/>
  <c r="A1349"/>
  <c r="A1351"/>
  <c r="A1353"/>
  <c r="B1293"/>
  <c r="B1294"/>
  <c r="B987"/>
  <c r="B1007"/>
  <c r="B1012"/>
  <c r="B1010"/>
  <c r="B1008"/>
  <c r="B992"/>
  <c r="B990"/>
  <c r="B988"/>
  <c r="B1063"/>
  <c r="B1064"/>
  <c r="B1059"/>
  <c r="B1060"/>
  <c r="B1061"/>
  <c r="B1062"/>
  <c r="B985"/>
  <c r="B986"/>
  <c r="B991"/>
  <c r="B1159"/>
  <c r="K165"/>
  <c r="M165" s="1"/>
  <c r="E165"/>
  <c r="B165"/>
  <c r="E132"/>
  <c r="B132"/>
  <c r="E131"/>
  <c r="B131"/>
  <c r="M130"/>
  <c r="M132" s="1"/>
  <c r="E130"/>
  <c r="B130"/>
  <c r="M129"/>
  <c r="M131" s="1"/>
  <c r="E129"/>
  <c r="B129"/>
  <c r="M128"/>
  <c r="E128"/>
  <c r="B128"/>
  <c r="M127"/>
  <c r="E127"/>
  <c r="B127"/>
  <c r="M126"/>
  <c r="E126"/>
  <c r="B126"/>
  <c r="M125"/>
  <c r="E125"/>
  <c r="B125"/>
  <c r="M124"/>
  <c r="E124"/>
  <c r="B124"/>
  <c r="M123"/>
  <c r="E123"/>
  <c r="B123"/>
  <c r="M122"/>
  <c r="E122"/>
  <c r="B122"/>
  <c r="M121"/>
  <c r="E121"/>
  <c r="B121"/>
  <c r="E120"/>
  <c r="B120"/>
  <c r="E119"/>
  <c r="B119"/>
  <c r="E118"/>
  <c r="B118"/>
  <c r="E117"/>
  <c r="B117"/>
  <c r="M116"/>
  <c r="M118" s="1"/>
  <c r="E116"/>
  <c r="B116"/>
  <c r="M115"/>
  <c r="M117" s="1"/>
  <c r="E115"/>
  <c r="B115"/>
  <c r="M114"/>
  <c r="E114"/>
  <c r="B114"/>
  <c r="M113"/>
  <c r="E113"/>
  <c r="B113"/>
  <c r="M112"/>
  <c r="E112"/>
  <c r="B112"/>
  <c r="M111"/>
  <c r="E111"/>
  <c r="B111"/>
  <c r="M110"/>
  <c r="E110"/>
  <c r="B110"/>
  <c r="M109"/>
  <c r="E109"/>
  <c r="B109"/>
  <c r="E108"/>
  <c r="B108"/>
  <c r="E107"/>
  <c r="B107"/>
  <c r="E106"/>
  <c r="B106"/>
  <c r="E105"/>
  <c r="B105"/>
  <c r="E104"/>
  <c r="B104"/>
  <c r="E103"/>
  <c r="B103"/>
  <c r="M102"/>
  <c r="M104" s="1"/>
  <c r="E102"/>
  <c r="B102"/>
  <c r="M101"/>
  <c r="M103" s="1"/>
  <c r="E101"/>
  <c r="B101"/>
  <c r="M100"/>
  <c r="E100"/>
  <c r="B100"/>
  <c r="M99"/>
  <c r="E99"/>
  <c r="B99"/>
  <c r="M98"/>
  <c r="E98"/>
  <c r="B98"/>
  <c r="M97"/>
  <c r="E97"/>
  <c r="B97"/>
  <c r="M96"/>
  <c r="E96"/>
  <c r="B96"/>
  <c r="M95"/>
  <c r="E95"/>
  <c r="B95"/>
  <c r="M94"/>
  <c r="E94"/>
  <c r="B94"/>
  <c r="E93"/>
  <c r="B93"/>
  <c r="E92"/>
  <c r="B92"/>
  <c r="E91"/>
  <c r="B91"/>
  <c r="S91" l="1"/>
  <c r="R91"/>
  <c r="Q91"/>
  <c r="S93"/>
  <c r="Q93"/>
  <c r="R93"/>
  <c r="S97"/>
  <c r="Q97"/>
  <c r="R97"/>
  <c r="S101"/>
  <c r="Q101"/>
  <c r="R101"/>
  <c r="Q104"/>
  <c r="R104"/>
  <c r="S104"/>
  <c r="R106"/>
  <c r="S106"/>
  <c r="Q106"/>
  <c r="S109"/>
  <c r="Q109"/>
  <c r="R109"/>
  <c r="S113"/>
  <c r="Q113"/>
  <c r="R113"/>
  <c r="S117"/>
  <c r="Q117"/>
  <c r="R117"/>
  <c r="Q119"/>
  <c r="R119"/>
  <c r="S119"/>
  <c r="S121"/>
  <c r="Q121"/>
  <c r="R121"/>
  <c r="S125"/>
  <c r="Q125"/>
  <c r="R125"/>
  <c r="S129"/>
  <c r="Q129"/>
  <c r="R129"/>
  <c r="Q132"/>
  <c r="R132"/>
  <c r="S132"/>
  <c r="Q1159"/>
  <c r="R1159"/>
  <c r="S1159"/>
  <c r="R1062"/>
  <c r="S1062"/>
  <c r="Q1062"/>
  <c r="Q1064"/>
  <c r="R1064"/>
  <c r="S1064"/>
  <c r="Q992"/>
  <c r="R992"/>
  <c r="S992"/>
  <c r="Q1007"/>
  <c r="R1007"/>
  <c r="S1007"/>
  <c r="Q96"/>
  <c r="R96"/>
  <c r="S96"/>
  <c r="Q100"/>
  <c r="R100"/>
  <c r="S100"/>
  <c r="Q108"/>
  <c r="R108"/>
  <c r="S108"/>
  <c r="Q112"/>
  <c r="R112"/>
  <c r="S112"/>
  <c r="Q116"/>
  <c r="R116"/>
  <c r="S116"/>
  <c r="Q124"/>
  <c r="R124"/>
  <c r="S124"/>
  <c r="Q128"/>
  <c r="R128"/>
  <c r="S128"/>
  <c r="S165"/>
  <c r="Q165"/>
  <c r="R165"/>
  <c r="Q991"/>
  <c r="R991"/>
  <c r="S991"/>
  <c r="S1061"/>
  <c r="Q1061"/>
  <c r="R1061"/>
  <c r="Q1063"/>
  <c r="R1063"/>
  <c r="S1063"/>
  <c r="Q1008"/>
  <c r="R1008"/>
  <c r="S1008"/>
  <c r="Q987"/>
  <c r="R987"/>
  <c r="S987"/>
  <c r="Q92"/>
  <c r="R92"/>
  <c r="S92"/>
  <c r="Q95"/>
  <c r="R95"/>
  <c r="S95"/>
  <c r="Q99"/>
  <c r="R99"/>
  <c r="S99"/>
  <c r="Q103"/>
  <c r="R103"/>
  <c r="S103"/>
  <c r="S105"/>
  <c r="Q105"/>
  <c r="R105"/>
  <c r="Q107"/>
  <c r="R107"/>
  <c r="S107"/>
  <c r="Q111"/>
  <c r="R111"/>
  <c r="S111"/>
  <c r="Q115"/>
  <c r="R115"/>
  <c r="S115"/>
  <c r="R118"/>
  <c r="S118"/>
  <c r="Q118"/>
  <c r="Q120"/>
  <c r="R120"/>
  <c r="S120"/>
  <c r="Q123"/>
  <c r="R123"/>
  <c r="S123"/>
  <c r="Q127"/>
  <c r="R127"/>
  <c r="S127"/>
  <c r="Q131"/>
  <c r="R131"/>
  <c r="S131"/>
  <c r="R986"/>
  <c r="S986"/>
  <c r="Q986"/>
  <c r="Q1060"/>
  <c r="R1060"/>
  <c r="S1060"/>
  <c r="Q988"/>
  <c r="R988"/>
  <c r="S988"/>
  <c r="R1010"/>
  <c r="S1010"/>
  <c r="Q1010"/>
  <c r="Q1294"/>
  <c r="R1294"/>
  <c r="S1294"/>
  <c r="R94"/>
  <c r="S94"/>
  <c r="Q94"/>
  <c r="R98"/>
  <c r="S98"/>
  <c r="Q98"/>
  <c r="R102"/>
  <c r="S102"/>
  <c r="Q102"/>
  <c r="R110"/>
  <c r="S110"/>
  <c r="Q110"/>
  <c r="R114"/>
  <c r="S114"/>
  <c r="Q114"/>
  <c r="R122"/>
  <c r="S122"/>
  <c r="Q122"/>
  <c r="R126"/>
  <c r="S126"/>
  <c r="Q126"/>
  <c r="R130"/>
  <c r="S130"/>
  <c r="Q130"/>
  <c r="S985"/>
  <c r="Q985"/>
  <c r="R985"/>
  <c r="Q1059"/>
  <c r="R1059"/>
  <c r="S1059"/>
  <c r="R990"/>
  <c r="S990"/>
  <c r="Q990"/>
  <c r="Q1012"/>
  <c r="R1012"/>
  <c r="S1012"/>
  <c r="R1293"/>
  <c r="S1293"/>
  <c r="Q1293"/>
  <c r="A91"/>
  <c r="A92"/>
  <c r="A93"/>
  <c r="A95"/>
  <c r="A97"/>
  <c r="A99"/>
  <c r="A101"/>
  <c r="A103"/>
  <c r="A104"/>
  <c r="A105"/>
  <c r="A106"/>
  <c r="A107"/>
  <c r="A109"/>
  <c r="A111"/>
  <c r="A113"/>
  <c r="A115"/>
  <c r="A117"/>
  <c r="A118"/>
  <c r="A119"/>
  <c r="A120"/>
  <c r="A121"/>
  <c r="A123"/>
  <c r="A125"/>
  <c r="A127"/>
  <c r="A129"/>
  <c r="A131"/>
  <c r="A132"/>
  <c r="A165"/>
  <c r="A991"/>
  <c r="A985"/>
  <c r="A1061"/>
  <c r="A1059"/>
  <c r="A1063"/>
  <c r="A990"/>
  <c r="A1008"/>
  <c r="A1012"/>
  <c r="A987"/>
  <c r="A1293"/>
  <c r="A94"/>
  <c r="A96"/>
  <c r="A98"/>
  <c r="A100"/>
  <c r="A102"/>
  <c r="A108"/>
  <c r="A110"/>
  <c r="A112"/>
  <c r="A114"/>
  <c r="A116"/>
  <c r="A122"/>
  <c r="A124"/>
  <c r="A126"/>
  <c r="A128"/>
  <c r="A130"/>
  <c r="A1159"/>
  <c r="A986"/>
  <c r="A1062"/>
  <c r="A1060"/>
  <c r="A1064"/>
  <c r="A988"/>
  <c r="A992"/>
  <c r="A1010"/>
  <c r="A1007"/>
  <c r="A1294"/>
  <c r="A70" i="60"/>
  <c r="D70"/>
  <c r="A71"/>
  <c r="D71"/>
  <c r="G71" s="1"/>
  <c r="M1009" i="34"/>
  <c r="C1067"/>
  <c r="AD1067" s="1"/>
  <c r="C1248"/>
  <c r="AD1248" s="1"/>
  <c r="C1247"/>
  <c r="AD1247" s="1"/>
  <c r="C1246"/>
  <c r="AD1246" s="1"/>
  <c r="C1245"/>
  <c r="AD1245" s="1"/>
  <c r="C1244"/>
  <c r="AD1244" s="1"/>
  <c r="B1174"/>
  <c r="E1174"/>
  <c r="B1175"/>
  <c r="E1175"/>
  <c r="B1172"/>
  <c r="E1172"/>
  <c r="B1173"/>
  <c r="E1173"/>
  <c r="R1173" l="1"/>
  <c r="S1173"/>
  <c r="Q1173"/>
  <c r="Q1175"/>
  <c r="R1175"/>
  <c r="S1175"/>
  <c r="S1172"/>
  <c r="Q1172"/>
  <c r="R1172"/>
  <c r="Q1174"/>
  <c r="R1174"/>
  <c r="S1174"/>
  <c r="A1173"/>
  <c r="A1172"/>
  <c r="A1175"/>
  <c r="A1174"/>
  <c r="G70" i="60"/>
  <c r="B1245" i="34"/>
  <c r="B1247"/>
  <c r="B1244"/>
  <c r="B1246"/>
  <c r="B1248"/>
  <c r="E1229"/>
  <c r="B1229"/>
  <c r="E68" i="60"/>
  <c r="D68"/>
  <c r="D69"/>
  <c r="N50"/>
  <c r="M344" i="34"/>
  <c r="E344"/>
  <c r="B344"/>
  <c r="E210"/>
  <c r="M210"/>
  <c r="B210"/>
  <c r="C515"/>
  <c r="AD515" s="1"/>
  <c r="C516"/>
  <c r="AD516" s="1"/>
  <c r="C517"/>
  <c r="AD517" s="1"/>
  <c r="C518"/>
  <c r="AD518" s="1"/>
  <c r="C519"/>
  <c r="AD519" s="1"/>
  <c r="C520"/>
  <c r="AD520" s="1"/>
  <c r="C521"/>
  <c r="AD521" s="1"/>
  <c r="M521"/>
  <c r="M520"/>
  <c r="M519"/>
  <c r="M518"/>
  <c r="M517"/>
  <c r="M516"/>
  <c r="M515"/>
  <c r="M332"/>
  <c r="E333"/>
  <c r="E1171"/>
  <c r="E332"/>
  <c r="A50" i="60"/>
  <c r="D49"/>
  <c r="G49" s="1"/>
  <c r="M342" i="34"/>
  <c r="E342"/>
  <c r="B342"/>
  <c r="E335"/>
  <c r="E337"/>
  <c r="E338"/>
  <c r="E339"/>
  <c r="E340"/>
  <c r="E341"/>
  <c r="E343"/>
  <c r="E334"/>
  <c r="M343"/>
  <c r="B343"/>
  <c r="M341"/>
  <c r="B341"/>
  <c r="M340"/>
  <c r="M339"/>
  <c r="B339"/>
  <c r="M338"/>
  <c r="B338"/>
  <c r="M337"/>
  <c r="B337"/>
  <c r="M335"/>
  <c r="M334"/>
  <c r="B334"/>
  <c r="M211"/>
  <c r="C211"/>
  <c r="AD211" s="1"/>
  <c r="S339" l="1"/>
  <c r="Q339"/>
  <c r="R339"/>
  <c r="R1229"/>
  <c r="S1229"/>
  <c r="Q1229"/>
  <c r="S1244"/>
  <c r="Q1244"/>
  <c r="R1244"/>
  <c r="S343"/>
  <c r="R343"/>
  <c r="Q343"/>
  <c r="R344"/>
  <c r="Q344"/>
  <c r="S344"/>
  <c r="Q1247"/>
  <c r="R1247"/>
  <c r="S1247"/>
  <c r="Q337"/>
  <c r="R337"/>
  <c r="S337"/>
  <c r="Q334"/>
  <c r="R334"/>
  <c r="S334"/>
  <c r="Q338"/>
  <c r="R338"/>
  <c r="S338"/>
  <c r="Q210"/>
  <c r="R210"/>
  <c r="S210"/>
  <c r="S1248"/>
  <c r="Q1248"/>
  <c r="R1248"/>
  <c r="R1245"/>
  <c r="S1245"/>
  <c r="Q1245"/>
  <c r="Q341"/>
  <c r="S341"/>
  <c r="R341"/>
  <c r="S342"/>
  <c r="Q342"/>
  <c r="R342"/>
  <c r="Q1246"/>
  <c r="R1246"/>
  <c r="S1246"/>
  <c r="A338"/>
  <c r="A334"/>
  <c r="A341"/>
  <c r="A343"/>
  <c r="A342"/>
  <c r="A344"/>
  <c r="A1246"/>
  <c r="A1247"/>
  <c r="A337"/>
  <c r="A339"/>
  <c r="A210"/>
  <c r="A1229"/>
  <c r="A1248"/>
  <c r="A1244"/>
  <c r="A1245"/>
  <c r="B515"/>
  <c r="B520"/>
  <c r="B516"/>
  <c r="B517"/>
  <c r="B519"/>
  <c r="G69" i="60"/>
  <c r="B518" i="34"/>
  <c r="B521"/>
  <c r="B211"/>
  <c r="B335"/>
  <c r="B340"/>
  <c r="B331"/>
  <c r="B330"/>
  <c r="B326"/>
  <c r="B327"/>
  <c r="Q518" l="1"/>
  <c r="R518"/>
  <c r="S518"/>
  <c r="S331"/>
  <c r="Q331"/>
  <c r="R331"/>
  <c r="Q521"/>
  <c r="R521"/>
  <c r="S521"/>
  <c r="Q517"/>
  <c r="R517"/>
  <c r="S517"/>
  <c r="S327"/>
  <c r="Q327"/>
  <c r="R327"/>
  <c r="R516"/>
  <c r="Q516"/>
  <c r="S516"/>
  <c r="Q326"/>
  <c r="R326"/>
  <c r="S326"/>
  <c r="S335"/>
  <c r="Q335"/>
  <c r="R335"/>
  <c r="R520"/>
  <c r="Q520"/>
  <c r="S520"/>
  <c r="R340"/>
  <c r="S340"/>
  <c r="Q340"/>
  <c r="Q330"/>
  <c r="R330"/>
  <c r="S330"/>
  <c r="S211"/>
  <c r="Q211"/>
  <c r="R211"/>
  <c r="S519"/>
  <c r="Q519"/>
  <c r="R519"/>
  <c r="S515"/>
  <c r="Q515"/>
  <c r="R515"/>
  <c r="A326"/>
  <c r="A335"/>
  <c r="A517"/>
  <c r="A327"/>
  <c r="A330"/>
  <c r="A340"/>
  <c r="A211"/>
  <c r="A518"/>
  <c r="A519"/>
  <c r="A516"/>
  <c r="A515"/>
  <c r="A331"/>
  <c r="A521"/>
  <c r="A520"/>
  <c r="J42" i="69"/>
  <c r="A4"/>
  <c r="B981" i="34" l="1"/>
  <c r="B982"/>
  <c r="B983"/>
  <c r="B984"/>
  <c r="B989"/>
  <c r="B993"/>
  <c r="B994"/>
  <c r="B995"/>
  <c r="B996"/>
  <c r="B997"/>
  <c r="B998"/>
  <c r="B999"/>
  <c r="B1000"/>
  <c r="B1001"/>
  <c r="B1002"/>
  <c r="B1003"/>
  <c r="B1004"/>
  <c r="B1005"/>
  <c r="B1006"/>
  <c r="B1009"/>
  <c r="B1011"/>
  <c r="B1013"/>
  <c r="B1014"/>
  <c r="B1015"/>
  <c r="B1016"/>
  <c r="B1018"/>
  <c r="B1019"/>
  <c r="B1020"/>
  <c r="B1021"/>
  <c r="B1022"/>
  <c r="B1017"/>
  <c r="B1023"/>
  <c r="B1024"/>
  <c r="B1025"/>
  <c r="B1026"/>
  <c r="B1027"/>
  <c r="B1028"/>
  <c r="B1029"/>
  <c r="B1030"/>
  <c r="B1031"/>
  <c r="B1032"/>
  <c r="B1033"/>
  <c r="B1035"/>
  <c r="B1036"/>
  <c r="B1037"/>
  <c r="B1038"/>
  <c r="B1039"/>
  <c r="B1040"/>
  <c r="B1041"/>
  <c r="B1034"/>
  <c r="B1042"/>
  <c r="B1043"/>
  <c r="B1044"/>
  <c r="B1045"/>
  <c r="B1046"/>
  <c r="B1048"/>
  <c r="B1049"/>
  <c r="B1047"/>
  <c r="B1050"/>
  <c r="B1051"/>
  <c r="B1052"/>
  <c r="B1053"/>
  <c r="B1054"/>
  <c r="B1055"/>
  <c r="B1056"/>
  <c r="B1057"/>
  <c r="B1058"/>
  <c r="B1065"/>
  <c r="B1066"/>
  <c r="B1104"/>
  <c r="B1068"/>
  <c r="B1069"/>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2"/>
  <c r="B1103"/>
  <c r="B1105"/>
  <c r="B1106"/>
  <c r="B1107"/>
  <c r="B1108"/>
  <c r="B1109"/>
  <c r="B1110"/>
  <c r="B1111"/>
  <c r="B1112"/>
  <c r="B1113"/>
  <c r="B1114"/>
  <c r="B1115"/>
  <c r="B1116"/>
  <c r="B1117"/>
  <c r="B1118"/>
  <c r="B1119"/>
  <c r="B1120"/>
  <c r="B1121"/>
  <c r="B1122"/>
  <c r="B1123"/>
  <c r="B1124"/>
  <c r="B1125"/>
  <c r="B1126"/>
  <c r="B1127"/>
  <c r="B1128"/>
  <c r="B1129"/>
  <c r="B1130"/>
  <c r="B1131"/>
  <c r="B1132"/>
  <c r="B1133"/>
  <c r="B1134"/>
  <c r="B1135"/>
  <c r="B1137"/>
  <c r="B1138"/>
  <c r="B1139"/>
  <c r="B1140"/>
  <c r="B1141"/>
  <c r="B1142"/>
  <c r="B1143"/>
  <c r="B1144"/>
  <c r="B1145"/>
  <c r="B1146"/>
  <c r="B1147"/>
  <c r="B1148"/>
  <c r="B1149"/>
  <c r="B1150"/>
  <c r="B1151"/>
  <c r="B1152"/>
  <c r="B1153"/>
  <c r="B1154"/>
  <c r="B1155"/>
  <c r="B1156"/>
  <c r="B1157"/>
  <c r="B1158"/>
  <c r="B1160"/>
  <c r="B1161"/>
  <c r="B1162"/>
  <c r="B1163"/>
  <c r="B1164"/>
  <c r="B1165"/>
  <c r="B1166"/>
  <c r="B1167"/>
  <c r="B1168"/>
  <c r="B1169"/>
  <c r="B1170"/>
  <c r="B1176"/>
  <c r="B332"/>
  <c r="B333"/>
  <c r="B1171"/>
  <c r="B1254"/>
  <c r="M79"/>
  <c r="E90"/>
  <c r="E89"/>
  <c r="M88"/>
  <c r="M90" s="1"/>
  <c r="E88"/>
  <c r="M87"/>
  <c r="M89" s="1"/>
  <c r="E87"/>
  <c r="M86"/>
  <c r="E86"/>
  <c r="M85"/>
  <c r="E85"/>
  <c r="M84"/>
  <c r="E84"/>
  <c r="M83"/>
  <c r="E83"/>
  <c r="M82"/>
  <c r="E82"/>
  <c r="M81"/>
  <c r="E81"/>
  <c r="M80"/>
  <c r="E80"/>
  <c r="E79"/>
  <c r="E78"/>
  <c r="E77"/>
  <c r="E76"/>
  <c r="E75"/>
  <c r="M74"/>
  <c r="M76" s="1"/>
  <c r="E74"/>
  <c r="M73"/>
  <c r="M75" s="1"/>
  <c r="E73"/>
  <c r="M72"/>
  <c r="E72"/>
  <c r="M71"/>
  <c r="E71"/>
  <c r="M70"/>
  <c r="E70"/>
  <c r="M69"/>
  <c r="E69"/>
  <c r="M68"/>
  <c r="E68"/>
  <c r="M67"/>
  <c r="E67"/>
  <c r="M66"/>
  <c r="E66"/>
  <c r="M65"/>
  <c r="E65"/>
  <c r="E64"/>
  <c r="E63"/>
  <c r="E62"/>
  <c r="E61"/>
  <c r="M60"/>
  <c r="M62" s="1"/>
  <c r="E60"/>
  <c r="M59"/>
  <c r="M61" s="1"/>
  <c r="E59"/>
  <c r="M58"/>
  <c r="E58"/>
  <c r="M57"/>
  <c r="E57"/>
  <c r="M56"/>
  <c r="E56"/>
  <c r="M55"/>
  <c r="E55"/>
  <c r="M54"/>
  <c r="E54"/>
  <c r="M53"/>
  <c r="E53"/>
  <c r="M52"/>
  <c r="E52"/>
  <c r="M51"/>
  <c r="E51"/>
  <c r="E50"/>
  <c r="E49"/>
  <c r="R332" l="1"/>
  <c r="S332"/>
  <c r="Q332"/>
  <c r="S1168"/>
  <c r="Q1168"/>
  <c r="R1168"/>
  <c r="S1164"/>
  <c r="Q1164"/>
  <c r="R1164"/>
  <c r="S1160"/>
  <c r="Q1160"/>
  <c r="R1160"/>
  <c r="Q1155"/>
  <c r="R1155"/>
  <c r="S1155"/>
  <c r="Q1151"/>
  <c r="R1151"/>
  <c r="S1151"/>
  <c r="Q1147"/>
  <c r="R1147"/>
  <c r="S1147"/>
  <c r="Q1143"/>
  <c r="R1143"/>
  <c r="S1143"/>
  <c r="Q1139"/>
  <c r="R1139"/>
  <c r="S1139"/>
  <c r="Q1134"/>
  <c r="R1134"/>
  <c r="S1134"/>
  <c r="Q1130"/>
  <c r="R1130"/>
  <c r="S1130"/>
  <c r="R1126"/>
  <c r="Q1126"/>
  <c r="S1126"/>
  <c r="R1122"/>
  <c r="Q1122"/>
  <c r="S1122"/>
  <c r="R1118"/>
  <c r="S1118"/>
  <c r="Q1118"/>
  <c r="R1114"/>
  <c r="S1114"/>
  <c r="Q1114"/>
  <c r="R1110"/>
  <c r="S1110"/>
  <c r="Q1110"/>
  <c r="R1106"/>
  <c r="S1106"/>
  <c r="Q1106"/>
  <c r="S1101"/>
  <c r="Q1101"/>
  <c r="R1101"/>
  <c r="S1097"/>
  <c r="Q1097"/>
  <c r="R1097"/>
  <c r="S1093"/>
  <c r="Q1093"/>
  <c r="R1093"/>
  <c r="S1089"/>
  <c r="Q1089"/>
  <c r="R1089"/>
  <c r="S1085"/>
  <c r="Q1085"/>
  <c r="R1085"/>
  <c r="S1081"/>
  <c r="Q1081"/>
  <c r="R1081"/>
  <c r="S1077"/>
  <c r="Q1077"/>
  <c r="R1077"/>
  <c r="S1073"/>
  <c r="Q1073"/>
  <c r="R1073"/>
  <c r="S1069"/>
  <c r="Q1069"/>
  <c r="R1069"/>
  <c r="S1065"/>
  <c r="Q1065"/>
  <c r="R1065"/>
  <c r="Q1055"/>
  <c r="R1055"/>
  <c r="S1055"/>
  <c r="Q1051"/>
  <c r="R1051"/>
  <c r="S1051"/>
  <c r="Q1048"/>
  <c r="R1048"/>
  <c r="S1048"/>
  <c r="Q1043"/>
  <c r="R1043"/>
  <c r="S1043"/>
  <c r="Q1040"/>
  <c r="R1040"/>
  <c r="S1040"/>
  <c r="Q1036"/>
  <c r="R1036"/>
  <c r="S1036"/>
  <c r="Q1031"/>
  <c r="R1031"/>
  <c r="S1031"/>
  <c r="Q1027"/>
  <c r="R1027"/>
  <c r="S1027"/>
  <c r="Q1023"/>
  <c r="R1023"/>
  <c r="S1023"/>
  <c r="Q1020"/>
  <c r="R1020"/>
  <c r="S1020"/>
  <c r="Q1015"/>
  <c r="R1015"/>
  <c r="S1015"/>
  <c r="S1009"/>
  <c r="Q1009"/>
  <c r="R1009"/>
  <c r="Q1003"/>
  <c r="R1003"/>
  <c r="S1003"/>
  <c r="Q999"/>
  <c r="R999"/>
  <c r="S999"/>
  <c r="Q995"/>
  <c r="R995"/>
  <c r="S995"/>
  <c r="Q984"/>
  <c r="R984"/>
  <c r="S984"/>
  <c r="Q1254"/>
  <c r="R1254"/>
  <c r="S1254"/>
  <c r="S1176"/>
  <c r="Q1176"/>
  <c r="R1176"/>
  <c r="Q1167"/>
  <c r="R1167"/>
  <c r="S1167"/>
  <c r="Q1163"/>
  <c r="R1163"/>
  <c r="S1163"/>
  <c r="Q1158"/>
  <c r="R1158"/>
  <c r="S1158"/>
  <c r="Q1154"/>
  <c r="R1154"/>
  <c r="S1154"/>
  <c r="Q1150"/>
  <c r="R1150"/>
  <c r="S1150"/>
  <c r="Q1146"/>
  <c r="R1146"/>
  <c r="S1146"/>
  <c r="Q1142"/>
  <c r="R1142"/>
  <c r="S1142"/>
  <c r="Q1138"/>
  <c r="R1138"/>
  <c r="S1138"/>
  <c r="R1133"/>
  <c r="S1133"/>
  <c r="Q1133"/>
  <c r="R1129"/>
  <c r="Q1129"/>
  <c r="S1129"/>
  <c r="S1125"/>
  <c r="Q1125"/>
  <c r="R1125"/>
  <c r="S1121"/>
  <c r="Q1121"/>
  <c r="R1121"/>
  <c r="S1117"/>
  <c r="Q1117"/>
  <c r="R1117"/>
  <c r="S1113"/>
  <c r="Q1113"/>
  <c r="R1113"/>
  <c r="S1109"/>
  <c r="Q1109"/>
  <c r="R1109"/>
  <c r="S1105"/>
  <c r="Q1105"/>
  <c r="R1105"/>
  <c r="Q1100"/>
  <c r="R1100"/>
  <c r="S1100"/>
  <c r="Q1096"/>
  <c r="R1096"/>
  <c r="S1096"/>
  <c r="Q1092"/>
  <c r="R1092"/>
  <c r="S1092"/>
  <c r="Q1088"/>
  <c r="R1088"/>
  <c r="S1088"/>
  <c r="Q1084"/>
  <c r="R1084"/>
  <c r="S1084"/>
  <c r="Q1080"/>
  <c r="R1080"/>
  <c r="S1080"/>
  <c r="Q1076"/>
  <c r="R1076"/>
  <c r="S1076"/>
  <c r="Q1072"/>
  <c r="R1072"/>
  <c r="S1072"/>
  <c r="Q1068"/>
  <c r="R1068"/>
  <c r="S1068"/>
  <c r="R1058"/>
  <c r="S1058"/>
  <c r="Q1058"/>
  <c r="R1054"/>
  <c r="S1054"/>
  <c r="Q1054"/>
  <c r="R1050"/>
  <c r="S1050"/>
  <c r="Q1050"/>
  <c r="R1046"/>
  <c r="S1046"/>
  <c r="Q1046"/>
  <c r="R1042"/>
  <c r="S1042"/>
  <c r="Q1042"/>
  <c r="Q1039"/>
  <c r="R1039"/>
  <c r="S1039"/>
  <c r="Q1035"/>
  <c r="R1035"/>
  <c r="S1035"/>
  <c r="R1030"/>
  <c r="S1030"/>
  <c r="Q1030"/>
  <c r="R1026"/>
  <c r="S1026"/>
  <c r="Q1026"/>
  <c r="S1017"/>
  <c r="Q1017"/>
  <c r="R1017"/>
  <c r="Q1019"/>
  <c r="R1019"/>
  <c r="S1019"/>
  <c r="R1014"/>
  <c r="S1014"/>
  <c r="Q1014"/>
  <c r="R1006"/>
  <c r="S1006"/>
  <c r="Q1006"/>
  <c r="R1002"/>
  <c r="S1002"/>
  <c r="Q1002"/>
  <c r="R998"/>
  <c r="S998"/>
  <c r="Q998"/>
  <c r="R994"/>
  <c r="S994"/>
  <c r="Q994"/>
  <c r="Q983"/>
  <c r="R983"/>
  <c r="S983"/>
  <c r="Q1171"/>
  <c r="R1171"/>
  <c r="S1171"/>
  <c r="Q1170"/>
  <c r="R1170"/>
  <c r="S1170"/>
  <c r="Q1166"/>
  <c r="R1166"/>
  <c r="S1166"/>
  <c r="Q1162"/>
  <c r="R1162"/>
  <c r="S1162"/>
  <c r="R1157"/>
  <c r="S1157"/>
  <c r="Q1157"/>
  <c r="R1153"/>
  <c r="S1153"/>
  <c r="Q1153"/>
  <c r="R1149"/>
  <c r="S1149"/>
  <c r="Q1149"/>
  <c r="R1145"/>
  <c r="S1145"/>
  <c r="Q1145"/>
  <c r="R1141"/>
  <c r="S1141"/>
  <c r="Q1141"/>
  <c r="R1137"/>
  <c r="S1137"/>
  <c r="Q1137"/>
  <c r="S1132"/>
  <c r="Q1132"/>
  <c r="R1132"/>
  <c r="S1128"/>
  <c r="Q1128"/>
  <c r="R1128"/>
  <c r="R1124"/>
  <c r="S1124"/>
  <c r="Q1124"/>
  <c r="Q1120"/>
  <c r="R1120"/>
  <c r="S1120"/>
  <c r="Q1116"/>
  <c r="R1116"/>
  <c r="S1116"/>
  <c r="Q1112"/>
  <c r="R1112"/>
  <c r="S1112"/>
  <c r="Q1108"/>
  <c r="R1108"/>
  <c r="S1108"/>
  <c r="Q1103"/>
  <c r="R1103"/>
  <c r="S1103"/>
  <c r="Q1099"/>
  <c r="R1099"/>
  <c r="S1099"/>
  <c r="Q1095"/>
  <c r="R1095"/>
  <c r="S1095"/>
  <c r="Q1091"/>
  <c r="R1091"/>
  <c r="S1091"/>
  <c r="Q1087"/>
  <c r="R1087"/>
  <c r="S1087"/>
  <c r="Q1083"/>
  <c r="R1083"/>
  <c r="S1083"/>
  <c r="Q1079"/>
  <c r="R1079"/>
  <c r="S1079"/>
  <c r="Q1075"/>
  <c r="R1075"/>
  <c r="S1075"/>
  <c r="Q1071"/>
  <c r="R1071"/>
  <c r="S1071"/>
  <c r="Q1104"/>
  <c r="R1104"/>
  <c r="S1104"/>
  <c r="S1057"/>
  <c r="Q1057"/>
  <c r="R1057"/>
  <c r="S1053"/>
  <c r="Q1053"/>
  <c r="R1053"/>
  <c r="Q1047"/>
  <c r="R1047"/>
  <c r="S1047"/>
  <c r="S1045"/>
  <c r="Q1045"/>
  <c r="R1045"/>
  <c r="R1034"/>
  <c r="S1034"/>
  <c r="Q1034"/>
  <c r="R1038"/>
  <c r="S1038"/>
  <c r="Q1038"/>
  <c r="S1033"/>
  <c r="Q1033"/>
  <c r="R1033"/>
  <c r="S1029"/>
  <c r="Q1029"/>
  <c r="R1029"/>
  <c r="S1025"/>
  <c r="Q1025"/>
  <c r="R1025"/>
  <c r="R1022"/>
  <c r="S1022"/>
  <c r="Q1022"/>
  <c r="R1018"/>
  <c r="S1018"/>
  <c r="Q1018"/>
  <c r="S1013"/>
  <c r="Q1013"/>
  <c r="R1013"/>
  <c r="S1005"/>
  <c r="Q1005"/>
  <c r="R1005"/>
  <c r="S1001"/>
  <c r="Q1001"/>
  <c r="R1001"/>
  <c r="S997"/>
  <c r="Q997"/>
  <c r="R997"/>
  <c r="S993"/>
  <c r="Q993"/>
  <c r="R993"/>
  <c r="R982"/>
  <c r="S982"/>
  <c r="Q982"/>
  <c r="Q333"/>
  <c r="R333"/>
  <c r="S333"/>
  <c r="R1169"/>
  <c r="S1169"/>
  <c r="Q1169"/>
  <c r="R1165"/>
  <c r="S1165"/>
  <c r="Q1165"/>
  <c r="R1161"/>
  <c r="S1161"/>
  <c r="Q1161"/>
  <c r="S1156"/>
  <c r="Q1156"/>
  <c r="R1156"/>
  <c r="S1152"/>
  <c r="Q1152"/>
  <c r="R1152"/>
  <c r="S1148"/>
  <c r="Q1148"/>
  <c r="R1148"/>
  <c r="S1144"/>
  <c r="Q1144"/>
  <c r="R1144"/>
  <c r="S1140"/>
  <c r="Q1140"/>
  <c r="R1140"/>
  <c r="Q1135"/>
  <c r="R1135"/>
  <c r="S1135"/>
  <c r="Q1131"/>
  <c r="R1131"/>
  <c r="S1131"/>
  <c r="Q1127"/>
  <c r="R1127"/>
  <c r="S1127"/>
  <c r="Q1123"/>
  <c r="S1123"/>
  <c r="R1123"/>
  <c r="Q1119"/>
  <c r="R1119"/>
  <c r="S1119"/>
  <c r="Q1115"/>
  <c r="R1115"/>
  <c r="S1115"/>
  <c r="Q1111"/>
  <c r="R1111"/>
  <c r="S1111"/>
  <c r="Q1107"/>
  <c r="R1107"/>
  <c r="S1107"/>
  <c r="R1102"/>
  <c r="S1102"/>
  <c r="Q1102"/>
  <c r="R1098"/>
  <c r="S1098"/>
  <c r="Q1098"/>
  <c r="R1094"/>
  <c r="S1094"/>
  <c r="Q1094"/>
  <c r="R1090"/>
  <c r="S1090"/>
  <c r="Q1090"/>
  <c r="R1086"/>
  <c r="S1086"/>
  <c r="Q1086"/>
  <c r="R1082"/>
  <c r="S1082"/>
  <c r="Q1082"/>
  <c r="R1078"/>
  <c r="S1078"/>
  <c r="Q1078"/>
  <c r="R1074"/>
  <c r="S1074"/>
  <c r="Q1074"/>
  <c r="R1070"/>
  <c r="S1070"/>
  <c r="Q1070"/>
  <c r="R1066"/>
  <c r="S1066"/>
  <c r="Q1066"/>
  <c r="Q1056"/>
  <c r="R1056"/>
  <c r="S1056"/>
  <c r="Q1052"/>
  <c r="R1052"/>
  <c r="S1052"/>
  <c r="S1049"/>
  <c r="Q1049"/>
  <c r="R1049"/>
  <c r="Q1044"/>
  <c r="R1044"/>
  <c r="S1044"/>
  <c r="S1041"/>
  <c r="Q1041"/>
  <c r="R1041"/>
  <c r="S1037"/>
  <c r="Q1037"/>
  <c r="R1037"/>
  <c r="Q1032"/>
  <c r="R1032"/>
  <c r="S1032"/>
  <c r="Q1028"/>
  <c r="R1028"/>
  <c r="S1028"/>
  <c r="Q1024"/>
  <c r="R1024"/>
  <c r="S1024"/>
  <c r="S1021"/>
  <c r="Q1021"/>
  <c r="R1021"/>
  <c r="Q1016"/>
  <c r="R1016"/>
  <c r="S1016"/>
  <c r="Q1011"/>
  <c r="R1011"/>
  <c r="S1011"/>
  <c r="Q1004"/>
  <c r="R1004"/>
  <c r="S1004"/>
  <c r="Q1000"/>
  <c r="R1000"/>
  <c r="S1000"/>
  <c r="Q996"/>
  <c r="R996"/>
  <c r="S996"/>
  <c r="S989"/>
  <c r="Q989"/>
  <c r="R989"/>
  <c r="S981"/>
  <c r="Q981"/>
  <c r="R981"/>
  <c r="A1254"/>
  <c r="A333"/>
  <c r="A1176"/>
  <c r="A1169"/>
  <c r="A1167"/>
  <c r="A1165"/>
  <c r="A1163"/>
  <c r="A1161"/>
  <c r="A1158"/>
  <c r="A1156"/>
  <c r="A1154"/>
  <c r="A1152"/>
  <c r="A1150"/>
  <c r="A1148"/>
  <c r="A1146"/>
  <c r="A1144"/>
  <c r="A1142"/>
  <c r="A1140"/>
  <c r="A1138"/>
  <c r="A1135"/>
  <c r="A1133"/>
  <c r="A1131"/>
  <c r="A1129"/>
  <c r="A1127"/>
  <c r="A1125"/>
  <c r="A1123"/>
  <c r="A1121"/>
  <c r="A1119"/>
  <c r="A1117"/>
  <c r="A1115"/>
  <c r="A1113"/>
  <c r="A1111"/>
  <c r="A1109"/>
  <c r="A1107"/>
  <c r="A1105"/>
  <c r="A1102"/>
  <c r="A1100"/>
  <c r="A1098"/>
  <c r="A1096"/>
  <c r="A1094"/>
  <c r="A1092"/>
  <c r="A1090"/>
  <c r="A1088"/>
  <c r="A1086"/>
  <c r="A1084"/>
  <c r="A1082"/>
  <c r="A1080"/>
  <c r="A1078"/>
  <c r="A1076"/>
  <c r="A1074"/>
  <c r="A1072"/>
  <c r="A1070"/>
  <c r="A1068"/>
  <c r="A1066"/>
  <c r="A1058"/>
  <c r="A1056"/>
  <c r="A1054"/>
  <c r="A1052"/>
  <c r="A1050"/>
  <c r="A1049"/>
  <c r="A1046"/>
  <c r="A1044"/>
  <c r="A1042"/>
  <c r="A1041"/>
  <c r="A1039"/>
  <c r="A1037"/>
  <c r="A1035"/>
  <c r="A1032"/>
  <c r="A1030"/>
  <c r="A1028"/>
  <c r="A1026"/>
  <c r="A1024"/>
  <c r="A1017"/>
  <c r="A1021"/>
  <c r="A1019"/>
  <c r="A1016"/>
  <c r="A1014"/>
  <c r="A1011"/>
  <c r="A1006"/>
  <c r="A1004"/>
  <c r="A1002"/>
  <c r="A1000"/>
  <c r="A998"/>
  <c r="A996"/>
  <c r="A994"/>
  <c r="A989"/>
  <c r="A983"/>
  <c r="A981"/>
  <c r="A1171"/>
  <c r="A332"/>
  <c r="A1170"/>
  <c r="A1168"/>
  <c r="A1166"/>
  <c r="A1164"/>
  <c r="A1162"/>
  <c r="A1160"/>
  <c r="A1157"/>
  <c r="A1155"/>
  <c r="A1153"/>
  <c r="A1151"/>
  <c r="A1149"/>
  <c r="A1147"/>
  <c r="A1145"/>
  <c r="A1143"/>
  <c r="A1141"/>
  <c r="A1139"/>
  <c r="A1137"/>
  <c r="A1134"/>
  <c r="A1132"/>
  <c r="A1130"/>
  <c r="A1128"/>
  <c r="A1126"/>
  <c r="A1124"/>
  <c r="A1122"/>
  <c r="A1120"/>
  <c r="A1118"/>
  <c r="A1116"/>
  <c r="A1114"/>
  <c r="A1112"/>
  <c r="A1110"/>
  <c r="A1108"/>
  <c r="A1106"/>
  <c r="A1103"/>
  <c r="A1101"/>
  <c r="A1099"/>
  <c r="A1097"/>
  <c r="A1095"/>
  <c r="A1093"/>
  <c r="A1091"/>
  <c r="A1089"/>
  <c r="A1087"/>
  <c r="A1085"/>
  <c r="A1083"/>
  <c r="A1081"/>
  <c r="A1079"/>
  <c r="A1077"/>
  <c r="A1075"/>
  <c r="A1073"/>
  <c r="A1071"/>
  <c r="A1069"/>
  <c r="A1104"/>
  <c r="A1065"/>
  <c r="A1057"/>
  <c r="A1055"/>
  <c r="A1053"/>
  <c r="A1051"/>
  <c r="A1047"/>
  <c r="A1048"/>
  <c r="A1045"/>
  <c r="A1043"/>
  <c r="A1034"/>
  <c r="A1040"/>
  <c r="A1038"/>
  <c r="A1036"/>
  <c r="A1033"/>
  <c r="A1031"/>
  <c r="A1029"/>
  <c r="A1027"/>
  <c r="A1025"/>
  <c r="A1023"/>
  <c r="A1022"/>
  <c r="A1020"/>
  <c r="A1018"/>
  <c r="A1015"/>
  <c r="A1013"/>
  <c r="A1009"/>
  <c r="A1005"/>
  <c r="A1003"/>
  <c r="A1001"/>
  <c r="A999"/>
  <c r="A997"/>
  <c r="A995"/>
  <c r="A993"/>
  <c r="A984"/>
  <c r="A982"/>
  <c r="J64" i="64"/>
  <c r="J32"/>
  <c r="J31"/>
  <c r="J27"/>
  <c r="J28"/>
  <c r="J26"/>
  <c r="K27"/>
  <c r="K28"/>
  <c r="K26"/>
  <c r="P26"/>
  <c r="G26"/>
  <c r="P27"/>
  <c r="G27"/>
  <c r="J25"/>
  <c r="J24"/>
  <c r="J23"/>
  <c r="J22"/>
  <c r="J17"/>
  <c r="J16"/>
  <c r="J14"/>
  <c r="Q14" s="1"/>
  <c r="J21"/>
  <c r="A29" i="68"/>
  <c r="G64" i="64"/>
  <c r="G15"/>
  <c r="G16"/>
  <c r="G17"/>
  <c r="G19"/>
  <c r="G20"/>
  <c r="G21"/>
  <c r="G22"/>
  <c r="G23"/>
  <c r="G24"/>
  <c r="G25"/>
  <c r="G28"/>
  <c r="G30"/>
  <c r="G31"/>
  <c r="G32"/>
  <c r="G14"/>
  <c r="P14"/>
  <c r="P15"/>
  <c r="P16"/>
  <c r="P17"/>
  <c r="P18"/>
  <c r="P19"/>
  <c r="P20"/>
  <c r="P21"/>
  <c r="P22"/>
  <c r="P23"/>
  <c r="P24"/>
  <c r="P25"/>
  <c r="P28"/>
  <c r="P29"/>
  <c r="P30"/>
  <c r="P31"/>
  <c r="P32"/>
  <c r="P33"/>
  <c r="P34"/>
  <c r="P35"/>
  <c r="P36"/>
  <c r="P37"/>
  <c r="P38"/>
  <c r="P39"/>
  <c r="P40"/>
  <c r="P41"/>
  <c r="P42"/>
  <c r="P43"/>
  <c r="P44"/>
  <c r="P45"/>
  <c r="P46"/>
  <c r="P47"/>
  <c r="P48"/>
  <c r="P49"/>
  <c r="P50"/>
  <c r="P51"/>
  <c r="P52"/>
  <c r="P53"/>
  <c r="P54"/>
  <c r="P55"/>
  <c r="P56"/>
  <c r="P57"/>
  <c r="P58"/>
  <c r="P59"/>
  <c r="P60"/>
  <c r="P61"/>
  <c r="P62"/>
  <c r="P63"/>
  <c r="P64"/>
  <c r="P65"/>
  <c r="P66"/>
  <c r="P13"/>
  <c r="C21" i="68" l="1"/>
  <c r="Q15" i="64"/>
  <c r="L26"/>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7" i="64"/>
  <c r="E20" i="68"/>
  <c r="A7"/>
  <c r="A42"/>
  <c r="A43"/>
  <c r="F20"/>
  <c r="C20"/>
  <c r="A12"/>
  <c r="A8"/>
  <c r="A13"/>
  <c r="B20"/>
  <c r="A20" s="1"/>
  <c r="D20"/>
  <c r="E13"/>
  <c r="E11"/>
  <c r="E30" l="1"/>
  <c r="G20" s="1"/>
  <c r="F21"/>
  <c r="A10"/>
  <c r="L15" i="64"/>
  <c r="L16"/>
  <c r="L17"/>
  <c r="L19"/>
  <c r="L20"/>
  <c r="L21"/>
  <c r="L22"/>
  <c r="L23"/>
  <c r="L24"/>
  <c r="L25"/>
  <c r="L28"/>
  <c r="L30"/>
  <c r="L31"/>
  <c r="L32"/>
  <c r="J34"/>
  <c r="K34"/>
  <c r="H34"/>
  <c r="K66"/>
  <c r="J66"/>
  <c r="H66"/>
  <c r="L64"/>
  <c r="L66" s="1"/>
  <c r="L14"/>
  <c r="F22" i="68" l="1"/>
  <c r="H20"/>
  <c r="G21" s="1"/>
  <c r="L34" i="64"/>
  <c r="F23" i="68" l="1"/>
  <c r="H21"/>
  <c r="G22" s="1"/>
  <c r="F24" l="1"/>
  <c r="G23"/>
  <c r="H23" s="1"/>
  <c r="H22"/>
  <c r="F25" l="1"/>
  <c r="G24"/>
  <c r="H24" s="1"/>
  <c r="A5" i="45"/>
  <c r="A6"/>
  <c r="A7"/>
  <c r="A31"/>
  <c r="A32"/>
  <c r="A51"/>
  <c r="A52"/>
  <c r="F26" i="68" l="1"/>
  <c r="G25"/>
  <c r="H25" s="1"/>
  <c r="A10" i="45"/>
  <c r="A11"/>
  <c r="A12"/>
  <c r="A13"/>
  <c r="A14"/>
  <c r="A15"/>
  <c r="A16"/>
  <c r="A17"/>
  <c r="A18"/>
  <c r="A20"/>
  <c r="A21"/>
  <c r="A25"/>
  <c r="A26"/>
  <c r="A27"/>
  <c r="A28"/>
  <c r="A29"/>
  <c r="A19"/>
  <c r="A22"/>
  <c r="A30"/>
  <c r="A23"/>
  <c r="A24"/>
  <c r="A9"/>
  <c r="A6" i="62"/>
  <c r="A7"/>
  <c r="A8"/>
  <c r="A9"/>
  <c r="A10"/>
  <c r="A11"/>
  <c r="A12"/>
  <c r="A13"/>
  <c r="A5"/>
  <c r="A26" i="12"/>
  <c r="F27" i="68" l="1"/>
  <c r="G26"/>
  <c r="H26"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F28" i="68" l="1"/>
  <c r="G28" s="1"/>
  <c r="G27"/>
  <c r="H27" s="1"/>
  <c r="M523" i="34"/>
  <c r="C523"/>
  <c r="AD523" s="1"/>
  <c r="I510"/>
  <c r="M514"/>
  <c r="C514"/>
  <c r="AD514" s="1"/>
  <c r="M513"/>
  <c r="C513"/>
  <c r="AD513" s="1"/>
  <c r="C1136"/>
  <c r="AD1136" s="1"/>
  <c r="C918"/>
  <c r="AD918" s="1"/>
  <c r="C907"/>
  <c r="AD907" s="1"/>
  <c r="M504"/>
  <c r="M505"/>
  <c r="M506"/>
  <c r="M507"/>
  <c r="M508"/>
  <c r="M509"/>
  <c r="C1243"/>
  <c r="AD1243" s="1"/>
  <c r="C1242"/>
  <c r="AD1242" s="1"/>
  <c r="C1241"/>
  <c r="AD1241" s="1"/>
  <c r="C1240"/>
  <c r="AD1240" s="1"/>
  <c r="C1239"/>
  <c r="AD1239" s="1"/>
  <c r="C510"/>
  <c r="AD510" s="1"/>
  <c r="C509"/>
  <c r="AD509" s="1"/>
  <c r="C508"/>
  <c r="AD508" s="1"/>
  <c r="C507"/>
  <c r="AD507" s="1"/>
  <c r="C506"/>
  <c r="AD506" s="1"/>
  <c r="C505"/>
  <c r="AD505" s="1"/>
  <c r="C504"/>
  <c r="AD504" s="1"/>
  <c r="E72" i="60"/>
  <c r="V12"/>
  <c r="V13"/>
  <c r="V14"/>
  <c r="M315" i="34"/>
  <c r="M316"/>
  <c r="M317"/>
  <c r="M318"/>
  <c r="M319"/>
  <c r="M320"/>
  <c r="M321"/>
  <c r="M322"/>
  <c r="C322"/>
  <c r="AD322" s="1"/>
  <c r="C321"/>
  <c r="AD321" s="1"/>
  <c r="C320"/>
  <c r="AD320" s="1"/>
  <c r="C319"/>
  <c r="AD319" s="1"/>
  <c r="C318"/>
  <c r="AD318" s="1"/>
  <c r="C317"/>
  <c r="AD317" s="1"/>
  <c r="C316"/>
  <c r="AD316" s="1"/>
  <c r="C315"/>
  <c r="AD315" s="1"/>
  <c r="I67" i="55" l="1" a="1"/>
  <c r="I67" s="1"/>
  <c r="G67" a="1"/>
  <c r="G67" s="1"/>
  <c r="G65" a="1"/>
  <c r="G65" s="1"/>
  <c r="I66" a="1"/>
  <c r="I66" s="1"/>
  <c r="I65" a="1"/>
  <c r="I65" s="1"/>
  <c r="G66" a="1"/>
  <c r="G66" s="1"/>
  <c r="I62" a="1"/>
  <c r="I62" s="1"/>
  <c r="G63" a="1"/>
  <c r="G63" s="1"/>
  <c r="I64" a="1"/>
  <c r="I64" s="1"/>
  <c r="G61" a="1"/>
  <c r="G61" s="1"/>
  <c r="I63" a="1"/>
  <c r="I63" s="1"/>
  <c r="G64" a="1"/>
  <c r="G64" s="1"/>
  <c r="I61" a="1"/>
  <c r="I61" s="1"/>
  <c r="G62" a="1"/>
  <c r="G62" s="1"/>
  <c r="I87" a="1"/>
  <c r="I87" s="1"/>
  <c r="I80" a="1"/>
  <c r="I80" s="1"/>
  <c r="I99" a="1"/>
  <c r="I99" s="1"/>
  <c r="I81" a="1"/>
  <c r="I81" s="1"/>
  <c r="I94" a="1"/>
  <c r="I94" s="1"/>
  <c r="I97" a="1"/>
  <c r="I97" s="1"/>
  <c r="I91" a="1"/>
  <c r="I91" s="1"/>
  <c r="I96" a="1"/>
  <c r="I96" s="1"/>
  <c r="I98" a="1"/>
  <c r="I98" s="1"/>
  <c r="G88" a="1"/>
  <c r="G88" s="1"/>
  <c r="G86" a="1"/>
  <c r="G86" s="1"/>
  <c r="G92" a="1"/>
  <c r="G92" s="1"/>
  <c r="G95" a="1"/>
  <c r="G95" s="1"/>
  <c r="G90" a="1"/>
  <c r="G90" s="1"/>
  <c r="G93" a="1"/>
  <c r="G93" s="1"/>
  <c r="G89" a="1"/>
  <c r="G89" s="1"/>
  <c r="G85" a="1"/>
  <c r="G85" s="1"/>
  <c r="I88" a="1"/>
  <c r="I88" s="1"/>
  <c r="I86" a="1"/>
  <c r="I86" s="1"/>
  <c r="I92" a="1"/>
  <c r="I92" s="1"/>
  <c r="I95" a="1"/>
  <c r="I95" s="1"/>
  <c r="I90" a="1"/>
  <c r="I90" s="1"/>
  <c r="I93" a="1"/>
  <c r="I93" s="1"/>
  <c r="I89" a="1"/>
  <c r="I89" s="1"/>
  <c r="I85" a="1"/>
  <c r="I85" s="1"/>
  <c r="G84" a="1"/>
  <c r="G84" s="1"/>
  <c r="G87" a="1"/>
  <c r="G87" s="1"/>
  <c r="G80" a="1"/>
  <c r="G80" s="1"/>
  <c r="G99" a="1"/>
  <c r="G99" s="1"/>
  <c r="G81" a="1"/>
  <c r="G81" s="1"/>
  <c r="G94" a="1"/>
  <c r="G94" s="1"/>
  <c r="G97" a="1"/>
  <c r="G97" s="1"/>
  <c r="G91" a="1"/>
  <c r="G91" s="1"/>
  <c r="G96" a="1"/>
  <c r="G96" s="1"/>
  <c r="G98" a="1"/>
  <c r="G98" s="1"/>
  <c r="I84" a="1"/>
  <c r="I84" s="1"/>
  <c r="I41" a="1"/>
  <c r="I41" s="1"/>
  <c r="I49" a="1"/>
  <c r="I49" s="1"/>
  <c r="I51" a="1"/>
  <c r="I51" s="1"/>
  <c r="G30" a="1"/>
  <c r="G30" s="1"/>
  <c r="G31" a="1"/>
  <c r="G31" s="1"/>
  <c r="G50" a="1"/>
  <c r="G50" s="1"/>
  <c r="G52" a="1"/>
  <c r="G52" s="1"/>
  <c r="I30" a="1"/>
  <c r="I30" s="1"/>
  <c r="I31" a="1"/>
  <c r="I31" s="1"/>
  <c r="I50" a="1"/>
  <c r="I50" s="1"/>
  <c r="I52" a="1"/>
  <c r="I52" s="1"/>
  <c r="G41" a="1"/>
  <c r="G41" s="1"/>
  <c r="G49" a="1"/>
  <c r="G49" s="1"/>
  <c r="G51" a="1"/>
  <c r="G51" s="1"/>
  <c r="I40" a="1"/>
  <c r="I40" s="1"/>
  <c r="I35" a="1"/>
  <c r="I35" s="1"/>
  <c r="G44" a="1"/>
  <c r="G44" s="1"/>
  <c r="I44" a="1"/>
  <c r="I44" s="1"/>
  <c r="G35" a="1"/>
  <c r="G35" s="1"/>
  <c r="G47" a="1"/>
  <c r="G47" s="1"/>
  <c r="I47" a="1"/>
  <c r="I47" s="1"/>
  <c r="G40" a="1"/>
  <c r="G40" s="1"/>
  <c r="G22" a="1"/>
  <c r="G22" s="1"/>
  <c r="I22" a="1"/>
  <c r="I22" s="1"/>
  <c r="I32" a="1"/>
  <c r="I32" s="1"/>
  <c r="I38" a="1"/>
  <c r="I38" s="1"/>
  <c r="I45" a="1"/>
  <c r="I45" s="1"/>
  <c r="I46" a="1"/>
  <c r="I46" s="1"/>
  <c r="I37" a="1"/>
  <c r="I37" s="1"/>
  <c r="I42" a="1"/>
  <c r="I42" s="1"/>
  <c r="G32" a="1"/>
  <c r="G32" s="1"/>
  <c r="G38" a="1"/>
  <c r="G38" s="1"/>
  <c r="G45" a="1"/>
  <c r="G45" s="1"/>
  <c r="G46" a="1"/>
  <c r="G46" s="1"/>
  <c r="G37" a="1"/>
  <c r="G37" s="1"/>
  <c r="G42" a="1"/>
  <c r="G42" s="1"/>
  <c r="I78" a="1"/>
  <c r="I78" s="1"/>
  <c r="I83" a="1"/>
  <c r="I83" s="1"/>
  <c r="G79" a="1"/>
  <c r="G79" s="1"/>
  <c r="I79" a="1"/>
  <c r="I79" s="1"/>
  <c r="G78" a="1"/>
  <c r="G78" s="1"/>
  <c r="G83" a="1"/>
  <c r="G83" s="1"/>
  <c r="M510" i="34"/>
  <c r="I21" i="55" a="1"/>
  <c r="I21" s="1"/>
  <c r="G21" a="1"/>
  <c r="G21" s="1"/>
  <c r="H28" i="68"/>
  <c r="G30"/>
  <c r="B523" i="34"/>
  <c r="B514"/>
  <c r="B513"/>
  <c r="B1136"/>
  <c r="B1239"/>
  <c r="B1243"/>
  <c r="B1240"/>
  <c r="B1241"/>
  <c r="B1242"/>
  <c r="B504"/>
  <c r="B506"/>
  <c r="B508"/>
  <c r="B510"/>
  <c r="B505"/>
  <c r="B507"/>
  <c r="B509"/>
  <c r="B316"/>
  <c r="B318"/>
  <c r="B320"/>
  <c r="B322"/>
  <c r="B315"/>
  <c r="B317"/>
  <c r="B319"/>
  <c r="B321"/>
  <c r="K96" i="55" l="1"/>
  <c r="K81"/>
  <c r="K99"/>
  <c r="K91"/>
  <c r="K98"/>
  <c r="K94"/>
  <c r="K87"/>
  <c r="K97"/>
  <c r="K80"/>
  <c r="K62"/>
  <c r="K67"/>
  <c r="Q317" i="34"/>
  <c r="R317"/>
  <c r="S317"/>
  <c r="Q318"/>
  <c r="R318"/>
  <c r="S318"/>
  <c r="Q505"/>
  <c r="R505"/>
  <c r="S505"/>
  <c r="R504"/>
  <c r="Q504"/>
  <c r="S504"/>
  <c r="Q1243"/>
  <c r="R1243"/>
  <c r="S1243"/>
  <c r="Q514"/>
  <c r="R514"/>
  <c r="S514"/>
  <c r="S319"/>
  <c r="Q319"/>
  <c r="R319"/>
  <c r="R320"/>
  <c r="S320"/>
  <c r="Q320"/>
  <c r="S507"/>
  <c r="Q507"/>
  <c r="R507"/>
  <c r="Q506"/>
  <c r="R506"/>
  <c r="S506"/>
  <c r="S1240"/>
  <c r="Q1240"/>
  <c r="R1240"/>
  <c r="Q513"/>
  <c r="R513"/>
  <c r="S513"/>
  <c r="S315"/>
  <c r="Q315"/>
  <c r="R315"/>
  <c r="R316"/>
  <c r="S316"/>
  <c r="Q316"/>
  <c r="Q510"/>
  <c r="R510"/>
  <c r="S510"/>
  <c r="Q1242"/>
  <c r="R1242"/>
  <c r="S1242"/>
  <c r="Q1239"/>
  <c r="R1239"/>
  <c r="S1239"/>
  <c r="R523"/>
  <c r="S523"/>
  <c r="Q523"/>
  <c r="Q321"/>
  <c r="R321"/>
  <c r="S321"/>
  <c r="Q322"/>
  <c r="R322"/>
  <c r="S322"/>
  <c r="Q509"/>
  <c r="R509"/>
  <c r="S509"/>
  <c r="R508"/>
  <c r="Q508"/>
  <c r="S508"/>
  <c r="R1241"/>
  <c r="S1241"/>
  <c r="Q1241"/>
  <c r="S1136"/>
  <c r="Q1136"/>
  <c r="R1136"/>
  <c r="K66" i="55"/>
  <c r="K65"/>
  <c r="K64"/>
  <c r="K63"/>
  <c r="K61"/>
  <c r="K41"/>
  <c r="K51"/>
  <c r="K84"/>
  <c r="K90"/>
  <c r="K88"/>
  <c r="K85"/>
  <c r="K95"/>
  <c r="K89"/>
  <c r="K92"/>
  <c r="K93"/>
  <c r="K86"/>
  <c r="K49"/>
  <c r="K30"/>
  <c r="K52"/>
  <c r="K50"/>
  <c r="K31"/>
  <c r="A319" i="34"/>
  <c r="A315"/>
  <c r="A320"/>
  <c r="A316"/>
  <c r="A507"/>
  <c r="A510"/>
  <c r="A506"/>
  <c r="A1242"/>
  <c r="A1240"/>
  <c r="A1239"/>
  <c r="A513"/>
  <c r="A523"/>
  <c r="A321"/>
  <c r="A317"/>
  <c r="A322"/>
  <c r="A318"/>
  <c r="A509"/>
  <c r="A505"/>
  <c r="A508"/>
  <c r="A504"/>
  <c r="A1241"/>
  <c r="A1243"/>
  <c r="A1136"/>
  <c r="A514"/>
  <c r="K40" i="55"/>
  <c r="K45"/>
  <c r="K46"/>
  <c r="K42"/>
  <c r="K37"/>
  <c r="K32"/>
  <c r="K35"/>
  <c r="K44"/>
  <c r="K47"/>
  <c r="K38"/>
  <c r="K22"/>
  <c r="K83"/>
  <c r="K78"/>
  <c r="K79"/>
  <c r="K21"/>
  <c r="B161" i="34"/>
  <c r="B162"/>
  <c r="B163"/>
  <c r="B164"/>
  <c r="B25"/>
  <c r="B26"/>
  <c r="B27"/>
  <c r="B28"/>
  <c r="B29"/>
  <c r="B30"/>
  <c r="B31"/>
  <c r="B32"/>
  <c r="B33"/>
  <c r="B49"/>
  <c r="B50"/>
  <c r="B51"/>
  <c r="B52"/>
  <c r="B53"/>
  <c r="B54"/>
  <c r="B55"/>
  <c r="B56"/>
  <c r="B57"/>
  <c r="B58"/>
  <c r="B59"/>
  <c r="B60"/>
  <c r="B61"/>
  <c r="B62"/>
  <c r="B63"/>
  <c r="B64"/>
  <c r="B65"/>
  <c r="B66"/>
  <c r="B67"/>
  <c r="B68"/>
  <c r="B69"/>
  <c r="B70"/>
  <c r="B71"/>
  <c r="B72"/>
  <c r="B73"/>
  <c r="B74"/>
  <c r="B75"/>
  <c r="B76"/>
  <c r="B77"/>
  <c r="B78"/>
  <c r="B79"/>
  <c r="B80"/>
  <c r="B81"/>
  <c r="B82"/>
  <c r="B83"/>
  <c r="B84"/>
  <c r="B85"/>
  <c r="B86"/>
  <c r="B87"/>
  <c r="B88"/>
  <c r="B89"/>
  <c r="B90"/>
  <c r="B1177"/>
  <c r="B1178"/>
  <c r="B1179"/>
  <c r="B1180"/>
  <c r="B1181"/>
  <c r="B1182"/>
  <c r="B1183"/>
  <c r="B1184"/>
  <c r="B1185"/>
  <c r="B1186"/>
  <c r="B1187"/>
  <c r="B1188"/>
  <c r="B1189"/>
  <c r="B1190"/>
  <c r="B1191"/>
  <c r="B1192"/>
  <c r="B1193"/>
  <c r="B1194"/>
  <c r="B1195"/>
  <c r="B1196"/>
  <c r="B1197"/>
  <c r="B1198"/>
  <c r="B1199"/>
  <c r="B1200"/>
  <c r="B1201"/>
  <c r="B704"/>
  <c r="B705"/>
  <c r="B706"/>
  <c r="B707"/>
  <c r="B708"/>
  <c r="B709"/>
  <c r="B710"/>
  <c r="B711"/>
  <c r="B712"/>
  <c r="B713"/>
  <c r="B714"/>
  <c r="B715"/>
  <c r="B716"/>
  <c r="B717"/>
  <c r="B718"/>
  <c r="B719"/>
  <c r="B720"/>
  <c r="B721"/>
  <c r="B722"/>
  <c r="B723"/>
  <c r="B724"/>
  <c r="B725"/>
  <c r="B726"/>
  <c r="B727"/>
  <c r="B728"/>
  <c r="B729"/>
  <c r="B730"/>
  <c r="B731"/>
  <c r="B732"/>
  <c r="B733"/>
  <c r="B734"/>
  <c r="B735"/>
  <c r="B736"/>
  <c r="B737"/>
  <c r="B738"/>
  <c r="B739"/>
  <c r="B740"/>
  <c r="B741"/>
  <c r="B742"/>
  <c r="B743"/>
  <c r="B744"/>
  <c r="B745"/>
  <c r="B746"/>
  <c r="B747"/>
  <c r="B748"/>
  <c r="B749"/>
  <c r="B750"/>
  <c r="B751"/>
  <c r="B752"/>
  <c r="B753"/>
  <c r="B755"/>
  <c r="B756"/>
  <c r="B757"/>
  <c r="B758"/>
  <c r="B759"/>
  <c r="B760"/>
  <c r="B761"/>
  <c r="B762"/>
  <c r="B763"/>
  <c r="B764"/>
  <c r="B765"/>
  <c r="B766"/>
  <c r="B767"/>
  <c r="B768"/>
  <c r="B769"/>
  <c r="B770"/>
  <c r="B771"/>
  <c r="B772"/>
  <c r="B773"/>
  <c r="B774"/>
  <c r="B775"/>
  <c r="B776"/>
  <c r="B777"/>
  <c r="B778"/>
  <c r="B779"/>
  <c r="B780"/>
  <c r="B781"/>
  <c r="B782"/>
  <c r="B783"/>
  <c r="B784"/>
  <c r="B785"/>
  <c r="B786"/>
  <c r="B787"/>
  <c r="B788"/>
  <c r="B790"/>
  <c r="B791"/>
  <c r="B792"/>
  <c r="B793"/>
  <c r="B794"/>
  <c r="B795"/>
  <c r="B796"/>
  <c r="B798"/>
  <c r="B799"/>
  <c r="B803"/>
  <c r="B807"/>
  <c r="B800"/>
  <c r="B801"/>
  <c r="B802"/>
  <c r="B804"/>
  <c r="B805"/>
  <c r="B806"/>
  <c r="B808"/>
  <c r="B809"/>
  <c r="B810"/>
  <c r="B811"/>
  <c r="B812"/>
  <c r="B813"/>
  <c r="B814"/>
  <c r="B815"/>
  <c r="B816"/>
  <c r="B817"/>
  <c r="B818"/>
  <c r="B822"/>
  <c r="B823"/>
  <c r="B824"/>
  <c r="B825"/>
  <c r="B826"/>
  <c r="B828"/>
  <c r="B831"/>
  <c r="B832"/>
  <c r="B833"/>
  <c r="B834"/>
  <c r="B836"/>
  <c r="B835"/>
  <c r="B837"/>
  <c r="B838"/>
  <c r="B839"/>
  <c r="B840"/>
  <c r="B841"/>
  <c r="B842"/>
  <c r="B843"/>
  <c r="B844"/>
  <c r="B845"/>
  <c r="B846"/>
  <c r="B847"/>
  <c r="B848"/>
  <c r="B849"/>
  <c r="B850"/>
  <c r="B851"/>
  <c r="B852"/>
  <c r="B853"/>
  <c r="B854"/>
  <c r="B855"/>
  <c r="B856"/>
  <c r="B857"/>
  <c r="B858"/>
  <c r="B859"/>
  <c r="B860"/>
  <c r="B861"/>
  <c r="B862"/>
  <c r="B863"/>
  <c r="B865"/>
  <c r="B866"/>
  <c r="B867"/>
  <c r="B868"/>
  <c r="B869"/>
  <c r="B870"/>
  <c r="B871"/>
  <c r="B872"/>
  <c r="B873"/>
  <c r="B878"/>
  <c r="B879"/>
  <c r="B880"/>
  <c r="B881"/>
  <c r="B882"/>
  <c r="B883"/>
  <c r="B884"/>
  <c r="B885"/>
  <c r="B886"/>
  <c r="B887"/>
  <c r="B888"/>
  <c r="B889"/>
  <c r="B890"/>
  <c r="B891"/>
  <c r="B892"/>
  <c r="B893"/>
  <c r="B894"/>
  <c r="B895"/>
  <c r="B896"/>
  <c r="B874"/>
  <c r="B877"/>
  <c r="B897"/>
  <c r="B898"/>
  <c r="B899"/>
  <c r="B900"/>
  <c r="B901"/>
  <c r="B908"/>
  <c r="B909"/>
  <c r="B910"/>
  <c r="B911"/>
  <c r="B912"/>
  <c r="B913"/>
  <c r="B914"/>
  <c r="B915"/>
  <c r="B916"/>
  <c r="B917"/>
  <c r="B919"/>
  <c r="B920"/>
  <c r="B921"/>
  <c r="B922"/>
  <c r="B923"/>
  <c r="B929"/>
  <c r="B930"/>
  <c r="B931"/>
  <c r="B932"/>
  <c r="B933"/>
  <c r="B934"/>
  <c r="B935"/>
  <c r="B936"/>
  <c r="B937"/>
  <c r="B938"/>
  <c r="B939"/>
  <c r="B940"/>
  <c r="B941"/>
  <c r="B946"/>
  <c r="B947"/>
  <c r="B948"/>
  <c r="B949"/>
  <c r="B950"/>
  <c r="B951"/>
  <c r="B952"/>
  <c r="B953"/>
  <c r="B954"/>
  <c r="B955"/>
  <c r="B956"/>
  <c r="B957"/>
  <c r="B958"/>
  <c r="B959"/>
  <c r="B960"/>
  <c r="B961"/>
  <c r="B962"/>
  <c r="B963"/>
  <c r="B964"/>
  <c r="B965"/>
  <c r="B966"/>
  <c r="B967"/>
  <c r="B968"/>
  <c r="B969"/>
  <c r="B970"/>
  <c r="B971"/>
  <c r="B972"/>
  <c r="B973"/>
  <c r="B974"/>
  <c r="B975"/>
  <c r="B976"/>
  <c r="B977"/>
  <c r="B978"/>
  <c r="B979"/>
  <c r="B980"/>
  <c r="B1202"/>
  <c r="B1203"/>
  <c r="B1204"/>
  <c r="B1205"/>
  <c r="B1206"/>
  <c r="B1207"/>
  <c r="B1208"/>
  <c r="B1209"/>
  <c r="B1210"/>
  <c r="B1211"/>
  <c r="B1212"/>
  <c r="B907"/>
  <c r="B918"/>
  <c r="B1067"/>
  <c r="B1227"/>
  <c r="B1228"/>
  <c r="B1226"/>
  <c r="B1213"/>
  <c r="B1214"/>
  <c r="B1215"/>
  <c r="B1216"/>
  <c r="B1217"/>
  <c r="B1218"/>
  <c r="B1219"/>
  <c r="B1220"/>
  <c r="B1221"/>
  <c r="B1222"/>
  <c r="B1224"/>
  <c r="B1225"/>
  <c r="B323"/>
  <c r="B324"/>
  <c r="B325"/>
  <c r="B328"/>
  <c r="B329"/>
  <c r="B1258"/>
  <c r="B1259"/>
  <c r="B1260"/>
  <c r="B1261"/>
  <c r="B1272"/>
  <c r="B1276"/>
  <c r="B1277"/>
  <c r="B1279"/>
  <c r="B1280"/>
  <c r="B1281"/>
  <c r="B1295"/>
  <c r="B1296"/>
  <c r="B1297"/>
  <c r="B1298"/>
  <c r="B1299"/>
  <c r="B1300"/>
  <c r="B1301"/>
  <c r="B1302"/>
  <c r="B1303"/>
  <c r="B1304"/>
  <c r="B1305"/>
  <c r="B1306"/>
  <c r="B1307"/>
  <c r="B1308"/>
  <c r="B1309"/>
  <c r="B1310"/>
  <c r="B1311"/>
  <c r="B1256"/>
  <c r="B1312"/>
  <c r="B1313"/>
  <c r="B1314"/>
  <c r="B1315"/>
  <c r="B1316"/>
  <c r="B1321"/>
  <c r="B1322"/>
  <c r="B1323"/>
  <c r="B1324"/>
  <c r="B1325"/>
  <c r="B1326"/>
  <c r="B1327"/>
  <c r="B1328"/>
  <c r="B1329"/>
  <c r="B1330"/>
  <c r="B1331"/>
  <c r="B1332"/>
  <c r="B1333"/>
  <c r="B1334"/>
  <c r="B1335"/>
  <c r="B1336"/>
  <c r="B1337"/>
  <c r="B1338"/>
  <c r="B1339"/>
  <c r="B1340"/>
  <c r="B1341"/>
  <c r="B1342"/>
  <c r="B1343"/>
  <c r="B1267"/>
  <c r="B1344"/>
  <c r="B1345"/>
  <c r="B1346"/>
  <c r="B1347"/>
  <c r="B1348"/>
  <c r="B1354"/>
  <c r="B1358"/>
  <c r="B1360"/>
  <c r="B1361"/>
  <c r="B1362"/>
  <c r="B1363"/>
  <c r="B1364"/>
  <c r="B1365"/>
  <c r="B1366"/>
  <c r="B1375"/>
  <c r="B1376"/>
  <c r="B1379"/>
  <c r="B1380"/>
  <c r="B1391"/>
  <c r="B1392"/>
  <c r="B1393"/>
  <c r="B1397"/>
  <c r="B1398"/>
  <c r="B367"/>
  <c r="B1408"/>
  <c r="B1409"/>
  <c r="B1412"/>
  <c r="B1419"/>
  <c r="B1420"/>
  <c r="B1421"/>
  <c r="B1422"/>
  <c r="B1424"/>
  <c r="B1425"/>
  <c r="Q1391" l="1"/>
  <c r="R1391"/>
  <c r="S1391"/>
  <c r="Q1346"/>
  <c r="R1346"/>
  <c r="S1346"/>
  <c r="Q1331"/>
  <c r="R1331"/>
  <c r="S1331"/>
  <c r="Q1323"/>
  <c r="R1323"/>
  <c r="S1323"/>
  <c r="S1304"/>
  <c r="Q1304"/>
  <c r="R1304"/>
  <c r="R1261"/>
  <c r="S1261"/>
  <c r="Q1261"/>
  <c r="R1217"/>
  <c r="S1217"/>
  <c r="Q1217"/>
  <c r="R966"/>
  <c r="S966"/>
  <c r="Q966"/>
  <c r="R1397"/>
  <c r="S1397"/>
  <c r="Q1397"/>
  <c r="S1380"/>
  <c r="Q1380"/>
  <c r="R1380"/>
  <c r="S1424"/>
  <c r="Q1424"/>
  <c r="R1424"/>
  <c r="Q1419"/>
  <c r="R1419"/>
  <c r="S1419"/>
  <c r="S367"/>
  <c r="Q367"/>
  <c r="R367"/>
  <c r="S1392"/>
  <c r="Q1392"/>
  <c r="R1392"/>
  <c r="S1376"/>
  <c r="Q1376"/>
  <c r="R1376"/>
  <c r="S1364"/>
  <c r="Q1364"/>
  <c r="R1364"/>
  <c r="S1360"/>
  <c r="Q1360"/>
  <c r="R1360"/>
  <c r="Q1347"/>
  <c r="R1347"/>
  <c r="S1347"/>
  <c r="Q1267"/>
  <c r="R1267"/>
  <c r="S1267"/>
  <c r="S1340"/>
  <c r="Q1340"/>
  <c r="R1340"/>
  <c r="S1336"/>
  <c r="Q1336"/>
  <c r="R1336"/>
  <c r="S1332"/>
  <c r="Q1332"/>
  <c r="R1332"/>
  <c r="S1328"/>
  <c r="Q1328"/>
  <c r="R1328"/>
  <c r="S1324"/>
  <c r="Q1324"/>
  <c r="R1324"/>
  <c r="S1316"/>
  <c r="Q1316"/>
  <c r="R1316"/>
  <c r="S1312"/>
  <c r="Q1312"/>
  <c r="R1312"/>
  <c r="R1309"/>
  <c r="S1309"/>
  <c r="Q1309"/>
  <c r="R1305"/>
  <c r="S1305"/>
  <c r="Q1305"/>
  <c r="R1301"/>
  <c r="S1301"/>
  <c r="Q1301"/>
  <c r="R1297"/>
  <c r="S1297"/>
  <c r="Q1297"/>
  <c r="S1280"/>
  <c r="Q1280"/>
  <c r="R1280"/>
  <c r="S1272"/>
  <c r="Q1272"/>
  <c r="R1272"/>
  <c r="Q1258"/>
  <c r="R1258"/>
  <c r="S1258"/>
  <c r="R324"/>
  <c r="S324"/>
  <c r="Q324"/>
  <c r="Q1222"/>
  <c r="R1222"/>
  <c r="S1222"/>
  <c r="Q1218"/>
  <c r="R1218"/>
  <c r="S1218"/>
  <c r="Q1214"/>
  <c r="R1214"/>
  <c r="S1214"/>
  <c r="Q1227"/>
  <c r="R1227"/>
  <c r="S1227"/>
  <c r="S1212"/>
  <c r="Q1212"/>
  <c r="R1212"/>
  <c r="S1208"/>
  <c r="Q1208"/>
  <c r="R1208"/>
  <c r="S1204"/>
  <c r="Q1204"/>
  <c r="R1204"/>
  <c r="Q979"/>
  <c r="R979"/>
  <c r="S979"/>
  <c r="Q975"/>
  <c r="R975"/>
  <c r="S975"/>
  <c r="Q971"/>
  <c r="R971"/>
  <c r="S971"/>
  <c r="Q967"/>
  <c r="R967"/>
  <c r="S967"/>
  <c r="Q963"/>
  <c r="R963"/>
  <c r="S963"/>
  <c r="Q959"/>
  <c r="R959"/>
  <c r="S959"/>
  <c r="Q955"/>
  <c r="R955"/>
  <c r="S955"/>
  <c r="Q951"/>
  <c r="R951"/>
  <c r="S951"/>
  <c r="Q947"/>
  <c r="R947"/>
  <c r="S947"/>
  <c r="Q939"/>
  <c r="R939"/>
  <c r="S939"/>
  <c r="Q935"/>
  <c r="R935"/>
  <c r="S935"/>
  <c r="Q931"/>
  <c r="R931"/>
  <c r="S931"/>
  <c r="Q922"/>
  <c r="R922"/>
  <c r="S922"/>
  <c r="Q917"/>
  <c r="R917"/>
  <c r="S917"/>
  <c r="Q913"/>
  <c r="R913"/>
  <c r="S913"/>
  <c r="Q909"/>
  <c r="R909"/>
  <c r="S909"/>
  <c r="S899"/>
  <c r="Q899"/>
  <c r="R899"/>
  <c r="Q874"/>
  <c r="R874"/>
  <c r="S874"/>
  <c r="Q893"/>
  <c r="R893"/>
  <c r="S893"/>
  <c r="Q889"/>
  <c r="R889"/>
  <c r="S889"/>
  <c r="Q885"/>
  <c r="R885"/>
  <c r="S885"/>
  <c r="Q881"/>
  <c r="R881"/>
  <c r="S881"/>
  <c r="Q873"/>
  <c r="R873"/>
  <c r="S873"/>
  <c r="Q869"/>
  <c r="R869"/>
  <c r="S869"/>
  <c r="A865"/>
  <c r="Q865"/>
  <c r="R865"/>
  <c r="S865"/>
  <c r="R860"/>
  <c r="S860"/>
  <c r="Q860"/>
  <c r="R856"/>
  <c r="S856"/>
  <c r="Q856"/>
  <c r="R852"/>
  <c r="S852"/>
  <c r="Q852"/>
  <c r="R848"/>
  <c r="S848"/>
  <c r="Q848"/>
  <c r="R844"/>
  <c r="S844"/>
  <c r="Q844"/>
  <c r="R840"/>
  <c r="S840"/>
  <c r="Q840"/>
  <c r="S835"/>
  <c r="Q835"/>
  <c r="R835"/>
  <c r="R832"/>
  <c r="S832"/>
  <c r="Q832"/>
  <c r="Q825"/>
  <c r="R825"/>
  <c r="S825"/>
  <c r="Q818"/>
  <c r="R818"/>
  <c r="S818"/>
  <c r="Q814"/>
  <c r="R814"/>
  <c r="S814"/>
  <c r="Q810"/>
  <c r="R810"/>
  <c r="S810"/>
  <c r="Q805"/>
  <c r="R805"/>
  <c r="S805"/>
  <c r="R800"/>
  <c r="S800"/>
  <c r="Q800"/>
  <c r="Q798"/>
  <c r="R798"/>
  <c r="S798"/>
  <c r="Q793"/>
  <c r="R793"/>
  <c r="S793"/>
  <c r="R788"/>
  <c r="S788"/>
  <c r="Q788"/>
  <c r="R784"/>
  <c r="S784"/>
  <c r="Q784"/>
  <c r="R780"/>
  <c r="S780"/>
  <c r="Q780"/>
  <c r="R776"/>
  <c r="S776"/>
  <c r="Q776"/>
  <c r="R772"/>
  <c r="S772"/>
  <c r="Q772"/>
  <c r="R768"/>
  <c r="S768"/>
  <c r="Q768"/>
  <c r="R764"/>
  <c r="S764"/>
  <c r="Q764"/>
  <c r="R760"/>
  <c r="S760"/>
  <c r="Q760"/>
  <c r="R756"/>
  <c r="Q756"/>
  <c r="S756"/>
  <c r="Q751"/>
  <c r="S751"/>
  <c r="R751"/>
  <c r="Q747"/>
  <c r="S747"/>
  <c r="R747"/>
  <c r="Q743"/>
  <c r="S743"/>
  <c r="R743"/>
  <c r="Q739"/>
  <c r="S739"/>
  <c r="R739"/>
  <c r="Q735"/>
  <c r="S735"/>
  <c r="R735"/>
  <c r="Q731"/>
  <c r="S731"/>
  <c r="R731"/>
  <c r="Q727"/>
  <c r="S727"/>
  <c r="R727"/>
  <c r="Q723"/>
  <c r="R723"/>
  <c r="S723"/>
  <c r="Q719"/>
  <c r="R719"/>
  <c r="S719"/>
  <c r="Q715"/>
  <c r="R715"/>
  <c r="S715"/>
  <c r="Q711"/>
  <c r="R711"/>
  <c r="S711"/>
  <c r="Q707"/>
  <c r="R707"/>
  <c r="S707"/>
  <c r="R1201"/>
  <c r="S1201"/>
  <c r="Q1201"/>
  <c r="R1197"/>
  <c r="S1197"/>
  <c r="Q1197"/>
  <c r="R1193"/>
  <c r="S1193"/>
  <c r="Q1193"/>
  <c r="R1189"/>
  <c r="S1189"/>
  <c r="Q1189"/>
  <c r="R1185"/>
  <c r="S1185"/>
  <c r="Q1185"/>
  <c r="R1181"/>
  <c r="S1181"/>
  <c r="Q1181"/>
  <c r="R1177"/>
  <c r="S1177"/>
  <c r="Q1177"/>
  <c r="S87"/>
  <c r="Q87"/>
  <c r="R87"/>
  <c r="S83"/>
  <c r="Q83"/>
  <c r="R83"/>
  <c r="S79"/>
  <c r="Q79"/>
  <c r="R79"/>
  <c r="S75"/>
  <c r="Q75"/>
  <c r="R75"/>
  <c r="S71"/>
  <c r="Q71"/>
  <c r="R71"/>
  <c r="S67"/>
  <c r="Q67"/>
  <c r="R67"/>
  <c r="S63"/>
  <c r="Q63"/>
  <c r="R63"/>
  <c r="S59"/>
  <c r="Q59"/>
  <c r="R59"/>
  <c r="S55"/>
  <c r="Q55"/>
  <c r="R55"/>
  <c r="S51"/>
  <c r="Q51"/>
  <c r="R51"/>
  <c r="R32"/>
  <c r="S32"/>
  <c r="Q32"/>
  <c r="R28"/>
  <c r="S28"/>
  <c r="Q28"/>
  <c r="Q164"/>
  <c r="R164"/>
  <c r="S164"/>
  <c r="S1412"/>
  <c r="Q1412"/>
  <c r="R1412"/>
  <c r="Q1343"/>
  <c r="R1343"/>
  <c r="S1343"/>
  <c r="S1256"/>
  <c r="Q1256"/>
  <c r="R1256"/>
  <c r="Q1279"/>
  <c r="R1279"/>
  <c r="S1279"/>
  <c r="R1221"/>
  <c r="S1221"/>
  <c r="Q1221"/>
  <c r="Q1211"/>
  <c r="R1211"/>
  <c r="S1211"/>
  <c r="Q1203"/>
  <c r="R1203"/>
  <c r="S1203"/>
  <c r="R978"/>
  <c r="S978"/>
  <c r="Q978"/>
  <c r="R962"/>
  <c r="S962"/>
  <c r="Q962"/>
  <c r="R958"/>
  <c r="S958"/>
  <c r="Q958"/>
  <c r="R954"/>
  <c r="S954"/>
  <c r="Q954"/>
  <c r="R950"/>
  <c r="S950"/>
  <c r="Q950"/>
  <c r="R946"/>
  <c r="S946"/>
  <c r="Q946"/>
  <c r="R938"/>
  <c r="S938"/>
  <c r="Q938"/>
  <c r="R934"/>
  <c r="S934"/>
  <c r="Q934"/>
  <c r="R930"/>
  <c r="S930"/>
  <c r="Q930"/>
  <c r="Q921"/>
  <c r="R921"/>
  <c r="S921"/>
  <c r="R916"/>
  <c r="S916"/>
  <c r="Q916"/>
  <c r="R912"/>
  <c r="S912"/>
  <c r="Q912"/>
  <c r="R908"/>
  <c r="S908"/>
  <c r="Q908"/>
  <c r="Q898"/>
  <c r="R898"/>
  <c r="S898"/>
  <c r="R896"/>
  <c r="S896"/>
  <c r="Q896"/>
  <c r="R892"/>
  <c r="S892"/>
  <c r="Q892"/>
  <c r="R888"/>
  <c r="S888"/>
  <c r="Q888"/>
  <c r="R884"/>
  <c r="S884"/>
  <c r="Q884"/>
  <c r="R880"/>
  <c r="S880"/>
  <c r="Q880"/>
  <c r="R872"/>
  <c r="S872"/>
  <c r="Q872"/>
  <c r="R868"/>
  <c r="S868"/>
  <c r="Q868"/>
  <c r="A863"/>
  <c r="S863"/>
  <c r="Q863"/>
  <c r="R863"/>
  <c r="S859"/>
  <c r="Q859"/>
  <c r="R859"/>
  <c r="S855"/>
  <c r="Q855"/>
  <c r="R855"/>
  <c r="S851"/>
  <c r="Q851"/>
  <c r="R851"/>
  <c r="S847"/>
  <c r="Q847"/>
  <c r="R847"/>
  <c r="S843"/>
  <c r="Q843"/>
  <c r="R843"/>
  <c r="S839"/>
  <c r="Q839"/>
  <c r="R839"/>
  <c r="R836"/>
  <c r="S836"/>
  <c r="Q836"/>
  <c r="S831"/>
  <c r="Q831"/>
  <c r="R831"/>
  <c r="R824"/>
  <c r="S824"/>
  <c r="Q824"/>
  <c r="Q817"/>
  <c r="R817"/>
  <c r="S817"/>
  <c r="Q813"/>
  <c r="R813"/>
  <c r="S813"/>
  <c r="Q809"/>
  <c r="R809"/>
  <c r="S809"/>
  <c r="R804"/>
  <c r="S804"/>
  <c r="Q804"/>
  <c r="S807"/>
  <c r="Q807"/>
  <c r="R807"/>
  <c r="R796"/>
  <c r="S796"/>
  <c r="Q796"/>
  <c r="R792"/>
  <c r="S792"/>
  <c r="Q792"/>
  <c r="S787"/>
  <c r="Q787"/>
  <c r="R787"/>
  <c r="S783"/>
  <c r="Q783"/>
  <c r="R783"/>
  <c r="S779"/>
  <c r="Q779"/>
  <c r="R779"/>
  <c r="S775"/>
  <c r="Q775"/>
  <c r="R775"/>
  <c r="S771"/>
  <c r="Q771"/>
  <c r="R771"/>
  <c r="S767"/>
  <c r="Q767"/>
  <c r="R767"/>
  <c r="S763"/>
  <c r="Q763"/>
  <c r="R763"/>
  <c r="S759"/>
  <c r="R759"/>
  <c r="Q759"/>
  <c r="S755"/>
  <c r="Q755"/>
  <c r="R755"/>
  <c r="R750"/>
  <c r="Q750"/>
  <c r="S750"/>
  <c r="R746"/>
  <c r="Q746"/>
  <c r="S746"/>
  <c r="R742"/>
  <c r="Q742"/>
  <c r="S742"/>
  <c r="R738"/>
  <c r="Q738"/>
  <c r="S738"/>
  <c r="R734"/>
  <c r="S734"/>
  <c r="Q734"/>
  <c r="R730"/>
  <c r="Q730"/>
  <c r="S730"/>
  <c r="R726"/>
  <c r="S726"/>
  <c r="Q726"/>
  <c r="R722"/>
  <c r="S722"/>
  <c r="Q722"/>
  <c r="R718"/>
  <c r="S718"/>
  <c r="Q718"/>
  <c r="R714"/>
  <c r="S714"/>
  <c r="Q714"/>
  <c r="R710"/>
  <c r="S710"/>
  <c r="Q710"/>
  <c r="R706"/>
  <c r="S706"/>
  <c r="Q706"/>
  <c r="S1200"/>
  <c r="Q1200"/>
  <c r="R1200"/>
  <c r="S1196"/>
  <c r="Q1196"/>
  <c r="R1196"/>
  <c r="S1192"/>
  <c r="Q1192"/>
  <c r="R1192"/>
  <c r="S1188"/>
  <c r="Q1188"/>
  <c r="R1188"/>
  <c r="S1184"/>
  <c r="Q1184"/>
  <c r="R1184"/>
  <c r="S1180"/>
  <c r="Q1180"/>
  <c r="R1180"/>
  <c r="Q90"/>
  <c r="R90"/>
  <c r="S90"/>
  <c r="Q86"/>
  <c r="R86"/>
  <c r="S86"/>
  <c r="Q82"/>
  <c r="R82"/>
  <c r="S82"/>
  <c r="Q78"/>
  <c r="R78"/>
  <c r="S78"/>
  <c r="Q74"/>
  <c r="R74"/>
  <c r="S74"/>
  <c r="Q70"/>
  <c r="R70"/>
  <c r="S70"/>
  <c r="Q66"/>
  <c r="R66"/>
  <c r="S66"/>
  <c r="Q62"/>
  <c r="R62"/>
  <c r="S62"/>
  <c r="Q58"/>
  <c r="R58"/>
  <c r="S58"/>
  <c r="Q54"/>
  <c r="R54"/>
  <c r="S54"/>
  <c r="Q50"/>
  <c r="R50"/>
  <c r="S50"/>
  <c r="S31"/>
  <c r="Q31"/>
  <c r="R31"/>
  <c r="S27"/>
  <c r="Q27"/>
  <c r="R27"/>
  <c r="Q163"/>
  <c r="R163"/>
  <c r="S163"/>
  <c r="Q1398"/>
  <c r="R1398"/>
  <c r="S1398"/>
  <c r="Q1363"/>
  <c r="R1363"/>
  <c r="S1363"/>
  <c r="Q1339"/>
  <c r="R1339"/>
  <c r="S1339"/>
  <c r="Q1327"/>
  <c r="R1327"/>
  <c r="S1327"/>
  <c r="S1308"/>
  <c r="Q1308"/>
  <c r="R1308"/>
  <c r="S1300"/>
  <c r="Q1300"/>
  <c r="R1300"/>
  <c r="Q329"/>
  <c r="R329"/>
  <c r="S329"/>
  <c r="R1213"/>
  <c r="S1213"/>
  <c r="Q1213"/>
  <c r="Q1207"/>
  <c r="R1207"/>
  <c r="S1207"/>
  <c r="R974"/>
  <c r="S974"/>
  <c r="Q974"/>
  <c r="R1409"/>
  <c r="S1409"/>
  <c r="Q1409"/>
  <c r="Q1362"/>
  <c r="R1362"/>
  <c r="S1362"/>
  <c r="Q1354"/>
  <c r="R1354"/>
  <c r="S1354"/>
  <c r="R1345"/>
  <c r="S1345"/>
  <c r="Q1345"/>
  <c r="Q1342"/>
  <c r="R1342"/>
  <c r="S1342"/>
  <c r="Q1338"/>
  <c r="R1338"/>
  <c r="S1338"/>
  <c r="Q1334"/>
  <c r="R1334"/>
  <c r="S1334"/>
  <c r="Q1330"/>
  <c r="R1330"/>
  <c r="S1330"/>
  <c r="Q1326"/>
  <c r="R1326"/>
  <c r="S1326"/>
  <c r="Q1322"/>
  <c r="R1322"/>
  <c r="S1322"/>
  <c r="Q1314"/>
  <c r="R1314"/>
  <c r="S1314"/>
  <c r="Q1311"/>
  <c r="R1311"/>
  <c r="S1311"/>
  <c r="Q1307"/>
  <c r="R1307"/>
  <c r="S1307"/>
  <c r="Q1303"/>
  <c r="R1303"/>
  <c r="S1303"/>
  <c r="Q1299"/>
  <c r="R1299"/>
  <c r="S1299"/>
  <c r="Q1295"/>
  <c r="R1295"/>
  <c r="S1295"/>
  <c r="R1277"/>
  <c r="S1277"/>
  <c r="Q1277"/>
  <c r="S1260"/>
  <c r="Q1260"/>
  <c r="R1260"/>
  <c r="R328"/>
  <c r="S328"/>
  <c r="Q328"/>
  <c r="R1225"/>
  <c r="S1225"/>
  <c r="Q1225"/>
  <c r="S1220"/>
  <c r="Q1220"/>
  <c r="R1220"/>
  <c r="S1216"/>
  <c r="Q1216"/>
  <c r="R1216"/>
  <c r="Q1226"/>
  <c r="R1226"/>
  <c r="S1226"/>
  <c r="Q918"/>
  <c r="R918"/>
  <c r="S918"/>
  <c r="Q1210"/>
  <c r="R1210"/>
  <c r="S1210"/>
  <c r="Q1206"/>
  <c r="R1206"/>
  <c r="S1206"/>
  <c r="Q1202"/>
  <c r="R1202"/>
  <c r="S1202"/>
  <c r="S977"/>
  <c r="Q977"/>
  <c r="R977"/>
  <c r="S973"/>
  <c r="Q973"/>
  <c r="R973"/>
  <c r="S969"/>
  <c r="Q969"/>
  <c r="R969"/>
  <c r="S965"/>
  <c r="Q965"/>
  <c r="R965"/>
  <c r="S961"/>
  <c r="Q961"/>
  <c r="R961"/>
  <c r="S957"/>
  <c r="Q957"/>
  <c r="R957"/>
  <c r="S953"/>
  <c r="Q953"/>
  <c r="R953"/>
  <c r="S949"/>
  <c r="Q949"/>
  <c r="R949"/>
  <c r="S941"/>
  <c r="Q941"/>
  <c r="R941"/>
  <c r="S937"/>
  <c r="Q937"/>
  <c r="R937"/>
  <c r="S933"/>
  <c r="Q933"/>
  <c r="R933"/>
  <c r="Q929"/>
  <c r="R929"/>
  <c r="S929"/>
  <c r="R920"/>
  <c r="S920"/>
  <c r="Q920"/>
  <c r="S915"/>
  <c r="Q915"/>
  <c r="R915"/>
  <c r="S911"/>
  <c r="Q911"/>
  <c r="R911"/>
  <c r="Q901"/>
  <c r="R901"/>
  <c r="S901"/>
  <c r="Q897"/>
  <c r="R897"/>
  <c r="S897"/>
  <c r="S895"/>
  <c r="Q895"/>
  <c r="R895"/>
  <c r="S891"/>
  <c r="Q891"/>
  <c r="R891"/>
  <c r="S887"/>
  <c r="Q887"/>
  <c r="R887"/>
  <c r="S883"/>
  <c r="Q883"/>
  <c r="R883"/>
  <c r="S879"/>
  <c r="Q879"/>
  <c r="R879"/>
  <c r="S871"/>
  <c r="Q871"/>
  <c r="R871"/>
  <c r="S867"/>
  <c r="Q867"/>
  <c r="R867"/>
  <c r="A862"/>
  <c r="Q862"/>
  <c r="R862"/>
  <c r="S862"/>
  <c r="Q858"/>
  <c r="R858"/>
  <c r="S858"/>
  <c r="Q854"/>
  <c r="R854"/>
  <c r="S854"/>
  <c r="Q850"/>
  <c r="R850"/>
  <c r="S850"/>
  <c r="Q846"/>
  <c r="R846"/>
  <c r="S846"/>
  <c r="Q842"/>
  <c r="R842"/>
  <c r="S842"/>
  <c r="Q838"/>
  <c r="R838"/>
  <c r="S838"/>
  <c r="Q834"/>
  <c r="R834"/>
  <c r="S834"/>
  <c r="R828"/>
  <c r="S828"/>
  <c r="Q828"/>
  <c r="S823"/>
  <c r="Q823"/>
  <c r="R823"/>
  <c r="R816"/>
  <c r="S816"/>
  <c r="Q816"/>
  <c r="R812"/>
  <c r="S812"/>
  <c r="Q812"/>
  <c r="R808"/>
  <c r="S808"/>
  <c r="Q808"/>
  <c r="Q802"/>
  <c r="R802"/>
  <c r="S802"/>
  <c r="S803"/>
  <c r="Q803"/>
  <c r="R803"/>
  <c r="S795"/>
  <c r="Q795"/>
  <c r="R795"/>
  <c r="S791"/>
  <c r="Q791"/>
  <c r="R791"/>
  <c r="Q786"/>
  <c r="R786"/>
  <c r="S786"/>
  <c r="Q782"/>
  <c r="R782"/>
  <c r="S782"/>
  <c r="Q778"/>
  <c r="R778"/>
  <c r="S778"/>
  <c r="Q774"/>
  <c r="R774"/>
  <c r="S774"/>
  <c r="Q770"/>
  <c r="R770"/>
  <c r="S770"/>
  <c r="Q766"/>
  <c r="R766"/>
  <c r="S766"/>
  <c r="Q762"/>
  <c r="R762"/>
  <c r="S762"/>
  <c r="S758"/>
  <c r="Q758"/>
  <c r="R758"/>
  <c r="S753"/>
  <c r="Q753"/>
  <c r="R753"/>
  <c r="S749"/>
  <c r="Q749"/>
  <c r="R749"/>
  <c r="S745"/>
  <c r="Q745"/>
  <c r="R745"/>
  <c r="S741"/>
  <c r="Q741"/>
  <c r="R741"/>
  <c r="S737"/>
  <c r="Q737"/>
  <c r="R737"/>
  <c r="S733"/>
  <c r="Q733"/>
  <c r="R733"/>
  <c r="S729"/>
  <c r="Q729"/>
  <c r="R729"/>
  <c r="S725"/>
  <c r="Q725"/>
  <c r="R725"/>
  <c r="S721"/>
  <c r="Q721"/>
  <c r="R721"/>
  <c r="S717"/>
  <c r="Q717"/>
  <c r="R717"/>
  <c r="S713"/>
  <c r="Q713"/>
  <c r="R713"/>
  <c r="S709"/>
  <c r="Q709"/>
  <c r="R709"/>
  <c r="S705"/>
  <c r="Q705"/>
  <c r="R705"/>
  <c r="Q1199"/>
  <c r="R1199"/>
  <c r="S1199"/>
  <c r="Q1195"/>
  <c r="R1195"/>
  <c r="S1195"/>
  <c r="Q1191"/>
  <c r="R1191"/>
  <c r="S1191"/>
  <c r="Q1187"/>
  <c r="R1187"/>
  <c r="S1187"/>
  <c r="Q1183"/>
  <c r="R1183"/>
  <c r="S1183"/>
  <c r="Q1179"/>
  <c r="R1179"/>
  <c r="S1179"/>
  <c r="Q89"/>
  <c r="R89"/>
  <c r="S89"/>
  <c r="Q85"/>
  <c r="R85"/>
  <c r="S85"/>
  <c r="Q81"/>
  <c r="R81"/>
  <c r="S81"/>
  <c r="Q77"/>
  <c r="R77"/>
  <c r="S77"/>
  <c r="Q73"/>
  <c r="R73"/>
  <c r="S73"/>
  <c r="Q69"/>
  <c r="R69"/>
  <c r="S69"/>
  <c r="Q65"/>
  <c r="R65"/>
  <c r="S65"/>
  <c r="Q61"/>
  <c r="R61"/>
  <c r="S61"/>
  <c r="Q57"/>
  <c r="R57"/>
  <c r="S57"/>
  <c r="Q53"/>
  <c r="R53"/>
  <c r="S53"/>
  <c r="Q49"/>
  <c r="R49"/>
  <c r="S49"/>
  <c r="Q30"/>
  <c r="R30"/>
  <c r="S30"/>
  <c r="Q26"/>
  <c r="R26"/>
  <c r="S26"/>
  <c r="R162"/>
  <c r="S162"/>
  <c r="Q162"/>
  <c r="Q1422"/>
  <c r="R1422"/>
  <c r="S1422"/>
  <c r="Q1375"/>
  <c r="R1375"/>
  <c r="S1375"/>
  <c r="Q1358"/>
  <c r="R1358"/>
  <c r="S1358"/>
  <c r="Q1335"/>
  <c r="R1335"/>
  <c r="S1335"/>
  <c r="Q1315"/>
  <c r="R1315"/>
  <c r="S1315"/>
  <c r="S1296"/>
  <c r="Q1296"/>
  <c r="R1296"/>
  <c r="S323"/>
  <c r="Q323"/>
  <c r="R323"/>
  <c r="Q1067"/>
  <c r="R1067"/>
  <c r="S1067"/>
  <c r="R970"/>
  <c r="S970"/>
  <c r="Q970"/>
  <c r="R1421"/>
  <c r="S1421"/>
  <c r="Q1421"/>
  <c r="Q1366"/>
  <c r="R1366"/>
  <c r="S1366"/>
  <c r="R1425"/>
  <c r="S1425"/>
  <c r="Q1425"/>
  <c r="S1420"/>
  <c r="Q1420"/>
  <c r="R1420"/>
  <c r="S1408"/>
  <c r="Q1408"/>
  <c r="R1408"/>
  <c r="R1393"/>
  <c r="S1393"/>
  <c r="Q1393"/>
  <c r="Q1379"/>
  <c r="R1379"/>
  <c r="S1379"/>
  <c r="R1365"/>
  <c r="S1365"/>
  <c r="Q1365"/>
  <c r="R1361"/>
  <c r="S1361"/>
  <c r="Q1361"/>
  <c r="S1348"/>
  <c r="Q1348"/>
  <c r="R1348"/>
  <c r="S1344"/>
  <c r="Q1344"/>
  <c r="R1344"/>
  <c r="R1341"/>
  <c r="S1341"/>
  <c r="Q1341"/>
  <c r="R1337"/>
  <c r="S1337"/>
  <c r="Q1337"/>
  <c r="R1333"/>
  <c r="S1333"/>
  <c r="Q1333"/>
  <c r="R1329"/>
  <c r="S1329"/>
  <c r="Q1329"/>
  <c r="R1325"/>
  <c r="S1325"/>
  <c r="Q1325"/>
  <c r="R1321"/>
  <c r="S1321"/>
  <c r="Q1321"/>
  <c r="R1313"/>
  <c r="S1313"/>
  <c r="Q1313"/>
  <c r="Q1310"/>
  <c r="R1310"/>
  <c r="S1310"/>
  <c r="Q1306"/>
  <c r="R1306"/>
  <c r="S1306"/>
  <c r="Q1302"/>
  <c r="R1302"/>
  <c r="S1302"/>
  <c r="Q1298"/>
  <c r="R1298"/>
  <c r="S1298"/>
  <c r="R1281"/>
  <c r="S1281"/>
  <c r="Q1281"/>
  <c r="S1276"/>
  <c r="Q1276"/>
  <c r="R1276"/>
  <c r="Q1259"/>
  <c r="R1259"/>
  <c r="S1259"/>
  <c r="Q325"/>
  <c r="R325"/>
  <c r="S325"/>
  <c r="S1224"/>
  <c r="Q1224"/>
  <c r="R1224"/>
  <c r="Q1219"/>
  <c r="R1219"/>
  <c r="S1219"/>
  <c r="Q1215"/>
  <c r="R1215"/>
  <c r="S1215"/>
  <c r="S1228"/>
  <c r="Q1228"/>
  <c r="R1228"/>
  <c r="S907"/>
  <c r="Q907"/>
  <c r="R907"/>
  <c r="R1209"/>
  <c r="S1209"/>
  <c r="Q1209"/>
  <c r="R1205"/>
  <c r="S1205"/>
  <c r="Q1205"/>
  <c r="A980"/>
  <c r="Q980"/>
  <c r="R980"/>
  <c r="S980"/>
  <c r="Q976"/>
  <c r="R976"/>
  <c r="S976"/>
  <c r="Q972"/>
  <c r="R972"/>
  <c r="S972"/>
  <c r="Q968"/>
  <c r="R968"/>
  <c r="S968"/>
  <c r="Q964"/>
  <c r="R964"/>
  <c r="S964"/>
  <c r="Q960"/>
  <c r="R960"/>
  <c r="S960"/>
  <c r="Q956"/>
  <c r="R956"/>
  <c r="S956"/>
  <c r="Q952"/>
  <c r="R952"/>
  <c r="S952"/>
  <c r="Q948"/>
  <c r="R948"/>
  <c r="S948"/>
  <c r="Q940"/>
  <c r="R940"/>
  <c r="S940"/>
  <c r="Q936"/>
  <c r="R936"/>
  <c r="S936"/>
  <c r="Q932"/>
  <c r="R932"/>
  <c r="S932"/>
  <c r="S923"/>
  <c r="Q923"/>
  <c r="R923"/>
  <c r="S919"/>
  <c r="Q919"/>
  <c r="R919"/>
  <c r="Q914"/>
  <c r="R914"/>
  <c r="S914"/>
  <c r="Q910"/>
  <c r="R910"/>
  <c r="S910"/>
  <c r="R900"/>
  <c r="S900"/>
  <c r="Q900"/>
  <c r="Q877"/>
  <c r="R877"/>
  <c r="S877"/>
  <c r="Q894"/>
  <c r="R894"/>
  <c r="S894"/>
  <c r="Q890"/>
  <c r="R890"/>
  <c r="S890"/>
  <c r="Q886"/>
  <c r="R886"/>
  <c r="S886"/>
  <c r="Q882"/>
  <c r="R882"/>
  <c r="S882"/>
  <c r="Q878"/>
  <c r="R878"/>
  <c r="S878"/>
  <c r="Q870"/>
  <c r="R870"/>
  <c r="S870"/>
  <c r="Q866"/>
  <c r="R866"/>
  <c r="S866"/>
  <c r="Q861"/>
  <c r="R861"/>
  <c r="S861"/>
  <c r="Q857"/>
  <c r="R857"/>
  <c r="S857"/>
  <c r="Q853"/>
  <c r="R853"/>
  <c r="S853"/>
  <c r="Q849"/>
  <c r="R849"/>
  <c r="S849"/>
  <c r="Q845"/>
  <c r="R845"/>
  <c r="S845"/>
  <c r="Q841"/>
  <c r="R841"/>
  <c r="S841"/>
  <c r="Q837"/>
  <c r="R837"/>
  <c r="S837"/>
  <c r="Q833"/>
  <c r="R833"/>
  <c r="S833"/>
  <c r="Q826"/>
  <c r="R826"/>
  <c r="S826"/>
  <c r="Q822"/>
  <c r="R822"/>
  <c r="S822"/>
  <c r="S815"/>
  <c r="Q815"/>
  <c r="R815"/>
  <c r="S811"/>
  <c r="Q811"/>
  <c r="R811"/>
  <c r="Q806"/>
  <c r="R806"/>
  <c r="S806"/>
  <c r="Q801"/>
  <c r="R801"/>
  <c r="S801"/>
  <c r="S799"/>
  <c r="Q799"/>
  <c r="R799"/>
  <c r="Q794"/>
  <c r="R794"/>
  <c r="S794"/>
  <c r="Q790"/>
  <c r="R790"/>
  <c r="S790"/>
  <c r="Q785"/>
  <c r="R785"/>
  <c r="S785"/>
  <c r="Q781"/>
  <c r="R781"/>
  <c r="S781"/>
  <c r="Q777"/>
  <c r="R777"/>
  <c r="S777"/>
  <c r="Q773"/>
  <c r="R773"/>
  <c r="S773"/>
  <c r="Q769"/>
  <c r="R769"/>
  <c r="S769"/>
  <c r="Q765"/>
  <c r="R765"/>
  <c r="S765"/>
  <c r="Q761"/>
  <c r="R761"/>
  <c r="S761"/>
  <c r="Q757"/>
  <c r="R757"/>
  <c r="S757"/>
  <c r="R752"/>
  <c r="S752"/>
  <c r="Q752"/>
  <c r="R748"/>
  <c r="Q748"/>
  <c r="S748"/>
  <c r="R744"/>
  <c r="Q744"/>
  <c r="S744"/>
  <c r="R740"/>
  <c r="Q740"/>
  <c r="S740"/>
  <c r="R736"/>
  <c r="Q736"/>
  <c r="S736"/>
  <c r="R732"/>
  <c r="Q732"/>
  <c r="S732"/>
  <c r="R728"/>
  <c r="Q728"/>
  <c r="S728"/>
  <c r="Q724"/>
  <c r="R724"/>
  <c r="S724"/>
  <c r="Q720"/>
  <c r="R720"/>
  <c r="S720"/>
  <c r="Q716"/>
  <c r="R716"/>
  <c r="S716"/>
  <c r="Q712"/>
  <c r="R712"/>
  <c r="S712"/>
  <c r="Q708"/>
  <c r="R708"/>
  <c r="S708"/>
  <c r="Q704"/>
  <c r="R704"/>
  <c r="S704"/>
  <c r="Q1198"/>
  <c r="R1198"/>
  <c r="S1198"/>
  <c r="Q1194"/>
  <c r="R1194"/>
  <c r="S1194"/>
  <c r="Q1190"/>
  <c r="R1190"/>
  <c r="S1190"/>
  <c r="Q1186"/>
  <c r="R1186"/>
  <c r="S1186"/>
  <c r="Q1182"/>
  <c r="R1182"/>
  <c r="S1182"/>
  <c r="Q1178"/>
  <c r="R1178"/>
  <c r="S1178"/>
  <c r="R88"/>
  <c r="S88"/>
  <c r="Q88"/>
  <c r="R84"/>
  <c r="S84"/>
  <c r="Q84"/>
  <c r="R80"/>
  <c r="S80"/>
  <c r="Q80"/>
  <c r="R76"/>
  <c r="S76"/>
  <c r="Q76"/>
  <c r="R72"/>
  <c r="S72"/>
  <c r="Q72"/>
  <c r="R68"/>
  <c r="S68"/>
  <c r="Q68"/>
  <c r="R64"/>
  <c r="S64"/>
  <c r="Q64"/>
  <c r="R60"/>
  <c r="S60"/>
  <c r="Q60"/>
  <c r="R56"/>
  <c r="S56"/>
  <c r="Q56"/>
  <c r="R52"/>
  <c r="S52"/>
  <c r="Q52"/>
  <c r="Q33"/>
  <c r="R33"/>
  <c r="S33"/>
  <c r="Q29"/>
  <c r="R29"/>
  <c r="S29"/>
  <c r="Q25"/>
  <c r="R25"/>
  <c r="S25"/>
  <c r="S161"/>
  <c r="Q161"/>
  <c r="R161"/>
  <c r="A1422"/>
  <c r="A1420"/>
  <c r="A1408"/>
  <c r="A1393"/>
  <c r="A1391"/>
  <c r="A1375"/>
  <c r="A1363"/>
  <c r="A1361"/>
  <c r="A1348"/>
  <c r="A1344"/>
  <c r="A1343"/>
  <c r="A1337"/>
  <c r="A1333"/>
  <c r="A1331"/>
  <c r="A1327"/>
  <c r="A1325"/>
  <c r="A1321"/>
  <c r="A1313"/>
  <c r="A1308"/>
  <c r="A1304"/>
  <c r="A1300"/>
  <c r="A1296"/>
  <c r="A1279"/>
  <c r="A1261"/>
  <c r="A329"/>
  <c r="A323"/>
  <c r="A1219"/>
  <c r="A1215"/>
  <c r="A1067"/>
  <c r="A1211"/>
  <c r="A1207"/>
  <c r="A1203"/>
  <c r="A978"/>
  <c r="A974"/>
  <c r="A970"/>
  <c r="A964"/>
  <c r="A960"/>
  <c r="A956"/>
  <c r="A952"/>
  <c r="A948"/>
  <c r="A940"/>
  <c r="A936"/>
  <c r="A932"/>
  <c r="A921"/>
  <c r="A916"/>
  <c r="A912"/>
  <c r="A908"/>
  <c r="A898"/>
  <c r="A877"/>
  <c r="A896"/>
  <c r="A890"/>
  <c r="A886"/>
  <c r="A880"/>
  <c r="A872"/>
  <c r="A870"/>
  <c r="A866"/>
  <c r="A861"/>
  <c r="A857"/>
  <c r="A853"/>
  <c r="A849"/>
  <c r="A845"/>
  <c r="A841"/>
  <c r="A839"/>
  <c r="A836"/>
  <c r="A831"/>
  <c r="A826"/>
  <c r="A822"/>
  <c r="A815"/>
  <c r="A811"/>
  <c r="A806"/>
  <c r="A801"/>
  <c r="A799"/>
  <c r="A794"/>
  <c r="A790"/>
  <c r="A787"/>
  <c r="A783"/>
  <c r="A779"/>
  <c r="A775"/>
  <c r="A771"/>
  <c r="A767"/>
  <c r="A763"/>
  <c r="A759"/>
  <c r="A755"/>
  <c r="A752"/>
  <c r="A750"/>
  <c r="A746"/>
  <c r="A744"/>
  <c r="A742"/>
  <c r="A740"/>
  <c r="A738"/>
  <c r="A736"/>
  <c r="A734"/>
  <c r="A732"/>
  <c r="A730"/>
  <c r="A728"/>
  <c r="A726"/>
  <c r="A724"/>
  <c r="A722"/>
  <c r="A720"/>
  <c r="A718"/>
  <c r="A716"/>
  <c r="A714"/>
  <c r="A712"/>
  <c r="A710"/>
  <c r="A708"/>
  <c r="A706"/>
  <c r="A704"/>
  <c r="A1200"/>
  <c r="A1198"/>
  <c r="A1196"/>
  <c r="A1194"/>
  <c r="A1192"/>
  <c r="A1190"/>
  <c r="A1188"/>
  <c r="A1186"/>
  <c r="A1184"/>
  <c r="A1425"/>
  <c r="A1412"/>
  <c r="A1398"/>
  <c r="A1379"/>
  <c r="A1365"/>
  <c r="A1358"/>
  <c r="A1346"/>
  <c r="A1341"/>
  <c r="A1339"/>
  <c r="A1335"/>
  <c r="A1329"/>
  <c r="A1323"/>
  <c r="A1315"/>
  <c r="A1256"/>
  <c r="A1310"/>
  <c r="A1306"/>
  <c r="A1302"/>
  <c r="A1298"/>
  <c r="A1281"/>
  <c r="A1276"/>
  <c r="A1259"/>
  <c r="A325"/>
  <c r="A1224"/>
  <c r="A1221"/>
  <c r="A1217"/>
  <c r="A1213"/>
  <c r="A1228"/>
  <c r="A907"/>
  <c r="A1209"/>
  <c r="A1205"/>
  <c r="A976"/>
  <c r="A972"/>
  <c r="A968"/>
  <c r="A966"/>
  <c r="A962"/>
  <c r="A958"/>
  <c r="A954"/>
  <c r="A950"/>
  <c r="A946"/>
  <c r="A938"/>
  <c r="A934"/>
  <c r="A930"/>
  <c r="A923"/>
  <c r="A919"/>
  <c r="A914"/>
  <c r="A910"/>
  <c r="A900"/>
  <c r="A894"/>
  <c r="A892"/>
  <c r="A888"/>
  <c r="A884"/>
  <c r="A882"/>
  <c r="A878"/>
  <c r="A868"/>
  <c r="A859"/>
  <c r="A855"/>
  <c r="A851"/>
  <c r="A847"/>
  <c r="A843"/>
  <c r="A837"/>
  <c r="A833"/>
  <c r="A824"/>
  <c r="A817"/>
  <c r="A813"/>
  <c r="A809"/>
  <c r="A804"/>
  <c r="A807"/>
  <c r="A796"/>
  <c r="A792"/>
  <c r="A785"/>
  <c r="A781"/>
  <c r="A777"/>
  <c r="A773"/>
  <c r="A769"/>
  <c r="A765"/>
  <c r="A761"/>
  <c r="A757"/>
  <c r="A748"/>
  <c r="A1182"/>
  <c r="A1180"/>
  <c r="A1178"/>
  <c r="A90"/>
  <c r="A88"/>
  <c r="A86"/>
  <c r="A84"/>
  <c r="A82"/>
  <c r="A80"/>
  <c r="A78"/>
  <c r="A76"/>
  <c r="A74"/>
  <c r="A72"/>
  <c r="A70"/>
  <c r="A68"/>
  <c r="A66"/>
  <c r="A64"/>
  <c r="A62"/>
  <c r="A60"/>
  <c r="A58"/>
  <c r="A56"/>
  <c r="A54"/>
  <c r="A52"/>
  <c r="A50"/>
  <c r="A33"/>
  <c r="A31"/>
  <c r="A29"/>
  <c r="A27"/>
  <c r="A25"/>
  <c r="A163"/>
  <c r="A161"/>
  <c r="A1424"/>
  <c r="A1421"/>
  <c r="A1419"/>
  <c r="A1409"/>
  <c r="A367"/>
  <c r="A1397"/>
  <c r="A1392"/>
  <c r="A1380"/>
  <c r="A1376"/>
  <c r="A1366"/>
  <c r="A1364"/>
  <c r="A1362"/>
  <c r="A1360"/>
  <c r="A1354"/>
  <c r="A1347"/>
  <c r="A1345"/>
  <c r="A1267"/>
  <c r="A1342"/>
  <c r="A1340"/>
  <c r="A1338"/>
  <c r="A1336"/>
  <c r="A1334"/>
  <c r="A1332"/>
  <c r="A1330"/>
  <c r="A1328"/>
  <c r="A1326"/>
  <c r="A1324"/>
  <c r="A1322"/>
  <c r="A1316"/>
  <c r="A1314"/>
  <c r="A1312"/>
  <c r="A1311"/>
  <c r="A1309"/>
  <c r="A1307"/>
  <c r="A1305"/>
  <c r="A1303"/>
  <c r="A1301"/>
  <c r="A1299"/>
  <c r="A1297"/>
  <c r="A1295"/>
  <c r="A1280"/>
  <c r="A1277"/>
  <c r="A1272"/>
  <c r="A1260"/>
  <c r="A1258"/>
  <c r="A328"/>
  <c r="A324"/>
  <c r="A1225"/>
  <c r="A1222"/>
  <c r="A1220"/>
  <c r="A1218"/>
  <c r="A1216"/>
  <c r="A1214"/>
  <c r="A1226"/>
  <c r="A1227"/>
  <c r="A918"/>
  <c r="A1212"/>
  <c r="A1210"/>
  <c r="A1208"/>
  <c r="A1206"/>
  <c r="A1204"/>
  <c r="A1202"/>
  <c r="A979"/>
  <c r="A977"/>
  <c r="A975"/>
  <c r="A973"/>
  <c r="A971"/>
  <c r="A969"/>
  <c r="A967"/>
  <c r="A965"/>
  <c r="A963"/>
  <c r="A961"/>
  <c r="A959"/>
  <c r="A957"/>
  <c r="A955"/>
  <c r="A953"/>
  <c r="A951"/>
  <c r="A949"/>
  <c r="A947"/>
  <c r="A941"/>
  <c r="A939"/>
  <c r="A937"/>
  <c r="A935"/>
  <c r="A933"/>
  <c r="A931"/>
  <c r="A929"/>
  <c r="A922"/>
  <c r="A920"/>
  <c r="A917"/>
  <c r="A915"/>
  <c r="A913"/>
  <c r="A911"/>
  <c r="A909"/>
  <c r="A901"/>
  <c r="A899"/>
  <c r="A897"/>
  <c r="A874"/>
  <c r="A895"/>
  <c r="A893"/>
  <c r="A891"/>
  <c r="A889"/>
  <c r="A887"/>
  <c r="A885"/>
  <c r="A883"/>
  <c r="A881"/>
  <c r="A879"/>
  <c r="A873"/>
  <c r="A871"/>
  <c r="A869"/>
  <c r="A867"/>
  <c r="A860"/>
  <c r="A858"/>
  <c r="A856"/>
  <c r="A854"/>
  <c r="A852"/>
  <c r="A850"/>
  <c r="A848"/>
  <c r="A846"/>
  <c r="A844"/>
  <c r="A842"/>
  <c r="A840"/>
  <c r="A838"/>
  <c r="A835"/>
  <c r="A834"/>
  <c r="A832"/>
  <c r="A828"/>
  <c r="A825"/>
  <c r="A823"/>
  <c r="A818"/>
  <c r="A816"/>
  <c r="A814"/>
  <c r="A812"/>
  <c r="A810"/>
  <c r="A808"/>
  <c r="A805"/>
  <c r="A802"/>
  <c r="A800"/>
  <c r="A803"/>
  <c r="A798"/>
  <c r="A795"/>
  <c r="A793"/>
  <c r="A791"/>
  <c r="A788"/>
  <c r="A786"/>
  <c r="A784"/>
  <c r="A782"/>
  <c r="A780"/>
  <c r="A778"/>
  <c r="A776"/>
  <c r="A774"/>
  <c r="A772"/>
  <c r="A770"/>
  <c r="A768"/>
  <c r="A766"/>
  <c r="A764"/>
  <c r="A762"/>
  <c r="A760"/>
  <c r="A758"/>
  <c r="A756"/>
  <c r="A753"/>
  <c r="A751"/>
  <c r="A749"/>
  <c r="A747"/>
  <c r="A745"/>
  <c r="A743"/>
  <c r="A741"/>
  <c r="A739"/>
  <c r="A737"/>
  <c r="A735"/>
  <c r="A733"/>
  <c r="A731"/>
  <c r="A729"/>
  <c r="A727"/>
  <c r="A725"/>
  <c r="A723"/>
  <c r="A721"/>
  <c r="A719"/>
  <c r="A717"/>
  <c r="A715"/>
  <c r="A713"/>
  <c r="A711"/>
  <c r="A709"/>
  <c r="A707"/>
  <c r="A705"/>
  <c r="A1201"/>
  <c r="A1199"/>
  <c r="A1197"/>
  <c r="A1195"/>
  <c r="A1193"/>
  <c r="A1191"/>
  <c r="A1189"/>
  <c r="A1187"/>
  <c r="A1185"/>
  <c r="A1183"/>
  <c r="A1181"/>
  <c r="A1179"/>
  <c r="A1177"/>
  <c r="A89"/>
  <c r="A87"/>
  <c r="A85"/>
  <c r="A83"/>
  <c r="A81"/>
  <c r="A79"/>
  <c r="A77"/>
  <c r="A75"/>
  <c r="A73"/>
  <c r="A71"/>
  <c r="A69"/>
  <c r="A67"/>
  <c r="A65"/>
  <c r="A63"/>
  <c r="A61"/>
  <c r="A59"/>
  <c r="A57"/>
  <c r="A55"/>
  <c r="A53"/>
  <c r="A51"/>
  <c r="A49"/>
  <c r="A32"/>
  <c r="A30"/>
  <c r="A28"/>
  <c r="A26"/>
  <c r="A164"/>
  <c r="A162"/>
  <c r="M522"/>
  <c r="C522"/>
  <c r="AD522" s="1"/>
  <c r="M503"/>
  <c r="M501"/>
  <c r="C503"/>
  <c r="AD503" s="1"/>
  <c r="M502"/>
  <c r="C502"/>
  <c r="AD502" s="1"/>
  <c r="C501"/>
  <c r="AD501" s="1"/>
  <c r="J308"/>
  <c r="B503" l="1"/>
  <c r="B502"/>
  <c r="B522"/>
  <c r="B501"/>
  <c r="M293"/>
  <c r="M294"/>
  <c r="M295"/>
  <c r="M296"/>
  <c r="M292"/>
  <c r="S502" l="1"/>
  <c r="R502"/>
  <c r="Q502"/>
  <c r="Q501"/>
  <c r="R501"/>
  <c r="S501"/>
  <c r="S522"/>
  <c r="Q522"/>
  <c r="R522"/>
  <c r="R503"/>
  <c r="S503"/>
  <c r="Q503"/>
  <c r="A501"/>
  <c r="A522"/>
  <c r="A503"/>
  <c r="A502"/>
  <c r="C944"/>
  <c r="AD944" s="1"/>
  <c r="C945"/>
  <c r="AD945" s="1"/>
  <c r="M944"/>
  <c r="M743"/>
  <c r="M742"/>
  <c r="M942"/>
  <c r="M943"/>
  <c r="M946"/>
  <c r="M875"/>
  <c r="M876"/>
  <c r="M924"/>
  <c r="M925"/>
  <c r="M926"/>
  <c r="M927"/>
  <c r="M902"/>
  <c r="M903"/>
  <c r="M904"/>
  <c r="M905"/>
  <c r="C903"/>
  <c r="AD903" s="1"/>
  <c r="C904"/>
  <c r="AD904" s="1"/>
  <c r="C905"/>
  <c r="AD905" s="1"/>
  <c r="C906"/>
  <c r="AD906" s="1"/>
  <c r="C924"/>
  <c r="AD924" s="1"/>
  <c r="C925"/>
  <c r="AD925" s="1"/>
  <c r="C926"/>
  <c r="AD926" s="1"/>
  <c r="C927"/>
  <c r="AD927" s="1"/>
  <c r="C928"/>
  <c r="AD928" s="1"/>
  <c r="C875"/>
  <c r="AD875" s="1"/>
  <c r="C876"/>
  <c r="AD876" s="1"/>
  <c r="C942"/>
  <c r="AD942" s="1"/>
  <c r="C943"/>
  <c r="AD943" s="1"/>
  <c r="C902"/>
  <c r="AD902" s="1"/>
  <c r="B875" l="1"/>
  <c r="B942"/>
  <c r="B902"/>
  <c r="B925"/>
  <c r="B904"/>
  <c r="B943"/>
  <c r="B928"/>
  <c r="B924"/>
  <c r="B903"/>
  <c r="B927"/>
  <c r="B945"/>
  <c r="B906"/>
  <c r="B876"/>
  <c r="B926"/>
  <c r="B905"/>
  <c r="B944"/>
  <c r="Q926" l="1"/>
  <c r="R926"/>
  <c r="S926"/>
  <c r="Q943"/>
  <c r="R943"/>
  <c r="S943"/>
  <c r="S903"/>
  <c r="Q903"/>
  <c r="R903"/>
  <c r="R904"/>
  <c r="S904"/>
  <c r="Q904"/>
  <c r="Q944"/>
  <c r="R944"/>
  <c r="S944"/>
  <c r="Q906"/>
  <c r="R906"/>
  <c r="S906"/>
  <c r="R924"/>
  <c r="S924"/>
  <c r="Q924"/>
  <c r="Q925"/>
  <c r="R925"/>
  <c r="S925"/>
  <c r="S927"/>
  <c r="Q927"/>
  <c r="R927"/>
  <c r="R942"/>
  <c r="S942"/>
  <c r="Q942"/>
  <c r="R876"/>
  <c r="S876"/>
  <c r="Q876"/>
  <c r="S875"/>
  <c r="Q875"/>
  <c r="R875"/>
  <c r="Q905"/>
  <c r="R905"/>
  <c r="S905"/>
  <c r="S945"/>
  <c r="Q945"/>
  <c r="R945"/>
  <c r="R928"/>
  <c r="S928"/>
  <c r="Q928"/>
  <c r="Q902"/>
  <c r="R902"/>
  <c r="S902"/>
  <c r="A944"/>
  <c r="A905"/>
  <c r="A876"/>
  <c r="A945"/>
  <c r="A903"/>
  <c r="A928"/>
  <c r="A904"/>
  <c r="A902"/>
  <c r="A875"/>
  <c r="A926"/>
  <c r="A906"/>
  <c r="A927"/>
  <c r="A924"/>
  <c r="A943"/>
  <c r="A925"/>
  <c r="A942"/>
  <c r="U10"/>
  <c r="V10"/>
  <c r="T10"/>
  <c r="I6" i="43"/>
  <c r="M929" i="34"/>
  <c r="M930"/>
  <c r="M931"/>
  <c r="M932"/>
  <c r="M933"/>
  <c r="M934"/>
  <c r="M935"/>
  <c r="M936"/>
  <c r="M965"/>
  <c r="M877"/>
  <c r="M951"/>
  <c r="M952"/>
  <c r="M953"/>
  <c r="M954"/>
  <c r="M923"/>
  <c r="M949"/>
  <c r="M874"/>
  <c r="M941"/>
  <c r="M901"/>
  <c r="T944" l="1"/>
  <c r="V2032"/>
  <c r="V2030"/>
  <c r="T2032"/>
  <c r="V1610"/>
  <c r="V1611"/>
  <c r="U2032"/>
  <c r="T2030"/>
  <c r="T1611"/>
  <c r="V1609"/>
  <c r="T1610"/>
  <c r="U2030"/>
  <c r="U1611"/>
  <c r="U1610"/>
  <c r="T1609"/>
  <c r="U1609"/>
  <c r="U1672"/>
  <c r="T1669"/>
  <c r="U1665"/>
  <c r="V1672"/>
  <c r="U1669"/>
  <c r="T1675"/>
  <c r="T1672"/>
  <c r="V1665"/>
  <c r="U1675"/>
  <c r="V1669"/>
  <c r="T1665"/>
  <c r="V1675"/>
  <c r="U2128"/>
  <c r="U2126"/>
  <c r="T2124"/>
  <c r="U2120"/>
  <c r="U2118"/>
  <c r="T2116"/>
  <c r="U2112"/>
  <c r="U2110"/>
  <c r="T2108"/>
  <c r="U2104"/>
  <c r="U2102"/>
  <c r="T2100"/>
  <c r="U2096"/>
  <c r="U2094"/>
  <c r="T2092"/>
  <c r="U2088"/>
  <c r="U2044"/>
  <c r="T2029"/>
  <c r="V1679"/>
  <c r="U1666"/>
  <c r="T1697"/>
  <c r="T2129"/>
  <c r="T2127"/>
  <c r="V2125"/>
  <c r="T2121"/>
  <c r="T2119"/>
  <c r="V2117"/>
  <c r="T2113"/>
  <c r="T2111"/>
  <c r="V2109"/>
  <c r="T2105"/>
  <c r="T2103"/>
  <c r="V2101"/>
  <c r="T2097"/>
  <c r="T2095"/>
  <c r="V2093"/>
  <c r="T2089"/>
  <c r="T2087"/>
  <c r="V2031"/>
  <c r="U1682"/>
  <c r="U1691"/>
  <c r="V1694"/>
  <c r="V2128"/>
  <c r="V2126"/>
  <c r="T2122"/>
  <c r="V2120"/>
  <c r="V2118"/>
  <c r="T2114"/>
  <c r="V2112"/>
  <c r="V2110"/>
  <c r="T2106"/>
  <c r="V2104"/>
  <c r="V2102"/>
  <c r="T2098"/>
  <c r="V2096"/>
  <c r="V2094"/>
  <c r="T2090"/>
  <c r="V2088"/>
  <c r="V2044"/>
  <c r="T1685"/>
  <c r="T1679"/>
  <c r="V1666"/>
  <c r="T2013"/>
  <c r="U2129"/>
  <c r="U2127"/>
  <c r="V2123"/>
  <c r="U2121"/>
  <c r="U2119"/>
  <c r="V2115"/>
  <c r="U2113"/>
  <c r="U2111"/>
  <c r="V2107"/>
  <c r="U2105"/>
  <c r="U2103"/>
  <c r="V2099"/>
  <c r="U2097"/>
  <c r="U2095"/>
  <c r="V2091"/>
  <c r="U2089"/>
  <c r="U2087"/>
  <c r="T1688"/>
  <c r="V1682"/>
  <c r="V1691"/>
  <c r="V1700"/>
  <c r="T2128"/>
  <c r="U2124"/>
  <c r="U2122"/>
  <c r="T2120"/>
  <c r="U2116"/>
  <c r="U2114"/>
  <c r="T2112"/>
  <c r="U2108"/>
  <c r="U2106"/>
  <c r="T2104"/>
  <c r="U2100"/>
  <c r="U2098"/>
  <c r="T2096"/>
  <c r="U2092"/>
  <c r="U2090"/>
  <c r="T2088"/>
  <c r="U2029"/>
  <c r="U1685"/>
  <c r="U1679"/>
  <c r="U1697"/>
  <c r="U2013"/>
  <c r="V2129"/>
  <c r="T2125"/>
  <c r="T2123"/>
  <c r="V2121"/>
  <c r="T2117"/>
  <c r="T2115"/>
  <c r="V2113"/>
  <c r="T2109"/>
  <c r="T2107"/>
  <c r="V2105"/>
  <c r="T2101"/>
  <c r="T2099"/>
  <c r="V2097"/>
  <c r="T2093"/>
  <c r="T2091"/>
  <c r="V2089"/>
  <c r="T2031"/>
  <c r="U1688"/>
  <c r="T1682"/>
  <c r="T1694"/>
  <c r="T1700"/>
  <c r="T2126"/>
  <c r="V2124"/>
  <c r="V2122"/>
  <c r="T2118"/>
  <c r="V2116"/>
  <c r="V2114"/>
  <c r="T2110"/>
  <c r="V2108"/>
  <c r="V2106"/>
  <c r="T2102"/>
  <c r="V2100"/>
  <c r="V2098"/>
  <c r="T2094"/>
  <c r="V2092"/>
  <c r="V2090"/>
  <c r="T2044"/>
  <c r="V2029"/>
  <c r="V1685"/>
  <c r="T1666"/>
  <c r="V1697"/>
  <c r="V2013"/>
  <c r="V2127"/>
  <c r="U2125"/>
  <c r="U2123"/>
  <c r="V2119"/>
  <c r="U2117"/>
  <c r="U2115"/>
  <c r="V2111"/>
  <c r="U2109"/>
  <c r="U2107"/>
  <c r="V2103"/>
  <c r="U2101"/>
  <c r="U2099"/>
  <c r="V2095"/>
  <c r="U2093"/>
  <c r="U2091"/>
  <c r="V2087"/>
  <c r="U2031"/>
  <c r="V1688"/>
  <c r="T1691"/>
  <c r="U1694"/>
  <c r="U1700"/>
  <c r="V1902"/>
  <c r="U1904"/>
  <c r="U1906"/>
  <c r="T1909"/>
  <c r="U1901"/>
  <c r="T1903"/>
  <c r="U1907"/>
  <c r="U1900"/>
  <c r="U1910"/>
  <c r="T1902"/>
  <c r="V1904"/>
  <c r="T1908"/>
  <c r="U1909"/>
  <c r="V1901"/>
  <c r="T1905"/>
  <c r="V1907"/>
  <c r="V1900"/>
  <c r="U1902"/>
  <c r="V1906"/>
  <c r="U1908"/>
  <c r="V1909"/>
  <c r="U1903"/>
  <c r="U1905"/>
  <c r="T1907"/>
  <c r="V1910"/>
  <c r="T1904"/>
  <c r="T1906"/>
  <c r="V1908"/>
  <c r="T1901"/>
  <c r="V1903"/>
  <c r="V1905"/>
  <c r="T1900"/>
  <c r="T1910"/>
  <c r="T1741"/>
  <c r="U1737"/>
  <c r="V1720"/>
  <c r="U1693"/>
  <c r="V1681"/>
  <c r="T1674"/>
  <c r="T1617"/>
  <c r="U1614"/>
  <c r="T1600"/>
  <c r="U1592"/>
  <c r="V1588"/>
  <c r="T1584"/>
  <c r="T1565"/>
  <c r="T1541"/>
  <c r="V1520"/>
  <c r="T1512"/>
  <c r="V1499"/>
  <c r="T1724"/>
  <c r="T1605"/>
  <c r="T1638"/>
  <c r="V1620"/>
  <c r="T1544"/>
  <c r="V1526"/>
  <c r="U1575"/>
  <c r="U1651"/>
  <c r="T1654"/>
  <c r="T1889"/>
  <c r="U1814"/>
  <c r="V1911"/>
  <c r="V1829"/>
  <c r="T1833"/>
  <c r="T1835"/>
  <c r="T1836"/>
  <c r="V1525"/>
  <c r="T1740"/>
  <c r="T1736"/>
  <c r="U1719"/>
  <c r="U1713"/>
  <c r="U1690"/>
  <c r="V1671"/>
  <c r="T1661"/>
  <c r="U1607"/>
  <c r="V1599"/>
  <c r="T1595"/>
  <c r="U1591"/>
  <c r="V1583"/>
  <c r="U1573"/>
  <c r="V1561"/>
  <c r="U1519"/>
  <c r="V1515"/>
  <c r="U1502"/>
  <c r="T1535"/>
  <c r="V1572"/>
  <c r="V1649"/>
  <c r="U1619"/>
  <c r="U1562"/>
  <c r="V1543"/>
  <c r="T1527"/>
  <c r="U1578"/>
  <c r="V1624"/>
  <c r="V1743"/>
  <c r="V1627"/>
  <c r="U1865"/>
  <c r="T1804"/>
  <c r="U1863"/>
  <c r="T1824"/>
  <c r="T1868"/>
  <c r="T1788"/>
  <c r="U1739"/>
  <c r="T1722"/>
  <c r="T1718"/>
  <c r="V1699"/>
  <c r="T1664"/>
  <c r="U1668"/>
  <c r="U1650"/>
  <c r="T1602"/>
  <c r="U1598"/>
  <c r="V1594"/>
  <c r="T1586"/>
  <c r="U1582"/>
  <c r="U1567"/>
  <c r="T1540"/>
  <c r="T1522"/>
  <c r="U1518"/>
  <c r="T1501"/>
  <c r="U1741"/>
  <c r="V1737"/>
  <c r="T1716"/>
  <c r="V1693"/>
  <c r="T1681"/>
  <c r="U1662"/>
  <c r="U1617"/>
  <c r="V1614"/>
  <c r="U1596"/>
  <c r="V1592"/>
  <c r="T1588"/>
  <c r="U1580"/>
  <c r="U1565"/>
  <c r="U1541"/>
  <c r="T1516"/>
  <c r="U1512"/>
  <c r="T1499"/>
  <c r="T1497"/>
  <c r="U1605"/>
  <c r="U1638"/>
  <c r="V1563"/>
  <c r="U1544"/>
  <c r="T1526"/>
  <c r="U1623"/>
  <c r="V1651"/>
  <c r="U1654"/>
  <c r="T1826"/>
  <c r="V1814"/>
  <c r="T1911"/>
  <c r="V1831"/>
  <c r="U1833"/>
  <c r="U1835"/>
  <c r="T1838"/>
  <c r="T1525"/>
  <c r="V1740"/>
  <c r="V1723"/>
  <c r="V1719"/>
  <c r="V1713"/>
  <c r="V1678"/>
  <c r="T1671"/>
  <c r="U1661"/>
  <c r="T1613"/>
  <c r="T1599"/>
  <c r="U1595"/>
  <c r="V1587"/>
  <c r="T1583"/>
  <c r="V1573"/>
  <c r="T1524"/>
  <c r="V1519"/>
  <c r="T1515"/>
  <c r="V1498"/>
  <c r="U1535"/>
  <c r="T1572"/>
  <c r="T1637"/>
  <c r="V1619"/>
  <c r="V1562"/>
  <c r="U1616"/>
  <c r="U1527"/>
  <c r="V1578"/>
  <c r="T1652"/>
  <c r="U1743"/>
  <c r="T1627"/>
  <c r="T1822"/>
  <c r="U1804"/>
  <c r="V1863"/>
  <c r="U1866"/>
  <c r="U1868"/>
  <c r="U1788"/>
  <c r="V1735"/>
  <c r="U1722"/>
  <c r="U1718"/>
  <c r="T1687"/>
  <c r="U1664"/>
  <c r="V1668"/>
  <c r="V1615"/>
  <c r="V1741"/>
  <c r="T1720"/>
  <c r="U1716"/>
  <c r="T1693"/>
  <c r="U1674"/>
  <c r="V1662"/>
  <c r="V1617"/>
  <c r="U1600"/>
  <c r="V1596"/>
  <c r="T1592"/>
  <c r="U1584"/>
  <c r="V1580"/>
  <c r="V1565"/>
  <c r="T1520"/>
  <c r="U1516"/>
  <c r="V1512"/>
  <c r="U1724"/>
  <c r="U1497"/>
  <c r="V1605"/>
  <c r="T1620"/>
  <c r="T1563"/>
  <c r="V1544"/>
  <c r="V1575"/>
  <c r="V1623"/>
  <c r="T1651"/>
  <c r="U1889"/>
  <c r="U1826"/>
  <c r="T1814"/>
  <c r="T1829"/>
  <c r="T1831"/>
  <c r="V1833"/>
  <c r="U1836"/>
  <c r="U1838"/>
  <c r="U1525"/>
  <c r="U1736"/>
  <c r="T1723"/>
  <c r="T1719"/>
  <c r="V1690"/>
  <c r="T1678"/>
  <c r="U1671"/>
  <c r="V1607"/>
  <c r="U1613"/>
  <c r="U1599"/>
  <c r="V1591"/>
  <c r="T1587"/>
  <c r="U1583"/>
  <c r="T1561"/>
  <c r="U1524"/>
  <c r="T1519"/>
  <c r="V1502"/>
  <c r="T1498"/>
  <c r="V1535"/>
  <c r="T1649"/>
  <c r="U1637"/>
  <c r="T1619"/>
  <c r="T1543"/>
  <c r="V1616"/>
  <c r="V1527"/>
  <c r="T1624"/>
  <c r="U1652"/>
  <c r="T1743"/>
  <c r="V1865"/>
  <c r="U1822"/>
  <c r="V1804"/>
  <c r="U1824"/>
  <c r="V1866"/>
  <c r="V1868"/>
  <c r="V1739"/>
  <c r="U1735"/>
  <c r="V1722"/>
  <c r="T1699"/>
  <c r="U1687"/>
  <c r="V1664"/>
  <c r="V1650"/>
  <c r="T1615"/>
  <c r="T1737"/>
  <c r="U1720"/>
  <c r="V1716"/>
  <c r="U1681"/>
  <c r="V1674"/>
  <c r="T1662"/>
  <c r="T1614"/>
  <c r="V1600"/>
  <c r="T1596"/>
  <c r="U1588"/>
  <c r="V1584"/>
  <c r="T1580"/>
  <c r="V1541"/>
  <c r="U1520"/>
  <c r="V1516"/>
  <c r="U1499"/>
  <c r="V1724"/>
  <c r="V1497"/>
  <c r="V1638"/>
  <c r="U1620"/>
  <c r="U1563"/>
  <c r="U1526"/>
  <c r="T1575"/>
  <c r="T1623"/>
  <c r="V1654"/>
  <c r="V1889"/>
  <c r="V1826"/>
  <c r="U1911"/>
  <c r="U1829"/>
  <c r="U1831"/>
  <c r="V1835"/>
  <c r="V1836"/>
  <c r="V1838"/>
  <c r="U1740"/>
  <c r="V1736"/>
  <c r="U1723"/>
  <c r="T1713"/>
  <c r="T1690"/>
  <c r="U1678"/>
  <c r="V1661"/>
  <c r="T1607"/>
  <c r="V1613"/>
  <c r="V1595"/>
  <c r="T1591"/>
  <c r="U1587"/>
  <c r="T1573"/>
  <c r="U1561"/>
  <c r="V1524"/>
  <c r="U1515"/>
  <c r="T1502"/>
  <c r="U1498"/>
  <c r="U1572"/>
  <c r="U1649"/>
  <c r="V1637"/>
  <c r="T1562"/>
  <c r="U1543"/>
  <c r="T1616"/>
  <c r="T1578"/>
  <c r="U1624"/>
  <c r="V1652"/>
  <c r="U1627"/>
  <c r="T1865"/>
  <c r="V1822"/>
  <c r="T1863"/>
  <c r="V1824"/>
  <c r="T1866"/>
  <c r="V1788"/>
  <c r="T1739"/>
  <c r="T1735"/>
  <c r="V1718"/>
  <c r="U1699"/>
  <c r="V1687"/>
  <c r="T1668"/>
  <c r="T1650"/>
  <c r="U1615"/>
  <c r="T1598"/>
  <c r="U1594"/>
  <c r="V1590"/>
  <c r="T1582"/>
  <c r="T1567"/>
  <c r="T1560"/>
  <c r="V1522"/>
  <c r="T1518"/>
  <c r="U1514"/>
  <c r="U1564"/>
  <c r="U1602"/>
  <c r="T1590"/>
  <c r="V1582"/>
  <c r="U1540"/>
  <c r="V1514"/>
  <c r="V1564"/>
  <c r="V1534"/>
  <c r="V1559"/>
  <c r="U1864"/>
  <c r="V1757"/>
  <c r="T1636"/>
  <c r="U1618"/>
  <c r="T1546"/>
  <c r="T1577"/>
  <c r="U1625"/>
  <c r="V1653"/>
  <c r="U1828"/>
  <c r="U1821"/>
  <c r="V1805"/>
  <c r="U1832"/>
  <c r="U1834"/>
  <c r="V1837"/>
  <c r="T1787"/>
  <c r="U1738"/>
  <c r="V1733"/>
  <c r="T1717"/>
  <c r="U1696"/>
  <c r="V1684"/>
  <c r="T1663"/>
  <c r="U1633"/>
  <c r="V1606"/>
  <c r="T1597"/>
  <c r="U1593"/>
  <c r="V1589"/>
  <c r="T1581"/>
  <c r="U1566"/>
  <c r="T1542"/>
  <c r="T1521"/>
  <c r="U1517"/>
  <c r="V1513"/>
  <c r="T1632"/>
  <c r="T1742"/>
  <c r="T1639"/>
  <c r="T1574"/>
  <c r="T1545"/>
  <c r="T1608"/>
  <c r="U1635"/>
  <c r="U1786"/>
  <c r="U1734"/>
  <c r="V1622"/>
  <c r="V1745"/>
  <c r="U1579"/>
  <c r="T1912"/>
  <c r="T1827"/>
  <c r="T1820"/>
  <c r="T1825"/>
  <c r="T1853"/>
  <c r="V1867"/>
  <c r="V1602"/>
  <c r="U1590"/>
  <c r="V1567"/>
  <c r="V1540"/>
  <c r="T1514"/>
  <c r="T1564"/>
  <c r="T1648"/>
  <c r="T1559"/>
  <c r="V1864"/>
  <c r="T1640"/>
  <c r="U1636"/>
  <c r="V1618"/>
  <c r="T1528"/>
  <c r="U1577"/>
  <c r="V1625"/>
  <c r="U1744"/>
  <c r="V1828"/>
  <c r="V1821"/>
  <c r="T1830"/>
  <c r="V1832"/>
  <c r="V1834"/>
  <c r="T1860"/>
  <c r="U1787"/>
  <c r="V1738"/>
  <c r="T1721"/>
  <c r="U1717"/>
  <c r="V1696"/>
  <c r="T1677"/>
  <c r="U1663"/>
  <c r="V1633"/>
  <c r="T1601"/>
  <c r="U1597"/>
  <c r="V1593"/>
  <c r="T1585"/>
  <c r="U1581"/>
  <c r="V1566"/>
  <c r="T1539"/>
  <c r="U1521"/>
  <c r="V1517"/>
  <c r="T1500"/>
  <c r="U1632"/>
  <c r="U1742"/>
  <c r="V1634"/>
  <c r="U1574"/>
  <c r="U1545"/>
  <c r="T1621"/>
  <c r="V1635"/>
  <c r="V1786"/>
  <c r="U1576"/>
  <c r="T1622"/>
  <c r="U1745"/>
  <c r="V1626"/>
  <c r="U1912"/>
  <c r="U1827"/>
  <c r="V1823"/>
  <c r="U1825"/>
  <c r="U1853"/>
  <c r="V1598"/>
  <c r="U1586"/>
  <c r="U1560"/>
  <c r="U1522"/>
  <c r="U1501"/>
  <c r="T1534"/>
  <c r="U1648"/>
  <c r="U1559"/>
  <c r="U1757"/>
  <c r="U1640"/>
  <c r="V1636"/>
  <c r="U1546"/>
  <c r="U1528"/>
  <c r="V1577"/>
  <c r="T1653"/>
  <c r="V1744"/>
  <c r="T1828"/>
  <c r="T1805"/>
  <c r="U1830"/>
  <c r="T1832"/>
  <c r="T1837"/>
  <c r="U1860"/>
  <c r="V1787"/>
  <c r="T1733"/>
  <c r="U1721"/>
  <c r="V1717"/>
  <c r="T1684"/>
  <c r="U1677"/>
  <c r="V1663"/>
  <c r="T1606"/>
  <c r="U1601"/>
  <c r="V1597"/>
  <c r="T1589"/>
  <c r="U1585"/>
  <c r="V1581"/>
  <c r="U1542"/>
  <c r="U1539"/>
  <c r="V1521"/>
  <c r="T1513"/>
  <c r="U1500"/>
  <c r="V1632"/>
  <c r="U1639"/>
  <c r="T1634"/>
  <c r="V1574"/>
  <c r="U1608"/>
  <c r="U1621"/>
  <c r="T1635"/>
  <c r="T1734"/>
  <c r="V1576"/>
  <c r="U1622"/>
  <c r="V1579"/>
  <c r="T1626"/>
  <c r="V1912"/>
  <c r="U1820"/>
  <c r="T1823"/>
  <c r="V1825"/>
  <c r="T1867"/>
  <c r="T1594"/>
  <c r="V1586"/>
  <c r="V1560"/>
  <c r="V1518"/>
  <c r="V1501"/>
  <c r="U1534"/>
  <c r="V1648"/>
  <c r="T1864"/>
  <c r="T1757"/>
  <c r="V1640"/>
  <c r="T1618"/>
  <c r="V1546"/>
  <c r="V1528"/>
  <c r="T1625"/>
  <c r="U1653"/>
  <c r="T1744"/>
  <c r="T1821"/>
  <c r="U1805"/>
  <c r="V1830"/>
  <c r="T1834"/>
  <c r="U1837"/>
  <c r="V1860"/>
  <c r="T1738"/>
  <c r="U1733"/>
  <c r="V1721"/>
  <c r="T1696"/>
  <c r="U1684"/>
  <c r="V1677"/>
  <c r="T1633"/>
  <c r="U1606"/>
  <c r="V1601"/>
  <c r="T1593"/>
  <c r="U1589"/>
  <c r="V1585"/>
  <c r="T1566"/>
  <c r="V1542"/>
  <c r="V1539"/>
  <c r="T1517"/>
  <c r="U1513"/>
  <c r="V1500"/>
  <c r="V1742"/>
  <c r="V1639"/>
  <c r="U1634"/>
  <c r="V1545"/>
  <c r="V1608"/>
  <c r="V1621"/>
  <c r="T1786"/>
  <c r="V1734"/>
  <c r="T1576"/>
  <c r="T1745"/>
  <c r="T1579"/>
  <c r="U1626"/>
  <c r="V1827"/>
  <c r="V1820"/>
  <c r="U1823"/>
  <c r="V1853"/>
  <c r="U1867"/>
  <c r="V1427"/>
  <c r="V1445"/>
  <c r="V1469"/>
  <c r="V1480"/>
  <c r="U1455"/>
  <c r="U1481"/>
  <c r="T1453"/>
  <c r="T1439"/>
  <c r="V1451"/>
  <c r="V1435"/>
  <c r="T1414"/>
  <c r="U1423"/>
  <c r="V1440"/>
  <c r="T1474"/>
  <c r="T1476"/>
  <c r="V1477"/>
  <c r="U1468"/>
  <c r="V1448"/>
  <c r="T1459"/>
  <c r="T1432"/>
  <c r="U1434"/>
  <c r="U1357"/>
  <c r="T1413"/>
  <c r="U1438"/>
  <c r="T1463"/>
  <c r="U1465"/>
  <c r="V1472"/>
  <c r="T1458"/>
  <c r="U1446"/>
  <c r="V1467"/>
  <c r="V1415"/>
  <c r="T1433"/>
  <c r="U1430"/>
  <c r="T1466"/>
  <c r="U1464"/>
  <c r="U1479"/>
  <c r="V1428"/>
  <c r="T1436"/>
  <c r="U1429"/>
  <c r="T1457"/>
  <c r="U1462"/>
  <c r="U1482"/>
  <c r="V1478"/>
  <c r="V1449"/>
  <c r="V1461"/>
  <c r="T1471"/>
  <c r="U1456"/>
  <c r="T1427"/>
  <c r="U1445"/>
  <c r="T1443"/>
  <c r="U1480"/>
  <c r="V1455"/>
  <c r="T1460"/>
  <c r="U1453"/>
  <c r="U1439"/>
  <c r="V1437"/>
  <c r="T1435"/>
  <c r="U1414"/>
  <c r="V1431"/>
  <c r="T1440"/>
  <c r="U1474"/>
  <c r="T1442"/>
  <c r="T1477"/>
  <c r="V1468"/>
  <c r="T1454"/>
  <c r="U1459"/>
  <c r="U1432"/>
  <c r="V1418"/>
  <c r="V1357"/>
  <c r="U1413"/>
  <c r="T1447"/>
  <c r="U1463"/>
  <c r="V1465"/>
  <c r="T1444"/>
  <c r="U1458"/>
  <c r="V1446"/>
  <c r="T1452"/>
  <c r="T1415"/>
  <c r="U1433"/>
  <c r="T1450"/>
  <c r="U1466"/>
  <c r="V1464"/>
  <c r="V1417"/>
  <c r="T1428"/>
  <c r="U1436"/>
  <c r="V1441"/>
  <c r="U1457"/>
  <c r="V1462"/>
  <c r="V1475"/>
  <c r="T1478"/>
  <c r="U1449"/>
  <c r="T1470"/>
  <c r="U1471"/>
  <c r="V1456"/>
  <c r="U1427"/>
  <c r="T1469"/>
  <c r="U1443"/>
  <c r="T1480"/>
  <c r="V1481"/>
  <c r="U1460"/>
  <c r="V1453"/>
  <c r="T1451"/>
  <c r="T1437"/>
  <c r="U1435"/>
  <c r="V1423"/>
  <c r="T1431"/>
  <c r="U1440"/>
  <c r="V1476"/>
  <c r="U1442"/>
  <c r="U1477"/>
  <c r="T1448"/>
  <c r="U1454"/>
  <c r="V1459"/>
  <c r="V1434"/>
  <c r="T1418"/>
  <c r="T1357"/>
  <c r="V1438"/>
  <c r="U1447"/>
  <c r="V1463"/>
  <c r="T1472"/>
  <c r="U1444"/>
  <c r="V1458"/>
  <c r="T1467"/>
  <c r="U1452"/>
  <c r="U1415"/>
  <c r="V1430"/>
  <c r="U1450"/>
  <c r="V1466"/>
  <c r="V1479"/>
  <c r="T1417"/>
  <c r="U1428"/>
  <c r="V1429"/>
  <c r="T1441"/>
  <c r="V1457"/>
  <c r="V1482"/>
  <c r="T1475"/>
  <c r="U1478"/>
  <c r="T1461"/>
  <c r="U1470"/>
  <c r="V1471"/>
  <c r="T1445"/>
  <c r="U1469"/>
  <c r="V1443"/>
  <c r="T1455"/>
  <c r="T1481"/>
  <c r="V1460"/>
  <c r="V1439"/>
  <c r="U1451"/>
  <c r="U1437"/>
  <c r="V1414"/>
  <c r="T1423"/>
  <c r="U1431"/>
  <c r="V1474"/>
  <c r="U1476"/>
  <c r="V1442"/>
  <c r="T1468"/>
  <c r="U1448"/>
  <c r="V1454"/>
  <c r="V1432"/>
  <c r="T1434"/>
  <c r="U1418"/>
  <c r="V1413"/>
  <c r="T1438"/>
  <c r="V1447"/>
  <c r="T1465"/>
  <c r="U1472"/>
  <c r="V1444"/>
  <c r="T1446"/>
  <c r="U1467"/>
  <c r="V1452"/>
  <c r="V1433"/>
  <c r="T1430"/>
  <c r="V1450"/>
  <c r="T1464"/>
  <c r="T1479"/>
  <c r="U1417"/>
  <c r="V1436"/>
  <c r="T1429"/>
  <c r="U1441"/>
  <c r="T1462"/>
  <c r="T1482"/>
  <c r="U1475"/>
  <c r="T1449"/>
  <c r="U1461"/>
  <c r="V1470"/>
  <c r="T1456"/>
  <c r="V1266"/>
  <c r="U1353"/>
  <c r="V1349"/>
  <c r="T1350"/>
  <c r="U1317"/>
  <c r="V1319"/>
  <c r="T1318"/>
  <c r="U1352"/>
  <c r="U1266"/>
  <c r="V1353"/>
  <c r="T1320"/>
  <c r="U1350"/>
  <c r="V1317"/>
  <c r="T1351"/>
  <c r="U1318"/>
  <c r="V1352"/>
  <c r="T1266"/>
  <c r="T1349"/>
  <c r="U1320"/>
  <c r="V1350"/>
  <c r="T1319"/>
  <c r="U1351"/>
  <c r="V1318"/>
  <c r="T1353"/>
  <c r="U1349"/>
  <c r="V1320"/>
  <c r="T1317"/>
  <c r="U1319"/>
  <c r="V1351"/>
  <c r="T1352"/>
  <c r="V1294"/>
  <c r="T1293"/>
  <c r="U1294"/>
  <c r="U1293"/>
  <c r="T1294"/>
  <c r="V1293"/>
  <c r="U1126"/>
  <c r="U1089"/>
  <c r="V1036"/>
  <c r="V1146"/>
  <c r="T1142"/>
  <c r="U1129"/>
  <c r="T1100"/>
  <c r="U1096"/>
  <c r="V1092"/>
  <c r="T1084"/>
  <c r="U1080"/>
  <c r="T1046"/>
  <c r="T1039"/>
  <c r="U1035"/>
  <c r="T1030"/>
  <c r="V1017"/>
  <c r="U1019"/>
  <c r="T998"/>
  <c r="U1130"/>
  <c r="U1101"/>
  <c r="V1093"/>
  <c r="T1043"/>
  <c r="U1031"/>
  <c r="V1023"/>
  <c r="V1170"/>
  <c r="U1145"/>
  <c r="V1141"/>
  <c r="T1124"/>
  <c r="V1103"/>
  <c r="T1099"/>
  <c r="U1091"/>
  <c r="V1087"/>
  <c r="T1083"/>
  <c r="U1034"/>
  <c r="V1038"/>
  <c r="U1029"/>
  <c r="U1022"/>
  <c r="V1018"/>
  <c r="U993"/>
  <c r="U1147"/>
  <c r="V1122"/>
  <c r="V1097"/>
  <c r="T1040"/>
  <c r="U1027"/>
  <c r="V1169"/>
  <c r="T1148"/>
  <c r="U1144"/>
  <c r="V1135"/>
  <c r="T1123"/>
  <c r="T1102"/>
  <c r="U1098"/>
  <c r="V1090"/>
  <c r="T1086"/>
  <c r="U1082"/>
  <c r="T1044"/>
  <c r="T1041"/>
  <c r="U1037"/>
  <c r="T1024"/>
  <c r="T1021"/>
  <c r="V1000"/>
  <c r="V1126"/>
  <c r="V1089"/>
  <c r="T1020"/>
  <c r="T1146"/>
  <c r="U1142"/>
  <c r="V1125"/>
  <c r="U1100"/>
  <c r="V1096"/>
  <c r="T1088"/>
  <c r="U1084"/>
  <c r="V1080"/>
  <c r="U1042"/>
  <c r="U1039"/>
  <c r="V1035"/>
  <c r="U1026"/>
  <c r="T1017"/>
  <c r="V1019"/>
  <c r="U1143"/>
  <c r="V1130"/>
  <c r="V1101"/>
  <c r="T1081"/>
  <c r="U1043"/>
  <c r="V1031"/>
  <c r="T999"/>
  <c r="T1170"/>
  <c r="V1145"/>
  <c r="T1128"/>
  <c r="U1124"/>
  <c r="T1103"/>
  <c r="U1095"/>
  <c r="V1091"/>
  <c r="T1087"/>
  <c r="U1079"/>
  <c r="V1034"/>
  <c r="T1038"/>
  <c r="V1025"/>
  <c r="V1022"/>
  <c r="T1018"/>
  <c r="T1168"/>
  <c r="V1147"/>
  <c r="T1122"/>
  <c r="T1085"/>
  <c r="U1040"/>
  <c r="V1027"/>
  <c r="T1165"/>
  <c r="U1148"/>
  <c r="V1144"/>
  <c r="T1127"/>
  <c r="U1123"/>
  <c r="U1102"/>
  <c r="V1094"/>
  <c r="T1090"/>
  <c r="U1086"/>
  <c r="V1078"/>
  <c r="U1044"/>
  <c r="U1041"/>
  <c r="T1028"/>
  <c r="U1024"/>
  <c r="U1021"/>
  <c r="T1126"/>
  <c r="T1036"/>
  <c r="U1020"/>
  <c r="U1146"/>
  <c r="V1129"/>
  <c r="T1125"/>
  <c r="V1100"/>
  <c r="T1092"/>
  <c r="U1088"/>
  <c r="V1084"/>
  <c r="U1046"/>
  <c r="V1042"/>
  <c r="V1039"/>
  <c r="U1030"/>
  <c r="V1026"/>
  <c r="U1017"/>
  <c r="U998"/>
  <c r="V1143"/>
  <c r="T1130"/>
  <c r="T1093"/>
  <c r="U1081"/>
  <c r="V1043"/>
  <c r="T1023"/>
  <c r="U999"/>
  <c r="U1170"/>
  <c r="T1141"/>
  <c r="U1128"/>
  <c r="V1124"/>
  <c r="U1099"/>
  <c r="V1095"/>
  <c r="T1091"/>
  <c r="U1083"/>
  <c r="V1079"/>
  <c r="T1034"/>
  <c r="V1029"/>
  <c r="T1025"/>
  <c r="T1022"/>
  <c r="V993"/>
  <c r="U1168"/>
  <c r="T1147"/>
  <c r="T1097"/>
  <c r="U1085"/>
  <c r="V1040"/>
  <c r="T1169"/>
  <c r="U1165"/>
  <c r="V1148"/>
  <c r="T1135"/>
  <c r="U1127"/>
  <c r="V1123"/>
  <c r="V1098"/>
  <c r="T1094"/>
  <c r="U1090"/>
  <c r="V1082"/>
  <c r="T1078"/>
  <c r="V1044"/>
  <c r="V1037"/>
  <c r="U1028"/>
  <c r="V1024"/>
  <c r="T1000"/>
  <c r="T1089"/>
  <c r="U1036"/>
  <c r="V1020"/>
  <c r="V1142"/>
  <c r="T1129"/>
  <c r="U1125"/>
  <c r="T1096"/>
  <c r="U1092"/>
  <c r="V1088"/>
  <c r="T1080"/>
  <c r="V1046"/>
  <c r="T1042"/>
  <c r="T1035"/>
  <c r="V1030"/>
  <c r="T1026"/>
  <c r="T1019"/>
  <c r="V998"/>
  <c r="T1143"/>
  <c r="T1101"/>
  <c r="U1093"/>
  <c r="V1081"/>
  <c r="T1031"/>
  <c r="U1023"/>
  <c r="V999"/>
  <c r="T1145"/>
  <c r="U1141"/>
  <c r="V1128"/>
  <c r="U1103"/>
  <c r="V1099"/>
  <c r="T1095"/>
  <c r="U1087"/>
  <c r="V1083"/>
  <c r="T1079"/>
  <c r="U1038"/>
  <c r="T1029"/>
  <c r="U1025"/>
  <c r="U1018"/>
  <c r="T993"/>
  <c r="V1168"/>
  <c r="U1122"/>
  <c r="U1097"/>
  <c r="V1085"/>
  <c r="T1027"/>
  <c r="U1169"/>
  <c r="V1165"/>
  <c r="T1144"/>
  <c r="U1135"/>
  <c r="V1127"/>
  <c r="V1102"/>
  <c r="T1098"/>
  <c r="U1094"/>
  <c r="V1086"/>
  <c r="T1082"/>
  <c r="U1078"/>
  <c r="V1041"/>
  <c r="T1037"/>
  <c r="V1028"/>
  <c r="V1021"/>
  <c r="U1000"/>
  <c r="T1345"/>
  <c r="U1330"/>
  <c r="V1314"/>
  <c r="U887"/>
  <c r="U871"/>
  <c r="V850"/>
  <c r="U808"/>
  <c r="U778"/>
  <c r="U1425"/>
  <c r="T1348"/>
  <c r="U1344"/>
  <c r="V1341"/>
  <c r="T1333"/>
  <c r="U1329"/>
  <c r="V1325"/>
  <c r="U1313"/>
  <c r="T1310"/>
  <c r="V1306"/>
  <c r="T964"/>
  <c r="V960"/>
  <c r="V956"/>
  <c r="T936"/>
  <c r="U932"/>
  <c r="V923"/>
  <c r="T900"/>
  <c r="T894"/>
  <c r="U890"/>
  <c r="U870"/>
  <c r="V853"/>
  <c r="T849"/>
  <c r="V826"/>
  <c r="T822"/>
  <c r="U815"/>
  <c r="T801"/>
  <c r="U777"/>
  <c r="V765"/>
  <c r="V732"/>
  <c r="T1421"/>
  <c r="V1354"/>
  <c r="T1326"/>
  <c r="T1311"/>
  <c r="U933"/>
  <c r="U891"/>
  <c r="U846"/>
  <c r="T828"/>
  <c r="V803"/>
  <c r="V733"/>
  <c r="U1424"/>
  <c r="T1347"/>
  <c r="U1267"/>
  <c r="V1340"/>
  <c r="T1332"/>
  <c r="U1328"/>
  <c r="V1324"/>
  <c r="U1312"/>
  <c r="T1309"/>
  <c r="V963"/>
  <c r="T935"/>
  <c r="U931"/>
  <c r="V913"/>
  <c r="T893"/>
  <c r="U889"/>
  <c r="V885"/>
  <c r="V852"/>
  <c r="T848"/>
  <c r="U832"/>
  <c r="T818"/>
  <c r="U814"/>
  <c r="V805"/>
  <c r="U768"/>
  <c r="V764"/>
  <c r="U751"/>
  <c r="T1342"/>
  <c r="U1334"/>
  <c r="V1322"/>
  <c r="V1295"/>
  <c r="T929"/>
  <c r="U911"/>
  <c r="U883"/>
  <c r="V816"/>
  <c r="V802"/>
  <c r="T762"/>
  <c r="V737"/>
  <c r="U1422"/>
  <c r="T1346"/>
  <c r="U1343"/>
  <c r="U1345"/>
  <c r="V1330"/>
  <c r="V965"/>
  <c r="V887"/>
  <c r="V871"/>
  <c r="U823"/>
  <c r="V808"/>
  <c r="V778"/>
  <c r="V1420"/>
  <c r="U1348"/>
  <c r="V1344"/>
  <c r="T1337"/>
  <c r="U1333"/>
  <c r="V1329"/>
  <c r="T1321"/>
  <c r="T1313"/>
  <c r="V1310"/>
  <c r="T968"/>
  <c r="U964"/>
  <c r="U960"/>
  <c r="V940"/>
  <c r="U936"/>
  <c r="V932"/>
  <c r="T910"/>
  <c r="U900"/>
  <c r="U894"/>
  <c r="V886"/>
  <c r="V870"/>
  <c r="T853"/>
  <c r="U845"/>
  <c r="T826"/>
  <c r="U822"/>
  <c r="T806"/>
  <c r="U801"/>
  <c r="V777"/>
  <c r="V736"/>
  <c r="T732"/>
  <c r="U1421"/>
  <c r="T1338"/>
  <c r="U1326"/>
  <c r="V1311"/>
  <c r="V901"/>
  <c r="V891"/>
  <c r="V846"/>
  <c r="U812"/>
  <c r="T803"/>
  <c r="T733"/>
  <c r="V1419"/>
  <c r="U1347"/>
  <c r="T1267"/>
  <c r="T1336"/>
  <c r="U1332"/>
  <c r="V1328"/>
  <c r="T1316"/>
  <c r="V1312"/>
  <c r="V1309"/>
  <c r="U959"/>
  <c r="U935"/>
  <c r="V931"/>
  <c r="T899"/>
  <c r="U893"/>
  <c r="V889"/>
  <c r="V873"/>
  <c r="T852"/>
  <c r="U848"/>
  <c r="T825"/>
  <c r="U818"/>
  <c r="V814"/>
  <c r="U800"/>
  <c r="V768"/>
  <c r="T764"/>
  <c r="T735"/>
  <c r="U1342"/>
  <c r="V1334"/>
  <c r="U1307"/>
  <c r="T1295"/>
  <c r="U929"/>
  <c r="U895"/>
  <c r="V883"/>
  <c r="T816"/>
  <c r="V795"/>
  <c r="U762"/>
  <c r="V1345"/>
  <c r="T1314"/>
  <c r="T965"/>
  <c r="T887"/>
  <c r="T850"/>
  <c r="V823"/>
  <c r="T808"/>
  <c r="V1425"/>
  <c r="T1420"/>
  <c r="V1348"/>
  <c r="T1341"/>
  <c r="U1337"/>
  <c r="V1333"/>
  <c r="T1325"/>
  <c r="U1321"/>
  <c r="V1313"/>
  <c r="U1306"/>
  <c r="U968"/>
  <c r="V964"/>
  <c r="T956"/>
  <c r="T940"/>
  <c r="V936"/>
  <c r="T923"/>
  <c r="U910"/>
  <c r="V900"/>
  <c r="V890"/>
  <c r="T886"/>
  <c r="T870"/>
  <c r="U849"/>
  <c r="V845"/>
  <c r="U826"/>
  <c r="V815"/>
  <c r="U806"/>
  <c r="V801"/>
  <c r="T765"/>
  <c r="T736"/>
  <c r="U732"/>
  <c r="T1354"/>
  <c r="U1338"/>
  <c r="V1326"/>
  <c r="V933"/>
  <c r="T901"/>
  <c r="T891"/>
  <c r="U828"/>
  <c r="V812"/>
  <c r="U803"/>
  <c r="V1424"/>
  <c r="T1419"/>
  <c r="V1347"/>
  <c r="T1340"/>
  <c r="U1336"/>
  <c r="V1332"/>
  <c r="T1324"/>
  <c r="U1316"/>
  <c r="T1312"/>
  <c r="T963"/>
  <c r="V959"/>
  <c r="V935"/>
  <c r="T913"/>
  <c r="U899"/>
  <c r="V893"/>
  <c r="T885"/>
  <c r="T873"/>
  <c r="U852"/>
  <c r="V832"/>
  <c r="U825"/>
  <c r="V818"/>
  <c r="T805"/>
  <c r="V800"/>
  <c r="T768"/>
  <c r="V751"/>
  <c r="U735"/>
  <c r="V1342"/>
  <c r="T1322"/>
  <c r="T1307"/>
  <c r="U1295"/>
  <c r="V911"/>
  <c r="V895"/>
  <c r="T883"/>
  <c r="T802"/>
  <c r="T795"/>
  <c r="V762"/>
  <c r="T1330"/>
  <c r="U1314"/>
  <c r="U965"/>
  <c r="T871"/>
  <c r="U850"/>
  <c r="T823"/>
  <c r="T778"/>
  <c r="T1425"/>
  <c r="U1420"/>
  <c r="T1344"/>
  <c r="U1341"/>
  <c r="V1337"/>
  <c r="T1329"/>
  <c r="U1325"/>
  <c r="V1321"/>
  <c r="U1310"/>
  <c r="T1306"/>
  <c r="V968"/>
  <c r="T960"/>
  <c r="U956"/>
  <c r="U940"/>
  <c r="T932"/>
  <c r="U923"/>
  <c r="V910"/>
  <c r="V894"/>
  <c r="T890"/>
  <c r="U886"/>
  <c r="U853"/>
  <c r="V849"/>
  <c r="T845"/>
  <c r="V822"/>
  <c r="T815"/>
  <c r="V806"/>
  <c r="T777"/>
  <c r="U765"/>
  <c r="U736"/>
  <c r="V1421"/>
  <c r="U1354"/>
  <c r="V1338"/>
  <c r="U1311"/>
  <c r="T933"/>
  <c r="U901"/>
  <c r="T846"/>
  <c r="V828"/>
  <c r="T812"/>
  <c r="U733"/>
  <c r="T1424"/>
  <c r="U1419"/>
  <c r="V1267"/>
  <c r="U1340"/>
  <c r="V1336"/>
  <c r="T1328"/>
  <c r="U1324"/>
  <c r="V1316"/>
  <c r="U1309"/>
  <c r="U963"/>
  <c r="T959"/>
  <c r="T931"/>
  <c r="U913"/>
  <c r="V899"/>
  <c r="T889"/>
  <c r="U885"/>
  <c r="U873"/>
  <c r="V848"/>
  <c r="T832"/>
  <c r="V825"/>
  <c r="T814"/>
  <c r="U805"/>
  <c r="T800"/>
  <c r="U764"/>
  <c r="T751"/>
  <c r="V735"/>
  <c r="T1334"/>
  <c r="U1322"/>
  <c r="V1307"/>
  <c r="V929"/>
  <c r="T911"/>
  <c r="T895"/>
  <c r="U816"/>
  <c r="U802"/>
  <c r="U795"/>
  <c r="U737"/>
  <c r="T1422"/>
  <c r="U1412"/>
  <c r="T1343"/>
  <c r="T737"/>
  <c r="U1346"/>
  <c r="U1339"/>
  <c r="V1335"/>
  <c r="T1327"/>
  <c r="U1323"/>
  <c r="V1315"/>
  <c r="U1308"/>
  <c r="T1296"/>
  <c r="V962"/>
  <c r="U934"/>
  <c r="V930"/>
  <c r="T912"/>
  <c r="T888"/>
  <c r="U884"/>
  <c r="V872"/>
  <c r="T847"/>
  <c r="T839"/>
  <c r="V824"/>
  <c r="T813"/>
  <c r="U809"/>
  <c r="T804"/>
  <c r="V779"/>
  <c r="T763"/>
  <c r="V759"/>
  <c r="T738"/>
  <c r="U734"/>
  <c r="V1422"/>
  <c r="V1346"/>
  <c r="V1339"/>
  <c r="T1331"/>
  <c r="U1327"/>
  <c r="V1323"/>
  <c r="T1256"/>
  <c r="V1308"/>
  <c r="U1296"/>
  <c r="V950"/>
  <c r="T934"/>
  <c r="T930"/>
  <c r="T892"/>
  <c r="U888"/>
  <c r="V884"/>
  <c r="T851"/>
  <c r="U847"/>
  <c r="U839"/>
  <c r="T817"/>
  <c r="U813"/>
  <c r="V809"/>
  <c r="V807"/>
  <c r="T779"/>
  <c r="U763"/>
  <c r="T750"/>
  <c r="U738"/>
  <c r="V734"/>
  <c r="V1412"/>
  <c r="V1343"/>
  <c r="T1335"/>
  <c r="U1331"/>
  <c r="V1327"/>
  <c r="T1315"/>
  <c r="U1256"/>
  <c r="T1308"/>
  <c r="U962"/>
  <c r="T950"/>
  <c r="V934"/>
  <c r="U912"/>
  <c r="U892"/>
  <c r="V888"/>
  <c r="T872"/>
  <c r="U851"/>
  <c r="V847"/>
  <c r="T824"/>
  <c r="U817"/>
  <c r="V813"/>
  <c r="U804"/>
  <c r="T807"/>
  <c r="U779"/>
  <c r="T759"/>
  <c r="U750"/>
  <c r="V738"/>
  <c r="T1412"/>
  <c r="T1339"/>
  <c r="U1335"/>
  <c r="V1331"/>
  <c r="T1323"/>
  <c r="U1315"/>
  <c r="V1256"/>
  <c r="V1296"/>
  <c r="T962"/>
  <c r="U950"/>
  <c r="U930"/>
  <c r="V912"/>
  <c r="V892"/>
  <c r="T884"/>
  <c r="U872"/>
  <c r="V851"/>
  <c r="V839"/>
  <c r="U824"/>
  <c r="V817"/>
  <c r="T809"/>
  <c r="V804"/>
  <c r="U807"/>
  <c r="V763"/>
  <c r="U759"/>
  <c r="V750"/>
  <c r="T734"/>
  <c r="T904"/>
  <c r="V903"/>
  <c r="V924"/>
  <c r="U926"/>
  <c r="T925"/>
  <c r="U902"/>
  <c r="V904"/>
  <c r="U927"/>
  <c r="V925"/>
  <c r="T905"/>
  <c r="U903"/>
  <c r="T926"/>
  <c r="U904"/>
  <c r="U924"/>
  <c r="T927"/>
  <c r="V926"/>
  <c r="T902"/>
  <c r="V905"/>
  <c r="T903"/>
  <c r="T924"/>
  <c r="V927"/>
  <c r="U925"/>
  <c r="V902"/>
  <c r="U905"/>
  <c r="U875"/>
  <c r="V944"/>
  <c r="T1874"/>
  <c r="V1872"/>
  <c r="V1874"/>
  <c r="T1872"/>
  <c r="U1874"/>
  <c r="U1872"/>
  <c r="V2015"/>
  <c r="U2015"/>
  <c r="T2015"/>
  <c r="U2027"/>
  <c r="T2027"/>
  <c r="V2027"/>
  <c r="U1523"/>
  <c r="T1845"/>
  <c r="V1845"/>
  <c r="V1806"/>
  <c r="T1536"/>
  <c r="U1660"/>
  <c r="T1523"/>
  <c r="V1523"/>
  <c r="U1536"/>
  <c r="U1806"/>
  <c r="V1660"/>
  <c r="V1536"/>
  <c r="T1660"/>
  <c r="U1845"/>
  <c r="T1806"/>
  <c r="V1533"/>
  <c r="U1533"/>
  <c r="U1556"/>
  <c r="T1877"/>
  <c r="U1876"/>
  <c r="U1554"/>
  <c r="T1554"/>
  <c r="V1756"/>
  <c r="V1878"/>
  <c r="U1877"/>
  <c r="T1876"/>
  <c r="V1876"/>
  <c r="T1533"/>
  <c r="T1556"/>
  <c r="V1556"/>
  <c r="V1877"/>
  <c r="V1554"/>
  <c r="U1756"/>
  <c r="T1756"/>
  <c r="U1878"/>
  <c r="T1878"/>
  <c r="V2012"/>
  <c r="U2012"/>
  <c r="U2140"/>
  <c r="U2136"/>
  <c r="U2132"/>
  <c r="V2086"/>
  <c r="T2084"/>
  <c r="V2084"/>
  <c r="V2082"/>
  <c r="T2080"/>
  <c r="V2080"/>
  <c r="V2078"/>
  <c r="T2067"/>
  <c r="V2067"/>
  <c r="V2033"/>
  <c r="V2143"/>
  <c r="T2141"/>
  <c r="V2141"/>
  <c r="V2139"/>
  <c r="T2137"/>
  <c r="V2137"/>
  <c r="V2135"/>
  <c r="T2133"/>
  <c r="V2133"/>
  <c r="V2131"/>
  <c r="T2085"/>
  <c r="T2081"/>
  <c r="T2068"/>
  <c r="U2034"/>
  <c r="V1881"/>
  <c r="U1881"/>
  <c r="V1869"/>
  <c r="U1869"/>
  <c r="U2083"/>
  <c r="U2066"/>
  <c r="V1879"/>
  <c r="T2014"/>
  <c r="V2014"/>
  <c r="V2142"/>
  <c r="U2142"/>
  <c r="V2138"/>
  <c r="U2138"/>
  <c r="V2134"/>
  <c r="U2134"/>
  <c r="V2130"/>
  <c r="U2130"/>
  <c r="U1880"/>
  <c r="U1844"/>
  <c r="T1844"/>
  <c r="T1843"/>
  <c r="T2008"/>
  <c r="T2012"/>
  <c r="T2140"/>
  <c r="V2140"/>
  <c r="T2136"/>
  <c r="V2136"/>
  <c r="T2132"/>
  <c r="V2132"/>
  <c r="U2086"/>
  <c r="T2086"/>
  <c r="U2084"/>
  <c r="U2082"/>
  <c r="T2082"/>
  <c r="U2080"/>
  <c r="U2078"/>
  <c r="T2078"/>
  <c r="U2067"/>
  <c r="U2033"/>
  <c r="T2033"/>
  <c r="U2143"/>
  <c r="T2143"/>
  <c r="U2141"/>
  <c r="U2139"/>
  <c r="T2139"/>
  <c r="U2137"/>
  <c r="U2135"/>
  <c r="T2135"/>
  <c r="U2133"/>
  <c r="U2131"/>
  <c r="T2131"/>
  <c r="V2085"/>
  <c r="U2085"/>
  <c r="V2081"/>
  <c r="U2081"/>
  <c r="V2068"/>
  <c r="U2068"/>
  <c r="T2034"/>
  <c r="V2034"/>
  <c r="T1881"/>
  <c r="T1869"/>
  <c r="U2014"/>
  <c r="T2142"/>
  <c r="T2138"/>
  <c r="T2134"/>
  <c r="T2130"/>
  <c r="T1880"/>
  <c r="V1880"/>
  <c r="V1844"/>
  <c r="V1843"/>
  <c r="U1843"/>
  <c r="V2008"/>
  <c r="U2008"/>
  <c r="T2083"/>
  <c r="V2083"/>
  <c r="T2079"/>
  <c r="V2079"/>
  <c r="T2066"/>
  <c r="V2066"/>
  <c r="U1879"/>
  <c r="U2079"/>
  <c r="T1879"/>
  <c r="T1702"/>
  <c r="V1702"/>
  <c r="V1628"/>
  <c r="V1549"/>
  <c r="U1549"/>
  <c r="V1538"/>
  <c r="U1746"/>
  <c r="V1529"/>
  <c r="U1529"/>
  <c r="T1714"/>
  <c r="V1714"/>
  <c r="U1630"/>
  <c r="U1629"/>
  <c r="U1754"/>
  <c r="T1750"/>
  <c r="V1750"/>
  <c r="T1790"/>
  <c r="V1790"/>
  <c r="U1555"/>
  <c r="T1753"/>
  <c r="V1753"/>
  <c r="U1749"/>
  <c r="T1747"/>
  <c r="V1631"/>
  <c r="U1631"/>
  <c r="U1552"/>
  <c r="T1548"/>
  <c r="V1548"/>
  <c r="T1553"/>
  <c r="U1752"/>
  <c r="T1752"/>
  <c r="V1748"/>
  <c r="U1551"/>
  <c r="T1531"/>
  <c r="V1531"/>
  <c r="T1532"/>
  <c r="V1532"/>
  <c r="T1751"/>
  <c r="V1755"/>
  <c r="U1755"/>
  <c r="T1547"/>
  <c r="V1547"/>
  <c r="V1703"/>
  <c r="U1703"/>
  <c r="U1550"/>
  <c r="T1550"/>
  <c r="V1530"/>
  <c r="V1850"/>
  <c r="U1702"/>
  <c r="U1628"/>
  <c r="T1628"/>
  <c r="T1549"/>
  <c r="U1538"/>
  <c r="T1538"/>
  <c r="T1746"/>
  <c r="V1746"/>
  <c r="T1529"/>
  <c r="U1714"/>
  <c r="T1630"/>
  <c r="V1630"/>
  <c r="T1629"/>
  <c r="V1629"/>
  <c r="T1754"/>
  <c r="V1754"/>
  <c r="U1750"/>
  <c r="U1790"/>
  <c r="T1555"/>
  <c r="V1555"/>
  <c r="U1753"/>
  <c r="T1749"/>
  <c r="V1749"/>
  <c r="V1747"/>
  <c r="U1747"/>
  <c r="T1631"/>
  <c r="T1552"/>
  <c r="V1552"/>
  <c r="U1548"/>
  <c r="V1553"/>
  <c r="U1553"/>
  <c r="V1752"/>
  <c r="U1748"/>
  <c r="T1748"/>
  <c r="T1551"/>
  <c r="V1551"/>
  <c r="U1531"/>
  <c r="U1532"/>
  <c r="V1751"/>
  <c r="U1751"/>
  <c r="T1755"/>
  <c r="U1547"/>
  <c r="T1703"/>
  <c r="V1550"/>
  <c r="U1530"/>
  <c r="T1530"/>
  <c r="U1850"/>
  <c r="T1850"/>
  <c r="V1537"/>
  <c r="U1537"/>
  <c r="T1537"/>
  <c r="T1483"/>
  <c r="V1484"/>
  <c r="T1486"/>
  <c r="T1489"/>
  <c r="V1490"/>
  <c r="T1491"/>
  <c r="V1491"/>
  <c r="U1483"/>
  <c r="T1484"/>
  <c r="T1488"/>
  <c r="V1488"/>
  <c r="U1485"/>
  <c r="U1473"/>
  <c r="U1487"/>
  <c r="V1483"/>
  <c r="U1484"/>
  <c r="V1486"/>
  <c r="V1473"/>
  <c r="V1489"/>
  <c r="U1489"/>
  <c r="U1490"/>
  <c r="T1490"/>
  <c r="U1491"/>
  <c r="U1488"/>
  <c r="V1485"/>
  <c r="T1485"/>
  <c r="U1486"/>
  <c r="T1473"/>
  <c r="T1487"/>
  <c r="V1487"/>
  <c r="T1159"/>
  <c r="V1159"/>
  <c r="U1159"/>
  <c r="T1160"/>
  <c r="V1160"/>
  <c r="V1114"/>
  <c r="U1114"/>
  <c r="T1110"/>
  <c r="U1158"/>
  <c r="T1158"/>
  <c r="T1076"/>
  <c r="V1076"/>
  <c r="U1072"/>
  <c r="T1068"/>
  <c r="V1068"/>
  <c r="V1075"/>
  <c r="U1071"/>
  <c r="T1071"/>
  <c r="V1161"/>
  <c r="U1161"/>
  <c r="U1156"/>
  <c r="T1077"/>
  <c r="V1077"/>
  <c r="U1073"/>
  <c r="T1069"/>
  <c r="V1069"/>
  <c r="U1065"/>
  <c r="T1163"/>
  <c r="V1163"/>
  <c r="T1117"/>
  <c r="V1117"/>
  <c r="U1113"/>
  <c r="V1162"/>
  <c r="V1157"/>
  <c r="U1157"/>
  <c r="T1116"/>
  <c r="V1116"/>
  <c r="U1112"/>
  <c r="T1104"/>
  <c r="V1104"/>
  <c r="V1115"/>
  <c r="U1111"/>
  <c r="T1111"/>
  <c r="T1074"/>
  <c r="V1070"/>
  <c r="U1070"/>
  <c r="T1066"/>
  <c r="U1160"/>
  <c r="T1114"/>
  <c r="V1110"/>
  <c r="U1110"/>
  <c r="V1158"/>
  <c r="U1076"/>
  <c r="T1072"/>
  <c r="V1072"/>
  <c r="U1068"/>
  <c r="U1075"/>
  <c r="T1075"/>
  <c r="V1071"/>
  <c r="T1161"/>
  <c r="T1156"/>
  <c r="V1156"/>
  <c r="U1077"/>
  <c r="T1073"/>
  <c r="V1073"/>
  <c r="U1069"/>
  <c r="T1065"/>
  <c r="V1065"/>
  <c r="U1163"/>
  <c r="U1117"/>
  <c r="T1113"/>
  <c r="V1113"/>
  <c r="U1162"/>
  <c r="T1162"/>
  <c r="T1157"/>
  <c r="U1116"/>
  <c r="T1112"/>
  <c r="V1112"/>
  <c r="U1104"/>
  <c r="U1115"/>
  <c r="T1115"/>
  <c r="V1111"/>
  <c r="V1074"/>
  <c r="U1074"/>
  <c r="T1070"/>
  <c r="V1066"/>
  <c r="U1066"/>
  <c r="V939"/>
  <c r="V715"/>
  <c r="V954"/>
  <c r="U954"/>
  <c r="T896"/>
  <c r="V742"/>
  <c r="T1300"/>
  <c r="V1300"/>
  <c r="T1303"/>
  <c r="V1303"/>
  <c r="U1299"/>
  <c r="U953"/>
  <c r="T949"/>
  <c r="V949"/>
  <c r="U941"/>
  <c r="T915"/>
  <c r="V915"/>
  <c r="U791"/>
  <c r="V741"/>
  <c r="U1302"/>
  <c r="T1302"/>
  <c r="V1298"/>
  <c r="U952"/>
  <c r="U914"/>
  <c r="U841"/>
  <c r="T841"/>
  <c r="V837"/>
  <c r="U833"/>
  <c r="T833"/>
  <c r="U794"/>
  <c r="T790"/>
  <c r="V790"/>
  <c r="T1304"/>
  <c r="V1304"/>
  <c r="V1305"/>
  <c r="U1305"/>
  <c r="T1301"/>
  <c r="V1297"/>
  <c r="U1297"/>
  <c r="U951"/>
  <c r="T951"/>
  <c r="U917"/>
  <c r="T917"/>
  <c r="U874"/>
  <c r="T840"/>
  <c r="T835"/>
  <c r="V835"/>
  <c r="V793"/>
  <c r="T743"/>
  <c r="V946"/>
  <c r="U946"/>
  <c r="T916"/>
  <c r="U831"/>
  <c r="T796"/>
  <c r="V792"/>
  <c r="U792"/>
  <c r="T742"/>
  <c r="T961"/>
  <c r="V961"/>
  <c r="U842"/>
  <c r="T838"/>
  <c r="V838"/>
  <c r="U834"/>
  <c r="T745"/>
  <c r="U741"/>
  <c r="V877"/>
  <c r="T882"/>
  <c r="V882"/>
  <c r="U761"/>
  <c r="T761"/>
  <c r="V744"/>
  <c r="U716"/>
  <c r="U939"/>
  <c r="T939"/>
  <c r="U743"/>
  <c r="V743"/>
  <c r="U715"/>
  <c r="T715"/>
  <c r="T954"/>
  <c r="V896"/>
  <c r="U896"/>
  <c r="U742"/>
  <c r="U1300"/>
  <c r="U1303"/>
  <c r="T1299"/>
  <c r="V1299"/>
  <c r="T953"/>
  <c r="V953"/>
  <c r="U949"/>
  <c r="T941"/>
  <c r="V941"/>
  <c r="U915"/>
  <c r="T791"/>
  <c r="V791"/>
  <c r="V745"/>
  <c r="V1302"/>
  <c r="U1298"/>
  <c r="T1298"/>
  <c r="T952"/>
  <c r="V952"/>
  <c r="T914"/>
  <c r="V914"/>
  <c r="V841"/>
  <c r="U837"/>
  <c r="T837"/>
  <c r="V833"/>
  <c r="T794"/>
  <c r="V794"/>
  <c r="U790"/>
  <c r="U744"/>
  <c r="U1304"/>
  <c r="T1305"/>
  <c r="V1301"/>
  <c r="U1301"/>
  <c r="T1297"/>
  <c r="V951"/>
  <c r="V917"/>
  <c r="T874"/>
  <c r="V874"/>
  <c r="V840"/>
  <c r="U840"/>
  <c r="U835"/>
  <c r="U793"/>
  <c r="T793"/>
  <c r="T946"/>
  <c r="V916"/>
  <c r="U916"/>
  <c r="T831"/>
  <c r="V831"/>
  <c r="V796"/>
  <c r="U796"/>
  <c r="T792"/>
  <c r="U961"/>
  <c r="T842"/>
  <c r="V842"/>
  <c r="U838"/>
  <c r="T834"/>
  <c r="V834"/>
  <c r="U745"/>
  <c r="T741"/>
  <c r="U877"/>
  <c r="T877"/>
  <c r="U882"/>
  <c r="V761"/>
  <c r="T744"/>
  <c r="T716"/>
  <c r="V716"/>
  <c r="V875"/>
  <c r="T875"/>
  <c r="T876"/>
  <c r="U942"/>
  <c r="V942"/>
  <c r="V943"/>
  <c r="U944"/>
  <c r="U876"/>
  <c r="V876"/>
  <c r="T942"/>
  <c r="T943"/>
  <c r="U943"/>
  <c r="C207"/>
  <c r="AD207" s="1"/>
  <c r="C208"/>
  <c r="AD208" s="1"/>
  <c r="C209"/>
  <c r="AD209" s="1"/>
  <c r="C212"/>
  <c r="AD212" s="1"/>
  <c r="M207"/>
  <c r="M212"/>
  <c r="M209"/>
  <c r="M208"/>
  <c r="E32"/>
  <c r="E31"/>
  <c r="E30"/>
  <c r="E29"/>
  <c r="E28"/>
  <c r="K164"/>
  <c r="M164" s="1"/>
  <c r="E164"/>
  <c r="K163"/>
  <c r="E163"/>
  <c r="I16" i="62" l="1" a="1"/>
  <c r="I16" s="1"/>
  <c r="I18" a="1"/>
  <c r="I18" s="1"/>
  <c r="G17" a="1"/>
  <c r="G17" s="1"/>
  <c r="G19" a="1"/>
  <c r="G19" s="1"/>
  <c r="I17" a="1"/>
  <c r="I17" s="1"/>
  <c r="I19" a="1"/>
  <c r="I19" s="1"/>
  <c r="G16" a="1"/>
  <c r="G16" s="1"/>
  <c r="G18" a="1"/>
  <c r="G18" s="1"/>
  <c r="I35" i="45" a="1"/>
  <c r="I35" s="1"/>
  <c r="K36" a="1"/>
  <c r="K36" s="1"/>
  <c r="I33" a="1"/>
  <c r="I33" s="1"/>
  <c r="K34" a="1"/>
  <c r="K34" s="1"/>
  <c r="I39" a="1"/>
  <c r="I39" s="1"/>
  <c r="I42" a="1"/>
  <c r="I42" s="1"/>
  <c r="K43" a="1"/>
  <c r="K43" s="1"/>
  <c r="I46" a="1"/>
  <c r="I46" s="1"/>
  <c r="K45" a="1"/>
  <c r="K45" s="1"/>
  <c r="I41" a="1"/>
  <c r="I41" s="1"/>
  <c r="K35" a="1"/>
  <c r="K35" s="1"/>
  <c r="I8" a="1"/>
  <c r="I8" s="1"/>
  <c r="K33" a="1"/>
  <c r="K33" s="1"/>
  <c r="I40" a="1"/>
  <c r="I40" s="1"/>
  <c r="K42" a="1"/>
  <c r="K42" s="1"/>
  <c r="I45" a="1"/>
  <c r="I45" s="1"/>
  <c r="K41" a="1"/>
  <c r="K41" s="1"/>
  <c r="I37" a="1"/>
  <c r="I37" s="1"/>
  <c r="K8" a="1"/>
  <c r="K8" s="1"/>
  <c r="I38" a="1"/>
  <c r="I38" s="1"/>
  <c r="K40" a="1"/>
  <c r="K40" s="1"/>
  <c r="K39" a="1"/>
  <c r="K39" s="1"/>
  <c r="I44" a="1"/>
  <c r="I44" s="1"/>
  <c r="I36" a="1"/>
  <c r="I36" s="1"/>
  <c r="K37" a="1"/>
  <c r="K37" s="1"/>
  <c r="I34" a="1"/>
  <c r="I34" s="1"/>
  <c r="K38" a="1"/>
  <c r="K38" s="1"/>
  <c r="I43" a="1"/>
  <c r="I43" s="1"/>
  <c r="K44" a="1"/>
  <c r="K44" s="1"/>
  <c r="K46" a="1"/>
  <c r="K46" s="1"/>
  <c r="I47" a="1"/>
  <c r="I47" s="1"/>
  <c r="I48" a="1"/>
  <c r="I48" s="1"/>
  <c r="I49" a="1"/>
  <c r="I49" s="1"/>
  <c r="I50" a="1"/>
  <c r="I50" s="1"/>
  <c r="I51" a="1"/>
  <c r="I51" s="1"/>
  <c r="K51" a="1"/>
  <c r="K51" s="1"/>
  <c r="K47" a="1"/>
  <c r="K47" s="1"/>
  <c r="K48" a="1"/>
  <c r="K48" s="1"/>
  <c r="K49" a="1"/>
  <c r="K49" s="1"/>
  <c r="K50" a="1"/>
  <c r="K50" s="1"/>
  <c r="I6" a="1"/>
  <c r="I6" s="1"/>
  <c r="I31" a="1"/>
  <c r="I31" s="1"/>
  <c r="I32" a="1"/>
  <c r="I32" s="1"/>
  <c r="K6" a="1"/>
  <c r="K6" s="1"/>
  <c r="K31" a="1"/>
  <c r="K31" s="1"/>
  <c r="I5" a="1"/>
  <c r="I5" s="1"/>
  <c r="I7" a="1"/>
  <c r="I7" s="1"/>
  <c r="K5" a="1"/>
  <c r="K5" s="1"/>
  <c r="K7" a="1"/>
  <c r="K7" s="1"/>
  <c r="K32" a="1"/>
  <c r="K32" s="1"/>
  <c r="M163" i="34"/>
  <c r="G12" i="62" a="1"/>
  <c r="G12" s="1"/>
  <c r="G13" a="1"/>
  <c r="G13" s="1"/>
  <c r="G14" a="1"/>
  <c r="G14" s="1"/>
  <c r="G15" a="1"/>
  <c r="G15" s="1"/>
  <c r="I12" a="1"/>
  <c r="I12" s="1"/>
  <c r="I13" a="1"/>
  <c r="I13" s="1"/>
  <c r="I14" a="1"/>
  <c r="I14" s="1"/>
  <c r="I15" a="1"/>
  <c r="I15" s="1"/>
  <c r="B208" i="34"/>
  <c r="B207"/>
  <c r="B212"/>
  <c r="B209"/>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R208" i="34" l="1"/>
  <c r="S208"/>
  <c r="Q208"/>
  <c r="Q209"/>
  <c r="R209"/>
  <c r="S209"/>
  <c r="R212"/>
  <c r="S212"/>
  <c r="Q212"/>
  <c r="S207"/>
  <c r="Q207"/>
  <c r="R207"/>
  <c r="O39" i="45"/>
  <c r="A212" i="34"/>
  <c r="A208"/>
  <c r="A209"/>
  <c r="A207"/>
  <c r="K18" i="62"/>
  <c r="K16"/>
  <c r="M19"/>
  <c r="O42" i="45"/>
  <c r="M17" i="62"/>
  <c r="K17"/>
  <c r="M18"/>
  <c r="K19"/>
  <c r="M16"/>
  <c r="O35" i="45"/>
  <c r="M45"/>
  <c r="O49"/>
  <c r="O33"/>
  <c r="O46"/>
  <c r="M34"/>
  <c r="M36"/>
  <c r="M43"/>
  <c r="O38"/>
  <c r="O8"/>
  <c r="O48"/>
  <c r="O44"/>
  <c r="O37"/>
  <c r="O40"/>
  <c r="O41"/>
  <c r="M38"/>
  <c r="M8"/>
  <c r="M46"/>
  <c r="O34"/>
  <c r="M44"/>
  <c r="O43"/>
  <c r="M33"/>
  <c r="M37"/>
  <c r="M40"/>
  <c r="M41"/>
  <c r="M42"/>
  <c r="O36"/>
  <c r="O47"/>
  <c r="O45"/>
  <c r="M39"/>
  <c r="M35"/>
  <c r="O50"/>
  <c r="O51"/>
  <c r="M51"/>
  <c r="M47"/>
  <c r="M50"/>
  <c r="M49"/>
  <c r="M48"/>
  <c r="O31"/>
  <c r="O6"/>
  <c r="O32"/>
  <c r="M15" i="62"/>
  <c r="O7" i="45"/>
  <c r="O5"/>
  <c r="M5"/>
  <c r="M32"/>
  <c r="M31"/>
  <c r="M7"/>
  <c r="M6"/>
  <c r="M14" i="62"/>
  <c r="M13"/>
  <c r="M12"/>
  <c r="K14"/>
  <c r="K13"/>
  <c r="K12"/>
  <c r="K15"/>
  <c r="CB39" i="48"/>
  <c r="I35" i="12" l="1"/>
  <c r="I4"/>
  <c r="I37"/>
  <c r="I38"/>
  <c r="I69"/>
  <c r="I27"/>
  <c r="I40"/>
  <c r="I70"/>
  <c r="I71"/>
  <c r="I33"/>
  <c r="C789" i="34" l="1"/>
  <c r="AD789" s="1"/>
  <c r="C797"/>
  <c r="AD797" s="1"/>
  <c r="C827"/>
  <c r="AD827" s="1"/>
  <c r="C864"/>
  <c r="AD864" s="1"/>
  <c r="C754"/>
  <c r="AD754" s="1"/>
  <c r="A71" i="12"/>
  <c r="A6"/>
  <c r="A7"/>
  <c r="A8"/>
  <c r="A9"/>
  <c r="A10"/>
  <c r="A11"/>
  <c r="A12"/>
  <c r="A13"/>
  <c r="A14"/>
  <c r="A17"/>
  <c r="A18"/>
  <c r="A20"/>
  <c r="A21"/>
  <c r="A22"/>
  <c r="A23"/>
  <c r="A24"/>
  <c r="A25"/>
  <c r="A33"/>
  <c r="A35"/>
  <c r="A4"/>
  <c r="A37"/>
  <c r="A38"/>
  <c r="A68"/>
  <c r="A69"/>
  <c r="A49"/>
  <c r="A50"/>
  <c r="A27"/>
  <c r="A41"/>
  <c r="A59"/>
  <c r="A44"/>
  <c r="A40"/>
  <c r="A66"/>
  <c r="A52"/>
  <c r="A48"/>
  <c r="A55"/>
  <c r="A47"/>
  <c r="A56"/>
  <c r="A63"/>
  <c r="A39"/>
  <c r="A67"/>
  <c r="A5"/>
  <c r="C1238" i="34"/>
  <c r="AD1238" s="1"/>
  <c r="M499"/>
  <c r="C499"/>
  <c r="AD499" s="1"/>
  <c r="M500"/>
  <c r="C500"/>
  <c r="AD500" s="1"/>
  <c r="M498"/>
  <c r="C498"/>
  <c r="AD498" s="1"/>
  <c r="M497"/>
  <c r="C497"/>
  <c r="AD497" s="1"/>
  <c r="M496"/>
  <c r="C496"/>
  <c r="AD496" s="1"/>
  <c r="M495"/>
  <c r="C495"/>
  <c r="AD495" s="1"/>
  <c r="M494"/>
  <c r="C494"/>
  <c r="AD494" s="1"/>
  <c r="M493"/>
  <c r="C493"/>
  <c r="AD493" s="1"/>
  <c r="M492"/>
  <c r="C492"/>
  <c r="AD492" s="1"/>
  <c r="M491"/>
  <c r="C491"/>
  <c r="AD491" s="1"/>
  <c r="M490"/>
  <c r="C490"/>
  <c r="AD490" s="1"/>
  <c r="M489"/>
  <c r="C489"/>
  <c r="AD489" s="1"/>
  <c r="C1231"/>
  <c r="AD1231" s="1"/>
  <c r="C1232"/>
  <c r="AD1232" s="1"/>
  <c r="C1233"/>
  <c r="AD1233" s="1"/>
  <c r="C1234"/>
  <c r="AD1234" s="1"/>
  <c r="C1235"/>
  <c r="AD1235" s="1"/>
  <c r="C1236"/>
  <c r="AD1236" s="1"/>
  <c r="C1237"/>
  <c r="AD1237" s="1"/>
  <c r="C1230"/>
  <c r="AD1230" s="1"/>
  <c r="B1236" l="1"/>
  <c r="B492"/>
  <c r="B1231"/>
  <c r="B827"/>
  <c r="B1230"/>
  <c r="B1234"/>
  <c r="B489"/>
  <c r="B491"/>
  <c r="B493"/>
  <c r="B495"/>
  <c r="B497"/>
  <c r="B1238"/>
  <c r="B797"/>
  <c r="B1237"/>
  <c r="B1233"/>
  <c r="B754"/>
  <c r="B789"/>
  <c r="B490"/>
  <c r="B494"/>
  <c r="B496"/>
  <c r="B498"/>
  <c r="B499"/>
  <c r="B864"/>
  <c r="B1232"/>
  <c r="B1235"/>
  <c r="B500"/>
  <c r="G57" i="55" a="1"/>
  <c r="G57" s="1"/>
  <c r="G58" a="1"/>
  <c r="G58" s="1"/>
  <c r="G59" a="1"/>
  <c r="G59" s="1"/>
  <c r="G60" a="1"/>
  <c r="G60" s="1"/>
  <c r="G71" a="1"/>
  <c r="G71" s="1"/>
  <c r="G72" a="1"/>
  <c r="G72" s="1"/>
  <c r="M479" i="34"/>
  <c r="M480"/>
  <c r="M481"/>
  <c r="M482"/>
  <c r="C479"/>
  <c r="AD479" s="1"/>
  <c r="C480"/>
  <c r="AD480" s="1"/>
  <c r="C481"/>
  <c r="AD481" s="1"/>
  <c r="C482"/>
  <c r="AD482" s="1"/>
  <c r="C469"/>
  <c r="AD469" s="1"/>
  <c r="C470"/>
  <c r="AD470" s="1"/>
  <c r="C471"/>
  <c r="AD471" s="1"/>
  <c r="C472"/>
  <c r="AD472" s="1"/>
  <c r="C473"/>
  <c r="AD473" s="1"/>
  <c r="C474"/>
  <c r="AD474" s="1"/>
  <c r="C475"/>
  <c r="AD475" s="1"/>
  <c r="C476"/>
  <c r="AD476" s="1"/>
  <c r="C477"/>
  <c r="AD477" s="1"/>
  <c r="C478"/>
  <c r="AD478" s="1"/>
  <c r="C468"/>
  <c r="AD468" s="1"/>
  <c r="M469"/>
  <c r="M470"/>
  <c r="M471"/>
  <c r="M472"/>
  <c r="M473"/>
  <c r="M474"/>
  <c r="M475"/>
  <c r="M476"/>
  <c r="M477"/>
  <c r="M468"/>
  <c r="M478"/>
  <c r="M312"/>
  <c r="C312"/>
  <c r="AD312" s="1"/>
  <c r="V21" i="60"/>
  <c r="V22"/>
  <c r="A54" i="55"/>
  <c r="B32"/>
  <c r="A32" s="1"/>
  <c r="B33"/>
  <c r="A33" s="1"/>
  <c r="B34"/>
  <c r="A34" s="1"/>
  <c r="B35"/>
  <c r="A35" s="1"/>
  <c r="B52"/>
  <c r="A52" s="1"/>
  <c r="B53"/>
  <c r="A53" s="1"/>
  <c r="B13"/>
  <c r="B14"/>
  <c r="B15"/>
  <c r="B16"/>
  <c r="B17"/>
  <c r="B18"/>
  <c r="B19"/>
  <c r="B20"/>
  <c r="A20" s="1"/>
  <c r="B23"/>
  <c r="A23" s="1"/>
  <c r="B24"/>
  <c r="A24" s="1"/>
  <c r="B25"/>
  <c r="A25" s="1"/>
  <c r="B26"/>
  <c r="A26" s="1"/>
  <c r="B27"/>
  <c r="A27" s="1"/>
  <c r="B28"/>
  <c r="A28" s="1"/>
  <c r="B29"/>
  <c r="A29" s="1"/>
  <c r="B30"/>
  <c r="A30" s="1"/>
  <c r="B31"/>
  <c r="A31" s="1"/>
  <c r="B12"/>
  <c r="G20" a="1"/>
  <c r="G20" s="1"/>
  <c r="I20" a="1"/>
  <c r="I20" s="1"/>
  <c r="G23" a="1"/>
  <c r="G23" s="1"/>
  <c r="I23" a="1"/>
  <c r="I23" s="1"/>
  <c r="G24" a="1"/>
  <c r="G24" s="1"/>
  <c r="I24" a="1"/>
  <c r="I24" s="1"/>
  <c r="G25" a="1"/>
  <c r="G25" s="1"/>
  <c r="I25" a="1"/>
  <c r="I25" s="1"/>
  <c r="V41" i="60"/>
  <c r="V40"/>
  <c r="V39"/>
  <c r="L29" s="1"/>
  <c r="V36"/>
  <c r="V35"/>
  <c r="V34"/>
  <c r="V33"/>
  <c r="V32"/>
  <c r="V31"/>
  <c r="V30"/>
  <c r="V29"/>
  <c r="V23"/>
  <c r="V20"/>
  <c r="V19"/>
  <c r="V18"/>
  <c r="V11"/>
  <c r="V10"/>
  <c r="V9"/>
  <c r="V8"/>
  <c r="V7"/>
  <c r="D48"/>
  <c r="G48" s="1"/>
  <c r="D47"/>
  <c r="A47"/>
  <c r="A48" s="1"/>
  <c r="A49" s="1"/>
  <c r="P30"/>
  <c r="C30"/>
  <c r="D30" s="1"/>
  <c r="G30" s="1"/>
  <c r="A30"/>
  <c r="D29"/>
  <c r="G29" s="1"/>
  <c r="A29"/>
  <c r="D9"/>
  <c r="G9" s="1"/>
  <c r="D8"/>
  <c r="G8" s="1"/>
  <c r="D7"/>
  <c r="G7" s="1"/>
  <c r="A7"/>
  <c r="A8" s="1"/>
  <c r="A9" s="1"/>
  <c r="L7" l="1"/>
  <c r="S1232" i="34"/>
  <c r="Q1232"/>
  <c r="R1232"/>
  <c r="Q496"/>
  <c r="R496"/>
  <c r="S496"/>
  <c r="S754"/>
  <c r="Q754"/>
  <c r="R754"/>
  <c r="Q1238"/>
  <c r="R1238"/>
  <c r="S1238"/>
  <c r="Q491"/>
  <c r="R491"/>
  <c r="S491"/>
  <c r="S827"/>
  <c r="Q827"/>
  <c r="R827"/>
  <c r="A864"/>
  <c r="R864"/>
  <c r="S864"/>
  <c r="Q864"/>
  <c r="R494"/>
  <c r="S494"/>
  <c r="Q494"/>
  <c r="R1233"/>
  <c r="S1233"/>
  <c r="Q1233"/>
  <c r="Q497"/>
  <c r="R497"/>
  <c r="S497"/>
  <c r="S489"/>
  <c r="Q489"/>
  <c r="R489"/>
  <c r="Q1231"/>
  <c r="R1231"/>
  <c r="S1231"/>
  <c r="Q500"/>
  <c r="R500"/>
  <c r="S500"/>
  <c r="R499"/>
  <c r="S499"/>
  <c r="Q499"/>
  <c r="R490"/>
  <c r="S490"/>
  <c r="Q490"/>
  <c r="R1237"/>
  <c r="S1237"/>
  <c r="Q1237"/>
  <c r="Q495"/>
  <c r="R495"/>
  <c r="S495"/>
  <c r="Q1234"/>
  <c r="R1234"/>
  <c r="S1234"/>
  <c r="Q492"/>
  <c r="R492"/>
  <c r="S492"/>
  <c r="Q1235"/>
  <c r="R1235"/>
  <c r="S1235"/>
  <c r="S498"/>
  <c r="R498"/>
  <c r="Q498"/>
  <c r="Q789"/>
  <c r="R789"/>
  <c r="S789"/>
  <c r="Q797"/>
  <c r="R797"/>
  <c r="S797"/>
  <c r="S493"/>
  <c r="Q493"/>
  <c r="R493"/>
  <c r="Q1230"/>
  <c r="R1230"/>
  <c r="S1230"/>
  <c r="S1236"/>
  <c r="Q1236"/>
  <c r="R1236"/>
  <c r="L9" i="60"/>
  <c r="L8"/>
  <c r="A1235" i="34"/>
  <c r="A498"/>
  <c r="A494"/>
  <c r="A789"/>
  <c r="A1233"/>
  <c r="A797"/>
  <c r="A497"/>
  <c r="A493"/>
  <c r="A489"/>
  <c r="A1230"/>
  <c r="A1231"/>
  <c r="A1236"/>
  <c r="A500"/>
  <c r="A1232"/>
  <c r="A499"/>
  <c r="A496"/>
  <c r="A490"/>
  <c r="A754"/>
  <c r="A1237"/>
  <c r="A1238"/>
  <c r="A495"/>
  <c r="A491"/>
  <c r="A1234"/>
  <c r="A827"/>
  <c r="A492"/>
  <c r="B468"/>
  <c r="B475"/>
  <c r="B471"/>
  <c r="B481"/>
  <c r="B478"/>
  <c r="B474"/>
  <c r="B470"/>
  <c r="B480"/>
  <c r="B477"/>
  <c r="B473"/>
  <c r="B469"/>
  <c r="B479"/>
  <c r="B312"/>
  <c r="B476"/>
  <c r="B472"/>
  <c r="B482"/>
  <c r="V38" i="60"/>
  <c r="V17"/>
  <c r="K25" i="55"/>
  <c r="K24"/>
  <c r="K23"/>
  <c r="K20"/>
  <c r="Q482" i="34" l="1"/>
  <c r="R482"/>
  <c r="S482"/>
  <c r="Q479"/>
  <c r="R479"/>
  <c r="S479"/>
  <c r="S480"/>
  <c r="Q480"/>
  <c r="R480"/>
  <c r="S472"/>
  <c r="Q472"/>
  <c r="R472"/>
  <c r="R469"/>
  <c r="S469"/>
  <c r="Q469"/>
  <c r="Q470"/>
  <c r="R470"/>
  <c r="S470"/>
  <c r="Q471"/>
  <c r="R471"/>
  <c r="S471"/>
  <c r="R473"/>
  <c r="S473"/>
  <c r="Q473"/>
  <c r="Q474"/>
  <c r="R474"/>
  <c r="S474"/>
  <c r="Q475"/>
  <c r="R475"/>
  <c r="S475"/>
  <c r="S476"/>
  <c r="Q476"/>
  <c r="R476"/>
  <c r="R312"/>
  <c r="S312"/>
  <c r="Q312"/>
  <c r="R477"/>
  <c r="S477"/>
  <c r="Q477"/>
  <c r="Q478"/>
  <c r="R478"/>
  <c r="S478"/>
  <c r="S468"/>
  <c r="Q468"/>
  <c r="R468"/>
  <c r="R481"/>
  <c r="S481"/>
  <c r="Q481"/>
  <c r="A472"/>
  <c r="A312"/>
  <c r="A469"/>
  <c r="A477"/>
  <c r="A470"/>
  <c r="A478"/>
  <c r="A471"/>
  <c r="A468"/>
  <c r="A482"/>
  <c r="A476"/>
  <c r="A479"/>
  <c r="A473"/>
  <c r="A480"/>
  <c r="A474"/>
  <c r="A481"/>
  <c r="A475"/>
  <c r="M20"/>
  <c r="M18"/>
  <c r="M19"/>
  <c r="M16"/>
  <c r="M17"/>
  <c r="M11"/>
  <c r="M10" l="1"/>
  <c r="C11"/>
  <c r="AD11" s="1"/>
  <c r="C12"/>
  <c r="AD12" s="1"/>
  <c r="C13"/>
  <c r="AD13" s="1"/>
  <c r="C14"/>
  <c r="AD14" s="1"/>
  <c r="C15"/>
  <c r="AD15" s="1"/>
  <c r="C21"/>
  <c r="AD21" s="1"/>
  <c r="C16"/>
  <c r="AD16" s="1"/>
  <c r="C17"/>
  <c r="AD17" s="1"/>
  <c r="C18"/>
  <c r="AD18" s="1"/>
  <c r="C19"/>
  <c r="AD19" s="1"/>
  <c r="C20"/>
  <c r="AD20" s="1"/>
  <c r="C10"/>
  <c r="AD10" s="1"/>
  <c r="E161"/>
  <c r="B20" l="1"/>
  <c r="B18"/>
  <c r="B17"/>
  <c r="B16"/>
  <c r="B19"/>
  <c r="R20" l="1"/>
  <c r="S20"/>
  <c r="Q20"/>
  <c r="R16"/>
  <c r="S16"/>
  <c r="Q16"/>
  <c r="Q18"/>
  <c r="R18"/>
  <c r="S18"/>
  <c r="S19"/>
  <c r="Q19"/>
  <c r="R19"/>
  <c r="Q17"/>
  <c r="R17"/>
  <c r="S17"/>
  <c r="A19"/>
  <c r="A17"/>
  <c r="A20"/>
  <c r="A16"/>
  <c r="A18"/>
  <c r="G7" i="57"/>
  <c r="D74" i="12"/>
  <c r="I111" i="42" l="1"/>
  <c r="G129" i="43"/>
  <c r="T9" l="1"/>
  <c r="T8"/>
  <c r="D77" i="15" l="1"/>
  <c r="C77"/>
  <c r="C23"/>
  <c r="D23"/>
  <c r="C35"/>
  <c r="D35"/>
  <c r="D32"/>
  <c r="C32"/>
  <c r="C53"/>
  <c r="D53"/>
  <c r="C46"/>
  <c r="D46"/>
  <c r="D58" l="1"/>
  <c r="L837" i="34" l="1"/>
  <c r="I22" i="45" l="1" a="1"/>
  <c r="I22" s="1"/>
  <c r="K22" a="1"/>
  <c r="K22" s="1"/>
  <c r="I30" a="1"/>
  <c r="I30" s="1"/>
  <c r="K30" a="1"/>
  <c r="K30" s="1"/>
  <c r="I23" a="1"/>
  <c r="I23" s="1"/>
  <c r="K23" a="1"/>
  <c r="K23" s="1"/>
  <c r="I24" a="1"/>
  <c r="I24" s="1"/>
  <c r="K24" a="1"/>
  <c r="K24" s="1"/>
  <c r="O23" l="1"/>
  <c r="O22"/>
  <c r="O24"/>
  <c r="O30"/>
  <c r="M24"/>
  <c r="M23"/>
  <c r="M30"/>
  <c r="M22"/>
  <c r="I19" a="1"/>
  <c r="I19" s="1"/>
  <c r="K19" a="1"/>
  <c r="K19" s="1"/>
  <c r="M19" l="1"/>
  <c r="O19"/>
  <c r="E16" i="61" l="1"/>
  <c r="B11"/>
  <c r="D5"/>
  <c r="V298" i="60"/>
  <c r="V297"/>
  <c r="V296"/>
  <c r="V295"/>
  <c r="V294"/>
  <c r="V293"/>
  <c r="V292"/>
  <c r="W291"/>
  <c r="V289"/>
  <c r="V288"/>
  <c r="V287"/>
  <c r="O287"/>
  <c r="L287"/>
  <c r="E287"/>
  <c r="V286"/>
  <c r="A286"/>
  <c r="V285"/>
  <c r="C285"/>
  <c r="D285" s="1"/>
  <c r="G285" s="1"/>
  <c r="A285"/>
  <c r="V284"/>
  <c r="C284"/>
  <c r="D284" s="1"/>
  <c r="G284" s="1"/>
  <c r="A284"/>
  <c r="V283"/>
  <c r="C283"/>
  <c r="D283" s="1"/>
  <c r="G283" s="1"/>
  <c r="A283"/>
  <c r="V282"/>
  <c r="C282"/>
  <c r="D282" s="1"/>
  <c r="G282" s="1"/>
  <c r="A282"/>
  <c r="V281"/>
  <c r="C281"/>
  <c r="D281" s="1"/>
  <c r="G281" s="1"/>
  <c r="A281"/>
  <c r="V280"/>
  <c r="M287"/>
  <c r="C280"/>
  <c r="D280" s="1"/>
  <c r="A280"/>
  <c r="V272"/>
  <c r="L260" s="1"/>
  <c r="V271"/>
  <c r="L259" s="1"/>
  <c r="V270"/>
  <c r="L258" s="1"/>
  <c r="V269"/>
  <c r="L257" s="1"/>
  <c r="V268"/>
  <c r="L256" s="1"/>
  <c r="V267"/>
  <c r="L255" s="1"/>
  <c r="W266"/>
  <c r="V264"/>
  <c r="V263"/>
  <c r="V262"/>
  <c r="O262"/>
  <c r="N262"/>
  <c r="E262"/>
  <c r="V261"/>
  <c r="A261"/>
  <c r="V260"/>
  <c r="P260"/>
  <c r="D260"/>
  <c r="G260" s="1"/>
  <c r="A260"/>
  <c r="V259"/>
  <c r="P259"/>
  <c r="C259"/>
  <c r="D259" s="1"/>
  <c r="G259" s="1"/>
  <c r="A259"/>
  <c r="V258"/>
  <c r="P258"/>
  <c r="C258"/>
  <c r="D258" s="1"/>
  <c r="G258" s="1"/>
  <c r="A258"/>
  <c r="V257"/>
  <c r="P257"/>
  <c r="C257"/>
  <c r="D257" s="1"/>
  <c r="G257" s="1"/>
  <c r="A257"/>
  <c r="V256"/>
  <c r="P256"/>
  <c r="C256"/>
  <c r="D256" s="1"/>
  <c r="G256" s="1"/>
  <c r="A256"/>
  <c r="V255"/>
  <c r="P255"/>
  <c r="M262"/>
  <c r="C255"/>
  <c r="D255" s="1"/>
  <c r="A255"/>
  <c r="V248"/>
  <c r="V247"/>
  <c r="V246"/>
  <c r="V245"/>
  <c r="V244"/>
  <c r="V243"/>
  <c r="V242"/>
  <c r="V241"/>
  <c r="W240"/>
  <c r="V238"/>
  <c r="V237"/>
  <c r="V236"/>
  <c r="O236"/>
  <c r="L236"/>
  <c r="E236"/>
  <c r="V235"/>
  <c r="A235"/>
  <c r="V234"/>
  <c r="C234"/>
  <c r="D234" s="1"/>
  <c r="G234" s="1"/>
  <c r="A234"/>
  <c r="V233"/>
  <c r="C233"/>
  <c r="D233" s="1"/>
  <c r="G233" s="1"/>
  <c r="A233"/>
  <c r="V232"/>
  <c r="C232"/>
  <c r="D232" s="1"/>
  <c r="G232" s="1"/>
  <c r="A232"/>
  <c r="V231"/>
  <c r="C231"/>
  <c r="D231" s="1"/>
  <c r="G231" s="1"/>
  <c r="A231"/>
  <c r="V230"/>
  <c r="M236"/>
  <c r="C230"/>
  <c r="D230" s="1"/>
  <c r="G230" s="1"/>
  <c r="A230"/>
  <c r="V229"/>
  <c r="C229"/>
  <c r="D229" s="1"/>
  <c r="A229"/>
  <c r="V221"/>
  <c r="V220"/>
  <c r="V219"/>
  <c r="V218"/>
  <c r="V217"/>
  <c r="V216"/>
  <c r="V215"/>
  <c r="V214"/>
  <c r="W213"/>
  <c r="V211"/>
  <c r="V210"/>
  <c r="V209"/>
  <c r="V208"/>
  <c r="O208"/>
  <c r="L208"/>
  <c r="E208"/>
  <c r="H202" s="1"/>
  <c r="V207"/>
  <c r="A207"/>
  <c r="V206"/>
  <c r="H206"/>
  <c r="C206"/>
  <c r="D206" s="1"/>
  <c r="G206" s="1"/>
  <c r="A206"/>
  <c r="V205"/>
  <c r="H205"/>
  <c r="C205"/>
  <c r="D205" s="1"/>
  <c r="G205" s="1"/>
  <c r="A205"/>
  <c r="V204"/>
  <c r="H204"/>
  <c r="C204"/>
  <c r="D204" s="1"/>
  <c r="G204" s="1"/>
  <c r="A204"/>
  <c r="V203"/>
  <c r="C203"/>
  <c r="D203" s="1"/>
  <c r="G203" s="1"/>
  <c r="A203"/>
  <c r="V202"/>
  <c r="M208"/>
  <c r="C202"/>
  <c r="D202" s="1"/>
  <c r="A202"/>
  <c r="V186"/>
  <c r="V185"/>
  <c r="V184"/>
  <c r="L174" s="1"/>
  <c r="V183"/>
  <c r="L173" s="1"/>
  <c r="V181"/>
  <c r="L171" s="1"/>
  <c r="V180"/>
  <c r="L170" s="1"/>
  <c r="V179"/>
  <c r="L169" s="1"/>
  <c r="W178"/>
  <c r="O176"/>
  <c r="E176"/>
  <c r="H169" s="1"/>
  <c r="C175"/>
  <c r="A175"/>
  <c r="V176"/>
  <c r="A169"/>
  <c r="A170" s="1"/>
  <c r="A171" s="1"/>
  <c r="A172" s="1"/>
  <c r="A173" s="1"/>
  <c r="A174" s="1"/>
  <c r="V163"/>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L90" s="1"/>
  <c r="W95"/>
  <c r="A92"/>
  <c r="D87"/>
  <c r="G87" s="1"/>
  <c r="V86"/>
  <c r="D86"/>
  <c r="D93" s="1"/>
  <c r="A86"/>
  <c r="A87" s="1"/>
  <c r="A88" s="1"/>
  <c r="A89" s="1"/>
  <c r="A90" s="1"/>
  <c r="V80"/>
  <c r="V79"/>
  <c r="V78"/>
  <c r="V77"/>
  <c r="W76"/>
  <c r="O72"/>
  <c r="V69"/>
  <c r="V68"/>
  <c r="M72"/>
  <c r="A68"/>
  <c r="A69" s="1"/>
  <c r="V62"/>
  <c r="V61"/>
  <c r="V60"/>
  <c r="V59"/>
  <c r="L49" s="1"/>
  <c r="V58"/>
  <c r="V57"/>
  <c r="W56"/>
  <c r="V54"/>
  <c r="V53"/>
  <c r="V52"/>
  <c r="V51"/>
  <c r="O52"/>
  <c r="M52"/>
  <c r="E52"/>
  <c r="V50"/>
  <c r="A51"/>
  <c r="V49"/>
  <c r="V48"/>
  <c r="V47"/>
  <c r="W38"/>
  <c r="O32"/>
  <c r="M32"/>
  <c r="L32"/>
  <c r="I32"/>
  <c r="G32"/>
  <c r="E32"/>
  <c r="D32"/>
  <c r="A31"/>
  <c r="W17"/>
  <c r="O11"/>
  <c r="M11"/>
  <c r="L11"/>
  <c r="I11"/>
  <c r="G11"/>
  <c r="D11"/>
  <c r="P10"/>
  <c r="A10"/>
  <c r="A31" i="58"/>
  <c r="I13"/>
  <c r="C8"/>
  <c r="A31" i="57"/>
  <c r="L13"/>
  <c r="K13"/>
  <c r="I7"/>
  <c r="A27" i="56"/>
  <c r="A12"/>
  <c r="D7"/>
  <c r="C7"/>
  <c r="D5"/>
  <c r="A102" i="55"/>
  <c r="F101"/>
  <c r="F102" s="1"/>
  <c r="E101"/>
  <c r="A101"/>
  <c r="I82" a="1"/>
  <c r="I82" s="1"/>
  <c r="G82" a="1"/>
  <c r="G82" s="1"/>
  <c r="I77" a="1"/>
  <c r="I77" s="1"/>
  <c r="G77" a="1"/>
  <c r="G77" s="1"/>
  <c r="I76" a="1"/>
  <c r="I76" s="1"/>
  <c r="G76" a="1"/>
  <c r="G76" s="1"/>
  <c r="I75" a="1"/>
  <c r="I75" s="1"/>
  <c r="G75" a="1"/>
  <c r="G75" s="1"/>
  <c r="I74" a="1"/>
  <c r="I74" s="1"/>
  <c r="G74" a="1"/>
  <c r="G74" s="1"/>
  <c r="I73" a="1"/>
  <c r="I73" s="1"/>
  <c r="G73" a="1"/>
  <c r="G73" s="1"/>
  <c r="I72" a="1"/>
  <c r="I72" s="1"/>
  <c r="I71" a="1"/>
  <c r="I71" s="1"/>
  <c r="B71"/>
  <c r="B72" s="1"/>
  <c r="F70"/>
  <c r="A69"/>
  <c r="I60" a="1"/>
  <c r="I60" s="1"/>
  <c r="I59" a="1"/>
  <c r="I59" s="1"/>
  <c r="I58" a="1"/>
  <c r="I58" s="1"/>
  <c r="I57" a="1"/>
  <c r="I57" s="1"/>
  <c r="I56" a="1"/>
  <c r="I56" s="1"/>
  <c r="G56" a="1"/>
  <c r="G56" s="1"/>
  <c r="G69" s="1"/>
  <c r="B56"/>
  <c r="A56" s="1"/>
  <c r="F55"/>
  <c r="I48" a="1"/>
  <c r="I48" s="1"/>
  <c r="G48" a="1"/>
  <c r="G48" s="1"/>
  <c r="I36" a="1"/>
  <c r="I36" s="1"/>
  <c r="G36" a="1"/>
  <c r="G36" s="1"/>
  <c r="I39" a="1"/>
  <c r="I39" s="1"/>
  <c r="G39" a="1"/>
  <c r="G39" s="1"/>
  <c r="I43" a="1"/>
  <c r="I43" s="1"/>
  <c r="G43" a="1"/>
  <c r="G43" s="1"/>
  <c r="I34" a="1"/>
  <c r="I34" s="1"/>
  <c r="G34" a="1"/>
  <c r="G34" s="1"/>
  <c r="I33" a="1"/>
  <c r="I33" s="1"/>
  <c r="G33" a="1"/>
  <c r="G33" s="1"/>
  <c r="I29" a="1"/>
  <c r="I29" s="1"/>
  <c r="G29" a="1"/>
  <c r="G29" s="1"/>
  <c r="I28" a="1"/>
  <c r="I28" s="1"/>
  <c r="G28" a="1"/>
  <c r="G28" s="1"/>
  <c r="I27" a="1"/>
  <c r="I27" s="1"/>
  <c r="G27" a="1"/>
  <c r="G27" s="1"/>
  <c r="I26" a="1"/>
  <c r="I26" s="1"/>
  <c r="G26" a="1"/>
  <c r="G26" s="1"/>
  <c r="I19" a="1"/>
  <c r="I19" s="1"/>
  <c r="G19" a="1"/>
  <c r="G19" s="1"/>
  <c r="I18" a="1"/>
  <c r="I18" s="1"/>
  <c r="G18" a="1"/>
  <c r="G18" s="1"/>
  <c r="I17" a="1"/>
  <c r="I17" s="1"/>
  <c r="G17" a="1"/>
  <c r="G17" s="1"/>
  <c r="I16" a="1"/>
  <c r="I16" s="1"/>
  <c r="G16" a="1"/>
  <c r="G16" s="1"/>
  <c r="I15" a="1"/>
  <c r="I15" s="1"/>
  <c r="G15" a="1"/>
  <c r="G15" s="1"/>
  <c r="I14" a="1"/>
  <c r="I14" s="1"/>
  <c r="G14" a="1"/>
  <c r="G14" s="1"/>
  <c r="I13" a="1"/>
  <c r="I13" s="1"/>
  <c r="G13" a="1"/>
  <c r="G13" s="1"/>
  <c r="I12" a="1"/>
  <c r="I12" s="1"/>
  <c r="G12" a="1"/>
  <c r="G12" s="1"/>
  <c r="L13" i="54"/>
  <c r="L18" s="1"/>
  <c r="A31" i="52"/>
  <c r="N16"/>
  <c r="M16"/>
  <c r="L16"/>
  <c r="K16"/>
  <c r="J9"/>
  <c r="A8"/>
  <c r="H53" i="45"/>
  <c r="F53"/>
  <c r="K29" a="1"/>
  <c r="K29" s="1"/>
  <c r="I29" a="1"/>
  <c r="I29" s="1"/>
  <c r="K28" a="1"/>
  <c r="K28" s="1"/>
  <c r="I28" a="1"/>
  <c r="I28" s="1"/>
  <c r="K27" a="1"/>
  <c r="K27" s="1"/>
  <c r="I27" a="1"/>
  <c r="I27" s="1"/>
  <c r="K26" a="1"/>
  <c r="K26" s="1"/>
  <c r="I26" a="1"/>
  <c r="I26" s="1"/>
  <c r="K25" a="1"/>
  <c r="K25" s="1"/>
  <c r="I25" a="1"/>
  <c r="I25" s="1"/>
  <c r="K21" a="1"/>
  <c r="K21" s="1"/>
  <c r="I21" a="1"/>
  <c r="I21" s="1"/>
  <c r="K20" a="1"/>
  <c r="K20" s="1"/>
  <c r="I20" a="1"/>
  <c r="I20" s="1"/>
  <c r="K18" a="1"/>
  <c r="K18" s="1"/>
  <c r="I18" a="1"/>
  <c r="I18" s="1"/>
  <c r="K17" a="1"/>
  <c r="K17" s="1"/>
  <c r="I17" a="1"/>
  <c r="I17" s="1"/>
  <c r="K16" a="1"/>
  <c r="K16" s="1"/>
  <c r="I16" a="1"/>
  <c r="I16" s="1"/>
  <c r="K15" a="1"/>
  <c r="K15" s="1"/>
  <c r="I15" a="1"/>
  <c r="I15" s="1"/>
  <c r="K14" a="1"/>
  <c r="K14" s="1"/>
  <c r="I14" a="1"/>
  <c r="I14" s="1"/>
  <c r="K13" a="1"/>
  <c r="K13" s="1"/>
  <c r="I13" a="1"/>
  <c r="I13" s="1"/>
  <c r="K12" a="1"/>
  <c r="K12" s="1"/>
  <c r="I12" a="1"/>
  <c r="I12" s="1"/>
  <c r="K11" a="1"/>
  <c r="K11" s="1"/>
  <c r="I11" a="1"/>
  <c r="I11" s="1"/>
  <c r="K10" a="1"/>
  <c r="K10" s="1"/>
  <c r="I10" a="1"/>
  <c r="I10" s="1"/>
  <c r="K9" a="1"/>
  <c r="K9" s="1"/>
  <c r="I9" a="1"/>
  <c r="I9" s="1"/>
  <c r="J13" i="14"/>
  <c r="I13"/>
  <c r="A114" i="63"/>
  <c r="F21" i="62"/>
  <c r="E21"/>
  <c r="D21"/>
  <c r="D23" s="1"/>
  <c r="C21"/>
  <c r="I11" a="1"/>
  <c r="I11" s="1"/>
  <c r="G11" a="1"/>
  <c r="G11" s="1"/>
  <c r="I10" a="1"/>
  <c r="I10" s="1"/>
  <c r="G10" a="1"/>
  <c r="G10" s="1"/>
  <c r="I9" a="1"/>
  <c r="I9" s="1"/>
  <c r="G9" a="1"/>
  <c r="G9" s="1"/>
  <c r="I8" a="1"/>
  <c r="I8" s="1"/>
  <c r="G8" a="1"/>
  <c r="G8" s="1"/>
  <c r="I7" a="1"/>
  <c r="I7" s="1"/>
  <c r="G7" a="1"/>
  <c r="G7" s="1"/>
  <c r="I6" a="1"/>
  <c r="I6" s="1"/>
  <c r="G6" a="1"/>
  <c r="G6" s="1"/>
  <c r="I5" a="1"/>
  <c r="I5" s="1"/>
  <c r="G5" a="1"/>
  <c r="G5" s="1"/>
  <c r="A6" i="42"/>
  <c r="M24" i="39"/>
  <c r="H24"/>
  <c r="M17"/>
  <c r="H17"/>
  <c r="C11"/>
  <c r="M9"/>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834" i="34"/>
  <c r="M833"/>
  <c r="M745"/>
  <c r="M715"/>
  <c r="M832"/>
  <c r="M831"/>
  <c r="M822"/>
  <c r="M808"/>
  <c r="M805"/>
  <c r="M801"/>
  <c r="M800"/>
  <c r="M762"/>
  <c r="M751"/>
  <c r="M750"/>
  <c r="M735"/>
  <c r="M734"/>
  <c r="M733"/>
  <c r="M732"/>
  <c r="M741"/>
  <c r="M828"/>
  <c r="M818"/>
  <c r="M807"/>
  <c r="M803"/>
  <c r="M761"/>
  <c r="M206"/>
  <c r="C206"/>
  <c r="AD206" s="1"/>
  <c r="M205"/>
  <c r="C205"/>
  <c r="AD205" s="1"/>
  <c r="M204"/>
  <c r="C204"/>
  <c r="AD204" s="1"/>
  <c r="M203"/>
  <c r="C203"/>
  <c r="AD203" s="1"/>
  <c r="M202"/>
  <c r="C202"/>
  <c r="AD202" s="1"/>
  <c r="M201"/>
  <c r="C201"/>
  <c r="AD201" s="1"/>
  <c r="C200"/>
  <c r="AD200" s="1"/>
  <c r="M488"/>
  <c r="C488"/>
  <c r="AD488" s="1"/>
  <c r="M487"/>
  <c r="C487"/>
  <c r="AD487" s="1"/>
  <c r="M486"/>
  <c r="C486"/>
  <c r="AD486" s="1"/>
  <c r="M485"/>
  <c r="C485"/>
  <c r="AD485" s="1"/>
  <c r="M484"/>
  <c r="C484"/>
  <c r="AD484" s="1"/>
  <c r="M483"/>
  <c r="C483"/>
  <c r="AD483" s="1"/>
  <c r="M314"/>
  <c r="C314"/>
  <c r="AD314" s="1"/>
  <c r="M313"/>
  <c r="C313"/>
  <c r="AD313" s="1"/>
  <c r="M311"/>
  <c r="C311"/>
  <c r="AD311" s="1"/>
  <c r="M310"/>
  <c r="C310"/>
  <c r="AD310" s="1"/>
  <c r="M309"/>
  <c r="C309"/>
  <c r="AD309" s="1"/>
  <c r="C308"/>
  <c r="AD308" s="1"/>
  <c r="M307"/>
  <c r="C307"/>
  <c r="AD307" s="1"/>
  <c r="M306"/>
  <c r="C306"/>
  <c r="AD306" s="1"/>
  <c r="M305"/>
  <c r="C305"/>
  <c r="AD305" s="1"/>
  <c r="M304"/>
  <c r="C304"/>
  <c r="AD304" s="1"/>
  <c r="M303"/>
  <c r="C303"/>
  <c r="AD303" s="1"/>
  <c r="M302"/>
  <c r="C302"/>
  <c r="AD302" s="1"/>
  <c r="C301"/>
  <c r="AD301" s="1"/>
  <c r="C300"/>
  <c r="AD300" s="1"/>
  <c r="C299"/>
  <c r="AD299" s="1"/>
  <c r="C298"/>
  <c r="AD298" s="1"/>
  <c r="C297"/>
  <c r="AD297" s="1"/>
  <c r="C296"/>
  <c r="AD296" s="1"/>
  <c r="C295"/>
  <c r="AD295" s="1"/>
  <c r="C294"/>
  <c r="AD294" s="1"/>
  <c r="C293"/>
  <c r="AD293" s="1"/>
  <c r="C292"/>
  <c r="AD292" s="1"/>
  <c r="C291"/>
  <c r="AD291" s="1"/>
  <c r="C290"/>
  <c r="AD290" s="1"/>
  <c r="C289"/>
  <c r="AD289" s="1"/>
  <c r="C288"/>
  <c r="AD288" s="1"/>
  <c r="C287"/>
  <c r="AD287" s="1"/>
  <c r="C286"/>
  <c r="AD286" s="1"/>
  <c r="M830"/>
  <c r="C830"/>
  <c r="AD830" s="1"/>
  <c r="M829"/>
  <c r="C829"/>
  <c r="AD829" s="1"/>
  <c r="M821"/>
  <c r="C821"/>
  <c r="AD821" s="1"/>
  <c r="M820"/>
  <c r="C820"/>
  <c r="AD820" s="1"/>
  <c r="M819"/>
  <c r="C819"/>
  <c r="AD819" s="1"/>
  <c r="E27"/>
  <c r="AA27" s="1"/>
  <c r="E26"/>
  <c r="AA26" s="1"/>
  <c r="E25"/>
  <c r="AA25" s="1"/>
  <c r="E162"/>
  <c r="AA162" s="1"/>
  <c r="B21"/>
  <c r="B15"/>
  <c r="B14"/>
  <c r="B13"/>
  <c r="B12"/>
  <c r="B11"/>
  <c r="AC10"/>
  <c r="AA10"/>
  <c r="Y10"/>
  <c r="W10"/>
  <c r="P10"/>
  <c r="B10"/>
  <c r="A10" s="1"/>
  <c r="X7"/>
  <c r="X2076" s="1"/>
  <c r="D56" i="15"/>
  <c r="C56"/>
  <c r="C12" i="61"/>
  <c r="H12"/>
  <c r="X1963" i="34" l="1"/>
  <c r="X2074"/>
  <c r="X2075"/>
  <c r="X2069"/>
  <c r="X2070"/>
  <c r="X2071"/>
  <c r="X2072"/>
  <c r="X2073"/>
  <c r="X1875"/>
  <c r="X1962"/>
  <c r="X1871"/>
  <c r="X1873"/>
  <c r="X1933"/>
  <c r="X1795"/>
  <c r="X1934"/>
  <c r="X1932"/>
  <c r="X1936"/>
  <c r="X1935"/>
  <c r="AA23"/>
  <c r="AA22"/>
  <c r="AA693"/>
  <c r="AA694"/>
  <c r="AA695"/>
  <c r="AA696"/>
  <c r="AA697"/>
  <c r="AA698"/>
  <c r="AA699"/>
  <c r="AA700"/>
  <c r="AA701"/>
  <c r="AA692"/>
  <c r="AA691"/>
  <c r="AA690"/>
  <c r="AA689"/>
  <c r="AA688"/>
  <c r="AA687"/>
  <c r="AA686"/>
  <c r="AA685"/>
  <c r="AA684"/>
  <c r="AA683"/>
  <c r="AA682"/>
  <c r="AA681"/>
  <c r="AA702"/>
  <c r="AA275"/>
  <c r="AA703"/>
  <c r="AA394"/>
  <c r="L176" i="60"/>
  <c r="X22" i="34"/>
  <c r="X23"/>
  <c r="P170" i="60"/>
  <c r="N170"/>
  <c r="X275" i="34"/>
  <c r="X693"/>
  <c r="X697"/>
  <c r="X696"/>
  <c r="X700"/>
  <c r="X695"/>
  <c r="X699"/>
  <c r="X694"/>
  <c r="X698"/>
  <c r="D150" i="60"/>
  <c r="K174"/>
  <c r="J174"/>
  <c r="H174"/>
  <c r="L93"/>
  <c r="L113"/>
  <c r="X703" i="34"/>
  <c r="X701"/>
  <c r="X702"/>
  <c r="X690"/>
  <c r="X686"/>
  <c r="X682"/>
  <c r="X691"/>
  <c r="X687"/>
  <c r="X683"/>
  <c r="X692"/>
  <c r="X688"/>
  <c r="X684"/>
  <c r="X689"/>
  <c r="X685"/>
  <c r="X681"/>
  <c r="X394"/>
  <c r="AA24"/>
  <c r="AA1765"/>
  <c r="AA1872"/>
  <c r="AA1874"/>
  <c r="AA678"/>
  <c r="AA659"/>
  <c r="AA655"/>
  <c r="AA651"/>
  <c r="AA676"/>
  <c r="AA673"/>
  <c r="AA669"/>
  <c r="AA665"/>
  <c r="AA15"/>
  <c r="AA19"/>
  <c r="AA167"/>
  <c r="AA203"/>
  <c r="AA207"/>
  <c r="AA211"/>
  <c r="AA219"/>
  <c r="AA223"/>
  <c r="AA227"/>
  <c r="AA288"/>
  <c r="AA292"/>
  <c r="AA296"/>
  <c r="AA300"/>
  <c r="AA304"/>
  <c r="AA308"/>
  <c r="AA312"/>
  <c r="AA316"/>
  <c r="AA320"/>
  <c r="AA367"/>
  <c r="AA369"/>
  <c r="AA371"/>
  <c r="AA373"/>
  <c r="AA468"/>
  <c r="AA472"/>
  <c r="AA476"/>
  <c r="AA480"/>
  <c r="AA484"/>
  <c r="AA488"/>
  <c r="AA492"/>
  <c r="AA496"/>
  <c r="AA500"/>
  <c r="AA504"/>
  <c r="AA508"/>
  <c r="AA512"/>
  <c r="AA516"/>
  <c r="AA520"/>
  <c r="AA524"/>
  <c r="AA528"/>
  <c r="AA532"/>
  <c r="AA536"/>
  <c r="AA540"/>
  <c r="AA544"/>
  <c r="AA548"/>
  <c r="AA552"/>
  <c r="AA556"/>
  <c r="AA560"/>
  <c r="AA564"/>
  <c r="AA568"/>
  <c r="AA572"/>
  <c r="AA576"/>
  <c r="AA580"/>
  <c r="AA584"/>
  <c r="AA588"/>
  <c r="AA592"/>
  <c r="AA596"/>
  <c r="AA600"/>
  <c r="AA604"/>
  <c r="AA608"/>
  <c r="AA612"/>
  <c r="AA616"/>
  <c r="AA620"/>
  <c r="AA624"/>
  <c r="AA628"/>
  <c r="AA632"/>
  <c r="AA636"/>
  <c r="AA640"/>
  <c r="AA644"/>
  <c r="AA704"/>
  <c r="AA706"/>
  <c r="AA708"/>
  <c r="AA710"/>
  <c r="AA712"/>
  <c r="AA679"/>
  <c r="AA660"/>
  <c r="AA656"/>
  <c r="AA652"/>
  <c r="AA648"/>
  <c r="AA677"/>
  <c r="AA670"/>
  <c r="AA666"/>
  <c r="AA12"/>
  <c r="AA16"/>
  <c r="AA20"/>
  <c r="AA168"/>
  <c r="AA200"/>
  <c r="AA204"/>
  <c r="AA208"/>
  <c r="AA212"/>
  <c r="AA220"/>
  <c r="AA224"/>
  <c r="AA289"/>
  <c r="AA293"/>
  <c r="AA297"/>
  <c r="AA301"/>
  <c r="AA305"/>
  <c r="AA309"/>
  <c r="AA313"/>
  <c r="AA317"/>
  <c r="AA321"/>
  <c r="AA324"/>
  <c r="AA326"/>
  <c r="AA328"/>
  <c r="AA330"/>
  <c r="AA389"/>
  <c r="AA391"/>
  <c r="AA393"/>
  <c r="AA396"/>
  <c r="AA398"/>
  <c r="AA469"/>
  <c r="AA473"/>
  <c r="AA477"/>
  <c r="AA481"/>
  <c r="AA485"/>
  <c r="AA489"/>
  <c r="AA493"/>
  <c r="AA497"/>
  <c r="AA501"/>
  <c r="AA505"/>
  <c r="AA509"/>
  <c r="AA513"/>
  <c r="AA517"/>
  <c r="AA521"/>
  <c r="AA525"/>
  <c r="AA680"/>
  <c r="AA661"/>
  <c r="AA657"/>
  <c r="AA653"/>
  <c r="AA649"/>
  <c r="AA674"/>
  <c r="AA671"/>
  <c r="AA667"/>
  <c r="AA663"/>
  <c r="AA13"/>
  <c r="AA17"/>
  <c r="AA21"/>
  <c r="AA169"/>
  <c r="AA201"/>
  <c r="AA205"/>
  <c r="AA209"/>
  <c r="AA221"/>
  <c r="AA225"/>
  <c r="AA286"/>
  <c r="AA290"/>
  <c r="AA294"/>
  <c r="AA298"/>
  <c r="AA302"/>
  <c r="AA306"/>
  <c r="AA310"/>
  <c r="AA314"/>
  <c r="AA318"/>
  <c r="AA322"/>
  <c r="AA368"/>
  <c r="AA370"/>
  <c r="AA372"/>
  <c r="AA470"/>
  <c r="AA474"/>
  <c r="AA478"/>
  <c r="AA482"/>
  <c r="AA486"/>
  <c r="AA490"/>
  <c r="AA494"/>
  <c r="AA498"/>
  <c r="AA502"/>
  <c r="AA506"/>
  <c r="AA510"/>
  <c r="AA514"/>
  <c r="AA518"/>
  <c r="AA522"/>
  <c r="AA526"/>
  <c r="AA530"/>
  <c r="AA534"/>
  <c r="AA538"/>
  <c r="AA542"/>
  <c r="AA546"/>
  <c r="AA550"/>
  <c r="AA554"/>
  <c r="AA558"/>
  <c r="AA562"/>
  <c r="AA566"/>
  <c r="AA570"/>
  <c r="AA574"/>
  <c r="AA578"/>
  <c r="AA582"/>
  <c r="AA586"/>
  <c r="AA590"/>
  <c r="AA594"/>
  <c r="AA598"/>
  <c r="AA602"/>
  <c r="AA606"/>
  <c r="AA610"/>
  <c r="AA614"/>
  <c r="AA618"/>
  <c r="AA622"/>
  <c r="AA626"/>
  <c r="AA630"/>
  <c r="AA634"/>
  <c r="AA638"/>
  <c r="AA642"/>
  <c r="AA646"/>
  <c r="AA705"/>
  <c r="AA707"/>
  <c r="AA709"/>
  <c r="AA711"/>
  <c r="AA662"/>
  <c r="AA658"/>
  <c r="AA654"/>
  <c r="AA650"/>
  <c r="AA675"/>
  <c r="AA672"/>
  <c r="AA668"/>
  <c r="AA664"/>
  <c r="AA14"/>
  <c r="AA18"/>
  <c r="AA166"/>
  <c r="AA170"/>
  <c r="AA202"/>
  <c r="AA206"/>
  <c r="AA218"/>
  <c r="AA222"/>
  <c r="AA226"/>
  <c r="AA287"/>
  <c r="AA291"/>
  <c r="AA295"/>
  <c r="AA299"/>
  <c r="AA303"/>
  <c r="AA307"/>
  <c r="AA311"/>
  <c r="AA315"/>
  <c r="AA319"/>
  <c r="AA323"/>
  <c r="AA325"/>
  <c r="AA327"/>
  <c r="AA329"/>
  <c r="AA331"/>
  <c r="AA390"/>
  <c r="AA392"/>
  <c r="AA395"/>
  <c r="AA397"/>
  <c r="AA471"/>
  <c r="AA475"/>
  <c r="AA479"/>
  <c r="AA483"/>
  <c r="AA487"/>
  <c r="AA491"/>
  <c r="AA495"/>
  <c r="AA499"/>
  <c r="AA503"/>
  <c r="AA507"/>
  <c r="AA511"/>
  <c r="AA515"/>
  <c r="AA519"/>
  <c r="AA523"/>
  <c r="AA527"/>
  <c r="AA531"/>
  <c r="AA535"/>
  <c r="AA539"/>
  <c r="AA543"/>
  <c r="AA547"/>
  <c r="AA551"/>
  <c r="AA555"/>
  <c r="AA559"/>
  <c r="AA563"/>
  <c r="AA567"/>
  <c r="AA571"/>
  <c r="AA575"/>
  <c r="AA579"/>
  <c r="AA583"/>
  <c r="AA587"/>
  <c r="AA591"/>
  <c r="AA595"/>
  <c r="AA599"/>
  <c r="AA603"/>
  <c r="AA607"/>
  <c r="AA611"/>
  <c r="AA615"/>
  <c r="AA619"/>
  <c r="AA623"/>
  <c r="AA627"/>
  <c r="AA631"/>
  <c r="AA635"/>
  <c r="AA639"/>
  <c r="AA643"/>
  <c r="AA647"/>
  <c r="AA541"/>
  <c r="AA557"/>
  <c r="AA573"/>
  <c r="AA589"/>
  <c r="AA605"/>
  <c r="AA621"/>
  <c r="AA637"/>
  <c r="AA713"/>
  <c r="AA716"/>
  <c r="AA718"/>
  <c r="AA720"/>
  <c r="AA722"/>
  <c r="AA724"/>
  <c r="AA726"/>
  <c r="AA728"/>
  <c r="AA730"/>
  <c r="AA732"/>
  <c r="AA734"/>
  <c r="AA736"/>
  <c r="AA738"/>
  <c r="AA740"/>
  <c r="AA744"/>
  <c r="AA756"/>
  <c r="AA758"/>
  <c r="AA760"/>
  <c r="AA791"/>
  <c r="AA797"/>
  <c r="AA820"/>
  <c r="AA823"/>
  <c r="AA825"/>
  <c r="AA827"/>
  <c r="AA830"/>
  <c r="AA832"/>
  <c r="AA842"/>
  <c r="AA844"/>
  <c r="AA846"/>
  <c r="AA848"/>
  <c r="AA850"/>
  <c r="AA852"/>
  <c r="AA854"/>
  <c r="AA856"/>
  <c r="AA858"/>
  <c r="AA860"/>
  <c r="AA862"/>
  <c r="AA864"/>
  <c r="AA874"/>
  <c r="AA529"/>
  <c r="AA545"/>
  <c r="AA561"/>
  <c r="AA577"/>
  <c r="AA593"/>
  <c r="AA609"/>
  <c r="AA625"/>
  <c r="AA641"/>
  <c r="AA715"/>
  <c r="AA743"/>
  <c r="AA746"/>
  <c r="AA748"/>
  <c r="AA750"/>
  <c r="AA752"/>
  <c r="AA754"/>
  <c r="AA762"/>
  <c r="AA764"/>
  <c r="AA766"/>
  <c r="AA768"/>
  <c r="AA770"/>
  <c r="AA772"/>
  <c r="AA774"/>
  <c r="AA776"/>
  <c r="AA778"/>
  <c r="AA780"/>
  <c r="AA782"/>
  <c r="AA784"/>
  <c r="AA786"/>
  <c r="AA788"/>
  <c r="AA790"/>
  <c r="AA794"/>
  <c r="AA798"/>
  <c r="AA800"/>
  <c r="AA802"/>
  <c r="AA804"/>
  <c r="AA806"/>
  <c r="AA808"/>
  <c r="AA810"/>
  <c r="AA812"/>
  <c r="AA814"/>
  <c r="AA816"/>
  <c r="AA818"/>
  <c r="AA821"/>
  <c r="AA828"/>
  <c r="AA835"/>
  <c r="AA838"/>
  <c r="AA841"/>
  <c r="AA865"/>
  <c r="AA867"/>
  <c r="AA869"/>
  <c r="AA871"/>
  <c r="AA873"/>
  <c r="AA876"/>
  <c r="AA878"/>
  <c r="AA880"/>
  <c r="AA897"/>
  <c r="AA899"/>
  <c r="AA901"/>
  <c r="AA904"/>
  <c r="AA908"/>
  <c r="AA910"/>
  <c r="AA912"/>
  <c r="AA915"/>
  <c r="AA918"/>
  <c r="AA925"/>
  <c r="AA929"/>
  <c r="AA931"/>
  <c r="AA933"/>
  <c r="AA935"/>
  <c r="AA937"/>
  <c r="AA946"/>
  <c r="AA948"/>
  <c r="AA951"/>
  <c r="AA961"/>
  <c r="AA963"/>
  <c r="AA965"/>
  <c r="AA967"/>
  <c r="AA969"/>
  <c r="AA971"/>
  <c r="AA973"/>
  <c r="AA975"/>
  <c r="AA977"/>
  <c r="AA979"/>
  <c r="AA981"/>
  <c r="AA983"/>
  <c r="AA533"/>
  <c r="AA549"/>
  <c r="AA565"/>
  <c r="AA581"/>
  <c r="AA597"/>
  <c r="AA613"/>
  <c r="AA629"/>
  <c r="AA645"/>
  <c r="AA714"/>
  <c r="AA717"/>
  <c r="AA719"/>
  <c r="AA721"/>
  <c r="AA723"/>
  <c r="AA725"/>
  <c r="AA727"/>
  <c r="AA729"/>
  <c r="AA731"/>
  <c r="AA733"/>
  <c r="AA735"/>
  <c r="AA737"/>
  <c r="AA739"/>
  <c r="AA742"/>
  <c r="AA755"/>
  <c r="AA757"/>
  <c r="AA759"/>
  <c r="AA793"/>
  <c r="AA796"/>
  <c r="AA822"/>
  <c r="AA824"/>
  <c r="AA826"/>
  <c r="AA831"/>
  <c r="AA834"/>
  <c r="AA837"/>
  <c r="AA840"/>
  <c r="AA843"/>
  <c r="AA845"/>
  <c r="AA847"/>
  <c r="AA849"/>
  <c r="AA851"/>
  <c r="AA853"/>
  <c r="AA855"/>
  <c r="AA857"/>
  <c r="AA859"/>
  <c r="AA861"/>
  <c r="AA863"/>
  <c r="AA882"/>
  <c r="AA884"/>
  <c r="AA886"/>
  <c r="AA888"/>
  <c r="AA890"/>
  <c r="AA892"/>
  <c r="AA894"/>
  <c r="AA905"/>
  <c r="AA914"/>
  <c r="AA919"/>
  <c r="AA921"/>
  <c r="AA923"/>
  <c r="AA926"/>
  <c r="AA537"/>
  <c r="AA553"/>
  <c r="AA569"/>
  <c r="AA585"/>
  <c r="AA601"/>
  <c r="AA617"/>
  <c r="AA633"/>
  <c r="AA741"/>
  <c r="AA745"/>
  <c r="AA747"/>
  <c r="AA749"/>
  <c r="AA751"/>
  <c r="AA753"/>
  <c r="AA761"/>
  <c r="AA763"/>
  <c r="AA765"/>
  <c r="AA767"/>
  <c r="AA769"/>
  <c r="AA771"/>
  <c r="AA773"/>
  <c r="AA775"/>
  <c r="AA777"/>
  <c r="AA779"/>
  <c r="AA781"/>
  <c r="AA783"/>
  <c r="AA785"/>
  <c r="AA787"/>
  <c r="AA789"/>
  <c r="AA792"/>
  <c r="AA795"/>
  <c r="AA799"/>
  <c r="AA801"/>
  <c r="AA803"/>
  <c r="AA805"/>
  <c r="AA807"/>
  <c r="AA809"/>
  <c r="AA811"/>
  <c r="AA813"/>
  <c r="AA815"/>
  <c r="AA817"/>
  <c r="AA819"/>
  <c r="AA829"/>
  <c r="AA833"/>
  <c r="AA836"/>
  <c r="AA839"/>
  <c r="AA866"/>
  <c r="AA868"/>
  <c r="AA870"/>
  <c r="AA872"/>
  <c r="AA875"/>
  <c r="AA877"/>
  <c r="AA879"/>
  <c r="AA881"/>
  <c r="AA896"/>
  <c r="AA898"/>
  <c r="AA900"/>
  <c r="AA902"/>
  <c r="AA906"/>
  <c r="AA909"/>
  <c r="AA911"/>
  <c r="AA913"/>
  <c r="AA917"/>
  <c r="AA927"/>
  <c r="AA930"/>
  <c r="AA932"/>
  <c r="AA934"/>
  <c r="AA936"/>
  <c r="AA938"/>
  <c r="AA941"/>
  <c r="AA945"/>
  <c r="AA947"/>
  <c r="AA953"/>
  <c r="AA883"/>
  <c r="AA891"/>
  <c r="AA907"/>
  <c r="AA916"/>
  <c r="AA922"/>
  <c r="AA928"/>
  <c r="AA939"/>
  <c r="AA952"/>
  <c r="AA964"/>
  <c r="AA972"/>
  <c r="AA980"/>
  <c r="AA985"/>
  <c r="AA987"/>
  <c r="AA989"/>
  <c r="AA991"/>
  <c r="AA993"/>
  <c r="AA995"/>
  <c r="AA997"/>
  <c r="AA999"/>
  <c r="AA1001"/>
  <c r="AA1003"/>
  <c r="AA1005"/>
  <c r="AA1007"/>
  <c r="AA1009"/>
  <c r="AA1011"/>
  <c r="AA1013"/>
  <c r="AA1015"/>
  <c r="AA1017"/>
  <c r="AA1019"/>
  <c r="AA1021"/>
  <c r="AA1023"/>
  <c r="AA1025"/>
  <c r="AA1027"/>
  <c r="AA1029"/>
  <c r="AA1031"/>
  <c r="AA1033"/>
  <c r="AA1035"/>
  <c r="AA1037"/>
  <c r="AA1039"/>
  <c r="AA1041"/>
  <c r="AA1043"/>
  <c r="AA1045"/>
  <c r="AA1047"/>
  <c r="AA1049"/>
  <c r="AA1051"/>
  <c r="AA1053"/>
  <c r="AA1055"/>
  <c r="AA1057"/>
  <c r="AA1059"/>
  <c r="AA1061"/>
  <c r="AA1063"/>
  <c r="AA1066"/>
  <c r="AA1068"/>
  <c r="AA1072"/>
  <c r="AA1076"/>
  <c r="AA1105"/>
  <c r="AA1107"/>
  <c r="AA1109"/>
  <c r="AA1113"/>
  <c r="AA1117"/>
  <c r="AA1119"/>
  <c r="AA1121"/>
  <c r="AA1123"/>
  <c r="AA1125"/>
  <c r="AA1127"/>
  <c r="AA1129"/>
  <c r="AA1131"/>
  <c r="AA1133"/>
  <c r="AA1135"/>
  <c r="AA1158"/>
  <c r="AA1162"/>
  <c r="AA1176"/>
  <c r="AA1178"/>
  <c r="AA1180"/>
  <c r="AA1182"/>
  <c r="AA1184"/>
  <c r="AA1186"/>
  <c r="AA1188"/>
  <c r="AA1190"/>
  <c r="AA1192"/>
  <c r="AA1194"/>
  <c r="AA1196"/>
  <c r="AA1198"/>
  <c r="AA1200"/>
  <c r="AA1202"/>
  <c r="AA1204"/>
  <c r="AA1206"/>
  <c r="AA1208"/>
  <c r="AA1210"/>
  <c r="AA1212"/>
  <c r="AA1214"/>
  <c r="AA889"/>
  <c r="AA920"/>
  <c r="AA943"/>
  <c r="AA949"/>
  <c r="AA954"/>
  <c r="AA956"/>
  <c r="AA958"/>
  <c r="AA960"/>
  <c r="AA962"/>
  <c r="AA970"/>
  <c r="AA978"/>
  <c r="AA1065"/>
  <c r="AA1071"/>
  <c r="AA1075"/>
  <c r="AA1078"/>
  <c r="AA1080"/>
  <c r="AA1082"/>
  <c r="AA1084"/>
  <c r="AA1086"/>
  <c r="AA1088"/>
  <c r="AA1090"/>
  <c r="AA1092"/>
  <c r="AA1094"/>
  <c r="AA1096"/>
  <c r="AA1098"/>
  <c r="AA1100"/>
  <c r="AA1102"/>
  <c r="AA1112"/>
  <c r="AA1116"/>
  <c r="AA1138"/>
  <c r="AA1140"/>
  <c r="AA1142"/>
  <c r="AA1144"/>
  <c r="AA1146"/>
  <c r="AA1148"/>
  <c r="AA1150"/>
  <c r="AA1152"/>
  <c r="AA1154"/>
  <c r="AA1157"/>
  <c r="AA1161"/>
  <c r="AA1164"/>
  <c r="AA1166"/>
  <c r="AA1168"/>
  <c r="AA1170"/>
  <c r="AA887"/>
  <c r="AA895"/>
  <c r="AA940"/>
  <c r="AA968"/>
  <c r="AA976"/>
  <c r="AA984"/>
  <c r="AA986"/>
  <c r="AA988"/>
  <c r="AA990"/>
  <c r="AA992"/>
  <c r="AA994"/>
  <c r="AA996"/>
  <c r="AA998"/>
  <c r="AA1000"/>
  <c r="AA1002"/>
  <c r="AA1004"/>
  <c r="AA1006"/>
  <c r="AA1008"/>
  <c r="AA1010"/>
  <c r="AA1012"/>
  <c r="AA1014"/>
  <c r="AA1016"/>
  <c r="AA1018"/>
  <c r="AA1020"/>
  <c r="AA1022"/>
  <c r="AA1024"/>
  <c r="AA1026"/>
  <c r="AA1028"/>
  <c r="AA1030"/>
  <c r="AA1032"/>
  <c r="AA1034"/>
  <c r="AA1036"/>
  <c r="AA1038"/>
  <c r="AA1040"/>
  <c r="AA1042"/>
  <c r="AA1044"/>
  <c r="AA1046"/>
  <c r="AA1048"/>
  <c r="AA1050"/>
  <c r="AA1052"/>
  <c r="AA1054"/>
  <c r="AA1056"/>
  <c r="AA1058"/>
  <c r="AA1060"/>
  <c r="AA1062"/>
  <c r="AA1064"/>
  <c r="AA1067"/>
  <c r="AA1070"/>
  <c r="AA1074"/>
  <c r="AA1104"/>
  <c r="AA1106"/>
  <c r="AA1108"/>
  <c r="AA1111"/>
  <c r="AA1115"/>
  <c r="AA1118"/>
  <c r="AA1120"/>
  <c r="AA1122"/>
  <c r="AA1124"/>
  <c r="AA1126"/>
  <c r="AA1128"/>
  <c r="AA1130"/>
  <c r="AA1132"/>
  <c r="AA1134"/>
  <c r="AA1136"/>
  <c r="AA1156"/>
  <c r="AA1160"/>
  <c r="AA1177"/>
  <c r="AA1179"/>
  <c r="AA1181"/>
  <c r="AA1183"/>
  <c r="AA1185"/>
  <c r="AA1187"/>
  <c r="AA1189"/>
  <c r="AA1191"/>
  <c r="AA1193"/>
  <c r="AA1195"/>
  <c r="AA1197"/>
  <c r="AA1199"/>
  <c r="AA1201"/>
  <c r="AA1203"/>
  <c r="AA1205"/>
  <c r="AA1207"/>
  <c r="AA1209"/>
  <c r="AA1211"/>
  <c r="AA1213"/>
  <c r="AA885"/>
  <c r="AA893"/>
  <c r="AA903"/>
  <c r="AA924"/>
  <c r="AA942"/>
  <c r="AA944"/>
  <c r="AA950"/>
  <c r="AA955"/>
  <c r="AA957"/>
  <c r="AA959"/>
  <c r="AA966"/>
  <c r="AA974"/>
  <c r="AA982"/>
  <c r="AA1069"/>
  <c r="AA1073"/>
  <c r="AA1077"/>
  <c r="AA1079"/>
  <c r="AA1081"/>
  <c r="AA1083"/>
  <c r="AA1085"/>
  <c r="AA1087"/>
  <c r="AA1089"/>
  <c r="AA1091"/>
  <c r="AA1093"/>
  <c r="AA1095"/>
  <c r="AA1097"/>
  <c r="AA1099"/>
  <c r="AA1101"/>
  <c r="AA1103"/>
  <c r="AA1110"/>
  <c r="AA1114"/>
  <c r="AA1137"/>
  <c r="AA1139"/>
  <c r="AA1141"/>
  <c r="AA1143"/>
  <c r="AA1145"/>
  <c r="AA1147"/>
  <c r="AA1149"/>
  <c r="AA1151"/>
  <c r="AA1153"/>
  <c r="AA1155"/>
  <c r="AA1159"/>
  <c r="AA1163"/>
  <c r="AA1165"/>
  <c r="AA1167"/>
  <c r="AA1169"/>
  <c r="AA1215"/>
  <c r="AA1217"/>
  <c r="AA1219"/>
  <c r="AA1221"/>
  <c r="AA1223"/>
  <c r="AA1225"/>
  <c r="AA1227"/>
  <c r="AA1233"/>
  <c r="AA1237"/>
  <c r="AA1241"/>
  <c r="AA1245"/>
  <c r="AA1264"/>
  <c r="AA1266"/>
  <c r="AA1269"/>
  <c r="AA1271"/>
  <c r="AA1296"/>
  <c r="AA1298"/>
  <c r="AA1300"/>
  <c r="AA1302"/>
  <c r="AA1304"/>
  <c r="AA1307"/>
  <c r="AA1311"/>
  <c r="AA1315"/>
  <c r="AA1319"/>
  <c r="AA1323"/>
  <c r="AA1327"/>
  <c r="AA1331"/>
  <c r="AA1335"/>
  <c r="AA1339"/>
  <c r="AA1343"/>
  <c r="AA1347"/>
  <c r="AA1351"/>
  <c r="AA1355"/>
  <c r="AA1357"/>
  <c r="AA1359"/>
  <c r="AA1361"/>
  <c r="AA1363"/>
  <c r="AA1365"/>
  <c r="AA1367"/>
  <c r="AA1371"/>
  <c r="AA1375"/>
  <c r="AA1377"/>
  <c r="AA1380"/>
  <c r="AA1383"/>
  <c r="AA1387"/>
  <c r="AA1389"/>
  <c r="AA1391"/>
  <c r="AA1393"/>
  <c r="AA1395"/>
  <c r="AA1397"/>
  <c r="AA1399"/>
  <c r="AA1401"/>
  <c r="AA1403"/>
  <c r="AA1405"/>
  <c r="AA1407"/>
  <c r="AA1410"/>
  <c r="AA1414"/>
  <c r="AA1418"/>
  <c r="AA1422"/>
  <c r="AA1426"/>
  <c r="AA1430"/>
  <c r="AA1434"/>
  <c r="AA1438"/>
  <c r="AA1442"/>
  <c r="AA1446"/>
  <c r="AA1450"/>
  <c r="AA1454"/>
  <c r="AA1458"/>
  <c r="AA1462"/>
  <c r="AA1466"/>
  <c r="AA1470"/>
  <c r="AA1473"/>
  <c r="AA1477"/>
  <c r="AA1481"/>
  <c r="AA1492"/>
  <c r="AA1503"/>
  <c r="AA1505"/>
  <c r="AA1507"/>
  <c r="AA1509"/>
  <c r="AA1511"/>
  <c r="AA1535"/>
  <c r="AA1569"/>
  <c r="AA1571"/>
  <c r="AA1604"/>
  <c r="AA1658"/>
  <c r="AA1705"/>
  <c r="AA1707"/>
  <c r="AA1709"/>
  <c r="AA1725"/>
  <c r="AA1727"/>
  <c r="AA1729"/>
  <c r="AA1731"/>
  <c r="AA1758"/>
  <c r="AA1760"/>
  <c r="AA1762"/>
  <c r="AA1764"/>
  <c r="AA1767"/>
  <c r="AA1769"/>
  <c r="AA1771"/>
  <c r="AA1773"/>
  <c r="AA1775"/>
  <c r="AA1777"/>
  <c r="AA1779"/>
  <c r="AA1781"/>
  <c r="AA1783"/>
  <c r="AA1785"/>
  <c r="AA1958"/>
  <c r="AA1947"/>
  <c r="AA1949"/>
  <c r="AA2152"/>
  <c r="AA2169"/>
  <c r="AA2171"/>
  <c r="AA1230"/>
  <c r="AA1234"/>
  <c r="AA1238"/>
  <c r="AA1242"/>
  <c r="AA1246"/>
  <c r="AA1267"/>
  <c r="AA1287"/>
  <c r="AA1289"/>
  <c r="AA1291"/>
  <c r="AA1293"/>
  <c r="AA1308"/>
  <c r="AA1312"/>
  <c r="AA1316"/>
  <c r="AA1320"/>
  <c r="AA1324"/>
  <c r="AA1328"/>
  <c r="AA1332"/>
  <c r="AA1336"/>
  <c r="AA1340"/>
  <c r="AA1344"/>
  <c r="AA1348"/>
  <c r="AA1352"/>
  <c r="AA1368"/>
  <c r="AA1372"/>
  <c r="AA1378"/>
  <c r="AA1384"/>
  <c r="AA1411"/>
  <c r="AA1415"/>
  <c r="AA1419"/>
  <c r="AA1423"/>
  <c r="AA1427"/>
  <c r="AA1431"/>
  <c r="AA1435"/>
  <c r="AA1439"/>
  <c r="AA1443"/>
  <c r="AA1447"/>
  <c r="AA1451"/>
  <c r="AA1455"/>
  <c r="AA1459"/>
  <c r="AA1463"/>
  <c r="AA1467"/>
  <c r="AA1471"/>
  <c r="AA1474"/>
  <c r="AA1478"/>
  <c r="AA1482"/>
  <c r="AA1484"/>
  <c r="AA1486"/>
  <c r="AA1488"/>
  <c r="AA1490"/>
  <c r="AA1493"/>
  <c r="AA1495"/>
  <c r="AA1497"/>
  <c r="AA1538"/>
  <c r="AA1558"/>
  <c r="AA1564"/>
  <c r="AA1641"/>
  <c r="AA1643"/>
  <c r="AA1645"/>
  <c r="AA1647"/>
  <c r="AA1656"/>
  <c r="AA1789"/>
  <c r="AA2173"/>
  <c r="AA2175"/>
  <c r="AA2177"/>
  <c r="AA2179"/>
  <c r="AA2181"/>
  <c r="AA2183"/>
  <c r="AA2185"/>
  <c r="AA2187"/>
  <c r="AA2189"/>
  <c r="AA2191"/>
  <c r="AA2193"/>
  <c r="AA2195"/>
  <c r="AA2197"/>
  <c r="AA2199"/>
  <c r="AA2201"/>
  <c r="AA2203"/>
  <c r="AA2205"/>
  <c r="AA2207"/>
  <c r="AA2209"/>
  <c r="AA2211"/>
  <c r="AA2213"/>
  <c r="AA2215"/>
  <c r="AA2217"/>
  <c r="AA2219"/>
  <c r="AA2221"/>
  <c r="AA2223"/>
  <c r="AA2225"/>
  <c r="AA2227"/>
  <c r="AA2229"/>
  <c r="AA2231"/>
  <c r="AA1216"/>
  <c r="AA1218"/>
  <c r="AA1220"/>
  <c r="AA1222"/>
  <c r="AA1224"/>
  <c r="AA1226"/>
  <c r="AA1228"/>
  <c r="AA1231"/>
  <c r="AA1235"/>
  <c r="AA1239"/>
  <c r="AA1243"/>
  <c r="AA1247"/>
  <c r="AA1263"/>
  <c r="AA1265"/>
  <c r="AA1268"/>
  <c r="AA1270"/>
  <c r="AA1294"/>
  <c r="AA1297"/>
  <c r="AA1299"/>
  <c r="AA1301"/>
  <c r="AA1303"/>
  <c r="AA1305"/>
  <c r="AA1309"/>
  <c r="AA1313"/>
  <c r="AA1317"/>
  <c r="AA1321"/>
  <c r="AA1325"/>
  <c r="AA1329"/>
  <c r="AA1333"/>
  <c r="AA1337"/>
  <c r="AA1341"/>
  <c r="AA1345"/>
  <c r="AA1349"/>
  <c r="AA1353"/>
  <c r="AA1356"/>
  <c r="AA1358"/>
  <c r="AA1360"/>
  <c r="AA1362"/>
  <c r="AA1364"/>
  <c r="AA1366"/>
  <c r="AA1369"/>
  <c r="AA1373"/>
  <c r="AA1376"/>
  <c r="AA1379"/>
  <c r="AA1381"/>
  <c r="AA1385"/>
  <c r="AA1388"/>
  <c r="AA1390"/>
  <c r="AA1392"/>
  <c r="AA1394"/>
  <c r="AA1396"/>
  <c r="AA1398"/>
  <c r="AA1400"/>
  <c r="AA1402"/>
  <c r="AA1404"/>
  <c r="AA1406"/>
  <c r="AA1408"/>
  <c r="AA1412"/>
  <c r="AA1416"/>
  <c r="AA1420"/>
  <c r="AA1424"/>
  <c r="AA1428"/>
  <c r="AA1432"/>
  <c r="AA1436"/>
  <c r="AA1440"/>
  <c r="AA1444"/>
  <c r="AA1448"/>
  <c r="AA1452"/>
  <c r="AA1456"/>
  <c r="AA1460"/>
  <c r="AA1464"/>
  <c r="AA1468"/>
  <c r="AA1472"/>
  <c r="AA1475"/>
  <c r="AA1479"/>
  <c r="AA1504"/>
  <c r="AA1506"/>
  <c r="AA1508"/>
  <c r="AA1510"/>
  <c r="AA1534"/>
  <c r="AA1537"/>
  <c r="AA1568"/>
  <c r="AA1570"/>
  <c r="AA1572"/>
  <c r="AA1603"/>
  <c r="AA1605"/>
  <c r="AA1704"/>
  <c r="AA1706"/>
  <c r="AA1708"/>
  <c r="AA1710"/>
  <c r="AA1724"/>
  <c r="AA1726"/>
  <c r="AA1728"/>
  <c r="AA1730"/>
  <c r="AA1732"/>
  <c r="AA1759"/>
  <c r="AA1761"/>
  <c r="AA1763"/>
  <c r="AA1766"/>
  <c r="AA1768"/>
  <c r="AA1770"/>
  <c r="AA1772"/>
  <c r="AA1774"/>
  <c r="AA1776"/>
  <c r="AA1778"/>
  <c r="AA1780"/>
  <c r="AA1782"/>
  <c r="AA1784"/>
  <c r="AA1959"/>
  <c r="AA1948"/>
  <c r="AA2151"/>
  <c r="AA2153"/>
  <c r="AA2170"/>
  <c r="AA1232"/>
  <c r="AA1236"/>
  <c r="AA1240"/>
  <c r="AA1244"/>
  <c r="AA1248"/>
  <c r="AA1256"/>
  <c r="AA1288"/>
  <c r="AA1290"/>
  <c r="AA1292"/>
  <c r="AA1295"/>
  <c r="AA1306"/>
  <c r="AA1310"/>
  <c r="AA1314"/>
  <c r="AA1318"/>
  <c r="AA1322"/>
  <c r="AA1326"/>
  <c r="AA1330"/>
  <c r="AA1334"/>
  <c r="AA1338"/>
  <c r="AA1342"/>
  <c r="AA1346"/>
  <c r="AA1350"/>
  <c r="AA1354"/>
  <c r="AA1370"/>
  <c r="AA1374"/>
  <c r="AA1382"/>
  <c r="AA1386"/>
  <c r="AA1409"/>
  <c r="AA1413"/>
  <c r="AA1417"/>
  <c r="AA1421"/>
  <c r="AA1425"/>
  <c r="AA1429"/>
  <c r="AA1433"/>
  <c r="AA1437"/>
  <c r="AA1441"/>
  <c r="AA1445"/>
  <c r="AA1449"/>
  <c r="AA1453"/>
  <c r="AA1457"/>
  <c r="AA1461"/>
  <c r="AA1465"/>
  <c r="AA1469"/>
  <c r="AA1476"/>
  <c r="AA1480"/>
  <c r="AA1483"/>
  <c r="AA1485"/>
  <c r="AA1487"/>
  <c r="AA1489"/>
  <c r="AA1491"/>
  <c r="AA1494"/>
  <c r="AA1496"/>
  <c r="AA1536"/>
  <c r="AA1557"/>
  <c r="AA1559"/>
  <c r="AA1632"/>
  <c r="AA1642"/>
  <c r="AA1644"/>
  <c r="AA1646"/>
  <c r="AA1648"/>
  <c r="AA1655"/>
  <c r="AA2172"/>
  <c r="AA2174"/>
  <c r="AA2176"/>
  <c r="AA2178"/>
  <c r="AA2180"/>
  <c r="AA2182"/>
  <c r="AA2184"/>
  <c r="AA2186"/>
  <c r="AA2188"/>
  <c r="AA2190"/>
  <c r="AA2192"/>
  <c r="AA2194"/>
  <c r="AA2196"/>
  <c r="AA2198"/>
  <c r="AA2200"/>
  <c r="AA2202"/>
  <c r="AA2204"/>
  <c r="AA2206"/>
  <c r="AA2208"/>
  <c r="AA2210"/>
  <c r="AA2212"/>
  <c r="AA2214"/>
  <c r="AA2216"/>
  <c r="AA2218"/>
  <c r="AA2220"/>
  <c r="AA2228"/>
  <c r="AA2233"/>
  <c r="AA2235"/>
  <c r="AA2237"/>
  <c r="AA2239"/>
  <c r="AA2241"/>
  <c r="AA2243"/>
  <c r="AA2245"/>
  <c r="AA2247"/>
  <c r="AA2249"/>
  <c r="AA2251"/>
  <c r="AA2253"/>
  <c r="AA2255"/>
  <c r="AA2257"/>
  <c r="AA2259"/>
  <c r="AA2261"/>
  <c r="AA2263"/>
  <c r="AA2265"/>
  <c r="AA2267"/>
  <c r="AA2269"/>
  <c r="AA2271"/>
  <c r="AA2273"/>
  <c r="AA2275"/>
  <c r="AA2277"/>
  <c r="AA2279"/>
  <c r="AA2281"/>
  <c r="AA2283"/>
  <c r="AA2285"/>
  <c r="AA2287"/>
  <c r="AA2289"/>
  <c r="AA2291"/>
  <c r="AA2293"/>
  <c r="AA2295"/>
  <c r="AA2297"/>
  <c r="AA2299"/>
  <c r="AA2301"/>
  <c r="AA2303"/>
  <c r="AA2305"/>
  <c r="AA2307"/>
  <c r="AA2309"/>
  <c r="AA2311"/>
  <c r="AA2313"/>
  <c r="AA2315"/>
  <c r="AA2317"/>
  <c r="AA2319"/>
  <c r="AA2321"/>
  <c r="AA2323"/>
  <c r="AA2325"/>
  <c r="AA2327"/>
  <c r="AA2329"/>
  <c r="AA2331"/>
  <c r="AA2333"/>
  <c r="AA2335"/>
  <c r="AA2337"/>
  <c r="AA2339"/>
  <c r="AA2341"/>
  <c r="AA2343"/>
  <c r="AA2345"/>
  <c r="AA2347"/>
  <c r="AA2349"/>
  <c r="AA2351"/>
  <c r="AA2353"/>
  <c r="AA2355"/>
  <c r="AA2357"/>
  <c r="AA2359"/>
  <c r="AA2361"/>
  <c r="AA2363"/>
  <c r="AA2365"/>
  <c r="AA2367"/>
  <c r="AA2369"/>
  <c r="AA2371"/>
  <c r="AA2373"/>
  <c r="AA2375"/>
  <c r="AA2377"/>
  <c r="AA2379"/>
  <c r="AA2381"/>
  <c r="AA2383"/>
  <c r="AA2385"/>
  <c r="AA2387"/>
  <c r="AA2389"/>
  <c r="AA2391"/>
  <c r="AA2393"/>
  <c r="AA2395"/>
  <c r="AA2397"/>
  <c r="AA2399"/>
  <c r="AA2401"/>
  <c r="AA2403"/>
  <c r="AA2405"/>
  <c r="AA2407"/>
  <c r="AA2409"/>
  <c r="AA2411"/>
  <c r="AA2413"/>
  <c r="AA2415"/>
  <c r="AA2417"/>
  <c r="AA2419"/>
  <c r="AA2421"/>
  <c r="AA2423"/>
  <c r="AA2425"/>
  <c r="AA2427"/>
  <c r="AA2429"/>
  <c r="AA2431"/>
  <c r="AA2433"/>
  <c r="AA2435"/>
  <c r="AA2437"/>
  <c r="AA2439"/>
  <c r="AA2441"/>
  <c r="AA2443"/>
  <c r="AA2445"/>
  <c r="AA2447"/>
  <c r="AA2449"/>
  <c r="AA2451"/>
  <c r="AA2453"/>
  <c r="AA2455"/>
  <c r="AA2457"/>
  <c r="AA2459"/>
  <c r="AA2461"/>
  <c r="AA2463"/>
  <c r="AA2465"/>
  <c r="AA2467"/>
  <c r="AA2469"/>
  <c r="AA2471"/>
  <c r="AA2473"/>
  <c r="AA2475"/>
  <c r="AA2477"/>
  <c r="AA2479"/>
  <c r="AA2481"/>
  <c r="AA2483"/>
  <c r="AA2485"/>
  <c r="AA2487"/>
  <c r="AA2489"/>
  <c r="AA2226"/>
  <c r="AA2224"/>
  <c r="AA2232"/>
  <c r="AA2234"/>
  <c r="AA2236"/>
  <c r="AA2238"/>
  <c r="AA2240"/>
  <c r="AA2242"/>
  <c r="AA2244"/>
  <c r="AA2246"/>
  <c r="AA2248"/>
  <c r="AA2250"/>
  <c r="AA2252"/>
  <c r="AA2254"/>
  <c r="AA2256"/>
  <c r="AA2258"/>
  <c r="AA2260"/>
  <c r="AA2262"/>
  <c r="AA2264"/>
  <c r="AA2266"/>
  <c r="AA2268"/>
  <c r="AA2270"/>
  <c r="AA2272"/>
  <c r="AA2274"/>
  <c r="AA2276"/>
  <c r="AA2278"/>
  <c r="AA2280"/>
  <c r="AA2282"/>
  <c r="AA2284"/>
  <c r="AA2286"/>
  <c r="AA2288"/>
  <c r="AA2290"/>
  <c r="AA2292"/>
  <c r="AA2294"/>
  <c r="AA2296"/>
  <c r="AA2298"/>
  <c r="AA2300"/>
  <c r="AA2302"/>
  <c r="AA2304"/>
  <c r="AA2306"/>
  <c r="AA2308"/>
  <c r="AA2310"/>
  <c r="AA2312"/>
  <c r="AA2314"/>
  <c r="AA2316"/>
  <c r="AA2318"/>
  <c r="AA2320"/>
  <c r="AA2322"/>
  <c r="AA2324"/>
  <c r="AA2326"/>
  <c r="AA2328"/>
  <c r="AA2330"/>
  <c r="AA2332"/>
  <c r="AA2334"/>
  <c r="AA2336"/>
  <c r="AA2338"/>
  <c r="AA2340"/>
  <c r="AA2342"/>
  <c r="AA2344"/>
  <c r="AA2346"/>
  <c r="AA2348"/>
  <c r="AA2350"/>
  <c r="AA2352"/>
  <c r="AA2354"/>
  <c r="AA2356"/>
  <c r="AA2358"/>
  <c r="AA2360"/>
  <c r="AA2362"/>
  <c r="AA2364"/>
  <c r="AA2366"/>
  <c r="AA2368"/>
  <c r="AA2370"/>
  <c r="AA2372"/>
  <c r="AA2374"/>
  <c r="AA2376"/>
  <c r="AA2378"/>
  <c r="AA2380"/>
  <c r="AA2382"/>
  <c r="AA2384"/>
  <c r="AA2386"/>
  <c r="AA2388"/>
  <c r="AA2390"/>
  <c r="AA2392"/>
  <c r="AA2394"/>
  <c r="AA2396"/>
  <c r="AA2398"/>
  <c r="AA2400"/>
  <c r="AA2402"/>
  <c r="AA2404"/>
  <c r="AA2406"/>
  <c r="AA2408"/>
  <c r="AA2410"/>
  <c r="AA2412"/>
  <c r="AA2414"/>
  <c r="AA2416"/>
  <c r="AA2418"/>
  <c r="AA2420"/>
  <c r="AA2422"/>
  <c r="AA2424"/>
  <c r="AA2426"/>
  <c r="AA2428"/>
  <c r="AA2430"/>
  <c r="AA2432"/>
  <c r="AA2434"/>
  <c r="AA2436"/>
  <c r="AA2438"/>
  <c r="AA2440"/>
  <c r="AA2442"/>
  <c r="AA2444"/>
  <c r="AA2446"/>
  <c r="AA2448"/>
  <c r="AA2450"/>
  <c r="AA2452"/>
  <c r="AA2454"/>
  <c r="AA2456"/>
  <c r="AA2458"/>
  <c r="AA2460"/>
  <c r="AA2462"/>
  <c r="AA2464"/>
  <c r="AA2466"/>
  <c r="AA2468"/>
  <c r="AA2470"/>
  <c r="AA2472"/>
  <c r="AA2474"/>
  <c r="AA2476"/>
  <c r="AA2478"/>
  <c r="AA2480"/>
  <c r="AA2482"/>
  <c r="AA2484"/>
  <c r="AA2486"/>
  <c r="AA2488"/>
  <c r="AA2490"/>
  <c r="AA2492"/>
  <c r="AA2494"/>
  <c r="AA2496"/>
  <c r="AA2498"/>
  <c r="AA2500"/>
  <c r="AA2502"/>
  <c r="AA2504"/>
  <c r="AA2506"/>
  <c r="AA2508"/>
  <c r="AA2510"/>
  <c r="AA2512"/>
  <c r="AA2514"/>
  <c r="AA2516"/>
  <c r="AA2518"/>
  <c r="AA2520"/>
  <c r="AA2522"/>
  <c r="AA2524"/>
  <c r="AA2526"/>
  <c r="AA2528"/>
  <c r="AA2530"/>
  <c r="AA2532"/>
  <c r="AA2534"/>
  <c r="AA2536"/>
  <c r="AA2538"/>
  <c r="AA2540"/>
  <c r="AA2542"/>
  <c r="AA2544"/>
  <c r="AA2546"/>
  <c r="AA2548"/>
  <c r="AA2550"/>
  <c r="AA2552"/>
  <c r="AA2554"/>
  <c r="AA2556"/>
  <c r="AA2558"/>
  <c r="AA2560"/>
  <c r="AA2562"/>
  <c r="AA2564"/>
  <c r="AA2566"/>
  <c r="AA2568"/>
  <c r="AA2222"/>
  <c r="AA2230"/>
  <c r="AA2497"/>
  <c r="AA2505"/>
  <c r="AA2513"/>
  <c r="AA2521"/>
  <c r="AA2529"/>
  <c r="AA2537"/>
  <c r="AA2545"/>
  <c r="AA2553"/>
  <c r="AA2561"/>
  <c r="AA2569"/>
  <c r="AA2571"/>
  <c r="AA2573"/>
  <c r="AA2575"/>
  <c r="AA2577"/>
  <c r="AA2579"/>
  <c r="AA2581"/>
  <c r="AA2583"/>
  <c r="AA2585"/>
  <c r="AA2587"/>
  <c r="AA2589"/>
  <c r="AA2591"/>
  <c r="AA2593"/>
  <c r="AA2595"/>
  <c r="AA2597"/>
  <c r="AA2599"/>
  <c r="AA2601"/>
  <c r="AA2603"/>
  <c r="AA2605"/>
  <c r="AA2607"/>
  <c r="AA2609"/>
  <c r="AA2611"/>
  <c r="AA2613"/>
  <c r="AA2615"/>
  <c r="AA2617"/>
  <c r="AA2619"/>
  <c r="AA2621"/>
  <c r="AA2623"/>
  <c r="AA2625"/>
  <c r="AA2627"/>
  <c r="AA2629"/>
  <c r="AA2631"/>
  <c r="AA2633"/>
  <c r="AA2635"/>
  <c r="AA2637"/>
  <c r="AA2639"/>
  <c r="AA2641"/>
  <c r="AA2643"/>
  <c r="AA2645"/>
  <c r="AA2647"/>
  <c r="AA2649"/>
  <c r="AA2651"/>
  <c r="AA2653"/>
  <c r="AA2655"/>
  <c r="AA2657"/>
  <c r="AA2659"/>
  <c r="AA2661"/>
  <c r="AA2663"/>
  <c r="AA2665"/>
  <c r="AA2667"/>
  <c r="AA2669"/>
  <c r="AA2671"/>
  <c r="AA2673"/>
  <c r="AA2675"/>
  <c r="AA2677"/>
  <c r="AA2679"/>
  <c r="AA2681"/>
  <c r="AA2683"/>
  <c r="AA2685"/>
  <c r="AA2687"/>
  <c r="AA2689"/>
  <c r="AA2691"/>
  <c r="AA2693"/>
  <c r="AA2695"/>
  <c r="AA2697"/>
  <c r="AA2699"/>
  <c r="AA2701"/>
  <c r="AA2703"/>
  <c r="AA2705"/>
  <c r="AA2707"/>
  <c r="AA2709"/>
  <c r="AA2711"/>
  <c r="AA2713"/>
  <c r="AA2715"/>
  <c r="AA2717"/>
  <c r="AA2719"/>
  <c r="AA2721"/>
  <c r="AA2723"/>
  <c r="AA2725"/>
  <c r="AA2727"/>
  <c r="AA2729"/>
  <c r="AA2731"/>
  <c r="AA2733"/>
  <c r="AA2735"/>
  <c r="AA2737"/>
  <c r="AA2739"/>
  <c r="AA2741"/>
  <c r="AA2743"/>
  <c r="AA2745"/>
  <c r="AA2747"/>
  <c r="AA2749"/>
  <c r="AA2751"/>
  <c r="AA2753"/>
  <c r="AA2755"/>
  <c r="AA2757"/>
  <c r="AA2759"/>
  <c r="AA2761"/>
  <c r="AA2763"/>
  <c r="AA2765"/>
  <c r="AA2767"/>
  <c r="AA2769"/>
  <c r="AA2771"/>
  <c r="AA2773"/>
  <c r="AA2775"/>
  <c r="AA2777"/>
  <c r="AA2779"/>
  <c r="AA2781"/>
  <c r="AA2783"/>
  <c r="AA2785"/>
  <c r="AA2787"/>
  <c r="AA2789"/>
  <c r="AA2791"/>
  <c r="AA2793"/>
  <c r="AA2795"/>
  <c r="AA2797"/>
  <c r="AA2799"/>
  <c r="AA2801"/>
  <c r="AA2803"/>
  <c r="AA2805"/>
  <c r="AA2807"/>
  <c r="AA2809"/>
  <c r="AA2811"/>
  <c r="AA2813"/>
  <c r="AA2815"/>
  <c r="AA2817"/>
  <c r="AA2819"/>
  <c r="AA2821"/>
  <c r="AA2823"/>
  <c r="AA2825"/>
  <c r="AA2827"/>
  <c r="AA2829"/>
  <c r="AA2495"/>
  <c r="AA2503"/>
  <c r="AA2511"/>
  <c r="AA2519"/>
  <c r="AA2527"/>
  <c r="AA2535"/>
  <c r="AA2543"/>
  <c r="AA2551"/>
  <c r="AA2559"/>
  <c r="AA2567"/>
  <c r="AA2493"/>
  <c r="AA2501"/>
  <c r="AA2509"/>
  <c r="AA2517"/>
  <c r="AA2525"/>
  <c r="AA2533"/>
  <c r="AA2541"/>
  <c r="AA2549"/>
  <c r="AA2557"/>
  <c r="AA2565"/>
  <c r="AA2570"/>
  <c r="AA2572"/>
  <c r="AA2574"/>
  <c r="AA2576"/>
  <c r="AA2578"/>
  <c r="AA2580"/>
  <c r="AA2582"/>
  <c r="AA2584"/>
  <c r="AA2586"/>
  <c r="AA2588"/>
  <c r="AA2590"/>
  <c r="AA2592"/>
  <c r="AA2594"/>
  <c r="AA2596"/>
  <c r="AA2598"/>
  <c r="AA2600"/>
  <c r="AA2602"/>
  <c r="AA2604"/>
  <c r="AA2606"/>
  <c r="AA2608"/>
  <c r="AA2610"/>
  <c r="AA2612"/>
  <c r="AA2614"/>
  <c r="AA2616"/>
  <c r="AA2618"/>
  <c r="AA2620"/>
  <c r="AA2622"/>
  <c r="AA2624"/>
  <c r="AA2626"/>
  <c r="AA2628"/>
  <c r="AA2630"/>
  <c r="AA2632"/>
  <c r="AA2634"/>
  <c r="AA2636"/>
  <c r="AA2638"/>
  <c r="AA2640"/>
  <c r="AA2642"/>
  <c r="AA2644"/>
  <c r="AA2646"/>
  <c r="AA2648"/>
  <c r="AA2650"/>
  <c r="AA2652"/>
  <c r="AA2654"/>
  <c r="AA2656"/>
  <c r="AA2658"/>
  <c r="AA2660"/>
  <c r="AA2662"/>
  <c r="AA2664"/>
  <c r="AA2666"/>
  <c r="AA2668"/>
  <c r="AA2670"/>
  <c r="AA2672"/>
  <c r="AA2674"/>
  <c r="AA2676"/>
  <c r="AA2678"/>
  <c r="AA2680"/>
  <c r="AA2682"/>
  <c r="AA2684"/>
  <c r="AA2686"/>
  <c r="AA2688"/>
  <c r="AA2690"/>
  <c r="AA2692"/>
  <c r="AA2694"/>
  <c r="AA2696"/>
  <c r="AA2698"/>
  <c r="AA2700"/>
  <c r="AA2702"/>
  <c r="AA2704"/>
  <c r="AA2706"/>
  <c r="AA2708"/>
  <c r="AA2710"/>
  <c r="AA2712"/>
  <c r="AA2714"/>
  <c r="AA2716"/>
  <c r="AA2718"/>
  <c r="AA2720"/>
  <c r="AA2722"/>
  <c r="AA2724"/>
  <c r="AA2726"/>
  <c r="AA2728"/>
  <c r="AA2730"/>
  <c r="AA2732"/>
  <c r="AA2734"/>
  <c r="AA2736"/>
  <c r="AA2738"/>
  <c r="AA2740"/>
  <c r="AA2742"/>
  <c r="AA2744"/>
  <c r="AA2746"/>
  <c r="AA2748"/>
  <c r="AA2750"/>
  <c r="AA2752"/>
  <c r="AA2754"/>
  <c r="AA2756"/>
  <c r="AA2758"/>
  <c r="AA2760"/>
  <c r="AA2762"/>
  <c r="AA2764"/>
  <c r="AA2766"/>
  <c r="AA2768"/>
  <c r="AA2770"/>
  <c r="AA2772"/>
  <c r="AA2774"/>
  <c r="AA2776"/>
  <c r="AA2778"/>
  <c r="AA2780"/>
  <c r="AA2782"/>
  <c r="AA2784"/>
  <c r="AA2786"/>
  <c r="AA2788"/>
  <c r="AA2790"/>
  <c r="AA2792"/>
  <c r="AA2794"/>
  <c r="AA2796"/>
  <c r="AA2798"/>
  <c r="AA2800"/>
  <c r="AA2802"/>
  <c r="AA2804"/>
  <c r="AA2806"/>
  <c r="AA2808"/>
  <c r="AA2810"/>
  <c r="AA2812"/>
  <c r="AA2814"/>
  <c r="AA2816"/>
  <c r="AA2818"/>
  <c r="AA2820"/>
  <c r="AA2822"/>
  <c r="AA2824"/>
  <c r="AA2826"/>
  <c r="AA2828"/>
  <c r="AA2830"/>
  <c r="AA2491"/>
  <c r="AA2499"/>
  <c r="AA2507"/>
  <c r="AA2515"/>
  <c r="AA2523"/>
  <c r="AA2531"/>
  <c r="AA2539"/>
  <c r="AA2547"/>
  <c r="AA2555"/>
  <c r="AA2563"/>
  <c r="AA385"/>
  <c r="AA387"/>
  <c r="AA431"/>
  <c r="AA429"/>
  <c r="AA384"/>
  <c r="AA467"/>
  <c r="AA434"/>
  <c r="AA413"/>
  <c r="AA415"/>
  <c r="AA463"/>
  <c r="AA465"/>
  <c r="AA414"/>
  <c r="AA417"/>
  <c r="AA382"/>
  <c r="AA438"/>
  <c r="AA409"/>
  <c r="AA407"/>
  <c r="AA418"/>
  <c r="AA416"/>
  <c r="AA432"/>
  <c r="AA466"/>
  <c r="AA410"/>
  <c r="AA464"/>
  <c r="AA412"/>
  <c r="AA433"/>
  <c r="AA383"/>
  <c r="AA386"/>
  <c r="AA430"/>
  <c r="AA408"/>
  <c r="AA411"/>
  <c r="AA381"/>
  <c r="AA458"/>
  <c r="AA362"/>
  <c r="AA361"/>
  <c r="AA400"/>
  <c r="AA436"/>
  <c r="AA358"/>
  <c r="AA364"/>
  <c r="AA403"/>
  <c r="AA456"/>
  <c r="AA388"/>
  <c r="AA428"/>
  <c r="AA401"/>
  <c r="AA462"/>
  <c r="AA366"/>
  <c r="AA365"/>
  <c r="AA404"/>
  <c r="AA457"/>
  <c r="AA377"/>
  <c r="AA375"/>
  <c r="AA421"/>
  <c r="AA460"/>
  <c r="AA402"/>
  <c r="AA455"/>
  <c r="AA427"/>
  <c r="AA359"/>
  <c r="AA423"/>
  <c r="AA376"/>
  <c r="AA422"/>
  <c r="AA461"/>
  <c r="AA405"/>
  <c r="AA379"/>
  <c r="AA425"/>
  <c r="AA374"/>
  <c r="AA406"/>
  <c r="AA459"/>
  <c r="AA437"/>
  <c r="AA363"/>
  <c r="AA336"/>
  <c r="AA380"/>
  <c r="AA426"/>
  <c r="AA360"/>
  <c r="AA399"/>
  <c r="AA435"/>
  <c r="AA378"/>
  <c r="AA424"/>
  <c r="AA217"/>
  <c r="AA39"/>
  <c r="AA240"/>
  <c r="AA38"/>
  <c r="AA45"/>
  <c r="AA215"/>
  <c r="AA246"/>
  <c r="AA136"/>
  <c r="AA156"/>
  <c r="AA48"/>
  <c r="AA187"/>
  <c r="AA251"/>
  <c r="AA267"/>
  <c r="AA281"/>
  <c r="AA230"/>
  <c r="AA260"/>
  <c r="AA135"/>
  <c r="AA148"/>
  <c r="AA35"/>
  <c r="AA142"/>
  <c r="AA41"/>
  <c r="AA2060"/>
  <c r="AA237"/>
  <c r="AA256"/>
  <c r="AA278"/>
  <c r="AA213"/>
  <c r="AA247"/>
  <c r="AA134"/>
  <c r="AA147"/>
  <c r="AA160"/>
  <c r="AA44"/>
  <c r="AA259"/>
  <c r="AA40"/>
  <c r="AA47"/>
  <c r="AA231"/>
  <c r="AA261"/>
  <c r="AA140"/>
  <c r="AA2022"/>
  <c r="AA248"/>
  <c r="AA234"/>
  <c r="AA253"/>
  <c r="AA269"/>
  <c r="AA283"/>
  <c r="AA232"/>
  <c r="AA264"/>
  <c r="AA139"/>
  <c r="AA151"/>
  <c r="AA244"/>
  <c r="AA150"/>
  <c r="AA46"/>
  <c r="AA189"/>
  <c r="AA250"/>
  <c r="AA258"/>
  <c r="AA280"/>
  <c r="AA228"/>
  <c r="AA262"/>
  <c r="AA137"/>
  <c r="AA149"/>
  <c r="AA186"/>
  <c r="AA158"/>
  <c r="AA42"/>
  <c r="AA188"/>
  <c r="AA238"/>
  <c r="AA265"/>
  <c r="AA144"/>
  <c r="AA37"/>
  <c r="AA2023"/>
  <c r="AA236"/>
  <c r="AA255"/>
  <c r="AA277"/>
  <c r="AA285"/>
  <c r="AA241"/>
  <c r="AA271"/>
  <c r="AA143"/>
  <c r="AA155"/>
  <c r="AA274"/>
  <c r="AA154"/>
  <c r="AA263"/>
  <c r="AA233"/>
  <c r="AA252"/>
  <c r="AA268"/>
  <c r="AA282"/>
  <c r="AA239"/>
  <c r="AA266"/>
  <c r="AA141"/>
  <c r="AA153"/>
  <c r="AA229"/>
  <c r="AA36"/>
  <c r="AA43"/>
  <c r="AA216"/>
  <c r="AA242"/>
  <c r="AA272"/>
  <c r="AA152"/>
  <c r="AA33"/>
  <c r="AA34"/>
  <c r="AA249"/>
  <c r="AA257"/>
  <c r="AA279"/>
  <c r="AA214"/>
  <c r="AA245"/>
  <c r="AA133"/>
  <c r="AA146"/>
  <c r="AA159"/>
  <c r="AA138"/>
  <c r="AA2062"/>
  <c r="AA270"/>
  <c r="AA235"/>
  <c r="AA254"/>
  <c r="AA276"/>
  <c r="AA284"/>
  <c r="AA243"/>
  <c r="AA273"/>
  <c r="AA145"/>
  <c r="AA157"/>
  <c r="AA2046"/>
  <c r="AA2025"/>
  <c r="AA2165"/>
  <c r="AA2166"/>
  <c r="AA2058"/>
  <c r="AA2037"/>
  <c r="AA2015"/>
  <c r="AA2038"/>
  <c r="AA2059"/>
  <c r="AA194"/>
  <c r="AA2027"/>
  <c r="AA2047"/>
  <c r="AA2064"/>
  <c r="AA2045"/>
  <c r="AA2063"/>
  <c r="AA191"/>
  <c r="AA190"/>
  <c r="AA2054"/>
  <c r="AA2028"/>
  <c r="AA2048"/>
  <c r="AA2065"/>
  <c r="AA197"/>
  <c r="AA192"/>
  <c r="AA2056"/>
  <c r="AA193"/>
  <c r="AA2055"/>
  <c r="AA195"/>
  <c r="AA2039"/>
  <c r="AA196"/>
  <c r="AA2061"/>
  <c r="AA2032"/>
  <c r="AA2030"/>
  <c r="AA1660"/>
  <c r="AA1845"/>
  <c r="AA1806"/>
  <c r="AA1523"/>
  <c r="AA1654"/>
  <c r="AA1683"/>
  <c r="AA1670"/>
  <c r="AA1533"/>
  <c r="AA1612"/>
  <c r="AA1672"/>
  <c r="AA1756"/>
  <c r="AA1669"/>
  <c r="AA1877"/>
  <c r="AA1554"/>
  <c r="AA1676"/>
  <c r="AA1556"/>
  <c r="AA1878"/>
  <c r="AA1667"/>
  <c r="AA1711"/>
  <c r="AA1800"/>
  <c r="AA1698"/>
  <c r="AA1701"/>
  <c r="AA1680"/>
  <c r="AA1665"/>
  <c r="AA1675"/>
  <c r="AA1692"/>
  <c r="AA1609"/>
  <c r="AA1811"/>
  <c r="AA1673"/>
  <c r="AA1695"/>
  <c r="AA1686"/>
  <c r="AA1798"/>
  <c r="AA1817"/>
  <c r="AA1689"/>
  <c r="AA1876"/>
  <c r="AA1799"/>
  <c r="AA1712"/>
  <c r="AA2018"/>
  <c r="AA452"/>
  <c r="AA1657"/>
  <c r="AA1818"/>
  <c r="AA2008"/>
  <c r="AA1968"/>
  <c r="AA1995"/>
  <c r="AA2003"/>
  <c r="AA2006"/>
  <c r="AA454"/>
  <c r="AA2014"/>
  <c r="AA448"/>
  <c r="AA1891"/>
  <c r="AA2026"/>
  <c r="AA1978"/>
  <c r="AA1990"/>
  <c r="AA2000"/>
  <c r="AA2137"/>
  <c r="AA2129"/>
  <c r="AA2121"/>
  <c r="AA2113"/>
  <c r="AA2105"/>
  <c r="AA2097"/>
  <c r="AA2089"/>
  <c r="AA2081"/>
  <c r="AA2053"/>
  <c r="AA2041"/>
  <c r="AA2031"/>
  <c r="AA1688"/>
  <c r="AA1700"/>
  <c r="AA451"/>
  <c r="AA2167"/>
  <c r="AA1973"/>
  <c r="AA2005"/>
  <c r="AA2159"/>
  <c r="AA1894"/>
  <c r="AA1915"/>
  <c r="AA1964"/>
  <c r="AA1972"/>
  <c r="AA1982"/>
  <c r="AA2140"/>
  <c r="AA2132"/>
  <c r="AA2124"/>
  <c r="AA2116"/>
  <c r="AA2108"/>
  <c r="AA2100"/>
  <c r="AA2092"/>
  <c r="AA2084"/>
  <c r="AA2067"/>
  <c r="AA2044"/>
  <c r="AA198"/>
  <c r="AA1844"/>
  <c r="AA1666"/>
  <c r="AA2004"/>
  <c r="AA2163"/>
  <c r="AA1895"/>
  <c r="AA1977"/>
  <c r="AA442"/>
  <c r="AA1890"/>
  <c r="AA1897"/>
  <c r="AA2020"/>
  <c r="AA1979"/>
  <c r="AA1991"/>
  <c r="AA2001"/>
  <c r="AA449"/>
  <c r="AA2150"/>
  <c r="AA1997"/>
  <c r="AA1797"/>
  <c r="AA1896"/>
  <c r="AA1919"/>
  <c r="AA2013"/>
  <c r="AA1974"/>
  <c r="AA1986"/>
  <c r="AA2143"/>
  <c r="AA2135"/>
  <c r="AA2127"/>
  <c r="AA2119"/>
  <c r="AA2111"/>
  <c r="AA2103"/>
  <c r="AA2095"/>
  <c r="AA2087"/>
  <c r="AA2079"/>
  <c r="AA2051"/>
  <c r="AA2036"/>
  <c r="AA1881"/>
  <c r="AA1682"/>
  <c r="AA2154"/>
  <c r="AA2158"/>
  <c r="AA1796"/>
  <c r="AA1989"/>
  <c r="AA446"/>
  <c r="AA2157"/>
  <c r="AA1913"/>
  <c r="AA2011"/>
  <c r="AA1966"/>
  <c r="AA1996"/>
  <c r="AA1984"/>
  <c r="AA2138"/>
  <c r="AA2130"/>
  <c r="AA2122"/>
  <c r="AA2114"/>
  <c r="AA2106"/>
  <c r="AA2098"/>
  <c r="AA2090"/>
  <c r="AA2082"/>
  <c r="AA2057"/>
  <c r="AA2042"/>
  <c r="AA2033"/>
  <c r="AA1843"/>
  <c r="AA1697"/>
  <c r="AA439"/>
  <c r="AA2161"/>
  <c r="AA2009"/>
  <c r="AA1993"/>
  <c r="AA445"/>
  <c r="AA1794"/>
  <c r="AA1893"/>
  <c r="AA2024"/>
  <c r="AA1975"/>
  <c r="AA1987"/>
  <c r="AA2146"/>
  <c r="AA447"/>
  <c r="AA2164"/>
  <c r="AA1985"/>
  <c r="AA1715"/>
  <c r="AA1892"/>
  <c r="AA2010"/>
  <c r="AA1967"/>
  <c r="AA1998"/>
  <c r="AA1980"/>
  <c r="AA2141"/>
  <c r="AA2133"/>
  <c r="AA2125"/>
  <c r="AA2117"/>
  <c r="AA2109"/>
  <c r="AA2101"/>
  <c r="AA2093"/>
  <c r="AA2085"/>
  <c r="AA2068"/>
  <c r="AA2049"/>
  <c r="AA199"/>
  <c r="AA1879"/>
  <c r="AA1691"/>
  <c r="AA444"/>
  <c r="AA2156"/>
  <c r="AA1793"/>
  <c r="AA1999"/>
  <c r="AA440"/>
  <c r="AA1792"/>
  <c r="AA2019"/>
  <c r="AA1970"/>
  <c r="AA1992"/>
  <c r="AA2002"/>
  <c r="AA2136"/>
  <c r="AA2128"/>
  <c r="AA2120"/>
  <c r="AA2112"/>
  <c r="AA2104"/>
  <c r="AA2096"/>
  <c r="AA2088"/>
  <c r="AA2080"/>
  <c r="AA2052"/>
  <c r="AA2040"/>
  <c r="AA2029"/>
  <c r="AA1685"/>
  <c r="AA2160"/>
  <c r="AA450"/>
  <c r="AA2016"/>
  <c r="AA1983"/>
  <c r="AA2168"/>
  <c r="AA1801"/>
  <c r="AA1920"/>
  <c r="AA1965"/>
  <c r="AA1971"/>
  <c r="AA1981"/>
  <c r="AA453"/>
  <c r="AA441"/>
  <c r="AA2007"/>
  <c r="AA2144"/>
  <c r="AA1810"/>
  <c r="AA1914"/>
  <c r="AA2017"/>
  <c r="AA1969"/>
  <c r="AA1994"/>
  <c r="AA2145"/>
  <c r="AA2139"/>
  <c r="AA2131"/>
  <c r="AA2123"/>
  <c r="AA2115"/>
  <c r="AA2107"/>
  <c r="AA2099"/>
  <c r="AA2091"/>
  <c r="AA2083"/>
  <c r="AA2066"/>
  <c r="AA2043"/>
  <c r="AA2034"/>
  <c r="AA1869"/>
  <c r="AA1694"/>
  <c r="AA443"/>
  <c r="AA2162"/>
  <c r="AA2012"/>
  <c r="AA2147"/>
  <c r="AA2148"/>
  <c r="AA1898"/>
  <c r="AA1899"/>
  <c r="AA2021"/>
  <c r="AA1976"/>
  <c r="AA1988"/>
  <c r="AA2142"/>
  <c r="AA2134"/>
  <c r="AA2126"/>
  <c r="AA2118"/>
  <c r="AA2110"/>
  <c r="AA2102"/>
  <c r="AA2094"/>
  <c r="AA2086"/>
  <c r="AA2078"/>
  <c r="AA2050"/>
  <c r="AA2035"/>
  <c r="AA1880"/>
  <c r="AA1679"/>
  <c r="AA2155"/>
  <c r="AA2149"/>
  <c r="AA1902"/>
  <c r="AA1909"/>
  <c r="AA1903"/>
  <c r="AA1910"/>
  <c r="AA1904"/>
  <c r="AA1901"/>
  <c r="AA1905"/>
  <c r="AA1906"/>
  <c r="AA1912"/>
  <c r="AA1907"/>
  <c r="AA1908"/>
  <c r="AA1889"/>
  <c r="AA1900"/>
  <c r="AA1516"/>
  <c r="AA1591"/>
  <c r="AA1502"/>
  <c r="AA1565"/>
  <c r="AA1590"/>
  <c r="AA1663"/>
  <c r="AA1684"/>
  <c r="AA1737"/>
  <c r="AA1618"/>
  <c r="AA1786"/>
  <c r="AA1703"/>
  <c r="AA183"/>
  <c r="AA1527"/>
  <c r="AA1743"/>
  <c r="AA1841"/>
  <c r="AA1858"/>
  <c r="AA1927"/>
  <c r="AA1946"/>
  <c r="AA1820"/>
  <c r="AA1867"/>
  <c r="AA1566"/>
  <c r="AA1501"/>
  <c r="AA1561"/>
  <c r="AA1589"/>
  <c r="AA1662"/>
  <c r="AA1681"/>
  <c r="AA1736"/>
  <c r="AA1619"/>
  <c r="AA1742"/>
  <c r="AA1549"/>
  <c r="AA171"/>
  <c r="AA1528"/>
  <c r="AA1653"/>
  <c r="AA1862"/>
  <c r="AA1911"/>
  <c r="AA1803"/>
  <c r="AA1955"/>
  <c r="AA1822"/>
  <c r="AA1833"/>
  <c r="AA1517"/>
  <c r="AA1547"/>
  <c r="AA1586"/>
  <c r="AA1678"/>
  <c r="AA1613"/>
  <c r="AA1717"/>
  <c r="AA1546"/>
  <c r="AA1640"/>
  <c r="AA1631"/>
  <c r="AA185"/>
  <c r="AA1734"/>
  <c r="AA1622"/>
  <c r="AA1887"/>
  <c r="AA1849"/>
  <c r="AA1859"/>
  <c r="AA1926"/>
  <c r="AA1863"/>
  <c r="AA1941"/>
  <c r="AA1853"/>
  <c r="AA1542"/>
  <c r="AA1650"/>
  <c r="AA1716"/>
  <c r="AA1741"/>
  <c r="AA1630"/>
  <c r="AA1749"/>
  <c r="AA180"/>
  <c r="AA1576"/>
  <c r="AA1888"/>
  <c r="AA1882"/>
  <c r="AA1850"/>
  <c r="AA1802"/>
  <c r="AA1952"/>
  <c r="AA1957"/>
  <c r="AA1832"/>
  <c r="AA1529"/>
  <c r="AA1668"/>
  <c r="AA1522"/>
  <c r="AA1541"/>
  <c r="AA1602"/>
  <c r="AA1633"/>
  <c r="AA1723"/>
  <c r="AA1787"/>
  <c r="AA1621"/>
  <c r="AA1548"/>
  <c r="AA1553"/>
  <c r="AA179"/>
  <c r="AA1575"/>
  <c r="AA1627"/>
  <c r="AA1848"/>
  <c r="AA1885"/>
  <c r="AA1930"/>
  <c r="AA1943"/>
  <c r="AA1823"/>
  <c r="AA1498"/>
  <c r="AA1596"/>
  <c r="AA1521"/>
  <c r="AA1585"/>
  <c r="AA1601"/>
  <c r="AA1617"/>
  <c r="AA1722"/>
  <c r="AA1788"/>
  <c r="AA1634"/>
  <c r="AA1530"/>
  <c r="AA1747"/>
  <c r="AA182"/>
  <c r="AA1578"/>
  <c r="AA1744"/>
  <c r="AA1884"/>
  <c r="AA1791"/>
  <c r="AA1960"/>
  <c r="AA1950"/>
  <c r="AA1826"/>
  <c r="AA1835"/>
  <c r="AA1513"/>
  <c r="AA1567"/>
  <c r="AA1592"/>
  <c r="AA1671"/>
  <c r="AA1690"/>
  <c r="AA1739"/>
  <c r="AA1608"/>
  <c r="AA1659"/>
  <c r="AA1552"/>
  <c r="AA181"/>
  <c r="AA1577"/>
  <c r="AA1745"/>
  <c r="AA1816"/>
  <c r="AA1852"/>
  <c r="AA1886"/>
  <c r="AA1928"/>
  <c r="AA1790"/>
  <c r="AA1821"/>
  <c r="AA1866"/>
  <c r="AA1595"/>
  <c r="AA1615"/>
  <c r="AA1720"/>
  <c r="AA1543"/>
  <c r="AA1551"/>
  <c r="AA1753"/>
  <c r="AA176"/>
  <c r="AA1623"/>
  <c r="AA1855"/>
  <c r="AA1916"/>
  <c r="AA1937"/>
  <c r="AA1961"/>
  <c r="AA1954"/>
  <c r="AA1814"/>
  <c r="AA1834"/>
  <c r="AA1581"/>
  <c r="AA1519"/>
  <c r="AA1539"/>
  <c r="AA1582"/>
  <c r="AA1598"/>
  <c r="AA1606"/>
  <c r="AA1719"/>
  <c r="AA1563"/>
  <c r="AA1637"/>
  <c r="AA1629"/>
  <c r="AA1748"/>
  <c r="AA175"/>
  <c r="AA1624"/>
  <c r="AA1813"/>
  <c r="AA1851"/>
  <c r="AA1922"/>
  <c r="AA1819"/>
  <c r="AA1940"/>
  <c r="AA1825"/>
  <c r="AA1520"/>
  <c r="AA1518"/>
  <c r="AA1540"/>
  <c r="AA1587"/>
  <c r="AA1597"/>
  <c r="AA1614"/>
  <c r="AA1718"/>
  <c r="AA1562"/>
  <c r="AA1636"/>
  <c r="AA1714"/>
  <c r="AA1532"/>
  <c r="AA178"/>
  <c r="AA1611"/>
  <c r="AA1815"/>
  <c r="AA1917"/>
  <c r="AA1807"/>
  <c r="AA1944"/>
  <c r="AA1956"/>
  <c r="AA1829"/>
  <c r="AA1836"/>
  <c r="AA1500"/>
  <c r="AA1560"/>
  <c r="AA1588"/>
  <c r="AA1661"/>
  <c r="AA1713"/>
  <c r="AA1735"/>
  <c r="AA1620"/>
  <c r="AA1757"/>
  <c r="AA1752"/>
  <c r="AA177"/>
  <c r="AA1610"/>
  <c r="AA1579"/>
  <c r="AA1840"/>
  <c r="AA1857"/>
  <c r="AA1921"/>
  <c r="AA1929"/>
  <c r="AA1945"/>
  <c r="AA1824"/>
  <c r="AA1868"/>
  <c r="AA1599"/>
  <c r="AA1699"/>
  <c r="AA1746"/>
  <c r="AA1545"/>
  <c r="AA1702"/>
  <c r="AA1755"/>
  <c r="AA172"/>
  <c r="AA1651"/>
  <c r="AA1856"/>
  <c r="AA1918"/>
  <c r="AA1808"/>
  <c r="AA1847"/>
  <c r="AA1942"/>
  <c r="AA1828"/>
  <c r="AA1837"/>
  <c r="AA1583"/>
  <c r="AA1515"/>
  <c r="AA1580"/>
  <c r="AA1594"/>
  <c r="AA1677"/>
  <c r="AA1696"/>
  <c r="AA1733"/>
  <c r="AA1544"/>
  <c r="AA1638"/>
  <c r="AA1550"/>
  <c r="AA1754"/>
  <c r="AA1616"/>
  <c r="AA1652"/>
  <c r="AA1839"/>
  <c r="AA1883"/>
  <c r="AA1924"/>
  <c r="AA1938"/>
  <c r="AA1804"/>
  <c r="AA1865"/>
  <c r="AA1512"/>
  <c r="AA1514"/>
  <c r="AA1573"/>
  <c r="AA1593"/>
  <c r="AA1674"/>
  <c r="AA1693"/>
  <c r="AA1740"/>
  <c r="AA1574"/>
  <c r="AA1649"/>
  <c r="AA1628"/>
  <c r="AA1751"/>
  <c r="AA174"/>
  <c r="AA1625"/>
  <c r="AA1854"/>
  <c r="AA1925"/>
  <c r="AA419"/>
  <c r="AA1953"/>
  <c r="AA1805"/>
  <c r="AA1831"/>
  <c r="AA1838"/>
  <c r="AA1524"/>
  <c r="AA1584"/>
  <c r="AA1600"/>
  <c r="AA1607"/>
  <c r="AA1721"/>
  <c r="AA1525"/>
  <c r="AA1635"/>
  <c r="AA1531"/>
  <c r="AA1750"/>
  <c r="AA173"/>
  <c r="AA1626"/>
  <c r="AA1842"/>
  <c r="AA1864"/>
  <c r="AA1923"/>
  <c r="AA1809"/>
  <c r="AA1846"/>
  <c r="AA1827"/>
  <c r="AA1499"/>
  <c r="AA1664"/>
  <c r="AA1687"/>
  <c r="AA1738"/>
  <c r="AA1639"/>
  <c r="AA1555"/>
  <c r="AA184"/>
  <c r="AA1526"/>
  <c r="AA1812"/>
  <c r="AA1861"/>
  <c r="AA1931"/>
  <c r="AA420"/>
  <c r="AA1939"/>
  <c r="AA1951"/>
  <c r="AA1830"/>
  <c r="AA1860"/>
  <c r="AA1284"/>
  <c r="AA1285"/>
  <c r="AA1286"/>
  <c r="AA1250"/>
  <c r="AA346"/>
  <c r="AA1253"/>
  <c r="AA350"/>
  <c r="AA1283"/>
  <c r="AA1277"/>
  <c r="AA1274"/>
  <c r="AA352"/>
  <c r="AA357"/>
  <c r="AA1272"/>
  <c r="AA1282"/>
  <c r="AA354"/>
  <c r="AA1261"/>
  <c r="AA353"/>
  <c r="AA1259"/>
  <c r="AA348"/>
  <c r="AA1258"/>
  <c r="AA1249"/>
  <c r="AA1254"/>
  <c r="AA1279"/>
  <c r="AA1255"/>
  <c r="AA356"/>
  <c r="AA1273"/>
  <c r="AA1257"/>
  <c r="AA1276"/>
  <c r="AA351"/>
  <c r="AA1262"/>
  <c r="AA1280"/>
  <c r="AA1251"/>
  <c r="AA1260"/>
  <c r="AA1252"/>
  <c r="AA345"/>
  <c r="AA1281"/>
  <c r="AA349"/>
  <c r="AA1278"/>
  <c r="AA347"/>
  <c r="AA1275"/>
  <c r="AA355"/>
  <c r="AA91"/>
  <c r="AA112"/>
  <c r="AA165"/>
  <c r="AA99"/>
  <c r="AA111"/>
  <c r="AA123"/>
  <c r="AA110"/>
  <c r="AA130"/>
  <c r="AA101"/>
  <c r="AA113"/>
  <c r="AA125"/>
  <c r="AA96"/>
  <c r="AA116"/>
  <c r="AA94"/>
  <c r="AA103"/>
  <c r="AA115"/>
  <c r="AA127"/>
  <c r="AA114"/>
  <c r="AA102"/>
  <c r="AA104"/>
  <c r="AA117"/>
  <c r="AA129"/>
  <c r="AA100"/>
  <c r="AA124"/>
  <c r="AA92"/>
  <c r="AA105"/>
  <c r="AA118"/>
  <c r="AA131"/>
  <c r="AA122"/>
  <c r="AA93"/>
  <c r="AA106"/>
  <c r="AA119"/>
  <c r="AA132"/>
  <c r="AA108"/>
  <c r="AA128"/>
  <c r="AA95"/>
  <c r="AA107"/>
  <c r="AA120"/>
  <c r="AA98"/>
  <c r="AA126"/>
  <c r="AA97"/>
  <c r="AA109"/>
  <c r="AA121"/>
  <c r="AA1175"/>
  <c r="AA1172"/>
  <c r="AA1173"/>
  <c r="AA1174"/>
  <c r="AA343"/>
  <c r="AA340"/>
  <c r="AA337"/>
  <c r="AA333"/>
  <c r="AA342"/>
  <c r="AA339"/>
  <c r="AA1171"/>
  <c r="AA344"/>
  <c r="AA332"/>
  <c r="AA338"/>
  <c r="AA1229"/>
  <c r="AA334"/>
  <c r="AA210"/>
  <c r="AA341"/>
  <c r="AA335"/>
  <c r="AA53"/>
  <c r="AA73"/>
  <c r="AA82"/>
  <c r="AA50"/>
  <c r="AA71"/>
  <c r="AA54"/>
  <c r="AA63"/>
  <c r="AA72"/>
  <c r="AA78"/>
  <c r="AA87"/>
  <c r="AA75"/>
  <c r="AA57"/>
  <c r="AA62"/>
  <c r="AA84"/>
  <c r="AA51"/>
  <c r="AA79"/>
  <c r="AA56"/>
  <c r="AA66"/>
  <c r="AA74"/>
  <c r="AA81"/>
  <c r="AA89"/>
  <c r="AA90"/>
  <c r="AA61"/>
  <c r="AA76"/>
  <c r="AA86"/>
  <c r="AA59"/>
  <c r="AA49"/>
  <c r="AA58"/>
  <c r="AA68"/>
  <c r="AA77"/>
  <c r="AA83"/>
  <c r="AA55"/>
  <c r="AA69"/>
  <c r="AA80"/>
  <c r="AA88"/>
  <c r="AA65"/>
  <c r="AA52"/>
  <c r="AA60"/>
  <c r="AA70"/>
  <c r="AA64"/>
  <c r="AA85"/>
  <c r="AA67"/>
  <c r="AA163"/>
  <c r="AA164"/>
  <c r="AA29"/>
  <c r="AA30"/>
  <c r="AA28"/>
  <c r="AA31"/>
  <c r="AA32"/>
  <c r="AA161"/>
  <c r="L118" i="60"/>
  <c r="L122"/>
  <c r="L116"/>
  <c r="L123"/>
  <c r="L120"/>
  <c r="L124"/>
  <c r="L117"/>
  <c r="L121"/>
  <c r="L125"/>
  <c r="L119"/>
  <c r="L141"/>
  <c r="X1872" i="34"/>
  <c r="X24"/>
  <c r="X1765"/>
  <c r="X1874"/>
  <c r="X680"/>
  <c r="X679"/>
  <c r="X678"/>
  <c r="X661"/>
  <c r="X662"/>
  <c r="Q13"/>
  <c r="R13"/>
  <c r="S13"/>
  <c r="R12"/>
  <c r="S12"/>
  <c r="Q12"/>
  <c r="Q21"/>
  <c r="R21"/>
  <c r="S21"/>
  <c r="Q14"/>
  <c r="R14"/>
  <c r="S14"/>
  <c r="S15"/>
  <c r="Q15"/>
  <c r="R15"/>
  <c r="X660"/>
  <c r="X658"/>
  <c r="X656"/>
  <c r="X654"/>
  <c r="X652"/>
  <c r="X650"/>
  <c r="X648"/>
  <c r="X659"/>
  <c r="X657"/>
  <c r="X655"/>
  <c r="X653"/>
  <c r="X651"/>
  <c r="X649"/>
  <c r="X13"/>
  <c r="X15"/>
  <c r="X17"/>
  <c r="X19"/>
  <c r="X21"/>
  <c r="X25"/>
  <c r="X27"/>
  <c r="X29"/>
  <c r="X31"/>
  <c r="X33"/>
  <c r="X35"/>
  <c r="X37"/>
  <c r="X39"/>
  <c r="X41"/>
  <c r="X43"/>
  <c r="X45"/>
  <c r="X47"/>
  <c r="X49"/>
  <c r="X51"/>
  <c r="X53"/>
  <c r="X55"/>
  <c r="X57"/>
  <c r="X59"/>
  <c r="X61"/>
  <c r="X63"/>
  <c r="X65"/>
  <c r="X67"/>
  <c r="X69"/>
  <c r="X71"/>
  <c r="X73"/>
  <c r="X75"/>
  <c r="X77"/>
  <c r="X79"/>
  <c r="X81"/>
  <c r="X83"/>
  <c r="X85"/>
  <c r="X87"/>
  <c r="X89"/>
  <c r="X91"/>
  <c r="X93"/>
  <c r="X95"/>
  <c r="X97"/>
  <c r="X99"/>
  <c r="X101"/>
  <c r="X103"/>
  <c r="X105"/>
  <c r="X107"/>
  <c r="X109"/>
  <c r="X111"/>
  <c r="X113"/>
  <c r="X115"/>
  <c r="X117"/>
  <c r="X119"/>
  <c r="X121"/>
  <c r="X123"/>
  <c r="X677"/>
  <c r="X675"/>
  <c r="X673"/>
  <c r="X671"/>
  <c r="X669"/>
  <c r="X667"/>
  <c r="X665"/>
  <c r="X663"/>
  <c r="X12"/>
  <c r="X14"/>
  <c r="X16"/>
  <c r="X18"/>
  <c r="X20"/>
  <c r="X26"/>
  <c r="X28"/>
  <c r="X30"/>
  <c r="X32"/>
  <c r="X34"/>
  <c r="X36"/>
  <c r="X38"/>
  <c r="X40"/>
  <c r="X42"/>
  <c r="X44"/>
  <c r="X46"/>
  <c r="X48"/>
  <c r="X50"/>
  <c r="X52"/>
  <c r="X54"/>
  <c r="X56"/>
  <c r="X58"/>
  <c r="X60"/>
  <c r="X62"/>
  <c r="X64"/>
  <c r="X66"/>
  <c r="X68"/>
  <c r="X70"/>
  <c r="X72"/>
  <c r="X74"/>
  <c r="X76"/>
  <c r="X78"/>
  <c r="X80"/>
  <c r="X82"/>
  <c r="X84"/>
  <c r="X86"/>
  <c r="X88"/>
  <c r="X90"/>
  <c r="X92"/>
  <c r="X94"/>
  <c r="X96"/>
  <c r="X98"/>
  <c r="X100"/>
  <c r="X102"/>
  <c r="X104"/>
  <c r="X106"/>
  <c r="X108"/>
  <c r="X110"/>
  <c r="X112"/>
  <c r="X114"/>
  <c r="X116"/>
  <c r="X118"/>
  <c r="X120"/>
  <c r="X122"/>
  <c r="X676"/>
  <c r="X674"/>
  <c r="X672"/>
  <c r="X670"/>
  <c r="X668"/>
  <c r="X666"/>
  <c r="X664"/>
  <c r="X125"/>
  <c r="X127"/>
  <c r="X129"/>
  <c r="X131"/>
  <c r="X133"/>
  <c r="X135"/>
  <c r="X137"/>
  <c r="X139"/>
  <c r="X141"/>
  <c r="X143"/>
  <c r="X145"/>
  <c r="X147"/>
  <c r="X149"/>
  <c r="X151"/>
  <c r="X153"/>
  <c r="X155"/>
  <c r="X157"/>
  <c r="X159"/>
  <c r="X161"/>
  <c r="X163"/>
  <c r="X165"/>
  <c r="X167"/>
  <c r="X169"/>
  <c r="X171"/>
  <c r="X173"/>
  <c r="X175"/>
  <c r="X177"/>
  <c r="X179"/>
  <c r="X181"/>
  <c r="X183"/>
  <c r="X185"/>
  <c r="X187"/>
  <c r="X189"/>
  <c r="X191"/>
  <c r="X193"/>
  <c r="X195"/>
  <c r="X197"/>
  <c r="X199"/>
  <c r="X201"/>
  <c r="X203"/>
  <c r="X205"/>
  <c r="X207"/>
  <c r="X209"/>
  <c r="X211"/>
  <c r="X213"/>
  <c r="X215"/>
  <c r="X217"/>
  <c r="X219"/>
  <c r="X221"/>
  <c r="X223"/>
  <c r="X225"/>
  <c r="X227"/>
  <c r="X229"/>
  <c r="X231"/>
  <c r="X233"/>
  <c r="X235"/>
  <c r="X237"/>
  <c r="X239"/>
  <c r="X241"/>
  <c r="X243"/>
  <c r="X245"/>
  <c r="X247"/>
  <c r="X249"/>
  <c r="X251"/>
  <c r="X253"/>
  <c r="X255"/>
  <c r="X257"/>
  <c r="X259"/>
  <c r="X261"/>
  <c r="X263"/>
  <c r="X265"/>
  <c r="X267"/>
  <c r="X269"/>
  <c r="X271"/>
  <c r="X273"/>
  <c r="X276"/>
  <c r="X278"/>
  <c r="X280"/>
  <c r="X282"/>
  <c r="X284"/>
  <c r="X286"/>
  <c r="X288"/>
  <c r="X290"/>
  <c r="X292"/>
  <c r="X294"/>
  <c r="X124"/>
  <c r="X126"/>
  <c r="X128"/>
  <c r="X130"/>
  <c r="X132"/>
  <c r="X134"/>
  <c r="X136"/>
  <c r="X138"/>
  <c r="X140"/>
  <c r="X142"/>
  <c r="X144"/>
  <c r="X146"/>
  <c r="X148"/>
  <c r="X150"/>
  <c r="X152"/>
  <c r="X154"/>
  <c r="X156"/>
  <c r="X158"/>
  <c r="X160"/>
  <c r="X162"/>
  <c r="X164"/>
  <c r="X166"/>
  <c r="X168"/>
  <c r="X170"/>
  <c r="X172"/>
  <c r="X174"/>
  <c r="X176"/>
  <c r="X178"/>
  <c r="X180"/>
  <c r="X182"/>
  <c r="X184"/>
  <c r="X186"/>
  <c r="X188"/>
  <c r="X190"/>
  <c r="X192"/>
  <c r="X194"/>
  <c r="X196"/>
  <c r="X198"/>
  <c r="X200"/>
  <c r="X202"/>
  <c r="X204"/>
  <c r="X206"/>
  <c r="X208"/>
  <c r="X210"/>
  <c r="X212"/>
  <c r="X214"/>
  <c r="X216"/>
  <c r="X218"/>
  <c r="X220"/>
  <c r="X222"/>
  <c r="X224"/>
  <c r="X226"/>
  <c r="X228"/>
  <c r="X230"/>
  <c r="X232"/>
  <c r="X234"/>
  <c r="X236"/>
  <c r="X238"/>
  <c r="X240"/>
  <c r="X242"/>
  <c r="X244"/>
  <c r="X246"/>
  <c r="X248"/>
  <c r="X250"/>
  <c r="X252"/>
  <c r="X254"/>
  <c r="X256"/>
  <c r="X258"/>
  <c r="X260"/>
  <c r="X262"/>
  <c r="X264"/>
  <c r="X266"/>
  <c r="X268"/>
  <c r="X270"/>
  <c r="X272"/>
  <c r="X274"/>
  <c r="X277"/>
  <c r="X279"/>
  <c r="X281"/>
  <c r="X283"/>
  <c r="X285"/>
  <c r="X287"/>
  <c r="X289"/>
  <c r="X291"/>
  <c r="X296"/>
  <c r="X298"/>
  <c r="X300"/>
  <c r="X302"/>
  <c r="X304"/>
  <c r="X306"/>
  <c r="X308"/>
  <c r="X310"/>
  <c r="X312"/>
  <c r="X314"/>
  <c r="X316"/>
  <c r="X318"/>
  <c r="X320"/>
  <c r="X322"/>
  <c r="X324"/>
  <c r="X326"/>
  <c r="X328"/>
  <c r="X330"/>
  <c r="X332"/>
  <c r="X334"/>
  <c r="X336"/>
  <c r="X338"/>
  <c r="X340"/>
  <c r="X342"/>
  <c r="X344"/>
  <c r="X346"/>
  <c r="X348"/>
  <c r="X350"/>
  <c r="X352"/>
  <c r="X354"/>
  <c r="X356"/>
  <c r="X358"/>
  <c r="X360"/>
  <c r="X362"/>
  <c r="X364"/>
  <c r="X366"/>
  <c r="X368"/>
  <c r="X370"/>
  <c r="X372"/>
  <c r="X374"/>
  <c r="X376"/>
  <c r="X378"/>
  <c r="X380"/>
  <c r="X382"/>
  <c r="X384"/>
  <c r="X386"/>
  <c r="X388"/>
  <c r="X390"/>
  <c r="X392"/>
  <c r="X395"/>
  <c r="X397"/>
  <c r="X399"/>
  <c r="X401"/>
  <c r="X403"/>
  <c r="X405"/>
  <c r="X407"/>
  <c r="X409"/>
  <c r="X411"/>
  <c r="X413"/>
  <c r="X415"/>
  <c r="X417"/>
  <c r="X419"/>
  <c r="X421"/>
  <c r="X423"/>
  <c r="X425"/>
  <c r="X427"/>
  <c r="X429"/>
  <c r="X431"/>
  <c r="X433"/>
  <c r="X435"/>
  <c r="X437"/>
  <c r="X439"/>
  <c r="X441"/>
  <c r="X443"/>
  <c r="X445"/>
  <c r="X447"/>
  <c r="X449"/>
  <c r="X451"/>
  <c r="X453"/>
  <c r="X455"/>
  <c r="X457"/>
  <c r="X459"/>
  <c r="X461"/>
  <c r="X463"/>
  <c r="X465"/>
  <c r="X467"/>
  <c r="X469"/>
  <c r="X471"/>
  <c r="X473"/>
  <c r="X295"/>
  <c r="X297"/>
  <c r="X299"/>
  <c r="X301"/>
  <c r="X303"/>
  <c r="X305"/>
  <c r="X307"/>
  <c r="X309"/>
  <c r="X311"/>
  <c r="X313"/>
  <c r="X315"/>
  <c r="X317"/>
  <c r="X319"/>
  <c r="X321"/>
  <c r="X323"/>
  <c r="X325"/>
  <c r="X327"/>
  <c r="X329"/>
  <c r="X331"/>
  <c r="X333"/>
  <c r="X335"/>
  <c r="X337"/>
  <c r="X339"/>
  <c r="X341"/>
  <c r="X343"/>
  <c r="X345"/>
  <c r="X347"/>
  <c r="X349"/>
  <c r="X351"/>
  <c r="X353"/>
  <c r="X355"/>
  <c r="X357"/>
  <c r="X359"/>
  <c r="X361"/>
  <c r="X363"/>
  <c r="X365"/>
  <c r="X367"/>
  <c r="X369"/>
  <c r="X371"/>
  <c r="X373"/>
  <c r="X375"/>
  <c r="X377"/>
  <c r="X379"/>
  <c r="X381"/>
  <c r="X383"/>
  <c r="X385"/>
  <c r="X387"/>
  <c r="X389"/>
  <c r="X391"/>
  <c r="X393"/>
  <c r="X396"/>
  <c r="X398"/>
  <c r="X400"/>
  <c r="X402"/>
  <c r="X404"/>
  <c r="X406"/>
  <c r="X408"/>
  <c r="X410"/>
  <c r="X412"/>
  <c r="X414"/>
  <c r="X416"/>
  <c r="X418"/>
  <c r="X420"/>
  <c r="X422"/>
  <c r="X424"/>
  <c r="X426"/>
  <c r="X428"/>
  <c r="X430"/>
  <c r="X432"/>
  <c r="X434"/>
  <c r="X436"/>
  <c r="X438"/>
  <c r="X440"/>
  <c r="X442"/>
  <c r="X444"/>
  <c r="X446"/>
  <c r="X448"/>
  <c r="X450"/>
  <c r="X452"/>
  <c r="X454"/>
  <c r="X456"/>
  <c r="X458"/>
  <c r="X460"/>
  <c r="X462"/>
  <c r="X464"/>
  <c r="X293"/>
  <c r="X472"/>
  <c r="X470"/>
  <c r="X475"/>
  <c r="X477"/>
  <c r="X479"/>
  <c r="X481"/>
  <c r="X483"/>
  <c r="X485"/>
  <c r="X487"/>
  <c r="X489"/>
  <c r="X491"/>
  <c r="X493"/>
  <c r="X495"/>
  <c r="X497"/>
  <c r="X499"/>
  <c r="X501"/>
  <c r="X503"/>
  <c r="X505"/>
  <c r="X507"/>
  <c r="X509"/>
  <c r="X511"/>
  <c r="X513"/>
  <c r="X515"/>
  <c r="X517"/>
  <c r="X519"/>
  <c r="X521"/>
  <c r="X523"/>
  <c r="X525"/>
  <c r="X527"/>
  <c r="X529"/>
  <c r="X531"/>
  <c r="X533"/>
  <c r="X535"/>
  <c r="X537"/>
  <c r="X539"/>
  <c r="X541"/>
  <c r="X543"/>
  <c r="X545"/>
  <c r="X547"/>
  <c r="X549"/>
  <c r="X551"/>
  <c r="X553"/>
  <c r="X555"/>
  <c r="X557"/>
  <c r="X559"/>
  <c r="X561"/>
  <c r="X563"/>
  <c r="X565"/>
  <c r="X567"/>
  <c r="X569"/>
  <c r="X571"/>
  <c r="X573"/>
  <c r="X575"/>
  <c r="X577"/>
  <c r="X579"/>
  <c r="X581"/>
  <c r="X583"/>
  <c r="X585"/>
  <c r="X587"/>
  <c r="X589"/>
  <c r="X591"/>
  <c r="X593"/>
  <c r="X595"/>
  <c r="X597"/>
  <c r="X599"/>
  <c r="X601"/>
  <c r="X603"/>
  <c r="X605"/>
  <c r="X607"/>
  <c r="X609"/>
  <c r="X611"/>
  <c r="X613"/>
  <c r="X615"/>
  <c r="X617"/>
  <c r="X619"/>
  <c r="X621"/>
  <c r="X623"/>
  <c r="X625"/>
  <c r="X627"/>
  <c r="X629"/>
  <c r="X468"/>
  <c r="X466"/>
  <c r="X474"/>
  <c r="X476"/>
  <c r="X478"/>
  <c r="X480"/>
  <c r="X482"/>
  <c r="X484"/>
  <c r="X486"/>
  <c r="X488"/>
  <c r="X490"/>
  <c r="X492"/>
  <c r="X494"/>
  <c r="X496"/>
  <c r="X498"/>
  <c r="X500"/>
  <c r="X502"/>
  <c r="X504"/>
  <c r="X506"/>
  <c r="X508"/>
  <c r="X510"/>
  <c r="X512"/>
  <c r="X514"/>
  <c r="X516"/>
  <c r="X518"/>
  <c r="X520"/>
  <c r="X522"/>
  <c r="X524"/>
  <c r="X526"/>
  <c r="X528"/>
  <c r="X530"/>
  <c r="X532"/>
  <c r="X534"/>
  <c r="X536"/>
  <c r="X538"/>
  <c r="X540"/>
  <c r="X542"/>
  <c r="X544"/>
  <c r="X546"/>
  <c r="X548"/>
  <c r="X550"/>
  <c r="X552"/>
  <c r="X554"/>
  <c r="X556"/>
  <c r="X558"/>
  <c r="X560"/>
  <c r="X562"/>
  <c r="X564"/>
  <c r="X566"/>
  <c r="X568"/>
  <c r="X570"/>
  <c r="X572"/>
  <c r="X574"/>
  <c r="X576"/>
  <c r="X578"/>
  <c r="X580"/>
  <c r="X582"/>
  <c r="X584"/>
  <c r="X586"/>
  <c r="X588"/>
  <c r="X590"/>
  <c r="X592"/>
  <c r="X594"/>
  <c r="X596"/>
  <c r="X598"/>
  <c r="X600"/>
  <c r="X602"/>
  <c r="X604"/>
  <c r="X606"/>
  <c r="X608"/>
  <c r="X610"/>
  <c r="X612"/>
  <c r="X614"/>
  <c r="X616"/>
  <c r="X618"/>
  <c r="X620"/>
  <c r="X622"/>
  <c r="X624"/>
  <c r="X626"/>
  <c r="X628"/>
  <c r="X631"/>
  <c r="X633"/>
  <c r="X635"/>
  <c r="X637"/>
  <c r="X639"/>
  <c r="X641"/>
  <c r="X643"/>
  <c r="X645"/>
  <c r="X647"/>
  <c r="X705"/>
  <c r="X707"/>
  <c r="X709"/>
  <c r="X711"/>
  <c r="X713"/>
  <c r="X715"/>
  <c r="X717"/>
  <c r="X719"/>
  <c r="X721"/>
  <c r="X723"/>
  <c r="X725"/>
  <c r="X727"/>
  <c r="X729"/>
  <c r="X731"/>
  <c r="X733"/>
  <c r="X735"/>
  <c r="X737"/>
  <c r="X739"/>
  <c r="X741"/>
  <c r="X743"/>
  <c r="X745"/>
  <c r="X747"/>
  <c r="X749"/>
  <c r="X751"/>
  <c r="X753"/>
  <c r="X755"/>
  <c r="X757"/>
  <c r="X759"/>
  <c r="X761"/>
  <c r="X763"/>
  <c r="X765"/>
  <c r="X767"/>
  <c r="X769"/>
  <c r="X771"/>
  <c r="X773"/>
  <c r="X775"/>
  <c r="X777"/>
  <c r="X779"/>
  <c r="X781"/>
  <c r="X783"/>
  <c r="X785"/>
  <c r="X787"/>
  <c r="X789"/>
  <c r="X791"/>
  <c r="X793"/>
  <c r="X795"/>
  <c r="X797"/>
  <c r="X799"/>
  <c r="X801"/>
  <c r="X803"/>
  <c r="X805"/>
  <c r="X807"/>
  <c r="X809"/>
  <c r="X811"/>
  <c r="X813"/>
  <c r="X815"/>
  <c r="X817"/>
  <c r="X819"/>
  <c r="X821"/>
  <c r="X823"/>
  <c r="X825"/>
  <c r="X827"/>
  <c r="X829"/>
  <c r="X831"/>
  <c r="X833"/>
  <c r="X835"/>
  <c r="X837"/>
  <c r="X839"/>
  <c r="X841"/>
  <c r="X843"/>
  <c r="X845"/>
  <c r="X847"/>
  <c r="X849"/>
  <c r="X851"/>
  <c r="X853"/>
  <c r="X855"/>
  <c r="X857"/>
  <c r="X859"/>
  <c r="X861"/>
  <c r="X863"/>
  <c r="X865"/>
  <c r="X867"/>
  <c r="X869"/>
  <c r="X871"/>
  <c r="X873"/>
  <c r="X875"/>
  <c r="X877"/>
  <c r="X879"/>
  <c r="X881"/>
  <c r="X883"/>
  <c r="X885"/>
  <c r="X887"/>
  <c r="X889"/>
  <c r="X891"/>
  <c r="X893"/>
  <c r="X895"/>
  <c r="X897"/>
  <c r="X899"/>
  <c r="X901"/>
  <c r="X903"/>
  <c r="X905"/>
  <c r="X907"/>
  <c r="X909"/>
  <c r="X911"/>
  <c r="X913"/>
  <c r="X915"/>
  <c r="X917"/>
  <c r="X919"/>
  <c r="X921"/>
  <c r="X923"/>
  <c r="X925"/>
  <c r="X927"/>
  <c r="X929"/>
  <c r="X931"/>
  <c r="X933"/>
  <c r="X935"/>
  <c r="X937"/>
  <c r="X939"/>
  <c r="X941"/>
  <c r="X943"/>
  <c r="X945"/>
  <c r="X947"/>
  <c r="X949"/>
  <c r="X951"/>
  <c r="X953"/>
  <c r="X955"/>
  <c r="X957"/>
  <c r="X959"/>
  <c r="X961"/>
  <c r="X963"/>
  <c r="X965"/>
  <c r="X967"/>
  <c r="X969"/>
  <c r="X971"/>
  <c r="X973"/>
  <c r="X630"/>
  <c r="X632"/>
  <c r="X634"/>
  <c r="X636"/>
  <c r="X638"/>
  <c r="X640"/>
  <c r="X642"/>
  <c r="X644"/>
  <c r="X646"/>
  <c r="X704"/>
  <c r="X706"/>
  <c r="X708"/>
  <c r="X710"/>
  <c r="X712"/>
  <c r="X714"/>
  <c r="X716"/>
  <c r="X718"/>
  <c r="X720"/>
  <c r="X722"/>
  <c r="X724"/>
  <c r="X726"/>
  <c r="X728"/>
  <c r="X730"/>
  <c r="X732"/>
  <c r="X734"/>
  <c r="X736"/>
  <c r="X738"/>
  <c r="X740"/>
  <c r="X742"/>
  <c r="X744"/>
  <c r="X746"/>
  <c r="X748"/>
  <c r="X750"/>
  <c r="X752"/>
  <c r="X754"/>
  <c r="X756"/>
  <c r="X758"/>
  <c r="X760"/>
  <c r="X762"/>
  <c r="X764"/>
  <c r="X766"/>
  <c r="X768"/>
  <c r="X770"/>
  <c r="X772"/>
  <c r="X774"/>
  <c r="X776"/>
  <c r="X778"/>
  <c r="X780"/>
  <c r="X782"/>
  <c r="X784"/>
  <c r="X786"/>
  <c r="X788"/>
  <c r="X790"/>
  <c r="X792"/>
  <c r="X794"/>
  <c r="X796"/>
  <c r="X798"/>
  <c r="X800"/>
  <c r="X802"/>
  <c r="X804"/>
  <c r="X806"/>
  <c r="X808"/>
  <c r="X810"/>
  <c r="X812"/>
  <c r="X814"/>
  <c r="X816"/>
  <c r="X818"/>
  <c r="X820"/>
  <c r="X822"/>
  <c r="X824"/>
  <c r="X826"/>
  <c r="X828"/>
  <c r="X830"/>
  <c r="X832"/>
  <c r="X834"/>
  <c r="X836"/>
  <c r="X838"/>
  <c r="X840"/>
  <c r="X842"/>
  <c r="X844"/>
  <c r="X846"/>
  <c r="X848"/>
  <c r="X850"/>
  <c r="X852"/>
  <c r="X854"/>
  <c r="X856"/>
  <c r="X858"/>
  <c r="X860"/>
  <c r="X862"/>
  <c r="X864"/>
  <c r="X866"/>
  <c r="X868"/>
  <c r="X870"/>
  <c r="X872"/>
  <c r="X874"/>
  <c r="X876"/>
  <c r="X878"/>
  <c r="X880"/>
  <c r="X882"/>
  <c r="X884"/>
  <c r="X886"/>
  <c r="X888"/>
  <c r="X890"/>
  <c r="X892"/>
  <c r="X894"/>
  <c r="X896"/>
  <c r="X898"/>
  <c r="X900"/>
  <c r="X902"/>
  <c r="X904"/>
  <c r="X906"/>
  <c r="X908"/>
  <c r="X910"/>
  <c r="X912"/>
  <c r="X914"/>
  <c r="X916"/>
  <c r="X918"/>
  <c r="X920"/>
  <c r="X922"/>
  <c r="X924"/>
  <c r="X926"/>
  <c r="X928"/>
  <c r="X930"/>
  <c r="X932"/>
  <c r="X934"/>
  <c r="X936"/>
  <c r="X938"/>
  <c r="X940"/>
  <c r="X942"/>
  <c r="X944"/>
  <c r="X946"/>
  <c r="X948"/>
  <c r="X950"/>
  <c r="X952"/>
  <c r="X954"/>
  <c r="X956"/>
  <c r="X958"/>
  <c r="X960"/>
  <c r="X962"/>
  <c r="X964"/>
  <c r="X966"/>
  <c r="X968"/>
  <c r="X970"/>
  <c r="X972"/>
  <c r="X974"/>
  <c r="X976"/>
  <c r="X978"/>
  <c r="X980"/>
  <c r="X982"/>
  <c r="X984"/>
  <c r="X986"/>
  <c r="X988"/>
  <c r="X990"/>
  <c r="X992"/>
  <c r="X994"/>
  <c r="X996"/>
  <c r="X998"/>
  <c r="X1000"/>
  <c r="X1002"/>
  <c r="X1004"/>
  <c r="X1006"/>
  <c r="X1008"/>
  <c r="X1010"/>
  <c r="X1012"/>
  <c r="X1014"/>
  <c r="X1016"/>
  <c r="X1018"/>
  <c r="X1020"/>
  <c r="X1022"/>
  <c r="X1024"/>
  <c r="X1026"/>
  <c r="X1028"/>
  <c r="X1030"/>
  <c r="X1032"/>
  <c r="X1034"/>
  <c r="X1036"/>
  <c r="X1038"/>
  <c r="X1040"/>
  <c r="X1042"/>
  <c r="X1044"/>
  <c r="X1046"/>
  <c r="X1048"/>
  <c r="X1050"/>
  <c r="X1052"/>
  <c r="X1054"/>
  <c r="X1056"/>
  <c r="X1058"/>
  <c r="X1060"/>
  <c r="X1062"/>
  <c r="X1064"/>
  <c r="X1066"/>
  <c r="X1068"/>
  <c r="X1070"/>
  <c r="X1072"/>
  <c r="X1074"/>
  <c r="X1076"/>
  <c r="X1078"/>
  <c r="X1080"/>
  <c r="X1082"/>
  <c r="X1084"/>
  <c r="X1086"/>
  <c r="X1088"/>
  <c r="X1090"/>
  <c r="X1092"/>
  <c r="X1094"/>
  <c r="X1096"/>
  <c r="X1098"/>
  <c r="X1100"/>
  <c r="X1102"/>
  <c r="X1104"/>
  <c r="X1106"/>
  <c r="X1108"/>
  <c r="X1110"/>
  <c r="X1112"/>
  <c r="X1114"/>
  <c r="X1116"/>
  <c r="X1118"/>
  <c r="X1120"/>
  <c r="X1122"/>
  <c r="X1124"/>
  <c r="X1126"/>
  <c r="X1128"/>
  <c r="X1130"/>
  <c r="X1132"/>
  <c r="X1134"/>
  <c r="X1136"/>
  <c r="X1138"/>
  <c r="X1140"/>
  <c r="X1142"/>
  <c r="X1144"/>
  <c r="X1146"/>
  <c r="X1148"/>
  <c r="X1150"/>
  <c r="X1152"/>
  <c r="X1154"/>
  <c r="X1156"/>
  <c r="X1158"/>
  <c r="X1160"/>
  <c r="X1162"/>
  <c r="X1164"/>
  <c r="X1166"/>
  <c r="X1168"/>
  <c r="X1170"/>
  <c r="X1172"/>
  <c r="X1174"/>
  <c r="X1176"/>
  <c r="X1178"/>
  <c r="X1180"/>
  <c r="X1182"/>
  <c r="X1184"/>
  <c r="X1186"/>
  <c r="X1188"/>
  <c r="X1190"/>
  <c r="X1192"/>
  <c r="X1194"/>
  <c r="X1196"/>
  <c r="X1198"/>
  <c r="X1200"/>
  <c r="X1202"/>
  <c r="X1204"/>
  <c r="X1206"/>
  <c r="X1208"/>
  <c r="X1210"/>
  <c r="X1212"/>
  <c r="X1214"/>
  <c r="X1216"/>
  <c r="X1218"/>
  <c r="X1220"/>
  <c r="X1222"/>
  <c r="X1224"/>
  <c r="X1226"/>
  <c r="X1228"/>
  <c r="X1230"/>
  <c r="X1232"/>
  <c r="X1234"/>
  <c r="X1236"/>
  <c r="X1238"/>
  <c r="X1240"/>
  <c r="X1242"/>
  <c r="X1244"/>
  <c r="X1246"/>
  <c r="X1248"/>
  <c r="X1250"/>
  <c r="X1252"/>
  <c r="X1254"/>
  <c r="X1256"/>
  <c r="X1258"/>
  <c r="X1260"/>
  <c r="X1262"/>
  <c r="X1264"/>
  <c r="X1266"/>
  <c r="X1268"/>
  <c r="X1270"/>
  <c r="X1272"/>
  <c r="X1274"/>
  <c r="X1276"/>
  <c r="X1278"/>
  <c r="X1280"/>
  <c r="X1282"/>
  <c r="X1284"/>
  <c r="X1286"/>
  <c r="X1288"/>
  <c r="X1290"/>
  <c r="X1292"/>
  <c r="X1294"/>
  <c r="X1296"/>
  <c r="X1298"/>
  <c r="X1300"/>
  <c r="X1302"/>
  <c r="X1304"/>
  <c r="X1306"/>
  <c r="X1308"/>
  <c r="X1310"/>
  <c r="X1312"/>
  <c r="X975"/>
  <c r="X977"/>
  <c r="X979"/>
  <c r="X981"/>
  <c r="X983"/>
  <c r="X985"/>
  <c r="X987"/>
  <c r="X989"/>
  <c r="X991"/>
  <c r="X993"/>
  <c r="X995"/>
  <c r="X997"/>
  <c r="X999"/>
  <c r="X1001"/>
  <c r="X1003"/>
  <c r="X1005"/>
  <c r="X1007"/>
  <c r="X1009"/>
  <c r="X1011"/>
  <c r="X1013"/>
  <c r="X1015"/>
  <c r="X1017"/>
  <c r="X1019"/>
  <c r="X1021"/>
  <c r="X1023"/>
  <c r="X1025"/>
  <c r="X1027"/>
  <c r="X1029"/>
  <c r="X1031"/>
  <c r="X1033"/>
  <c r="X1035"/>
  <c r="X1037"/>
  <c r="X1039"/>
  <c r="X1041"/>
  <c r="X1043"/>
  <c r="X1045"/>
  <c r="X1047"/>
  <c r="X1049"/>
  <c r="X1051"/>
  <c r="X1053"/>
  <c r="X1055"/>
  <c r="X1057"/>
  <c r="X1059"/>
  <c r="X1061"/>
  <c r="X1063"/>
  <c r="X1065"/>
  <c r="X1067"/>
  <c r="X1069"/>
  <c r="X1071"/>
  <c r="X1073"/>
  <c r="X1075"/>
  <c r="X1077"/>
  <c r="X1079"/>
  <c r="X1081"/>
  <c r="X1083"/>
  <c r="X1085"/>
  <c r="X1087"/>
  <c r="X1089"/>
  <c r="X1091"/>
  <c r="X1093"/>
  <c r="X1095"/>
  <c r="X1097"/>
  <c r="X1099"/>
  <c r="X1101"/>
  <c r="X1103"/>
  <c r="X1105"/>
  <c r="X1107"/>
  <c r="X1109"/>
  <c r="X1111"/>
  <c r="X1113"/>
  <c r="X1115"/>
  <c r="X1117"/>
  <c r="X1119"/>
  <c r="X1121"/>
  <c r="X1123"/>
  <c r="X1125"/>
  <c r="X1127"/>
  <c r="X1129"/>
  <c r="X1131"/>
  <c r="X1133"/>
  <c r="X1135"/>
  <c r="X1137"/>
  <c r="X1139"/>
  <c r="X1141"/>
  <c r="X1143"/>
  <c r="X1145"/>
  <c r="X1147"/>
  <c r="X1149"/>
  <c r="X1151"/>
  <c r="X1153"/>
  <c r="X1155"/>
  <c r="X1157"/>
  <c r="X1159"/>
  <c r="X1161"/>
  <c r="X1163"/>
  <c r="X1165"/>
  <c r="X1167"/>
  <c r="X1169"/>
  <c r="X1171"/>
  <c r="X1173"/>
  <c r="X1175"/>
  <c r="X1177"/>
  <c r="X1179"/>
  <c r="X1181"/>
  <c r="X1183"/>
  <c r="X1185"/>
  <c r="X1187"/>
  <c r="X1189"/>
  <c r="X1191"/>
  <c r="X1193"/>
  <c r="X1195"/>
  <c r="X1197"/>
  <c r="X1199"/>
  <c r="X1201"/>
  <c r="X1203"/>
  <c r="X1205"/>
  <c r="X1207"/>
  <c r="X1209"/>
  <c r="X1211"/>
  <c r="X1213"/>
  <c r="X1215"/>
  <c r="X1217"/>
  <c r="X1219"/>
  <c r="X1221"/>
  <c r="X1223"/>
  <c r="X1225"/>
  <c r="X1227"/>
  <c r="X1229"/>
  <c r="X1231"/>
  <c r="X1233"/>
  <c r="X1235"/>
  <c r="X1237"/>
  <c r="X1239"/>
  <c r="X1241"/>
  <c r="X1243"/>
  <c r="X1245"/>
  <c r="X1247"/>
  <c r="X1249"/>
  <c r="X1251"/>
  <c r="X1253"/>
  <c r="X1255"/>
  <c r="X1257"/>
  <c r="X1259"/>
  <c r="X1261"/>
  <c r="X1263"/>
  <c r="X1265"/>
  <c r="X1267"/>
  <c r="X1269"/>
  <c r="X1271"/>
  <c r="X1273"/>
  <c r="X1275"/>
  <c r="X1277"/>
  <c r="X1279"/>
  <c r="X1281"/>
  <c r="X1283"/>
  <c r="X1285"/>
  <c r="X1287"/>
  <c r="X1289"/>
  <c r="X1291"/>
  <c r="X1293"/>
  <c r="X1295"/>
  <c r="X1297"/>
  <c r="X1299"/>
  <c r="X1301"/>
  <c r="X1303"/>
  <c r="X1311"/>
  <c r="X1309"/>
  <c r="X1314"/>
  <c r="X1316"/>
  <c r="X1318"/>
  <c r="X1320"/>
  <c r="X1322"/>
  <c r="X1324"/>
  <c r="X1326"/>
  <c r="X1328"/>
  <c r="X1330"/>
  <c r="X1332"/>
  <c r="X1334"/>
  <c r="X1336"/>
  <c r="X1338"/>
  <c r="X1340"/>
  <c r="X1342"/>
  <c r="X1344"/>
  <c r="X1346"/>
  <c r="X1348"/>
  <c r="X1350"/>
  <c r="X1352"/>
  <c r="X1354"/>
  <c r="X1356"/>
  <c r="X1358"/>
  <c r="X1360"/>
  <c r="X1362"/>
  <c r="X1364"/>
  <c r="X1366"/>
  <c r="X1368"/>
  <c r="X1370"/>
  <c r="X1372"/>
  <c r="X1374"/>
  <c r="X1376"/>
  <c r="X1378"/>
  <c r="X1380"/>
  <c r="X1382"/>
  <c r="X1384"/>
  <c r="X1386"/>
  <c r="X1388"/>
  <c r="X1390"/>
  <c r="X1392"/>
  <c r="X1394"/>
  <c r="X1396"/>
  <c r="X1398"/>
  <c r="X1400"/>
  <c r="X1402"/>
  <c r="X1404"/>
  <c r="X1406"/>
  <c r="X1408"/>
  <c r="X1410"/>
  <c r="X1412"/>
  <c r="X1414"/>
  <c r="X1416"/>
  <c r="X1418"/>
  <c r="X1420"/>
  <c r="X1422"/>
  <c r="X1424"/>
  <c r="X1426"/>
  <c r="X1428"/>
  <c r="X1430"/>
  <c r="X1432"/>
  <c r="X1434"/>
  <c r="X1436"/>
  <c r="X1438"/>
  <c r="X1440"/>
  <c r="X1442"/>
  <c r="X1444"/>
  <c r="X1446"/>
  <c r="X1448"/>
  <c r="X1450"/>
  <c r="X1452"/>
  <c r="X1454"/>
  <c r="X1456"/>
  <c r="X1458"/>
  <c r="X1460"/>
  <c r="X1462"/>
  <c r="X1464"/>
  <c r="X1466"/>
  <c r="X1468"/>
  <c r="X1470"/>
  <c r="X1472"/>
  <c r="X1474"/>
  <c r="X1476"/>
  <c r="X1478"/>
  <c r="X1480"/>
  <c r="X1482"/>
  <c r="X1484"/>
  <c r="X1486"/>
  <c r="X1488"/>
  <c r="X1490"/>
  <c r="X1492"/>
  <c r="X1494"/>
  <c r="X1496"/>
  <c r="X1498"/>
  <c r="X1500"/>
  <c r="X1502"/>
  <c r="X1504"/>
  <c r="X1506"/>
  <c r="X1508"/>
  <c r="X1510"/>
  <c r="X1512"/>
  <c r="X1514"/>
  <c r="X1516"/>
  <c r="X1518"/>
  <c r="X1520"/>
  <c r="X1522"/>
  <c r="X1524"/>
  <c r="X1526"/>
  <c r="X1528"/>
  <c r="X1530"/>
  <c r="X1532"/>
  <c r="X1534"/>
  <c r="X1536"/>
  <c r="X1538"/>
  <c r="X1540"/>
  <c r="X1542"/>
  <c r="X1544"/>
  <c r="X1546"/>
  <c r="X1548"/>
  <c r="X1550"/>
  <c r="X1552"/>
  <c r="X1554"/>
  <c r="X1556"/>
  <c r="X1558"/>
  <c r="X1560"/>
  <c r="X1562"/>
  <c r="X1564"/>
  <c r="X1566"/>
  <c r="X1568"/>
  <c r="X1570"/>
  <c r="X1572"/>
  <c r="X1574"/>
  <c r="X1576"/>
  <c r="X1578"/>
  <c r="X1580"/>
  <c r="X1582"/>
  <c r="X1584"/>
  <c r="X1586"/>
  <c r="X1588"/>
  <c r="X1590"/>
  <c r="X1592"/>
  <c r="X1594"/>
  <c r="X1596"/>
  <c r="X1598"/>
  <c r="X1600"/>
  <c r="X1602"/>
  <c r="X1604"/>
  <c r="X1606"/>
  <c r="X1608"/>
  <c r="X1610"/>
  <c r="X1612"/>
  <c r="X1614"/>
  <c r="X1616"/>
  <c r="X1618"/>
  <c r="X1620"/>
  <c r="X1622"/>
  <c r="X1624"/>
  <c r="X1626"/>
  <c r="X1628"/>
  <c r="X1630"/>
  <c r="X1632"/>
  <c r="X1634"/>
  <c r="X1636"/>
  <c r="X1638"/>
  <c r="X1640"/>
  <c r="X1642"/>
  <c r="X1644"/>
  <c r="X1646"/>
  <c r="X1648"/>
  <c r="X1307"/>
  <c r="X1305"/>
  <c r="X1313"/>
  <c r="X1315"/>
  <c r="X1317"/>
  <c r="X1319"/>
  <c r="X1321"/>
  <c r="X1323"/>
  <c r="X1325"/>
  <c r="X1327"/>
  <c r="X1329"/>
  <c r="X1331"/>
  <c r="X1333"/>
  <c r="X1335"/>
  <c r="X1337"/>
  <c r="X1339"/>
  <c r="X1341"/>
  <c r="X1343"/>
  <c r="X1345"/>
  <c r="X1347"/>
  <c r="X1349"/>
  <c r="X1351"/>
  <c r="X1353"/>
  <c r="X1355"/>
  <c r="X1357"/>
  <c r="X1359"/>
  <c r="X1361"/>
  <c r="X1363"/>
  <c r="X1365"/>
  <c r="X1367"/>
  <c r="X1369"/>
  <c r="X1371"/>
  <c r="X1373"/>
  <c r="X1375"/>
  <c r="X1377"/>
  <c r="X1379"/>
  <c r="X1381"/>
  <c r="X1383"/>
  <c r="X1385"/>
  <c r="X1387"/>
  <c r="X1389"/>
  <c r="X1391"/>
  <c r="X1393"/>
  <c r="X1395"/>
  <c r="X1397"/>
  <c r="X1399"/>
  <c r="X1401"/>
  <c r="X1403"/>
  <c r="X1405"/>
  <c r="X1407"/>
  <c r="X1409"/>
  <c r="X1411"/>
  <c r="X1413"/>
  <c r="X1415"/>
  <c r="X1417"/>
  <c r="X1419"/>
  <c r="X1421"/>
  <c r="X1423"/>
  <c r="X1425"/>
  <c r="X1427"/>
  <c r="X1429"/>
  <c r="X1431"/>
  <c r="X1433"/>
  <c r="X1435"/>
  <c r="X1437"/>
  <c r="X1439"/>
  <c r="X1441"/>
  <c r="X1443"/>
  <c r="X1445"/>
  <c r="X1447"/>
  <c r="X1449"/>
  <c r="X1451"/>
  <c r="X1453"/>
  <c r="X1455"/>
  <c r="X1457"/>
  <c r="X1459"/>
  <c r="X1461"/>
  <c r="X1463"/>
  <c r="X1465"/>
  <c r="X1467"/>
  <c r="X1469"/>
  <c r="X1471"/>
  <c r="X1473"/>
  <c r="X1475"/>
  <c r="X1477"/>
  <c r="X1479"/>
  <c r="X1481"/>
  <c r="X1483"/>
  <c r="X1485"/>
  <c r="X1487"/>
  <c r="X1489"/>
  <c r="X1491"/>
  <c r="X1493"/>
  <c r="X1495"/>
  <c r="X1497"/>
  <c r="X1499"/>
  <c r="X1501"/>
  <c r="X1503"/>
  <c r="X1505"/>
  <c r="X1507"/>
  <c r="X1509"/>
  <c r="X1511"/>
  <c r="X1513"/>
  <c r="X1515"/>
  <c r="X1517"/>
  <c r="X1519"/>
  <c r="X1521"/>
  <c r="X1523"/>
  <c r="X1525"/>
  <c r="X1527"/>
  <c r="X1529"/>
  <c r="X1531"/>
  <c r="X1533"/>
  <c r="X1535"/>
  <c r="X1537"/>
  <c r="X1539"/>
  <c r="X1541"/>
  <c r="X1543"/>
  <c r="X1545"/>
  <c r="X1547"/>
  <c r="X1549"/>
  <c r="X1551"/>
  <c r="X1553"/>
  <c r="X1555"/>
  <c r="X1557"/>
  <c r="X1559"/>
  <c r="X1561"/>
  <c r="X1563"/>
  <c r="X1565"/>
  <c r="X1567"/>
  <c r="X1569"/>
  <c r="X1571"/>
  <c r="X1573"/>
  <c r="X1575"/>
  <c r="X1577"/>
  <c r="X1579"/>
  <c r="X1581"/>
  <c r="X1583"/>
  <c r="X1585"/>
  <c r="X1587"/>
  <c r="X1589"/>
  <c r="X1591"/>
  <c r="X1593"/>
  <c r="X1595"/>
  <c r="X1597"/>
  <c r="X1599"/>
  <c r="X1601"/>
  <c r="X1603"/>
  <c r="X1605"/>
  <c r="X1607"/>
  <c r="X1609"/>
  <c r="X1611"/>
  <c r="X1613"/>
  <c r="X1615"/>
  <c r="X1617"/>
  <c r="X1619"/>
  <c r="X1621"/>
  <c r="X1623"/>
  <c r="X1625"/>
  <c r="X1627"/>
  <c r="X1629"/>
  <c r="X1631"/>
  <c r="X1633"/>
  <c r="X1635"/>
  <c r="X1637"/>
  <c r="X1639"/>
  <c r="X1641"/>
  <c r="X1643"/>
  <c r="X1647"/>
  <c r="X1645"/>
  <c r="X1650"/>
  <c r="X1652"/>
  <c r="X1654"/>
  <c r="X1656"/>
  <c r="X1658"/>
  <c r="X1660"/>
  <c r="X1662"/>
  <c r="X1668"/>
  <c r="X1674"/>
  <c r="X1664"/>
  <c r="X1681"/>
  <c r="X1687"/>
  <c r="X1693"/>
  <c r="X1699"/>
  <c r="X1697"/>
  <c r="X1666"/>
  <c r="X1672"/>
  <c r="X1691"/>
  <c r="X1682"/>
  <c r="X1688"/>
  <c r="X1702"/>
  <c r="X1701"/>
  <c r="X1695"/>
  <c r="X1670"/>
  <c r="X1676"/>
  <c r="X1680"/>
  <c r="X1686"/>
  <c r="X1704"/>
  <c r="X1706"/>
  <c r="X1708"/>
  <c r="X1710"/>
  <c r="X1712"/>
  <c r="X1714"/>
  <c r="X1716"/>
  <c r="X1718"/>
  <c r="X1720"/>
  <c r="X1722"/>
  <c r="X1724"/>
  <c r="X1726"/>
  <c r="X1728"/>
  <c r="X1730"/>
  <c r="X1732"/>
  <c r="X1734"/>
  <c r="X1736"/>
  <c r="X1738"/>
  <c r="X1740"/>
  <c r="X1742"/>
  <c r="X1744"/>
  <c r="X1746"/>
  <c r="X1748"/>
  <c r="X1750"/>
  <c r="X1752"/>
  <c r="X1754"/>
  <c r="X1756"/>
  <c r="X1758"/>
  <c r="X1760"/>
  <c r="X1762"/>
  <c r="X1764"/>
  <c r="X1767"/>
  <c r="X1769"/>
  <c r="X1771"/>
  <c r="X1773"/>
  <c r="X1775"/>
  <c r="X1777"/>
  <c r="X1779"/>
  <c r="X1781"/>
  <c r="X1783"/>
  <c r="X1785"/>
  <c r="X1787"/>
  <c r="X1789"/>
  <c r="X1791"/>
  <c r="X1938"/>
  <c r="X1793"/>
  <c r="X1796"/>
  <c r="X1798"/>
  <c r="X1800"/>
  <c r="X1802"/>
  <c r="X1804"/>
  <c r="X1806"/>
  <c r="X1808"/>
  <c r="X1810"/>
  <c r="X1812"/>
  <c r="X1814"/>
  <c r="X1816"/>
  <c r="X1940"/>
  <c r="X1818"/>
  <c r="X1820"/>
  <c r="X1822"/>
  <c r="X1824"/>
  <c r="X1826"/>
  <c r="X1828"/>
  <c r="X1830"/>
  <c r="X1832"/>
  <c r="X1834"/>
  <c r="X1836"/>
  <c r="X1838"/>
  <c r="X1840"/>
  <c r="X1842"/>
  <c r="X1942"/>
  <c r="X1944"/>
  <c r="X1844"/>
  <c r="X1846"/>
  <c r="X1945"/>
  <c r="X1848"/>
  <c r="X1850"/>
  <c r="X1852"/>
  <c r="X1854"/>
  <c r="X1856"/>
  <c r="X1858"/>
  <c r="X1860"/>
  <c r="X1862"/>
  <c r="X1864"/>
  <c r="X1866"/>
  <c r="X1868"/>
  <c r="X1870"/>
  <c r="X1876"/>
  <c r="X1878"/>
  <c r="X1880"/>
  <c r="X1882"/>
  <c r="X1951"/>
  <c r="X1884"/>
  <c r="X1886"/>
  <c r="X1888"/>
  <c r="X1952"/>
  <c r="X1890"/>
  <c r="X1892"/>
  <c r="X1894"/>
  <c r="X1896"/>
  <c r="X1898"/>
  <c r="X1900"/>
  <c r="X1902"/>
  <c r="X1904"/>
  <c r="X1906"/>
  <c r="X1908"/>
  <c r="X1910"/>
  <c r="X1912"/>
  <c r="X1914"/>
  <c r="X1916"/>
  <c r="X1955"/>
  <c r="X1957"/>
  <c r="X1918"/>
  <c r="X1920"/>
  <c r="X1922"/>
  <c r="X1924"/>
  <c r="X1926"/>
  <c r="X1928"/>
  <c r="X1930"/>
  <c r="X1960"/>
  <c r="X1964"/>
  <c r="X1966"/>
  <c r="X1968"/>
  <c r="X1970"/>
  <c r="X1972"/>
  <c r="X1974"/>
  <c r="X1976"/>
  <c r="X1978"/>
  <c r="X1980"/>
  <c r="X1982"/>
  <c r="X1984"/>
  <c r="X1986"/>
  <c r="X1988"/>
  <c r="X1990"/>
  <c r="X1992"/>
  <c r="X1994"/>
  <c r="X1996"/>
  <c r="X1998"/>
  <c r="X2000"/>
  <c r="X2002"/>
  <c r="X2145"/>
  <c r="X2004"/>
  <c r="X2006"/>
  <c r="X1959"/>
  <c r="X2147"/>
  <c r="X2149"/>
  <c r="X2158"/>
  <c r="X2163"/>
  <c r="X2154"/>
  <c r="X2156"/>
  <c r="X2160"/>
  <c r="X2162"/>
  <c r="X2166"/>
  <c r="X2168"/>
  <c r="X1948"/>
  <c r="X2151"/>
  <c r="X2153"/>
  <c r="X2170"/>
  <c r="X2007"/>
  <c r="X2009"/>
  <c r="X2011"/>
  <c r="X2013"/>
  <c r="X2015"/>
  <c r="X2017"/>
  <c r="X2019"/>
  <c r="X2021"/>
  <c r="X2023"/>
  <c r="X2025"/>
  <c r="X2027"/>
  <c r="X2029"/>
  <c r="X2031"/>
  <c r="X2033"/>
  <c r="X2035"/>
  <c r="X2037"/>
  <c r="X2039"/>
  <c r="X2041"/>
  <c r="X2043"/>
  <c r="X2045"/>
  <c r="X2047"/>
  <c r="X2049"/>
  <c r="X2051"/>
  <c r="X2053"/>
  <c r="X2055"/>
  <c r="X2057"/>
  <c r="X2059"/>
  <c r="X2061"/>
  <c r="X2063"/>
  <c r="X2065"/>
  <c r="X2067"/>
  <c r="X2078"/>
  <c r="X2080"/>
  <c r="X2082"/>
  <c r="X2084"/>
  <c r="X2086"/>
  <c r="X2088"/>
  <c r="X2090"/>
  <c r="X2092"/>
  <c r="X2094"/>
  <c r="X2096"/>
  <c r="X2098"/>
  <c r="X2100"/>
  <c r="X2102"/>
  <c r="X2104"/>
  <c r="X2106"/>
  <c r="X2108"/>
  <c r="X2110"/>
  <c r="X2112"/>
  <c r="X2114"/>
  <c r="X2116"/>
  <c r="X2118"/>
  <c r="X2120"/>
  <c r="X2122"/>
  <c r="X2124"/>
  <c r="X2126"/>
  <c r="X2128"/>
  <c r="X2130"/>
  <c r="X2132"/>
  <c r="X2134"/>
  <c r="X2136"/>
  <c r="X2138"/>
  <c r="X2140"/>
  <c r="X2142"/>
  <c r="X2172"/>
  <c r="X2174"/>
  <c r="X2176"/>
  <c r="X2178"/>
  <c r="X2180"/>
  <c r="X2182"/>
  <c r="X2184"/>
  <c r="X2186"/>
  <c r="X2188"/>
  <c r="X2190"/>
  <c r="X2192"/>
  <c r="X2194"/>
  <c r="X2196"/>
  <c r="X2198"/>
  <c r="X2200"/>
  <c r="X2202"/>
  <c r="X2204"/>
  <c r="X2206"/>
  <c r="X2208"/>
  <c r="X2210"/>
  <c r="X2212"/>
  <c r="X2214"/>
  <c r="X2216"/>
  <c r="X2218"/>
  <c r="X2220"/>
  <c r="X2222"/>
  <c r="X2224"/>
  <c r="X2226"/>
  <c r="X2228"/>
  <c r="X2230"/>
  <c r="X2232"/>
  <c r="X2234"/>
  <c r="X2236"/>
  <c r="X2238"/>
  <c r="X2240"/>
  <c r="X2242"/>
  <c r="X2244"/>
  <c r="X2246"/>
  <c r="X2248"/>
  <c r="X2250"/>
  <c r="X2252"/>
  <c r="X2254"/>
  <c r="X2256"/>
  <c r="X2258"/>
  <c r="X2260"/>
  <c r="X2262"/>
  <c r="X2264"/>
  <c r="X2266"/>
  <c r="X2268"/>
  <c r="X2270"/>
  <c r="X2272"/>
  <c r="X2274"/>
  <c r="X2276"/>
  <c r="X2278"/>
  <c r="X2280"/>
  <c r="X2282"/>
  <c r="X2284"/>
  <c r="X2286"/>
  <c r="X2288"/>
  <c r="X2290"/>
  <c r="X2292"/>
  <c r="X2294"/>
  <c r="X2296"/>
  <c r="X2298"/>
  <c r="X2300"/>
  <c r="X2302"/>
  <c r="X2304"/>
  <c r="X2306"/>
  <c r="X2308"/>
  <c r="X2310"/>
  <c r="X2312"/>
  <c r="X2314"/>
  <c r="X2316"/>
  <c r="X2318"/>
  <c r="X2320"/>
  <c r="X2322"/>
  <c r="X2324"/>
  <c r="X2326"/>
  <c r="X2328"/>
  <c r="X2330"/>
  <c r="X2332"/>
  <c r="X2334"/>
  <c r="X2336"/>
  <c r="X2338"/>
  <c r="X2340"/>
  <c r="X2342"/>
  <c r="X2344"/>
  <c r="X1649"/>
  <c r="X1651"/>
  <c r="X1653"/>
  <c r="X1655"/>
  <c r="X1657"/>
  <c r="X1659"/>
  <c r="X1661"/>
  <c r="X1663"/>
  <c r="X1671"/>
  <c r="X1677"/>
  <c r="X1678"/>
  <c r="X1684"/>
  <c r="X1690"/>
  <c r="X1696"/>
  <c r="X1700"/>
  <c r="X1694"/>
  <c r="X1669"/>
  <c r="X1675"/>
  <c r="X1679"/>
  <c r="X1685"/>
  <c r="X1665"/>
  <c r="X1703"/>
  <c r="X1698"/>
  <c r="X1667"/>
  <c r="X1673"/>
  <c r="X1692"/>
  <c r="X1683"/>
  <c r="X1689"/>
  <c r="X1705"/>
  <c r="X1707"/>
  <c r="X1709"/>
  <c r="X1711"/>
  <c r="X1713"/>
  <c r="X1715"/>
  <c r="X1717"/>
  <c r="X1719"/>
  <c r="X1721"/>
  <c r="X1723"/>
  <c r="X1725"/>
  <c r="X1727"/>
  <c r="X1729"/>
  <c r="X1731"/>
  <c r="X1733"/>
  <c r="X1735"/>
  <c r="X1737"/>
  <c r="X1739"/>
  <c r="X1741"/>
  <c r="X1743"/>
  <c r="X1745"/>
  <c r="X1747"/>
  <c r="X1749"/>
  <c r="X1751"/>
  <c r="X1753"/>
  <c r="X1755"/>
  <c r="X1757"/>
  <c r="X1759"/>
  <c r="X1761"/>
  <c r="X1763"/>
  <c r="X1766"/>
  <c r="X1768"/>
  <c r="X1770"/>
  <c r="X1772"/>
  <c r="X1774"/>
  <c r="X1776"/>
  <c r="X1778"/>
  <c r="X1780"/>
  <c r="X1782"/>
  <c r="X1784"/>
  <c r="X1786"/>
  <c r="X1788"/>
  <c r="X1790"/>
  <c r="X1937"/>
  <c r="X1792"/>
  <c r="X1794"/>
  <c r="X1797"/>
  <c r="X1799"/>
  <c r="X1801"/>
  <c r="X1803"/>
  <c r="X1805"/>
  <c r="X1807"/>
  <c r="X1809"/>
  <c r="X1811"/>
  <c r="X1813"/>
  <c r="X1815"/>
  <c r="X1939"/>
  <c r="X1817"/>
  <c r="X1819"/>
  <c r="X1821"/>
  <c r="X1823"/>
  <c r="X1825"/>
  <c r="X1827"/>
  <c r="X1829"/>
  <c r="X1831"/>
  <c r="X1833"/>
  <c r="X1835"/>
  <c r="X1837"/>
  <c r="X1839"/>
  <c r="X1841"/>
  <c r="X1941"/>
  <c r="X1943"/>
  <c r="X1843"/>
  <c r="X1845"/>
  <c r="X1847"/>
  <c r="X1946"/>
  <c r="X1849"/>
  <c r="X1851"/>
  <c r="X1853"/>
  <c r="X1855"/>
  <c r="X1857"/>
  <c r="X1859"/>
  <c r="X1861"/>
  <c r="X1863"/>
  <c r="X1865"/>
  <c r="X1867"/>
  <c r="X1869"/>
  <c r="X1877"/>
  <c r="X1879"/>
  <c r="X1881"/>
  <c r="X1950"/>
  <c r="X1883"/>
  <c r="X1885"/>
  <c r="X1887"/>
  <c r="X1889"/>
  <c r="X1953"/>
  <c r="X1891"/>
  <c r="X1893"/>
  <c r="X1895"/>
  <c r="X1897"/>
  <c r="X1899"/>
  <c r="X1901"/>
  <c r="X1903"/>
  <c r="X1905"/>
  <c r="X1907"/>
  <c r="X1909"/>
  <c r="X1911"/>
  <c r="X1913"/>
  <c r="X1915"/>
  <c r="X1954"/>
  <c r="X1956"/>
  <c r="X1917"/>
  <c r="X1919"/>
  <c r="X1921"/>
  <c r="X1923"/>
  <c r="X1925"/>
  <c r="X1927"/>
  <c r="X1929"/>
  <c r="X1931"/>
  <c r="X1961"/>
  <c r="X1965"/>
  <c r="X1967"/>
  <c r="X1969"/>
  <c r="X1971"/>
  <c r="X1973"/>
  <c r="X1975"/>
  <c r="X1977"/>
  <c r="X1979"/>
  <c r="X1981"/>
  <c r="X1983"/>
  <c r="X1985"/>
  <c r="X1987"/>
  <c r="X1989"/>
  <c r="X1991"/>
  <c r="X1993"/>
  <c r="X1995"/>
  <c r="X1997"/>
  <c r="X1999"/>
  <c r="X2001"/>
  <c r="X2144"/>
  <c r="X2003"/>
  <c r="X2005"/>
  <c r="X1958"/>
  <c r="X2146"/>
  <c r="X2148"/>
  <c r="X2150"/>
  <c r="X2159"/>
  <c r="X2164"/>
  <c r="X2155"/>
  <c r="X2157"/>
  <c r="X2161"/>
  <c r="X2165"/>
  <c r="X2167"/>
  <c r="X1947"/>
  <c r="X1949"/>
  <c r="X2152"/>
  <c r="X2169"/>
  <c r="X2171"/>
  <c r="X2008"/>
  <c r="X2010"/>
  <c r="X2012"/>
  <c r="X2014"/>
  <c r="X2016"/>
  <c r="X2018"/>
  <c r="X2020"/>
  <c r="X2022"/>
  <c r="X2024"/>
  <c r="X2026"/>
  <c r="X2028"/>
  <c r="X2030"/>
  <c r="X2032"/>
  <c r="X2034"/>
  <c r="X2036"/>
  <c r="X2038"/>
  <c r="X2040"/>
  <c r="X2042"/>
  <c r="X2044"/>
  <c r="X2046"/>
  <c r="X2048"/>
  <c r="X2050"/>
  <c r="X2052"/>
  <c r="X2054"/>
  <c r="X2056"/>
  <c r="X2058"/>
  <c r="X2060"/>
  <c r="X2062"/>
  <c r="X2064"/>
  <c r="X2066"/>
  <c r="X2068"/>
  <c r="X2079"/>
  <c r="X2081"/>
  <c r="X2083"/>
  <c r="X2085"/>
  <c r="X2087"/>
  <c r="X2089"/>
  <c r="X2091"/>
  <c r="X2093"/>
  <c r="X2095"/>
  <c r="X2097"/>
  <c r="X2099"/>
  <c r="X2101"/>
  <c r="X2103"/>
  <c r="X2105"/>
  <c r="X2107"/>
  <c r="X2109"/>
  <c r="X2111"/>
  <c r="X2113"/>
  <c r="X2115"/>
  <c r="X2117"/>
  <c r="X2119"/>
  <c r="X2121"/>
  <c r="X2123"/>
  <c r="X2125"/>
  <c r="X2127"/>
  <c r="X2129"/>
  <c r="X2131"/>
  <c r="X2133"/>
  <c r="X2135"/>
  <c r="X2137"/>
  <c r="X2139"/>
  <c r="X2141"/>
  <c r="X2143"/>
  <c r="X2173"/>
  <c r="X2175"/>
  <c r="X2177"/>
  <c r="X2179"/>
  <c r="X2181"/>
  <c r="X2183"/>
  <c r="X2185"/>
  <c r="X2187"/>
  <c r="X2189"/>
  <c r="X2191"/>
  <c r="X2193"/>
  <c r="X2195"/>
  <c r="X2197"/>
  <c r="X2199"/>
  <c r="X2201"/>
  <c r="X2203"/>
  <c r="X2205"/>
  <c r="X2207"/>
  <c r="X2209"/>
  <c r="X2211"/>
  <c r="X2213"/>
  <c r="X2215"/>
  <c r="X2217"/>
  <c r="X2219"/>
  <c r="X2221"/>
  <c r="X2223"/>
  <c r="X2225"/>
  <c r="X2227"/>
  <c r="X2229"/>
  <c r="X2231"/>
  <c r="X2233"/>
  <c r="X2235"/>
  <c r="X2237"/>
  <c r="X2239"/>
  <c r="X2241"/>
  <c r="X2243"/>
  <c r="X2245"/>
  <c r="X2247"/>
  <c r="X2249"/>
  <c r="X2251"/>
  <c r="X2253"/>
  <c r="X2255"/>
  <c r="X2257"/>
  <c r="X2259"/>
  <c r="X2261"/>
  <c r="X2263"/>
  <c r="X2265"/>
  <c r="X2267"/>
  <c r="X2269"/>
  <c r="X2271"/>
  <c r="X2273"/>
  <c r="X2275"/>
  <c r="X2277"/>
  <c r="X2279"/>
  <c r="X2281"/>
  <c r="X2283"/>
  <c r="X2285"/>
  <c r="X2287"/>
  <c r="X2289"/>
  <c r="X2291"/>
  <c r="X2293"/>
  <c r="X2295"/>
  <c r="X2297"/>
  <c r="X2299"/>
  <c r="X2301"/>
  <c r="X2303"/>
  <c r="X2305"/>
  <c r="X2307"/>
  <c r="X2309"/>
  <c r="X2311"/>
  <c r="X2313"/>
  <c r="X2315"/>
  <c r="X2317"/>
  <c r="X2319"/>
  <c r="X2321"/>
  <c r="X2329"/>
  <c r="X2337"/>
  <c r="X2345"/>
  <c r="X2347"/>
  <c r="X2349"/>
  <c r="X2351"/>
  <c r="X2353"/>
  <c r="X2355"/>
  <c r="X2357"/>
  <c r="X2359"/>
  <c r="X2361"/>
  <c r="X2363"/>
  <c r="X2365"/>
  <c r="X2367"/>
  <c r="X2369"/>
  <c r="X2371"/>
  <c r="X2373"/>
  <c r="X2375"/>
  <c r="X2377"/>
  <c r="X2379"/>
  <c r="X2381"/>
  <c r="X2383"/>
  <c r="X2385"/>
  <c r="X2387"/>
  <c r="X2389"/>
  <c r="X2391"/>
  <c r="X2393"/>
  <c r="X2395"/>
  <c r="X2397"/>
  <c r="X2399"/>
  <c r="X2401"/>
  <c r="X2403"/>
  <c r="X2405"/>
  <c r="X2407"/>
  <c r="X2409"/>
  <c r="X2411"/>
  <c r="X2413"/>
  <c r="X2415"/>
  <c r="X2417"/>
  <c r="X2419"/>
  <c r="X2421"/>
  <c r="X2423"/>
  <c r="X2425"/>
  <c r="X2427"/>
  <c r="X2429"/>
  <c r="X2431"/>
  <c r="X2433"/>
  <c r="X2435"/>
  <c r="X2437"/>
  <c r="X2439"/>
  <c r="X2441"/>
  <c r="X2443"/>
  <c r="X2445"/>
  <c r="X2447"/>
  <c r="X2449"/>
  <c r="X2451"/>
  <c r="X2453"/>
  <c r="X2455"/>
  <c r="X2457"/>
  <c r="X2459"/>
  <c r="X2461"/>
  <c r="X2463"/>
  <c r="X2465"/>
  <c r="X2467"/>
  <c r="X2469"/>
  <c r="X2471"/>
  <c r="X2473"/>
  <c r="X2475"/>
  <c r="X2477"/>
  <c r="X2479"/>
  <c r="X2481"/>
  <c r="X2483"/>
  <c r="X2485"/>
  <c r="X2487"/>
  <c r="X2489"/>
  <c r="X2491"/>
  <c r="X2493"/>
  <c r="X2495"/>
  <c r="X2497"/>
  <c r="X2499"/>
  <c r="X2501"/>
  <c r="X2503"/>
  <c r="X2505"/>
  <c r="X2507"/>
  <c r="X2509"/>
  <c r="X2511"/>
  <c r="X2513"/>
  <c r="X2515"/>
  <c r="X2517"/>
  <c r="X2519"/>
  <c r="X2521"/>
  <c r="X2523"/>
  <c r="X2525"/>
  <c r="X2527"/>
  <c r="X2529"/>
  <c r="X2531"/>
  <c r="X2533"/>
  <c r="X2535"/>
  <c r="X2537"/>
  <c r="X2539"/>
  <c r="X2541"/>
  <c r="X2543"/>
  <c r="X2545"/>
  <c r="X2547"/>
  <c r="X2549"/>
  <c r="X2551"/>
  <c r="X2553"/>
  <c r="X2555"/>
  <c r="X2557"/>
  <c r="X2559"/>
  <c r="X2561"/>
  <c r="X2563"/>
  <c r="X2565"/>
  <c r="X2567"/>
  <c r="X2569"/>
  <c r="X2571"/>
  <c r="X2573"/>
  <c r="X2575"/>
  <c r="X2577"/>
  <c r="X2579"/>
  <c r="X2581"/>
  <c r="X2583"/>
  <c r="X2585"/>
  <c r="X2587"/>
  <c r="X2589"/>
  <c r="X2591"/>
  <c r="X2593"/>
  <c r="X2595"/>
  <c r="X2597"/>
  <c r="X2599"/>
  <c r="X2601"/>
  <c r="X2603"/>
  <c r="X2605"/>
  <c r="X2607"/>
  <c r="X2609"/>
  <c r="X2611"/>
  <c r="X2613"/>
  <c r="X2615"/>
  <c r="X2617"/>
  <c r="X2619"/>
  <c r="X2621"/>
  <c r="X2623"/>
  <c r="X2625"/>
  <c r="X2627"/>
  <c r="X2629"/>
  <c r="X2631"/>
  <c r="X2633"/>
  <c r="X2635"/>
  <c r="X2637"/>
  <c r="X2639"/>
  <c r="X2641"/>
  <c r="X2643"/>
  <c r="X2645"/>
  <c r="X2647"/>
  <c r="X2649"/>
  <c r="X2651"/>
  <c r="X2653"/>
  <c r="X2655"/>
  <c r="X2657"/>
  <c r="X2659"/>
  <c r="X2661"/>
  <c r="X2663"/>
  <c r="X2665"/>
  <c r="X2667"/>
  <c r="X2669"/>
  <c r="X2671"/>
  <c r="X2673"/>
  <c r="X2327"/>
  <c r="X2335"/>
  <c r="X2343"/>
  <c r="X2325"/>
  <c r="X2333"/>
  <c r="X2341"/>
  <c r="X2346"/>
  <c r="X2348"/>
  <c r="X2350"/>
  <c r="X2352"/>
  <c r="X2354"/>
  <c r="X2356"/>
  <c r="X2358"/>
  <c r="X2360"/>
  <c r="X2362"/>
  <c r="X2364"/>
  <c r="X2366"/>
  <c r="X2368"/>
  <c r="X2370"/>
  <c r="X2372"/>
  <c r="X2374"/>
  <c r="X2376"/>
  <c r="X2378"/>
  <c r="X2380"/>
  <c r="X2382"/>
  <c r="X2384"/>
  <c r="X2386"/>
  <c r="X2388"/>
  <c r="X2390"/>
  <c r="X2392"/>
  <c r="X2394"/>
  <c r="X2396"/>
  <c r="X2398"/>
  <c r="X2400"/>
  <c r="X2402"/>
  <c r="X2404"/>
  <c r="X2406"/>
  <c r="X2408"/>
  <c r="X2410"/>
  <c r="X2412"/>
  <c r="X2414"/>
  <c r="X2416"/>
  <c r="X2418"/>
  <c r="X2420"/>
  <c r="X2422"/>
  <c r="X2424"/>
  <c r="X2426"/>
  <c r="X2428"/>
  <c r="X2430"/>
  <c r="X2432"/>
  <c r="X2434"/>
  <c r="X2436"/>
  <c r="X2438"/>
  <c r="X2440"/>
  <c r="X2442"/>
  <c r="X2444"/>
  <c r="X2446"/>
  <c r="X2448"/>
  <c r="X2450"/>
  <c r="X2452"/>
  <c r="X2454"/>
  <c r="X2456"/>
  <c r="X2458"/>
  <c r="X2460"/>
  <c r="X2462"/>
  <c r="X2464"/>
  <c r="X2466"/>
  <c r="X2468"/>
  <c r="X2470"/>
  <c r="X2472"/>
  <c r="X2474"/>
  <c r="X2476"/>
  <c r="X2478"/>
  <c r="X2480"/>
  <c r="X2482"/>
  <c r="X2484"/>
  <c r="X2486"/>
  <c r="X2488"/>
  <c r="X2490"/>
  <c r="X2492"/>
  <c r="X2494"/>
  <c r="X2496"/>
  <c r="X2498"/>
  <c r="X2500"/>
  <c r="X2502"/>
  <c r="X2504"/>
  <c r="X2506"/>
  <c r="X2508"/>
  <c r="X2510"/>
  <c r="X2512"/>
  <c r="X2514"/>
  <c r="X2516"/>
  <c r="X2518"/>
  <c r="X2520"/>
  <c r="X2522"/>
  <c r="X2524"/>
  <c r="X2526"/>
  <c r="X2528"/>
  <c r="X2530"/>
  <c r="X2532"/>
  <c r="X2534"/>
  <c r="X2536"/>
  <c r="X2538"/>
  <c r="X2540"/>
  <c r="X2542"/>
  <c r="X2544"/>
  <c r="X2546"/>
  <c r="X2548"/>
  <c r="X2550"/>
  <c r="X2552"/>
  <c r="X2554"/>
  <c r="X2556"/>
  <c r="X2558"/>
  <c r="X2560"/>
  <c r="X2562"/>
  <c r="X2564"/>
  <c r="X2566"/>
  <c r="X2568"/>
  <c r="X2570"/>
  <c r="X2572"/>
  <c r="X2574"/>
  <c r="X2576"/>
  <c r="X2578"/>
  <c r="X2580"/>
  <c r="X2582"/>
  <c r="X2584"/>
  <c r="X2586"/>
  <c r="X2588"/>
  <c r="X2590"/>
  <c r="X2592"/>
  <c r="X2594"/>
  <c r="X2596"/>
  <c r="X2598"/>
  <c r="X2600"/>
  <c r="X2602"/>
  <c r="X2604"/>
  <c r="X2606"/>
  <c r="X2608"/>
  <c r="X2610"/>
  <c r="X2612"/>
  <c r="X2614"/>
  <c r="X2616"/>
  <c r="X2618"/>
  <c r="X2620"/>
  <c r="X2622"/>
  <c r="X2624"/>
  <c r="X2626"/>
  <c r="X2628"/>
  <c r="X2630"/>
  <c r="X2632"/>
  <c r="X2634"/>
  <c r="X2636"/>
  <c r="X2638"/>
  <c r="X2640"/>
  <c r="X2642"/>
  <c r="X2644"/>
  <c r="X2646"/>
  <c r="X2648"/>
  <c r="X2650"/>
  <c r="X2652"/>
  <c r="X2654"/>
  <c r="X2656"/>
  <c r="X2658"/>
  <c r="X2660"/>
  <c r="X2662"/>
  <c r="X2664"/>
  <c r="X2666"/>
  <c r="X2668"/>
  <c r="X2670"/>
  <c r="X2672"/>
  <c r="X2674"/>
  <c r="X2676"/>
  <c r="X2678"/>
  <c r="X2323"/>
  <c r="X2331"/>
  <c r="X2339"/>
  <c r="X2679"/>
  <c r="X2681"/>
  <c r="X2683"/>
  <c r="X2685"/>
  <c r="X2687"/>
  <c r="X2689"/>
  <c r="X2691"/>
  <c r="X2693"/>
  <c r="X2695"/>
  <c r="X2697"/>
  <c r="X2699"/>
  <c r="X2701"/>
  <c r="X2703"/>
  <c r="X2705"/>
  <c r="X2707"/>
  <c r="X2709"/>
  <c r="X2711"/>
  <c r="X2713"/>
  <c r="X2715"/>
  <c r="X2717"/>
  <c r="X2719"/>
  <c r="X2721"/>
  <c r="X2723"/>
  <c r="X2725"/>
  <c r="X2727"/>
  <c r="X2729"/>
  <c r="X2731"/>
  <c r="X2733"/>
  <c r="X2735"/>
  <c r="X2737"/>
  <c r="X2739"/>
  <c r="X2741"/>
  <c r="X2743"/>
  <c r="X2745"/>
  <c r="X2747"/>
  <c r="X2749"/>
  <c r="X2751"/>
  <c r="X2753"/>
  <c r="X2755"/>
  <c r="X2757"/>
  <c r="X2759"/>
  <c r="X2761"/>
  <c r="X2763"/>
  <c r="X2765"/>
  <c r="X2767"/>
  <c r="X2769"/>
  <c r="X2771"/>
  <c r="X2773"/>
  <c r="X2775"/>
  <c r="X2777"/>
  <c r="X2779"/>
  <c r="X2781"/>
  <c r="X2783"/>
  <c r="X2785"/>
  <c r="X2787"/>
  <c r="X2789"/>
  <c r="X2791"/>
  <c r="X2793"/>
  <c r="X2795"/>
  <c r="X2797"/>
  <c r="X2799"/>
  <c r="X2801"/>
  <c r="X2803"/>
  <c r="X2805"/>
  <c r="X2807"/>
  <c r="X2809"/>
  <c r="X2811"/>
  <c r="X2813"/>
  <c r="X2815"/>
  <c r="X2817"/>
  <c r="X2819"/>
  <c r="X2821"/>
  <c r="X2823"/>
  <c r="X2825"/>
  <c r="X2827"/>
  <c r="X2829"/>
  <c r="X2677"/>
  <c r="X2675"/>
  <c r="X2680"/>
  <c r="X2682"/>
  <c r="X2684"/>
  <c r="X2686"/>
  <c r="X2688"/>
  <c r="X2690"/>
  <c r="X2692"/>
  <c r="X2694"/>
  <c r="X2696"/>
  <c r="X2698"/>
  <c r="X2700"/>
  <c r="X2702"/>
  <c r="X2704"/>
  <c r="X2706"/>
  <c r="X2708"/>
  <c r="X2710"/>
  <c r="X2712"/>
  <c r="X2714"/>
  <c r="X2716"/>
  <c r="X2718"/>
  <c r="X2720"/>
  <c r="X2722"/>
  <c r="X2724"/>
  <c r="X2726"/>
  <c r="X2728"/>
  <c r="X2730"/>
  <c r="X2732"/>
  <c r="X2734"/>
  <c r="X2736"/>
  <c r="X2738"/>
  <c r="X2740"/>
  <c r="X2742"/>
  <c r="X2744"/>
  <c r="X2746"/>
  <c r="X2748"/>
  <c r="X2750"/>
  <c r="X2752"/>
  <c r="X2754"/>
  <c r="X2756"/>
  <c r="X2758"/>
  <c r="X2760"/>
  <c r="X2762"/>
  <c r="X2764"/>
  <c r="X2766"/>
  <c r="X2768"/>
  <c r="X2770"/>
  <c r="X2772"/>
  <c r="X2774"/>
  <c r="X2776"/>
  <c r="X2778"/>
  <c r="X2780"/>
  <c r="X2782"/>
  <c r="X2784"/>
  <c r="X2786"/>
  <c r="X2788"/>
  <c r="X2790"/>
  <c r="X2792"/>
  <c r="X2794"/>
  <c r="X2796"/>
  <c r="X2798"/>
  <c r="X2800"/>
  <c r="X2802"/>
  <c r="X2804"/>
  <c r="X2806"/>
  <c r="X2808"/>
  <c r="X2810"/>
  <c r="X2812"/>
  <c r="X2814"/>
  <c r="X2816"/>
  <c r="X2818"/>
  <c r="X2820"/>
  <c r="X2822"/>
  <c r="X2824"/>
  <c r="X2826"/>
  <c r="X2828"/>
  <c r="X2830"/>
  <c r="I69" i="55"/>
  <c r="L47" i="60"/>
  <c r="A113"/>
  <c r="A114" s="1"/>
  <c r="A115" s="1"/>
  <c r="A116" s="1"/>
  <c r="A117" s="1"/>
  <c r="A118" s="1"/>
  <c r="A119" s="1"/>
  <c r="A120" s="1"/>
  <c r="A121" s="1"/>
  <c r="A122" s="1"/>
  <c r="A123" s="1"/>
  <c r="A124" s="1"/>
  <c r="A125" s="1"/>
  <c r="AA11" i="34"/>
  <c r="A12"/>
  <c r="A14"/>
  <c r="A21"/>
  <c r="A13"/>
  <c r="A15"/>
  <c r="X11"/>
  <c r="A11"/>
  <c r="R11"/>
  <c r="S11"/>
  <c r="Q11"/>
  <c r="D29" i="14"/>
  <c r="A27"/>
  <c r="B25"/>
  <c r="C23"/>
  <c r="C21"/>
  <c r="D18"/>
  <c r="A16"/>
  <c r="C29"/>
  <c r="E25"/>
  <c r="G23"/>
  <c r="G21"/>
  <c r="H19"/>
  <c r="D17"/>
  <c r="H30"/>
  <c r="H28"/>
  <c r="H26"/>
  <c r="A24"/>
  <c r="A22"/>
  <c r="A20"/>
  <c r="B18"/>
  <c r="C16"/>
  <c r="B30"/>
  <c r="B28"/>
  <c r="B26"/>
  <c r="D23"/>
  <c r="E19"/>
  <c r="G17"/>
  <c r="E15"/>
  <c r="A15"/>
  <c r="E28"/>
  <c r="E26"/>
  <c r="H24"/>
  <c r="H22"/>
  <c r="H20"/>
  <c r="E17"/>
  <c r="D15"/>
  <c r="D28"/>
  <c r="A25"/>
  <c r="B23"/>
  <c r="B21"/>
  <c r="C19"/>
  <c r="D16"/>
  <c r="C30"/>
  <c r="C28"/>
  <c r="C26"/>
  <c r="E23"/>
  <c r="E21"/>
  <c r="G19"/>
  <c r="H17"/>
  <c r="G15"/>
  <c r="E29"/>
  <c r="G27"/>
  <c r="H25"/>
  <c r="D22"/>
  <c r="A19"/>
  <c r="B17"/>
  <c r="E30"/>
  <c r="A28"/>
  <c r="A26"/>
  <c r="C24"/>
  <c r="C22"/>
  <c r="C20"/>
  <c r="A17"/>
  <c r="D30"/>
  <c r="D27"/>
  <c r="G24"/>
  <c r="G22"/>
  <c r="G20"/>
  <c r="H18"/>
  <c r="H15"/>
  <c r="G29"/>
  <c r="H27"/>
  <c r="D25"/>
  <c r="A23"/>
  <c r="A21"/>
  <c r="B19"/>
  <c r="C17"/>
  <c r="B15"/>
  <c r="A29"/>
  <c r="B27"/>
  <c r="C25"/>
  <c r="D21"/>
  <c r="E18"/>
  <c r="G16"/>
  <c r="A30"/>
  <c r="E27"/>
  <c r="G25"/>
  <c r="H23"/>
  <c r="H21"/>
  <c r="D19"/>
  <c r="E16"/>
  <c r="H29"/>
  <c r="D26"/>
  <c r="B24"/>
  <c r="B22"/>
  <c r="B20"/>
  <c r="C18"/>
  <c r="C15"/>
  <c r="B29"/>
  <c r="C27"/>
  <c r="E24"/>
  <c r="E22"/>
  <c r="E20"/>
  <c r="G18"/>
  <c r="H16"/>
  <c r="G30"/>
  <c r="G28"/>
  <c r="G26"/>
  <c r="D24"/>
  <c r="D20"/>
  <c r="A18"/>
  <c r="B16"/>
  <c r="L71" i="60"/>
  <c r="L70"/>
  <c r="L69"/>
  <c r="L68"/>
  <c r="D75" i="15"/>
  <c r="D78" s="1"/>
  <c r="C75"/>
  <c r="C78" s="1"/>
  <c r="B31" i="14"/>
  <c r="D31"/>
  <c r="G31"/>
  <c r="B32"/>
  <c r="D32"/>
  <c r="G32"/>
  <c r="A33"/>
  <c r="C33"/>
  <c r="E33"/>
  <c r="H33"/>
  <c r="A31"/>
  <c r="C31"/>
  <c r="E31"/>
  <c r="H31"/>
  <c r="A32"/>
  <c r="C32"/>
  <c r="E32"/>
  <c r="H32"/>
  <c r="B33"/>
  <c r="D33"/>
  <c r="G33"/>
  <c r="F36" i="56"/>
  <c r="F29"/>
  <c r="A11"/>
  <c r="F30"/>
  <c r="A34" i="14"/>
  <c r="A38"/>
  <c r="A37"/>
  <c r="A36"/>
  <c r="A35"/>
  <c r="A14"/>
  <c r="G2" i="56"/>
  <c r="A10"/>
  <c r="H203" i="60"/>
  <c r="F15" i="56"/>
  <c r="H30"/>
  <c r="V291" i="60"/>
  <c r="I287" s="1"/>
  <c r="V122"/>
  <c r="I127" s="1"/>
  <c r="V76"/>
  <c r="I72" s="1"/>
  <c r="L262"/>
  <c r="V273"/>
  <c r="V213"/>
  <c r="I208" s="1"/>
  <c r="V178"/>
  <c r="I176" s="1"/>
  <c r="I174" s="1"/>
  <c r="V266"/>
  <c r="I262" s="1"/>
  <c r="V95"/>
  <c r="I93" s="1"/>
  <c r="V240"/>
  <c r="I236" s="1"/>
  <c r="V299"/>
  <c r="L289" s="1"/>
  <c r="V150"/>
  <c r="I150" s="1"/>
  <c r="L48"/>
  <c r="B286" i="34"/>
  <c r="B302"/>
  <c r="B289"/>
  <c r="B293"/>
  <c r="B297"/>
  <c r="B301"/>
  <c r="B310"/>
  <c r="B313"/>
  <c r="B483"/>
  <c r="B485"/>
  <c r="B487"/>
  <c r="B200"/>
  <c r="B202"/>
  <c r="B204"/>
  <c r="B206"/>
  <c r="B829"/>
  <c r="B306"/>
  <c r="B820"/>
  <c r="B290"/>
  <c r="B298"/>
  <c r="B304"/>
  <c r="B308"/>
  <c r="B287"/>
  <c r="B291"/>
  <c r="B295"/>
  <c r="B299"/>
  <c r="B309"/>
  <c r="B311"/>
  <c r="B314"/>
  <c r="B484"/>
  <c r="B486"/>
  <c r="B488"/>
  <c r="B201"/>
  <c r="B203"/>
  <c r="B205"/>
  <c r="B294"/>
  <c r="B819"/>
  <c r="B821"/>
  <c r="B830"/>
  <c r="B288"/>
  <c r="B292"/>
  <c r="B296"/>
  <c r="B300"/>
  <c r="B303"/>
  <c r="B305"/>
  <c r="B307"/>
  <c r="F13" i="57"/>
  <c r="V56" i="60"/>
  <c r="I52" s="1"/>
  <c r="M14" i="34"/>
  <c r="M12"/>
  <c r="M15"/>
  <c r="M13"/>
  <c r="A12" i="55"/>
  <c r="A13"/>
  <c r="A72"/>
  <c r="B73"/>
  <c r="B57"/>
  <c r="A71"/>
  <c r="D52" i="60"/>
  <c r="D287"/>
  <c r="G280"/>
  <c r="G141"/>
  <c r="G229"/>
  <c r="D236"/>
  <c r="G86"/>
  <c r="G202"/>
  <c r="D208"/>
  <c r="G255"/>
  <c r="G262" s="1"/>
  <c r="D262"/>
  <c r="D72"/>
  <c r="G111"/>
  <c r="H29"/>
  <c r="H30"/>
  <c r="K29"/>
  <c r="J29"/>
  <c r="K30"/>
  <c r="J30"/>
  <c r="I29"/>
  <c r="I30"/>
  <c r="K8"/>
  <c r="H7"/>
  <c r="K9"/>
  <c r="I8"/>
  <c r="K7"/>
  <c r="J9"/>
  <c r="H8"/>
  <c r="J7"/>
  <c r="I9"/>
  <c r="I7"/>
  <c r="H9"/>
  <c r="J8"/>
  <c r="I101" i="55"/>
  <c r="S10" i="34"/>
  <c r="R10"/>
  <c r="Q10"/>
  <c r="X10"/>
  <c r="M9" i="62"/>
  <c r="K82" i="55"/>
  <c r="K16"/>
  <c r="K29"/>
  <c r="K73"/>
  <c r="K27"/>
  <c r="K39"/>
  <c r="K48"/>
  <c r="K14"/>
  <c r="K15"/>
  <c r="K18"/>
  <c r="K19"/>
  <c r="K26"/>
  <c r="K33"/>
  <c r="K34"/>
  <c r="K77"/>
  <c r="K57"/>
  <c r="K58"/>
  <c r="K74"/>
  <c r="K75"/>
  <c r="H38" i="14"/>
  <c r="C38"/>
  <c r="E37"/>
  <c r="H36"/>
  <c r="C36"/>
  <c r="E35"/>
  <c r="H34"/>
  <c r="C34"/>
  <c r="H14"/>
  <c r="C14"/>
  <c r="G38"/>
  <c r="H37"/>
  <c r="B37"/>
  <c r="B36"/>
  <c r="C35"/>
  <c r="D34"/>
  <c r="G14"/>
  <c r="D14"/>
  <c r="E34"/>
  <c r="G35"/>
  <c r="G36"/>
  <c r="B38"/>
  <c r="K6" i="62"/>
  <c r="K11"/>
  <c r="E14" i="14"/>
  <c r="G34"/>
  <c r="H35"/>
  <c r="C37"/>
  <c r="D38"/>
  <c r="B35"/>
  <c r="D36"/>
  <c r="D37"/>
  <c r="E38"/>
  <c r="M5" i="62"/>
  <c r="B14" i="14"/>
  <c r="B34"/>
  <c r="D35"/>
  <c r="E36"/>
  <c r="G37"/>
  <c r="I54" i="55"/>
  <c r="K13"/>
  <c r="K17"/>
  <c r="K28"/>
  <c r="K36"/>
  <c r="K59"/>
  <c r="K60"/>
  <c r="K76"/>
  <c r="K71"/>
  <c r="G101"/>
  <c r="G54"/>
  <c r="K12"/>
  <c r="K43"/>
  <c r="K56"/>
  <c r="K72"/>
  <c r="K8" i="62"/>
  <c r="M8"/>
  <c r="K9"/>
  <c r="K5"/>
  <c r="M6"/>
  <c r="M7"/>
  <c r="K10"/>
  <c r="M10"/>
  <c r="K7"/>
  <c r="M11"/>
  <c r="I21"/>
  <c r="G21"/>
  <c r="M9" i="45"/>
  <c r="M10"/>
  <c r="M11"/>
  <c r="M12"/>
  <c r="M13"/>
  <c r="M14"/>
  <c r="M15"/>
  <c r="M16"/>
  <c r="M17"/>
  <c r="M18"/>
  <c r="M20"/>
  <c r="M21"/>
  <c r="M25"/>
  <c r="M26"/>
  <c r="M28"/>
  <c r="O29"/>
  <c r="O27"/>
  <c r="M29"/>
  <c r="O9"/>
  <c r="O10"/>
  <c r="O11"/>
  <c r="O12"/>
  <c r="O13"/>
  <c r="O14"/>
  <c r="O15"/>
  <c r="O16"/>
  <c r="O17"/>
  <c r="O18"/>
  <c r="O20"/>
  <c r="O21"/>
  <c r="O25"/>
  <c r="O26"/>
  <c r="O28"/>
  <c r="M27"/>
  <c r="H13" i="61"/>
  <c r="H14" s="1"/>
  <c r="C13"/>
  <c r="C14" s="1"/>
  <c r="D12"/>
  <c r="F12"/>
  <c r="E12"/>
  <c r="G12"/>
  <c r="N174" i="60" l="1"/>
  <c r="P174" s="1"/>
  <c r="T829" i="34"/>
  <c r="U829"/>
  <c r="V829"/>
  <c r="T830"/>
  <c r="U830"/>
  <c r="V830"/>
  <c r="V821"/>
  <c r="T821"/>
  <c r="U821"/>
  <c r="V820"/>
  <c r="T820"/>
  <c r="U820"/>
  <c r="V819"/>
  <c r="T819"/>
  <c r="U819"/>
  <c r="G93" i="60"/>
  <c r="S303" i="34"/>
  <c r="Q303"/>
  <c r="R303"/>
  <c r="R288"/>
  <c r="S288"/>
  <c r="Q288"/>
  <c r="Q294"/>
  <c r="R294"/>
  <c r="S294"/>
  <c r="S488"/>
  <c r="Q488"/>
  <c r="R488"/>
  <c r="S311"/>
  <c r="Q311"/>
  <c r="R311"/>
  <c r="S291"/>
  <c r="Q291"/>
  <c r="R291"/>
  <c r="Q298"/>
  <c r="R298"/>
  <c r="S298"/>
  <c r="Q829"/>
  <c r="R829"/>
  <c r="S829"/>
  <c r="R200"/>
  <c r="S200"/>
  <c r="Q200"/>
  <c r="Q313"/>
  <c r="R313"/>
  <c r="S313"/>
  <c r="Q293"/>
  <c r="R293"/>
  <c r="S293"/>
  <c r="R300"/>
  <c r="S300"/>
  <c r="Q300"/>
  <c r="Q830"/>
  <c r="R830"/>
  <c r="S830"/>
  <c r="Q205"/>
  <c r="R205"/>
  <c r="S205"/>
  <c r="Q486"/>
  <c r="R486"/>
  <c r="S486"/>
  <c r="Q309"/>
  <c r="R309"/>
  <c r="S309"/>
  <c r="S287"/>
  <c r="Q287"/>
  <c r="R287"/>
  <c r="Q290"/>
  <c r="R290"/>
  <c r="S290"/>
  <c r="Q206"/>
  <c r="R206"/>
  <c r="S206"/>
  <c r="Q487"/>
  <c r="R487"/>
  <c r="S487"/>
  <c r="Q310"/>
  <c r="R310"/>
  <c r="S310"/>
  <c r="Q289"/>
  <c r="R289"/>
  <c r="S289"/>
  <c r="S307"/>
  <c r="Q307"/>
  <c r="R307"/>
  <c r="R296"/>
  <c r="S296"/>
  <c r="Q296"/>
  <c r="Q821"/>
  <c r="R821"/>
  <c r="S821"/>
  <c r="S203"/>
  <c r="Q203"/>
  <c r="R203"/>
  <c r="S484"/>
  <c r="Q484"/>
  <c r="R484"/>
  <c r="S299"/>
  <c r="Q299"/>
  <c r="R299"/>
  <c r="R308"/>
  <c r="S308"/>
  <c r="Q308"/>
  <c r="R820"/>
  <c r="S820"/>
  <c r="Q820"/>
  <c r="R204"/>
  <c r="S204"/>
  <c r="Q204"/>
  <c r="R485"/>
  <c r="S485"/>
  <c r="Q485"/>
  <c r="Q301"/>
  <c r="R301"/>
  <c r="S301"/>
  <c r="Q302"/>
  <c r="R302"/>
  <c r="S302"/>
  <c r="Q305"/>
  <c r="R305"/>
  <c r="S305"/>
  <c r="R292"/>
  <c r="S292"/>
  <c r="Q292"/>
  <c r="S819"/>
  <c r="Q819"/>
  <c r="R819"/>
  <c r="Q201"/>
  <c r="R201"/>
  <c r="S201"/>
  <c r="Q314"/>
  <c r="R314"/>
  <c r="S314"/>
  <c r="S295"/>
  <c r="Q295"/>
  <c r="R295"/>
  <c r="R304"/>
  <c r="S304"/>
  <c r="Q304"/>
  <c r="Q306"/>
  <c r="R306"/>
  <c r="S306"/>
  <c r="Q202"/>
  <c r="R202"/>
  <c r="S202"/>
  <c r="Q483"/>
  <c r="R483"/>
  <c r="S483"/>
  <c r="Q297"/>
  <c r="R297"/>
  <c r="S297"/>
  <c r="Q286"/>
  <c r="R286"/>
  <c r="S286"/>
  <c r="J145" i="60"/>
  <c r="J144"/>
  <c r="H147"/>
  <c r="K144"/>
  <c r="H146"/>
  <c r="J147"/>
  <c r="K148"/>
  <c r="H141"/>
  <c r="H145"/>
  <c r="J146"/>
  <c r="K147"/>
  <c r="H144"/>
  <c r="K146"/>
  <c r="H148"/>
  <c r="K145"/>
  <c r="J148"/>
  <c r="K69" i="55"/>
  <c r="I145" i="60"/>
  <c r="I148"/>
  <c r="I144"/>
  <c r="I146"/>
  <c r="I147"/>
  <c r="L150"/>
  <c r="H171"/>
  <c r="H172"/>
  <c r="H173"/>
  <c r="I169"/>
  <c r="J169"/>
  <c r="I171"/>
  <c r="I173"/>
  <c r="J171"/>
  <c r="J172"/>
  <c r="J173"/>
  <c r="K169"/>
  <c r="K171"/>
  <c r="K172"/>
  <c r="K173"/>
  <c r="I172"/>
  <c r="L127"/>
  <c r="A57" i="55"/>
  <c r="B58"/>
  <c r="A305" i="34"/>
  <c r="A300"/>
  <c r="A292"/>
  <c r="A830"/>
  <c r="A819"/>
  <c r="A205"/>
  <c r="A201"/>
  <c r="A486"/>
  <c r="A314"/>
  <c r="A309"/>
  <c r="A295"/>
  <c r="A287"/>
  <c r="A304"/>
  <c r="A290"/>
  <c r="A306"/>
  <c r="A206"/>
  <c r="A202"/>
  <c r="A487"/>
  <c r="A483"/>
  <c r="A310"/>
  <c r="A297"/>
  <c r="A289"/>
  <c r="A286"/>
  <c r="A307"/>
  <c r="A303"/>
  <c r="A296"/>
  <c r="A288"/>
  <c r="A821"/>
  <c r="A294"/>
  <c r="A203"/>
  <c r="A488"/>
  <c r="A484"/>
  <c r="A311"/>
  <c r="A299"/>
  <c r="A291"/>
  <c r="A308"/>
  <c r="A298"/>
  <c r="A820"/>
  <c r="A829"/>
  <c r="A204"/>
  <c r="A200"/>
  <c r="A485"/>
  <c r="A313"/>
  <c r="A301"/>
  <c r="A293"/>
  <c r="A302"/>
  <c r="J30" i="14"/>
  <c r="I30"/>
  <c r="J20"/>
  <c r="I20"/>
  <c r="J19"/>
  <c r="I19"/>
  <c r="J21"/>
  <c r="I21"/>
  <c r="J22"/>
  <c r="I22"/>
  <c r="I24"/>
  <c r="J24"/>
  <c r="J26"/>
  <c r="I26"/>
  <c r="I25"/>
  <c r="J25"/>
  <c r="J27"/>
  <c r="I27"/>
  <c r="I28"/>
  <c r="J28"/>
  <c r="J23"/>
  <c r="I23"/>
  <c r="I29"/>
  <c r="J29"/>
  <c r="H71" i="60"/>
  <c r="I70"/>
  <c r="H70"/>
  <c r="J70"/>
  <c r="I71"/>
  <c r="J71"/>
  <c r="K71"/>
  <c r="K70"/>
  <c r="L72"/>
  <c r="N29"/>
  <c r="N9"/>
  <c r="J68"/>
  <c r="H69"/>
  <c r="K68"/>
  <c r="I69"/>
  <c r="J69"/>
  <c r="H68"/>
  <c r="K69"/>
  <c r="I68"/>
  <c r="I49"/>
  <c r="K49"/>
  <c r="J49"/>
  <c r="H49"/>
  <c r="J33" i="14"/>
  <c r="I33"/>
  <c r="L52" i="60"/>
  <c r="H47"/>
  <c r="I47"/>
  <c r="H48"/>
  <c r="I48"/>
  <c r="J47"/>
  <c r="K47"/>
  <c r="J48"/>
  <c r="K48"/>
  <c r="I14" i="14"/>
  <c r="J206" i="60"/>
  <c r="I205"/>
  <c r="K203"/>
  <c r="K202"/>
  <c r="I206"/>
  <c r="K204"/>
  <c r="J203"/>
  <c r="J202"/>
  <c r="K205"/>
  <c r="J204"/>
  <c r="I203"/>
  <c r="N203" s="1"/>
  <c r="P203" s="1"/>
  <c r="I202"/>
  <c r="N202" s="1"/>
  <c r="K206"/>
  <c r="J205"/>
  <c r="I204"/>
  <c r="K234"/>
  <c r="J233"/>
  <c r="I232"/>
  <c r="H231"/>
  <c r="H230"/>
  <c r="K229"/>
  <c r="J234"/>
  <c r="I233"/>
  <c r="H232"/>
  <c r="K231"/>
  <c r="K230"/>
  <c r="J229"/>
  <c r="I234"/>
  <c r="H233"/>
  <c r="K232"/>
  <c r="J231"/>
  <c r="J230"/>
  <c r="I229"/>
  <c r="H234"/>
  <c r="K233"/>
  <c r="J232"/>
  <c r="I231"/>
  <c r="I230"/>
  <c r="H229"/>
  <c r="G150"/>
  <c r="B74" i="55"/>
  <c r="A73"/>
  <c r="I260" i="60"/>
  <c r="K259"/>
  <c r="K258"/>
  <c r="J257"/>
  <c r="I256"/>
  <c r="I255"/>
  <c r="H260"/>
  <c r="J259"/>
  <c r="J258"/>
  <c r="I257"/>
  <c r="H256"/>
  <c r="H255"/>
  <c r="K260"/>
  <c r="I259"/>
  <c r="I258"/>
  <c r="H257"/>
  <c r="K256"/>
  <c r="K255"/>
  <c r="J260"/>
  <c r="H259"/>
  <c r="H258"/>
  <c r="K257"/>
  <c r="J256"/>
  <c r="J255"/>
  <c r="G208"/>
  <c r="G236"/>
  <c r="G287"/>
  <c r="J149"/>
  <c r="H143"/>
  <c r="K142"/>
  <c r="K141"/>
  <c r="I149"/>
  <c r="K143"/>
  <c r="J142"/>
  <c r="J141"/>
  <c r="H149"/>
  <c r="J143"/>
  <c r="I142"/>
  <c r="I141"/>
  <c r="K149"/>
  <c r="I143"/>
  <c r="H142"/>
  <c r="N141"/>
  <c r="J285"/>
  <c r="I284"/>
  <c r="I283"/>
  <c r="H282"/>
  <c r="K281"/>
  <c r="K280"/>
  <c r="I285"/>
  <c r="H284"/>
  <c r="H283"/>
  <c r="K282"/>
  <c r="J281"/>
  <c r="J280"/>
  <c r="H285"/>
  <c r="K284"/>
  <c r="K283"/>
  <c r="J282"/>
  <c r="I281"/>
  <c r="I280"/>
  <c r="K285"/>
  <c r="J284"/>
  <c r="J283"/>
  <c r="I282"/>
  <c r="H281"/>
  <c r="H280"/>
  <c r="A14" i="55"/>
  <c r="N7" i="60"/>
  <c r="P7" s="1"/>
  <c r="N30"/>
  <c r="B12" i="61"/>
  <c r="D13"/>
  <c r="D14" s="1"/>
  <c r="G13"/>
  <c r="G14" s="1"/>
  <c r="F13"/>
  <c r="F14" s="1"/>
  <c r="E13"/>
  <c r="E14" s="1"/>
  <c r="N8" i="60"/>
  <c r="P8" s="1"/>
  <c r="H40" i="14"/>
  <c r="J14"/>
  <c r="G40"/>
  <c r="K21" i="62"/>
  <c r="K54" i="55"/>
  <c r="K101"/>
  <c r="M21" i="62"/>
  <c r="M53" i="45"/>
  <c r="O53"/>
  <c r="B13" i="61"/>
  <c r="N171" i="60" l="1"/>
  <c r="N169"/>
  <c r="N148"/>
  <c r="P148" s="1"/>
  <c r="N172"/>
  <c r="P172" s="1"/>
  <c r="N147"/>
  <c r="P147" s="1"/>
  <c r="P169"/>
  <c r="P171"/>
  <c r="N145"/>
  <c r="P145" s="1"/>
  <c r="N146"/>
  <c r="P146" s="1"/>
  <c r="N144"/>
  <c r="P144" s="1"/>
  <c r="N173"/>
  <c r="P173" s="1"/>
  <c r="A58" i="55"/>
  <c r="B59"/>
  <c r="N142" i="60"/>
  <c r="P142" s="1"/>
  <c r="N143"/>
  <c r="N149"/>
  <c r="J15" i="14"/>
  <c r="I15"/>
  <c r="N70" i="60"/>
  <c r="P70" s="1"/>
  <c r="N71"/>
  <c r="P71" s="1"/>
  <c r="N69"/>
  <c r="P69" s="1"/>
  <c r="N48"/>
  <c r="P48" s="1"/>
  <c r="N49"/>
  <c r="P49" s="1"/>
  <c r="F68" s="1"/>
  <c r="G68" s="1"/>
  <c r="I41" i="14"/>
  <c r="H5" i="39"/>
  <c r="M16" s="1"/>
  <c r="N229" i="60"/>
  <c r="P229" s="1"/>
  <c r="N233"/>
  <c r="P233" s="1"/>
  <c r="N281"/>
  <c r="P281" s="1"/>
  <c r="N234"/>
  <c r="P234" s="1"/>
  <c r="N280"/>
  <c r="P280" s="1"/>
  <c r="N204"/>
  <c r="P204" s="1"/>
  <c r="P141"/>
  <c r="P202"/>
  <c r="B75" i="55"/>
  <c r="A74"/>
  <c r="P143" i="60"/>
  <c r="A15" i="55"/>
  <c r="N285" i="60"/>
  <c r="P285" s="1"/>
  <c r="N283"/>
  <c r="P283" s="1"/>
  <c r="P149"/>
  <c r="N232"/>
  <c r="P232" s="1"/>
  <c r="N230"/>
  <c r="P230" s="1"/>
  <c r="N205"/>
  <c r="P205" s="1"/>
  <c r="N284"/>
  <c r="P284" s="1"/>
  <c r="N282"/>
  <c r="P282" s="1"/>
  <c r="N231"/>
  <c r="P231" s="1"/>
  <c r="N206"/>
  <c r="P206" s="1"/>
  <c r="P29"/>
  <c r="F47" s="1"/>
  <c r="G47" s="1"/>
  <c r="N47" s="1"/>
  <c r="N32"/>
  <c r="N11"/>
  <c r="P9"/>
  <c r="B14" i="61"/>
  <c r="J41" i="14"/>
  <c r="M8" i="39"/>
  <c r="C10"/>
  <c r="C15"/>
  <c r="C12"/>
  <c r="N176" i="60" l="1"/>
  <c r="A59" i="55"/>
  <c r="B60"/>
  <c r="I16" i="14"/>
  <c r="J16"/>
  <c r="G72" i="60"/>
  <c r="N68"/>
  <c r="P68" s="1"/>
  <c r="A16" i="55"/>
  <c r="B76"/>
  <c r="A75"/>
  <c r="N72" i="60"/>
  <c r="N150"/>
  <c r="N236"/>
  <c r="N208"/>
  <c r="N287"/>
  <c r="G52"/>
  <c r="A60" i="55" l="1"/>
  <c r="B61"/>
  <c r="B62" s="1"/>
  <c r="J17" i="14"/>
  <c r="I17"/>
  <c r="B77" i="55"/>
  <c r="A76"/>
  <c r="A17"/>
  <c r="P47" i="60"/>
  <c r="N52"/>
  <c r="A62" i="55" l="1"/>
  <c r="B63"/>
  <c r="A61"/>
  <c r="I18" i="14"/>
  <c r="J18"/>
  <c r="A18" i="55"/>
  <c r="A77"/>
  <c r="B64" l="1"/>
  <c r="A63"/>
  <c r="B78"/>
  <c r="A78" s="1"/>
  <c r="A19"/>
  <c r="B65" l="1"/>
  <c r="A64"/>
  <c r="B79"/>
  <c r="B80" s="1"/>
  <c r="B66" l="1"/>
  <c r="A65"/>
  <c r="A79"/>
  <c r="A80"/>
  <c r="A66" l="1"/>
  <c r="B67"/>
  <c r="A67" s="1"/>
  <c r="B81" l="1"/>
  <c r="B82" l="1"/>
  <c r="A81"/>
  <c r="B83" l="1"/>
  <c r="A83" s="1"/>
  <c r="A82"/>
  <c r="M950" i="34" l="1"/>
  <c r="I31" i="14" l="1"/>
  <c r="F74" i="15" a="1"/>
  <c r="F74" s="1"/>
  <c r="F60" a="1"/>
  <c r="F60" s="1"/>
  <c r="E60" a="1"/>
  <c r="E60" s="1"/>
  <c r="J31" i="14" l="1"/>
  <c r="J32" s="1"/>
  <c r="H60" i="15"/>
  <c r="G60"/>
  <c r="I32" i="14" l="1"/>
  <c r="J34" l="1"/>
  <c r="I34" l="1"/>
  <c r="I35" s="1"/>
  <c r="J35" l="1"/>
  <c r="J36" s="1"/>
  <c r="I36" l="1"/>
  <c r="I37" s="1"/>
  <c r="J37" l="1"/>
  <c r="J38" s="1"/>
  <c r="I38" l="1"/>
  <c r="E1870" i="34" l="1"/>
  <c r="AA1870" s="1"/>
  <c r="B1870"/>
  <c r="Q1870" l="1"/>
  <c r="U1870"/>
  <c r="R1870"/>
  <c r="I13" i="42" s="1"/>
  <c r="V1870" i="34"/>
  <c r="S1870"/>
  <c r="T1870"/>
  <c r="A1870"/>
  <c r="H11" i="43" l="1"/>
  <c r="M2061" i="34" l="1"/>
  <c r="X2833" l="1"/>
  <c r="Y2833"/>
  <c r="P2833"/>
  <c r="Z2833"/>
  <c r="Q2833"/>
  <c r="AA2833"/>
  <c r="R2833"/>
  <c r="AB2833"/>
  <c r="S2833"/>
  <c r="AC2833"/>
  <c r="T2833"/>
  <c r="AD2833"/>
  <c r="U2833"/>
  <c r="V2833"/>
  <c r="M2833"/>
  <c r="W2833"/>
  <c r="D13" i="39"/>
  <c r="E36" i="12" a="1"/>
  <c r="E36" s="1"/>
  <c r="F36" a="1"/>
  <c r="F36" s="1"/>
  <c r="E42" a="1"/>
  <c r="E42" s="1"/>
  <c r="F54" a="1"/>
  <c r="F54" s="1"/>
  <c r="F70" a="1"/>
  <c r="F70" s="1"/>
  <c r="E60" a="1"/>
  <c r="E60" s="1"/>
  <c r="F43" a="1"/>
  <c r="F43" s="1"/>
  <c r="E46" a="1"/>
  <c r="E46" s="1"/>
  <c r="E70" a="1"/>
  <c r="E70" s="1"/>
  <c r="F46" a="1"/>
  <c r="F46" s="1"/>
  <c r="E64" a="1"/>
  <c r="E64" s="1"/>
  <c r="E45" a="1"/>
  <c r="E45" s="1"/>
  <c r="F65" a="1"/>
  <c r="F65" s="1"/>
  <c r="F64" a="1"/>
  <c r="F64" s="1"/>
  <c r="E43" a="1"/>
  <c r="E43" s="1"/>
  <c r="E65" a="1"/>
  <c r="E65" s="1"/>
  <c r="F53" a="1"/>
  <c r="F53" s="1"/>
  <c r="F58" a="1"/>
  <c r="F58" s="1"/>
  <c r="F57" a="1"/>
  <c r="F57" s="1"/>
  <c r="E62" a="1"/>
  <c r="E62" s="1"/>
  <c r="E58" a="1"/>
  <c r="E58" s="1"/>
  <c r="F42" a="1"/>
  <c r="F42" s="1"/>
  <c r="F51" a="1"/>
  <c r="F51" s="1"/>
  <c r="F62" a="1"/>
  <c r="F62" s="1"/>
  <c r="E51" a="1"/>
  <c r="E51" s="1"/>
  <c r="F45" a="1"/>
  <c r="F45" s="1"/>
  <c r="E54" a="1"/>
  <c r="E54" s="1"/>
  <c r="F60" a="1"/>
  <c r="F60" s="1"/>
  <c r="H60" s="1"/>
  <c r="E53" a="1"/>
  <c r="E53" s="1"/>
  <c r="G53" s="1"/>
  <c r="E61" a="1"/>
  <c r="E61" s="1"/>
  <c r="E57" a="1"/>
  <c r="E57" s="1"/>
  <c r="F61" a="1"/>
  <c r="F61" s="1"/>
  <c r="F49" a="1"/>
  <c r="F49" s="1"/>
  <c r="E54" i="15" a="1"/>
  <c r="E54" s="1"/>
  <c r="F54" a="1"/>
  <c r="F54" s="1"/>
  <c r="E40" a="1"/>
  <c r="E40" s="1"/>
  <c r="F40" a="1"/>
  <c r="F40" s="1"/>
  <c r="F39" a="1"/>
  <c r="F39" s="1"/>
  <c r="E39" a="1"/>
  <c r="E39" s="1"/>
  <c r="H67" i="55" a="1"/>
  <c r="H67" s="1"/>
  <c r="J67" a="1"/>
  <c r="J67" s="1"/>
  <c r="J65" a="1"/>
  <c r="J65" s="1"/>
  <c r="J66" a="1"/>
  <c r="J66" s="1"/>
  <c r="H65" a="1"/>
  <c r="H65" s="1"/>
  <c r="H66" a="1"/>
  <c r="H66" s="1"/>
  <c r="H64" a="1"/>
  <c r="H64" s="1"/>
  <c r="H61" a="1"/>
  <c r="H61" s="1"/>
  <c r="J62" a="1"/>
  <c r="J62" s="1"/>
  <c r="H63" a="1"/>
  <c r="H63" s="1"/>
  <c r="H62" a="1"/>
  <c r="H62" s="1"/>
  <c r="J61" a="1"/>
  <c r="J61" s="1"/>
  <c r="J64" a="1"/>
  <c r="J64" s="1"/>
  <c r="J63" a="1"/>
  <c r="J63" s="1"/>
  <c r="H90" a="1"/>
  <c r="H90" s="1"/>
  <c r="J89" a="1"/>
  <c r="J89" s="1"/>
  <c r="J91" a="1"/>
  <c r="J91" s="1"/>
  <c r="J86" a="1"/>
  <c r="J86" s="1"/>
  <c r="H93" a="1"/>
  <c r="H93" s="1"/>
  <c r="J99" a="1"/>
  <c r="J99" s="1"/>
  <c r="H87" a="1"/>
  <c r="H87" s="1"/>
  <c r="H96" a="1"/>
  <c r="H96" s="1"/>
  <c r="H92" a="1"/>
  <c r="H92" s="1"/>
  <c r="J90" a="1"/>
  <c r="J90" s="1"/>
  <c r="J94" a="1"/>
  <c r="J94" s="1"/>
  <c r="H80" a="1"/>
  <c r="H80" s="1"/>
  <c r="H98" a="1"/>
  <c r="H98" s="1"/>
  <c r="J84" a="1"/>
  <c r="J84" s="1"/>
  <c r="J87" a="1"/>
  <c r="J87" s="1"/>
  <c r="H85" a="1"/>
  <c r="H85" s="1"/>
  <c r="H97" a="1"/>
  <c r="H97" s="1"/>
  <c r="J96" a="1"/>
  <c r="J96" s="1"/>
  <c r="J92" a="1"/>
  <c r="J92" s="1"/>
  <c r="H99" a="1"/>
  <c r="H99" s="1"/>
  <c r="H94" a="1"/>
  <c r="H94" s="1"/>
  <c r="J85" a="1"/>
  <c r="J85" s="1"/>
  <c r="H95" a="1"/>
  <c r="H95" s="1"/>
  <c r="H81" a="1"/>
  <c r="H81" s="1"/>
  <c r="J97" a="1"/>
  <c r="J97" s="1"/>
  <c r="H84" a="1"/>
  <c r="H84" s="1"/>
  <c r="L84" s="1"/>
  <c r="J93" a="1"/>
  <c r="J93" s="1"/>
  <c r="H86" a="1"/>
  <c r="H86" s="1"/>
  <c r="H88" a="1"/>
  <c r="H88" s="1"/>
  <c r="J81" a="1"/>
  <c r="J81" s="1"/>
  <c r="J80" a="1"/>
  <c r="J80" s="1"/>
  <c r="H89" a="1"/>
  <c r="H89" s="1"/>
  <c r="J98" a="1"/>
  <c r="J98" s="1"/>
  <c r="J95" a="1"/>
  <c r="J95" s="1"/>
  <c r="H91" a="1"/>
  <c r="H91" s="1"/>
  <c r="L91" s="1"/>
  <c r="J88" a="1"/>
  <c r="J88" s="1"/>
  <c r="F35" i="12" a="1"/>
  <c r="F35" s="1"/>
  <c r="E35" a="1"/>
  <c r="E35" s="1"/>
  <c r="E12" i="15" a="1"/>
  <c r="E12" s="1"/>
  <c r="J31" i="55" a="1"/>
  <c r="J31" s="1"/>
  <c r="J51" a="1"/>
  <c r="J51" s="1"/>
  <c r="H41" a="1"/>
  <c r="H41" s="1"/>
  <c r="H49" a="1"/>
  <c r="H49" s="1"/>
  <c r="J50" a="1"/>
  <c r="J50" s="1"/>
  <c r="H51" a="1"/>
  <c r="H51" s="1"/>
  <c r="L51" s="1"/>
  <c r="J41" a="1"/>
  <c r="J41" s="1"/>
  <c r="J49" a="1"/>
  <c r="J49" s="1"/>
  <c r="H30" a="1"/>
  <c r="H30" s="1"/>
  <c r="J52" a="1"/>
  <c r="J52" s="1"/>
  <c r="H31" a="1"/>
  <c r="H31" s="1"/>
  <c r="J30" a="1"/>
  <c r="J30" s="1"/>
  <c r="H50" a="1"/>
  <c r="H50" s="1"/>
  <c r="L50" s="1"/>
  <c r="H52" a="1"/>
  <c r="H52" s="1"/>
  <c r="L52" s="1"/>
  <c r="L35" i="45" a="1"/>
  <c r="L35" s="1"/>
  <c r="J5" i="62" a="1"/>
  <c r="J5" s="1"/>
  <c r="J35" i="45" a="1"/>
  <c r="J35" s="1"/>
  <c r="E27" i="15" a="1"/>
  <c r="E27" s="1"/>
  <c r="E5" i="12" a="1"/>
  <c r="E5" s="1"/>
  <c r="F24" i="15" a="1"/>
  <c r="F24" s="1"/>
  <c r="F10" a="1"/>
  <c r="F10" s="1"/>
  <c r="F5" i="12" a="1"/>
  <c r="F5" s="1"/>
  <c r="E49" i="15" a="1"/>
  <c r="E49" s="1"/>
  <c r="F47" a="1"/>
  <c r="F47" s="1"/>
  <c r="F43" a="1"/>
  <c r="F43" s="1"/>
  <c r="E10" a="1"/>
  <c r="E10" s="1"/>
  <c r="E38" i="12" a="1"/>
  <c r="E38" s="1"/>
  <c r="F36" i="15" a="1"/>
  <c r="F36" s="1"/>
  <c r="E42" a="1"/>
  <c r="E42" s="1"/>
  <c r="F68" a="1"/>
  <c r="F68" s="1"/>
  <c r="J20" i="55" a="1"/>
  <c r="J20" s="1"/>
  <c r="J46" a="1"/>
  <c r="J46" s="1"/>
  <c r="J34" a="1"/>
  <c r="J34" s="1"/>
  <c r="J38" a="1"/>
  <c r="J38" s="1"/>
  <c r="F63" i="15" a="1"/>
  <c r="F63" s="1"/>
  <c r="J77" i="55" a="1"/>
  <c r="J77" s="1"/>
  <c r="J16" a="1"/>
  <c r="J16" s="1"/>
  <c r="J17" a="1"/>
  <c r="J17" s="1"/>
  <c r="J24" a="1"/>
  <c r="J24" s="1"/>
  <c r="J76" a="1"/>
  <c r="J76" s="1"/>
  <c r="J13" a="1"/>
  <c r="J13" s="1"/>
  <c r="F12" i="12" a="1"/>
  <c r="F12" s="1"/>
  <c r="F31" a="1"/>
  <c r="F31" s="1"/>
  <c r="E19" a="1"/>
  <c r="E19" s="1"/>
  <c r="F34" a="1"/>
  <c r="F34" s="1"/>
  <c r="F25" a="1"/>
  <c r="F25" s="1"/>
  <c r="J35" i="55" a="1"/>
  <c r="J35" s="1"/>
  <c r="J40" a="1"/>
  <c r="J40" s="1"/>
  <c r="J22" a="1"/>
  <c r="J22" s="1"/>
  <c r="F73" i="15" a="1"/>
  <c r="F73" s="1"/>
  <c r="J37" i="55" a="1"/>
  <c r="J37" s="1"/>
  <c r="J32" a="1"/>
  <c r="J32" s="1"/>
  <c r="J36" a="1"/>
  <c r="J36" s="1"/>
  <c r="J45" a="1"/>
  <c r="J45" s="1"/>
  <c r="J25" a="1"/>
  <c r="J25" s="1"/>
  <c r="F72" i="15" a="1"/>
  <c r="F72" s="1"/>
  <c r="J58" i="55" a="1"/>
  <c r="J58" s="1"/>
  <c r="J19" a="1"/>
  <c r="J19" s="1"/>
  <c r="J33" a="1"/>
  <c r="J33" s="1"/>
  <c r="J59" a="1"/>
  <c r="J59" s="1"/>
  <c r="J28" a="1"/>
  <c r="J28" s="1"/>
  <c r="J14" a="1"/>
  <c r="J14" s="1"/>
  <c r="F14" i="12" a="1"/>
  <c r="F14" s="1"/>
  <c r="J44" i="55" a="1"/>
  <c r="J44" s="1"/>
  <c r="J78" a="1"/>
  <c r="J78" s="1"/>
  <c r="J83" a="1"/>
  <c r="J83" s="1"/>
  <c r="J42" a="1"/>
  <c r="J42" s="1"/>
  <c r="J27" a="1"/>
  <c r="J27" s="1"/>
  <c r="J60" a="1"/>
  <c r="J60" s="1"/>
  <c r="J21" a="1"/>
  <c r="J21" s="1"/>
  <c r="F71" i="15" a="1"/>
  <c r="F71" s="1"/>
  <c r="J39" i="55" a="1"/>
  <c r="J39" s="1"/>
  <c r="J29" a="1"/>
  <c r="J29" s="1"/>
  <c r="F67" i="15" a="1"/>
  <c r="F67" s="1"/>
  <c r="J26" i="55" a="1"/>
  <c r="J26" s="1"/>
  <c r="F70" i="15" a="1"/>
  <c r="F70" s="1"/>
  <c r="F66" a="1"/>
  <c r="F66" s="1"/>
  <c r="J57" i="55" a="1"/>
  <c r="J57" s="1"/>
  <c r="F29" i="12" a="1"/>
  <c r="F29" s="1"/>
  <c r="F32" a="1"/>
  <c r="F32" s="1"/>
  <c r="J47" i="55" a="1"/>
  <c r="J47" s="1"/>
  <c r="J43" a="1"/>
  <c r="J43" s="1"/>
  <c r="J79" a="1"/>
  <c r="J79" s="1"/>
  <c r="F69" i="15" a="1"/>
  <c r="F69" s="1"/>
  <c r="J73" i="55" a="1"/>
  <c r="J73" s="1"/>
  <c r="J75" a="1"/>
  <c r="J75" s="1"/>
  <c r="J18" a="1"/>
  <c r="J18" s="1"/>
  <c r="J72" a="1"/>
  <c r="J72" s="1"/>
  <c r="J82" a="1"/>
  <c r="J82" s="1"/>
  <c r="J15" a="1"/>
  <c r="J15" s="1"/>
  <c r="J48" a="1"/>
  <c r="J48" s="1"/>
  <c r="J74" a="1"/>
  <c r="J74" s="1"/>
  <c r="J23" a="1"/>
  <c r="J23" s="1"/>
  <c r="E13" i="12" a="1"/>
  <c r="E13" s="1"/>
  <c r="E10" a="1"/>
  <c r="E10" s="1"/>
  <c r="E21" a="1"/>
  <c r="E21" s="1"/>
  <c r="F20" a="1"/>
  <c r="F20" s="1"/>
  <c r="H12" i="62" a="1"/>
  <c r="H12" s="1"/>
  <c r="F23" i="12" a="1"/>
  <c r="F23" s="1"/>
  <c r="E6" a="1"/>
  <c r="E6" s="1"/>
  <c r="L40" i="45" a="1"/>
  <c r="L40" s="1"/>
  <c r="L43" a="1"/>
  <c r="L43" s="1"/>
  <c r="E24" i="12" a="1"/>
  <c r="E24" s="1"/>
  <c r="E32" a="1"/>
  <c r="E32" s="1"/>
  <c r="F10" a="1"/>
  <c r="F10" s="1"/>
  <c r="H16" i="62" a="1"/>
  <c r="H16" s="1"/>
  <c r="L46" i="45" a="1"/>
  <c r="L46" s="1"/>
  <c r="F30" i="12" a="1"/>
  <c r="F30" s="1"/>
  <c r="H15" i="62" a="1"/>
  <c r="H15" s="1"/>
  <c r="J48" i="45" a="1"/>
  <c r="J48" s="1"/>
  <c r="L49" a="1"/>
  <c r="L49" s="1"/>
  <c r="F28" i="12" a="1"/>
  <c r="F28" s="1"/>
  <c r="F15" a="1"/>
  <c r="F15" s="1"/>
  <c r="F17" a="1"/>
  <c r="F17" s="1"/>
  <c r="F22" a="1"/>
  <c r="F22" s="1"/>
  <c r="E74" i="15" a="1"/>
  <c r="E74" s="1"/>
  <c r="I74" s="1"/>
  <c r="E34" i="12" a="1"/>
  <c r="E34" s="1"/>
  <c r="G34" s="1"/>
  <c r="F24" a="1"/>
  <c r="F24" s="1"/>
  <c r="F16" a="1"/>
  <c r="F16" s="1"/>
  <c r="H47" i="55" a="1"/>
  <c r="H47" s="1"/>
  <c r="F13" i="12" a="1"/>
  <c r="F13" s="1"/>
  <c r="L8" i="45" a="1"/>
  <c r="L8" s="1"/>
  <c r="J39" a="1"/>
  <c r="J39" s="1"/>
  <c r="E27" i="12" a="1"/>
  <c r="E27" s="1"/>
  <c r="L6" i="45" a="1"/>
  <c r="L6" s="1"/>
  <c r="H11" i="62" a="1"/>
  <c r="H11" s="1"/>
  <c r="H14" i="55" a="1"/>
  <c r="H14" s="1"/>
  <c r="L32" i="45" a="1"/>
  <c r="L32" s="1"/>
  <c r="J36" a="1"/>
  <c r="J36" s="1"/>
  <c r="H44" i="55" a="1"/>
  <c r="H44" s="1"/>
  <c r="E9" i="12" a="1"/>
  <c r="E9" s="1"/>
  <c r="F27" a="1"/>
  <c r="F27" s="1"/>
  <c r="H27" s="1"/>
  <c r="F6" a="1"/>
  <c r="F6" s="1"/>
  <c r="L44" i="45" a="1"/>
  <c r="L44" s="1"/>
  <c r="J37" a="1"/>
  <c r="J37" s="1"/>
  <c r="H42" i="55" a="1"/>
  <c r="H42" s="1"/>
  <c r="F44" i="12" a="1"/>
  <c r="F44" s="1"/>
  <c r="E51" i="15" a="1"/>
  <c r="E51" s="1"/>
  <c r="L23" i="45" a="1"/>
  <c r="L23" s="1"/>
  <c r="L28" a="1"/>
  <c r="L28" s="1"/>
  <c r="F22" i="15" a="1"/>
  <c r="F22" s="1"/>
  <c r="E67" i="12" a="1"/>
  <c r="E67" s="1"/>
  <c r="H79" i="55" a="1"/>
  <c r="H79" s="1"/>
  <c r="J6" i="45" a="1"/>
  <c r="J6" s="1"/>
  <c r="J14" a="1"/>
  <c r="J14" s="1"/>
  <c r="L18" a="1"/>
  <c r="L18" s="1"/>
  <c r="H77" i="55" a="1"/>
  <c r="H77" s="1"/>
  <c r="L24" i="45" a="1"/>
  <c r="L24" s="1"/>
  <c r="J19" a="1"/>
  <c r="J19" s="1"/>
  <c r="J27" a="1"/>
  <c r="J27" s="1"/>
  <c r="H74" i="55" a="1"/>
  <c r="H74" s="1"/>
  <c r="J14" i="62" a="1"/>
  <c r="J14" s="1"/>
  <c r="L11" i="45" a="1"/>
  <c r="L11" s="1"/>
  <c r="L15" a="1"/>
  <c r="L15" s="1"/>
  <c r="H73" i="55" a="1"/>
  <c r="H73" s="1"/>
  <c r="E34" i="15" a="1"/>
  <c r="E34" s="1"/>
  <c r="H34" i="55" a="1"/>
  <c r="H34" s="1"/>
  <c r="L34" s="1"/>
  <c r="E40" i="12" a="1"/>
  <c r="E40" s="1"/>
  <c r="L33" i="45" a="1"/>
  <c r="L33" s="1"/>
  <c r="E31" i="12" a="1"/>
  <c r="E31" s="1"/>
  <c r="L39" i="45" a="1"/>
  <c r="L39" s="1"/>
  <c r="J44" a="1"/>
  <c r="J44" s="1"/>
  <c r="F19" i="12" a="1"/>
  <c r="F19" s="1"/>
  <c r="E8" a="1"/>
  <c r="E8" s="1"/>
  <c r="J19" i="62" a="1"/>
  <c r="J19" s="1"/>
  <c r="J43" i="45" a="1"/>
  <c r="J43" s="1"/>
  <c r="H35" i="55" a="1"/>
  <c r="H35" s="1"/>
  <c r="L35" s="1"/>
  <c r="H83" a="1"/>
  <c r="H83" s="1"/>
  <c r="J45" i="45" a="1"/>
  <c r="J45" s="1"/>
  <c r="L38" a="1"/>
  <c r="L38" s="1"/>
  <c r="F11" i="12" a="1"/>
  <c r="F11" s="1"/>
  <c r="L42" i="45" a="1"/>
  <c r="L42" s="1"/>
  <c r="L48" a="1"/>
  <c r="L48" s="1"/>
  <c r="E20" i="12" a="1"/>
  <c r="E20" s="1"/>
  <c r="E18" a="1"/>
  <c r="E18" s="1"/>
  <c r="J41" i="45" a="1"/>
  <c r="J41" s="1"/>
  <c r="E11" i="12" a="1"/>
  <c r="E11" s="1"/>
  <c r="L47" i="45" a="1"/>
  <c r="L47" s="1"/>
  <c r="E29" i="12" a="1"/>
  <c r="E29" s="1"/>
  <c r="E22" i="15" a="1"/>
  <c r="E22" s="1"/>
  <c r="F50" a="1"/>
  <c r="F50" s="1"/>
  <c r="H48" i="55" a="1"/>
  <c r="H48" s="1"/>
  <c r="J18" i="62" a="1"/>
  <c r="J18" s="1"/>
  <c r="E28" i="12" a="1"/>
  <c r="E28" s="1"/>
  <c r="G28" s="1"/>
  <c r="J49" i="45" a="1"/>
  <c r="J49" s="1"/>
  <c r="E33" i="12" a="1"/>
  <c r="E33" s="1"/>
  <c r="E30" a="1"/>
  <c r="E30" s="1"/>
  <c r="F9" a="1"/>
  <c r="F9" s="1"/>
  <c r="J17" i="62" a="1"/>
  <c r="J17" s="1"/>
  <c r="H10" a="1"/>
  <c r="H10" s="1"/>
  <c r="F59" i="15" a="1"/>
  <c r="F59" s="1"/>
  <c r="E38" a="1"/>
  <c r="E38" s="1"/>
  <c r="H14" i="62" a="1"/>
  <c r="H14" s="1"/>
  <c r="L30" i="45" a="1"/>
  <c r="L30" s="1"/>
  <c r="J38" a="1"/>
  <c r="J38" s="1"/>
  <c r="F26" i="12" a="1"/>
  <c r="F26" s="1"/>
  <c r="J16" i="62" a="1"/>
  <c r="J16" s="1"/>
  <c r="E15" i="15" a="1"/>
  <c r="E15" s="1"/>
  <c r="J12" i="62" a="1"/>
  <c r="J12" s="1"/>
  <c r="J16" i="45" a="1"/>
  <c r="J16" s="1"/>
  <c r="H43" i="55" a="1"/>
  <c r="H43" s="1"/>
  <c r="J22" i="45" a="1"/>
  <c r="J22" s="1"/>
  <c r="J8" a="1"/>
  <c r="J8" s="1"/>
  <c r="J40" a="1"/>
  <c r="J40" s="1"/>
  <c r="E22" i="12" a="1"/>
  <c r="E22" s="1"/>
  <c r="E12" a="1"/>
  <c r="E12" s="1"/>
  <c r="G12" s="1"/>
  <c r="H17" i="62" a="1"/>
  <c r="H17" s="1"/>
  <c r="J34" i="45" a="1"/>
  <c r="J34" s="1"/>
  <c r="J47" a="1"/>
  <c r="J47" s="1"/>
  <c r="E24" i="15" a="1"/>
  <c r="E24" s="1"/>
  <c r="E43" a="1"/>
  <c r="E43" s="1"/>
  <c r="G43" s="1"/>
  <c r="J32" i="45" a="1"/>
  <c r="J32" s="1"/>
  <c r="N32" s="1"/>
  <c r="E66" i="12" a="1"/>
  <c r="E66" s="1"/>
  <c r="E44" i="15" a="1"/>
  <c r="E44" s="1"/>
  <c r="E72" a="1"/>
  <c r="E72" s="1"/>
  <c r="F38" a="1"/>
  <c r="F38" s="1"/>
  <c r="H17" i="55" a="1"/>
  <c r="H17" s="1"/>
  <c r="J15" i="45" a="1"/>
  <c r="J15" s="1"/>
  <c r="E28" i="15" a="1"/>
  <c r="E28" s="1"/>
  <c r="H72" i="55" a="1"/>
  <c r="H72" s="1"/>
  <c r="L26" i="45" a="1"/>
  <c r="L26" s="1"/>
  <c r="E71" i="15" a="1"/>
  <c r="E71" s="1"/>
  <c r="F52" i="12" a="1"/>
  <c r="F52" s="1"/>
  <c r="J5" i="45" a="1"/>
  <c r="J5" s="1"/>
  <c r="L13" a="1"/>
  <c r="L13" s="1"/>
  <c r="H19" i="55" a="1"/>
  <c r="H19" s="1"/>
  <c r="F48" i="12" a="1"/>
  <c r="F48" s="1"/>
  <c r="J50" i="45" a="1"/>
  <c r="J50" s="1"/>
  <c r="E26" i="12" a="1"/>
  <c r="E26" s="1"/>
  <c r="H18" i="62" a="1"/>
  <c r="H18" s="1"/>
  <c r="F33" i="12" a="1"/>
  <c r="F33" s="1"/>
  <c r="J46" i="45" a="1"/>
  <c r="J46" s="1"/>
  <c r="E25" i="12" a="1"/>
  <c r="E25" s="1"/>
  <c r="E15" a="1"/>
  <c r="E15" s="1"/>
  <c r="L51" i="45" a="1"/>
  <c r="L51" s="1"/>
  <c r="L36" a="1"/>
  <c r="L36" s="1"/>
  <c r="L41" a="1"/>
  <c r="L41" s="1"/>
  <c r="P41" s="1"/>
  <c r="H45" i="55" a="1"/>
  <c r="H45" s="1"/>
  <c r="E52" i="12" a="1"/>
  <c r="E52" s="1"/>
  <c r="F13" i="15" a="1"/>
  <c r="F13" s="1"/>
  <c r="L50" i="45" a="1"/>
  <c r="L50" s="1"/>
  <c r="L37" a="1"/>
  <c r="L37" s="1"/>
  <c r="J33" a="1"/>
  <c r="J33" s="1"/>
  <c r="H40" i="55" a="1"/>
  <c r="H40" s="1"/>
  <c r="F7" i="12" a="1"/>
  <c r="F7" s="1"/>
  <c r="E17" a="1"/>
  <c r="E17" s="1"/>
  <c r="G17" s="1"/>
  <c r="E7" a="1"/>
  <c r="E7" s="1"/>
  <c r="J42" i="45" a="1"/>
  <c r="J42" s="1"/>
  <c r="F21" i="12" a="1"/>
  <c r="F21" s="1"/>
  <c r="H21" s="1"/>
  <c r="E16" a="1"/>
  <c r="E16" s="1"/>
  <c r="E47" a="1"/>
  <c r="E47" s="1"/>
  <c r="E14" a="1"/>
  <c r="E14" s="1"/>
  <c r="J51" i="45" a="1"/>
  <c r="J51" s="1"/>
  <c r="L45" a="1"/>
  <c r="L45" s="1"/>
  <c r="F18" i="12" a="1"/>
  <c r="F18" s="1"/>
  <c r="F8" a="1"/>
  <c r="F8" s="1"/>
  <c r="E23" a="1"/>
  <c r="E23" s="1"/>
  <c r="H19" i="62" a="1"/>
  <c r="H19" s="1"/>
  <c r="L34" i="45" a="1"/>
  <c r="L34" s="1"/>
  <c r="F31" i="15" a="1"/>
  <c r="F31" s="1"/>
  <c r="E44" i="12" a="1"/>
  <c r="E44" s="1"/>
  <c r="H46" i="55" a="1"/>
  <c r="H46" s="1"/>
  <c r="E69" i="15" a="1"/>
  <c r="E69" s="1"/>
  <c r="I69" s="1"/>
  <c r="H9" i="62" a="1"/>
  <c r="H9" s="1"/>
  <c r="F29" i="15" a="1"/>
  <c r="F29" s="1"/>
  <c r="E29" a="1"/>
  <c r="E29" s="1"/>
  <c r="J6" i="62" a="1"/>
  <c r="J6" s="1"/>
  <c r="F68" i="12" a="1"/>
  <c r="F68" s="1"/>
  <c r="L5" i="45" a="1"/>
  <c r="L5" s="1"/>
  <c r="E41" i="12" a="1"/>
  <c r="E41" s="1"/>
  <c r="E59" i="15" a="1"/>
  <c r="E59" s="1"/>
  <c r="E68" a="1"/>
  <c r="E68" s="1"/>
  <c r="H57" i="55" a="1"/>
  <c r="H57" s="1"/>
  <c r="F50" i="12" a="1"/>
  <c r="F50" s="1"/>
  <c r="E55" i="15" a="1"/>
  <c r="E55" s="1"/>
  <c r="F39" i="12" a="1"/>
  <c r="F39" s="1"/>
  <c r="L10" i="45" a="1"/>
  <c r="L10" s="1"/>
  <c r="F55" i="12" a="1"/>
  <c r="F55" s="1"/>
  <c r="H22" i="55" a="1"/>
  <c r="H22" s="1"/>
  <c r="L22" s="1"/>
  <c r="J13" i="62" a="1"/>
  <c r="J13" s="1"/>
  <c r="L20" i="45" a="1"/>
  <c r="L20" s="1"/>
  <c r="E13" i="15" a="1"/>
  <c r="E13" s="1"/>
  <c r="H7" i="62" a="1"/>
  <c r="H7" s="1"/>
  <c r="E66" i="15" a="1"/>
  <c r="E66" s="1"/>
  <c r="E18" a="1"/>
  <c r="E18" s="1"/>
  <c r="H32" i="55" a="1"/>
  <c r="H32" s="1"/>
  <c r="F28" i="15" a="1"/>
  <c r="F28" s="1"/>
  <c r="J31" i="45" a="1"/>
  <c r="J31" s="1"/>
  <c r="L14" a="1"/>
  <c r="L14" s="1"/>
  <c r="P14" s="1"/>
  <c r="J24" a="1"/>
  <c r="J24" s="1"/>
  <c r="E16" i="15" a="1"/>
  <c r="E16" s="1"/>
  <c r="H25" i="55" a="1"/>
  <c r="H25" s="1"/>
  <c r="H26" a="1"/>
  <c r="H26" s="1"/>
  <c r="L27" i="45" a="1"/>
  <c r="L27" s="1"/>
  <c r="P27" s="1"/>
  <c r="F16" i="15" a="1"/>
  <c r="F16" s="1"/>
  <c r="J11" i="45" a="1"/>
  <c r="J11" s="1"/>
  <c r="F18" i="15" a="1"/>
  <c r="F18" s="1"/>
  <c r="F57" a="1"/>
  <c r="F57" s="1"/>
  <c r="E50" i="12" a="1"/>
  <c r="E50" s="1"/>
  <c r="J9" i="62" a="1"/>
  <c r="J9" s="1"/>
  <c r="H18" i="55" a="1"/>
  <c r="H18" s="1"/>
  <c r="H15" a="1"/>
  <c r="H15" s="1"/>
  <c r="L15" s="1"/>
  <c r="F62" i="15" a="1"/>
  <c r="F62" s="1"/>
  <c r="F64" s="1"/>
  <c r="F65" s="1"/>
  <c r="H16" i="55" a="1"/>
  <c r="H16" s="1"/>
  <c r="F25" i="15" a="1"/>
  <c r="F25" s="1"/>
  <c r="J26" i="45" a="1"/>
  <c r="J26" s="1"/>
  <c r="F26" i="15" a="1"/>
  <c r="F26" s="1"/>
  <c r="L29" i="45" a="1"/>
  <c r="L29" s="1"/>
  <c r="J29" a="1"/>
  <c r="J29" s="1"/>
  <c r="F69" i="12" a="1"/>
  <c r="F69" s="1"/>
  <c r="H33" i="55" a="1"/>
  <c r="H33" s="1"/>
  <c r="L33" s="1"/>
  <c r="E73" i="15" a="1"/>
  <c r="E73" s="1"/>
  <c r="E63" i="12" a="1"/>
  <c r="E63" s="1"/>
  <c r="L7" i="45" a="1"/>
  <c r="L7" s="1"/>
  <c r="E57" i="15" a="1"/>
  <c r="E57" s="1"/>
  <c r="E48" i="12" a="1"/>
  <c r="E48" s="1"/>
  <c r="L21" i="45" a="1"/>
  <c r="L21" s="1"/>
  <c r="F42" i="15" a="1"/>
  <c r="F42" s="1"/>
  <c r="E49" i="12" a="1"/>
  <c r="E49" s="1"/>
  <c r="G49" s="1"/>
  <c r="E47" i="15" a="1"/>
  <c r="E47" s="1"/>
  <c r="H82" i="55" a="1"/>
  <c r="H82" s="1"/>
  <c r="J28" i="45" a="1"/>
  <c r="J28" s="1"/>
  <c r="J25" a="1"/>
  <c r="J25" s="1"/>
  <c r="E50" i="15" a="1"/>
  <c r="E50" s="1"/>
  <c r="G50" s="1"/>
  <c r="F47" i="12" a="1"/>
  <c r="F47" s="1"/>
  <c r="L25" i="45" a="1"/>
  <c r="L25" s="1"/>
  <c r="L16" a="1"/>
  <c r="L16" s="1"/>
  <c r="P16" s="1"/>
  <c r="H38" i="55" a="1"/>
  <c r="H38" s="1"/>
  <c r="E70" i="15" a="1"/>
  <c r="E70" s="1"/>
  <c r="I70" s="1"/>
  <c r="E69" i="12" a="1"/>
  <c r="E69" s="1"/>
  <c r="J12" i="45" a="1"/>
  <c r="J12" s="1"/>
  <c r="L22" a="1"/>
  <c r="L22" s="1"/>
  <c r="E25" i="15" a="1"/>
  <c r="E25" s="1"/>
  <c r="H60" i="55" a="1"/>
  <c r="H60" s="1"/>
  <c r="L60" s="1"/>
  <c r="E39" i="12" a="1"/>
  <c r="E39" s="1"/>
  <c r="F12" i="15" a="1"/>
  <c r="F12" s="1"/>
  <c r="H36" i="55" a="1"/>
  <c r="H36" s="1"/>
  <c r="H23" a="1"/>
  <c r="H23" s="1"/>
  <c r="E68" i="12" a="1"/>
  <c r="E68" s="1"/>
  <c r="F67" a="1"/>
  <c r="F67" s="1"/>
  <c r="F63" a="1"/>
  <c r="F63" s="1"/>
  <c r="J15" i="62" a="1"/>
  <c r="J15" s="1"/>
  <c r="N15" s="1"/>
  <c r="H28" i="55" a="1"/>
  <c r="H28" s="1"/>
  <c r="F34" i="15" a="1"/>
  <c r="F34" s="1"/>
  <c r="J18" i="45" a="1"/>
  <c r="J18" s="1"/>
  <c r="N18" s="1"/>
  <c r="H6" i="62" a="1"/>
  <c r="H6" s="1"/>
  <c r="J56" i="55" a="1"/>
  <c r="J56" s="1"/>
  <c r="L31" i="45" a="1"/>
  <c r="L31" s="1"/>
  <c r="F38" i="12" a="1"/>
  <c r="F38" s="1"/>
  <c r="J21" i="45" a="1"/>
  <c r="J21" s="1"/>
  <c r="J11" i="62" a="1"/>
  <c r="J11" s="1"/>
  <c r="H39" i="55" a="1"/>
  <c r="H39" s="1"/>
  <c r="H27" a="1"/>
  <c r="H27" s="1"/>
  <c r="E63" i="15" a="1"/>
  <c r="E63" s="1"/>
  <c r="I63" s="1"/>
  <c r="H13" i="62" a="1"/>
  <c r="H13" s="1"/>
  <c r="H8" a="1"/>
  <c r="H8" s="1"/>
  <c r="H76" i="55" a="1"/>
  <c r="H76" s="1"/>
  <c r="J30" i="45" a="1"/>
  <c r="J30" s="1"/>
  <c r="J8" i="62" a="1"/>
  <c r="J8" s="1"/>
  <c r="E56" i="12" a="1"/>
  <c r="E56" s="1"/>
  <c r="J20" i="45" a="1"/>
  <c r="J20" s="1"/>
  <c r="H29" i="55" a="1"/>
  <c r="H29" s="1"/>
  <c r="J7" i="62" a="1"/>
  <c r="J7" s="1"/>
  <c r="J10" a="1"/>
  <c r="J10" s="1"/>
  <c r="H20" i="55" a="1"/>
  <c r="H20" s="1"/>
  <c r="E36" i="15" a="1"/>
  <c r="E36" s="1"/>
  <c r="F37" i="12" a="1"/>
  <c r="F37" s="1"/>
  <c r="H13" i="55" a="1"/>
  <c r="H13" s="1"/>
  <c r="L13" s="1"/>
  <c r="E67" i="15" a="1"/>
  <c r="E67" s="1"/>
  <c r="I67" s="1"/>
  <c r="F40" i="12" a="1"/>
  <c r="F40" s="1"/>
  <c r="F15" i="15" a="1"/>
  <c r="F15" s="1"/>
  <c r="J10" i="45" a="1"/>
  <c r="J10" s="1"/>
  <c r="H58" i="55" a="1"/>
  <c r="H58" s="1"/>
  <c r="L58" s="1"/>
  <c r="F41" i="12" a="1"/>
  <c r="F41" s="1"/>
  <c r="E52" i="15" a="1"/>
  <c r="E52" s="1"/>
  <c r="H37" i="55" a="1"/>
  <c r="H37" s="1"/>
  <c r="H21" a="1"/>
  <c r="H21" s="1"/>
  <c r="L21" s="1"/>
  <c r="E31" i="15" a="1"/>
  <c r="E31" s="1"/>
  <c r="E33" a="1"/>
  <c r="E33" s="1"/>
  <c r="L19" i="45" a="1"/>
  <c r="L19" s="1"/>
  <c r="P19" s="1"/>
  <c r="L17" a="1"/>
  <c r="L17" s="1"/>
  <c r="F52" i="15" a="1"/>
  <c r="F52" s="1"/>
  <c r="F4" i="12" a="1"/>
  <c r="F4" s="1"/>
  <c r="E26" i="15" a="1"/>
  <c r="E26" s="1"/>
  <c r="E4" i="12" a="1"/>
  <c r="E4" s="1"/>
  <c r="J9" i="45" a="1"/>
  <c r="J9" s="1"/>
  <c r="F20" i="15" a="1"/>
  <c r="F20" s="1"/>
  <c r="H24" i="55" a="1"/>
  <c r="H24" s="1"/>
  <c r="F66" i="12" a="1"/>
  <c r="F66" s="1"/>
  <c r="F56" a="1"/>
  <c r="F56" s="1"/>
  <c r="E59" a="1"/>
  <c r="E59" s="1"/>
  <c r="H78" i="55" a="1"/>
  <c r="H78" s="1"/>
  <c r="L78" s="1"/>
  <c r="F59" i="12" a="1"/>
  <c r="F59" s="1"/>
  <c r="J7" i="45" a="1"/>
  <c r="J7" s="1"/>
  <c r="E20" i="15" a="1"/>
  <c r="E20" s="1"/>
  <c r="H59" i="55" a="1"/>
  <c r="H59" s="1"/>
  <c r="L9" i="45" a="1"/>
  <c r="L9" s="1"/>
  <c r="F33" i="15" a="1"/>
  <c r="F33" s="1"/>
  <c r="F44" a="1"/>
  <c r="F44" s="1"/>
  <c r="H12" i="55" a="1"/>
  <c r="H12" s="1"/>
  <c r="F21" i="15" a="1"/>
  <c r="F21" s="1"/>
  <c r="E62" a="1"/>
  <c r="E62" s="1"/>
  <c r="J23" i="45" a="1"/>
  <c r="J23" s="1"/>
  <c r="J13" a="1"/>
  <c r="J13" s="1"/>
  <c r="H10" i="15"/>
  <c r="H11" s="1"/>
  <c r="F11"/>
  <c r="J71" i="55" a="1"/>
  <c r="J71" s="1"/>
  <c r="E37" i="12" a="1"/>
  <c r="E37" s="1"/>
  <c r="L12" i="45" a="1"/>
  <c r="L12" s="1"/>
  <c r="J17" a="1"/>
  <c r="J17" s="1"/>
  <c r="F49" i="15" a="1"/>
  <c r="F49" s="1"/>
  <c r="E55" i="12" a="1"/>
  <c r="E55" s="1"/>
  <c r="H5" i="62" a="1"/>
  <c r="H5" s="1"/>
  <c r="H71" i="55" a="1"/>
  <c r="H71" s="1"/>
  <c r="J12" a="1"/>
  <c r="J12" s="1"/>
  <c r="F27" i="15" a="1"/>
  <c r="F27" s="1"/>
  <c r="G27" s="1"/>
  <c r="F55" a="1"/>
  <c r="F55" s="1"/>
  <c r="H56" i="55" a="1"/>
  <c r="H56" s="1"/>
  <c r="E21" i="15" a="1"/>
  <c r="E21" s="1"/>
  <c r="F51" a="1"/>
  <c r="F51" s="1"/>
  <c r="H51" s="1"/>
  <c r="C14" i="39"/>
  <c r="E18" i="63" l="1"/>
  <c r="J18"/>
  <c r="D19"/>
  <c r="I19"/>
  <c r="C20"/>
  <c r="A20" s="1"/>
  <c r="H20"/>
  <c r="B21"/>
  <c r="F21"/>
  <c r="K21"/>
  <c r="E22"/>
  <c r="J22"/>
  <c r="D23"/>
  <c r="I23"/>
  <c r="C24"/>
  <c r="A24" s="1"/>
  <c r="H24"/>
  <c r="B25"/>
  <c r="F25"/>
  <c r="K25"/>
  <c r="E26"/>
  <c r="J26"/>
  <c r="D27"/>
  <c r="I27"/>
  <c r="C28"/>
  <c r="A28" s="1"/>
  <c r="H28"/>
  <c r="B29"/>
  <c r="F29"/>
  <c r="K29"/>
  <c r="E30"/>
  <c r="J30"/>
  <c r="D31"/>
  <c r="I31"/>
  <c r="C32"/>
  <c r="A32" s="1"/>
  <c r="H32"/>
  <c r="B33"/>
  <c r="F33"/>
  <c r="K33"/>
  <c r="E34"/>
  <c r="J34"/>
  <c r="D35"/>
  <c r="I35"/>
  <c r="C36"/>
  <c r="A36" s="1"/>
  <c r="H36"/>
  <c r="B37"/>
  <c r="F37"/>
  <c r="K37"/>
  <c r="E38"/>
  <c r="J38"/>
  <c r="D39"/>
  <c r="I39"/>
  <c r="C40"/>
  <c r="A40" s="1"/>
  <c r="H40"/>
  <c r="B41"/>
  <c r="F41"/>
  <c r="K41"/>
  <c r="E42"/>
  <c r="J42"/>
  <c r="D43"/>
  <c r="I43"/>
  <c r="C44"/>
  <c r="A44" s="1"/>
  <c r="H44"/>
  <c r="B45"/>
  <c r="F45"/>
  <c r="K45"/>
  <c r="E46"/>
  <c r="J46"/>
  <c r="D47"/>
  <c r="I47"/>
  <c r="C48"/>
  <c r="A48" s="1"/>
  <c r="H48"/>
  <c r="B49"/>
  <c r="F49"/>
  <c r="K49"/>
  <c r="E50"/>
  <c r="J50"/>
  <c r="D51"/>
  <c r="I51"/>
  <c r="C52"/>
  <c r="A52" s="1"/>
  <c r="H52"/>
  <c r="B53"/>
  <c r="F53"/>
  <c r="K53"/>
  <c r="E54"/>
  <c r="J54"/>
  <c r="D55"/>
  <c r="I55"/>
  <c r="C56"/>
  <c r="A56" s="1"/>
  <c r="H56"/>
  <c r="B57"/>
  <c r="F57"/>
  <c r="K57"/>
  <c r="E58"/>
  <c r="J58"/>
  <c r="D59"/>
  <c r="I59"/>
  <c r="C60"/>
  <c r="A60" s="1"/>
  <c r="H60"/>
  <c r="B61"/>
  <c r="F61"/>
  <c r="K61"/>
  <c r="E62"/>
  <c r="J62"/>
  <c r="E63"/>
  <c r="J63"/>
  <c r="D64"/>
  <c r="I64"/>
  <c r="B65"/>
  <c r="F65"/>
  <c r="B18"/>
  <c r="F18"/>
  <c r="K18"/>
  <c r="E19"/>
  <c r="J19"/>
  <c r="D20"/>
  <c r="I20"/>
  <c r="C21"/>
  <c r="A21" s="1"/>
  <c r="H21"/>
  <c r="B22"/>
  <c r="F22"/>
  <c r="K22"/>
  <c r="E23"/>
  <c r="J23"/>
  <c r="D24"/>
  <c r="I24"/>
  <c r="C25"/>
  <c r="A25" s="1"/>
  <c r="H25"/>
  <c r="B26"/>
  <c r="F26"/>
  <c r="K26"/>
  <c r="E27"/>
  <c r="J27"/>
  <c r="D28"/>
  <c r="I28"/>
  <c r="C29"/>
  <c r="A29" s="1"/>
  <c r="H29"/>
  <c r="B30"/>
  <c r="F30"/>
  <c r="K30"/>
  <c r="E31"/>
  <c r="J31"/>
  <c r="D32"/>
  <c r="I32"/>
  <c r="C33"/>
  <c r="A33" s="1"/>
  <c r="H33"/>
  <c r="B34"/>
  <c r="F34"/>
  <c r="K34"/>
  <c r="E35"/>
  <c r="J35"/>
  <c r="D36"/>
  <c r="I36"/>
  <c r="C37"/>
  <c r="A37" s="1"/>
  <c r="H37"/>
  <c r="B38"/>
  <c r="F38"/>
  <c r="K38"/>
  <c r="E39"/>
  <c r="J39"/>
  <c r="D40"/>
  <c r="I40"/>
  <c r="C41"/>
  <c r="A41" s="1"/>
  <c r="H41"/>
  <c r="B42"/>
  <c r="F42"/>
  <c r="K42"/>
  <c r="E43"/>
  <c r="J43"/>
  <c r="D44"/>
  <c r="I44"/>
  <c r="C45"/>
  <c r="A45" s="1"/>
  <c r="H45"/>
  <c r="B46"/>
  <c r="F46"/>
  <c r="K46"/>
  <c r="E47"/>
  <c r="J47"/>
  <c r="D48"/>
  <c r="I48"/>
  <c r="C49"/>
  <c r="A49" s="1"/>
  <c r="H49"/>
  <c r="B50"/>
  <c r="F50"/>
  <c r="K50"/>
  <c r="E51"/>
  <c r="J51"/>
  <c r="D52"/>
  <c r="I52"/>
  <c r="C53"/>
  <c r="A53" s="1"/>
  <c r="H53"/>
  <c r="B54"/>
  <c r="F54"/>
  <c r="K54"/>
  <c r="E55"/>
  <c r="J55"/>
  <c r="D56"/>
  <c r="I56"/>
  <c r="C57"/>
  <c r="A57" s="1"/>
  <c r="H57"/>
  <c r="B58"/>
  <c r="F58"/>
  <c r="K58"/>
  <c r="E59"/>
  <c r="J59"/>
  <c r="D60"/>
  <c r="I60"/>
  <c r="C61"/>
  <c r="A61" s="1"/>
  <c r="H61"/>
  <c r="B62"/>
  <c r="F62"/>
  <c r="K62"/>
  <c r="D63"/>
  <c r="I63"/>
  <c r="C64"/>
  <c r="A64" s="1"/>
  <c r="H64"/>
  <c r="C65"/>
  <c r="A65" s="1"/>
  <c r="H65"/>
  <c r="B66"/>
  <c r="F66"/>
  <c r="K66"/>
  <c r="D67"/>
  <c r="I67"/>
  <c r="C68"/>
  <c r="A68" s="1"/>
  <c r="H68"/>
  <c r="C69"/>
  <c r="A69" s="1"/>
  <c r="H69"/>
  <c r="B70"/>
  <c r="F70"/>
  <c r="K70"/>
  <c r="D71"/>
  <c r="I71"/>
  <c r="C72"/>
  <c r="A72" s="1"/>
  <c r="H72"/>
  <c r="E66"/>
  <c r="C67"/>
  <c r="A67" s="1"/>
  <c r="D68"/>
  <c r="B69"/>
  <c r="K69"/>
  <c r="H70"/>
  <c r="J71"/>
  <c r="F72"/>
  <c r="C73"/>
  <c r="A73" s="1"/>
  <c r="H73"/>
  <c r="B74"/>
  <c r="F74"/>
  <c r="K74"/>
  <c r="D75"/>
  <c r="I75"/>
  <c r="C76"/>
  <c r="A76" s="1"/>
  <c r="H76"/>
  <c r="C77"/>
  <c r="A77" s="1"/>
  <c r="H77"/>
  <c r="B78"/>
  <c r="F78"/>
  <c r="K78"/>
  <c r="D79"/>
  <c r="I79"/>
  <c r="C80"/>
  <c r="A80" s="1"/>
  <c r="C18"/>
  <c r="A18" s="1"/>
  <c r="H18"/>
  <c r="B19"/>
  <c r="F19"/>
  <c r="K19"/>
  <c r="E20"/>
  <c r="J20"/>
  <c r="D21"/>
  <c r="I21"/>
  <c r="C22"/>
  <c r="A22" s="1"/>
  <c r="H22"/>
  <c r="B23"/>
  <c r="F23"/>
  <c r="K23"/>
  <c r="E24"/>
  <c r="J24"/>
  <c r="D25"/>
  <c r="I25"/>
  <c r="C26"/>
  <c r="A26" s="1"/>
  <c r="H26"/>
  <c r="B27"/>
  <c r="F27"/>
  <c r="K27"/>
  <c r="E28"/>
  <c r="J28"/>
  <c r="D29"/>
  <c r="I29"/>
  <c r="C30"/>
  <c r="A30" s="1"/>
  <c r="H30"/>
  <c r="B31"/>
  <c r="F31"/>
  <c r="K31"/>
  <c r="E32"/>
  <c r="J32"/>
  <c r="D33"/>
  <c r="I33"/>
  <c r="C34"/>
  <c r="A34" s="1"/>
  <c r="H34"/>
  <c r="B35"/>
  <c r="F35"/>
  <c r="K35"/>
  <c r="E36"/>
  <c r="J36"/>
  <c r="D37"/>
  <c r="I37"/>
  <c r="C38"/>
  <c r="A38" s="1"/>
  <c r="H38"/>
  <c r="B39"/>
  <c r="F39"/>
  <c r="K39"/>
  <c r="E40"/>
  <c r="J40"/>
  <c r="D41"/>
  <c r="I41"/>
  <c r="C42"/>
  <c r="A42" s="1"/>
  <c r="H42"/>
  <c r="B43"/>
  <c r="F43"/>
  <c r="K43"/>
  <c r="E44"/>
  <c r="J44"/>
  <c r="D45"/>
  <c r="I45"/>
  <c r="C46"/>
  <c r="A46" s="1"/>
  <c r="H46"/>
  <c r="B47"/>
  <c r="F47"/>
  <c r="K47"/>
  <c r="E48"/>
  <c r="J48"/>
  <c r="D49"/>
  <c r="I49"/>
  <c r="C50"/>
  <c r="A50" s="1"/>
  <c r="H50"/>
  <c r="B51"/>
  <c r="F51"/>
  <c r="K51"/>
  <c r="E52"/>
  <c r="J52"/>
  <c r="D53"/>
  <c r="I53"/>
  <c r="C54"/>
  <c r="A54" s="1"/>
  <c r="H54"/>
  <c r="B55"/>
  <c r="F55"/>
  <c r="K55"/>
  <c r="E56"/>
  <c r="J56"/>
  <c r="D57"/>
  <c r="I57"/>
  <c r="C58"/>
  <c r="A58" s="1"/>
  <c r="H58"/>
  <c r="B59"/>
  <c r="F59"/>
  <c r="K59"/>
  <c r="E60"/>
  <c r="J60"/>
  <c r="D61"/>
  <c r="I61"/>
  <c r="C62"/>
  <c r="A62" s="1"/>
  <c r="H62"/>
  <c r="C63"/>
  <c r="A63" s="1"/>
  <c r="H63"/>
  <c r="B64"/>
  <c r="F64"/>
  <c r="K64"/>
  <c r="D65"/>
  <c r="I65"/>
  <c r="D18"/>
  <c r="I18"/>
  <c r="C19"/>
  <c r="A19" s="1"/>
  <c r="H19"/>
  <c r="B20"/>
  <c r="F20"/>
  <c r="K20"/>
  <c r="E21"/>
  <c r="J21"/>
  <c r="D22"/>
  <c r="I22"/>
  <c r="C23"/>
  <c r="A23" s="1"/>
  <c r="H23"/>
  <c r="B24"/>
  <c r="F24"/>
  <c r="K24"/>
  <c r="E25"/>
  <c r="J25"/>
  <c r="D26"/>
  <c r="I26"/>
  <c r="C27"/>
  <c r="A27" s="1"/>
  <c r="H27"/>
  <c r="B28"/>
  <c r="F28"/>
  <c r="K28"/>
  <c r="E29"/>
  <c r="J29"/>
  <c r="D30"/>
  <c r="I30"/>
  <c r="C31"/>
  <c r="A31" s="1"/>
  <c r="H31"/>
  <c r="B32"/>
  <c r="F32"/>
  <c r="K32"/>
  <c r="E33"/>
  <c r="J33"/>
  <c r="D34"/>
  <c r="I34"/>
  <c r="C35"/>
  <c r="A35" s="1"/>
  <c r="H35"/>
  <c r="B36"/>
  <c r="F36"/>
  <c r="K36"/>
  <c r="E37"/>
  <c r="J37"/>
  <c r="D38"/>
  <c r="I38"/>
  <c r="C39"/>
  <c r="A39" s="1"/>
  <c r="H39"/>
  <c r="B40"/>
  <c r="F40"/>
  <c r="K40"/>
  <c r="E41"/>
  <c r="J41"/>
  <c r="D42"/>
  <c r="I42"/>
  <c r="C43"/>
  <c r="A43" s="1"/>
  <c r="H43"/>
  <c r="B44"/>
  <c r="F44"/>
  <c r="K44"/>
  <c r="E45"/>
  <c r="J45"/>
  <c r="D46"/>
  <c r="I46"/>
  <c r="C47"/>
  <c r="A47" s="1"/>
  <c r="H47"/>
  <c r="B48"/>
  <c r="F48"/>
  <c r="K48"/>
  <c r="E49"/>
  <c r="J49"/>
  <c r="D50"/>
  <c r="I50"/>
  <c r="C51"/>
  <c r="A51" s="1"/>
  <c r="H51"/>
  <c r="B52"/>
  <c r="F52"/>
  <c r="K52"/>
  <c r="E53"/>
  <c r="J53"/>
  <c r="D54"/>
  <c r="I54"/>
  <c r="C55"/>
  <c r="A55" s="1"/>
  <c r="H55"/>
  <c r="B56"/>
  <c r="F56"/>
  <c r="K56"/>
  <c r="E57"/>
  <c r="J57"/>
  <c r="D58"/>
  <c r="I58"/>
  <c r="C59"/>
  <c r="A59" s="1"/>
  <c r="H59"/>
  <c r="B60"/>
  <c r="F60"/>
  <c r="K60"/>
  <c r="E61"/>
  <c r="J61"/>
  <c r="D62"/>
  <c r="I62"/>
  <c r="B63"/>
  <c r="F63"/>
  <c r="K63"/>
  <c r="E64"/>
  <c r="J64"/>
  <c r="E65"/>
  <c r="J65"/>
  <c r="D66"/>
  <c r="I66"/>
  <c r="B67"/>
  <c r="F67"/>
  <c r="K67"/>
  <c r="E68"/>
  <c r="J68"/>
  <c r="E69"/>
  <c r="J69"/>
  <c r="D70"/>
  <c r="I70"/>
  <c r="B71"/>
  <c r="F71"/>
  <c r="K71"/>
  <c r="E72"/>
  <c r="J72"/>
  <c r="J66"/>
  <c r="H67"/>
  <c r="I68"/>
  <c r="F69"/>
  <c r="C70"/>
  <c r="A70" s="1"/>
  <c r="E71"/>
  <c r="B72"/>
  <c r="K72"/>
  <c r="E73"/>
  <c r="J73"/>
  <c r="D74"/>
  <c r="I74"/>
  <c r="B75"/>
  <c r="F75"/>
  <c r="K75"/>
  <c r="E76"/>
  <c r="J76"/>
  <c r="E77"/>
  <c r="J77"/>
  <c r="D78"/>
  <c r="I78"/>
  <c r="B79"/>
  <c r="F79"/>
  <c r="E80"/>
  <c r="J80"/>
  <c r="E81"/>
  <c r="J81"/>
  <c r="D82"/>
  <c r="I82"/>
  <c r="B83"/>
  <c r="F83"/>
  <c r="K83"/>
  <c r="E84"/>
  <c r="J84"/>
  <c r="E85"/>
  <c r="J85"/>
  <c r="D86"/>
  <c r="I86"/>
  <c r="B87"/>
  <c r="F87"/>
  <c r="K87"/>
  <c r="D88"/>
  <c r="I88"/>
  <c r="C89"/>
  <c r="A89" s="1"/>
  <c r="H89"/>
  <c r="C90"/>
  <c r="A90" s="1"/>
  <c r="H90"/>
  <c r="C91"/>
  <c r="A91" s="1"/>
  <c r="H91"/>
  <c r="C92"/>
  <c r="A92" s="1"/>
  <c r="H92"/>
  <c r="B93"/>
  <c r="F93"/>
  <c r="K93"/>
  <c r="E94"/>
  <c r="J94"/>
  <c r="D95"/>
  <c r="I95"/>
  <c r="C96"/>
  <c r="A96" s="1"/>
  <c r="H96"/>
  <c r="C97"/>
  <c r="A97" s="1"/>
  <c r="H97"/>
  <c r="C98"/>
  <c r="A98" s="1"/>
  <c r="H98"/>
  <c r="B99"/>
  <c r="F99"/>
  <c r="K99"/>
  <c r="D100"/>
  <c r="I100"/>
  <c r="B101"/>
  <c r="F101"/>
  <c r="K101"/>
  <c r="D102"/>
  <c r="I102"/>
  <c r="C103"/>
  <c r="A103" s="1"/>
  <c r="H103"/>
  <c r="B104"/>
  <c r="F104"/>
  <c r="K104"/>
  <c r="E105"/>
  <c r="J105"/>
  <c r="D106"/>
  <c r="I106"/>
  <c r="B107"/>
  <c r="F107"/>
  <c r="K107"/>
  <c r="E108"/>
  <c r="J108"/>
  <c r="D109"/>
  <c r="I109"/>
  <c r="K65"/>
  <c r="H66"/>
  <c r="J67"/>
  <c r="F68"/>
  <c r="D69"/>
  <c r="E70"/>
  <c r="C71"/>
  <c r="A71" s="1"/>
  <c r="D72"/>
  <c r="B73"/>
  <c r="F73"/>
  <c r="K73"/>
  <c r="E74"/>
  <c r="J74"/>
  <c r="E75"/>
  <c r="J75"/>
  <c r="D76"/>
  <c r="I76"/>
  <c r="B77"/>
  <c r="F77"/>
  <c r="K77"/>
  <c r="E78"/>
  <c r="J78"/>
  <c r="E79"/>
  <c r="J79"/>
  <c r="D80"/>
  <c r="I80"/>
  <c r="B81"/>
  <c r="F81"/>
  <c r="K81"/>
  <c r="E82"/>
  <c r="J82"/>
  <c r="E83"/>
  <c r="J83"/>
  <c r="D84"/>
  <c r="I84"/>
  <c r="B85"/>
  <c r="F85"/>
  <c r="K85"/>
  <c r="E86"/>
  <c r="J86"/>
  <c r="E87"/>
  <c r="J87"/>
  <c r="E88"/>
  <c r="J88"/>
  <c r="D89"/>
  <c r="I89"/>
  <c r="B90"/>
  <c r="F90"/>
  <c r="K90"/>
  <c r="D91"/>
  <c r="I91"/>
  <c r="B92"/>
  <c r="F92"/>
  <c r="K92"/>
  <c r="E93"/>
  <c r="J93"/>
  <c r="D94"/>
  <c r="I94"/>
  <c r="C95"/>
  <c r="A95" s="1"/>
  <c r="H95"/>
  <c r="B96"/>
  <c r="F96"/>
  <c r="K96"/>
  <c r="D97"/>
  <c r="I97"/>
  <c r="B98"/>
  <c r="F98"/>
  <c r="K98"/>
  <c r="E99"/>
  <c r="J99"/>
  <c r="E100"/>
  <c r="J100"/>
  <c r="E101"/>
  <c r="J101"/>
  <c r="E102"/>
  <c r="J102"/>
  <c r="D103"/>
  <c r="I103"/>
  <c r="C104"/>
  <c r="A104" s="1"/>
  <c r="H104"/>
  <c r="B105"/>
  <c r="F105"/>
  <c r="K105"/>
  <c r="E106"/>
  <c r="J106"/>
  <c r="E107"/>
  <c r="J107"/>
  <c r="D108"/>
  <c r="I108"/>
  <c r="C109"/>
  <c r="A109" s="1"/>
  <c r="H109"/>
  <c r="K79"/>
  <c r="H80"/>
  <c r="C81"/>
  <c r="A81" s="1"/>
  <c r="H81"/>
  <c r="B82"/>
  <c r="F82"/>
  <c r="K82"/>
  <c r="D83"/>
  <c r="I83"/>
  <c r="C84"/>
  <c r="A84" s="1"/>
  <c r="H84"/>
  <c r="C85"/>
  <c r="A85" s="1"/>
  <c r="H85"/>
  <c r="B86"/>
  <c r="F86"/>
  <c r="K86"/>
  <c r="D87"/>
  <c r="I87"/>
  <c r="B88"/>
  <c r="F88"/>
  <c r="K88"/>
  <c r="E89"/>
  <c r="J89"/>
  <c r="E90"/>
  <c r="J90"/>
  <c r="E91"/>
  <c r="J91"/>
  <c r="E92"/>
  <c r="J92"/>
  <c r="D93"/>
  <c r="I93"/>
  <c r="C94"/>
  <c r="A94" s="1"/>
  <c r="H94"/>
  <c r="B95"/>
  <c r="F95"/>
  <c r="K95"/>
  <c r="E96"/>
  <c r="J96"/>
  <c r="E97"/>
  <c r="J97"/>
  <c r="E98"/>
  <c r="J98"/>
  <c r="D99"/>
  <c r="I99"/>
  <c r="B100"/>
  <c r="F100"/>
  <c r="K100"/>
  <c r="D101"/>
  <c r="I101"/>
  <c r="B102"/>
  <c r="F102"/>
  <c r="K102"/>
  <c r="E103"/>
  <c r="J103"/>
  <c r="D104"/>
  <c r="I104"/>
  <c r="C105"/>
  <c r="A105" s="1"/>
  <c r="H105"/>
  <c r="B106"/>
  <c r="F106"/>
  <c r="K106"/>
  <c r="D107"/>
  <c r="I107"/>
  <c r="C108"/>
  <c r="A108" s="1"/>
  <c r="H108"/>
  <c r="B109"/>
  <c r="F109"/>
  <c r="K109"/>
  <c r="C66"/>
  <c r="A66" s="1"/>
  <c r="E67"/>
  <c r="B68"/>
  <c r="K68"/>
  <c r="I69"/>
  <c r="J70"/>
  <c r="H71"/>
  <c r="I72"/>
  <c r="D73"/>
  <c r="I73"/>
  <c r="C74"/>
  <c r="A74" s="1"/>
  <c r="H74"/>
  <c r="C75"/>
  <c r="A75" s="1"/>
  <c r="H75"/>
  <c r="B76"/>
  <c r="F76"/>
  <c r="K76"/>
  <c r="D77"/>
  <c r="I77"/>
  <c r="C78"/>
  <c r="A78" s="1"/>
  <c r="H78"/>
  <c r="C79"/>
  <c r="A79" s="1"/>
  <c r="H79"/>
  <c r="B80"/>
  <c r="F80"/>
  <c r="K80"/>
  <c r="D81"/>
  <c r="I81"/>
  <c r="C82"/>
  <c r="A82" s="1"/>
  <c r="H82"/>
  <c r="C83"/>
  <c r="A83" s="1"/>
  <c r="H83"/>
  <c r="B84"/>
  <c r="F84"/>
  <c r="K84"/>
  <c r="D85"/>
  <c r="I85"/>
  <c r="C86"/>
  <c r="A86" s="1"/>
  <c r="H86"/>
  <c r="C87"/>
  <c r="A87" s="1"/>
  <c r="H87"/>
  <c r="C88"/>
  <c r="A88" s="1"/>
  <c r="H88"/>
  <c r="B89"/>
  <c r="F89"/>
  <c r="K89"/>
  <c r="D90"/>
  <c r="I90"/>
  <c r="B91"/>
  <c r="F91"/>
  <c r="K91"/>
  <c r="D92"/>
  <c r="I92"/>
  <c r="C93"/>
  <c r="A93" s="1"/>
  <c r="H93"/>
  <c r="B94"/>
  <c r="F94"/>
  <c r="K94"/>
  <c r="E95"/>
  <c r="J95"/>
  <c r="D96"/>
  <c r="I96"/>
  <c r="B97"/>
  <c r="F97"/>
  <c r="K97"/>
  <c r="D98"/>
  <c r="I98"/>
  <c r="C99"/>
  <c r="A99" s="1"/>
  <c r="H99"/>
  <c r="C100"/>
  <c r="A100" s="1"/>
  <c r="H100"/>
  <c r="C101"/>
  <c r="A101" s="1"/>
  <c r="H101"/>
  <c r="C102"/>
  <c r="A102" s="1"/>
  <c r="H102"/>
  <c r="B103"/>
  <c r="F103"/>
  <c r="K103"/>
  <c r="E104"/>
  <c r="J104"/>
  <c r="D105"/>
  <c r="I105"/>
  <c r="C106"/>
  <c r="A106" s="1"/>
  <c r="H106"/>
  <c r="C107"/>
  <c r="A107" s="1"/>
  <c r="H107"/>
  <c r="B108"/>
  <c r="F108"/>
  <c r="K108"/>
  <c r="E109"/>
  <c r="J109"/>
  <c r="E28" i="58"/>
  <c r="I28" s="1"/>
  <c r="H25"/>
  <c r="C23"/>
  <c r="E20"/>
  <c r="H17"/>
  <c r="C15"/>
  <c r="B29"/>
  <c r="D26"/>
  <c r="G23"/>
  <c r="B21"/>
  <c r="F21" s="1"/>
  <c r="D18"/>
  <c r="G15"/>
  <c r="C30"/>
  <c r="E27"/>
  <c r="I27" s="1"/>
  <c r="H24"/>
  <c r="C22"/>
  <c r="E19"/>
  <c r="H16"/>
  <c r="C14"/>
  <c r="G28"/>
  <c r="B26"/>
  <c r="D23"/>
  <c r="G20"/>
  <c r="B18"/>
  <c r="F18" s="1"/>
  <c r="E30"/>
  <c r="I30" s="1"/>
  <c r="H27"/>
  <c r="C25"/>
  <c r="E22"/>
  <c r="H19"/>
  <c r="C17"/>
  <c r="E14"/>
  <c r="D28"/>
  <c r="G25"/>
  <c r="B23"/>
  <c r="F23" s="1"/>
  <c r="D20"/>
  <c r="G17"/>
  <c r="B15"/>
  <c r="F15" s="1"/>
  <c r="E29"/>
  <c r="I29" s="1"/>
  <c r="H26"/>
  <c r="C24"/>
  <c r="E21"/>
  <c r="H18"/>
  <c r="C16"/>
  <c r="G30"/>
  <c r="B28"/>
  <c r="D25"/>
  <c r="G22"/>
  <c r="B20"/>
  <c r="F20" s="1"/>
  <c r="D17"/>
  <c r="G14"/>
  <c r="H29"/>
  <c r="C27"/>
  <c r="E24"/>
  <c r="H21"/>
  <c r="C19"/>
  <c r="E16"/>
  <c r="D30"/>
  <c r="G27"/>
  <c r="B25"/>
  <c r="F25" s="1"/>
  <c r="D22"/>
  <c r="G19"/>
  <c r="B17"/>
  <c r="F17" s="1"/>
  <c r="D14"/>
  <c r="H28"/>
  <c r="C26"/>
  <c r="E23"/>
  <c r="H20"/>
  <c r="C18"/>
  <c r="E15"/>
  <c r="B30"/>
  <c r="D27"/>
  <c r="G24"/>
  <c r="B22"/>
  <c r="F22" s="1"/>
  <c r="D19"/>
  <c r="G16"/>
  <c r="B14"/>
  <c r="H23"/>
  <c r="G29"/>
  <c r="B19"/>
  <c r="F19" s="1"/>
  <c r="E25"/>
  <c r="H14"/>
  <c r="D21"/>
  <c r="C21"/>
  <c r="B27"/>
  <c r="D16"/>
  <c r="H22"/>
  <c r="D29"/>
  <c r="G18"/>
  <c r="C29"/>
  <c r="E18"/>
  <c r="D24"/>
  <c r="H30"/>
  <c r="C20"/>
  <c r="G26"/>
  <c r="B16"/>
  <c r="F16" s="1"/>
  <c r="E26"/>
  <c r="I26" s="1"/>
  <c r="H15"/>
  <c r="G21"/>
  <c r="C28"/>
  <c r="E17"/>
  <c r="B24"/>
  <c r="F24" s="1"/>
  <c r="D15"/>
  <c r="G23" i="56"/>
  <c r="G21"/>
  <c r="F22"/>
  <c r="H22" s="1"/>
  <c r="B20"/>
  <c r="D20" s="1"/>
  <c r="F23"/>
  <c r="H23" s="1"/>
  <c r="B17"/>
  <c r="A9"/>
  <c r="G17"/>
  <c r="G8"/>
  <c r="G7"/>
  <c r="B22"/>
  <c r="F21"/>
  <c r="H21" s="1"/>
  <c r="G22"/>
  <c r="B18"/>
  <c r="F17"/>
  <c r="G20"/>
  <c r="G18"/>
  <c r="G19"/>
  <c r="B21"/>
  <c r="D21" s="1"/>
  <c r="B23"/>
  <c r="D23" s="1"/>
  <c r="B19"/>
  <c r="D19" s="1"/>
  <c r="F18"/>
  <c r="F19"/>
  <c r="D6"/>
  <c r="F28" s="1"/>
  <c r="F20"/>
  <c r="H20" s="1"/>
  <c r="C17" i="63"/>
  <c r="A17" s="1"/>
  <c r="H17"/>
  <c r="D17"/>
  <c r="E17"/>
  <c r="J17"/>
  <c r="B17"/>
  <c r="I17"/>
  <c r="F17"/>
  <c r="K17"/>
  <c r="I20" i="52"/>
  <c r="A25"/>
  <c r="E24"/>
  <c r="D24"/>
  <c r="E22"/>
  <c r="E21"/>
  <c r="E20"/>
  <c r="G25"/>
  <c r="B24"/>
  <c r="I23"/>
  <c r="C21"/>
  <c r="E25"/>
  <c r="J24"/>
  <c r="J18"/>
  <c r="B17"/>
  <c r="D18"/>
  <c r="G19"/>
  <c r="I17"/>
  <c r="A19"/>
  <c r="C17"/>
  <c r="A20"/>
  <c r="H24"/>
  <c r="E23"/>
  <c r="H22"/>
  <c r="B22"/>
  <c r="H20"/>
  <c r="I25"/>
  <c r="H25"/>
  <c r="G23"/>
  <c r="I22"/>
  <c r="I21"/>
  <c r="B25"/>
  <c r="J23"/>
  <c r="D23"/>
  <c r="E18"/>
  <c r="H19"/>
  <c r="J17"/>
  <c r="B19"/>
  <c r="D17"/>
  <c r="G18"/>
  <c r="I24"/>
  <c r="J22"/>
  <c r="J21"/>
  <c r="J20"/>
  <c r="D20"/>
  <c r="G24"/>
  <c r="A24"/>
  <c r="H23"/>
  <c r="A22"/>
  <c r="A21"/>
  <c r="C25"/>
  <c r="B23"/>
  <c r="D22"/>
  <c r="D21"/>
  <c r="I19"/>
  <c r="A18"/>
  <c r="C19"/>
  <c r="E17"/>
  <c r="H18"/>
  <c r="J19"/>
  <c r="B18"/>
  <c r="G22"/>
  <c r="B21"/>
  <c r="B20"/>
  <c r="J25"/>
  <c r="C24"/>
  <c r="A23"/>
  <c r="C22"/>
  <c r="H21"/>
  <c r="C20"/>
  <c r="D25"/>
  <c r="C23"/>
  <c r="G21"/>
  <c r="G20"/>
  <c r="D19"/>
  <c r="G17"/>
  <c r="I18"/>
  <c r="A17"/>
  <c r="C18"/>
  <c r="E19"/>
  <c r="H17"/>
  <c r="D32" i="42"/>
  <c r="D37"/>
  <c r="F88"/>
  <c r="D90"/>
  <c r="H101"/>
  <c r="F97"/>
  <c r="B98"/>
  <c r="C86"/>
  <c r="A103"/>
  <c r="H27"/>
  <c r="C89"/>
  <c r="B69"/>
  <c r="C47"/>
  <c r="D85"/>
  <c r="H90"/>
  <c r="H60"/>
  <c r="G81"/>
  <c r="C97"/>
  <c r="H25"/>
  <c r="F51"/>
  <c r="B59"/>
  <c r="H104"/>
  <c r="F91"/>
  <c r="D77"/>
  <c r="H94"/>
  <c r="C42"/>
  <c r="F87"/>
  <c r="F93"/>
  <c r="A63"/>
  <c r="D26"/>
  <c r="H53"/>
  <c r="H65"/>
  <c r="G23"/>
  <c r="G52"/>
  <c r="F54"/>
  <c r="F70"/>
  <c r="H92"/>
  <c r="C40"/>
  <c r="H103"/>
  <c r="D61"/>
  <c r="H34"/>
  <c r="D52"/>
  <c r="C50"/>
  <c r="H91"/>
  <c r="H71"/>
  <c r="B89"/>
  <c r="F56"/>
  <c r="H21"/>
  <c r="H33"/>
  <c r="F21"/>
  <c r="B14"/>
  <c r="H74"/>
  <c r="D80"/>
  <c r="D50"/>
  <c r="B48"/>
  <c r="H102"/>
  <c r="H18"/>
  <c r="F68"/>
  <c r="C91"/>
  <c r="C104"/>
  <c r="H59"/>
  <c r="H39"/>
  <c r="A18"/>
  <c r="C60"/>
  <c r="C65"/>
  <c r="C81"/>
  <c r="G19"/>
  <c r="G51"/>
  <c r="G92"/>
  <c r="A70"/>
  <c r="H86"/>
  <c r="G73"/>
  <c r="D59"/>
  <c r="B64"/>
  <c r="G41"/>
  <c r="B92"/>
  <c r="C51"/>
  <c r="A25"/>
  <c r="F25"/>
  <c r="D34"/>
  <c r="G42"/>
  <c r="C44"/>
  <c r="F90"/>
  <c r="B35"/>
  <c r="C21"/>
  <c r="B86"/>
  <c r="C95"/>
  <c r="B15"/>
  <c r="F58"/>
  <c r="B18"/>
  <c r="G94"/>
  <c r="H20"/>
  <c r="D75"/>
  <c r="G58"/>
  <c r="B49"/>
  <c r="G34"/>
  <c r="A40"/>
  <c r="B62"/>
  <c r="G17"/>
  <c r="B88"/>
  <c r="F79"/>
  <c r="F98"/>
  <c r="G21"/>
  <c r="F27"/>
  <c r="C15"/>
  <c r="A91"/>
  <c r="C23"/>
  <c r="F65"/>
  <c r="A80"/>
  <c r="C46"/>
  <c r="G65"/>
  <c r="B91"/>
  <c r="G64"/>
  <c r="F80"/>
  <c r="G43"/>
  <c r="A95"/>
  <c r="A74"/>
  <c r="G15"/>
  <c r="G49"/>
  <c r="C43"/>
  <c r="G53"/>
  <c r="D67"/>
  <c r="C68"/>
  <c r="D42"/>
  <c r="H96"/>
  <c r="G90"/>
  <c r="B30"/>
  <c r="D16"/>
  <c r="G91"/>
  <c r="B94"/>
  <c r="G38"/>
  <c r="B56"/>
  <c r="B78"/>
  <c r="D36"/>
  <c r="G44"/>
  <c r="A49"/>
  <c r="G46"/>
  <c r="F69"/>
  <c r="F44"/>
  <c r="A87"/>
  <c r="D22"/>
  <c r="G37"/>
  <c r="G27"/>
  <c r="H76"/>
  <c r="G71"/>
  <c r="C17"/>
  <c r="D51"/>
  <c r="A38"/>
  <c r="B50"/>
  <c r="A81"/>
  <c r="H54"/>
  <c r="G75"/>
  <c r="D27"/>
  <c r="G74"/>
  <c r="A14"/>
  <c r="A110" s="1"/>
  <c r="F19"/>
  <c r="G16"/>
  <c r="B73"/>
  <c r="E102"/>
  <c r="E86"/>
  <c r="E70"/>
  <c r="E54"/>
  <c r="E38"/>
  <c r="E22"/>
  <c r="E85"/>
  <c r="E53"/>
  <c r="E21"/>
  <c r="E81"/>
  <c r="E49"/>
  <c r="E17"/>
  <c r="E75"/>
  <c r="E88"/>
  <c r="E48"/>
  <c r="E87"/>
  <c r="E35"/>
  <c r="E84"/>
  <c r="E20"/>
  <c r="E51"/>
  <c r="E44"/>
  <c r="E24"/>
  <c r="E15"/>
  <c r="G103"/>
  <c r="H43"/>
  <c r="H23"/>
  <c r="B47"/>
  <c r="B76"/>
  <c r="F86"/>
  <c r="H17"/>
  <c r="B40"/>
  <c r="G31"/>
  <c r="F102"/>
  <c r="A90"/>
  <c r="A54"/>
  <c r="C77"/>
  <c r="G104"/>
  <c r="H83"/>
  <c r="H63"/>
  <c r="A50"/>
  <c r="A93"/>
  <c r="F64"/>
  <c r="A72"/>
  <c r="C84"/>
  <c r="D47"/>
  <c r="A16"/>
  <c r="G100"/>
  <c r="A48"/>
  <c r="G80"/>
  <c r="A102"/>
  <c r="C73"/>
  <c r="A97"/>
  <c r="G57"/>
  <c r="B67"/>
  <c r="H42"/>
  <c r="D48"/>
  <c r="D18"/>
  <c r="H100"/>
  <c r="C66"/>
  <c r="H87"/>
  <c r="G78"/>
  <c r="C85"/>
  <c r="H69"/>
  <c r="H81"/>
  <c r="G69"/>
  <c r="G84"/>
  <c r="F104"/>
  <c r="D93"/>
  <c r="H66"/>
  <c r="D84"/>
  <c r="F31"/>
  <c r="C79"/>
  <c r="A86"/>
  <c r="C96"/>
  <c r="D58"/>
  <c r="H75"/>
  <c r="H55"/>
  <c r="C39"/>
  <c r="F81"/>
  <c r="H37"/>
  <c r="H49"/>
  <c r="A43"/>
  <c r="F34"/>
  <c r="F103"/>
  <c r="H50"/>
  <c r="D24"/>
  <c r="D41"/>
  <c r="G28"/>
  <c r="A77"/>
  <c r="H95"/>
  <c r="B100"/>
  <c r="C99"/>
  <c r="B71"/>
  <c r="B51"/>
  <c r="G72"/>
  <c r="B28"/>
  <c r="G83"/>
  <c r="G56"/>
  <c r="D25"/>
  <c r="B34"/>
  <c r="C38"/>
  <c r="B36"/>
  <c r="C55"/>
  <c r="A34"/>
  <c r="C76"/>
  <c r="A94"/>
  <c r="B27"/>
  <c r="B77"/>
  <c r="D66"/>
  <c r="F45"/>
  <c r="B75"/>
  <c r="H40"/>
  <c r="G63"/>
  <c r="A88"/>
  <c r="B26"/>
  <c r="F20"/>
  <c r="G50"/>
  <c r="F22"/>
  <c r="D35"/>
  <c r="A79"/>
  <c r="H52"/>
  <c r="A15"/>
  <c r="F53"/>
  <c r="G40"/>
  <c r="A27"/>
  <c r="B58"/>
  <c r="A57"/>
  <c r="B87"/>
  <c r="C72"/>
  <c r="G88"/>
  <c r="H46"/>
  <c r="H15"/>
  <c r="B85"/>
  <c r="F17"/>
  <c r="F36"/>
  <c r="D55"/>
  <c r="A35"/>
  <c r="G35"/>
  <c r="D30"/>
  <c r="F43"/>
  <c r="F42"/>
  <c r="F59"/>
  <c r="D33"/>
  <c r="A36"/>
  <c r="H48"/>
  <c r="H38"/>
  <c r="B79"/>
  <c r="A42"/>
  <c r="G82"/>
  <c r="A44"/>
  <c r="D99"/>
  <c r="C53"/>
  <c r="D74"/>
  <c r="G30"/>
  <c r="A75"/>
  <c r="B17"/>
  <c r="C48"/>
  <c r="B90"/>
  <c r="C78"/>
  <c r="A31"/>
  <c r="G98"/>
  <c r="A73"/>
  <c r="D68"/>
  <c r="A37"/>
  <c r="C52"/>
  <c r="A39"/>
  <c r="H24"/>
  <c r="G62"/>
  <c r="A78"/>
  <c r="D54"/>
  <c r="A30"/>
  <c r="A20"/>
  <c r="C14"/>
  <c r="F18"/>
  <c r="C49"/>
  <c r="D83"/>
  <c r="C27"/>
  <c r="G61"/>
  <c r="H88"/>
  <c r="F14"/>
  <c r="F24"/>
  <c r="A46"/>
  <c r="E98"/>
  <c r="E82"/>
  <c r="E66"/>
  <c r="E50"/>
  <c r="E34"/>
  <c r="E18"/>
  <c r="E77"/>
  <c r="E45"/>
  <c r="G14"/>
  <c r="E73"/>
  <c r="E41"/>
  <c r="D14"/>
  <c r="E59"/>
  <c r="E80"/>
  <c r="E32"/>
  <c r="E71"/>
  <c r="E27"/>
  <c r="E68"/>
  <c r="E99"/>
  <c r="E92"/>
  <c r="E95"/>
  <c r="B103"/>
  <c r="D29"/>
  <c r="F82"/>
  <c r="D20"/>
  <c r="D92"/>
  <c r="F50"/>
  <c r="A58"/>
  <c r="F73"/>
  <c r="H36"/>
  <c r="H29"/>
  <c r="H41"/>
  <c r="C32"/>
  <c r="A24"/>
  <c r="D104"/>
  <c r="H82"/>
  <c r="D56"/>
  <c r="D73"/>
  <c r="G102"/>
  <c r="F94"/>
  <c r="A68"/>
  <c r="C34"/>
  <c r="A26"/>
  <c r="C94"/>
  <c r="A60"/>
  <c r="D82"/>
  <c r="F29"/>
  <c r="F101"/>
  <c r="A85"/>
  <c r="G76"/>
  <c r="F75"/>
  <c r="A104"/>
  <c r="H51"/>
  <c r="H31"/>
  <c r="G77"/>
  <c r="C101"/>
  <c r="A52"/>
  <c r="D88"/>
  <c r="G20"/>
  <c r="B23"/>
  <c r="D64"/>
  <c r="D69"/>
  <c r="D39"/>
  <c r="G26"/>
  <c r="H93"/>
  <c r="B21"/>
  <c r="C37"/>
  <c r="B70"/>
  <c r="A101"/>
  <c r="H19"/>
  <c r="F78"/>
  <c r="A45"/>
  <c r="B104"/>
  <c r="D72"/>
  <c r="D45"/>
  <c r="H62"/>
  <c r="G89"/>
  <c r="D21"/>
  <c r="H26"/>
  <c r="F74"/>
  <c r="D79"/>
  <c r="H61"/>
  <c r="H73"/>
  <c r="B45"/>
  <c r="B74"/>
  <c r="G101"/>
  <c r="F62"/>
  <c r="H98"/>
  <c r="B42"/>
  <c r="A21"/>
  <c r="F89"/>
  <c r="D63"/>
  <c r="B20"/>
  <c r="C64"/>
  <c r="C41"/>
  <c r="F37"/>
  <c r="G68"/>
  <c r="F67"/>
  <c r="C20"/>
  <c r="A83"/>
  <c r="C62"/>
  <c r="D57"/>
  <c r="C26"/>
  <c r="G29"/>
  <c r="C28"/>
  <c r="A98"/>
  <c r="B52"/>
  <c r="A64"/>
  <c r="D43"/>
  <c r="C19"/>
  <c r="A47"/>
  <c r="G59"/>
  <c r="C70"/>
  <c r="D44"/>
  <c r="F46"/>
  <c r="H16"/>
  <c r="H70"/>
  <c r="C18"/>
  <c r="B57"/>
  <c r="C56"/>
  <c r="B65"/>
  <c r="G22"/>
  <c r="C67"/>
  <c r="H84"/>
  <c r="B55"/>
  <c r="F85"/>
  <c r="C22"/>
  <c r="B29"/>
  <c r="F55"/>
  <c r="A89"/>
  <c r="F41"/>
  <c r="F61"/>
  <c r="D60"/>
  <c r="G67"/>
  <c r="C100"/>
  <c r="H32"/>
  <c r="B83"/>
  <c r="C36"/>
  <c r="D87"/>
  <c r="B37"/>
  <c r="A28"/>
  <c r="D62"/>
  <c r="F48"/>
  <c r="G60"/>
  <c r="C92"/>
  <c r="D65"/>
  <c r="G24"/>
  <c r="H80"/>
  <c r="B96"/>
  <c r="F39"/>
  <c r="B60"/>
  <c r="F77"/>
  <c r="G32"/>
  <c r="G33"/>
  <c r="A96"/>
  <c r="B19"/>
  <c r="A23"/>
  <c r="A62"/>
  <c r="A53"/>
  <c r="A51"/>
  <c r="B54"/>
  <c r="F66"/>
  <c r="B33"/>
  <c r="C87"/>
  <c r="C59"/>
  <c r="D100"/>
  <c r="B39"/>
  <c r="F32"/>
  <c r="B41"/>
  <c r="H56"/>
  <c r="F57"/>
  <c r="D31"/>
  <c r="D86"/>
  <c r="B80"/>
  <c r="G85"/>
  <c r="G95"/>
  <c r="C35"/>
  <c r="C83"/>
  <c r="A41"/>
  <c r="B53"/>
  <c r="E94"/>
  <c r="E78"/>
  <c r="E62"/>
  <c r="E46"/>
  <c r="E30"/>
  <c r="E101"/>
  <c r="E69"/>
  <c r="E37"/>
  <c r="E97"/>
  <c r="E65"/>
  <c r="E33"/>
  <c r="E14"/>
  <c r="H14"/>
  <c r="E72"/>
  <c r="E16"/>
  <c r="E55"/>
  <c r="E19"/>
  <c r="E52"/>
  <c r="E83"/>
  <c r="E76"/>
  <c r="E56"/>
  <c r="E79"/>
  <c r="E31"/>
  <c r="E28"/>
  <c r="H45"/>
  <c r="H57"/>
  <c r="B61"/>
  <c r="C45"/>
  <c r="C102"/>
  <c r="A84"/>
  <c r="C57"/>
  <c r="F23"/>
  <c r="F15"/>
  <c r="C93"/>
  <c r="F100"/>
  <c r="F60"/>
  <c r="H68"/>
  <c r="H85"/>
  <c r="H97"/>
  <c r="F26"/>
  <c r="C82"/>
  <c r="B102"/>
  <c r="C61"/>
  <c r="A69"/>
  <c r="A99"/>
  <c r="D49"/>
  <c r="H99"/>
  <c r="H79"/>
  <c r="B68"/>
  <c r="C71"/>
  <c r="A76"/>
  <c r="A92"/>
  <c r="G18"/>
  <c r="B93"/>
  <c r="D103"/>
  <c r="D40"/>
  <c r="F96"/>
  <c r="H30"/>
  <c r="B101"/>
  <c r="F63"/>
  <c r="B81"/>
  <c r="C54"/>
  <c r="E104"/>
  <c r="I104" s="1"/>
  <c r="H67"/>
  <c r="H47"/>
  <c r="F28"/>
  <c r="A71"/>
  <c r="D96"/>
  <c r="F99"/>
  <c r="D71"/>
  <c r="A19"/>
  <c r="D102"/>
  <c r="C75"/>
  <c r="C90"/>
  <c r="C63"/>
  <c r="H77"/>
  <c r="H89"/>
  <c r="B16"/>
  <c r="A61"/>
  <c r="C103"/>
  <c r="H35"/>
  <c r="A100"/>
  <c r="G25"/>
  <c r="G54"/>
  <c r="D53"/>
  <c r="H58"/>
  <c r="H28"/>
  <c r="C16"/>
  <c r="D101"/>
  <c r="C74"/>
  <c r="B66"/>
  <c r="A65"/>
  <c r="D81"/>
  <c r="A29"/>
  <c r="G99"/>
  <c r="A67"/>
  <c r="B22"/>
  <c r="D78"/>
  <c r="A82"/>
  <c r="D95"/>
  <c r="G97"/>
  <c r="C98"/>
  <c r="A33"/>
  <c r="G39"/>
  <c r="F71"/>
  <c r="F52"/>
  <c r="G55"/>
  <c r="F72"/>
  <c r="F95"/>
  <c r="D89"/>
  <c r="G79"/>
  <c r="A22"/>
  <c r="G87"/>
  <c r="G86"/>
  <c r="D98"/>
  <c r="G47"/>
  <c r="F38"/>
  <c r="H72"/>
  <c r="F16"/>
  <c r="B82"/>
  <c r="A56"/>
  <c r="D76"/>
  <c r="B46"/>
  <c r="D91"/>
  <c r="A59"/>
  <c r="B31"/>
  <c r="G70"/>
  <c r="C88"/>
  <c r="B63"/>
  <c r="D15"/>
  <c r="D23"/>
  <c r="B32"/>
  <c r="F33"/>
  <c r="F76"/>
  <c r="B95"/>
  <c r="F83"/>
  <c r="H78"/>
  <c r="F47"/>
  <c r="G93"/>
  <c r="F49"/>
  <c r="C69"/>
  <c r="B84"/>
  <c r="F92"/>
  <c r="H64"/>
  <c r="F40"/>
  <c r="F30"/>
  <c r="B24"/>
  <c r="C29"/>
  <c r="B97"/>
  <c r="D94"/>
  <c r="G66"/>
  <c r="C58"/>
  <c r="F84"/>
  <c r="D97"/>
  <c r="A17"/>
  <c r="D70"/>
  <c r="D17"/>
  <c r="B99"/>
  <c r="A55"/>
  <c r="A66"/>
  <c r="F35"/>
  <c r="B44"/>
  <c r="H44"/>
  <c r="C24"/>
  <c r="B25"/>
  <c r="D19"/>
  <c r="G45"/>
  <c r="A32"/>
  <c r="G96"/>
  <c r="H22"/>
  <c r="C25"/>
  <c r="D38"/>
  <c r="D28"/>
  <c r="G36"/>
  <c r="C31"/>
  <c r="B72"/>
  <c r="C33"/>
  <c r="D46"/>
  <c r="G48"/>
  <c r="C30"/>
  <c r="B43"/>
  <c r="C80"/>
  <c r="B38"/>
  <c r="E90"/>
  <c r="E74"/>
  <c r="E58"/>
  <c r="E42"/>
  <c r="E26"/>
  <c r="E93"/>
  <c r="E61"/>
  <c r="E29"/>
  <c r="E89"/>
  <c r="E57"/>
  <c r="E25"/>
  <c r="E91"/>
  <c r="E96"/>
  <c r="E64"/>
  <c r="E103"/>
  <c r="E43"/>
  <c r="E100"/>
  <c r="E36"/>
  <c r="E67"/>
  <c r="E60"/>
  <c r="E40"/>
  <c r="E63"/>
  <c r="E23"/>
  <c r="E47"/>
  <c r="E39"/>
  <c r="B14" i="69"/>
  <c r="G23"/>
  <c r="D31"/>
  <c r="G28"/>
  <c r="D36"/>
  <c r="I34"/>
  <c r="G21"/>
  <c r="H18"/>
  <c r="G34"/>
  <c r="D26"/>
  <c r="B19"/>
  <c r="D18"/>
  <c r="H32"/>
  <c r="H24"/>
  <c r="G16"/>
  <c r="H29"/>
  <c r="G33"/>
  <c r="A36"/>
  <c r="D17"/>
  <c r="B18"/>
  <c r="I17"/>
  <c r="A31"/>
  <c r="G29"/>
  <c r="D37"/>
  <c r="A14"/>
  <c r="I23"/>
  <c r="A21"/>
  <c r="I40"/>
  <c r="D27"/>
  <c r="B38"/>
  <c r="A20"/>
  <c r="I19"/>
  <c r="H27"/>
  <c r="I36"/>
  <c r="A34"/>
  <c r="H20"/>
  <c r="A39"/>
  <c r="H25"/>
  <c r="B17"/>
  <c r="B27"/>
  <c r="B35"/>
  <c r="I14"/>
  <c r="H22"/>
  <c r="I27"/>
  <c r="D30"/>
  <c r="G39"/>
  <c r="G15"/>
  <c r="A18"/>
  <c r="I25"/>
  <c r="B26"/>
  <c r="A23"/>
  <c r="G37"/>
  <c r="D29"/>
  <c r="A16"/>
  <c r="A37"/>
  <c r="A29"/>
  <c r="I16"/>
  <c r="D35"/>
  <c r="G32"/>
  <c r="B40"/>
  <c r="G22"/>
  <c r="A25"/>
  <c r="I28"/>
  <c r="H36"/>
  <c r="I33"/>
  <c r="G20"/>
  <c r="H17"/>
  <c r="I26"/>
  <c r="B25"/>
  <c r="B20"/>
  <c r="D19"/>
  <c r="H37"/>
  <c r="D24"/>
  <c r="I22"/>
  <c r="H30"/>
  <c r="I35"/>
  <c r="D38"/>
  <c r="H19"/>
  <c r="B23"/>
  <c r="B34"/>
  <c r="B32"/>
  <c r="G19"/>
  <c r="I37"/>
  <c r="G24"/>
  <c r="H21"/>
  <c r="I30"/>
  <c r="D33"/>
  <c r="H14"/>
  <c r="G14"/>
  <c r="B15"/>
  <c r="D22"/>
  <c r="G31"/>
  <c r="H28"/>
  <c r="D15"/>
  <c r="H33"/>
  <c r="D20"/>
  <c r="A40"/>
  <c r="H26"/>
  <c r="G26"/>
  <c r="B21"/>
  <c r="D40"/>
  <c r="D16"/>
  <c r="G25"/>
  <c r="A28"/>
  <c r="G38"/>
  <c r="H35"/>
  <c r="A17"/>
  <c r="I20"/>
  <c r="B39"/>
  <c r="A24"/>
  <c r="I39"/>
  <c r="H31"/>
  <c r="H23"/>
  <c r="A38"/>
  <c r="A30"/>
  <c r="I21"/>
  <c r="A35"/>
  <c r="I38"/>
  <c r="B16"/>
  <c r="B22"/>
  <c r="B28"/>
  <c r="I18"/>
  <c r="A32"/>
  <c r="I31"/>
  <c r="G18"/>
  <c r="H15"/>
  <c r="G35"/>
  <c r="A22"/>
  <c r="G40"/>
  <c r="D32"/>
  <c r="B37"/>
  <c r="A19"/>
  <c r="G17"/>
  <c r="D25"/>
  <c r="G30"/>
  <c r="A33"/>
  <c r="D14"/>
  <c r="D39"/>
  <c r="A26"/>
  <c r="B33"/>
  <c r="B36"/>
  <c r="H39"/>
  <c r="I32"/>
  <c r="I24"/>
  <c r="H16"/>
  <c r="I29"/>
  <c r="A27"/>
  <c r="H40"/>
  <c r="H38"/>
  <c r="B24"/>
  <c r="D23"/>
  <c r="G36"/>
  <c r="D28"/>
  <c r="A15"/>
  <c r="H34"/>
  <c r="D21"/>
  <c r="I15"/>
  <c r="D34"/>
  <c r="G27"/>
  <c r="B30"/>
  <c r="B31"/>
  <c r="B29"/>
  <c r="E25" i="57"/>
  <c r="E26"/>
  <c r="E27"/>
  <c r="E28"/>
  <c r="G14"/>
  <c r="E29"/>
  <c r="E30"/>
  <c r="E14"/>
  <c r="E15"/>
  <c r="G16"/>
  <c r="E17"/>
  <c r="E18"/>
  <c r="E19"/>
  <c r="E20"/>
  <c r="E16"/>
  <c r="E21"/>
  <c r="E22"/>
  <c r="E23"/>
  <c r="E24"/>
  <c r="C29"/>
  <c r="D26"/>
  <c r="B24"/>
  <c r="A24" s="1"/>
  <c r="C21"/>
  <c r="B30"/>
  <c r="A30" s="1"/>
  <c r="D27"/>
  <c r="B25"/>
  <c r="A25" s="1"/>
  <c r="C22"/>
  <c r="I28"/>
  <c r="F26"/>
  <c r="G23"/>
  <c r="I20"/>
  <c r="D29"/>
  <c r="B27"/>
  <c r="A27" s="1"/>
  <c r="C24"/>
  <c r="G30"/>
  <c r="B28"/>
  <c r="A28" s="1"/>
  <c r="F24"/>
  <c r="F25"/>
  <c r="I30"/>
  <c r="G17"/>
  <c r="C19"/>
  <c r="B15"/>
  <c r="C30"/>
  <c r="I26"/>
  <c r="I22"/>
  <c r="B20"/>
  <c r="I27"/>
  <c r="I23"/>
  <c r="B21"/>
  <c r="C27"/>
  <c r="C23"/>
  <c r="D30"/>
  <c r="F27"/>
  <c r="F23"/>
  <c r="D20"/>
  <c r="C17"/>
  <c r="D14"/>
  <c r="C18"/>
  <c r="D15"/>
  <c r="F18"/>
  <c r="G15"/>
  <c r="G20"/>
  <c r="D17"/>
  <c r="F20"/>
  <c r="G27"/>
  <c r="G24"/>
  <c r="G18"/>
  <c r="B14"/>
  <c r="A14" s="1"/>
  <c r="G29"/>
  <c r="G25"/>
  <c r="D22"/>
  <c r="F30"/>
  <c r="G26"/>
  <c r="D23"/>
  <c r="I19"/>
  <c r="B26"/>
  <c r="A26" s="1"/>
  <c r="F22"/>
  <c r="I29"/>
  <c r="I25"/>
  <c r="B23"/>
  <c r="A23" s="1"/>
  <c r="I18"/>
  <c r="F16"/>
  <c r="C20"/>
  <c r="F17"/>
  <c r="C14"/>
  <c r="B34" s="1"/>
  <c r="B18"/>
  <c r="C15"/>
  <c r="F19"/>
  <c r="C16"/>
  <c r="B29"/>
  <c r="A29" s="1"/>
  <c r="D24"/>
  <c r="D21"/>
  <c r="I15"/>
  <c r="I17"/>
  <c r="F28"/>
  <c r="C25"/>
  <c r="G21"/>
  <c r="F29"/>
  <c r="C26"/>
  <c r="G22"/>
  <c r="D28"/>
  <c r="I24"/>
  <c r="B22"/>
  <c r="G28"/>
  <c r="D25"/>
  <c r="I21"/>
  <c r="D18"/>
  <c r="B16"/>
  <c r="D19"/>
  <c r="B17"/>
  <c r="G19"/>
  <c r="I16"/>
  <c r="F14"/>
  <c r="B19"/>
  <c r="F15"/>
  <c r="F21"/>
  <c r="C28"/>
  <c r="I14"/>
  <c r="D16"/>
  <c r="B11" i="49"/>
  <c r="F11" i="48"/>
  <c r="C19"/>
  <c r="D28"/>
  <c r="E37"/>
  <c r="D19"/>
  <c r="E28"/>
  <c r="F37"/>
  <c r="F20"/>
  <c r="G29"/>
  <c r="H38"/>
  <c r="G20"/>
  <c r="H29"/>
  <c r="H12"/>
  <c r="B22"/>
  <c r="C31"/>
  <c r="B13"/>
  <c r="C22"/>
  <c r="D31"/>
  <c r="B12"/>
  <c r="C21"/>
  <c r="D30"/>
  <c r="C12"/>
  <c r="D21"/>
  <c r="E30"/>
  <c r="E13"/>
  <c r="F22"/>
  <c r="G31"/>
  <c r="F13"/>
  <c r="G22"/>
  <c r="H31"/>
  <c r="F12"/>
  <c r="G21"/>
  <c r="H30"/>
  <c r="G12"/>
  <c r="H21"/>
  <c r="B31"/>
  <c r="B14"/>
  <c r="C23"/>
  <c r="D32"/>
  <c r="E16"/>
  <c r="F25"/>
  <c r="G34"/>
  <c r="G17"/>
  <c r="H26"/>
  <c r="B36"/>
  <c r="H17"/>
  <c r="B27"/>
  <c r="C36"/>
  <c r="B11"/>
  <c r="C11" i="51"/>
  <c r="D11" i="49"/>
  <c r="F11"/>
  <c r="D12" i="48"/>
  <c r="E21"/>
  <c r="F30"/>
  <c r="E12"/>
  <c r="F21"/>
  <c r="G30"/>
  <c r="G13"/>
  <c r="H22"/>
  <c r="B32"/>
  <c r="H13"/>
  <c r="B23"/>
  <c r="C32"/>
  <c r="C15"/>
  <c r="D24"/>
  <c r="E33"/>
  <c r="D15"/>
  <c r="E24"/>
  <c r="F33"/>
  <c r="D14"/>
  <c r="E23"/>
  <c r="F32"/>
  <c r="E14"/>
  <c r="F23"/>
  <c r="G32"/>
  <c r="G15"/>
  <c r="H24"/>
  <c r="B34"/>
  <c r="H15"/>
  <c r="B25"/>
  <c r="C34"/>
  <c r="H14"/>
  <c r="B24"/>
  <c r="C33"/>
  <c r="B15"/>
  <c r="C24"/>
  <c r="D33"/>
  <c r="D16"/>
  <c r="E25"/>
  <c r="F34"/>
  <c r="G18"/>
  <c r="H27"/>
  <c r="B37"/>
  <c r="B20"/>
  <c r="C29"/>
  <c r="D38"/>
  <c r="C20"/>
  <c r="D29"/>
  <c r="E38"/>
  <c r="C11"/>
  <c r="D11" i="50"/>
  <c r="E11" i="51"/>
  <c r="G11" i="50"/>
  <c r="F11" i="51"/>
  <c r="B11"/>
  <c r="H11" i="49"/>
  <c r="C11"/>
  <c r="F14" i="48"/>
  <c r="G23"/>
  <c r="H32"/>
  <c r="G14"/>
  <c r="H23"/>
  <c r="B33"/>
  <c r="B16"/>
  <c r="C25"/>
  <c r="D34"/>
  <c r="C16"/>
  <c r="D25"/>
  <c r="E34"/>
  <c r="E17"/>
  <c r="F26"/>
  <c r="G35"/>
  <c r="F17"/>
  <c r="G26"/>
  <c r="H35"/>
  <c r="F16"/>
  <c r="G25"/>
  <c r="H34"/>
  <c r="G16"/>
  <c r="H25"/>
  <c r="B35"/>
  <c r="B18"/>
  <c r="C27"/>
  <c r="D36"/>
  <c r="C18"/>
  <c r="D27"/>
  <c r="E36"/>
  <c r="C17"/>
  <c r="D26"/>
  <c r="E35"/>
  <c r="D17"/>
  <c r="E26"/>
  <c r="F35"/>
  <c r="F18"/>
  <c r="G27"/>
  <c r="H36"/>
  <c r="B21"/>
  <c r="C30"/>
  <c r="C13"/>
  <c r="D22"/>
  <c r="E31"/>
  <c r="D13"/>
  <c r="E22"/>
  <c r="F31"/>
  <c r="G11"/>
  <c r="F11" i="50"/>
  <c r="H11" i="51"/>
  <c r="B11" i="50"/>
  <c r="H11" i="48"/>
  <c r="G11" i="51"/>
  <c r="E11" i="49"/>
  <c r="G11"/>
  <c r="H16" i="48"/>
  <c r="B26"/>
  <c r="C35"/>
  <c r="B17"/>
  <c r="C26"/>
  <c r="D35"/>
  <c r="D18"/>
  <c r="E27"/>
  <c r="F36"/>
  <c r="E18"/>
  <c r="F27"/>
  <c r="G36"/>
  <c r="G19"/>
  <c r="H28"/>
  <c r="B38"/>
  <c r="H19"/>
  <c r="B29"/>
  <c r="C38"/>
  <c r="H18"/>
  <c r="B28"/>
  <c r="C37"/>
  <c r="B19"/>
  <c r="C28"/>
  <c r="D37"/>
  <c r="D20"/>
  <c r="E29"/>
  <c r="F38"/>
  <c r="E20"/>
  <c r="F29"/>
  <c r="G38"/>
  <c r="E19"/>
  <c r="F28"/>
  <c r="AQ28" s="1"/>
  <c r="G37"/>
  <c r="F19"/>
  <c r="G28"/>
  <c r="H37"/>
  <c r="H20"/>
  <c r="B30"/>
  <c r="C14"/>
  <c r="D23"/>
  <c r="E32"/>
  <c r="E15"/>
  <c r="F24"/>
  <c r="G33"/>
  <c r="F15"/>
  <c r="G24"/>
  <c r="H33"/>
  <c r="E11"/>
  <c r="D11"/>
  <c r="H11" i="50"/>
  <c r="D11" i="51"/>
  <c r="C11" i="50"/>
  <c r="E11"/>
  <c r="G47" i="47"/>
  <c r="D29"/>
  <c r="F36"/>
  <c r="A46"/>
  <c r="F39"/>
  <c r="F48"/>
  <c r="G30"/>
  <c r="A22"/>
  <c r="G27"/>
  <c r="E50"/>
  <c r="B44"/>
  <c r="E27"/>
  <c r="D36"/>
  <c r="H36" s="1"/>
  <c r="C42"/>
  <c r="F25"/>
  <c r="B22"/>
  <c r="D32"/>
  <c r="C40"/>
  <c r="D25"/>
  <c r="A35"/>
  <c r="D18"/>
  <c r="B49"/>
  <c r="B33"/>
  <c r="E16"/>
  <c r="E45"/>
  <c r="G32"/>
  <c r="D17"/>
  <c r="G33"/>
  <c r="G17"/>
  <c r="E48"/>
  <c r="D31"/>
  <c r="C15"/>
  <c r="A45"/>
  <c r="A26"/>
  <c r="G49"/>
  <c r="C37"/>
  <c r="C25"/>
  <c r="D40"/>
  <c r="H40" s="1"/>
  <c r="D47"/>
  <c r="I47" s="1"/>
  <c r="D35"/>
  <c r="I35" s="1"/>
  <c r="D23"/>
  <c r="E25"/>
  <c r="G43"/>
  <c r="A42"/>
  <c r="F27"/>
  <c r="C49"/>
  <c r="B40"/>
  <c r="A31"/>
  <c r="G21"/>
  <c r="B26"/>
  <c r="F45"/>
  <c r="E36"/>
  <c r="D27"/>
  <c r="C18"/>
  <c r="D20"/>
  <c r="A41"/>
  <c r="E46"/>
  <c r="D49"/>
  <c r="I49" s="1"/>
  <c r="F47"/>
  <c r="C24"/>
  <c r="C16"/>
  <c r="G40"/>
  <c r="E37"/>
  <c r="F20"/>
  <c r="G15"/>
  <c r="C29"/>
  <c r="F32"/>
  <c r="B38"/>
  <c r="C32"/>
  <c r="D39"/>
  <c r="I39" s="1"/>
  <c r="I40" s="1"/>
  <c r="E39"/>
  <c r="E23"/>
  <c r="D24"/>
  <c r="F37"/>
  <c r="F21"/>
  <c r="F50"/>
  <c r="B18"/>
  <c r="E18"/>
  <c r="E47"/>
  <c r="D30"/>
  <c r="F42"/>
  <c r="B45"/>
  <c r="E28"/>
  <c r="B30"/>
  <c r="G39"/>
  <c r="A34"/>
  <c r="G45"/>
  <c r="G29"/>
  <c r="E41"/>
  <c r="A44"/>
  <c r="A28"/>
  <c r="D28"/>
  <c r="A37"/>
  <c r="B31"/>
  <c r="D46"/>
  <c r="H46" s="1"/>
  <c r="H47" s="1"/>
  <c r="D34"/>
  <c r="D22"/>
  <c r="C31"/>
  <c r="E44"/>
  <c r="E32"/>
  <c r="A20"/>
  <c r="A17"/>
  <c r="F38"/>
  <c r="E30"/>
  <c r="D41"/>
  <c r="I41" s="1"/>
  <c r="A47"/>
  <c r="G37"/>
  <c r="F28"/>
  <c r="C17"/>
  <c r="C19"/>
  <c r="D43"/>
  <c r="I43" s="1"/>
  <c r="C34"/>
  <c r="B25"/>
  <c r="A16"/>
  <c r="A49"/>
  <c r="C35"/>
  <c r="D37"/>
  <c r="I37" s="1"/>
  <c r="G36"/>
  <c r="F35"/>
  <c r="C36"/>
  <c r="A30"/>
  <c r="E22"/>
  <c r="B47"/>
  <c r="B27"/>
  <c r="G34"/>
  <c r="G26"/>
  <c r="G18"/>
  <c r="G42"/>
  <c r="F16"/>
  <c r="C43"/>
  <c r="C41"/>
  <c r="C22"/>
  <c r="B36"/>
  <c r="B20"/>
  <c r="F49"/>
  <c r="F33"/>
  <c r="F17"/>
  <c r="B46"/>
  <c r="B35"/>
  <c r="G44"/>
  <c r="A43"/>
  <c r="A27"/>
  <c r="F34"/>
  <c r="E40"/>
  <c r="E24"/>
  <c r="F18"/>
  <c r="F26"/>
  <c r="E15"/>
  <c r="G41"/>
  <c r="G25"/>
  <c r="E29"/>
  <c r="A40"/>
  <c r="A24"/>
  <c r="B15"/>
  <c r="A25"/>
  <c r="E19"/>
  <c r="E43"/>
  <c r="E31"/>
  <c r="A19"/>
  <c r="F22"/>
  <c r="F41"/>
  <c r="B29"/>
  <c r="B17"/>
  <c r="B50"/>
  <c r="F30"/>
  <c r="G16"/>
  <c r="E26"/>
  <c r="F44"/>
  <c r="E35"/>
  <c r="D26"/>
  <c r="C39"/>
  <c r="C50"/>
  <c r="B41"/>
  <c r="A32"/>
  <c r="G22"/>
  <c r="B34"/>
  <c r="F46"/>
  <c r="A29"/>
  <c r="C28"/>
  <c r="G24"/>
  <c r="B23"/>
  <c r="G48"/>
  <c r="E42"/>
  <c r="G28"/>
  <c r="A15"/>
  <c r="D33"/>
  <c r="D45"/>
  <c r="I45" s="1"/>
  <c r="I46" s="1"/>
  <c r="C45"/>
  <c r="E33"/>
  <c r="G23"/>
  <c r="F31"/>
  <c r="G46"/>
  <c r="F23"/>
  <c r="F24"/>
  <c r="C23"/>
  <c r="B48"/>
  <c r="B32"/>
  <c r="D15"/>
  <c r="C46"/>
  <c r="C30"/>
  <c r="G31"/>
  <c r="B42"/>
  <c r="D21"/>
  <c r="C20"/>
  <c r="A39"/>
  <c r="A23"/>
  <c r="A21"/>
  <c r="B37"/>
  <c r="B21"/>
  <c r="E49"/>
  <c r="D16"/>
  <c r="E38"/>
  <c r="D38"/>
  <c r="H38" s="1"/>
  <c r="C21"/>
  <c r="E17"/>
  <c r="A36"/>
  <c r="D19"/>
  <c r="D48"/>
  <c r="H48" s="1"/>
  <c r="H49" s="1"/>
  <c r="C44"/>
  <c r="F19"/>
  <c r="F40"/>
  <c r="B28"/>
  <c r="B16"/>
  <c r="G50"/>
  <c r="C38"/>
  <c r="C26"/>
  <c r="G35"/>
  <c r="C47"/>
  <c r="G19"/>
  <c r="B43"/>
  <c r="A38"/>
  <c r="D42"/>
  <c r="H42" s="1"/>
  <c r="C33"/>
  <c r="B24"/>
  <c r="A33"/>
  <c r="A48"/>
  <c r="G38"/>
  <c r="F29"/>
  <c r="E20"/>
  <c r="C27"/>
  <c r="D44"/>
  <c r="H44" s="1"/>
  <c r="E21"/>
  <c r="B19"/>
  <c r="D50"/>
  <c r="H50" s="1"/>
  <c r="F43"/>
  <c r="A18"/>
  <c r="C48"/>
  <c r="E34"/>
  <c r="G20"/>
  <c r="B39"/>
  <c r="A50"/>
  <c r="F15"/>
  <c r="C12" i="43"/>
  <c r="B12"/>
  <c r="C118"/>
  <c r="E23"/>
  <c r="E24"/>
  <c r="G27"/>
  <c r="E34"/>
  <c r="B32"/>
  <c r="F91"/>
  <c r="F112"/>
  <c r="C91"/>
  <c r="B68"/>
  <c r="G86"/>
  <c r="A29"/>
  <c r="F35"/>
  <c r="C33"/>
  <c r="G38"/>
  <c r="E37"/>
  <c r="C44"/>
  <c r="B65"/>
  <c r="G85"/>
  <c r="G107"/>
  <c r="D81"/>
  <c r="E100"/>
  <c r="B49"/>
  <c r="G47"/>
  <c r="E54"/>
  <c r="F56"/>
  <c r="F57"/>
  <c r="G68"/>
  <c r="A112"/>
  <c r="D68"/>
  <c r="B107"/>
  <c r="A64"/>
  <c r="D24"/>
  <c r="B31"/>
  <c r="F28"/>
  <c r="C34"/>
  <c r="A33"/>
  <c r="F39"/>
  <c r="E59"/>
  <c r="C81"/>
  <c r="A102"/>
  <c r="G76"/>
  <c r="E17"/>
  <c r="C24"/>
  <c r="G21"/>
  <c r="D27"/>
  <c r="B26"/>
  <c r="G32"/>
  <c r="E97"/>
  <c r="D74"/>
  <c r="B93"/>
  <c r="A70"/>
  <c r="B113"/>
  <c r="E28"/>
  <c r="C27"/>
  <c r="A34"/>
  <c r="B36"/>
  <c r="B37"/>
  <c r="B92"/>
  <c r="B114"/>
  <c r="F87"/>
  <c r="F108"/>
  <c r="C87"/>
  <c r="A63"/>
  <c r="D46"/>
  <c r="D47"/>
  <c r="F50"/>
  <c r="D57"/>
  <c r="A55"/>
  <c r="F74"/>
  <c r="D113"/>
  <c r="C70"/>
  <c r="A91"/>
  <c r="A113"/>
  <c r="A24"/>
  <c r="F22"/>
  <c r="D29"/>
  <c r="E31"/>
  <c r="E32"/>
  <c r="E87"/>
  <c r="E109"/>
  <c r="B83"/>
  <c r="E103"/>
  <c r="F82"/>
  <c r="D121"/>
  <c r="F53"/>
  <c r="D52"/>
  <c r="B59"/>
  <c r="C16"/>
  <c r="G13"/>
  <c r="D73"/>
  <c r="E116"/>
  <c r="A73"/>
  <c r="F111"/>
  <c r="E68"/>
  <c r="G104"/>
  <c r="D17"/>
  <c r="A15"/>
  <c r="E20"/>
  <c r="C19"/>
  <c r="A26"/>
  <c r="F90"/>
  <c r="E67"/>
  <c r="C86"/>
  <c r="B63"/>
  <c r="A106"/>
  <c r="G30"/>
  <c r="E29"/>
  <c r="C36"/>
  <c r="D38"/>
  <c r="D39"/>
  <c r="D94"/>
  <c r="D116"/>
  <c r="A90"/>
  <c r="A111"/>
  <c r="E89"/>
  <c r="E123"/>
  <c r="G57"/>
  <c r="G58"/>
  <c r="A16"/>
  <c r="F14"/>
  <c r="D21"/>
  <c r="B86"/>
  <c r="G59"/>
  <c r="F81"/>
  <c r="D105"/>
  <c r="G98"/>
  <c r="E42"/>
  <c r="B51"/>
  <c r="C88"/>
  <c r="C52"/>
  <c r="F109"/>
  <c r="A13"/>
  <c r="E21"/>
  <c r="E88"/>
  <c r="A41"/>
  <c r="A62"/>
  <c r="F100"/>
  <c r="A81"/>
  <c r="F84"/>
  <c r="E106"/>
  <c r="C67"/>
  <c r="E120"/>
  <c r="F89"/>
  <c r="A25"/>
  <c r="G89"/>
  <c r="A85"/>
  <c r="C39"/>
  <c r="G99"/>
  <c r="E49"/>
  <c r="B58"/>
  <c r="C105"/>
  <c r="D31"/>
  <c r="E98"/>
  <c r="F93"/>
  <c r="B90"/>
  <c r="G93"/>
  <c r="G115"/>
  <c r="D76"/>
  <c r="B80"/>
  <c r="A100"/>
  <c r="D15"/>
  <c r="E82"/>
  <c r="F77"/>
  <c r="F29"/>
  <c r="F76"/>
  <c r="F12"/>
  <c r="D114"/>
  <c r="B15"/>
  <c r="B61"/>
  <c r="C18"/>
  <c r="A17"/>
  <c r="F23"/>
  <c r="D88"/>
  <c r="C65"/>
  <c r="A84"/>
  <c r="B60"/>
  <c r="C103"/>
  <c r="D19"/>
  <c r="B18"/>
  <c r="G24"/>
  <c r="A27"/>
  <c r="A28"/>
  <c r="A83"/>
  <c r="E104"/>
  <c r="E78"/>
  <c r="F121"/>
  <c r="B78"/>
  <c r="G116"/>
  <c r="C37"/>
  <c r="C38"/>
  <c r="E41"/>
  <c r="C48"/>
  <c r="G45"/>
  <c r="E65"/>
  <c r="F103"/>
  <c r="F60"/>
  <c r="G81"/>
  <c r="A103"/>
  <c r="G14"/>
  <c r="E13"/>
  <c r="C20"/>
  <c r="D22"/>
  <c r="D23"/>
  <c r="D78"/>
  <c r="B97"/>
  <c r="A74"/>
  <c r="B117"/>
  <c r="E73"/>
  <c r="B54"/>
  <c r="G60"/>
  <c r="D13"/>
  <c r="E15"/>
  <c r="E16"/>
  <c r="E71"/>
  <c r="C90"/>
  <c r="B67"/>
  <c r="C110"/>
  <c r="F66"/>
  <c r="A105"/>
  <c r="F16"/>
  <c r="F17"/>
  <c r="A21"/>
  <c r="F27"/>
  <c r="C25"/>
  <c r="G84"/>
  <c r="E105"/>
  <c r="D84"/>
  <c r="B123"/>
  <c r="A80"/>
  <c r="C31"/>
  <c r="A38"/>
  <c r="E35"/>
  <c r="B41"/>
  <c r="G39"/>
  <c r="E46"/>
  <c r="D67"/>
  <c r="B88"/>
  <c r="B110"/>
  <c r="F83"/>
  <c r="B104"/>
  <c r="E60"/>
  <c r="B13"/>
  <c r="D16"/>
  <c r="B23"/>
  <c r="F20"/>
  <c r="C80"/>
  <c r="D123"/>
  <c r="G79"/>
  <c r="E118"/>
  <c r="D75"/>
  <c r="D82"/>
  <c r="G41"/>
  <c r="G42"/>
  <c r="B46"/>
  <c r="G52"/>
  <c r="D50"/>
  <c r="B70"/>
  <c r="G108"/>
  <c r="F65"/>
  <c r="D86"/>
  <c r="D108"/>
  <c r="C47"/>
  <c r="A54"/>
  <c r="E51"/>
  <c r="B57"/>
  <c r="G55"/>
  <c r="B64"/>
  <c r="D83"/>
  <c r="A59"/>
  <c r="C102"/>
  <c r="E99"/>
  <c r="F120"/>
  <c r="A19"/>
  <c r="A20"/>
  <c r="C23"/>
  <c r="A30"/>
  <c r="E27"/>
  <c r="B87"/>
  <c r="B108"/>
  <c r="F86"/>
  <c r="G61"/>
  <c r="C82"/>
  <c r="F42"/>
  <c r="D49"/>
  <c r="A47"/>
  <c r="E52"/>
  <c r="C51"/>
  <c r="A58"/>
  <c r="G78"/>
  <c r="D100"/>
  <c r="E121"/>
  <c r="B95"/>
  <c r="B116"/>
  <c r="B40"/>
  <c r="A72"/>
  <c r="C109"/>
  <c r="D54"/>
  <c r="B66"/>
  <c r="F19"/>
  <c r="C28"/>
  <c r="D65"/>
  <c r="F47"/>
  <c r="F104"/>
  <c r="G101"/>
  <c r="F73"/>
  <c r="D77"/>
  <c r="E101"/>
  <c r="B103"/>
  <c r="F63"/>
  <c r="F106"/>
  <c r="F31"/>
  <c r="G111"/>
  <c r="F123"/>
  <c r="A46"/>
  <c r="B102"/>
  <c r="C56"/>
  <c r="A67"/>
  <c r="D12"/>
  <c r="E12"/>
  <c r="A45"/>
  <c r="F51"/>
  <c r="C49"/>
  <c r="G54"/>
  <c r="E53"/>
  <c r="C60"/>
  <c r="B81"/>
  <c r="D104"/>
  <c r="G123"/>
  <c r="D97"/>
  <c r="D118"/>
  <c r="A56"/>
  <c r="F54"/>
  <c r="D61"/>
  <c r="E18"/>
  <c r="B16"/>
  <c r="F75"/>
  <c r="G118"/>
  <c r="C75"/>
  <c r="A114"/>
  <c r="G70"/>
  <c r="B22"/>
  <c r="G28"/>
  <c r="D26"/>
  <c r="A32"/>
  <c r="F30"/>
  <c r="D37"/>
  <c r="F101"/>
  <c r="A79"/>
  <c r="F97"/>
  <c r="E74"/>
  <c r="F117"/>
  <c r="D51"/>
  <c r="B50"/>
  <c r="G56"/>
  <c r="A14"/>
  <c r="A60"/>
  <c r="B71"/>
  <c r="C114"/>
  <c r="F70"/>
  <c r="D109"/>
  <c r="C66"/>
  <c r="E44"/>
  <c r="C43"/>
  <c r="A50"/>
  <c r="B52"/>
  <c r="B53"/>
  <c r="C64"/>
  <c r="D107"/>
  <c r="G63"/>
  <c r="G100"/>
  <c r="F102"/>
  <c r="F119"/>
  <c r="C53"/>
  <c r="C54"/>
  <c r="E57"/>
  <c r="D62"/>
  <c r="G16"/>
  <c r="E81"/>
  <c r="C120"/>
  <c r="B77"/>
  <c r="G97"/>
  <c r="G119"/>
  <c r="F21"/>
  <c r="D20"/>
  <c r="B27"/>
  <c r="C29"/>
  <c r="C30"/>
  <c r="C85"/>
  <c r="C107"/>
  <c r="G80"/>
  <c r="C99"/>
  <c r="D80"/>
  <c r="B119"/>
  <c r="F48"/>
  <c r="F49"/>
  <c r="A53"/>
  <c r="F59"/>
  <c r="C57"/>
  <c r="A77"/>
  <c r="F115"/>
  <c r="E72"/>
  <c r="C93"/>
  <c r="C115"/>
  <c r="F26"/>
  <c r="D33"/>
  <c r="A31"/>
  <c r="E36"/>
  <c r="C35"/>
  <c r="A42"/>
  <c r="G62"/>
  <c r="E83"/>
  <c r="B105"/>
  <c r="B79"/>
  <c r="C122"/>
  <c r="F37"/>
  <c r="D36"/>
  <c r="B43"/>
  <c r="C45"/>
  <c r="C46"/>
  <c r="D103"/>
  <c r="C123"/>
  <c r="G96"/>
  <c r="G117"/>
  <c r="D96"/>
  <c r="E110"/>
  <c r="E55"/>
  <c r="E56"/>
  <c r="F13"/>
  <c r="F64"/>
  <c r="B19"/>
  <c r="G83"/>
  <c r="E122"/>
  <c r="D79"/>
  <c r="D101"/>
  <c r="B122"/>
  <c r="B33"/>
  <c r="G31"/>
  <c r="E38"/>
  <c r="F40"/>
  <c r="F41"/>
  <c r="F96"/>
  <c r="F118"/>
  <c r="C92"/>
  <c r="C113"/>
  <c r="G91"/>
  <c r="F68"/>
  <c r="F45"/>
  <c r="F92"/>
  <c r="G46"/>
  <c r="D55"/>
  <c r="C104"/>
  <c r="C17"/>
  <c r="A93"/>
  <c r="E108"/>
  <c r="G49"/>
  <c r="E61"/>
  <c r="E91"/>
  <c r="E113"/>
  <c r="B74"/>
  <c r="E75"/>
  <c r="E96"/>
  <c r="C59"/>
  <c r="G102"/>
  <c r="G33"/>
  <c r="D85"/>
  <c r="A35"/>
  <c r="E43"/>
  <c r="E79"/>
  <c r="G53"/>
  <c r="F85"/>
  <c r="A123"/>
  <c r="H123" s="1"/>
  <c r="D41"/>
  <c r="B98"/>
  <c r="D102"/>
  <c r="F122"/>
  <c r="C83"/>
  <c r="A87"/>
  <c r="A109"/>
  <c r="E69"/>
  <c r="D111"/>
  <c r="D25"/>
  <c r="B82"/>
  <c r="E26"/>
  <c r="B35"/>
  <c r="C72"/>
  <c r="D45"/>
  <c r="C101"/>
  <c r="G12"/>
  <c r="A12"/>
  <c r="D35"/>
  <c r="B34"/>
  <c r="G40"/>
  <c r="A43"/>
  <c r="A44"/>
  <c r="D99"/>
  <c r="A121"/>
  <c r="H121" s="1"/>
  <c r="E94"/>
  <c r="E115"/>
  <c r="B94"/>
  <c r="A71"/>
  <c r="B44"/>
  <c r="B45"/>
  <c r="D48"/>
  <c r="B55"/>
  <c r="F52"/>
  <c r="D72"/>
  <c r="B111"/>
  <c r="A68"/>
  <c r="F88"/>
  <c r="F110"/>
  <c r="F58"/>
  <c r="E63"/>
  <c r="A18"/>
  <c r="B20"/>
  <c r="B21"/>
  <c r="B76"/>
  <c r="G94"/>
  <c r="F71"/>
  <c r="G114"/>
  <c r="C71"/>
  <c r="A110"/>
  <c r="E39"/>
  <c r="E40"/>
  <c r="G43"/>
  <c r="E50"/>
  <c r="B48"/>
  <c r="G67"/>
  <c r="C106"/>
  <c r="D63"/>
  <c r="B84"/>
  <c r="G105"/>
  <c r="F32"/>
  <c r="F33"/>
  <c r="A37"/>
  <c r="F43"/>
  <c r="C41"/>
  <c r="D60"/>
  <c r="G121"/>
  <c r="B100"/>
  <c r="C77"/>
  <c r="A96"/>
  <c r="B38"/>
  <c r="G44"/>
  <c r="D42"/>
  <c r="A48"/>
  <c r="F46"/>
  <c r="D53"/>
  <c r="C74"/>
  <c r="A95"/>
  <c r="A117"/>
  <c r="E90"/>
  <c r="E111"/>
  <c r="C58"/>
  <c r="A57"/>
  <c r="B14"/>
  <c r="G20"/>
  <c r="D18"/>
  <c r="A78"/>
  <c r="B121"/>
  <c r="E77"/>
  <c r="C116"/>
  <c r="B73"/>
  <c r="E33"/>
  <c r="C40"/>
  <c r="G37"/>
  <c r="D43"/>
  <c r="B42"/>
  <c r="G48"/>
  <c r="F69"/>
  <c r="D90"/>
  <c r="D112"/>
  <c r="A86"/>
  <c r="G106"/>
  <c r="B17"/>
  <c r="G15"/>
  <c r="E22"/>
  <c r="F24"/>
  <c r="F25"/>
  <c r="F80"/>
  <c r="A101"/>
  <c r="C76"/>
  <c r="D119"/>
  <c r="G75"/>
  <c r="E114"/>
  <c r="G25"/>
  <c r="G26"/>
  <c r="B30"/>
  <c r="G36"/>
  <c r="D34"/>
  <c r="A94"/>
  <c r="A115"/>
  <c r="E93"/>
  <c r="D70"/>
  <c r="B89"/>
  <c r="D40"/>
  <c r="B47"/>
  <c r="F44"/>
  <c r="C50"/>
  <c r="A49"/>
  <c r="F55"/>
  <c r="E76"/>
  <c r="C97"/>
  <c r="C119"/>
  <c r="G92"/>
  <c r="G113"/>
  <c r="C21"/>
  <c r="C22"/>
  <c r="E25"/>
  <c r="C32"/>
  <c r="G29"/>
  <c r="D89"/>
  <c r="D110"/>
  <c r="A89"/>
  <c r="G65"/>
  <c r="E84"/>
  <c r="G35"/>
  <c r="D44"/>
  <c r="F114"/>
  <c r="E45"/>
  <c r="E66"/>
  <c r="F61"/>
  <c r="G22"/>
  <c r="G69"/>
  <c r="C42"/>
  <c r="G50"/>
  <c r="D122"/>
  <c r="C84"/>
  <c r="F105"/>
  <c r="G66"/>
  <c r="E70"/>
  <c r="C108"/>
  <c r="A97"/>
  <c r="C26"/>
  <c r="G34"/>
  <c r="B106"/>
  <c r="A36"/>
  <c r="C63"/>
  <c r="C98"/>
  <c r="D59"/>
  <c r="E62"/>
  <c r="D30"/>
  <c r="A39"/>
  <c r="A75"/>
  <c r="D93"/>
  <c r="F113"/>
  <c r="A76"/>
  <c r="F79"/>
  <c r="A116"/>
  <c r="C62"/>
  <c r="D14"/>
  <c r="A23"/>
  <c r="G120"/>
  <c r="B24"/>
  <c r="F99"/>
  <c r="D115"/>
  <c r="E47"/>
  <c r="C112"/>
  <c r="B69"/>
  <c r="E102"/>
  <c r="A40"/>
  <c r="A99"/>
  <c r="A22"/>
  <c r="E30"/>
  <c r="F67"/>
  <c r="F62"/>
  <c r="F116"/>
  <c r="B85"/>
  <c r="G88"/>
  <c r="G109"/>
  <c r="D71"/>
  <c r="A52"/>
  <c r="C79"/>
  <c r="E117"/>
  <c r="G17"/>
  <c r="D69"/>
  <c r="B28"/>
  <c r="F36"/>
  <c r="F72"/>
  <c r="B56"/>
  <c r="A88"/>
  <c r="A120"/>
  <c r="H120" s="1"/>
  <c r="E64"/>
  <c r="C68"/>
  <c r="D117"/>
  <c r="F94"/>
  <c r="D98"/>
  <c r="D120"/>
  <c r="B62"/>
  <c r="G82"/>
  <c r="G72"/>
  <c r="G19"/>
  <c r="F38"/>
  <c r="B120"/>
  <c r="E19"/>
  <c r="C95"/>
  <c r="G110"/>
  <c r="B99"/>
  <c r="D106"/>
  <c r="C100"/>
  <c r="E85"/>
  <c r="C89"/>
  <c r="C111"/>
  <c r="C55"/>
  <c r="A118"/>
  <c r="D56"/>
  <c r="G18"/>
  <c r="E112"/>
  <c r="B29"/>
  <c r="C96"/>
  <c r="D91"/>
  <c r="C13"/>
  <c r="G64"/>
  <c r="D66"/>
  <c r="G103"/>
  <c r="A65"/>
  <c r="E107"/>
  <c r="D87"/>
  <c r="B91"/>
  <c r="G122"/>
  <c r="F34"/>
  <c r="E86"/>
  <c r="C121"/>
  <c r="D28"/>
  <c r="E48"/>
  <c r="F98"/>
  <c r="B25"/>
  <c r="B72"/>
  <c r="G77"/>
  <c r="A92"/>
  <c r="F95"/>
  <c r="A122"/>
  <c r="H122" s="1"/>
  <c r="C78"/>
  <c r="A82"/>
  <c r="B115"/>
  <c r="D58"/>
  <c r="G74"/>
  <c r="A61"/>
  <c r="G73"/>
  <c r="A69"/>
  <c r="D32"/>
  <c r="C117"/>
  <c r="G51"/>
  <c r="C14"/>
  <c r="A108"/>
  <c r="B75"/>
  <c r="B112"/>
  <c r="B101"/>
  <c r="C61"/>
  <c r="A104"/>
  <c r="G87"/>
  <c r="E119"/>
  <c r="A119"/>
  <c r="F18"/>
  <c r="D95"/>
  <c r="A107"/>
  <c r="C15"/>
  <c r="G23"/>
  <c r="G90"/>
  <c r="A66"/>
  <c r="B109"/>
  <c r="D92"/>
  <c r="B96"/>
  <c r="B118"/>
  <c r="F78"/>
  <c r="A51"/>
  <c r="E14"/>
  <c r="E95"/>
  <c r="F15"/>
  <c r="E92"/>
  <c r="F107"/>
  <c r="B39"/>
  <c r="G95"/>
  <c r="E58"/>
  <c r="C69"/>
  <c r="D64"/>
  <c r="G71"/>
  <c r="C73"/>
  <c r="C94"/>
  <c r="A98"/>
  <c r="G112"/>
  <c r="E80"/>
  <c r="L28" i="55"/>
  <c r="L36"/>
  <c r="L82"/>
  <c r="L16"/>
  <c r="I66" i="15"/>
  <c r="G15" i="12"/>
  <c r="G20"/>
  <c r="N35" i="45"/>
  <c r="E72" i="12"/>
  <c r="E74" s="1"/>
  <c r="F72"/>
  <c r="F74" s="1"/>
  <c r="N11" i="62"/>
  <c r="H40" i="12"/>
  <c r="N30" i="45"/>
  <c r="N12" i="62"/>
  <c r="G65" i="12"/>
  <c r="N10" i="62"/>
  <c r="G25" i="12"/>
  <c r="H36"/>
  <c r="I73" i="15"/>
  <c r="I68"/>
  <c r="G20"/>
  <c r="H66" i="12"/>
  <c r="N11" i="45"/>
  <c r="P36"/>
  <c r="H46" i="12"/>
  <c r="G58"/>
  <c r="G14"/>
  <c r="N46" i="45"/>
  <c r="H45" i="12"/>
  <c r="H42"/>
  <c r="N26" i="45"/>
  <c r="G57" i="12"/>
  <c r="G54"/>
  <c r="G43"/>
  <c r="I71" i="15"/>
  <c r="G36" i="12"/>
  <c r="H62"/>
  <c r="H64"/>
  <c r="H67"/>
  <c r="G70"/>
  <c r="H61"/>
  <c r="G51"/>
  <c r="H43"/>
  <c r="H54"/>
  <c r="G62"/>
  <c r="H58"/>
  <c r="H65"/>
  <c r="H70"/>
  <c r="G61"/>
  <c r="H57"/>
  <c r="G45"/>
  <c r="G60"/>
  <c r="G42"/>
  <c r="H51"/>
  <c r="H53"/>
  <c r="G64"/>
  <c r="G46"/>
  <c r="H47"/>
  <c r="L65" i="55"/>
  <c r="G5" i="12"/>
  <c r="G44"/>
  <c r="H38"/>
  <c r="G12" i="15"/>
  <c r="L26" i="55"/>
  <c r="E14" i="15"/>
  <c r="N23" i="45"/>
  <c r="L24" i="55"/>
  <c r="L37"/>
  <c r="L25"/>
  <c r="N40" i="45"/>
  <c r="G16" i="12"/>
  <c r="H55" i="15"/>
  <c r="G23" i="12"/>
  <c r="G31"/>
  <c r="N17" i="45"/>
  <c r="G40" i="15"/>
  <c r="H39"/>
  <c r="F41"/>
  <c r="G39"/>
  <c r="E41"/>
  <c r="H40"/>
  <c r="N7" i="62"/>
  <c r="L99" i="55"/>
  <c r="L67"/>
  <c r="L66"/>
  <c r="J69"/>
  <c r="J70" s="1"/>
  <c r="H69"/>
  <c r="H70" s="1"/>
  <c r="G68" i="12"/>
  <c r="H18"/>
  <c r="P37" i="45"/>
  <c r="G22" i="12"/>
  <c r="P22" i="45"/>
  <c r="N16" i="62"/>
  <c r="L62" i="55"/>
  <c r="L61"/>
  <c r="L63"/>
  <c r="L64"/>
  <c r="N28" i="45"/>
  <c r="L94" i="55"/>
  <c r="L86"/>
  <c r="L17"/>
  <c r="L57"/>
  <c r="L83"/>
  <c r="L75"/>
  <c r="L14"/>
  <c r="G35" i="12"/>
  <c r="H41"/>
  <c r="L23" i="55"/>
  <c r="L73"/>
  <c r="L76"/>
  <c r="L27"/>
  <c r="L32"/>
  <c r="J101"/>
  <c r="J102" s="1"/>
  <c r="L59"/>
  <c r="L46"/>
  <c r="L43"/>
  <c r="P48" i="45"/>
  <c r="L39" i="55"/>
  <c r="L38"/>
  <c r="L45"/>
  <c r="L29"/>
  <c r="L40"/>
  <c r="H8" i="12"/>
  <c r="N42" i="45"/>
  <c r="I72" i="15"/>
  <c r="G30" i="12"/>
  <c r="L77" i="55"/>
  <c r="L89"/>
  <c r="N24" i="45"/>
  <c r="N13"/>
  <c r="H34" i="15"/>
  <c r="L72" i="55"/>
  <c r="L14" i="62"/>
  <c r="G48" i="12"/>
  <c r="L95" i="55"/>
  <c r="L97"/>
  <c r="L98"/>
  <c r="L80"/>
  <c r="L92"/>
  <c r="L85"/>
  <c r="L96"/>
  <c r="L93"/>
  <c r="L88"/>
  <c r="L87"/>
  <c r="L90"/>
  <c r="N47" i="45"/>
  <c r="L81" i="55"/>
  <c r="L31"/>
  <c r="L20"/>
  <c r="L18"/>
  <c r="L19"/>
  <c r="J54"/>
  <c r="J55" s="1"/>
  <c r="L48"/>
  <c r="L47"/>
  <c r="P5" i="45"/>
  <c r="H35" i="12"/>
  <c r="N51" i="45"/>
  <c r="P35"/>
  <c r="L18" i="62"/>
  <c r="H6" i="12"/>
  <c r="G39"/>
  <c r="N25" i="45"/>
  <c r="N9" i="62"/>
  <c r="P50" i="45"/>
  <c r="G26" i="12"/>
  <c r="H5"/>
  <c r="L6" i="62"/>
  <c r="L30" i="55"/>
  <c r="L41"/>
  <c r="L49"/>
  <c r="H52" i="15"/>
  <c r="G37" i="12"/>
  <c r="H59"/>
  <c r="G4"/>
  <c r="N49" i="45"/>
  <c r="H19" i="12"/>
  <c r="P29" i="45"/>
  <c r="L44" i="55"/>
  <c r="H24" i="12"/>
  <c r="H9"/>
  <c r="J21" i="62"/>
  <c r="J23" s="1"/>
  <c r="G55" i="12"/>
  <c r="N33" i="45"/>
  <c r="H29" i="15"/>
  <c r="P9" i="45"/>
  <c r="H10" i="12"/>
  <c r="H33"/>
  <c r="G32"/>
  <c r="L19" i="62"/>
  <c r="P45" i="45"/>
  <c r="N43"/>
  <c r="N44"/>
  <c r="L79" i="55"/>
  <c r="H28" i="15"/>
  <c r="N8" i="45"/>
  <c r="H13" i="12"/>
  <c r="G29"/>
  <c r="L42" i="55"/>
  <c r="G50" i="12"/>
  <c r="L17" i="62"/>
  <c r="L8"/>
  <c r="H63" i="12"/>
  <c r="G25" i="15"/>
  <c r="G52" i="12"/>
  <c r="H7"/>
  <c r="G11"/>
  <c r="G69"/>
  <c r="G13" i="15"/>
  <c r="P34" i="45"/>
  <c r="N15"/>
  <c r="N38"/>
  <c r="N10"/>
  <c r="G56" i="12"/>
  <c r="N31" i="45"/>
  <c r="N20"/>
  <c r="N21"/>
  <c r="N7"/>
  <c r="P39"/>
  <c r="P12"/>
  <c r="N6"/>
  <c r="L13" i="62"/>
  <c r="L74" i="55"/>
  <c r="L56"/>
  <c r="P17" i="45"/>
  <c r="G36" i="15"/>
  <c r="E37"/>
  <c r="N12" i="45"/>
  <c r="G57" i="15"/>
  <c r="E58"/>
  <c r="P20" i="45"/>
  <c r="P10"/>
  <c r="P13"/>
  <c r="G28" i="15"/>
  <c r="H38"/>
  <c r="N34" i="45"/>
  <c r="N16"/>
  <c r="N17" i="62"/>
  <c r="H50" i="15"/>
  <c r="N45" i="45"/>
  <c r="N19" i="62"/>
  <c r="G40" i="12"/>
  <c r="P15" i="45"/>
  <c r="N27"/>
  <c r="P18"/>
  <c r="G67" i="12"/>
  <c r="G51" i="15"/>
  <c r="P44" i="45"/>
  <c r="L11" i="62"/>
  <c r="P8" i="45"/>
  <c r="H17" i="12"/>
  <c r="N48" i="45"/>
  <c r="L16" i="62"/>
  <c r="P43" i="45"/>
  <c r="L12" i="62"/>
  <c r="G13" i="12"/>
  <c r="H29"/>
  <c r="H14"/>
  <c r="H31"/>
  <c r="G42" i="15"/>
  <c r="H43"/>
  <c r="H21" i="62"/>
  <c r="H23" s="1"/>
  <c r="L5"/>
  <c r="H54" i="55"/>
  <c r="H55" s="1"/>
  <c r="L12"/>
  <c r="G26" i="15"/>
  <c r="P25" i="45"/>
  <c r="H42" i="15"/>
  <c r="H26"/>
  <c r="F17"/>
  <c r="H16"/>
  <c r="H17" s="1"/>
  <c r="E17"/>
  <c r="G16"/>
  <c r="G17" s="1"/>
  <c r="N13" i="62"/>
  <c r="H39" i="12"/>
  <c r="H68"/>
  <c r="L9" i="62"/>
  <c r="H31" i="15"/>
  <c r="H32" s="1"/>
  <c r="F32"/>
  <c r="H13"/>
  <c r="N50" i="45"/>
  <c r="H26" i="12"/>
  <c r="G38" i="15"/>
  <c r="G22"/>
  <c r="N41" i="45"/>
  <c r="P42"/>
  <c r="G8" i="12"/>
  <c r="P11" i="45"/>
  <c r="N19"/>
  <c r="N14"/>
  <c r="H22" i="15"/>
  <c r="H44" i="12"/>
  <c r="N36" i="45"/>
  <c r="P6"/>
  <c r="H15" i="12"/>
  <c r="L15" i="62"/>
  <c r="P40" i="45"/>
  <c r="H20" i="12"/>
  <c r="H25"/>
  <c r="H12"/>
  <c r="F37" i="15"/>
  <c r="H36"/>
  <c r="H47"/>
  <c r="F48"/>
  <c r="E30"/>
  <c r="H49" i="12"/>
  <c r="H101" i="55"/>
  <c r="H102" s="1"/>
  <c r="L71"/>
  <c r="E56" i="15"/>
  <c r="G54"/>
  <c r="H54"/>
  <c r="F56"/>
  <c r="F30"/>
  <c r="H27"/>
  <c r="G59" i="12"/>
  <c r="H20" i="15"/>
  <c r="G33"/>
  <c r="E35"/>
  <c r="P21" i="45"/>
  <c r="P7"/>
  <c r="H69" i="12"/>
  <c r="H57" i="15"/>
  <c r="F58"/>
  <c r="L7" i="62"/>
  <c r="G55" i="15"/>
  <c r="E61"/>
  <c r="G59"/>
  <c r="G61" s="1"/>
  <c r="N6" i="62"/>
  <c r="G47" i="12"/>
  <c r="G7"/>
  <c r="P51" i="45"/>
  <c r="H48" i="12"/>
  <c r="N5" i="45"/>
  <c r="P26"/>
  <c r="E45" i="15"/>
  <c r="E46" s="1"/>
  <c r="G44"/>
  <c r="G45" s="1"/>
  <c r="G24"/>
  <c r="H24"/>
  <c r="N22" i="45"/>
  <c r="G15" i="15"/>
  <c r="F61"/>
  <c r="H59"/>
  <c r="H61" s="1"/>
  <c r="N18" i="62"/>
  <c r="G18" i="12"/>
  <c r="H11"/>
  <c r="G34" i="15"/>
  <c r="N14" i="62"/>
  <c r="P24" i="45"/>
  <c r="P28"/>
  <c r="P32"/>
  <c r="G27" i="12"/>
  <c r="H28"/>
  <c r="H30"/>
  <c r="G6"/>
  <c r="G21"/>
  <c r="H34"/>
  <c r="G38"/>
  <c r="E53" i="15"/>
  <c r="G49"/>
  <c r="H21"/>
  <c r="F23"/>
  <c r="F45"/>
  <c r="F46" s="1"/>
  <c r="H44"/>
  <c r="H45" s="1"/>
  <c r="H4" i="12"/>
  <c r="G21" i="15"/>
  <c r="E23"/>
  <c r="F53"/>
  <c r="H49"/>
  <c r="I62"/>
  <c r="E64"/>
  <c r="H33"/>
  <c r="F35"/>
  <c r="H56" i="12"/>
  <c r="N9" i="45"/>
  <c r="G31" i="15"/>
  <c r="G32" s="1"/>
  <c r="E32"/>
  <c r="G52"/>
  <c r="H15"/>
  <c r="H37" i="12"/>
  <c r="N8" i="62"/>
  <c r="P31" i="45"/>
  <c r="F14" i="15"/>
  <c r="H12"/>
  <c r="G47"/>
  <c r="E48"/>
  <c r="G63" i="12"/>
  <c r="N29" i="45"/>
  <c r="H25" i="15"/>
  <c r="H18"/>
  <c r="F19"/>
  <c r="G18"/>
  <c r="E19"/>
  <c r="H55" i="12"/>
  <c r="H50"/>
  <c r="G41"/>
  <c r="G29" i="15"/>
  <c r="H52" i="12"/>
  <c r="G66"/>
  <c r="P30" i="45"/>
  <c r="L10" i="62"/>
  <c r="G33" i="12"/>
  <c r="P47" i="45"/>
  <c r="P38"/>
  <c r="P33"/>
  <c r="P23"/>
  <c r="N37"/>
  <c r="G9" i="12"/>
  <c r="N39" i="45"/>
  <c r="H16" i="12"/>
  <c r="H22"/>
  <c r="P49" i="45"/>
  <c r="P46"/>
  <c r="G24" i="12"/>
  <c r="H23"/>
  <c r="G10"/>
  <c r="H32"/>
  <c r="G19"/>
  <c r="J53" i="45"/>
  <c r="G10" i="15"/>
  <c r="G11" s="1"/>
  <c r="E11"/>
  <c r="L53" i="45"/>
  <c r="N5" i="62"/>
  <c r="L105" i="63" l="1"/>
  <c r="M105"/>
  <c r="O105"/>
  <c r="N105"/>
  <c r="M98"/>
  <c r="O98"/>
  <c r="N98"/>
  <c r="L98"/>
  <c r="M96"/>
  <c r="O96"/>
  <c r="N96"/>
  <c r="L96"/>
  <c r="M92"/>
  <c r="O92"/>
  <c r="N92"/>
  <c r="L92"/>
  <c r="M90"/>
  <c r="O90"/>
  <c r="N90"/>
  <c r="L90"/>
  <c r="L85"/>
  <c r="M85"/>
  <c r="O85"/>
  <c r="N85"/>
  <c r="L81"/>
  <c r="M81"/>
  <c r="O81"/>
  <c r="N81"/>
  <c r="L77"/>
  <c r="M77"/>
  <c r="O77"/>
  <c r="N77"/>
  <c r="L73"/>
  <c r="M73"/>
  <c r="O73"/>
  <c r="N73"/>
  <c r="L107"/>
  <c r="O107"/>
  <c r="M107"/>
  <c r="N107"/>
  <c r="M104"/>
  <c r="O104"/>
  <c r="L104"/>
  <c r="N104"/>
  <c r="M101"/>
  <c r="O101"/>
  <c r="L101"/>
  <c r="N101"/>
  <c r="M99"/>
  <c r="O99"/>
  <c r="L99"/>
  <c r="N99"/>
  <c r="O93"/>
  <c r="M93"/>
  <c r="L93"/>
  <c r="N93"/>
  <c r="M87"/>
  <c r="O87"/>
  <c r="L87"/>
  <c r="N87"/>
  <c r="L83"/>
  <c r="O83"/>
  <c r="M83"/>
  <c r="N83"/>
  <c r="L108"/>
  <c r="M108"/>
  <c r="O108"/>
  <c r="N108"/>
  <c r="L103"/>
  <c r="M103"/>
  <c r="O103"/>
  <c r="N103"/>
  <c r="M97"/>
  <c r="O97"/>
  <c r="L97"/>
  <c r="N97"/>
  <c r="M94"/>
  <c r="O94"/>
  <c r="N94"/>
  <c r="L94"/>
  <c r="M91"/>
  <c r="O91"/>
  <c r="L91"/>
  <c r="N91"/>
  <c r="M89"/>
  <c r="O89"/>
  <c r="L89"/>
  <c r="N89"/>
  <c r="L84"/>
  <c r="O84"/>
  <c r="N84"/>
  <c r="M84"/>
  <c r="L80"/>
  <c r="O80"/>
  <c r="N80"/>
  <c r="M80"/>
  <c r="L76"/>
  <c r="O76"/>
  <c r="N76"/>
  <c r="M76"/>
  <c r="L72"/>
  <c r="O72"/>
  <c r="N72"/>
  <c r="M72"/>
  <c r="L69"/>
  <c r="M69"/>
  <c r="O69"/>
  <c r="N69"/>
  <c r="L109"/>
  <c r="O109"/>
  <c r="M109"/>
  <c r="N109"/>
  <c r="L106"/>
  <c r="N106"/>
  <c r="M106"/>
  <c r="O106"/>
  <c r="O102"/>
  <c r="M102"/>
  <c r="N102"/>
  <c r="L102"/>
  <c r="M100"/>
  <c r="O100"/>
  <c r="N100"/>
  <c r="L100"/>
  <c r="M95"/>
  <c r="L95"/>
  <c r="O95"/>
  <c r="N95"/>
  <c r="O88"/>
  <c r="M88"/>
  <c r="N88"/>
  <c r="L88"/>
  <c r="L86"/>
  <c r="O86"/>
  <c r="M86"/>
  <c r="N86"/>
  <c r="L82"/>
  <c r="O82"/>
  <c r="M82"/>
  <c r="N82"/>
  <c r="L78"/>
  <c r="O78"/>
  <c r="M78"/>
  <c r="N78"/>
  <c r="L74"/>
  <c r="O74"/>
  <c r="M74"/>
  <c r="N74"/>
  <c r="L70"/>
  <c r="O70"/>
  <c r="M70"/>
  <c r="N70"/>
  <c r="L66"/>
  <c r="O66"/>
  <c r="M66"/>
  <c r="N66"/>
  <c r="L65"/>
  <c r="M65"/>
  <c r="O65"/>
  <c r="N65"/>
  <c r="L79"/>
  <c r="O79"/>
  <c r="M79"/>
  <c r="N79"/>
  <c r="L75"/>
  <c r="O75"/>
  <c r="M75"/>
  <c r="N75"/>
  <c r="L68"/>
  <c r="O68"/>
  <c r="N68"/>
  <c r="M68"/>
  <c r="L71"/>
  <c r="O71"/>
  <c r="M71"/>
  <c r="N71"/>
  <c r="L67"/>
  <c r="O67"/>
  <c r="M67"/>
  <c r="N67"/>
  <c r="L64"/>
  <c r="O64"/>
  <c r="N64"/>
  <c r="M64"/>
  <c r="H43" i="47"/>
  <c r="I36"/>
  <c r="A14" i="48" a="1"/>
  <c r="A14" s="1"/>
  <c r="I14" s="1"/>
  <c r="A13" a="1"/>
  <c r="A13" s="1"/>
  <c r="I13" s="1"/>
  <c r="A12" a="1"/>
  <c r="A12" s="1"/>
  <c r="I12" s="1"/>
  <c r="I44" i="47"/>
  <c r="A17" i="48" a="1"/>
  <c r="A17" s="1"/>
  <c r="I17" s="1"/>
  <c r="H41" i="47"/>
  <c r="A15" i="57"/>
  <c r="A16" s="1"/>
  <c r="A17" s="1"/>
  <c r="A18" s="1"/>
  <c r="A19" s="1"/>
  <c r="A20" s="1"/>
  <c r="A21" s="1"/>
  <c r="A22" s="1"/>
  <c r="H27" i="52"/>
  <c r="A128" i="43"/>
  <c r="H12"/>
  <c r="H13" s="1"/>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H113" s="1"/>
  <c r="H114" s="1"/>
  <c r="H115" s="1"/>
  <c r="H116" s="1"/>
  <c r="H117" s="1"/>
  <c r="H118" s="1"/>
  <c r="H119" s="1"/>
  <c r="F51" i="47"/>
  <c r="AE20" i="48"/>
  <c r="AG20"/>
  <c r="AW20"/>
  <c r="CW20"/>
  <c r="BS20"/>
  <c r="CC20"/>
  <c r="BW20"/>
  <c r="O20"/>
  <c r="M20"/>
  <c r="AO20"/>
  <c r="BM20"/>
  <c r="CE20"/>
  <c r="AS20"/>
  <c r="BO20"/>
  <c r="BE20"/>
  <c r="S20"/>
  <c r="BA20"/>
  <c r="CI20"/>
  <c r="AY20"/>
  <c r="CK20"/>
  <c r="AC20"/>
  <c r="BY20"/>
  <c r="AU20"/>
  <c r="AM20"/>
  <c r="AA20"/>
  <c r="BI20"/>
  <c r="CQ20"/>
  <c r="CG20"/>
  <c r="Y20"/>
  <c r="BK20"/>
  <c r="CU20"/>
  <c r="DA20"/>
  <c r="CM20"/>
  <c r="W20"/>
  <c r="AI20"/>
  <c r="BQ20"/>
  <c r="CY20"/>
  <c r="U20"/>
  <c r="BG20"/>
  <c r="CS20"/>
  <c r="AK20"/>
  <c r="BU20"/>
  <c r="K20"/>
  <c r="AQ20"/>
  <c r="CA20"/>
  <c r="Q20"/>
  <c r="BC20"/>
  <c r="CO20"/>
  <c r="CR37"/>
  <c r="CB37"/>
  <c r="BH37"/>
  <c r="L37"/>
  <c r="BB37"/>
  <c r="BT37"/>
  <c r="CT37"/>
  <c r="AL37"/>
  <c r="P37"/>
  <c r="AF37"/>
  <c r="AP37"/>
  <c r="V37"/>
  <c r="BR37"/>
  <c r="AJ37"/>
  <c r="CJ37"/>
  <c r="BN37"/>
  <c r="AV37"/>
  <c r="CZ37"/>
  <c r="BP37"/>
  <c r="J37"/>
  <c r="CF37"/>
  <c r="AR37"/>
  <c r="AX37"/>
  <c r="BV37"/>
  <c r="AT37"/>
  <c r="BL37"/>
  <c r="R37"/>
  <c r="CH37"/>
  <c r="Z37"/>
  <c r="CL37"/>
  <c r="AB37"/>
  <c r="CP37"/>
  <c r="BF37"/>
  <c r="BZ37"/>
  <c r="BD37"/>
  <c r="CN37"/>
  <c r="X37"/>
  <c r="BX37"/>
  <c r="AN37"/>
  <c r="AD37"/>
  <c r="CX37"/>
  <c r="AZ37"/>
  <c r="BJ37"/>
  <c r="AH37"/>
  <c r="T37"/>
  <c r="CV37"/>
  <c r="N37"/>
  <c r="CD37"/>
  <c r="A37" a="1"/>
  <c r="A37" s="1"/>
  <c r="I37" s="1"/>
  <c r="AJ19"/>
  <c r="X19"/>
  <c r="CN19"/>
  <c r="BF19"/>
  <c r="V19"/>
  <c r="CL19"/>
  <c r="BD19"/>
  <c r="AT19"/>
  <c r="CZ19"/>
  <c r="L19"/>
  <c r="CB19"/>
  <c r="AP19"/>
  <c r="P19"/>
  <c r="CF19"/>
  <c r="AV19"/>
  <c r="CH19"/>
  <c r="BB19"/>
  <c r="BX19"/>
  <c r="CX19"/>
  <c r="BR19"/>
  <c r="AB19"/>
  <c r="CR19"/>
  <c r="BH19"/>
  <c r="AF19"/>
  <c r="CV19"/>
  <c r="BL19"/>
  <c r="BT19"/>
  <c r="AN19"/>
  <c r="BP19"/>
  <c r="AL19"/>
  <c r="BV19"/>
  <c r="AH19"/>
  <c r="BJ19"/>
  <c r="Z19"/>
  <c r="CP19"/>
  <c r="BN19"/>
  <c r="AD19"/>
  <c r="CT19"/>
  <c r="AR19"/>
  <c r="N19"/>
  <c r="AZ19"/>
  <c r="J19"/>
  <c r="CD19"/>
  <c r="R19"/>
  <c r="BZ19"/>
  <c r="CJ19"/>
  <c r="AX19"/>
  <c r="T19"/>
  <c r="A26" a="1"/>
  <c r="A26" s="1"/>
  <c r="I26" s="1"/>
  <c r="BW16"/>
  <c r="CW16"/>
  <c r="CY16"/>
  <c r="BQ16"/>
  <c r="BG16"/>
  <c r="AI16"/>
  <c r="AK16"/>
  <c r="CC16"/>
  <c r="U16"/>
  <c r="AO16"/>
  <c r="K16"/>
  <c r="CA16"/>
  <c r="O16"/>
  <c r="CE16"/>
  <c r="AY16"/>
  <c r="BY16"/>
  <c r="BE16"/>
  <c r="CO16"/>
  <c r="CI16"/>
  <c r="DA16"/>
  <c r="AU16"/>
  <c r="BS16"/>
  <c r="BA16"/>
  <c r="CK16"/>
  <c r="BU16"/>
  <c r="AS16"/>
  <c r="S16"/>
  <c r="BK16"/>
  <c r="AM16"/>
  <c r="AA16"/>
  <c r="M16"/>
  <c r="BM16"/>
  <c r="BO16"/>
  <c r="Y16"/>
  <c r="AQ16"/>
  <c r="AC16"/>
  <c r="CU16"/>
  <c r="CG16"/>
  <c r="CM16"/>
  <c r="BI16"/>
  <c r="AE16"/>
  <c r="Q16"/>
  <c r="CS16"/>
  <c r="W16"/>
  <c r="CQ16"/>
  <c r="AW16"/>
  <c r="AG16"/>
  <c r="BC16"/>
  <c r="BW11"/>
  <c r="BQ11"/>
  <c r="AE11"/>
  <c r="CW11"/>
  <c r="S11"/>
  <c r="W11"/>
  <c r="Q11"/>
  <c r="CE11"/>
  <c r="AQ11"/>
  <c r="Y11"/>
  <c r="BS11"/>
  <c r="CQ11"/>
  <c r="BY11"/>
  <c r="U11"/>
  <c r="CI11"/>
  <c r="AY11"/>
  <c r="AO11"/>
  <c r="CK11"/>
  <c r="BG11"/>
  <c r="AG11"/>
  <c r="CU11"/>
  <c r="BK11"/>
  <c r="BE11"/>
  <c r="AC11"/>
  <c r="AM11"/>
  <c r="AW11"/>
  <c r="CC11"/>
  <c r="AS11"/>
  <c r="AK11"/>
  <c r="CY11"/>
  <c r="BO11"/>
  <c r="BU11"/>
  <c r="M11"/>
  <c r="CO11"/>
  <c r="K11"/>
  <c r="AI11"/>
  <c r="DA11"/>
  <c r="BA11"/>
  <c r="O11"/>
  <c r="CG11"/>
  <c r="CM11"/>
  <c r="CA11"/>
  <c r="AU11"/>
  <c r="BM11"/>
  <c r="AA11"/>
  <c r="CS11"/>
  <c r="BC11"/>
  <c r="BI11"/>
  <c r="CZ11"/>
  <c r="AV11"/>
  <c r="V11"/>
  <c r="CN11"/>
  <c r="CX11"/>
  <c r="AN11"/>
  <c r="AX11"/>
  <c r="AB11"/>
  <c r="CP11"/>
  <c r="BR11"/>
  <c r="J11"/>
  <c r="BT11"/>
  <c r="AT11"/>
  <c r="BL11"/>
  <c r="AL11"/>
  <c r="AJ11"/>
  <c r="Z11"/>
  <c r="BD11"/>
  <c r="CF11"/>
  <c r="AR11"/>
  <c r="R11"/>
  <c r="CJ11"/>
  <c r="AP11"/>
  <c r="AD11"/>
  <c r="P11"/>
  <c r="CD11"/>
  <c r="BF11"/>
  <c r="BP11"/>
  <c r="BJ11"/>
  <c r="CL11"/>
  <c r="BV11"/>
  <c r="BH11"/>
  <c r="AH11"/>
  <c r="T11"/>
  <c r="CR11"/>
  <c r="BN11"/>
  <c r="AF11"/>
  <c r="CT11"/>
  <c r="BX11"/>
  <c r="CH11"/>
  <c r="CB11"/>
  <c r="N11"/>
  <c r="L11"/>
  <c r="BZ11"/>
  <c r="BB11"/>
  <c r="AZ11"/>
  <c r="X11"/>
  <c r="CV11"/>
  <c r="AQ35"/>
  <c r="A18" a="1"/>
  <c r="A18" s="1"/>
  <c r="I18" s="1"/>
  <c r="AN25"/>
  <c r="BJ25"/>
  <c r="CP25"/>
  <c r="Z25"/>
  <c r="AJ25"/>
  <c r="CZ25"/>
  <c r="CL25"/>
  <c r="CD25"/>
  <c r="CB25"/>
  <c r="AZ25"/>
  <c r="AT25"/>
  <c r="CF25"/>
  <c r="BB25"/>
  <c r="R25"/>
  <c r="BZ25"/>
  <c r="AV25"/>
  <c r="BF25"/>
  <c r="P25"/>
  <c r="BR25"/>
  <c r="AL25"/>
  <c r="CT25"/>
  <c r="T25"/>
  <c r="CJ25"/>
  <c r="BD25"/>
  <c r="CH25"/>
  <c r="CV25"/>
  <c r="V25"/>
  <c r="BP25"/>
  <c r="CR25"/>
  <c r="BV25"/>
  <c r="BL25"/>
  <c r="BN25"/>
  <c r="AF25"/>
  <c r="BT25"/>
  <c r="BX25"/>
  <c r="AH25"/>
  <c r="AR25"/>
  <c r="L25"/>
  <c r="AP25"/>
  <c r="AX25"/>
  <c r="CX25"/>
  <c r="J25"/>
  <c r="X25"/>
  <c r="N25"/>
  <c r="AB25"/>
  <c r="BH25"/>
  <c r="CN25"/>
  <c r="AD25"/>
  <c r="A25" a="1"/>
  <c r="A25" s="1"/>
  <c r="I25" s="1"/>
  <c r="T14"/>
  <c r="BN14"/>
  <c r="AR14"/>
  <c r="CB14"/>
  <c r="BF14"/>
  <c r="CP14"/>
  <c r="AV14"/>
  <c r="BV14"/>
  <c r="BJ14"/>
  <c r="P14"/>
  <c r="X14"/>
  <c r="CT14"/>
  <c r="BZ14"/>
  <c r="AF14"/>
  <c r="CL14"/>
  <c r="L14"/>
  <c r="CD14"/>
  <c r="AL14"/>
  <c r="CR14"/>
  <c r="AX14"/>
  <c r="AT14"/>
  <c r="AD14"/>
  <c r="BL14"/>
  <c r="AP14"/>
  <c r="BT14"/>
  <c r="Z14"/>
  <c r="CF14"/>
  <c r="AN14"/>
  <c r="J14"/>
  <c r="BD14"/>
  <c r="CN14"/>
  <c r="V14"/>
  <c r="CV14"/>
  <c r="BH14"/>
  <c r="N14"/>
  <c r="BX14"/>
  <c r="AB14"/>
  <c r="AZ14"/>
  <c r="CJ14"/>
  <c r="CX14"/>
  <c r="AH14"/>
  <c r="BR14"/>
  <c r="CH14"/>
  <c r="R14"/>
  <c r="BB14"/>
  <c r="BP14"/>
  <c r="CZ14"/>
  <c r="AJ14"/>
  <c r="A46" i="49" a="1"/>
  <c r="A46" s="1"/>
  <c r="I46" s="1"/>
  <c r="A50" a="1"/>
  <c r="A50" s="1"/>
  <c r="I50" s="1"/>
  <c r="A40" a="1"/>
  <c r="A40" s="1"/>
  <c r="I40" s="1"/>
  <c r="A43" a="1"/>
  <c r="A43" s="1"/>
  <c r="I43" s="1"/>
  <c r="A48" a="1"/>
  <c r="A48" s="1"/>
  <c r="I48" s="1"/>
  <c r="A49" a="1"/>
  <c r="A49" s="1"/>
  <c r="I49" s="1"/>
  <c r="A41" a="1"/>
  <c r="A41" s="1"/>
  <c r="I41" s="1"/>
  <c r="A44" a="1"/>
  <c r="A44" s="1"/>
  <c r="I44" s="1"/>
  <c r="A47" a="1"/>
  <c r="A47" s="1"/>
  <c r="I47" s="1"/>
  <c r="A11" a="1"/>
  <c r="A11" s="1"/>
  <c r="I11" s="1"/>
  <c r="A42" a="1"/>
  <c r="A42" s="1"/>
  <c r="I42" s="1"/>
  <c r="A45" a="1"/>
  <c r="A45" s="1"/>
  <c r="I45" s="1"/>
  <c r="CR11" i="50"/>
  <c r="CR52" s="1"/>
  <c r="F44" s="1"/>
  <c r="CB11"/>
  <c r="CB52" s="1"/>
  <c r="BL11"/>
  <c r="BL52" s="1"/>
  <c r="AV11"/>
  <c r="AV52" s="1"/>
  <c r="AF11"/>
  <c r="AF52" s="1"/>
  <c r="P11"/>
  <c r="P52" s="1"/>
  <c r="CP11"/>
  <c r="CP52" s="1"/>
  <c r="F43" s="1"/>
  <c r="BZ11"/>
  <c r="BZ52" s="1"/>
  <c r="BJ11"/>
  <c r="BJ52" s="1"/>
  <c r="AT11"/>
  <c r="AT52" s="1"/>
  <c r="AD11"/>
  <c r="AD52" s="1"/>
  <c r="N11"/>
  <c r="N52" s="1"/>
  <c r="CN11"/>
  <c r="CN52" s="1"/>
  <c r="F42" s="1"/>
  <c r="BX11"/>
  <c r="BX52" s="1"/>
  <c r="BH11"/>
  <c r="BH52" s="1"/>
  <c r="AR11"/>
  <c r="AR52" s="1"/>
  <c r="AB11"/>
  <c r="AB52" s="1"/>
  <c r="L11"/>
  <c r="L52" s="1"/>
  <c r="CL11"/>
  <c r="CL52" s="1"/>
  <c r="F41" s="1"/>
  <c r="BV11"/>
  <c r="BV52" s="1"/>
  <c r="BF11"/>
  <c r="BF52" s="1"/>
  <c r="AP11"/>
  <c r="AP52" s="1"/>
  <c r="Z11"/>
  <c r="Z52" s="1"/>
  <c r="J11"/>
  <c r="J52" s="1"/>
  <c r="CZ11"/>
  <c r="CJ11"/>
  <c r="CJ52" s="1"/>
  <c r="BT11"/>
  <c r="BT52" s="1"/>
  <c r="BD11"/>
  <c r="BD52" s="1"/>
  <c r="AN11"/>
  <c r="AN52" s="1"/>
  <c r="X11"/>
  <c r="X52" s="1"/>
  <c r="CX11"/>
  <c r="CX52" s="1"/>
  <c r="CH11"/>
  <c r="BR11"/>
  <c r="BR52" s="1"/>
  <c r="BB11"/>
  <c r="BB52" s="1"/>
  <c r="AL11"/>
  <c r="AL52" s="1"/>
  <c r="V11"/>
  <c r="V52" s="1"/>
  <c r="CV11"/>
  <c r="CV52" s="1"/>
  <c r="F50" s="1"/>
  <c r="CF11"/>
  <c r="BP11"/>
  <c r="BP52" s="1"/>
  <c r="AZ11"/>
  <c r="AZ52" s="1"/>
  <c r="AJ11"/>
  <c r="AJ52" s="1"/>
  <c r="T11"/>
  <c r="T52" s="1"/>
  <c r="CT11"/>
  <c r="CD11"/>
  <c r="BN11"/>
  <c r="BN52" s="1"/>
  <c r="AX11"/>
  <c r="AH11"/>
  <c r="AH52" s="1"/>
  <c r="R11"/>
  <c r="R52" s="1"/>
  <c r="A29" i="48" a="1"/>
  <c r="A29" s="1"/>
  <c r="I29" s="1"/>
  <c r="P18"/>
  <c r="CD18"/>
  <c r="CN18"/>
  <c r="BV18"/>
  <c r="CT18"/>
  <c r="BF18"/>
  <c r="AN18"/>
  <c r="BX18"/>
  <c r="AT18"/>
  <c r="V18"/>
  <c r="BL18"/>
  <c r="X18"/>
  <c r="AV18"/>
  <c r="BT18"/>
  <c r="CV18"/>
  <c r="AF18"/>
  <c r="T18"/>
  <c r="BB18"/>
  <c r="CJ18"/>
  <c r="R18"/>
  <c r="AZ18"/>
  <c r="CH18"/>
  <c r="BD18"/>
  <c r="CF18"/>
  <c r="AD18"/>
  <c r="AB18"/>
  <c r="BJ18"/>
  <c r="CR18"/>
  <c r="Z18"/>
  <c r="BH18"/>
  <c r="CP18"/>
  <c r="AL18"/>
  <c r="BN18"/>
  <c r="AJ18"/>
  <c r="BR18"/>
  <c r="CZ18"/>
  <c r="AH18"/>
  <c r="BP18"/>
  <c r="CX18"/>
  <c r="CL18"/>
  <c r="N18"/>
  <c r="AX18"/>
  <c r="L18"/>
  <c r="AR18"/>
  <c r="CB18"/>
  <c r="J18"/>
  <c r="AP18"/>
  <c r="BZ18"/>
  <c r="AE15"/>
  <c r="BY15"/>
  <c r="BG15"/>
  <c r="W15"/>
  <c r="Q15"/>
  <c r="AG15"/>
  <c r="AM15"/>
  <c r="AO15"/>
  <c r="AU15"/>
  <c r="Y15"/>
  <c r="CE15"/>
  <c r="CU15"/>
  <c r="BW15"/>
  <c r="BU15"/>
  <c r="CM15"/>
  <c r="CG15"/>
  <c r="AW15"/>
  <c r="CO15"/>
  <c r="BE15"/>
  <c r="AY15"/>
  <c r="O15"/>
  <c r="BO15"/>
  <c r="CW15"/>
  <c r="BM15"/>
  <c r="S15"/>
  <c r="BA15"/>
  <c r="CI15"/>
  <c r="U15"/>
  <c r="BC15"/>
  <c r="CK15"/>
  <c r="AA15"/>
  <c r="BI15"/>
  <c r="CQ15"/>
  <c r="AC15"/>
  <c r="BK15"/>
  <c r="CS15"/>
  <c r="K15"/>
  <c r="AQ15"/>
  <c r="CA15"/>
  <c r="M15"/>
  <c r="CY15"/>
  <c r="CC15"/>
  <c r="AK15"/>
  <c r="DA15"/>
  <c r="AI15"/>
  <c r="AS15"/>
  <c r="BQ15"/>
  <c r="BS15"/>
  <c r="AT32"/>
  <c r="CD32"/>
  <c r="N32"/>
  <c r="AD32"/>
  <c r="CV32"/>
  <c r="BX32"/>
  <c r="V32"/>
  <c r="CJ32"/>
  <c r="BR32"/>
  <c r="BP32"/>
  <c r="AB32"/>
  <c r="CB32"/>
  <c r="BZ32"/>
  <c r="AV32"/>
  <c r="CP32"/>
  <c r="BB32"/>
  <c r="AX32"/>
  <c r="CH32"/>
  <c r="AR32"/>
  <c r="AN32"/>
  <c r="BT32"/>
  <c r="AH32"/>
  <c r="L32"/>
  <c r="BJ32"/>
  <c r="AJ32"/>
  <c r="J32"/>
  <c r="CT32"/>
  <c r="BH32"/>
  <c r="X32"/>
  <c r="CL32"/>
  <c r="AZ32"/>
  <c r="T32"/>
  <c r="AL32"/>
  <c r="AP32"/>
  <c r="P32"/>
  <c r="AF32"/>
  <c r="CN32"/>
  <c r="BL32"/>
  <c r="Z32"/>
  <c r="CZ32"/>
  <c r="BD32"/>
  <c r="R32"/>
  <c r="CR32"/>
  <c r="CX32"/>
  <c r="BN32"/>
  <c r="BF32"/>
  <c r="CF32"/>
  <c r="BV32"/>
  <c r="A32" a="1"/>
  <c r="A32" s="1"/>
  <c r="I32" s="1"/>
  <c r="BW22"/>
  <c r="BM22"/>
  <c r="CK22"/>
  <c r="CU22"/>
  <c r="CE22"/>
  <c r="U22"/>
  <c r="CG22"/>
  <c r="AU22"/>
  <c r="AI22"/>
  <c r="BO22"/>
  <c r="CY22"/>
  <c r="AE22"/>
  <c r="CW22"/>
  <c r="Y22"/>
  <c r="AM22"/>
  <c r="AA22"/>
  <c r="K22"/>
  <c r="AO22"/>
  <c r="Q22"/>
  <c r="CM22"/>
  <c r="S22"/>
  <c r="CS22"/>
  <c r="CI22"/>
  <c r="O22"/>
  <c r="AG22"/>
  <c r="CQ22"/>
  <c r="W22"/>
  <c r="AQ22"/>
  <c r="AW22"/>
  <c r="AS22"/>
  <c r="BU22"/>
  <c r="DA22"/>
  <c r="AC22"/>
  <c r="BQ22"/>
  <c r="BK22"/>
  <c r="CA22"/>
  <c r="M22"/>
  <c r="AY22"/>
  <c r="CC22"/>
  <c r="BC22"/>
  <c r="BY22"/>
  <c r="BE22"/>
  <c r="AK22"/>
  <c r="BG22"/>
  <c r="BA22"/>
  <c r="BS22"/>
  <c r="CO22"/>
  <c r="BI22"/>
  <c r="A36" a="1"/>
  <c r="A36" s="1"/>
  <c r="I36" s="1"/>
  <c r="BW26"/>
  <c r="BO26"/>
  <c r="CY26"/>
  <c r="AG26"/>
  <c r="CK26"/>
  <c r="AY26"/>
  <c r="BI26"/>
  <c r="CC26"/>
  <c r="M26"/>
  <c r="AO26"/>
  <c r="CM26"/>
  <c r="BE26"/>
  <c r="W26"/>
  <c r="DA26"/>
  <c r="AI26"/>
  <c r="CI26"/>
  <c r="BC26"/>
  <c r="Q26"/>
  <c r="AQ26"/>
  <c r="BQ26"/>
  <c r="BS26"/>
  <c r="BA26"/>
  <c r="U26"/>
  <c r="CQ26"/>
  <c r="AA26"/>
  <c r="AK26"/>
  <c r="CW26"/>
  <c r="S26"/>
  <c r="CG26"/>
  <c r="CA26"/>
  <c r="K26"/>
  <c r="AC26"/>
  <c r="Y26"/>
  <c r="BU26"/>
  <c r="AE26"/>
  <c r="CS26"/>
  <c r="CO26"/>
  <c r="AU26"/>
  <c r="BM26"/>
  <c r="O26"/>
  <c r="BK26"/>
  <c r="BY26"/>
  <c r="CU26"/>
  <c r="AW26"/>
  <c r="AS26"/>
  <c r="BG26"/>
  <c r="CE26"/>
  <c r="AM26"/>
  <c r="P21"/>
  <c r="CP21"/>
  <c r="CZ21"/>
  <c r="BJ21"/>
  <c r="AV21"/>
  <c r="AN21"/>
  <c r="AT21"/>
  <c r="BT21"/>
  <c r="BN21"/>
  <c r="AZ21"/>
  <c r="AF21"/>
  <c r="R21"/>
  <c r="AX21"/>
  <c r="AJ21"/>
  <c r="BH21"/>
  <c r="BF21"/>
  <c r="V21"/>
  <c r="CL21"/>
  <c r="CJ21"/>
  <c r="BZ21"/>
  <c r="BB21"/>
  <c r="AP21"/>
  <c r="CD21"/>
  <c r="BP21"/>
  <c r="N21"/>
  <c r="BV21"/>
  <c r="BX21"/>
  <c r="AL21"/>
  <c r="T21"/>
  <c r="J21"/>
  <c r="CT21"/>
  <c r="CB21"/>
  <c r="BL21"/>
  <c r="AH21"/>
  <c r="Z21"/>
  <c r="BR21"/>
  <c r="X21"/>
  <c r="CN21"/>
  <c r="BD21"/>
  <c r="AR21"/>
  <c r="AD21"/>
  <c r="L21"/>
  <c r="CV21"/>
  <c r="CH21"/>
  <c r="CR21"/>
  <c r="CF21"/>
  <c r="CX21"/>
  <c r="AB21"/>
  <c r="A21" a="1"/>
  <c r="A21" s="1"/>
  <c r="I21" s="1"/>
  <c r="DA29"/>
  <c r="CA29"/>
  <c r="BY29"/>
  <c r="AC29"/>
  <c r="AA29"/>
  <c r="BA29"/>
  <c r="U29"/>
  <c r="BU29"/>
  <c r="CS29"/>
  <c r="K29"/>
  <c r="BW29"/>
  <c r="AY29"/>
  <c r="BM29"/>
  <c r="AO29"/>
  <c r="CM29"/>
  <c r="BQ29"/>
  <c r="BC29"/>
  <c r="CQ29"/>
  <c r="AG29"/>
  <c r="AI29"/>
  <c r="AK29"/>
  <c r="CG29"/>
  <c r="BG29"/>
  <c r="S29"/>
  <c r="BS29"/>
  <c r="CO29"/>
  <c r="AM29"/>
  <c r="O29"/>
  <c r="CI29"/>
  <c r="W29"/>
  <c r="M29"/>
  <c r="BO29"/>
  <c r="BI29"/>
  <c r="CC29"/>
  <c r="CK29"/>
  <c r="CU29"/>
  <c r="Y29"/>
  <c r="AQ29"/>
  <c r="AE29"/>
  <c r="CY29"/>
  <c r="AW29"/>
  <c r="BK29"/>
  <c r="CW29"/>
  <c r="CE29"/>
  <c r="Q29"/>
  <c r="AU29"/>
  <c r="BE29"/>
  <c r="AS29"/>
  <c r="H21" i="57"/>
  <c r="J21"/>
  <c r="H19"/>
  <c r="J19"/>
  <c r="J17"/>
  <c r="H17"/>
  <c r="H30"/>
  <c r="J30"/>
  <c r="H20"/>
  <c r="J20"/>
  <c r="H18"/>
  <c r="J18"/>
  <c r="L30"/>
  <c r="K30"/>
  <c r="L29"/>
  <c r="K29"/>
  <c r="E29" i="69"/>
  <c r="F29"/>
  <c r="J29"/>
  <c r="C29"/>
  <c r="J24"/>
  <c r="C24"/>
  <c r="E24"/>
  <c r="F24"/>
  <c r="F15"/>
  <c r="E15"/>
  <c r="C15"/>
  <c r="J15"/>
  <c r="J20"/>
  <c r="C20"/>
  <c r="E20"/>
  <c r="F20"/>
  <c r="E26"/>
  <c r="F26"/>
  <c r="C26"/>
  <c r="J26"/>
  <c r="C38"/>
  <c r="E38"/>
  <c r="F38"/>
  <c r="J38"/>
  <c r="N25" i="52"/>
  <c r="K25"/>
  <c r="L25"/>
  <c r="M25"/>
  <c r="L21"/>
  <c r="L22" s="1"/>
  <c r="K21"/>
  <c r="K22" s="1"/>
  <c r="K115" i="63"/>
  <c r="J115"/>
  <c r="N17"/>
  <c r="M17"/>
  <c r="O17"/>
  <c r="L17"/>
  <c r="H18" i="56"/>
  <c r="D18"/>
  <c r="A17"/>
  <c r="A18" s="1"/>
  <c r="A19" s="1"/>
  <c r="A20" s="1"/>
  <c r="A21" s="1"/>
  <c r="D17"/>
  <c r="F27" i="58"/>
  <c r="A27"/>
  <c r="A35"/>
  <c r="A14"/>
  <c r="A15" s="1"/>
  <c r="A16" s="1"/>
  <c r="A17" s="1"/>
  <c r="A18" s="1"/>
  <c r="A19" s="1"/>
  <c r="A20" s="1"/>
  <c r="A21" s="1"/>
  <c r="A22" s="1"/>
  <c r="A23" s="1"/>
  <c r="A24" s="1"/>
  <c r="A25" s="1"/>
  <c r="F14"/>
  <c r="E5"/>
  <c r="G125" i="43"/>
  <c r="I48" i="47"/>
  <c r="A43" i="50" a="1"/>
  <c r="A43" s="1"/>
  <c r="I43" s="1"/>
  <c r="A49" a="1"/>
  <c r="A49" s="1"/>
  <c r="I49" s="1"/>
  <c r="A44" a="1"/>
  <c r="A44" s="1"/>
  <c r="I44" s="1"/>
  <c r="A50" a="1"/>
  <c r="A50" s="1"/>
  <c r="I50" s="1"/>
  <c r="A45" a="1"/>
  <c r="A45" s="1"/>
  <c r="I45" s="1"/>
  <c r="A40" a="1"/>
  <c r="A40" s="1"/>
  <c r="I40" s="1"/>
  <c r="A11" a="1"/>
  <c r="A11" s="1"/>
  <c r="I11" s="1"/>
  <c r="A46" a="1"/>
  <c r="A46" s="1"/>
  <c r="I46" s="1"/>
  <c r="A41" a="1"/>
  <c r="A41" s="1"/>
  <c r="I41" s="1"/>
  <c r="A47" a="1"/>
  <c r="A47" s="1"/>
  <c r="I47" s="1"/>
  <c r="A42" a="1"/>
  <c r="A42" s="1"/>
  <c r="I42" s="1"/>
  <c r="A48" a="1"/>
  <c r="A48" s="1"/>
  <c r="I48" s="1"/>
  <c r="AB33" i="48"/>
  <c r="L33"/>
  <c r="CL33"/>
  <c r="AJ33"/>
  <c r="BH33"/>
  <c r="CP33"/>
  <c r="CZ33"/>
  <c r="BT33"/>
  <c r="P33"/>
  <c r="AF33"/>
  <c r="CJ33"/>
  <c r="AR33"/>
  <c r="AD33"/>
  <c r="CT33"/>
  <c r="BP33"/>
  <c r="V33"/>
  <c r="Z33"/>
  <c r="BB33"/>
  <c r="BZ33"/>
  <c r="AL33"/>
  <c r="CR33"/>
  <c r="AX33"/>
  <c r="CV33"/>
  <c r="BN33"/>
  <c r="AV33"/>
  <c r="R33"/>
  <c r="CH33"/>
  <c r="CF33"/>
  <c r="BD33"/>
  <c r="AP33"/>
  <c r="AT33"/>
  <c r="BR33"/>
  <c r="BJ33"/>
  <c r="BV33"/>
  <c r="CN33"/>
  <c r="BL33"/>
  <c r="AH33"/>
  <c r="CX33"/>
  <c r="CB33"/>
  <c r="J33"/>
  <c r="BF33"/>
  <c r="AN33"/>
  <c r="T33"/>
  <c r="BX33"/>
  <c r="X33"/>
  <c r="N33"/>
  <c r="CD33"/>
  <c r="AZ33"/>
  <c r="CY37"/>
  <c r="BA37"/>
  <c r="BG37"/>
  <c r="CO37"/>
  <c r="Y37"/>
  <c r="K37"/>
  <c r="S37"/>
  <c r="U37"/>
  <c r="BC37"/>
  <c r="CK37"/>
  <c r="CI37"/>
  <c r="BS37"/>
  <c r="CA37"/>
  <c r="W37"/>
  <c r="BE37"/>
  <c r="CM37"/>
  <c r="AC37"/>
  <c r="CW37"/>
  <c r="BO37"/>
  <c r="AI37"/>
  <c r="BY37"/>
  <c r="AK37"/>
  <c r="BI37"/>
  <c r="AE37"/>
  <c r="BM37"/>
  <c r="CU37"/>
  <c r="AS37"/>
  <c r="Q37"/>
  <c r="CG37"/>
  <c r="AO37"/>
  <c r="AU37"/>
  <c r="AQ37"/>
  <c r="AM37"/>
  <c r="BU37"/>
  <c r="BW37"/>
  <c r="BQ37"/>
  <c r="CS37"/>
  <c r="CQ37"/>
  <c r="AA37"/>
  <c r="O37"/>
  <c r="AW37"/>
  <c r="CE37"/>
  <c r="M37"/>
  <c r="CC37"/>
  <c r="AY37"/>
  <c r="AG37"/>
  <c r="DA37"/>
  <c r="BK37"/>
  <c r="AI19"/>
  <c r="W19"/>
  <c r="CG19"/>
  <c r="CM19"/>
  <c r="BE19"/>
  <c r="AS19"/>
  <c r="Y19"/>
  <c r="BW19"/>
  <c r="AK19"/>
  <c r="K19"/>
  <c r="CA19"/>
  <c r="AG19"/>
  <c r="O19"/>
  <c r="CE19"/>
  <c r="AY19"/>
  <c r="DA19"/>
  <c r="BA19"/>
  <c r="CO19"/>
  <c r="BU19"/>
  <c r="CS19"/>
  <c r="AA19"/>
  <c r="CQ19"/>
  <c r="CW19"/>
  <c r="AE19"/>
  <c r="CU19"/>
  <c r="U19"/>
  <c r="BC19"/>
  <c r="AM19"/>
  <c r="CY19"/>
  <c r="Q19"/>
  <c r="BY19"/>
  <c r="BQ19"/>
  <c r="BI19"/>
  <c r="BK19"/>
  <c r="AO19"/>
  <c r="BM19"/>
  <c r="CC19"/>
  <c r="BG19"/>
  <c r="AQ19"/>
  <c r="M19"/>
  <c r="S19"/>
  <c r="AU19"/>
  <c r="CK19"/>
  <c r="BO19"/>
  <c r="BS19"/>
  <c r="AC19"/>
  <c r="AW19"/>
  <c r="CI19"/>
  <c r="AX36"/>
  <c r="AB36"/>
  <c r="BT36"/>
  <c r="BB36"/>
  <c r="CF36"/>
  <c r="CX36"/>
  <c r="AH36"/>
  <c r="AL36"/>
  <c r="BF36"/>
  <c r="CT36"/>
  <c r="CV36"/>
  <c r="L36"/>
  <c r="T36"/>
  <c r="BZ36"/>
  <c r="P36"/>
  <c r="AF36"/>
  <c r="CH36"/>
  <c r="Z36"/>
  <c r="BP36"/>
  <c r="AT36"/>
  <c r="AD36"/>
  <c r="AJ36"/>
  <c r="BN36"/>
  <c r="BV36"/>
  <c r="BH36"/>
  <c r="CZ36"/>
  <c r="CR36"/>
  <c r="CJ36"/>
  <c r="AP36"/>
  <c r="N36"/>
  <c r="BR36"/>
  <c r="AZ36"/>
  <c r="CP36"/>
  <c r="AV36"/>
  <c r="CN36"/>
  <c r="V36"/>
  <c r="AR36"/>
  <c r="BJ36"/>
  <c r="CD36"/>
  <c r="CB36"/>
  <c r="BD36"/>
  <c r="BX36"/>
  <c r="J36"/>
  <c r="AN36"/>
  <c r="R36"/>
  <c r="CL36"/>
  <c r="BL36"/>
  <c r="X36"/>
  <c r="AD11" i="49"/>
  <c r="AD52" s="1"/>
  <c r="BJ11"/>
  <c r="BJ52" s="1"/>
  <c r="CP11"/>
  <c r="CP52" s="1"/>
  <c r="F43" s="1"/>
  <c r="AF11"/>
  <c r="AF52" s="1"/>
  <c r="BL11"/>
  <c r="BL52" s="1"/>
  <c r="CR11"/>
  <c r="CR52" s="1"/>
  <c r="F44" s="1"/>
  <c r="AH11"/>
  <c r="AH52" s="1"/>
  <c r="BN11"/>
  <c r="BN52" s="1"/>
  <c r="CT11"/>
  <c r="AJ11"/>
  <c r="AJ52" s="1"/>
  <c r="BP11"/>
  <c r="BP52" s="1"/>
  <c r="CV11"/>
  <c r="CV52" s="1"/>
  <c r="F50" s="1"/>
  <c r="N11"/>
  <c r="N52" s="1"/>
  <c r="BB11"/>
  <c r="BB52" s="1"/>
  <c r="CX11"/>
  <c r="CX52" s="1"/>
  <c r="AV11"/>
  <c r="AV52" s="1"/>
  <c r="CJ11"/>
  <c r="CJ52" s="1"/>
  <c r="AP11"/>
  <c r="AP52" s="1"/>
  <c r="CD11"/>
  <c r="AB11"/>
  <c r="AB52" s="1"/>
  <c r="BX11"/>
  <c r="BX52" s="1"/>
  <c r="V11"/>
  <c r="V52" s="1"/>
  <c r="BR11"/>
  <c r="BR52" s="1"/>
  <c r="P11"/>
  <c r="P52" s="1"/>
  <c r="BD11"/>
  <c r="BD52" s="1"/>
  <c r="J11"/>
  <c r="J52" s="1"/>
  <c r="AX11"/>
  <c r="CL11"/>
  <c r="CL52" s="1"/>
  <c r="F41" s="1"/>
  <c r="AR11"/>
  <c r="AR52" s="1"/>
  <c r="CF11"/>
  <c r="AL11"/>
  <c r="AL52" s="1"/>
  <c r="BZ11"/>
  <c r="BZ52" s="1"/>
  <c r="X11"/>
  <c r="X52" s="1"/>
  <c r="BT11"/>
  <c r="BT52" s="1"/>
  <c r="R11"/>
  <c r="R52" s="1"/>
  <c r="BF11"/>
  <c r="BF52" s="1"/>
  <c r="L11"/>
  <c r="L52" s="1"/>
  <c r="AZ11"/>
  <c r="AZ52" s="1"/>
  <c r="CN11"/>
  <c r="CN52" s="1"/>
  <c r="F42" s="1"/>
  <c r="CZ11"/>
  <c r="AT11"/>
  <c r="AT52" s="1"/>
  <c r="CH11"/>
  <c r="AN11"/>
  <c r="AN52" s="1"/>
  <c r="CB11"/>
  <c r="CB52" s="1"/>
  <c r="Z11"/>
  <c r="Z52" s="1"/>
  <c r="BV11"/>
  <c r="BV52" s="1"/>
  <c r="T11"/>
  <c r="T52" s="1"/>
  <c r="BH11"/>
  <c r="BH52" s="1"/>
  <c r="BW36" i="48"/>
  <c r="K36"/>
  <c r="CG36"/>
  <c r="BC36"/>
  <c r="U36"/>
  <c r="AA36"/>
  <c r="AK36"/>
  <c r="CY36"/>
  <c r="AI36"/>
  <c r="BK36"/>
  <c r="CO36"/>
  <c r="Y36"/>
  <c r="CE36"/>
  <c r="AW36"/>
  <c r="O36"/>
  <c r="Q36"/>
  <c r="AY36"/>
  <c r="CW36"/>
  <c r="CI36"/>
  <c r="S36"/>
  <c r="AQ36"/>
  <c r="CQ36"/>
  <c r="DA36"/>
  <c r="BO36"/>
  <c r="BQ36"/>
  <c r="CA36"/>
  <c r="CK36"/>
  <c r="BI36"/>
  <c r="BS36"/>
  <c r="AG36"/>
  <c r="BA36"/>
  <c r="AC36"/>
  <c r="AO36"/>
  <c r="BU36"/>
  <c r="AE36"/>
  <c r="CS36"/>
  <c r="M36"/>
  <c r="AU36"/>
  <c r="BM36"/>
  <c r="W36"/>
  <c r="CC36"/>
  <c r="BY36"/>
  <c r="CU36"/>
  <c r="BE36"/>
  <c r="AS36"/>
  <c r="BG36"/>
  <c r="CM36"/>
  <c r="AM36"/>
  <c r="AI25"/>
  <c r="K25"/>
  <c r="DA25"/>
  <c r="AE25"/>
  <c r="CY25"/>
  <c r="AS25"/>
  <c r="BG25"/>
  <c r="BA25"/>
  <c r="AK25"/>
  <c r="CG25"/>
  <c r="CW25"/>
  <c r="BW25"/>
  <c r="BK25"/>
  <c r="BQ25"/>
  <c r="CC25"/>
  <c r="AG25"/>
  <c r="CE25"/>
  <c r="BI25"/>
  <c r="O25"/>
  <c r="CI25"/>
  <c r="Y25"/>
  <c r="AC25"/>
  <c r="CA25"/>
  <c r="M25"/>
  <c r="BU25"/>
  <c r="BS25"/>
  <c r="AM25"/>
  <c r="CS25"/>
  <c r="BE25"/>
  <c r="CK25"/>
  <c r="AW25"/>
  <c r="Q25"/>
  <c r="AU25"/>
  <c r="S25"/>
  <c r="BC25"/>
  <c r="AA25"/>
  <c r="AY25"/>
  <c r="U25"/>
  <c r="W25"/>
  <c r="BO25"/>
  <c r="CM25"/>
  <c r="AQ25"/>
  <c r="CO25"/>
  <c r="CU25"/>
  <c r="BY25"/>
  <c r="CQ25"/>
  <c r="AO25"/>
  <c r="BM25"/>
  <c r="L35"/>
  <c r="BP35"/>
  <c r="BV35"/>
  <c r="BT35"/>
  <c r="CX35"/>
  <c r="N35"/>
  <c r="AF35"/>
  <c r="V35"/>
  <c r="CD35"/>
  <c r="AB35"/>
  <c r="BF35"/>
  <c r="J35"/>
  <c r="BH35"/>
  <c r="BR35"/>
  <c r="Z35"/>
  <c r="T35"/>
  <c r="AN35"/>
  <c r="CF35"/>
  <c r="BB35"/>
  <c r="CZ35"/>
  <c r="AP35"/>
  <c r="R35"/>
  <c r="CV35"/>
  <c r="BX35"/>
  <c r="CB35"/>
  <c r="AL35"/>
  <c r="BZ35"/>
  <c r="BL35"/>
  <c r="BN35"/>
  <c r="BD35"/>
  <c r="BJ35"/>
  <c r="AH35"/>
  <c r="AJ35"/>
  <c r="CP35"/>
  <c r="AT35"/>
  <c r="X35"/>
  <c r="CL35"/>
  <c r="CJ35"/>
  <c r="AD35"/>
  <c r="AZ35"/>
  <c r="AX35"/>
  <c r="AV35"/>
  <c r="AR35"/>
  <c r="CT35"/>
  <c r="CR35"/>
  <c r="CH35"/>
  <c r="CN35"/>
  <c r="P35"/>
  <c r="S32"/>
  <c r="AG32"/>
  <c r="CS32"/>
  <c r="Q32"/>
  <c r="K32"/>
  <c r="AY32"/>
  <c r="AA32"/>
  <c r="DA32"/>
  <c r="Y32"/>
  <c r="O32"/>
  <c r="CG32"/>
  <c r="CA32"/>
  <c r="BC32"/>
  <c r="CI32"/>
  <c r="CK32"/>
  <c r="CY32"/>
  <c r="BW32"/>
  <c r="BK32"/>
  <c r="CQ32"/>
  <c r="BM32"/>
  <c r="BS32"/>
  <c r="AW32"/>
  <c r="W32"/>
  <c r="CW32"/>
  <c r="BI32"/>
  <c r="AK32"/>
  <c r="CE32"/>
  <c r="U32"/>
  <c r="BQ32"/>
  <c r="CU32"/>
  <c r="AC32"/>
  <c r="BG32"/>
  <c r="AE32"/>
  <c r="CO32"/>
  <c r="BA32"/>
  <c r="BO32"/>
  <c r="AM32"/>
  <c r="AS32"/>
  <c r="AU32"/>
  <c r="AI32"/>
  <c r="M32"/>
  <c r="CM32"/>
  <c r="AQ32"/>
  <c r="BY32"/>
  <c r="BU32"/>
  <c r="CC32"/>
  <c r="AO32"/>
  <c r="BE32"/>
  <c r="W11" i="49"/>
  <c r="W52" s="1"/>
  <c r="BC11"/>
  <c r="BC52" s="1"/>
  <c r="CI11"/>
  <c r="CI52" s="1"/>
  <c r="F46" s="1"/>
  <c r="U11"/>
  <c r="U52" s="1"/>
  <c r="BA11"/>
  <c r="BA52" s="1"/>
  <c r="CG11"/>
  <c r="CG52" s="1"/>
  <c r="F48" s="1"/>
  <c r="S11"/>
  <c r="AY11"/>
  <c r="AY52" s="1"/>
  <c r="F40" s="1"/>
  <c r="CE11"/>
  <c r="CE52" s="1"/>
  <c r="F47" s="1"/>
  <c r="Y11"/>
  <c r="Y52" s="1"/>
  <c r="BE11"/>
  <c r="BE52" s="1"/>
  <c r="CK11"/>
  <c r="CK52" s="1"/>
  <c r="AE11"/>
  <c r="AE52" s="1"/>
  <c r="BK11"/>
  <c r="BK52" s="1"/>
  <c r="CQ11"/>
  <c r="AC11"/>
  <c r="AC52" s="1"/>
  <c r="BI11"/>
  <c r="BI52" s="1"/>
  <c r="CO11"/>
  <c r="AA11"/>
  <c r="AA52" s="1"/>
  <c r="BG11"/>
  <c r="BG52" s="1"/>
  <c r="CM11"/>
  <c r="AG11"/>
  <c r="AG52" s="1"/>
  <c r="BM11"/>
  <c r="BM52" s="1"/>
  <c r="CS11"/>
  <c r="DA11"/>
  <c r="AM11"/>
  <c r="AM52" s="1"/>
  <c r="BS11"/>
  <c r="BS52" s="1"/>
  <c r="CY11"/>
  <c r="CY52" s="1"/>
  <c r="AK11"/>
  <c r="AK52" s="1"/>
  <c r="BQ11"/>
  <c r="BQ52" s="1"/>
  <c r="CW11"/>
  <c r="AI11"/>
  <c r="AI52" s="1"/>
  <c r="BO11"/>
  <c r="BO52" s="1"/>
  <c r="CU11"/>
  <c r="CU52" s="1"/>
  <c r="F49" s="1"/>
  <c r="AO11"/>
  <c r="AO52" s="1"/>
  <c r="BU11"/>
  <c r="BU52" s="1"/>
  <c r="O11"/>
  <c r="O52" s="1"/>
  <c r="AU11"/>
  <c r="AU52" s="1"/>
  <c r="CA11"/>
  <c r="CA52" s="1"/>
  <c r="M11"/>
  <c r="M52" s="1"/>
  <c r="AS11"/>
  <c r="AS52" s="1"/>
  <c r="BY11"/>
  <c r="BY52" s="1"/>
  <c r="K11"/>
  <c r="K52" s="1"/>
  <c r="AQ11"/>
  <c r="AQ52" s="1"/>
  <c r="BW11"/>
  <c r="BW52" s="1"/>
  <c r="Q11"/>
  <c r="Q52" s="1"/>
  <c r="AW11"/>
  <c r="AW52" s="1"/>
  <c r="CC11"/>
  <c r="CC52" s="1"/>
  <c r="A24" i="48" a="1"/>
  <c r="A24" s="1"/>
  <c r="I24" s="1"/>
  <c r="BW14"/>
  <c r="CG14"/>
  <c r="CE14"/>
  <c r="CU14"/>
  <c r="CW14"/>
  <c r="Q14"/>
  <c r="O14"/>
  <c r="BO14"/>
  <c r="AG14"/>
  <c r="AW14"/>
  <c r="AE14"/>
  <c r="BM14"/>
  <c r="AY14"/>
  <c r="CO14"/>
  <c r="Y14"/>
  <c r="BE14"/>
  <c r="S14"/>
  <c r="BA14"/>
  <c r="CI14"/>
  <c r="U14"/>
  <c r="BC14"/>
  <c r="CK14"/>
  <c r="BY14"/>
  <c r="AU14"/>
  <c r="AM14"/>
  <c r="AA14"/>
  <c r="BI14"/>
  <c r="CQ14"/>
  <c r="AC14"/>
  <c r="BK14"/>
  <c r="CS14"/>
  <c r="BG14"/>
  <c r="CM14"/>
  <c r="W14"/>
  <c r="AO14"/>
  <c r="BU14"/>
  <c r="K14"/>
  <c r="AQ14"/>
  <c r="CA14"/>
  <c r="M14"/>
  <c r="AS14"/>
  <c r="CC14"/>
  <c r="CY14"/>
  <c r="AK14"/>
  <c r="AI14"/>
  <c r="BS14"/>
  <c r="BQ14"/>
  <c r="DA14"/>
  <c r="L13"/>
  <c r="AH13"/>
  <c r="BP13"/>
  <c r="AZ13"/>
  <c r="BZ13"/>
  <c r="J13"/>
  <c r="AR13"/>
  <c r="BT13"/>
  <c r="AT13"/>
  <c r="AN13"/>
  <c r="CT13"/>
  <c r="AD13"/>
  <c r="BN13"/>
  <c r="CZ13"/>
  <c r="CJ13"/>
  <c r="CH13"/>
  <c r="BH13"/>
  <c r="CR13"/>
  <c r="AB13"/>
  <c r="BD13"/>
  <c r="CN13"/>
  <c r="X13"/>
  <c r="CD13"/>
  <c r="N13"/>
  <c r="AX13"/>
  <c r="CX13"/>
  <c r="BR13"/>
  <c r="AJ13"/>
  <c r="T13"/>
  <c r="R13"/>
  <c r="AP13"/>
  <c r="CB13"/>
  <c r="BV13"/>
  <c r="AL13"/>
  <c r="BX13"/>
  <c r="BL13"/>
  <c r="CV13"/>
  <c r="AF13"/>
  <c r="BB13"/>
  <c r="CP13"/>
  <c r="Z13"/>
  <c r="BJ13"/>
  <c r="CL13"/>
  <c r="V13"/>
  <c r="BF13"/>
  <c r="AV13"/>
  <c r="CF13"/>
  <c r="P13"/>
  <c r="BV17"/>
  <c r="BJ17"/>
  <c r="CP17"/>
  <c r="CR17"/>
  <c r="J17"/>
  <c r="CX17"/>
  <c r="AH17"/>
  <c r="BR17"/>
  <c r="CT17"/>
  <c r="BL17"/>
  <c r="AD17"/>
  <c r="CV17"/>
  <c r="BN17"/>
  <c r="AF17"/>
  <c r="AB17"/>
  <c r="CB17"/>
  <c r="CH17"/>
  <c r="R17"/>
  <c r="BB17"/>
  <c r="BZ17"/>
  <c r="AR17"/>
  <c r="BP17"/>
  <c r="CZ17"/>
  <c r="AJ17"/>
  <c r="Z17"/>
  <c r="BH17"/>
  <c r="AP17"/>
  <c r="L17"/>
  <c r="AZ17"/>
  <c r="CJ17"/>
  <c r="T17"/>
  <c r="CL17"/>
  <c r="AV17"/>
  <c r="AT17"/>
  <c r="BF17"/>
  <c r="P17"/>
  <c r="CD17"/>
  <c r="AL17"/>
  <c r="CN17"/>
  <c r="AX17"/>
  <c r="BT17"/>
  <c r="V17"/>
  <c r="CF17"/>
  <c r="AN17"/>
  <c r="BD17"/>
  <c r="N17"/>
  <c r="BX17"/>
  <c r="X17"/>
  <c r="CI21"/>
  <c r="O21"/>
  <c r="BQ21"/>
  <c r="CG21"/>
  <c r="BA21"/>
  <c r="BY21"/>
  <c r="S21"/>
  <c r="AI21"/>
  <c r="CY21"/>
  <c r="DA21"/>
  <c r="AK21"/>
  <c r="Q21"/>
  <c r="AS21"/>
  <c r="AO21"/>
  <c r="CA21"/>
  <c r="K21"/>
  <c r="CS21"/>
  <c r="BG21"/>
  <c r="U21"/>
  <c r="CE21"/>
  <c r="AW21"/>
  <c r="AY21"/>
  <c r="BS21"/>
  <c r="BI21"/>
  <c r="CW21"/>
  <c r="BK21"/>
  <c r="Y21"/>
  <c r="BW21"/>
  <c r="BU21"/>
  <c r="AM21"/>
  <c r="CC21"/>
  <c r="AU21"/>
  <c r="AQ21"/>
  <c r="BO21"/>
  <c r="AC21"/>
  <c r="CK21"/>
  <c r="CU21"/>
  <c r="BM21"/>
  <c r="AE21"/>
  <c r="M21"/>
  <c r="CQ21"/>
  <c r="AA21"/>
  <c r="AG21"/>
  <c r="CO21"/>
  <c r="BC21"/>
  <c r="CM21"/>
  <c r="BE21"/>
  <c r="W21"/>
  <c r="J31"/>
  <c r="N31"/>
  <c r="BN31"/>
  <c r="CX31"/>
  <c r="T31"/>
  <c r="X31"/>
  <c r="CN31"/>
  <c r="R31"/>
  <c r="AJ31"/>
  <c r="BD31"/>
  <c r="AB31"/>
  <c r="V31"/>
  <c r="CL31"/>
  <c r="BH31"/>
  <c r="CB31"/>
  <c r="AN31"/>
  <c r="AT31"/>
  <c r="AZ31"/>
  <c r="BJ31"/>
  <c r="CT31"/>
  <c r="AX31"/>
  <c r="BT31"/>
  <c r="CV31"/>
  <c r="BL31"/>
  <c r="AF31"/>
  <c r="BF31"/>
  <c r="AV31"/>
  <c r="CH31"/>
  <c r="CF31"/>
  <c r="AP31"/>
  <c r="BR31"/>
  <c r="Z31"/>
  <c r="BB31"/>
  <c r="CJ31"/>
  <c r="AH31"/>
  <c r="BV31"/>
  <c r="BX31"/>
  <c r="CD31"/>
  <c r="P31"/>
  <c r="CZ31"/>
  <c r="CP31"/>
  <c r="CR31"/>
  <c r="BP31"/>
  <c r="BZ31"/>
  <c r="L31"/>
  <c r="AR31"/>
  <c r="AL31"/>
  <c r="AD31"/>
  <c r="A31" a="1"/>
  <c r="A31" s="1"/>
  <c r="I31" s="1"/>
  <c r="CN20"/>
  <c r="CL20"/>
  <c r="X20"/>
  <c r="V20"/>
  <c r="BF20"/>
  <c r="BD20"/>
  <c r="BB20"/>
  <c r="R20"/>
  <c r="CH20"/>
  <c r="AR20"/>
  <c r="J20"/>
  <c r="BZ20"/>
  <c r="AV20"/>
  <c r="P20"/>
  <c r="BV20"/>
  <c r="BL20"/>
  <c r="AF20"/>
  <c r="BR20"/>
  <c r="AH20"/>
  <c r="CX20"/>
  <c r="BJ20"/>
  <c r="Z20"/>
  <c r="CP20"/>
  <c r="N20"/>
  <c r="BX20"/>
  <c r="AD20"/>
  <c r="T20"/>
  <c r="CJ20"/>
  <c r="AZ20"/>
  <c r="L20"/>
  <c r="CB20"/>
  <c r="AP20"/>
  <c r="CF20"/>
  <c r="BT20"/>
  <c r="AN20"/>
  <c r="CV20"/>
  <c r="AJ20"/>
  <c r="CZ20"/>
  <c r="BP20"/>
  <c r="AB20"/>
  <c r="CR20"/>
  <c r="BH20"/>
  <c r="CD20"/>
  <c r="AX20"/>
  <c r="AL20"/>
  <c r="AT20"/>
  <c r="CT20"/>
  <c r="BN20"/>
  <c r="J15" i="57"/>
  <c r="H15"/>
  <c r="J28"/>
  <c r="H28"/>
  <c r="L24"/>
  <c r="K24"/>
  <c r="C31" i="69"/>
  <c r="E31"/>
  <c r="F31"/>
  <c r="J31"/>
  <c r="E36"/>
  <c r="C36"/>
  <c r="J36"/>
  <c r="F36"/>
  <c r="F28"/>
  <c r="E28"/>
  <c r="J28"/>
  <c r="C28"/>
  <c r="J39"/>
  <c r="C39"/>
  <c r="E39"/>
  <c r="F39"/>
  <c r="F32"/>
  <c r="E32"/>
  <c r="J32"/>
  <c r="C32"/>
  <c r="C25"/>
  <c r="J25"/>
  <c r="F25"/>
  <c r="E25"/>
  <c r="J35"/>
  <c r="C35"/>
  <c r="E35"/>
  <c r="F35"/>
  <c r="E14"/>
  <c r="C14"/>
  <c r="F14"/>
  <c r="J14"/>
  <c r="H106" i="42"/>
  <c r="G106"/>
  <c r="K20" i="52"/>
  <c r="L20"/>
  <c r="M20"/>
  <c r="M21" s="1"/>
  <c r="N20"/>
  <c r="N21" s="1"/>
  <c r="M24"/>
  <c r="N24"/>
  <c r="I27"/>
  <c r="I14" i="58"/>
  <c r="I15" s="1"/>
  <c r="I16" s="1"/>
  <c r="I17" s="1"/>
  <c r="I18" s="1"/>
  <c r="I19" s="1"/>
  <c r="I20" s="1"/>
  <c r="I21" s="1"/>
  <c r="I22" s="1"/>
  <c r="I23" s="1"/>
  <c r="I24" s="1"/>
  <c r="I25" s="1"/>
  <c r="F29"/>
  <c r="A29"/>
  <c r="H15" i="47"/>
  <c r="I15"/>
  <c r="I50"/>
  <c r="W33" i="48"/>
  <c r="CU33"/>
  <c r="CC33"/>
  <c r="AW33"/>
  <c r="CK33"/>
  <c r="CI33"/>
  <c r="S33"/>
  <c r="BY33"/>
  <c r="AK33"/>
  <c r="BI33"/>
  <c r="BO33"/>
  <c r="AC33"/>
  <c r="BE33"/>
  <c r="BM33"/>
  <c r="CO33"/>
  <c r="BC33"/>
  <c r="BQ33"/>
  <c r="AO33"/>
  <c r="AU33"/>
  <c r="AQ33"/>
  <c r="AG33"/>
  <c r="BW33"/>
  <c r="AM33"/>
  <c r="AE33"/>
  <c r="O33"/>
  <c r="Q33"/>
  <c r="CG33"/>
  <c r="AY33"/>
  <c r="BG33"/>
  <c r="U33"/>
  <c r="BA33"/>
  <c r="DA33"/>
  <c r="CQ33"/>
  <c r="AA33"/>
  <c r="CS33"/>
  <c r="CM33"/>
  <c r="AS33"/>
  <c r="CE33"/>
  <c r="M33"/>
  <c r="Y33"/>
  <c r="CY33"/>
  <c r="AI33"/>
  <c r="BS33"/>
  <c r="CA33"/>
  <c r="K33"/>
  <c r="CW33"/>
  <c r="BK33"/>
  <c r="BU33"/>
  <c r="AF28"/>
  <c r="R28"/>
  <c r="BD28"/>
  <c r="AT28"/>
  <c r="P28"/>
  <c r="AX28"/>
  <c r="BN28"/>
  <c r="CF28"/>
  <c r="V28"/>
  <c r="CL28"/>
  <c r="CV28"/>
  <c r="CX28"/>
  <c r="CN28"/>
  <c r="X28"/>
  <c r="T28"/>
  <c r="BB28"/>
  <c r="CJ28"/>
  <c r="Z28"/>
  <c r="CP28"/>
  <c r="BL28"/>
  <c r="AZ28"/>
  <c r="BP28"/>
  <c r="BX28"/>
  <c r="AB28"/>
  <c r="BJ28"/>
  <c r="CR28"/>
  <c r="AP28"/>
  <c r="N28"/>
  <c r="CD28"/>
  <c r="CH28"/>
  <c r="BT28"/>
  <c r="AH28"/>
  <c r="BF28"/>
  <c r="AL28"/>
  <c r="BV28"/>
  <c r="AN28"/>
  <c r="L28"/>
  <c r="AR28"/>
  <c r="CB28"/>
  <c r="J28"/>
  <c r="BZ28"/>
  <c r="AV28"/>
  <c r="CZ28"/>
  <c r="BH28"/>
  <c r="AJ28"/>
  <c r="AD28"/>
  <c r="BR28"/>
  <c r="CT28"/>
  <c r="A28" a="1"/>
  <c r="A28" s="1"/>
  <c r="I28" s="1"/>
  <c r="K18"/>
  <c r="CW18"/>
  <c r="M18"/>
  <c r="CA18"/>
  <c r="AM18"/>
  <c r="BW18"/>
  <c r="AS18"/>
  <c r="AG18"/>
  <c r="W18"/>
  <c r="U18"/>
  <c r="AW18"/>
  <c r="BQ18"/>
  <c r="CO18"/>
  <c r="DA18"/>
  <c r="BU18"/>
  <c r="AC18"/>
  <c r="BY18"/>
  <c r="BG18"/>
  <c r="BK18"/>
  <c r="O18"/>
  <c r="CI18"/>
  <c r="CC18"/>
  <c r="S18"/>
  <c r="CM18"/>
  <c r="CS18"/>
  <c r="CQ18"/>
  <c r="Q18"/>
  <c r="BS18"/>
  <c r="BI18"/>
  <c r="CE18"/>
  <c r="BA18"/>
  <c r="Y18"/>
  <c r="AK18"/>
  <c r="BE18"/>
  <c r="AO18"/>
  <c r="BC18"/>
  <c r="BO18"/>
  <c r="BM18"/>
  <c r="AI18"/>
  <c r="CK18"/>
  <c r="AA18"/>
  <c r="AE18"/>
  <c r="AU18"/>
  <c r="AY18"/>
  <c r="CY18"/>
  <c r="CG18"/>
  <c r="CU18"/>
  <c r="AQ18"/>
  <c r="A35" a="1"/>
  <c r="A35" s="1"/>
  <c r="I35" s="1"/>
  <c r="CS11" i="51"/>
  <c r="CC11"/>
  <c r="CC52" s="1"/>
  <c r="BM11"/>
  <c r="BM52" s="1"/>
  <c r="AW11"/>
  <c r="AW52" s="1"/>
  <c r="AG11"/>
  <c r="AG52" s="1"/>
  <c r="Q11"/>
  <c r="Q52" s="1"/>
  <c r="CQ11"/>
  <c r="CA11"/>
  <c r="CA52" s="1"/>
  <c r="BK11"/>
  <c r="BK52" s="1"/>
  <c r="AU11"/>
  <c r="AU52" s="1"/>
  <c r="AE11"/>
  <c r="AE52" s="1"/>
  <c r="O11"/>
  <c r="O52" s="1"/>
  <c r="CO11"/>
  <c r="BY11"/>
  <c r="BY52" s="1"/>
  <c r="BI11"/>
  <c r="BI52" s="1"/>
  <c r="AS11"/>
  <c r="AS52" s="1"/>
  <c r="AC11"/>
  <c r="AC52" s="1"/>
  <c r="M11"/>
  <c r="M52" s="1"/>
  <c r="CM11"/>
  <c r="BW11"/>
  <c r="BW52" s="1"/>
  <c r="BG11"/>
  <c r="BG52" s="1"/>
  <c r="AQ11"/>
  <c r="AQ52" s="1"/>
  <c r="AA11"/>
  <c r="AA52" s="1"/>
  <c r="K11"/>
  <c r="K52" s="1"/>
  <c r="DA11"/>
  <c r="CK11"/>
  <c r="CK52" s="1"/>
  <c r="BU11"/>
  <c r="BU52" s="1"/>
  <c r="BE11"/>
  <c r="BE52" s="1"/>
  <c r="AO11"/>
  <c r="AO52" s="1"/>
  <c r="Y11"/>
  <c r="Y52" s="1"/>
  <c r="CY11"/>
  <c r="CY52" s="1"/>
  <c r="CI11"/>
  <c r="CI52" s="1"/>
  <c r="F46" s="1"/>
  <c r="BS11"/>
  <c r="BS52" s="1"/>
  <c r="BC11"/>
  <c r="BC52" s="1"/>
  <c r="AM11"/>
  <c r="AM52" s="1"/>
  <c r="W11"/>
  <c r="W52" s="1"/>
  <c r="CW11"/>
  <c r="CG11"/>
  <c r="CG52" s="1"/>
  <c r="F48" s="1"/>
  <c r="BQ11"/>
  <c r="BQ52" s="1"/>
  <c r="BA11"/>
  <c r="BA52" s="1"/>
  <c r="AK11"/>
  <c r="AK52" s="1"/>
  <c r="U11"/>
  <c r="U52" s="1"/>
  <c r="CU11"/>
  <c r="CU52" s="1"/>
  <c r="F49" s="1"/>
  <c r="CE11"/>
  <c r="CE52" s="1"/>
  <c r="F47" s="1"/>
  <c r="BO11"/>
  <c r="BO52" s="1"/>
  <c r="AY11"/>
  <c r="AY52" s="1"/>
  <c r="F40" s="1"/>
  <c r="AI11"/>
  <c r="AI52" s="1"/>
  <c r="S11"/>
  <c r="L27" i="48"/>
  <c r="AL27"/>
  <c r="CN27"/>
  <c r="J27"/>
  <c r="BF27"/>
  <c r="X27"/>
  <c r="BZ27"/>
  <c r="BX27"/>
  <c r="CP27"/>
  <c r="BD27"/>
  <c r="BN27"/>
  <c r="CX27"/>
  <c r="AH27"/>
  <c r="BL27"/>
  <c r="CZ27"/>
  <c r="BR27"/>
  <c r="AJ27"/>
  <c r="AP27"/>
  <c r="AN27"/>
  <c r="BH27"/>
  <c r="V27"/>
  <c r="AX27"/>
  <c r="CH27"/>
  <c r="R27"/>
  <c r="AV27"/>
  <c r="CR27"/>
  <c r="BJ27"/>
  <c r="AB27"/>
  <c r="BT27"/>
  <c r="BV27"/>
  <c r="Z27"/>
  <c r="CV27"/>
  <c r="AF27"/>
  <c r="BP27"/>
  <c r="CT27"/>
  <c r="AD27"/>
  <c r="CJ27"/>
  <c r="BB27"/>
  <c r="T27"/>
  <c r="AT27"/>
  <c r="CL27"/>
  <c r="CF27"/>
  <c r="P27"/>
  <c r="AZ27"/>
  <c r="CD27"/>
  <c r="N27"/>
  <c r="CB27"/>
  <c r="AR27"/>
  <c r="A27" a="1"/>
  <c r="A27" s="1"/>
  <c r="I27" s="1"/>
  <c r="L16"/>
  <c r="AJ16"/>
  <c r="CL16"/>
  <c r="AF16"/>
  <c r="CV16"/>
  <c r="BL16"/>
  <c r="R16"/>
  <c r="AB16"/>
  <c r="BF16"/>
  <c r="V16"/>
  <c r="CZ16"/>
  <c r="AX16"/>
  <c r="N16"/>
  <c r="CD16"/>
  <c r="AP16"/>
  <c r="BN16"/>
  <c r="AD16"/>
  <c r="CT16"/>
  <c r="BP16"/>
  <c r="CB16"/>
  <c r="P16"/>
  <c r="CF16"/>
  <c r="AV16"/>
  <c r="CH16"/>
  <c r="BX16"/>
  <c r="AH16"/>
  <c r="AR16"/>
  <c r="CP16"/>
  <c r="BV16"/>
  <c r="T16"/>
  <c r="BH16"/>
  <c r="BB16"/>
  <c r="CX16"/>
  <c r="J16"/>
  <c r="X16"/>
  <c r="BT16"/>
  <c r="CJ16"/>
  <c r="AL16"/>
  <c r="AT16"/>
  <c r="BZ16"/>
  <c r="CN16"/>
  <c r="AZ16"/>
  <c r="BJ16"/>
  <c r="CR16"/>
  <c r="BD16"/>
  <c r="BR16"/>
  <c r="Z16"/>
  <c r="AN16"/>
  <c r="AI35"/>
  <c r="BM35"/>
  <c r="CK35"/>
  <c r="AG35"/>
  <c r="BI35"/>
  <c r="AK35"/>
  <c r="BY35"/>
  <c r="CC35"/>
  <c r="BE35"/>
  <c r="CG35"/>
  <c r="AS35"/>
  <c r="CA35"/>
  <c r="BS35"/>
  <c r="AC35"/>
  <c r="AE35"/>
  <c r="BW35"/>
  <c r="CI35"/>
  <c r="W35"/>
  <c r="CQ35"/>
  <c r="DA35"/>
  <c r="BO35"/>
  <c r="CY35"/>
  <c r="O35"/>
  <c r="AM35"/>
  <c r="AU35"/>
  <c r="AO35"/>
  <c r="Y35"/>
  <c r="CE35"/>
  <c r="BG35"/>
  <c r="CU35"/>
  <c r="BC35"/>
  <c r="AW35"/>
  <c r="Q35"/>
  <c r="BU35"/>
  <c r="CO35"/>
  <c r="M35"/>
  <c r="S35"/>
  <c r="BK35"/>
  <c r="BA35"/>
  <c r="AY35"/>
  <c r="CM35"/>
  <c r="K35"/>
  <c r="CW35"/>
  <c r="U35"/>
  <c r="AA35"/>
  <c r="CS35"/>
  <c r="BQ35"/>
  <c r="A16" a="1"/>
  <c r="A16" s="1"/>
  <c r="I16" s="1"/>
  <c r="T23"/>
  <c r="V23"/>
  <c r="X23"/>
  <c r="BX23"/>
  <c r="CX23"/>
  <c r="AH23"/>
  <c r="BN23"/>
  <c r="AV23"/>
  <c r="CB23"/>
  <c r="L23"/>
  <c r="BD23"/>
  <c r="CJ23"/>
  <c r="BZ23"/>
  <c r="AN23"/>
  <c r="CH23"/>
  <c r="N23"/>
  <c r="AX23"/>
  <c r="CT23"/>
  <c r="Z23"/>
  <c r="BJ23"/>
  <c r="AL23"/>
  <c r="BR23"/>
  <c r="CP23"/>
  <c r="BH23"/>
  <c r="AP23"/>
  <c r="BV23"/>
  <c r="BP23"/>
  <c r="CV23"/>
  <c r="AF23"/>
  <c r="CD23"/>
  <c r="J23"/>
  <c r="AR23"/>
  <c r="CL23"/>
  <c r="R23"/>
  <c r="BB23"/>
  <c r="BF23"/>
  <c r="CN23"/>
  <c r="AT23"/>
  <c r="AZ23"/>
  <c r="CF23"/>
  <c r="P23"/>
  <c r="BL23"/>
  <c r="CR23"/>
  <c r="AB23"/>
  <c r="BT23"/>
  <c r="CZ23"/>
  <c r="AJ23"/>
  <c r="AD23"/>
  <c r="A20" a="1"/>
  <c r="A20" s="1"/>
  <c r="I20" s="1"/>
  <c r="A34" a="1"/>
  <c r="A34" s="1"/>
  <c r="I34" s="1"/>
  <c r="O24"/>
  <c r="BO24"/>
  <c r="AS24"/>
  <c r="W24"/>
  <c r="CM24"/>
  <c r="AO24"/>
  <c r="BU24"/>
  <c r="Y24"/>
  <c r="BM24"/>
  <c r="BG24"/>
  <c r="CE24"/>
  <c r="BS24"/>
  <c r="AM24"/>
  <c r="BC24"/>
  <c r="AE24"/>
  <c r="CK24"/>
  <c r="AW24"/>
  <c r="DA24"/>
  <c r="CC24"/>
  <c r="CW24"/>
  <c r="BW24"/>
  <c r="BK24"/>
  <c r="CG24"/>
  <c r="BE24"/>
  <c r="AK24"/>
  <c r="BY24"/>
  <c r="M24"/>
  <c r="AU24"/>
  <c r="CO24"/>
  <c r="CU24"/>
  <c r="AC24"/>
  <c r="AG24"/>
  <c r="U24"/>
  <c r="CS24"/>
  <c r="S24"/>
  <c r="BA24"/>
  <c r="CI24"/>
  <c r="AY24"/>
  <c r="AA24"/>
  <c r="BI24"/>
  <c r="AQ24"/>
  <c r="CY24"/>
  <c r="BQ24"/>
  <c r="Q24"/>
  <c r="K24"/>
  <c r="CA24"/>
  <c r="AI24"/>
  <c r="CQ24"/>
  <c r="S13"/>
  <c r="BE13"/>
  <c r="W13"/>
  <c r="BO13"/>
  <c r="CU13"/>
  <c r="AE13"/>
  <c r="BK13"/>
  <c r="CQ13"/>
  <c r="AA13"/>
  <c r="BS13"/>
  <c r="CY13"/>
  <c r="AI13"/>
  <c r="AY13"/>
  <c r="CE13"/>
  <c r="O13"/>
  <c r="AS13"/>
  <c r="CA13"/>
  <c r="K13"/>
  <c r="BC13"/>
  <c r="CI13"/>
  <c r="CG13"/>
  <c r="BW13"/>
  <c r="AM13"/>
  <c r="AO13"/>
  <c r="CS13"/>
  <c r="BG13"/>
  <c r="DA13"/>
  <c r="AG13"/>
  <c r="BM13"/>
  <c r="CW13"/>
  <c r="AC13"/>
  <c r="BI13"/>
  <c r="AU13"/>
  <c r="AK13"/>
  <c r="BQ13"/>
  <c r="BY13"/>
  <c r="BU13"/>
  <c r="Y13"/>
  <c r="CM13"/>
  <c r="CK13"/>
  <c r="Q13"/>
  <c r="AW13"/>
  <c r="CC13"/>
  <c r="M13"/>
  <c r="AQ13"/>
  <c r="CO13"/>
  <c r="U13"/>
  <c r="BA13"/>
  <c r="L30"/>
  <c r="CT30"/>
  <c r="AX30"/>
  <c r="AV30"/>
  <c r="J30"/>
  <c r="AN30"/>
  <c r="AL30"/>
  <c r="BV30"/>
  <c r="AJ30"/>
  <c r="CH30"/>
  <c r="CB30"/>
  <c r="BH30"/>
  <c r="AD30"/>
  <c r="CP30"/>
  <c r="N30"/>
  <c r="CN30"/>
  <c r="X30"/>
  <c r="CX30"/>
  <c r="CJ30"/>
  <c r="T30"/>
  <c r="CL30"/>
  <c r="AZ30"/>
  <c r="BJ30"/>
  <c r="CZ30"/>
  <c r="CF30"/>
  <c r="BL30"/>
  <c r="BZ30"/>
  <c r="BX30"/>
  <c r="CR30"/>
  <c r="BP30"/>
  <c r="BR30"/>
  <c r="AT30"/>
  <c r="BD30"/>
  <c r="R30"/>
  <c r="AR30"/>
  <c r="BN30"/>
  <c r="AF30"/>
  <c r="P30"/>
  <c r="Z30"/>
  <c r="CD30"/>
  <c r="AP30"/>
  <c r="BF30"/>
  <c r="BT30"/>
  <c r="AH30"/>
  <c r="BB30"/>
  <c r="V30"/>
  <c r="CV30"/>
  <c r="AB30"/>
  <c r="A46" i="51" a="1"/>
  <c r="A46" s="1"/>
  <c r="I46" s="1"/>
  <c r="A41" a="1"/>
  <c r="A41" s="1"/>
  <c r="I41" s="1"/>
  <c r="A47" a="1"/>
  <c r="A47" s="1"/>
  <c r="I47" s="1"/>
  <c r="A11" a="1"/>
  <c r="A11" s="1"/>
  <c r="I11" s="1"/>
  <c r="A42" a="1"/>
  <c r="A42" s="1"/>
  <c r="I42" s="1"/>
  <c r="A48" a="1"/>
  <c r="A48" s="1"/>
  <c r="I48" s="1"/>
  <c r="A43" a="1"/>
  <c r="A43" s="1"/>
  <c r="I43" s="1"/>
  <c r="A49" a="1"/>
  <c r="A49" s="1"/>
  <c r="I49" s="1"/>
  <c r="A44" a="1"/>
  <c r="A44" s="1"/>
  <c r="I44" s="1"/>
  <c r="A50" a="1"/>
  <c r="A50" s="1"/>
  <c r="I50" s="1"/>
  <c r="A45" a="1"/>
  <c r="A45" s="1"/>
  <c r="I45" s="1"/>
  <c r="A40" a="1"/>
  <c r="A40" s="1"/>
  <c r="I40" s="1"/>
  <c r="K17" i="48"/>
  <c r="O17"/>
  <c r="CG17"/>
  <c r="BO17"/>
  <c r="AE17"/>
  <c r="BG17"/>
  <c r="CM17"/>
  <c r="W17"/>
  <c r="CK17"/>
  <c r="BC17"/>
  <c r="U17"/>
  <c r="CI17"/>
  <c r="BA17"/>
  <c r="S17"/>
  <c r="Q17"/>
  <c r="AG17"/>
  <c r="AU17"/>
  <c r="AO17"/>
  <c r="BU17"/>
  <c r="AY17"/>
  <c r="AW17"/>
  <c r="CU17"/>
  <c r="CO17"/>
  <c r="Y17"/>
  <c r="BE17"/>
  <c r="CE17"/>
  <c r="CW17"/>
  <c r="BM17"/>
  <c r="BY17"/>
  <c r="BW17"/>
  <c r="AM17"/>
  <c r="CC17"/>
  <c r="AK17"/>
  <c r="CQ17"/>
  <c r="AQ17"/>
  <c r="BS17"/>
  <c r="AC17"/>
  <c r="CA17"/>
  <c r="AI17"/>
  <c r="DA17"/>
  <c r="BK17"/>
  <c r="M17"/>
  <c r="BQ17"/>
  <c r="AA17"/>
  <c r="CS17"/>
  <c r="AS17"/>
  <c r="CY17"/>
  <c r="BI17"/>
  <c r="AT34"/>
  <c r="AV34"/>
  <c r="AX34"/>
  <c r="N34"/>
  <c r="CB34"/>
  <c r="AJ34"/>
  <c r="AD34"/>
  <c r="AL34"/>
  <c r="BP34"/>
  <c r="BV34"/>
  <c r="L34"/>
  <c r="BF34"/>
  <c r="BB34"/>
  <c r="CD34"/>
  <c r="BX34"/>
  <c r="BZ34"/>
  <c r="X34"/>
  <c r="P34"/>
  <c r="BH34"/>
  <c r="CP34"/>
  <c r="AB34"/>
  <c r="CT34"/>
  <c r="AP34"/>
  <c r="CJ34"/>
  <c r="CZ34"/>
  <c r="CV34"/>
  <c r="Z34"/>
  <c r="BL34"/>
  <c r="J34"/>
  <c r="BJ34"/>
  <c r="BD34"/>
  <c r="AZ34"/>
  <c r="BN34"/>
  <c r="BR34"/>
  <c r="V34"/>
  <c r="AH34"/>
  <c r="AN34"/>
  <c r="AR34"/>
  <c r="CL34"/>
  <c r="CX34"/>
  <c r="R34"/>
  <c r="CR34"/>
  <c r="AF34"/>
  <c r="BT34"/>
  <c r="CH34"/>
  <c r="CN34"/>
  <c r="CF34"/>
  <c r="T34"/>
  <c r="A23" a="1"/>
  <c r="A23" s="1"/>
  <c r="I23" s="1"/>
  <c r="BN12"/>
  <c r="CD12"/>
  <c r="BL12"/>
  <c r="N12"/>
  <c r="CV12"/>
  <c r="AF12"/>
  <c r="L12"/>
  <c r="AD12"/>
  <c r="CT12"/>
  <c r="AV12"/>
  <c r="AX12"/>
  <c r="CF12"/>
  <c r="P12"/>
  <c r="AL12"/>
  <c r="BX12"/>
  <c r="AT12"/>
  <c r="CH12"/>
  <c r="AZ12"/>
  <c r="R12"/>
  <c r="CJ12"/>
  <c r="BB12"/>
  <c r="T12"/>
  <c r="CL12"/>
  <c r="V12"/>
  <c r="BF12"/>
  <c r="BZ12"/>
  <c r="AP12"/>
  <c r="J12"/>
  <c r="CB12"/>
  <c r="AR12"/>
  <c r="BT12"/>
  <c r="BV12"/>
  <c r="AN12"/>
  <c r="CX12"/>
  <c r="BP12"/>
  <c r="AH12"/>
  <c r="CZ12"/>
  <c r="BR12"/>
  <c r="AJ12"/>
  <c r="BD12"/>
  <c r="CN12"/>
  <c r="X12"/>
  <c r="CP12"/>
  <c r="BH12"/>
  <c r="Z12"/>
  <c r="CR12"/>
  <c r="BJ12"/>
  <c r="AB12"/>
  <c r="M31"/>
  <c r="S31"/>
  <c r="CS31"/>
  <c r="CO31"/>
  <c r="BQ31"/>
  <c r="W31"/>
  <c r="CQ31"/>
  <c r="DA31"/>
  <c r="AI31"/>
  <c r="AS31"/>
  <c r="AA31"/>
  <c r="U31"/>
  <c r="CW31"/>
  <c r="BO31"/>
  <c r="K31"/>
  <c r="AW31"/>
  <c r="AC31"/>
  <c r="AM31"/>
  <c r="AU31"/>
  <c r="AO31"/>
  <c r="BM31"/>
  <c r="CK31"/>
  <c r="BA31"/>
  <c r="BK31"/>
  <c r="CC31"/>
  <c r="AY31"/>
  <c r="AQ31"/>
  <c r="CE31"/>
  <c r="BI31"/>
  <c r="AK31"/>
  <c r="BY31"/>
  <c r="CI31"/>
  <c r="AG31"/>
  <c r="BU31"/>
  <c r="Q31"/>
  <c r="CY31"/>
  <c r="BC31"/>
  <c r="AE31"/>
  <c r="CA31"/>
  <c r="BS31"/>
  <c r="O31"/>
  <c r="BW31"/>
  <c r="CG31"/>
  <c r="CU31"/>
  <c r="BG31"/>
  <c r="BE31"/>
  <c r="CM31"/>
  <c r="Y31"/>
  <c r="BQ38"/>
  <c r="CQ38"/>
  <c r="M38"/>
  <c r="Q38"/>
  <c r="CO38"/>
  <c r="AK38"/>
  <c r="AE38"/>
  <c r="CS38"/>
  <c r="BE38"/>
  <c r="BS38"/>
  <c r="AO38"/>
  <c r="BM38"/>
  <c r="CC38"/>
  <c r="CI38"/>
  <c r="BO38"/>
  <c r="BA38"/>
  <c r="AC38"/>
  <c r="CA38"/>
  <c r="BU38"/>
  <c r="AG38"/>
  <c r="K38"/>
  <c r="CG38"/>
  <c r="BI38"/>
  <c r="CK38"/>
  <c r="O38"/>
  <c r="AY38"/>
  <c r="AM38"/>
  <c r="S38"/>
  <c r="CM38"/>
  <c r="CW38"/>
  <c r="AA38"/>
  <c r="DA38"/>
  <c r="W38"/>
  <c r="BG38"/>
  <c r="CY38"/>
  <c r="BC38"/>
  <c r="BW38"/>
  <c r="AI38"/>
  <c r="AU38"/>
  <c r="BK38"/>
  <c r="AW38"/>
  <c r="BY38"/>
  <c r="U38"/>
  <c r="AS38"/>
  <c r="CE38"/>
  <c r="Y38"/>
  <c r="CU38"/>
  <c r="AQ38"/>
  <c r="A19" a="1"/>
  <c r="A19" s="1"/>
  <c r="I19" s="1"/>
  <c r="I32" i="57"/>
  <c r="H29"/>
  <c r="J29"/>
  <c r="J16"/>
  <c r="H16"/>
  <c r="L23"/>
  <c r="K23"/>
  <c r="J23"/>
  <c r="H23"/>
  <c r="H25"/>
  <c r="J25"/>
  <c r="J30" i="69"/>
  <c r="C30"/>
  <c r="F30"/>
  <c r="E30"/>
  <c r="E33"/>
  <c r="C33"/>
  <c r="J33"/>
  <c r="F33"/>
  <c r="J22"/>
  <c r="C22"/>
  <c r="F22"/>
  <c r="E22"/>
  <c r="F21"/>
  <c r="C21"/>
  <c r="J21"/>
  <c r="E21"/>
  <c r="J34"/>
  <c r="C34"/>
  <c r="F34"/>
  <c r="E34"/>
  <c r="E40"/>
  <c r="C40"/>
  <c r="J40"/>
  <c r="F40"/>
  <c r="E27"/>
  <c r="C27"/>
  <c r="J27"/>
  <c r="F27"/>
  <c r="E18"/>
  <c r="F18"/>
  <c r="J18"/>
  <c r="C18"/>
  <c r="I14" i="42"/>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I80" s="1"/>
  <c r="I81" s="1"/>
  <c r="I82" s="1"/>
  <c r="I83" s="1"/>
  <c r="I84" s="1"/>
  <c r="I85" s="1"/>
  <c r="I86" s="1"/>
  <c r="I87" s="1"/>
  <c r="I88" s="1"/>
  <c r="I89" s="1"/>
  <c r="I90" s="1"/>
  <c r="I91" s="1"/>
  <c r="I92" s="1"/>
  <c r="I93" s="1"/>
  <c r="I94" s="1"/>
  <c r="I95" s="1"/>
  <c r="I96" s="1"/>
  <c r="I97" s="1"/>
  <c r="I98" s="1"/>
  <c r="I99" s="1"/>
  <c r="I100" s="1"/>
  <c r="I101" s="1"/>
  <c r="I102" s="1"/>
  <c r="I103" s="1"/>
  <c r="E121"/>
  <c r="K19" i="52"/>
  <c r="M19"/>
  <c r="N19"/>
  <c r="L19"/>
  <c r="J27"/>
  <c r="N28" s="1"/>
  <c r="I115" i="63"/>
  <c r="H115"/>
  <c r="F30" i="58"/>
  <c r="A30"/>
  <c r="G32"/>
  <c r="F125" i="43"/>
  <c r="H45" i="47"/>
  <c r="H39"/>
  <c r="I38"/>
  <c r="I42"/>
  <c r="G51"/>
  <c r="H37"/>
  <c r="CS11" i="50"/>
  <c r="CC11"/>
  <c r="CC52" s="1"/>
  <c r="BM11"/>
  <c r="BM52" s="1"/>
  <c r="AW11"/>
  <c r="AW52" s="1"/>
  <c r="AG11"/>
  <c r="AG52" s="1"/>
  <c r="Q11"/>
  <c r="Q52" s="1"/>
  <c r="CQ11"/>
  <c r="CA11"/>
  <c r="CA52" s="1"/>
  <c r="BK11"/>
  <c r="BK52" s="1"/>
  <c r="AU11"/>
  <c r="AU52" s="1"/>
  <c r="AE11"/>
  <c r="AE52" s="1"/>
  <c r="O11"/>
  <c r="O52" s="1"/>
  <c r="CO11"/>
  <c r="BY11"/>
  <c r="BY52" s="1"/>
  <c r="BI11"/>
  <c r="BI52" s="1"/>
  <c r="AS11"/>
  <c r="AS52" s="1"/>
  <c r="AC11"/>
  <c r="AC52" s="1"/>
  <c r="M11"/>
  <c r="M52" s="1"/>
  <c r="CM11"/>
  <c r="BW11"/>
  <c r="BW52" s="1"/>
  <c r="BG11"/>
  <c r="BG52" s="1"/>
  <c r="AQ11"/>
  <c r="AQ52" s="1"/>
  <c r="AA11"/>
  <c r="AA52" s="1"/>
  <c r="K11"/>
  <c r="K52" s="1"/>
  <c r="DA11"/>
  <c r="CK11"/>
  <c r="CK52" s="1"/>
  <c r="BU11"/>
  <c r="BU52" s="1"/>
  <c r="BE11"/>
  <c r="BE52" s="1"/>
  <c r="AO11"/>
  <c r="AO52" s="1"/>
  <c r="Y11"/>
  <c r="Y52" s="1"/>
  <c r="CY11"/>
  <c r="CY52" s="1"/>
  <c r="CI11"/>
  <c r="CI52" s="1"/>
  <c r="F46" s="1"/>
  <c r="BS11"/>
  <c r="BS52" s="1"/>
  <c r="BC11"/>
  <c r="BC52" s="1"/>
  <c r="AM11"/>
  <c r="AM52" s="1"/>
  <c r="W11"/>
  <c r="W52" s="1"/>
  <c r="CW11"/>
  <c r="CG11"/>
  <c r="CG52" s="1"/>
  <c r="F48" s="1"/>
  <c r="BQ11"/>
  <c r="BQ52" s="1"/>
  <c r="BA11"/>
  <c r="BA52" s="1"/>
  <c r="AK11"/>
  <c r="AK52" s="1"/>
  <c r="U11"/>
  <c r="U52" s="1"/>
  <c r="CU11"/>
  <c r="CU52" s="1"/>
  <c r="F49" s="1"/>
  <c r="CE11"/>
  <c r="CE52" s="1"/>
  <c r="F47" s="1"/>
  <c r="BO11"/>
  <c r="BO52" s="1"/>
  <c r="AY11"/>
  <c r="AY52" s="1"/>
  <c r="F40" s="1"/>
  <c r="AI11"/>
  <c r="AI52" s="1"/>
  <c r="S11"/>
  <c r="Z24" i="48"/>
  <c r="J24"/>
  <c r="T24"/>
  <c r="AL24"/>
  <c r="BT24"/>
  <c r="CR24"/>
  <c r="V24"/>
  <c r="AV24"/>
  <c r="CF24"/>
  <c r="P24"/>
  <c r="BF24"/>
  <c r="CX24"/>
  <c r="AH24"/>
  <c r="BR24"/>
  <c r="AB24"/>
  <c r="L24"/>
  <c r="BJ24"/>
  <c r="CT24"/>
  <c r="AD24"/>
  <c r="BN24"/>
  <c r="BV24"/>
  <c r="AN24"/>
  <c r="CH24"/>
  <c r="R24"/>
  <c r="BB24"/>
  <c r="BZ24"/>
  <c r="BH24"/>
  <c r="CP24"/>
  <c r="CL24"/>
  <c r="CD24"/>
  <c r="N24"/>
  <c r="AX24"/>
  <c r="CN24"/>
  <c r="X24"/>
  <c r="BP24"/>
  <c r="CZ24"/>
  <c r="AJ24"/>
  <c r="AR24"/>
  <c r="CB24"/>
  <c r="AP24"/>
  <c r="BD24"/>
  <c r="BL24"/>
  <c r="CV24"/>
  <c r="AF24"/>
  <c r="BX24"/>
  <c r="AT24"/>
  <c r="AZ24"/>
  <c r="CJ24"/>
  <c r="AP38"/>
  <c r="X38"/>
  <c r="BF38"/>
  <c r="CN38"/>
  <c r="CB38"/>
  <c r="BL38"/>
  <c r="AD38"/>
  <c r="CT38"/>
  <c r="BZ38"/>
  <c r="L38"/>
  <c r="AR38"/>
  <c r="AT38"/>
  <c r="BX38"/>
  <c r="AB38"/>
  <c r="P38"/>
  <c r="CF38"/>
  <c r="BD38"/>
  <c r="AH38"/>
  <c r="CX38"/>
  <c r="BR38"/>
  <c r="J38"/>
  <c r="CD38"/>
  <c r="AN38"/>
  <c r="CP38"/>
  <c r="AF38"/>
  <c r="CV38"/>
  <c r="BT38"/>
  <c r="AZ38"/>
  <c r="T38"/>
  <c r="CJ38"/>
  <c r="AV38"/>
  <c r="CR38"/>
  <c r="BH38"/>
  <c r="N38"/>
  <c r="BJ38"/>
  <c r="Z38"/>
  <c r="BV38"/>
  <c r="BN38"/>
  <c r="AL38"/>
  <c r="R38"/>
  <c r="CH38"/>
  <c r="BB38"/>
  <c r="AX38"/>
  <c r="AJ38"/>
  <c r="V38"/>
  <c r="CZ38"/>
  <c r="CL38"/>
  <c r="BP38"/>
  <c r="A38" a="1"/>
  <c r="A38" s="1"/>
  <c r="I38" s="1"/>
  <c r="AE28"/>
  <c r="CM28"/>
  <c r="M28"/>
  <c r="CC28"/>
  <c r="S28"/>
  <c r="AO28"/>
  <c r="BE28"/>
  <c r="AS28"/>
  <c r="AI28"/>
  <c r="BO28"/>
  <c r="BW28"/>
  <c r="CA28"/>
  <c r="CG28"/>
  <c r="K28"/>
  <c r="CE28"/>
  <c r="CO28"/>
  <c r="AG28"/>
  <c r="BY28"/>
  <c r="CY28"/>
  <c r="W28"/>
  <c r="CQ28"/>
  <c r="U28"/>
  <c r="AA28"/>
  <c r="CU28"/>
  <c r="AC28"/>
  <c r="AU28"/>
  <c r="DA28"/>
  <c r="BQ28"/>
  <c r="BU28"/>
  <c r="AK28"/>
  <c r="BI28"/>
  <c r="AY28"/>
  <c r="CK28"/>
  <c r="BM28"/>
  <c r="BG28"/>
  <c r="CS28"/>
  <c r="BC28"/>
  <c r="BS28"/>
  <c r="O28"/>
  <c r="AW28"/>
  <c r="CW28"/>
  <c r="AM28"/>
  <c r="Y28"/>
  <c r="CI28"/>
  <c r="Q28"/>
  <c r="BK28"/>
  <c r="BA28"/>
  <c r="CR11" i="51"/>
  <c r="CR52" s="1"/>
  <c r="F44" s="1"/>
  <c r="CB11"/>
  <c r="CB52" s="1"/>
  <c r="BL11"/>
  <c r="BL52" s="1"/>
  <c r="AV11"/>
  <c r="AV52" s="1"/>
  <c r="AF11"/>
  <c r="AF52" s="1"/>
  <c r="P11"/>
  <c r="P52" s="1"/>
  <c r="CP11"/>
  <c r="CP52" s="1"/>
  <c r="F43" s="1"/>
  <c r="BZ11"/>
  <c r="BZ52" s="1"/>
  <c r="BJ11"/>
  <c r="BJ52" s="1"/>
  <c r="AT11"/>
  <c r="AT52" s="1"/>
  <c r="AD11"/>
  <c r="AD52" s="1"/>
  <c r="N11"/>
  <c r="N52" s="1"/>
  <c r="CN11"/>
  <c r="CN52" s="1"/>
  <c r="F42" s="1"/>
  <c r="BX11"/>
  <c r="BX52" s="1"/>
  <c r="BH11"/>
  <c r="BH52" s="1"/>
  <c r="AR11"/>
  <c r="AR52" s="1"/>
  <c r="AB11"/>
  <c r="AB52" s="1"/>
  <c r="L11"/>
  <c r="L52" s="1"/>
  <c r="CL11"/>
  <c r="CL52" s="1"/>
  <c r="F41" s="1"/>
  <c r="BV11"/>
  <c r="BV52" s="1"/>
  <c r="BF11"/>
  <c r="BF52" s="1"/>
  <c r="AP11"/>
  <c r="AP52" s="1"/>
  <c r="Z11"/>
  <c r="Z52" s="1"/>
  <c r="J11"/>
  <c r="J52" s="1"/>
  <c r="CZ11"/>
  <c r="CJ11"/>
  <c r="CJ52" s="1"/>
  <c r="BT11"/>
  <c r="BT52" s="1"/>
  <c r="BD11"/>
  <c r="BD52" s="1"/>
  <c r="AN11"/>
  <c r="AN52" s="1"/>
  <c r="X11"/>
  <c r="X52" s="1"/>
  <c r="CX11"/>
  <c r="CX52" s="1"/>
  <c r="CH11"/>
  <c r="BR11"/>
  <c r="BR52" s="1"/>
  <c r="BB11"/>
  <c r="BB52" s="1"/>
  <c r="AL11"/>
  <c r="AL52" s="1"/>
  <c r="V11"/>
  <c r="V52" s="1"/>
  <c r="CV11"/>
  <c r="CV52" s="1"/>
  <c r="F50" s="1"/>
  <c r="CF11"/>
  <c r="BP11"/>
  <c r="BP52" s="1"/>
  <c r="AZ11"/>
  <c r="AZ52" s="1"/>
  <c r="AJ11"/>
  <c r="AJ52" s="1"/>
  <c r="T11"/>
  <c r="T52" s="1"/>
  <c r="CT11"/>
  <c r="CD11"/>
  <c r="BN11"/>
  <c r="BN52" s="1"/>
  <c r="AX11"/>
  <c r="AH11"/>
  <c r="AH52" s="1"/>
  <c r="R11"/>
  <c r="R52" s="1"/>
  <c r="A30" i="48" a="1"/>
  <c r="A30" s="1"/>
  <c r="I30" s="1"/>
  <c r="K34"/>
  <c r="AI34"/>
  <c r="AU34"/>
  <c r="AE34"/>
  <c r="CY34"/>
  <c r="AK34"/>
  <c r="CC34"/>
  <c r="CU34"/>
  <c r="BW34"/>
  <c r="CE34"/>
  <c r="BI34"/>
  <c r="BA34"/>
  <c r="AG34"/>
  <c r="BS34"/>
  <c r="AC34"/>
  <c r="AS34"/>
  <c r="CK34"/>
  <c r="BQ34"/>
  <c r="BO34"/>
  <c r="DA34"/>
  <c r="AY34"/>
  <c r="CO34"/>
  <c r="O34"/>
  <c r="CI34"/>
  <c r="CW34"/>
  <c r="AO34"/>
  <c r="Y34"/>
  <c r="W34"/>
  <c r="BC34"/>
  <c r="CM34"/>
  <c r="CA34"/>
  <c r="BK34"/>
  <c r="CQ34"/>
  <c r="M34"/>
  <c r="BM34"/>
  <c r="BE34"/>
  <c r="U34"/>
  <c r="BU34"/>
  <c r="BG34"/>
  <c r="AM34"/>
  <c r="CG34"/>
  <c r="AA34"/>
  <c r="BY34"/>
  <c r="AW34"/>
  <c r="CS34"/>
  <c r="Q34"/>
  <c r="S34"/>
  <c r="AQ34"/>
  <c r="P26"/>
  <c r="CF26"/>
  <c r="CD26"/>
  <c r="BF26"/>
  <c r="AH26"/>
  <c r="BT26"/>
  <c r="Z26"/>
  <c r="AF26"/>
  <c r="CH26"/>
  <c r="AT26"/>
  <c r="BX26"/>
  <c r="BP26"/>
  <c r="BL26"/>
  <c r="CV26"/>
  <c r="L26"/>
  <c r="CZ26"/>
  <c r="X26"/>
  <c r="CN26"/>
  <c r="CX26"/>
  <c r="V26"/>
  <c r="CB26"/>
  <c r="AJ26"/>
  <c r="AP26"/>
  <c r="AD26"/>
  <c r="BJ26"/>
  <c r="AN26"/>
  <c r="BV26"/>
  <c r="AL26"/>
  <c r="BZ26"/>
  <c r="BB26"/>
  <c r="N26"/>
  <c r="BR26"/>
  <c r="CL26"/>
  <c r="J26"/>
  <c r="T26"/>
  <c r="BH26"/>
  <c r="AX26"/>
  <c r="AV26"/>
  <c r="CJ26"/>
  <c r="CT26"/>
  <c r="R26"/>
  <c r="AB26"/>
  <c r="CP26"/>
  <c r="BN26"/>
  <c r="BD26"/>
  <c r="CR26"/>
  <c r="AZ26"/>
  <c r="AR26"/>
  <c r="K23"/>
  <c r="CY23"/>
  <c r="AM23"/>
  <c r="U23"/>
  <c r="CU23"/>
  <c r="O23"/>
  <c r="AK23"/>
  <c r="BY23"/>
  <c r="AY23"/>
  <c r="CE23"/>
  <c r="AE23"/>
  <c r="S23"/>
  <c r="CS23"/>
  <c r="DA23"/>
  <c r="BO23"/>
  <c r="BG23"/>
  <c r="CC23"/>
  <c r="BI23"/>
  <c r="BA23"/>
  <c r="BM23"/>
  <c r="AC23"/>
  <c r="CI23"/>
  <c r="CK23"/>
  <c r="M23"/>
  <c r="AI23"/>
  <c r="BQ23"/>
  <c r="BS23"/>
  <c r="AU23"/>
  <c r="AA23"/>
  <c r="CO23"/>
  <c r="Q23"/>
  <c r="BU23"/>
  <c r="AQ23"/>
  <c r="CW23"/>
  <c r="CQ23"/>
  <c r="Y23"/>
  <c r="AS23"/>
  <c r="AW23"/>
  <c r="AG23"/>
  <c r="CA23"/>
  <c r="BC23"/>
  <c r="BW23"/>
  <c r="W23"/>
  <c r="AO23"/>
  <c r="BK23"/>
  <c r="BE23"/>
  <c r="CG23"/>
  <c r="CM23"/>
  <c r="A11" a="1"/>
  <c r="A11" s="1"/>
  <c r="I11" s="1"/>
  <c r="A39" a="1"/>
  <c r="A39" s="1"/>
  <c r="I39" s="1"/>
  <c r="A40" a="1"/>
  <c r="A40" s="1"/>
  <c r="I40" s="1"/>
  <c r="A43" a="1"/>
  <c r="A43" s="1"/>
  <c r="I43" s="1"/>
  <c r="A41" a="1"/>
  <c r="A41" s="1"/>
  <c r="I41" s="1"/>
  <c r="A42" a="1"/>
  <c r="A42" s="1"/>
  <c r="I42" s="1"/>
  <c r="A50" a="1"/>
  <c r="A50" s="1"/>
  <c r="I50" s="1"/>
  <c r="A44" a="1"/>
  <c r="A44" s="1"/>
  <c r="I44" s="1"/>
  <c r="A45" a="1"/>
  <c r="A45" s="1"/>
  <c r="I45" s="1"/>
  <c r="A46" a="1"/>
  <c r="A46" s="1"/>
  <c r="I46" s="1"/>
  <c r="A47" a="1"/>
  <c r="A47" s="1"/>
  <c r="I47" s="1"/>
  <c r="A48" a="1"/>
  <c r="A48" s="1"/>
  <c r="I48" s="1"/>
  <c r="A49" a="1"/>
  <c r="A49" s="1"/>
  <c r="I49" s="1"/>
  <c r="S27"/>
  <c r="AU27"/>
  <c r="BS27"/>
  <c r="CA27"/>
  <c r="DA27"/>
  <c r="AA27"/>
  <c r="K27"/>
  <c r="AK27"/>
  <c r="AO27"/>
  <c r="AQ27"/>
  <c r="BY27"/>
  <c r="BI27"/>
  <c r="CQ27"/>
  <c r="CK27"/>
  <c r="CI27"/>
  <c r="W27"/>
  <c r="BE27"/>
  <c r="CM27"/>
  <c r="AC27"/>
  <c r="CS27"/>
  <c r="BO27"/>
  <c r="CO27"/>
  <c r="BC27"/>
  <c r="BQ27"/>
  <c r="AE27"/>
  <c r="BM27"/>
  <c r="CU27"/>
  <c r="AS27"/>
  <c r="Q27"/>
  <c r="CG27"/>
  <c r="BG27"/>
  <c r="U27"/>
  <c r="BA27"/>
  <c r="AM27"/>
  <c r="BU27"/>
  <c r="BW27"/>
  <c r="BK27"/>
  <c r="AG27"/>
  <c r="CW27"/>
  <c r="Y27"/>
  <c r="CY27"/>
  <c r="AI27"/>
  <c r="O27"/>
  <c r="AW27"/>
  <c r="CE27"/>
  <c r="M27"/>
  <c r="CC27"/>
  <c r="AY27"/>
  <c r="A33" a="1"/>
  <c r="A33" s="1"/>
  <c r="I33" s="1"/>
  <c r="T15"/>
  <c r="BF15"/>
  <c r="CN15"/>
  <c r="AP15"/>
  <c r="BZ15"/>
  <c r="BP15"/>
  <c r="CV15"/>
  <c r="AF15"/>
  <c r="AD15"/>
  <c r="BL15"/>
  <c r="CR15"/>
  <c r="AB15"/>
  <c r="CL15"/>
  <c r="R15"/>
  <c r="BB15"/>
  <c r="CP15"/>
  <c r="V15"/>
  <c r="X15"/>
  <c r="BX15"/>
  <c r="AT15"/>
  <c r="AZ15"/>
  <c r="CF15"/>
  <c r="P15"/>
  <c r="AV15"/>
  <c r="CB15"/>
  <c r="L15"/>
  <c r="BT15"/>
  <c r="CZ15"/>
  <c r="AJ15"/>
  <c r="BV15"/>
  <c r="AN15"/>
  <c r="CX15"/>
  <c r="AH15"/>
  <c r="BN15"/>
  <c r="CT15"/>
  <c r="Z15"/>
  <c r="BJ15"/>
  <c r="BH15"/>
  <c r="CH15"/>
  <c r="N15"/>
  <c r="AX15"/>
  <c r="CD15"/>
  <c r="J15"/>
  <c r="AR15"/>
  <c r="AL15"/>
  <c r="BR15"/>
  <c r="BD15"/>
  <c r="CJ15"/>
  <c r="A15" a="1"/>
  <c r="A15" s="1"/>
  <c r="I15" s="1"/>
  <c r="AI30"/>
  <c r="AY30"/>
  <c r="AK30"/>
  <c r="CE30"/>
  <c r="BW30"/>
  <c r="BU30"/>
  <c r="BY30"/>
  <c r="S30"/>
  <c r="Q30"/>
  <c r="CS30"/>
  <c r="CA30"/>
  <c r="AC30"/>
  <c r="BQ30"/>
  <c r="BI30"/>
  <c r="BK30"/>
  <c r="W30"/>
  <c r="CM30"/>
  <c r="M30"/>
  <c r="AQ30"/>
  <c r="BG30"/>
  <c r="K30"/>
  <c r="CU30"/>
  <c r="BS30"/>
  <c r="DA30"/>
  <c r="AA30"/>
  <c r="CK30"/>
  <c r="O30"/>
  <c r="BO30"/>
  <c r="AM30"/>
  <c r="AU30"/>
  <c r="AS30"/>
  <c r="BM30"/>
  <c r="CW30"/>
  <c r="AE30"/>
  <c r="AG30"/>
  <c r="U30"/>
  <c r="CO30"/>
  <c r="CQ30"/>
  <c r="BE30"/>
  <c r="AO30"/>
  <c r="CC30"/>
  <c r="CI30"/>
  <c r="BC30"/>
  <c r="BA30"/>
  <c r="CG30"/>
  <c r="Y30"/>
  <c r="CY30"/>
  <c r="AW30"/>
  <c r="CJ22"/>
  <c r="BZ22"/>
  <c r="AD22"/>
  <c r="AR22"/>
  <c r="BF22"/>
  <c r="V22"/>
  <c r="CL22"/>
  <c r="CF22"/>
  <c r="BP22"/>
  <c r="BR22"/>
  <c r="BH22"/>
  <c r="BL22"/>
  <c r="CT22"/>
  <c r="T22"/>
  <c r="CV22"/>
  <c r="AT22"/>
  <c r="BX22"/>
  <c r="AL22"/>
  <c r="P22"/>
  <c r="CZ22"/>
  <c r="CP22"/>
  <c r="CR22"/>
  <c r="CD22"/>
  <c r="R22"/>
  <c r="AZ22"/>
  <c r="BB22"/>
  <c r="X22"/>
  <c r="CN22"/>
  <c r="BD22"/>
  <c r="AJ22"/>
  <c r="Z22"/>
  <c r="AB22"/>
  <c r="N22"/>
  <c r="CX22"/>
  <c r="CB22"/>
  <c r="J22"/>
  <c r="CH22"/>
  <c r="L22"/>
  <c r="AN22"/>
  <c r="BV22"/>
  <c r="BT22"/>
  <c r="BJ22"/>
  <c r="AV22"/>
  <c r="AX22"/>
  <c r="AH22"/>
  <c r="AF22"/>
  <c r="BN22"/>
  <c r="AP22"/>
  <c r="A22" a="1"/>
  <c r="A22" s="1"/>
  <c r="I22" s="1"/>
  <c r="M12"/>
  <c r="BG12"/>
  <c r="CW12"/>
  <c r="BM12"/>
  <c r="W12"/>
  <c r="S12"/>
  <c r="CI12"/>
  <c r="BC12"/>
  <c r="BW12"/>
  <c r="CQ12"/>
  <c r="CG12"/>
  <c r="CE12"/>
  <c r="BY12"/>
  <c r="CU12"/>
  <c r="CC12"/>
  <c r="CA12"/>
  <c r="AI12"/>
  <c r="CY12"/>
  <c r="BS12"/>
  <c r="AA12"/>
  <c r="Q12"/>
  <c r="O12"/>
  <c r="AU12"/>
  <c r="CS12"/>
  <c r="BE12"/>
  <c r="AG12"/>
  <c r="AE12"/>
  <c r="BA12"/>
  <c r="U12"/>
  <c r="CK12"/>
  <c r="AW12"/>
  <c r="AO12"/>
  <c r="AM12"/>
  <c r="AC12"/>
  <c r="CO12"/>
  <c r="K12"/>
  <c r="CM12"/>
  <c r="BO12"/>
  <c r="BQ12"/>
  <c r="AK12"/>
  <c r="DA12"/>
  <c r="BU12"/>
  <c r="BK12"/>
  <c r="BI12"/>
  <c r="AY12"/>
  <c r="AS12"/>
  <c r="AQ12"/>
  <c r="Y12"/>
  <c r="AX29"/>
  <c r="V29"/>
  <c r="CR29"/>
  <c r="R29"/>
  <c r="AB29"/>
  <c r="CX29"/>
  <c r="BR29"/>
  <c r="BH29"/>
  <c r="BL29"/>
  <c r="BF29"/>
  <c r="AL29"/>
  <c r="BZ29"/>
  <c r="CT29"/>
  <c r="BN29"/>
  <c r="AV29"/>
  <c r="AJ29"/>
  <c r="CD29"/>
  <c r="BB29"/>
  <c r="BV29"/>
  <c r="BX29"/>
  <c r="BT29"/>
  <c r="BD29"/>
  <c r="AR29"/>
  <c r="CH29"/>
  <c r="CZ29"/>
  <c r="P29"/>
  <c r="AD29"/>
  <c r="AF29"/>
  <c r="X29"/>
  <c r="CN29"/>
  <c r="J29"/>
  <c r="CP29"/>
  <c r="N29"/>
  <c r="T29"/>
  <c r="AH29"/>
  <c r="CF29"/>
  <c r="BP29"/>
  <c r="CV29"/>
  <c r="L29"/>
  <c r="AN29"/>
  <c r="AT29"/>
  <c r="AP29"/>
  <c r="AZ29"/>
  <c r="CJ29"/>
  <c r="CL29"/>
  <c r="BJ29"/>
  <c r="Z29"/>
  <c r="CB29"/>
  <c r="J14" i="57"/>
  <c r="H14"/>
  <c r="L25"/>
  <c r="K25"/>
  <c r="L28"/>
  <c r="K28"/>
  <c r="J22"/>
  <c r="H22"/>
  <c r="K14"/>
  <c r="K15" s="1"/>
  <c r="K16" s="1"/>
  <c r="K17" s="1"/>
  <c r="K18" s="1"/>
  <c r="K19" s="1"/>
  <c r="K20" s="1"/>
  <c r="K21" s="1"/>
  <c r="K22" s="1"/>
  <c r="J27"/>
  <c r="H27"/>
  <c r="J24"/>
  <c r="H24"/>
  <c r="H26"/>
  <c r="J26"/>
  <c r="L27"/>
  <c r="K27"/>
  <c r="L26"/>
  <c r="K26"/>
  <c r="G32"/>
  <c r="F37" i="69"/>
  <c r="E37"/>
  <c r="J37"/>
  <c r="C37"/>
  <c r="C16"/>
  <c r="J16"/>
  <c r="E16"/>
  <c r="F16"/>
  <c r="C23"/>
  <c r="J23"/>
  <c r="F23"/>
  <c r="E23"/>
  <c r="C17"/>
  <c r="E17"/>
  <c r="F17"/>
  <c r="J17"/>
  <c r="J19"/>
  <c r="F19"/>
  <c r="E19"/>
  <c r="C19"/>
  <c r="G27" i="52"/>
  <c r="L23"/>
  <c r="L24" s="1"/>
  <c r="K23"/>
  <c r="K24" s="1"/>
  <c r="N22"/>
  <c r="N23" s="1"/>
  <c r="M22"/>
  <c r="M23" s="1"/>
  <c r="N17"/>
  <c r="L17"/>
  <c r="M17"/>
  <c r="K17"/>
  <c r="H19" i="56"/>
  <c r="H17"/>
  <c r="D22"/>
  <c r="A22"/>
  <c r="A23" s="1"/>
  <c r="H32" i="58"/>
  <c r="A28"/>
  <c r="F28"/>
  <c r="F26"/>
  <c r="A26"/>
  <c r="H72" i="12"/>
  <c r="G72"/>
  <c r="G14" i="15"/>
  <c r="H56"/>
  <c r="P54" i="45" s="1"/>
  <c r="G41" i="15"/>
  <c r="H41"/>
  <c r="L69" i="55"/>
  <c r="L70" s="1"/>
  <c r="H35" i="15"/>
  <c r="H14"/>
  <c r="H53"/>
  <c r="L101" i="55"/>
  <c r="L102" s="1"/>
  <c r="H58" i="15"/>
  <c r="L54" i="55"/>
  <c r="L55" s="1"/>
  <c r="H30" i="15"/>
  <c r="G48"/>
  <c r="G23"/>
  <c r="G30"/>
  <c r="H37"/>
  <c r="N21" i="62"/>
  <c r="H19" i="15"/>
  <c r="F75"/>
  <c r="N53" i="45"/>
  <c r="P53"/>
  <c r="G56" i="15"/>
  <c r="H46"/>
  <c r="L21" i="62"/>
  <c r="G46" i="15"/>
  <c r="G58"/>
  <c r="G37"/>
  <c r="E65"/>
  <c r="I65" s="1"/>
  <c r="I64"/>
  <c r="H23"/>
  <c r="G53"/>
  <c r="G35"/>
  <c r="G19"/>
  <c r="H48"/>
  <c r="O18" i="63" l="1"/>
  <c r="K28" i="52"/>
  <c r="L18" i="63"/>
  <c r="N18"/>
  <c r="M18"/>
  <c r="M19" s="1"/>
  <c r="K32" i="57"/>
  <c r="L116" i="63"/>
  <c r="H125" i="43"/>
  <c r="H126" s="1"/>
  <c r="M116" i="63"/>
  <c r="I16" i="47"/>
  <c r="I107" i="42"/>
  <c r="L14" i="57"/>
  <c r="L15" s="1"/>
  <c r="L16" s="1"/>
  <c r="L17" s="1"/>
  <c r="L18" s="1"/>
  <c r="L19" s="1"/>
  <c r="L20" s="1"/>
  <c r="L21" s="1"/>
  <c r="M18" i="52"/>
  <c r="L18"/>
  <c r="N18"/>
  <c r="H24" i="56"/>
  <c r="K18" i="52"/>
  <c r="H16" i="47"/>
  <c r="CW50" i="51"/>
  <c r="CW52" s="1"/>
  <c r="CZ50"/>
  <c r="CO42"/>
  <c r="CO52" s="1"/>
  <c r="CZ42"/>
  <c r="CS44"/>
  <c r="CS52" s="1"/>
  <c r="CZ44"/>
  <c r="I32" i="58"/>
  <c r="CT49" i="51"/>
  <c r="CT52" s="1"/>
  <c r="DA49"/>
  <c r="DA49" i="49"/>
  <c r="CT49"/>
  <c r="CF48"/>
  <c r="CF52" s="1"/>
  <c r="DA48"/>
  <c r="CS44"/>
  <c r="CS52" s="1"/>
  <c r="CZ44"/>
  <c r="O116" i="63"/>
  <c r="CZ50" i="50"/>
  <c r="CW50"/>
  <c r="CW52" s="1"/>
  <c r="CZ42"/>
  <c r="CO42"/>
  <c r="CO52" s="1"/>
  <c r="CZ44"/>
  <c r="CS44"/>
  <c r="CS52" s="1"/>
  <c r="CV52" i="48"/>
  <c r="BZ52"/>
  <c r="BN52"/>
  <c r="BH52"/>
  <c r="BP52"/>
  <c r="AD52"/>
  <c r="AR52"/>
  <c r="AJ52"/>
  <c r="BT52"/>
  <c r="AB52"/>
  <c r="CN52"/>
  <c r="BI52"/>
  <c r="BM52"/>
  <c r="CG52"/>
  <c r="AI52"/>
  <c r="BU52"/>
  <c r="AS52"/>
  <c r="AC52"/>
  <c r="AG52"/>
  <c r="AY52"/>
  <c r="CE52"/>
  <c r="CD47" i="50"/>
  <c r="CD52" s="1"/>
  <c r="DA47"/>
  <c r="DA46"/>
  <c r="CH46"/>
  <c r="CH52" s="1"/>
  <c r="S40" i="51"/>
  <c r="S52" s="1"/>
  <c r="AX40"/>
  <c r="AX52" s="1"/>
  <c r="CF48"/>
  <c r="CF52" s="1"/>
  <c r="DA48"/>
  <c r="M28" i="52"/>
  <c r="CD47" i="49"/>
  <c r="CD52" s="1"/>
  <c r="DA47"/>
  <c r="CT52"/>
  <c r="X52" i="48"/>
  <c r="L52"/>
  <c r="BX52"/>
  <c r="CR52"/>
  <c r="BV52"/>
  <c r="BF52"/>
  <c r="AP52"/>
  <c r="AL52"/>
  <c r="J52"/>
  <c r="V52"/>
  <c r="BC52"/>
  <c r="AU52"/>
  <c r="O52"/>
  <c r="K52"/>
  <c r="BO52"/>
  <c r="CC52"/>
  <c r="BE52"/>
  <c r="BG52"/>
  <c r="CI52"/>
  <c r="BS52"/>
  <c r="Q52"/>
  <c r="AE52"/>
  <c r="I52" i="47"/>
  <c r="H52"/>
  <c r="L22" i="57"/>
  <c r="H32"/>
  <c r="CM41" i="51"/>
  <c r="CM52" s="1"/>
  <c r="CZ41"/>
  <c r="CQ43"/>
  <c r="CQ52" s="1"/>
  <c r="CZ43"/>
  <c r="DA49" i="50"/>
  <c r="CT49"/>
  <c r="CT52" s="1"/>
  <c r="E41" i="69"/>
  <c r="N41"/>
  <c r="AX40" i="49"/>
  <c r="AX52" s="1"/>
  <c r="S40"/>
  <c r="S52" s="1"/>
  <c r="CM41"/>
  <c r="CM52" s="1"/>
  <c r="CZ41"/>
  <c r="CZ50"/>
  <c r="CW50"/>
  <c r="CW52" s="1"/>
  <c r="CZ41" i="50"/>
  <c r="CM41"/>
  <c r="CM52" s="1"/>
  <c r="CZ43"/>
  <c r="CQ43"/>
  <c r="CQ52" s="1"/>
  <c r="AZ52" i="48"/>
  <c r="N52"/>
  <c r="T52"/>
  <c r="CL52"/>
  <c r="CJ52"/>
  <c r="BD52"/>
  <c r="BL52"/>
  <c r="BR52"/>
  <c r="AN52"/>
  <c r="AV52"/>
  <c r="CA52"/>
  <c r="BA52"/>
  <c r="CY52"/>
  <c r="AW52"/>
  <c r="BK52"/>
  <c r="CK52"/>
  <c r="U52"/>
  <c r="Y52"/>
  <c r="W52"/>
  <c r="BQ52"/>
  <c r="J32" i="57"/>
  <c r="AX40" i="50"/>
  <c r="AX52" s="1"/>
  <c r="S40"/>
  <c r="S52" s="1"/>
  <c r="DA48"/>
  <c r="CF48"/>
  <c r="CF52" s="1"/>
  <c r="L28" i="52"/>
  <c r="DA47" i="51"/>
  <c r="CD47"/>
  <c r="CD52" s="1"/>
  <c r="CH46"/>
  <c r="CH52" s="1"/>
  <c r="DA46"/>
  <c r="CH46" i="49"/>
  <c r="CH52" s="1"/>
  <c r="DA46"/>
  <c r="CO42"/>
  <c r="CO52" s="1"/>
  <c r="CZ42"/>
  <c r="CQ43"/>
  <c r="CQ52" s="1"/>
  <c r="CZ43"/>
  <c r="N116" i="63"/>
  <c r="BB52" i="48"/>
  <c r="CB52"/>
  <c r="AF52"/>
  <c r="AH52"/>
  <c r="BJ52"/>
  <c r="P52"/>
  <c r="P54" s="1"/>
  <c r="P54" i="49" s="1"/>
  <c r="P54" i="50" s="1"/>
  <c r="P54" i="51" s="1"/>
  <c r="R52" i="48"/>
  <c r="Z52"/>
  <c r="AT52"/>
  <c r="CP52"/>
  <c r="CX52"/>
  <c r="AA52"/>
  <c r="M52"/>
  <c r="AK52"/>
  <c r="AM52"/>
  <c r="CU52"/>
  <c r="AO52"/>
  <c r="BY52"/>
  <c r="AQ52"/>
  <c r="BW52"/>
  <c r="P55" i="45"/>
  <c r="N23" i="62"/>
  <c r="H74" i="12"/>
  <c r="H75" i="15"/>
  <c r="G75"/>
  <c r="E75"/>
  <c r="A26" i="56"/>
  <c r="N19" i="63" l="1"/>
  <c r="L19"/>
  <c r="O19"/>
  <c r="O20" s="1"/>
  <c r="I17" i="47"/>
  <c r="DA52" i="51"/>
  <c r="DA52" i="49"/>
  <c r="CZ52" i="50"/>
  <c r="CZ52" i="51"/>
  <c r="CZ52" i="49"/>
  <c r="DA52" i="50"/>
  <c r="H17" i="47"/>
  <c r="BY54" i="48"/>
  <c r="BY54" i="49" s="1"/>
  <c r="BY54" i="50" s="1"/>
  <c r="BY54" i="51" s="1"/>
  <c r="BY53" i="48"/>
  <c r="BY10" i="49" s="1"/>
  <c r="AK54" i="48"/>
  <c r="AK54" i="49" s="1"/>
  <c r="AK54" i="50" s="1"/>
  <c r="AK54" i="51" s="1"/>
  <c r="AK53" i="48"/>
  <c r="AK10" i="49" s="1"/>
  <c r="CX54" i="48"/>
  <c r="CX54" i="49" s="1"/>
  <c r="CX54" i="50" s="1"/>
  <c r="CX54" i="51" s="1"/>
  <c r="CX53" i="48"/>
  <c r="CX10" i="49" s="1"/>
  <c r="R54" i="48"/>
  <c r="R54" i="49" s="1"/>
  <c r="R54" i="50" s="1"/>
  <c r="R54" i="51" s="1"/>
  <c r="AF54" i="48"/>
  <c r="AF54" i="49" s="1"/>
  <c r="AF54" i="50" s="1"/>
  <c r="AF54" i="51" s="1"/>
  <c r="AF53" i="48"/>
  <c r="AF10" i="49" s="1"/>
  <c r="W54" i="48"/>
  <c r="W54" i="49" s="1"/>
  <c r="W54" i="50" s="1"/>
  <c r="W54" i="51" s="1"/>
  <c r="W53" i="48"/>
  <c r="W10" i="49" s="1"/>
  <c r="BK54" i="48"/>
  <c r="BK54" i="49" s="1"/>
  <c r="BK54" i="50" s="1"/>
  <c r="BK54" i="51" s="1"/>
  <c r="BK53" i="48"/>
  <c r="BK10" i="49" s="1"/>
  <c r="CA54" i="48"/>
  <c r="CA54" i="49" s="1"/>
  <c r="CA54" i="50" s="1"/>
  <c r="CA54" i="51" s="1"/>
  <c r="CA53" i="48"/>
  <c r="CA10" i="49" s="1"/>
  <c r="BL53" i="48"/>
  <c r="BL10" i="49" s="1"/>
  <c r="BL54" i="48"/>
  <c r="BL54" i="49" s="1"/>
  <c r="BL54" i="50" s="1"/>
  <c r="BL54" i="51" s="1"/>
  <c r="T54" i="48"/>
  <c r="T54" i="49" s="1"/>
  <c r="T54" i="50" s="1"/>
  <c r="T54" i="51" s="1"/>
  <c r="T53" i="48"/>
  <c r="T10" i="49" s="1"/>
  <c r="L32" i="57"/>
  <c r="AE54" i="48"/>
  <c r="AE54" i="49" s="1"/>
  <c r="AE54" i="50" s="1"/>
  <c r="AE54" i="51" s="1"/>
  <c r="AE53" i="48"/>
  <c r="AE10" i="49" s="1"/>
  <c r="BG53" i="48"/>
  <c r="BG10" i="49" s="1"/>
  <c r="BG54" i="48"/>
  <c r="BG54" i="49" s="1"/>
  <c r="BG54" i="50" s="1"/>
  <c r="BG54" i="51" s="1"/>
  <c r="K54" i="48"/>
  <c r="K54" i="49" s="1"/>
  <c r="K54" i="50" s="1"/>
  <c r="K54" i="51" s="1"/>
  <c r="K53" i="48"/>
  <c r="K10" i="49" s="1"/>
  <c r="V54" i="48"/>
  <c r="V54" i="49" s="1"/>
  <c r="V54" i="50" s="1"/>
  <c r="V54" i="51" s="1"/>
  <c r="V53" i="48"/>
  <c r="V10" i="49" s="1"/>
  <c r="BF54" i="48"/>
  <c r="BF54" i="49" s="1"/>
  <c r="BF54" i="50" s="1"/>
  <c r="BF54" i="51" s="1"/>
  <c r="BF53" i="48"/>
  <c r="BF10" i="49" s="1"/>
  <c r="L53" i="48"/>
  <c r="L10" i="49" s="1"/>
  <c r="L54" i="48"/>
  <c r="L54" i="49" s="1"/>
  <c r="L54" i="50" s="1"/>
  <c r="L54" i="51" s="1"/>
  <c r="AG54" i="48"/>
  <c r="AG54" i="49" s="1"/>
  <c r="AG54" i="50" s="1"/>
  <c r="AG54" i="51" s="1"/>
  <c r="AG53" i="48"/>
  <c r="AG10" i="49" s="1"/>
  <c r="AI54" i="48"/>
  <c r="AI54" i="49" s="1"/>
  <c r="AI54" i="50" s="1"/>
  <c r="AI54" i="51" s="1"/>
  <c r="AI53" i="48"/>
  <c r="AI10" i="49" s="1"/>
  <c r="CN54" i="48"/>
  <c r="CN54" i="49" s="1"/>
  <c r="CN54" i="50" s="1"/>
  <c r="CN54" i="51" s="1"/>
  <c r="F42" i="48"/>
  <c r="AR54"/>
  <c r="AR54" i="49" s="1"/>
  <c r="AR54" i="50" s="1"/>
  <c r="AR54" i="51" s="1"/>
  <c r="AR53" i="48"/>
  <c r="AR10" i="49" s="1"/>
  <c r="BN53" i="48"/>
  <c r="BN10" i="49" s="1"/>
  <c r="BN54" i="48"/>
  <c r="BN54" i="49" s="1"/>
  <c r="BN54" i="50" s="1"/>
  <c r="BN54" i="51" s="1"/>
  <c r="AO54" i="48"/>
  <c r="AO54" i="49" s="1"/>
  <c r="AO54" i="50" s="1"/>
  <c r="AO54" i="51" s="1"/>
  <c r="AO53" i="48"/>
  <c r="AO10" i="49" s="1"/>
  <c r="M54" i="48"/>
  <c r="M54" i="49" s="1"/>
  <c r="M54" i="50" s="1"/>
  <c r="M54" i="51" s="1"/>
  <c r="M53" i="48"/>
  <c r="M10" i="49" s="1"/>
  <c r="F43" i="48"/>
  <c r="CP54"/>
  <c r="CP54" i="49" s="1"/>
  <c r="CP54" i="50" s="1"/>
  <c r="CP54" i="51" s="1"/>
  <c r="CB54" i="48"/>
  <c r="CB54" i="49" s="1"/>
  <c r="CB54" i="50" s="1"/>
  <c r="CB54" i="51" s="1"/>
  <c r="CB53" i="48"/>
  <c r="CB10" i="49" s="1"/>
  <c r="Y53" i="48"/>
  <c r="Y10" i="49" s="1"/>
  <c r="Y54" i="48"/>
  <c r="Y54" i="49" s="1"/>
  <c r="Y54" i="50" s="1"/>
  <c r="Y54" i="51" s="1"/>
  <c r="AW53" i="48"/>
  <c r="AW10" i="49" s="1"/>
  <c r="AW54" i="48"/>
  <c r="AW54" i="49" s="1"/>
  <c r="AW54" i="50" s="1"/>
  <c r="AW54" i="51" s="1"/>
  <c r="AV54" i="48"/>
  <c r="AV54" i="49" s="1"/>
  <c r="AV54" i="50" s="1"/>
  <c r="AV54" i="51" s="1"/>
  <c r="AV53" i="48"/>
  <c r="AV10" i="49" s="1"/>
  <c r="BD54" i="48"/>
  <c r="BD54" i="49" s="1"/>
  <c r="BD54" i="50" s="1"/>
  <c r="BD54" i="51" s="1"/>
  <c r="BD53" i="48"/>
  <c r="BD10" i="49" s="1"/>
  <c r="N54" i="48"/>
  <c r="N54" i="49" s="1"/>
  <c r="N54" i="50" s="1"/>
  <c r="N54" i="51" s="1"/>
  <c r="N53" i="48"/>
  <c r="N10" i="49" s="1"/>
  <c r="P53" i="48"/>
  <c r="P10" i="49" s="1"/>
  <c r="Q53" i="48"/>
  <c r="Q10" i="49" s="1"/>
  <c r="Q54" i="48"/>
  <c r="Q54" i="49" s="1"/>
  <c r="Q54" i="50" s="1"/>
  <c r="Q54" i="51" s="1"/>
  <c r="BE54" i="48"/>
  <c r="BE54" i="49" s="1"/>
  <c r="BE54" i="50" s="1"/>
  <c r="BE54" i="51" s="1"/>
  <c r="BE53" i="48"/>
  <c r="BE10" i="49" s="1"/>
  <c r="O53" i="48"/>
  <c r="O10" i="49" s="1"/>
  <c r="O54" i="48"/>
  <c r="O54" i="49" s="1"/>
  <c r="O54" i="50" s="1"/>
  <c r="O54" i="51" s="1"/>
  <c r="J54" i="48"/>
  <c r="J54" i="49" s="1"/>
  <c r="J54" i="50" s="1"/>
  <c r="J54" i="51" s="1"/>
  <c r="J53" i="48"/>
  <c r="J10" i="49" s="1"/>
  <c r="BV54" i="48"/>
  <c r="BV54" i="49" s="1"/>
  <c r="BV54" i="50" s="1"/>
  <c r="BV54" i="51" s="1"/>
  <c r="BV53" i="48"/>
  <c r="BV10" i="49" s="1"/>
  <c r="X54" i="48"/>
  <c r="X54" i="49" s="1"/>
  <c r="X54" i="50" s="1"/>
  <c r="X54" i="51" s="1"/>
  <c r="X53" i="48"/>
  <c r="X10" i="49" s="1"/>
  <c r="AC54" i="48"/>
  <c r="AC54" i="49" s="1"/>
  <c r="AC54" i="50" s="1"/>
  <c r="AC54" i="51" s="1"/>
  <c r="AC53" i="48"/>
  <c r="AC10" i="49" s="1"/>
  <c r="CG54" i="48"/>
  <c r="CG54" i="49" s="1"/>
  <c r="CG54" i="50" s="1"/>
  <c r="CG54" i="51" s="1"/>
  <c r="F48" i="48"/>
  <c r="AB54"/>
  <c r="AB54" i="49" s="1"/>
  <c r="AB54" i="50" s="1"/>
  <c r="AB54" i="51" s="1"/>
  <c r="AB53" i="48"/>
  <c r="AB10" i="49" s="1"/>
  <c r="AB53" s="1"/>
  <c r="AB10" i="50" s="1"/>
  <c r="AD54" i="48"/>
  <c r="AD54" i="49" s="1"/>
  <c r="AD54" i="50" s="1"/>
  <c r="AD54" i="51" s="1"/>
  <c r="AD53" i="48"/>
  <c r="AD10" i="49" s="1"/>
  <c r="BZ54" i="48"/>
  <c r="BZ54" i="49" s="1"/>
  <c r="BZ54" i="50" s="1"/>
  <c r="BZ54" i="51" s="1"/>
  <c r="BZ53" i="48"/>
  <c r="BZ10" i="49" s="1"/>
  <c r="BZ53" s="1"/>
  <c r="BZ10" i="50" s="1"/>
  <c r="BW53" i="48"/>
  <c r="BW10" i="49" s="1"/>
  <c r="BW54" i="48"/>
  <c r="BW54" i="49" s="1"/>
  <c r="BW54" i="50" s="1"/>
  <c r="BW54" i="51" s="1"/>
  <c r="F49" i="48"/>
  <c r="CU54"/>
  <c r="CU54" i="49" s="1"/>
  <c r="CU54" i="50" s="1"/>
  <c r="CU54" i="51" s="1"/>
  <c r="AA54" i="48"/>
  <c r="AA54" i="49" s="1"/>
  <c r="AA54" i="50" s="1"/>
  <c r="AA54" i="51" s="1"/>
  <c r="AA53" i="48"/>
  <c r="AA10" i="49" s="1"/>
  <c r="AT53" i="48"/>
  <c r="AT10" i="49" s="1"/>
  <c r="AT54" i="48"/>
  <c r="AT54" i="49" s="1"/>
  <c r="AT54" i="50" s="1"/>
  <c r="AT54" i="51" s="1"/>
  <c r="BJ53" i="48"/>
  <c r="BJ10" i="49" s="1"/>
  <c r="BJ54" i="48"/>
  <c r="BJ54" i="49" s="1"/>
  <c r="BJ54" i="50" s="1"/>
  <c r="BJ54" i="51" s="1"/>
  <c r="BB54" i="48"/>
  <c r="BB54" i="49" s="1"/>
  <c r="BB54" i="50" s="1"/>
  <c r="BB54" i="51" s="1"/>
  <c r="BB53" i="48"/>
  <c r="BB10" i="49" s="1"/>
  <c r="U54" i="48"/>
  <c r="U54" i="49" s="1"/>
  <c r="U54" i="50" s="1"/>
  <c r="U54" i="51" s="1"/>
  <c r="U53" i="48"/>
  <c r="U10" i="49" s="1"/>
  <c r="CY54" i="48"/>
  <c r="CY54" i="49" s="1"/>
  <c r="CY54" i="50" s="1"/>
  <c r="CY54" i="51" s="1"/>
  <c r="CY53" i="48"/>
  <c r="CY10" i="49" s="1"/>
  <c r="AN53" i="48"/>
  <c r="AN10" i="49" s="1"/>
  <c r="AN53" s="1"/>
  <c r="AN10" i="50" s="1"/>
  <c r="AN54" i="48"/>
  <c r="AN54" i="49" s="1"/>
  <c r="AN54" i="50" s="1"/>
  <c r="AN54" i="51" s="1"/>
  <c r="CJ54" i="48"/>
  <c r="CJ54" i="49" s="1"/>
  <c r="CJ54" i="50" s="1"/>
  <c r="CJ54" i="51" s="1"/>
  <c r="CJ53" i="48"/>
  <c r="CJ10" i="49" s="1"/>
  <c r="AZ53" i="48"/>
  <c r="AZ10" i="49" s="1"/>
  <c r="AZ54" i="48"/>
  <c r="AZ54" i="49" s="1"/>
  <c r="AZ54" i="50" s="1"/>
  <c r="AZ54" i="51" s="1"/>
  <c r="BS53" i="48"/>
  <c r="BS10" i="49" s="1"/>
  <c r="BS54" i="48"/>
  <c r="BS54" i="49" s="1"/>
  <c r="BS54" i="50" s="1"/>
  <c r="BS54" i="51" s="1"/>
  <c r="CC54" i="48"/>
  <c r="CC54" i="49" s="1"/>
  <c r="CC54" i="50" s="1"/>
  <c r="CC54" i="51" s="1"/>
  <c r="CC53" i="48"/>
  <c r="CC10" i="49" s="1"/>
  <c r="AU54" i="48"/>
  <c r="AU54" i="49" s="1"/>
  <c r="AU54" i="50" s="1"/>
  <c r="AU54" i="51" s="1"/>
  <c r="AU53" i="48"/>
  <c r="AU10" i="49" s="1"/>
  <c r="AL54" i="48"/>
  <c r="AL54" i="49" s="1"/>
  <c r="AL54" i="50" s="1"/>
  <c r="AL54" i="51" s="1"/>
  <c r="AL53" i="48"/>
  <c r="AL10" i="49" s="1"/>
  <c r="F44" i="48"/>
  <c r="CR54"/>
  <c r="CR54" i="49" s="1"/>
  <c r="CR54" i="50" s="1"/>
  <c r="CR54" i="51" s="1"/>
  <c r="F47" i="48"/>
  <c r="CE54"/>
  <c r="CE54" i="49" s="1"/>
  <c r="CE54" i="50" s="1"/>
  <c r="CE54" i="51" s="1"/>
  <c r="AS54" i="48"/>
  <c r="AS54" i="49" s="1"/>
  <c r="AS54" i="50" s="1"/>
  <c r="AS54" i="51" s="1"/>
  <c r="AS53" i="48"/>
  <c r="AS10" i="49" s="1"/>
  <c r="BM54" i="48"/>
  <c r="BM54" i="49" s="1"/>
  <c r="BM54" i="50" s="1"/>
  <c r="BM54" i="51" s="1"/>
  <c r="BM53" i="48"/>
  <c r="BM10" i="49" s="1"/>
  <c r="BT54" i="48"/>
  <c r="BT54" i="49" s="1"/>
  <c r="BT54" i="50" s="1"/>
  <c r="BT54" i="51" s="1"/>
  <c r="BT53" i="48"/>
  <c r="BT10" i="49" s="1"/>
  <c r="BP53" i="48"/>
  <c r="BP10" i="49" s="1"/>
  <c r="BP54" i="48"/>
  <c r="BP54" i="49" s="1"/>
  <c r="BP54" i="50" s="1"/>
  <c r="BP54" i="51" s="1"/>
  <c r="F50" i="48"/>
  <c r="CV54"/>
  <c r="CV54" i="49" s="1"/>
  <c r="CV54" i="50" s="1"/>
  <c r="CV54" i="51" s="1"/>
  <c r="AQ54" i="48"/>
  <c r="AQ54" i="49" s="1"/>
  <c r="AQ54" i="50" s="1"/>
  <c r="AQ54" i="51" s="1"/>
  <c r="AQ53" i="48"/>
  <c r="AQ10" i="49" s="1"/>
  <c r="AM54" i="48"/>
  <c r="AM54" i="49" s="1"/>
  <c r="AM54" i="50" s="1"/>
  <c r="AM54" i="51" s="1"/>
  <c r="AM53" i="48"/>
  <c r="AM10" i="49" s="1"/>
  <c r="Z54" i="48"/>
  <c r="Z54" i="49" s="1"/>
  <c r="Z54" i="50" s="1"/>
  <c r="Z54" i="51" s="1"/>
  <c r="Z53" i="48"/>
  <c r="Z10" i="49" s="1"/>
  <c r="AH54" i="48"/>
  <c r="AH54" i="49" s="1"/>
  <c r="AH54" i="50" s="1"/>
  <c r="AH54" i="51" s="1"/>
  <c r="AH53" i="48"/>
  <c r="AH10" i="49" s="1"/>
  <c r="BQ54" i="48"/>
  <c r="BQ54" i="49" s="1"/>
  <c r="BQ54" i="50" s="1"/>
  <c r="BQ54" i="51" s="1"/>
  <c r="BQ53" i="48"/>
  <c r="BQ10" i="49" s="1"/>
  <c r="CK54" i="48"/>
  <c r="CK54" i="49" s="1"/>
  <c r="CK54" i="50" s="1"/>
  <c r="CK54" i="51" s="1"/>
  <c r="CK53" i="48"/>
  <c r="CK10" i="49" s="1"/>
  <c r="CK53" s="1"/>
  <c r="CK10" i="50" s="1"/>
  <c r="BA54" i="48"/>
  <c r="BA54" i="49" s="1"/>
  <c r="BA54" i="50" s="1"/>
  <c r="BA54" i="51" s="1"/>
  <c r="BA53" i="48"/>
  <c r="BA10" i="49" s="1"/>
  <c r="BR54" i="48"/>
  <c r="BR54" i="49" s="1"/>
  <c r="BR54" i="50" s="1"/>
  <c r="BR54" i="51" s="1"/>
  <c r="BR53" i="48"/>
  <c r="BR10" i="49" s="1"/>
  <c r="F41" i="48"/>
  <c r="CL54"/>
  <c r="CL54" i="49" s="1"/>
  <c r="CL54" i="50" s="1"/>
  <c r="CL54" i="51" s="1"/>
  <c r="F46" i="48"/>
  <c r="CI54"/>
  <c r="CI54" i="49" s="1"/>
  <c r="CI54" i="50" s="1"/>
  <c r="CI54" i="51" s="1"/>
  <c r="BO54" i="48"/>
  <c r="BO54" i="49" s="1"/>
  <c r="BO54" i="50" s="1"/>
  <c r="BO54" i="51" s="1"/>
  <c r="BO53" i="48"/>
  <c r="BO10" i="49" s="1"/>
  <c r="BC54" i="48"/>
  <c r="BC54" i="49" s="1"/>
  <c r="BC54" i="50" s="1"/>
  <c r="BC54" i="51" s="1"/>
  <c r="BC53" i="48"/>
  <c r="BC10" i="49" s="1"/>
  <c r="BC53" s="1"/>
  <c r="BC10" i="50" s="1"/>
  <c r="AP54" i="48"/>
  <c r="AP54" i="49" s="1"/>
  <c r="AP54" i="50" s="1"/>
  <c r="AP54" i="51" s="1"/>
  <c r="AP53" i="48"/>
  <c r="AP10" i="49" s="1"/>
  <c r="AP53" s="1"/>
  <c r="AP10" i="50" s="1"/>
  <c r="BX54" i="48"/>
  <c r="BX54" i="49" s="1"/>
  <c r="BX54" i="50" s="1"/>
  <c r="BX54" i="51" s="1"/>
  <c r="BX53" i="48"/>
  <c r="BX10" i="49" s="1"/>
  <c r="AY54" i="48"/>
  <c r="AY54" i="49" s="1"/>
  <c r="AY54" i="50" s="1"/>
  <c r="AY54" i="51" s="1"/>
  <c r="F40" i="48"/>
  <c r="BU53"/>
  <c r="BU10" i="49" s="1"/>
  <c r="BU54" i="48"/>
  <c r="BU54" i="49" s="1"/>
  <c r="BU54" i="50" s="1"/>
  <c r="BU54" i="51" s="1"/>
  <c r="BI54" i="48"/>
  <c r="BI54" i="49" s="1"/>
  <c r="BI54" i="50" s="1"/>
  <c r="BI54" i="51" s="1"/>
  <c r="BI53" i="48"/>
  <c r="BI10" i="49" s="1"/>
  <c r="AJ54" i="48"/>
  <c r="AJ54" i="49" s="1"/>
  <c r="AJ54" i="50" s="1"/>
  <c r="AJ54" i="51" s="1"/>
  <c r="AJ53" i="48"/>
  <c r="AJ10" i="49" s="1"/>
  <c r="BH54" i="48"/>
  <c r="BH54" i="49" s="1"/>
  <c r="BH54" i="50" s="1"/>
  <c r="BH54" i="51" s="1"/>
  <c r="BH53" i="48"/>
  <c r="BH10" i="49" s="1"/>
  <c r="BH53" s="1"/>
  <c r="BH10" i="50" s="1"/>
  <c r="H77" i="15"/>
  <c r="B84" i="55"/>
  <c r="A84" s="1"/>
  <c r="M20" i="63" l="1"/>
  <c r="M21" s="1"/>
  <c r="L20"/>
  <c r="N20"/>
  <c r="H18" i="47"/>
  <c r="AJ53" i="49"/>
  <c r="AJ10" i="50" s="1"/>
  <c r="BX53" i="49"/>
  <c r="BX10" i="50" s="1"/>
  <c r="BR53" i="49"/>
  <c r="BR10" i="50" s="1"/>
  <c r="AH53" i="49"/>
  <c r="AH10" i="50" s="1"/>
  <c r="AU53" i="49"/>
  <c r="AU10" i="50" s="1"/>
  <c r="CC53" i="49"/>
  <c r="CC10" i="50" s="1"/>
  <c r="CY53" i="49"/>
  <c r="CY10" i="50" s="1"/>
  <c r="AD53" i="49"/>
  <c r="AD10" i="50" s="1"/>
  <c r="J53" i="49"/>
  <c r="J10" i="50" s="1"/>
  <c r="BE53" i="49"/>
  <c r="BE10" i="50" s="1"/>
  <c r="BU53" i="49"/>
  <c r="BU10" i="50" s="1"/>
  <c r="M53" i="49"/>
  <c r="M10" i="50" s="1"/>
  <c r="U53" i="49"/>
  <c r="U10" i="50" s="1"/>
  <c r="X53" i="49"/>
  <c r="X10" i="50" s="1"/>
  <c r="P53" i="49"/>
  <c r="P10" i="50" s="1"/>
  <c r="BW53" i="49"/>
  <c r="BW10" i="50" s="1"/>
  <c r="AM53" i="49"/>
  <c r="AM10" i="50" s="1"/>
  <c r="BJ53" i="49"/>
  <c r="BJ10" i="50" s="1"/>
  <c r="BO53" i="49"/>
  <c r="BO10" i="50" s="1"/>
  <c r="Z53" i="49"/>
  <c r="Z10" i="50" s="1"/>
  <c r="AG53" i="49"/>
  <c r="AG10" i="50" s="1"/>
  <c r="BF53" i="49"/>
  <c r="BF10" i="50" s="1"/>
  <c r="V53" i="49"/>
  <c r="V10" i="50" s="1"/>
  <c r="AS53" i="49"/>
  <c r="AS10" i="50" s="1"/>
  <c r="I18" i="47"/>
  <c r="BA53" i="49"/>
  <c r="BA10" i="50" s="1"/>
  <c r="O53" i="49"/>
  <c r="O10" i="50" s="1"/>
  <c r="BM53" i="49"/>
  <c r="BM10" i="50" s="1"/>
  <c r="AW53" i="49"/>
  <c r="AW10" i="50" s="1"/>
  <c r="BQ53" i="49"/>
  <c r="BQ10" i="50" s="1"/>
  <c r="AX40" i="48"/>
  <c r="AX52" s="1"/>
  <c r="S40"/>
  <c r="S52" s="1"/>
  <c r="DA46"/>
  <c r="CH46"/>
  <c r="CH52" s="1"/>
  <c r="CZ50"/>
  <c r="CW50"/>
  <c r="CW52" s="1"/>
  <c r="AZ53" i="49"/>
  <c r="AZ10" i="50" s="1"/>
  <c r="AC53" i="49"/>
  <c r="AC10" i="50" s="1"/>
  <c r="AC53" s="1"/>
  <c r="AC10" i="51" s="1"/>
  <c r="BV53" i="49"/>
  <c r="BV10" i="50" s="1"/>
  <c r="Y53" i="49"/>
  <c r="Y10" i="50" s="1"/>
  <c r="AO53" i="49"/>
  <c r="AO10" i="50" s="1"/>
  <c r="AO53" s="1"/>
  <c r="AO10" i="51" s="1"/>
  <c r="BN53" i="49"/>
  <c r="BN10" i="50" s="1"/>
  <c r="CZ42" i="48"/>
  <c r="CO42"/>
  <c r="CO52" s="1"/>
  <c r="K53" i="49"/>
  <c r="K10" i="50" s="1"/>
  <c r="AE53" i="49"/>
  <c r="AE10" i="50" s="1"/>
  <c r="AK53" i="49"/>
  <c r="AK10" i="50" s="1"/>
  <c r="CJ53" i="49"/>
  <c r="CJ10" i="50" s="1"/>
  <c r="BB53" i="49"/>
  <c r="BB10" i="50" s="1"/>
  <c r="BB53" s="1"/>
  <c r="BB10" i="51" s="1"/>
  <c r="Q53" i="49"/>
  <c r="Q10" i="50" s="1"/>
  <c r="BD53" i="49"/>
  <c r="BD10" i="50" s="1"/>
  <c r="CB53" i="49"/>
  <c r="CB10" i="50" s="1"/>
  <c r="CQ43" i="48"/>
  <c r="CQ52" s="1"/>
  <c r="CZ43"/>
  <c r="AR53" i="49"/>
  <c r="AR10" i="50" s="1"/>
  <c r="BK53" i="49"/>
  <c r="BK10" i="50" s="1"/>
  <c r="AF53" i="49"/>
  <c r="AF10" i="50" s="1"/>
  <c r="AF53" s="1"/>
  <c r="AF10" i="51" s="1"/>
  <c r="AQ53" i="49"/>
  <c r="AQ10" i="50" s="1"/>
  <c r="AQ53" s="1"/>
  <c r="AQ10" i="51" s="1"/>
  <c r="BP53" i="49"/>
  <c r="BP10" i="50" s="1"/>
  <c r="CZ44" i="48"/>
  <c r="CS44"/>
  <c r="CS52" s="1"/>
  <c r="BS53" i="49"/>
  <c r="BS10" i="50" s="1"/>
  <c r="AT53" i="49"/>
  <c r="AT10" i="50" s="1"/>
  <c r="CF48" i="48"/>
  <c r="CF52" s="1"/>
  <c r="DA48"/>
  <c r="AI53" i="49"/>
  <c r="AI10" i="50" s="1"/>
  <c r="BL53" i="49"/>
  <c r="BL10" i="50" s="1"/>
  <c r="CX53" i="49"/>
  <c r="CX10" i="50" s="1"/>
  <c r="BY53" i="49"/>
  <c r="BY10" i="50" s="1"/>
  <c r="BI53" i="49"/>
  <c r="BI10" i="50" s="1"/>
  <c r="BI53" s="1"/>
  <c r="BI10" i="51" s="1"/>
  <c r="CZ41" i="48"/>
  <c r="CM41"/>
  <c r="CM52" s="1"/>
  <c r="BT53" i="49"/>
  <c r="BT10" i="50" s="1"/>
  <c r="CD47" i="48"/>
  <c r="CD52" s="1"/>
  <c r="DA47"/>
  <c r="AL53" i="49"/>
  <c r="AL10" i="50" s="1"/>
  <c r="AA53" i="49"/>
  <c r="AA10" i="50" s="1"/>
  <c r="CT49" i="48"/>
  <c r="CT52" s="1"/>
  <c r="DA49"/>
  <c r="N53" i="49"/>
  <c r="N10" i="50" s="1"/>
  <c r="AV53" i="49"/>
  <c r="AV10" i="50" s="1"/>
  <c r="L53" i="49"/>
  <c r="L10" i="50" s="1"/>
  <c r="BG53" i="49"/>
  <c r="BG10" i="50" s="1"/>
  <c r="T53" i="49"/>
  <c r="T10" i="50" s="1"/>
  <c r="CA53" i="49"/>
  <c r="CA10" i="50" s="1"/>
  <c r="CA53" s="1"/>
  <c r="CA10" i="51" s="1"/>
  <c r="W53" i="49"/>
  <c r="W10" i="50" s="1"/>
  <c r="B85" i="55"/>
  <c r="N21" i="63" l="1"/>
  <c r="BR53" i="50"/>
  <c r="BR10" i="51" s="1"/>
  <c r="P53" i="50"/>
  <c r="P10" i="51" s="1"/>
  <c r="BV53" i="50"/>
  <c r="BV10" i="51" s="1"/>
  <c r="I19" i="47"/>
  <c r="O21" i="63"/>
  <c r="O22" s="1"/>
  <c r="L21"/>
  <c r="L22" s="1"/>
  <c r="L53" i="50"/>
  <c r="L10" i="51" s="1"/>
  <c r="AI53" i="50"/>
  <c r="AI10" i="51" s="1"/>
  <c r="BG53" i="50"/>
  <c r="BG10" i="51" s="1"/>
  <c r="AA53" i="50"/>
  <c r="AA10" i="51" s="1"/>
  <c r="BT53" i="50"/>
  <c r="BT10" i="51" s="1"/>
  <c r="AT53" i="50"/>
  <c r="AT10" i="51" s="1"/>
  <c r="AR53" i="50"/>
  <c r="AR10" i="51" s="1"/>
  <c r="AK53" i="50"/>
  <c r="AK10" i="51" s="1"/>
  <c r="K53" i="50"/>
  <c r="K10" i="51" s="1"/>
  <c r="AZ53" i="50"/>
  <c r="AZ10" i="51" s="1"/>
  <c r="X53" i="50"/>
  <c r="X10" i="51" s="1"/>
  <c r="BY53" i="50"/>
  <c r="BY10" i="51" s="1"/>
  <c r="CB53" i="50"/>
  <c r="CB10" i="51" s="1"/>
  <c r="AE53" i="50"/>
  <c r="AE10" i="51" s="1"/>
  <c r="BW53" i="50"/>
  <c r="BW10" i="51" s="1"/>
  <c r="Y53" i="50"/>
  <c r="Y10" i="51" s="1"/>
  <c r="AV53" i="50"/>
  <c r="AV10" i="51" s="1"/>
  <c r="AS53" i="50"/>
  <c r="AS10" i="51" s="1"/>
  <c r="J53" i="50"/>
  <c r="J10" i="51" s="1"/>
  <c r="J53" s="1"/>
  <c r="BA53" i="50"/>
  <c r="BA10" i="51" s="1"/>
  <c r="BA53" s="1"/>
  <c r="BK53" i="50"/>
  <c r="BK10" i="51" s="1"/>
  <c r="Q53" i="50"/>
  <c r="Q10" i="51" s="1"/>
  <c r="P53" s="1"/>
  <c r="H19" i="47"/>
  <c r="W53" i="50"/>
  <c r="W10" i="51" s="1"/>
  <c r="CZ52" i="48"/>
  <c r="CZ54" s="1"/>
  <c r="CZ54" i="49" s="1"/>
  <c r="CZ54" i="50" s="1"/>
  <c r="CZ54" i="51" s="1"/>
  <c r="AJ53" i="50"/>
  <c r="AJ10" i="51" s="1"/>
  <c r="AJ53" s="1"/>
  <c r="T53" i="50"/>
  <c r="T10" i="51" s="1"/>
  <c r="AL53" i="50"/>
  <c r="AL10" i="51" s="1"/>
  <c r="BO53" i="50"/>
  <c r="BO10" i="51" s="1"/>
  <c r="N53" i="50"/>
  <c r="N10" i="51" s="1"/>
  <c r="AB53" i="50"/>
  <c r="AB10" i="51" s="1"/>
  <c r="AB53" s="1"/>
  <c r="CC53" i="50"/>
  <c r="CC10" i="51" s="1"/>
  <c r="BP53" i="50"/>
  <c r="BP10" i="51" s="1"/>
  <c r="BC53" i="50"/>
  <c r="BC10" i="51" s="1"/>
  <c r="BC53" s="1"/>
  <c r="AD53" i="50"/>
  <c r="AD10" i="51" s="1"/>
  <c r="BQ53" i="50"/>
  <c r="BQ10" i="51" s="1"/>
  <c r="BH53" i="50"/>
  <c r="BH10" i="51" s="1"/>
  <c r="BH53" s="1"/>
  <c r="Q53"/>
  <c r="CF54" i="48"/>
  <c r="CF54" i="49" s="1"/>
  <c r="CF54" i="50" s="1"/>
  <c r="CF54" i="51" s="1"/>
  <c r="CF53" i="48"/>
  <c r="CF10" i="49" s="1"/>
  <c r="CG53" i="48"/>
  <c r="CG10" i="49" s="1"/>
  <c r="CS54" i="48"/>
  <c r="CS54" i="49" s="1"/>
  <c r="CS54" i="50" s="1"/>
  <c r="CS54" i="51" s="1"/>
  <c r="CS53" i="48"/>
  <c r="CS10" i="49" s="1"/>
  <c r="CR53" i="48"/>
  <c r="CR10" i="49" s="1"/>
  <c r="Z53" i="50"/>
  <c r="Z10" i="51" s="1"/>
  <c r="Z53" s="1"/>
  <c r="AU53" i="50"/>
  <c r="AU10" i="51" s="1"/>
  <c r="AU53" s="1"/>
  <c r="CO53" i="48"/>
  <c r="CO10" i="49" s="1"/>
  <c r="CO54" i="48"/>
  <c r="CO54" i="49" s="1"/>
  <c r="CO54" i="50" s="1"/>
  <c r="CO54" i="51" s="1"/>
  <c r="CN53" i="48"/>
  <c r="CN10" i="49" s="1"/>
  <c r="AN53" i="50"/>
  <c r="AN10" i="51" s="1"/>
  <c r="AN53" s="1"/>
  <c r="BS53" i="50"/>
  <c r="BS10" i="51" s="1"/>
  <c r="BS53" s="1"/>
  <c r="BN53" i="50"/>
  <c r="BN10" i="51" s="1"/>
  <c r="CT53" i="48"/>
  <c r="CT10" i="49" s="1"/>
  <c r="CT54" i="48"/>
  <c r="CT54" i="49" s="1"/>
  <c r="CT54" i="50" s="1"/>
  <c r="CT54" i="51" s="1"/>
  <c r="CU53" i="48"/>
  <c r="CU10" i="49" s="1"/>
  <c r="CY53" i="50"/>
  <c r="CY10" i="51" s="1"/>
  <c r="CX53" i="50"/>
  <c r="CX10" i="51" s="1"/>
  <c r="BU53" i="50"/>
  <c r="BU10" i="51" s="1"/>
  <c r="BE53" i="50"/>
  <c r="BE10" i="51" s="1"/>
  <c r="BD53" i="50"/>
  <c r="BD10" i="51" s="1"/>
  <c r="AZ53"/>
  <c r="AM53" i="50"/>
  <c r="AM10" i="51" s="1"/>
  <c r="CH53" i="48"/>
  <c r="CH10" i="49" s="1"/>
  <c r="CH54" i="48"/>
  <c r="CH54" i="49" s="1"/>
  <c r="CH54" i="50" s="1"/>
  <c r="CH54" i="51" s="1"/>
  <c r="CI53" i="48"/>
  <c r="CI10" i="49" s="1"/>
  <c r="AP53" i="50"/>
  <c r="AP10" i="51" s="1"/>
  <c r="AP53" s="1"/>
  <c r="AA53"/>
  <c r="CM53" i="48"/>
  <c r="CM10" i="49" s="1"/>
  <c r="CM54" i="48"/>
  <c r="CM54" i="49" s="1"/>
  <c r="CM54" i="50" s="1"/>
  <c r="CM54" i="51" s="1"/>
  <c r="CL53" i="48"/>
  <c r="CL10" i="49" s="1"/>
  <c r="BX53" i="50"/>
  <c r="BX10" i="51" s="1"/>
  <c r="BY53" s="1"/>
  <c r="BM53" i="50"/>
  <c r="BM10" i="51" s="1"/>
  <c r="BL53" i="50"/>
  <c r="BL10" i="51" s="1"/>
  <c r="M53" i="50"/>
  <c r="M10" i="51" s="1"/>
  <c r="AT53"/>
  <c r="BF53" i="50"/>
  <c r="BF10" i="51" s="1"/>
  <c r="CW54" i="48"/>
  <c r="CW54" i="49" s="1"/>
  <c r="CW54" i="50" s="1"/>
  <c r="CW54" i="51" s="1"/>
  <c r="CW53" i="48"/>
  <c r="CW10" i="49" s="1"/>
  <c r="CV53" i="48"/>
  <c r="CV10" i="49" s="1"/>
  <c r="AH53" i="50"/>
  <c r="AH10" i="51" s="1"/>
  <c r="AH53" s="1"/>
  <c r="S54" i="48"/>
  <c r="S54" i="49" s="1"/>
  <c r="S54" i="50" s="1"/>
  <c r="S54" i="51" s="1"/>
  <c r="S53" i="48"/>
  <c r="S10" i="49" s="1"/>
  <c r="R53" i="48"/>
  <c r="R10" i="49" s="1"/>
  <c r="BZ53" i="50"/>
  <c r="BZ10" i="51" s="1"/>
  <c r="U53" i="50"/>
  <c r="U10" i="51" s="1"/>
  <c r="CD54" i="48"/>
  <c r="CD54" i="49" s="1"/>
  <c r="CD54" i="50" s="1"/>
  <c r="CD54" i="51" s="1"/>
  <c r="CD53" i="48"/>
  <c r="CD10" i="49" s="1"/>
  <c r="CE53" i="48"/>
  <c r="CE10" i="49" s="1"/>
  <c r="V53" i="50"/>
  <c r="V10" i="51" s="1"/>
  <c r="AW53" i="50"/>
  <c r="AW10" i="51" s="1"/>
  <c r="DA52" i="48"/>
  <c r="CQ53"/>
  <c r="CQ10" i="49" s="1"/>
  <c r="CQ54" i="48"/>
  <c r="CQ54" i="49" s="1"/>
  <c r="CQ54" i="50" s="1"/>
  <c r="CQ54" i="51" s="1"/>
  <c r="CP53" i="48"/>
  <c r="CP10" i="49" s="1"/>
  <c r="O53" i="50"/>
  <c r="O10" i="51" s="1"/>
  <c r="CK53" i="50"/>
  <c r="CK10" i="51" s="1"/>
  <c r="CJ53" i="50"/>
  <c r="CJ10" i="51" s="1"/>
  <c r="AK53"/>
  <c r="AG53" i="50"/>
  <c r="AG10" i="51" s="1"/>
  <c r="AG53" s="1"/>
  <c r="BJ53" i="50"/>
  <c r="BJ10" i="51" s="1"/>
  <c r="AX54" i="48"/>
  <c r="AX54" i="49" s="1"/>
  <c r="AX54" i="50" s="1"/>
  <c r="AX54" i="51" s="1"/>
  <c r="AX53" i="48"/>
  <c r="AX10" i="49" s="1"/>
  <c r="AY53" i="48"/>
  <c r="AY10" i="49" s="1"/>
  <c r="B86" i="55"/>
  <c r="A85"/>
  <c r="M53" i="51" l="1"/>
  <c r="CB53"/>
  <c r="BV53"/>
  <c r="O53"/>
  <c r="V53"/>
  <c r="BB53"/>
  <c r="AM53"/>
  <c r="AD53"/>
  <c r="BW53"/>
  <c r="M22" i="63"/>
  <c r="M23" s="1"/>
  <c r="N22"/>
  <c r="N23" s="1"/>
  <c r="BU53" i="51"/>
  <c r="Y53"/>
  <c r="AR53"/>
  <c r="BF53"/>
  <c r="AS53"/>
  <c r="X53"/>
  <c r="AO53"/>
  <c r="CC53"/>
  <c r="H20" i="47"/>
  <c r="I20"/>
  <c r="BJ53" i="51"/>
  <c r="AQ53"/>
  <c r="AW53"/>
  <c r="U53"/>
  <c r="BT53"/>
  <c r="K53"/>
  <c r="BI53"/>
  <c r="BN53"/>
  <c r="AE53"/>
  <c r="AC53"/>
  <c r="BQ53"/>
  <c r="AY53" i="49"/>
  <c r="AY10" i="50" s="1"/>
  <c r="CK53" i="51"/>
  <c r="L53"/>
  <c r="CH53" i="49"/>
  <c r="CH10" i="50" s="1"/>
  <c r="BP53" i="51"/>
  <c r="CX53"/>
  <c r="BM53"/>
  <c r="CR53" i="49"/>
  <c r="CR10" i="50" s="1"/>
  <c r="CW53" i="49"/>
  <c r="CW10" i="50" s="1"/>
  <c r="CQ53" i="49"/>
  <c r="CQ10" i="50" s="1"/>
  <c r="CM53" i="49"/>
  <c r="CM10" i="50" s="1"/>
  <c r="CU53" i="49"/>
  <c r="CU10" i="50" s="1"/>
  <c r="CN53" i="49"/>
  <c r="CN10" i="50" s="1"/>
  <c r="CJ53" i="51"/>
  <c r="CE53" i="49"/>
  <c r="CE10" i="50" s="1"/>
  <c r="BD53" i="51"/>
  <c r="CG53" i="49"/>
  <c r="CG10" i="50" s="1"/>
  <c r="DA54" i="48"/>
  <c r="DA54" i="49" s="1"/>
  <c r="DA54" i="50" s="1"/>
  <c r="DA54" i="51" s="1"/>
  <c r="DA53" i="48"/>
  <c r="DA10" i="49" s="1"/>
  <c r="W53" i="51"/>
  <c r="BL53"/>
  <c r="AL53"/>
  <c r="BE53"/>
  <c r="CT53" i="49"/>
  <c r="CT10" i="50" s="1"/>
  <c r="CO53" i="49"/>
  <c r="CO10" i="50" s="1"/>
  <c r="BK53" i="51"/>
  <c r="BX53"/>
  <c r="CZ53" i="48"/>
  <c r="CZ10" i="49" s="1"/>
  <c r="T53" i="51"/>
  <c r="AV53"/>
  <c r="AF53"/>
  <c r="CA53"/>
  <c r="BZ53"/>
  <c r="N53"/>
  <c r="CF53" i="49"/>
  <c r="CF10" i="50" s="1"/>
  <c r="AI53" i="51"/>
  <c r="BR53"/>
  <c r="AX53" i="49"/>
  <c r="AX10" i="50" s="1"/>
  <c r="CP53" i="49"/>
  <c r="CP10" i="50" s="1"/>
  <c r="CD53" i="49"/>
  <c r="CD10" i="50" s="1"/>
  <c r="S53" i="49"/>
  <c r="S10" i="50" s="1"/>
  <c r="R53" i="49"/>
  <c r="R10" i="50" s="1"/>
  <c r="CV53" i="49"/>
  <c r="CV10" i="50" s="1"/>
  <c r="CL53" i="49"/>
  <c r="CL10" i="50" s="1"/>
  <c r="BG53" i="51"/>
  <c r="CI53" i="49"/>
  <c r="CI10" i="50" s="1"/>
  <c r="CI53" s="1"/>
  <c r="CI10" i="51" s="1"/>
  <c r="CY53"/>
  <c r="CS53" i="49"/>
  <c r="CS10" i="50" s="1"/>
  <c r="BO53" i="51"/>
  <c r="A86" i="55"/>
  <c r="B87"/>
  <c r="L23" i="63" l="1"/>
  <c r="L24" s="1"/>
  <c r="O23"/>
  <c r="O24" s="1"/>
  <c r="M24"/>
  <c r="M25" s="1"/>
  <c r="CP53" i="50"/>
  <c r="CP10" i="51" s="1"/>
  <c r="H21" i="47"/>
  <c r="I21"/>
  <c r="AX53" i="50"/>
  <c r="AX10" i="51" s="1"/>
  <c r="CV53" i="50"/>
  <c r="CV10" i="51" s="1"/>
  <c r="CG53" i="50"/>
  <c r="CG10" i="51" s="1"/>
  <c r="R53" i="50"/>
  <c r="R10" i="51" s="1"/>
  <c r="CS53" i="50"/>
  <c r="CS10" i="51" s="1"/>
  <c r="CL53" i="50"/>
  <c r="CL10" i="51" s="1"/>
  <c r="CD53" i="50"/>
  <c r="CD10" i="51" s="1"/>
  <c r="CZ53" i="49"/>
  <c r="CZ10" i="50" s="1"/>
  <c r="AY53"/>
  <c r="AY10" i="51" s="1"/>
  <c r="CT53" i="50"/>
  <c r="CT10" i="51" s="1"/>
  <c r="CU53" i="50"/>
  <c r="CU10" i="51" s="1"/>
  <c r="S53" i="50"/>
  <c r="S10" i="51" s="1"/>
  <c r="S53" s="1"/>
  <c r="CR53" i="50"/>
  <c r="CR10" i="51" s="1"/>
  <c r="CF53" i="50"/>
  <c r="CF10" i="51" s="1"/>
  <c r="CM53" i="50"/>
  <c r="CM10" i="51" s="1"/>
  <c r="CW53" i="50"/>
  <c r="CW10" i="51" s="1"/>
  <c r="CH53" i="50"/>
  <c r="CH10" i="51" s="1"/>
  <c r="CH53" s="1"/>
  <c r="CN53" i="50"/>
  <c r="CN10" i="51" s="1"/>
  <c r="CO53" i="50"/>
  <c r="CO10" i="51" s="1"/>
  <c r="CQ53" i="50"/>
  <c r="CQ10" i="51" s="1"/>
  <c r="CQ53" s="1"/>
  <c r="DA53" i="49"/>
  <c r="DA10" i="50" s="1"/>
  <c r="CE53"/>
  <c r="CE10" i="51" s="1"/>
  <c r="A87" i="55"/>
  <c r="B88"/>
  <c r="I22" i="47" l="1"/>
  <c r="N24" i="63"/>
  <c r="N25" s="1"/>
  <c r="O25"/>
  <c r="L25"/>
  <c r="L26" s="1"/>
  <c r="AY53" i="51"/>
  <c r="H22" i="47"/>
  <c r="CW53" i="51"/>
  <c r="CM53"/>
  <c r="CT53"/>
  <c r="CF53"/>
  <c r="CE53"/>
  <c r="CR53"/>
  <c r="CO53"/>
  <c r="AX53"/>
  <c r="DA53" i="50"/>
  <c r="DA10" i="51" s="1"/>
  <c r="CU53"/>
  <c r="R53"/>
  <c r="CV53"/>
  <c r="CL53"/>
  <c r="CD53"/>
  <c r="CN53"/>
  <c r="CS53"/>
  <c r="CP53"/>
  <c r="CZ53" i="50"/>
  <c r="CZ10" i="51" s="1"/>
  <c r="CI53"/>
  <c r="CG53"/>
  <c r="A88" i="55"/>
  <c r="B89"/>
  <c r="H23" i="47" l="1"/>
  <c r="O26" i="63"/>
  <c r="M26"/>
  <c r="N26"/>
  <c r="N27" s="1"/>
  <c r="I23" i="47"/>
  <c r="I24" s="1"/>
  <c r="CZ53" i="51"/>
  <c r="H24" i="47"/>
  <c r="H25" s="1"/>
  <c r="DA53" i="51"/>
  <c r="A89" i="55"/>
  <c r="B90"/>
  <c r="O27" i="63" l="1"/>
  <c r="M27"/>
  <c r="L27"/>
  <c r="L28" s="1"/>
  <c r="I25" i="47"/>
  <c r="I26" s="1"/>
  <c r="B91" i="55"/>
  <c r="A90"/>
  <c r="M28" i="63" l="1"/>
  <c r="O28"/>
  <c r="N28"/>
  <c r="N29" s="1"/>
  <c r="H26" i="47"/>
  <c r="B92" i="55"/>
  <c r="A91"/>
  <c r="M29" i="63" l="1"/>
  <c r="O29"/>
  <c r="L29"/>
  <c r="L30" s="1"/>
  <c r="H27" i="47"/>
  <c r="I27"/>
  <c r="A92" i="55"/>
  <c r="B93"/>
  <c r="O30" i="63" l="1"/>
  <c r="M30"/>
  <c r="N30"/>
  <c r="N31" s="1"/>
  <c r="O31"/>
  <c r="L31"/>
  <c r="L32" s="1"/>
  <c r="H28" i="47"/>
  <c r="I28"/>
  <c r="A93" i="55"/>
  <c r="B94"/>
  <c r="M31" i="63" l="1"/>
  <c r="M32" s="1"/>
  <c r="N32"/>
  <c r="N33" s="1"/>
  <c r="H29" i="47"/>
  <c r="I29"/>
  <c r="B95" i="55"/>
  <c r="A94"/>
  <c r="O32" i="63" l="1"/>
  <c r="O33" s="1"/>
  <c r="L33"/>
  <c r="L34" s="1"/>
  <c r="I30" i="47"/>
  <c r="H30"/>
  <c r="B96" i="55"/>
  <c r="A95"/>
  <c r="M33" i="63" l="1"/>
  <c r="O34" s="1"/>
  <c r="N34"/>
  <c r="H31" i="47"/>
  <c r="I31"/>
  <c r="A96" i="55"/>
  <c r="B97"/>
  <c r="M34" i="63" l="1"/>
  <c r="M35"/>
  <c r="O35"/>
  <c r="N35"/>
  <c r="L35"/>
  <c r="I32" i="47"/>
  <c r="H32"/>
  <c r="A97" i="55"/>
  <c r="B98"/>
  <c r="M36" i="63" l="1"/>
  <c r="M37" s="1"/>
  <c r="O36"/>
  <c r="O37"/>
  <c r="N36"/>
  <c r="L36"/>
  <c r="H33" i="47"/>
  <c r="I33"/>
  <c r="A98" i="55"/>
  <c r="B99"/>
  <c r="A99" s="1"/>
  <c r="J87" i="60"/>
  <c r="J89"/>
  <c r="J91"/>
  <c r="J90"/>
  <c r="J88"/>
  <c r="J86"/>
  <c r="K91"/>
  <c r="K87"/>
  <c r="K89"/>
  <c r="K88"/>
  <c r="K90"/>
  <c r="I87"/>
  <c r="I89"/>
  <c r="I88"/>
  <c r="I90"/>
  <c r="I91"/>
  <c r="H90"/>
  <c r="N90" s="1"/>
  <c r="P90" s="1"/>
  <c r="H87"/>
  <c r="H88"/>
  <c r="H89"/>
  <c r="I86"/>
  <c r="H86"/>
  <c r="N86" s="1"/>
  <c r="H91"/>
  <c r="N91" s="1"/>
  <c r="P91" s="1"/>
  <c r="K86"/>
  <c r="O38" i="63" l="1"/>
  <c r="L37"/>
  <c r="M38"/>
  <c r="O39" s="1"/>
  <c r="N37"/>
  <c r="N38" s="1"/>
  <c r="I34" i="47"/>
  <c r="H34"/>
  <c r="H35" s="1"/>
  <c r="N87" i="60"/>
  <c r="P87" s="1"/>
  <c r="N89"/>
  <c r="P89" s="1"/>
  <c r="N88"/>
  <c r="P88" s="1"/>
  <c r="P86"/>
  <c r="M39" i="63" l="1"/>
  <c r="M40" s="1"/>
  <c r="L38"/>
  <c r="L39" s="1"/>
  <c r="O40"/>
  <c r="O41" s="1"/>
  <c r="N39"/>
  <c r="N40" s="1"/>
  <c r="M41"/>
  <c r="M42" s="1"/>
  <c r="N93" i="60"/>
  <c r="N97" s="1"/>
  <c r="D125"/>
  <c r="D127" s="1"/>
  <c r="L40" i="63" l="1"/>
  <c r="L41" s="1"/>
  <c r="O42"/>
  <c r="O43" s="1"/>
  <c r="I117" i="60"/>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N118" s="1"/>
  <c r="P118" s="1"/>
  <c r="H121"/>
  <c r="G125"/>
  <c r="M43" i="63" l="1"/>
  <c r="M44" s="1"/>
  <c r="N41"/>
  <c r="N42" s="1"/>
  <c r="O44"/>
  <c r="O45" s="1"/>
  <c r="L42"/>
  <c r="L43" s="1"/>
  <c r="N121" i="60"/>
  <c r="P121" s="1"/>
  <c r="N120"/>
  <c r="P120" s="1"/>
  <c r="N122"/>
  <c r="P122" s="1"/>
  <c r="N123"/>
  <c r="P123" s="1"/>
  <c r="N113"/>
  <c r="P113" s="1"/>
  <c r="N116"/>
  <c r="P116" s="1"/>
  <c r="N111"/>
  <c r="P111" s="1"/>
  <c r="N115"/>
  <c r="P115" s="1"/>
  <c r="N117"/>
  <c r="P117" s="1"/>
  <c r="N112"/>
  <c r="P112" s="1"/>
  <c r="G127"/>
  <c r="G130" s="1"/>
  <c r="N125"/>
  <c r="P125" s="1"/>
  <c r="N114"/>
  <c r="P114" s="1"/>
  <c r="N119"/>
  <c r="P119" s="1"/>
  <c r="N124"/>
  <c r="P124" s="1"/>
  <c r="M45" i="63" l="1"/>
  <c r="M46" s="1"/>
  <c r="N43"/>
  <c r="N44" s="1"/>
  <c r="N127" i="60"/>
  <c r="L44" i="63" l="1"/>
  <c r="L45" s="1"/>
  <c r="O46"/>
  <c r="O47" s="1"/>
  <c r="N45"/>
  <c r="L46" s="1"/>
  <c r="M47"/>
  <c r="M48" s="1"/>
  <c r="N46" l="1"/>
  <c r="N47" s="1"/>
  <c r="O48"/>
  <c r="O49" s="1"/>
  <c r="L47" l="1"/>
  <c r="L48" s="1"/>
  <c r="M49"/>
  <c r="M50" s="1"/>
  <c r="N48" l="1"/>
  <c r="N49" s="1"/>
  <c r="O50"/>
  <c r="O51" s="1"/>
  <c r="L49"/>
  <c r="L50" s="1"/>
  <c r="M51" l="1"/>
  <c r="M52" s="1"/>
  <c r="N50"/>
  <c r="N51" s="1"/>
  <c r="O52" l="1"/>
  <c r="O53" s="1"/>
  <c r="L51"/>
  <c r="L52" s="1"/>
  <c r="M53" l="1"/>
  <c r="M54" s="1"/>
  <c r="N52"/>
  <c r="N53" s="1"/>
  <c r="O54" l="1"/>
  <c r="O55" s="1"/>
  <c r="L53"/>
  <c r="L54" s="1"/>
  <c r="M55" l="1"/>
  <c r="M56" s="1"/>
  <c r="N54"/>
  <c r="N55" s="1"/>
  <c r="O56" l="1"/>
  <c r="O57" s="1"/>
  <c r="L55"/>
  <c r="L56" s="1"/>
  <c r="M57" l="1"/>
  <c r="M58" s="1"/>
  <c r="N56"/>
  <c r="N57" s="1"/>
  <c r="O58" l="1"/>
  <c r="O59" s="1"/>
  <c r="L57"/>
  <c r="L58" s="1"/>
  <c r="M59" l="1"/>
  <c r="M60" s="1"/>
  <c r="N58"/>
  <c r="N59" s="1"/>
  <c r="O60" l="1"/>
  <c r="O61" s="1"/>
  <c r="L59"/>
  <c r="L60" s="1"/>
  <c r="M61" l="1"/>
  <c r="M62" s="1"/>
  <c r="N60"/>
  <c r="N61" s="1"/>
  <c r="O62" l="1"/>
  <c r="O63" s="1"/>
  <c r="L61"/>
  <c r="L62" s="1"/>
  <c r="M63" l="1"/>
  <c r="N62"/>
  <c r="N63" s="1"/>
  <c r="L63" l="1"/>
</calcChain>
</file>

<file path=xl/comments1.xml><?xml version="1.0" encoding="utf-8"?>
<comments xmlns="http://schemas.openxmlformats.org/spreadsheetml/2006/main">
  <authors>
    <author>User</author>
  </authors>
  <commentList>
    <comment ref="G106" authorId="0">
      <text>
        <r>
          <rPr>
            <b/>
            <sz val="9"/>
            <color indexed="81"/>
            <rFont val="Tahoma"/>
            <charset val="1"/>
          </rPr>
          <t>User:</t>
        </r>
        <r>
          <rPr>
            <sz val="9"/>
            <color indexed="81"/>
            <rFont val="Tahoma"/>
            <charset val="1"/>
          </rPr>
          <t xml:space="preserve">
Huỳnh Thị Như:3.317.000
</t>
        </r>
      </text>
    </comment>
    <comment ref="G120" authorId="0">
      <text>
        <r>
          <rPr>
            <b/>
            <sz val="9"/>
            <color indexed="81"/>
            <rFont val="Tahoma"/>
            <charset val="1"/>
          </rPr>
          <t>User:</t>
        </r>
        <r>
          <rPr>
            <sz val="9"/>
            <color indexed="81"/>
            <rFont val="Tahoma"/>
            <charset val="1"/>
          </rPr>
          <t xml:space="preserve">
5ng
</t>
        </r>
      </text>
    </comment>
  </commentList>
</comments>
</file>

<file path=xl/sharedStrings.xml><?xml version="1.0" encoding="utf-8"?>
<sst xmlns="http://schemas.openxmlformats.org/spreadsheetml/2006/main" count="14921" uniqueCount="2009">
  <si>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</si>
  <si>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</si>
  <si>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</si>
  <si>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</si>
  <si>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</si>
  <si>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</si>
  <si>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</si>
  <si>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</si>
  <si>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</si>
  <si>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</si>
  <si>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</si>
  <si>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</si>
  <si>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</si>
  <si>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</si>
  <si>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</si>
  <si>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</si>
  <si>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</si>
  <si>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</si>
  <si>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</si>
  <si>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</si>
  <si>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</si>
  <si>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</si>
  <si>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</si>
  <si>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</si>
  <si>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</si>
  <si>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</si>
  <si>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</si>
  <si>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</si>
  <si>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</si>
  <si>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</si>
  <si>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</si>
  <si>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</si>
  <si>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</si>
  <si>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</si>
  <si>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</si>
  <si>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</si>
  <si>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</si>
  <si>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</si>
  <si>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</si>
  <si>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</si>
  <si>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</si>
  <si>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</si>
  <si>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</si>
  <si>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</si>
  <si>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</si>
  <si>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</si>
  <si>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</si>
  <si>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</si>
  <si>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</si>
  <si>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</si>
  <si>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</si>
  <si>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</si>
  <si>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</si>
  <si>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</si>
  <si>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</si>
  <si>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</si>
  <si>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</si>
  <si>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</si>
  <si>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</si>
  <si>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</si>
  <si>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</si>
  <si>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</si>
  <si>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</si>
  <si>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</si>
  <si>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</si>
  <si>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</si>
  <si>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</si>
  <si>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</si>
  <si>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</si>
  <si>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</si>
  <si>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</si>
  <si>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</si>
  <si>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</si>
  <si>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</si>
  <si>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</si>
  <si>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</si>
  <si>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</si>
  <si>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</si>
  <si>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</si>
  <si>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</si>
  <si>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</si>
  <si>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</si>
  <si>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</si>
  <si>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</si>
  <si>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</si>
  <si>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</si>
  <si>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</si>
  <si>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</si>
  <si>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</si>
  <si>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</si>
  <si>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</si>
  <si>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</si>
  <si>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</si>
  <si>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</si>
  <si>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</si>
  <si>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</si>
  <si>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</si>
  <si>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</si>
  <si>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</si>
  <si>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</si>
  <si>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</si>
  <si>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</si>
  <si>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</si>
  <si>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</si>
  <si>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</si>
  <si>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</si>
  <si>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</si>
  <si>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</si>
  <si>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</si>
  <si>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</si>
  <si>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</si>
  <si>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</si>
  <si>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</si>
  <si>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</si>
  <si>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</si>
  <si>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</si>
  <si>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</si>
  <si>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</si>
  <si>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</si>
  <si>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</si>
  <si>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</si>
  <si>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</si>
  <si>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</si>
  <si>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</si>
  <si>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</si>
  <si>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</si>
  <si>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</si>
  <si>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</si>
  <si>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</si>
  <si>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</si>
  <si>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</si>
  <si>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</si>
  <si>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</si>
  <si>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</si>
  <si>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</si>
  <si>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</si>
  <si>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</si>
  <si>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</si>
  <si>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</si>
  <si>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</si>
  <si>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</si>
  <si>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</si>
  <si>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</si>
  <si>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</si>
  <si>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</si>
  <si>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</si>
  <si>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</si>
  <si>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</si>
  <si>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</si>
  <si>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</si>
  <si>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</si>
  <si>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</si>
  <si>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</si>
  <si>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</si>
  <si>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</si>
  <si>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</si>
  <si>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</si>
  <si>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</si>
  <si>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</si>
  <si>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</si>
  <si>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</si>
  <si>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</si>
  <si>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</si>
  <si>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</si>
  <si>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</si>
  <si>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</si>
  <si>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</si>
  <si>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</si>
  <si>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</si>
  <si>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</si>
  <si>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</si>
  <si>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</si>
  <si>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</si>
  <si>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</si>
  <si>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</si>
  <si>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</si>
  <si>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</si>
  <si>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</si>
  <si>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</si>
  <si>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</si>
  <si>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</si>
  <si>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</si>
  <si>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</si>
  <si>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</si>
  <si>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</si>
  <si>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</si>
  <si>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</si>
  <si>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</si>
  <si>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</si>
  <si>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</si>
  <si>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</si>
  <si>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</si>
  <si>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</si>
  <si>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</si>
  <si>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</si>
  <si>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</si>
  <si>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</si>
  <si>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</si>
  <si>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</si>
  <si>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</si>
  <si>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</si>
  <si>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</si>
  <si>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</si>
  <si>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</si>
  <si>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</si>
  <si>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</si>
  <si>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</si>
  <si>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</si>
  <si>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</si>
  <si>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</si>
  <si>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</si>
  <si>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</si>
  <si>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</si>
  <si>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</si>
  <si>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</si>
  <si>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</si>
  <si>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</si>
  <si>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</si>
  <si>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</si>
  <si>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</si>
  <si>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</si>
  <si>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</si>
  <si>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</si>
  <si>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</si>
  <si>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</si>
  <si>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</si>
  <si>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</si>
  <si>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</si>
  <si>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</si>
  <si>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</si>
  <si>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</si>
  <si>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</si>
  <si>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</si>
  <si>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</si>
  <si>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</si>
  <si>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</si>
  <si>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</si>
  <si>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</si>
  <si>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</si>
  <si>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</si>
  <si>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</si>
  <si>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</si>
  <si>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</si>
  <si>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</si>
  <si>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</si>
  <si>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</si>
  <si>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</si>
  <si>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</si>
  <si>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</si>
  <si>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</si>
  <si>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</si>
  <si>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</si>
  <si>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</si>
  <si>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</si>
  <si>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</si>
  <si>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</si>
  <si>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</si>
  <si>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</si>
  <si>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</si>
  <si>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</si>
  <si>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</si>
  <si>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</si>
  <si>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</si>
  <si>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</si>
  <si>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</si>
  <si>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</si>
  <si>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</si>
  <si>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</si>
  <si>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</si>
  <si>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</si>
  <si>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</si>
  <si>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</si>
  <si>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</si>
  <si>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</si>
  <si>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</si>
  <si>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</si>
  <si>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</si>
  <si>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</si>
  <si>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</si>
  <si>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</si>
  <si>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</si>
  <si>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</si>
  <si>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</si>
  <si>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</si>
  <si>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</si>
  <si>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</si>
  <si>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</si>
  <si>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</si>
  <si>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</si>
  <si>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</si>
  <si>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</si>
  <si>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</si>
  <si>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</si>
  <si>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</si>
  <si>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</si>
  <si>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</si>
  <si>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</si>
  <si>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</si>
  <si>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</si>
  <si>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</si>
  <si>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</si>
  <si>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</si>
  <si>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</si>
  <si>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</si>
  <si>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</si>
  <si>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</si>
  <si>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</si>
  <si>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</si>
  <si>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</si>
  <si>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</si>
  <si>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</si>
  <si>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</si>
  <si>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</si>
  <si>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</si>
  <si>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</si>
  <si>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</si>
  <si>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</si>
  <si>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</si>
  <si>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</si>
  <si>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</si>
  <si>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</si>
  <si>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</si>
  <si>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</si>
  <si>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</si>
  <si>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</si>
  <si>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</si>
  <si>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</si>
  <si>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</si>
  <si>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</si>
  <si>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</si>
  <si>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</si>
  <si>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</si>
  <si>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</si>
  <si>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</si>
  <si>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</si>
  <si>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</si>
  <si>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</si>
  <si>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</si>
  <si>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</si>
  <si>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</si>
  <si>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</si>
  <si>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</si>
  <si>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</si>
  <si>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</si>
  <si>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</si>
  <si>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</si>
  <si>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</si>
  <si>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</si>
  <si>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</si>
  <si>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</si>
  <si>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</si>
  <si>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</si>
  <si>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</si>
  <si>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</si>
  <si>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</si>
  <si>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</si>
  <si>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</si>
  <si>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</si>
  <si>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</si>
  <si>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</si>
  <si>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</si>
  <si>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</si>
  <si>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</si>
  <si>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</si>
  <si>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</si>
  <si>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</si>
  <si>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</si>
  <si>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</si>
  <si>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</si>
  <si>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</si>
  <si>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</si>
  <si>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</si>
  <si>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</si>
  <si>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</si>
  <si>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</si>
  <si>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</si>
  <si>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</si>
  <si>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</si>
  <si>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</si>
  <si>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</si>
  <si>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</si>
  <si>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</si>
  <si>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</si>
  <si>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</si>
  <si>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</si>
  <si>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</si>
  <si>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</si>
  <si>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</si>
  <si>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</si>
  <si>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</si>
  <si>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</si>
  <si>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</si>
  <si>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</si>
  <si>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</si>
  <si>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</si>
  <si>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</si>
  <si>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</si>
  <si>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</si>
  <si>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</si>
  <si>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</si>
  <si>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</si>
  <si>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</si>
  <si>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</si>
  <si>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</si>
  <si>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</si>
  <si>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</si>
  <si>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</si>
  <si>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</si>
  <si>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</si>
  <si>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</si>
  <si>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</si>
  <si>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</si>
  <si>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Nguyễn Văn Hải</t>
  </si>
  <si>
    <t>Nguyễn Văn Lắm</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</si>
  <si>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</si>
  <si>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</si>
  <si>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</si>
  <si>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</si>
  <si>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</si>
  <si>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</si>
  <si>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</si>
  <si>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</si>
  <si>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</si>
  <si>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</si>
  <si>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</si>
  <si>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Trần Thị Lang</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</si>
  <si>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</si>
  <si>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</si>
  <si>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</si>
  <si>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</si>
  <si>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</si>
  <si>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</si>
  <si>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</si>
  <si>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</si>
  <si>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</si>
  <si>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</si>
  <si>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</si>
  <si>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</si>
  <si>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</si>
  <si>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</si>
  <si>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</si>
  <si>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</si>
  <si>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</si>
  <si>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</si>
  <si>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</si>
  <si>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</si>
  <si>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</si>
  <si>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</si>
  <si>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</si>
  <si>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</si>
  <si>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</si>
  <si>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</si>
  <si>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</si>
  <si>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</si>
  <si>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</si>
  <si>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</si>
  <si>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</si>
  <si>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</si>
  <si>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</si>
  <si>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</si>
  <si>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</si>
  <si>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</si>
  <si>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</si>
  <si>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</si>
  <si>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</si>
  <si>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</si>
  <si>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</si>
  <si>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</si>
  <si>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</si>
  <si>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</si>
  <si>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</si>
  <si>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</si>
  <si>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</si>
  <si>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</si>
  <si>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</si>
  <si>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</si>
  <si>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</si>
  <si>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</si>
  <si>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</si>
  <si>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</si>
  <si>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</si>
  <si>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</si>
  <si>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</si>
  <si>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</si>
  <si>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</si>
  <si>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</si>
  <si>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</si>
  <si>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</si>
  <si>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</si>
  <si>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</si>
  <si>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</si>
  <si>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</si>
  <si>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</si>
  <si>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</si>
  <si>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</si>
  <si>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</si>
  <si>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</si>
  <si>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</si>
  <si>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</si>
  <si>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</si>
  <si>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</si>
  <si>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</si>
  <si>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</si>
  <si>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</si>
  <si>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</si>
  <si>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</si>
  <si>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</si>
  <si>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</si>
  <si>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</si>
  <si>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</si>
  <si>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</si>
  <si>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</si>
  <si>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</si>
  <si>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</si>
  <si>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</si>
  <si>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</si>
  <si>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</si>
  <si>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</si>
  <si>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</si>
  <si>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</si>
  <si>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</si>
  <si>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</si>
  <si>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</si>
  <si>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</si>
  <si>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</si>
  <si>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</si>
  <si>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</si>
  <si>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</si>
  <si>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</si>
  <si>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</si>
  <si>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</si>
  <si>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</si>
  <si>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</si>
  <si>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</si>
  <si>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</si>
  <si>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</si>
  <si>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</si>
  <si>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</si>
  <si>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</si>
  <si>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</si>
  <si>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</si>
  <si>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</si>
  <si>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</si>
  <si>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</si>
  <si>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</si>
  <si>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</si>
  <si>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</si>
  <si>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</si>
  <si>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</si>
  <si>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</si>
  <si>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</si>
  <si>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</si>
  <si>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</si>
  <si>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</si>
  <si>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</si>
  <si>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</si>
  <si>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</si>
  <si>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</si>
  <si>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</si>
  <si>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</si>
  <si>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</si>
  <si>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</si>
  <si>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</si>
  <si>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</si>
  <si>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</si>
  <si>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</si>
  <si>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</si>
  <si>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</si>
  <si>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</si>
  <si>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</si>
  <si>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</si>
  <si>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</si>
  <si>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</si>
  <si>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</si>
  <si>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</si>
  <si>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</si>
  <si>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</si>
  <si>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</si>
  <si>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</si>
  <si>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</si>
  <si>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XVL</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</si>
  <si>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</si>
  <si>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</si>
  <si>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</si>
  <si>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</si>
  <si>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</si>
  <si>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</si>
  <si>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</si>
  <si>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</si>
  <si>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</si>
  <si>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</si>
  <si>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</si>
  <si>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</si>
  <si>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</si>
  <si>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</si>
  <si>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</si>
  <si>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</si>
  <si>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</si>
  <si>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</si>
  <si>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</si>
  <si>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</si>
  <si>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</si>
  <si>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</si>
  <si>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JINTATSU FOODSTUFF CO., LTD</t>
  </si>
  <si>
    <t>CUULONG TRADING CORPORATION</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</si>
  <si>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</si>
  <si>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</si>
  <si>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</si>
  <si>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</si>
  <si>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</si>
  <si>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</si>
  <si>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</si>
  <si>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</si>
  <si>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</si>
  <si>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</si>
  <si>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</si>
  <si>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</si>
  <si>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</si>
  <si>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</si>
  <si>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</si>
  <si>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</si>
  <si>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</si>
  <si>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</si>
  <si>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</si>
  <si>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</si>
  <si>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</si>
  <si>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</si>
  <si>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</si>
  <si>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</si>
  <si>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</si>
  <si>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</si>
  <si>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</si>
  <si>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</si>
  <si>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</si>
  <si>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</si>
  <si>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</si>
  <si>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</si>
  <si>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</si>
  <si>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</si>
  <si>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</si>
  <si>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</si>
  <si>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</si>
  <si>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</si>
  <si>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</si>
  <si>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</si>
  <si>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</si>
  <si>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</si>
  <si>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</si>
  <si>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</si>
  <si>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</si>
  <si>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</si>
  <si>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</si>
  <si>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</si>
  <si>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</si>
  <si>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</si>
  <si>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</si>
  <si>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</si>
  <si>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</si>
  <si>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</si>
  <si>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</si>
  <si>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</si>
  <si>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</si>
  <si>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</si>
  <si>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</si>
  <si>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</si>
  <si>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</si>
  <si>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</si>
  <si>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</si>
  <si>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</si>
  <si>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</si>
  <si>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</si>
  <si>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</si>
  <si>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</si>
  <si>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</si>
  <si>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</si>
  <si>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</si>
  <si>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</si>
  <si>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</si>
  <si>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</si>
  <si>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</si>
  <si>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</si>
  <si>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</si>
  <si>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</si>
  <si>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</si>
  <si>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</si>
  <si>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</si>
  <si>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</si>
  <si>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</si>
  <si>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</si>
  <si>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</si>
  <si>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</si>
  <si>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</si>
  <si>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</si>
  <si>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</si>
  <si>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</si>
  <si>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</si>
  <si>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</si>
  <si>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</si>
  <si>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</si>
  <si>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</si>
  <si>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</si>
  <si>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</si>
  <si>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</si>
  <si>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</si>
  <si>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</si>
  <si>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</si>
  <si>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</si>
  <si>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</si>
  <si>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</si>
  <si>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</si>
  <si>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</si>
  <si>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</si>
  <si>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</si>
  <si>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</si>
  <si>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</si>
  <si>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</si>
  <si>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</si>
  <si>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</si>
  <si>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</si>
  <si>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</si>
  <si>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</si>
  <si>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</si>
  <si>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</si>
  <si>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</si>
  <si>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</si>
  <si>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</si>
  <si>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</si>
  <si>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</si>
  <si>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</si>
  <si>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</si>
  <si>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</si>
  <si>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</si>
  <si>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</si>
  <si>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</si>
  <si>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</si>
  <si>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</si>
  <si>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</si>
  <si>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</si>
  <si>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</si>
  <si>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</si>
  <si>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</si>
  <si>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</si>
  <si>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</si>
  <si>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</si>
  <si>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</si>
  <si>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</si>
  <si>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</si>
  <si>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</si>
  <si>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</si>
  <si>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</si>
  <si>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</si>
  <si>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</si>
  <si>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</si>
  <si>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</si>
  <si>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</si>
  <si>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</si>
  <si>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</si>
  <si>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</si>
  <si>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</si>
  <si>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</si>
  <si>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</si>
  <si>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</si>
  <si>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</si>
  <si>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</si>
  <si>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</si>
  <si>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</si>
  <si>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</si>
  <si>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</si>
  <si>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</si>
  <si>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</si>
  <si>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</si>
  <si>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</si>
  <si>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</si>
  <si>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</si>
  <si>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</si>
  <si>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</si>
  <si>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</si>
  <si>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</si>
  <si>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</si>
  <si>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</si>
  <si>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</si>
  <si>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</si>
  <si>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</si>
  <si>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</si>
  <si>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</si>
  <si>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</si>
  <si>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</si>
  <si>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</si>
  <si>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</si>
  <si>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</si>
  <si>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</si>
  <si>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</si>
  <si>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</si>
  <si>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</si>
  <si>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</si>
  <si>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</si>
  <si>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</si>
  <si>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</si>
  <si>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</si>
  <si>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0079421; 0085054;0185911;0269450; 0267238; 0270328; 0277475;0277466; 0303032; 0301646; 0346682; 0439405</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</si>
  <si>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</si>
  <si>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</si>
  <si>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</si>
  <si>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</si>
  <si>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</si>
  <si>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</si>
  <si>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</si>
  <si>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</si>
  <si>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</si>
  <si>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</si>
  <si>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</si>
  <si>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</si>
  <si>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</si>
  <si>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</si>
  <si>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</si>
  <si>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</si>
  <si>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</si>
  <si>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</si>
  <si>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</si>
  <si>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</si>
  <si>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</si>
  <si>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</si>
  <si>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</si>
  <si>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</si>
  <si>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</si>
  <si>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</si>
  <si>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</si>
  <si>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</si>
  <si>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</si>
  <si>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</si>
  <si>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</si>
  <si>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</si>
  <si>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</si>
  <si>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</si>
  <si>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</si>
  <si>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</si>
  <si>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</si>
  <si>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</si>
  <si>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</si>
  <si>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</si>
  <si>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</si>
  <si>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</si>
  <si>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</si>
  <si>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</si>
  <si>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</si>
  <si>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</si>
  <si>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</si>
  <si>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</si>
  <si>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Cty TNH Sagawwa Việt Nam</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</si>
  <si>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</si>
  <si>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</si>
  <si>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</si>
  <si>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</si>
  <si>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</si>
  <si>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</si>
  <si>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</si>
  <si>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</si>
  <si>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</si>
  <si>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</si>
  <si>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</si>
  <si>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</si>
  <si>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</si>
  <si>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</si>
  <si>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</si>
  <si>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</si>
  <si>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</si>
  <si>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</si>
  <si>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</si>
  <si>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</si>
  <si>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</si>
  <si>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</si>
  <si>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</si>
  <si>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</si>
  <si>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</si>
  <si>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</si>
  <si>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</si>
  <si>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</si>
  <si>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</si>
  <si>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</si>
  <si>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</si>
  <si>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</si>
  <si>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</si>
  <si>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</si>
  <si>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</si>
  <si>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</si>
  <si>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</si>
  <si>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</si>
  <si>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</si>
  <si>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</si>
  <si>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</si>
  <si>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</si>
  <si>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</si>
  <si>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</si>
  <si>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</si>
  <si>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</si>
  <si>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</si>
  <si>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</si>
  <si>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</si>
  <si>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</si>
  <si>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</si>
  <si>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</si>
  <si>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</si>
  <si>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</si>
  <si>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</si>
  <si>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</si>
  <si>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</si>
  <si>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</si>
  <si>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</si>
  <si>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</si>
  <si>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</si>
  <si>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</si>
  <si>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</si>
  <si>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</si>
  <si>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</si>
  <si>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</si>
  <si>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</si>
  <si>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</si>
  <si>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</si>
  <si>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</si>
  <si>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</si>
  <si>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</si>
  <si>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</si>
  <si>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</si>
  <si>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</si>
  <si>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</si>
  <si>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</si>
  <si>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</si>
  <si>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</si>
  <si>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</si>
  <si>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</si>
  <si>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</si>
  <si>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</si>
  <si>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</si>
  <si>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</si>
  <si>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</si>
  <si>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</si>
  <si>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</si>
  <si>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</si>
  <si>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</si>
  <si>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</si>
  <si>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</si>
  <si>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</si>
  <si>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</si>
  <si>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</si>
  <si>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</si>
  <si>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</si>
  <si>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</si>
  <si>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</si>
  <si>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</si>
  <si>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</si>
  <si>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</si>
  <si>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</si>
  <si>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</si>
  <si>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</si>
  <si>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</si>
  <si>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</si>
  <si>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</si>
  <si>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</si>
  <si>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</si>
  <si>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</si>
  <si>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</si>
  <si>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</si>
  <si>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</si>
  <si>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</si>
  <si>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</si>
  <si>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</si>
  <si>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</si>
  <si>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</si>
  <si>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</si>
  <si>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</si>
  <si>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</si>
  <si>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</si>
  <si>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</si>
  <si>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</si>
  <si>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</si>
  <si>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</si>
  <si>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</si>
  <si>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</si>
  <si>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</si>
  <si>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</si>
  <si>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</si>
  <si>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</si>
  <si>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</si>
  <si>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</si>
  <si>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</si>
  <si>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</si>
  <si>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</si>
  <si>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</si>
  <si>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</si>
  <si>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</si>
  <si>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</si>
  <si>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</si>
  <si>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</si>
  <si>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</si>
  <si>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</si>
  <si>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</si>
  <si>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X01/TP</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</si>
  <si>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</si>
  <si>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</si>
  <si>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</si>
  <si>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</si>
  <si>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</si>
  <si>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</si>
  <si>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</si>
  <si>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</si>
  <si>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</si>
  <si>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</si>
  <si>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</si>
  <si>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</si>
  <si>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</si>
  <si>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</si>
  <si>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</si>
  <si>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</si>
  <si>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</si>
  <si>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</si>
  <si>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</si>
  <si>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</si>
  <si>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</si>
  <si>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</si>
  <si>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</si>
  <si>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</si>
  <si>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</si>
  <si>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</si>
  <si>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</si>
  <si>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</si>
  <si>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</si>
  <si>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</si>
  <si>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</si>
  <si>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</si>
  <si>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</si>
  <si>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</si>
  <si>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</si>
  <si>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</si>
  <si>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</si>
  <si>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</si>
  <si>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</si>
  <si>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</si>
  <si>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</si>
  <si>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</si>
  <si>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</si>
  <si>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</si>
  <si>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</si>
  <si>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</si>
  <si>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</si>
  <si>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</si>
  <si>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</si>
  <si>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Ứng vốn - TV</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</si>
  <si>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</si>
  <si>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</si>
  <si>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</si>
  <si>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</si>
  <si>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</si>
  <si>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</si>
  <si>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</si>
  <si>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</si>
  <si>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</si>
  <si>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</si>
  <si>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</si>
  <si>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</si>
  <si>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</si>
  <si>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</si>
  <si>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</si>
  <si>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</si>
  <si>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</si>
  <si>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</si>
  <si>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</si>
  <si>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</si>
  <si>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</si>
  <si>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</si>
  <si>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</si>
  <si>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</si>
  <si>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</si>
  <si>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</si>
  <si>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</si>
  <si>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</si>
  <si>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</si>
  <si>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</si>
  <si>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</si>
  <si>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</si>
  <si>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</si>
  <si>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</si>
  <si>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</si>
  <si>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</si>
  <si>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</si>
  <si>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</si>
  <si>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</si>
  <si>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</si>
  <si>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</si>
  <si>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</si>
  <si>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</si>
  <si>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</si>
  <si>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</si>
  <si>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</si>
  <si>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</si>
  <si>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</si>
  <si>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</si>
  <si>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</si>
  <si>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</si>
  <si>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</si>
  <si>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</si>
  <si>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</si>
  <si>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</si>
  <si>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</si>
  <si>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</si>
  <si>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</si>
  <si>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</si>
  <si>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 xml:space="preserve">Tổng Công Ty CP Bưu Chính Viettel </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</si>
  <si>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</si>
  <si>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</si>
  <si>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</si>
  <si>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</si>
  <si>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</si>
  <si>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</si>
  <si>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</si>
  <si>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</si>
  <si>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</si>
  <si>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</si>
  <si>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</si>
  <si>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</si>
  <si>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</si>
  <si>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</si>
  <si>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</si>
  <si>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</si>
  <si>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</si>
  <si>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</si>
  <si>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</si>
  <si>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</si>
  <si>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</si>
  <si>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</si>
  <si>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</si>
  <si>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</si>
  <si>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</si>
  <si>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</si>
  <si>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</si>
  <si>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</si>
  <si>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</si>
  <si>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</si>
  <si>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</si>
  <si>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</si>
  <si>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</si>
  <si>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</si>
  <si>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</si>
  <si>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</si>
  <si>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</si>
  <si>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</si>
  <si>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</si>
  <si>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</si>
  <si>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</si>
  <si>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</si>
  <si>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</si>
  <si>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</si>
  <si>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</si>
  <si>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</si>
  <si>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</si>
  <si>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</si>
  <si>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</si>
  <si>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</si>
  <si>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</si>
  <si>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</si>
  <si>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</si>
  <si>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</si>
  <si>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</si>
  <si>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</si>
  <si>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</si>
  <si>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</si>
  <si>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</si>
  <si>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</si>
  <si>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</si>
  <si>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</si>
  <si>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</si>
  <si>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</si>
  <si>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</si>
  <si>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</si>
  <si>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</si>
  <si>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</si>
  <si>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</si>
  <si>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</si>
  <si>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</si>
  <si>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</si>
  <si>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</si>
  <si>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</si>
  <si>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</si>
  <si>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</si>
  <si>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</si>
  <si>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</si>
  <si>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</si>
  <si>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</si>
  <si>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</si>
  <si>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</si>
  <si>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</si>
  <si>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</si>
  <si>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</si>
  <si>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</si>
  <si>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</si>
  <si>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</si>
  <si>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</si>
  <si>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</si>
  <si>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</si>
  <si>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</si>
  <si>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</si>
  <si>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</si>
  <si>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</si>
  <si>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</si>
  <si>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</si>
  <si>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</si>
  <si>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</si>
  <si>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</si>
  <si>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</si>
  <si>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</si>
  <si>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</si>
  <si>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</si>
  <si>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</si>
  <si>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</si>
  <si>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</si>
  <si>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</si>
  <si>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</si>
  <si>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</si>
  <si>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</si>
  <si>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</si>
  <si>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</si>
  <si>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</si>
  <si>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</si>
  <si>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</si>
  <si>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</si>
  <si>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</si>
  <si>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</si>
  <si>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</si>
  <si>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</si>
  <si>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</si>
  <si>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</si>
  <si>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</si>
  <si>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</si>
  <si>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</si>
  <si>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</si>
  <si>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</si>
  <si>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</si>
  <si>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</si>
  <si>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</si>
  <si>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</si>
  <si>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</si>
  <si>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</si>
  <si>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</si>
  <si>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</si>
  <si>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</si>
  <si>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</si>
  <si>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</si>
  <si>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</si>
  <si>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</si>
  <si>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</si>
  <si>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</si>
  <si>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</si>
  <si>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</si>
  <si>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</si>
  <si>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</si>
  <si>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</si>
  <si>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</si>
  <si>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</si>
  <si>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</si>
  <si>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</si>
  <si>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</si>
  <si>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</si>
  <si>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</si>
  <si>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</si>
  <si>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</si>
  <si>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</si>
  <si>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</si>
  <si>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</si>
  <si>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</si>
  <si>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</si>
  <si>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</si>
  <si>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</si>
  <si>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</si>
  <si>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</si>
  <si>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</si>
  <si>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</si>
  <si>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</si>
  <si>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</si>
  <si>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</si>
  <si>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</si>
  <si>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</si>
  <si>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</si>
  <si>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</si>
  <si>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</si>
  <si>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</si>
  <si>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</si>
  <si>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</si>
  <si>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</si>
  <si>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</si>
  <si>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</si>
  <si>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</si>
  <si>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</si>
  <si>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</si>
  <si>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</si>
  <si>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</si>
  <si>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</si>
  <si>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</si>
  <si>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</si>
  <si>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</si>
  <si>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</si>
  <si>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</si>
  <si>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</si>
  <si>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</si>
  <si>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</si>
  <si>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</si>
  <si>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</si>
  <si>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</si>
  <si>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</si>
  <si>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</si>
  <si>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</si>
  <si>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</si>
  <si>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</si>
  <si>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</si>
  <si>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</si>
  <si>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</si>
  <si>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</si>
  <si>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</si>
  <si>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</si>
  <si>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</si>
  <si>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</si>
  <si>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</si>
  <si>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</si>
  <si>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</si>
  <si>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</si>
  <si>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</si>
  <si>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</si>
  <si>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</si>
  <si>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</si>
  <si>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</si>
  <si>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</si>
  <si>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</si>
  <si>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</si>
  <si>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</si>
  <si>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</si>
  <si>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</si>
  <si>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</si>
  <si>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</si>
  <si>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</si>
  <si>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</si>
  <si>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</si>
  <si>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</si>
  <si>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</si>
  <si>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</si>
  <si>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</si>
  <si>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</si>
  <si>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</si>
  <si>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</si>
  <si>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</si>
  <si>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</si>
  <si>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</si>
  <si>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</si>
  <si>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</si>
  <si>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</si>
  <si>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</si>
  <si>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</si>
  <si>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</si>
  <si>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</si>
  <si>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</si>
  <si>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</si>
  <si>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</si>
  <si>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</si>
  <si>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</si>
  <si>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</si>
  <si>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</si>
  <si>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</si>
  <si>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</si>
  <si>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</si>
  <si>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</si>
  <si>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</si>
  <si>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</si>
  <si>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</si>
  <si>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</si>
  <si>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</si>
  <si>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</si>
  <si>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</si>
  <si>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</si>
  <si>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</si>
  <si>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</si>
  <si>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</si>
  <si>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</si>
  <si>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</si>
  <si>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</si>
  <si>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</si>
  <si>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</si>
  <si>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</si>
  <si>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</si>
  <si>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</si>
  <si>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</si>
  <si>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</si>
  <si>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</si>
  <si>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</si>
  <si>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</si>
  <si>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</si>
  <si>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</si>
  <si>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</si>
  <si>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</si>
  <si>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</si>
  <si>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</si>
  <si>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</si>
  <si>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</si>
  <si>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</si>
  <si>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</si>
  <si>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</si>
  <si>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</si>
  <si>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</si>
  <si>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</si>
  <si>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</si>
  <si>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</si>
  <si>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</si>
  <si>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</si>
  <si>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</si>
  <si>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</si>
  <si>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</si>
  <si>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</si>
  <si>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</si>
  <si>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</si>
  <si>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</si>
  <si>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</si>
  <si>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</si>
  <si>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</si>
  <si>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</si>
  <si>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</si>
  <si>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</si>
  <si>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</si>
  <si>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</si>
  <si>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</si>
  <si>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</si>
  <si>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</si>
  <si>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</si>
  <si>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</si>
  <si>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</si>
  <si>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</si>
  <si>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</si>
  <si>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</si>
  <si>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</si>
  <si>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</si>
  <si>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</si>
  <si>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</si>
  <si>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</si>
  <si>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</si>
  <si>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</si>
  <si>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</si>
  <si>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</si>
  <si>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</si>
  <si>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</si>
  <si>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</si>
  <si>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</si>
  <si>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</si>
  <si>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</si>
  <si>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</si>
  <si>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BHXH Long An</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</si>
  <si>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</si>
  <si>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</si>
  <si>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</si>
  <si>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</si>
  <si>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</si>
  <si>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</si>
  <si>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</si>
  <si>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</si>
  <si>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</si>
  <si>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</si>
  <si>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</si>
  <si>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</si>
  <si>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</si>
  <si>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</si>
  <si>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</si>
  <si>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</si>
  <si>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</si>
  <si>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</si>
  <si>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</si>
  <si>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</si>
  <si>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</si>
  <si>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</si>
  <si>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</si>
  <si>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</si>
  <si>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</si>
  <si>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</si>
  <si>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</si>
  <si>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</si>
  <si>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</si>
  <si>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</si>
  <si>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</si>
  <si>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</si>
  <si>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</si>
  <si>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</si>
  <si>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</si>
  <si>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</si>
  <si>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</si>
  <si>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</si>
  <si>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</si>
  <si>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</si>
  <si>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</si>
  <si>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</si>
  <si>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</si>
  <si>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</si>
  <si>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</si>
  <si>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</si>
  <si>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</si>
  <si>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</si>
  <si>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</si>
  <si>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</si>
  <si>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</si>
  <si>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</si>
  <si>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</si>
  <si>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</si>
  <si>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</si>
  <si>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</si>
  <si>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</si>
  <si>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</si>
  <si>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</si>
  <si>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</si>
  <si>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</si>
  <si>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</si>
  <si>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</si>
  <si>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</si>
  <si>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</si>
  <si>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</si>
  <si>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</si>
  <si>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</si>
  <si>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</si>
  <si>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</si>
  <si>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</si>
  <si>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</si>
  <si>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</si>
  <si>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</si>
  <si>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</si>
  <si>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</si>
  <si>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</si>
  <si>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</si>
  <si>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</si>
  <si>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</si>
  <si>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</si>
  <si>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</si>
  <si>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</si>
  <si>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</si>
  <si>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</si>
  <si>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</si>
  <si>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</si>
  <si>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</si>
  <si>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</si>
  <si>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</si>
  <si>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</si>
  <si>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</si>
  <si>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</si>
  <si>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</si>
  <si>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</si>
  <si>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</si>
  <si>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</si>
  <si>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</si>
  <si>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</si>
  <si>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</si>
  <si>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</si>
  <si>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</si>
  <si>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</si>
  <si>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</si>
  <si>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</si>
  <si>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</si>
  <si>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</si>
  <si>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</si>
  <si>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</si>
  <si>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</si>
  <si>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</si>
  <si>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</si>
  <si>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</si>
  <si>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</si>
  <si>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</si>
  <si>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</si>
  <si>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</si>
  <si>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</si>
  <si>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</si>
  <si>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</si>
  <si>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</si>
  <si>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</si>
  <si>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</si>
  <si>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</si>
  <si>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</si>
  <si>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</si>
  <si>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</si>
  <si>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</si>
  <si>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</si>
  <si>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</si>
  <si>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</si>
  <si>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</si>
  <si>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</si>
  <si>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</si>
  <si>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</si>
  <si>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</si>
  <si>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</si>
  <si>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</si>
  <si>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</si>
  <si>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</si>
  <si>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</si>
  <si>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</si>
  <si>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</si>
  <si>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</si>
  <si>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</si>
  <si>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</si>
  <si>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</si>
  <si>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</si>
  <si>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</si>
  <si>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</si>
  <si>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</si>
  <si>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</si>
  <si>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</si>
  <si>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</si>
  <si>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</si>
  <si>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</si>
  <si>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</si>
  <si>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</si>
  <si>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</si>
  <si>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</si>
  <si>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</si>
  <si>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</si>
  <si>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</si>
  <si>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</si>
  <si>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</si>
  <si>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</si>
  <si>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</si>
  <si>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</si>
  <si>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</si>
  <si>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</si>
  <si>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</si>
  <si>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</si>
  <si>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</si>
  <si>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</si>
  <si>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</si>
  <si>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</si>
  <si>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</si>
  <si>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</si>
  <si>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</si>
  <si>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</si>
  <si>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</si>
  <si>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</si>
  <si>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</si>
  <si>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</si>
  <si>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</si>
  <si>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</si>
  <si>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</si>
  <si>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</si>
  <si>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</si>
  <si>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</si>
  <si>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</si>
  <si>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</si>
  <si>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</si>
  <si>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</si>
  <si>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</si>
  <si>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</si>
  <si>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</si>
  <si>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</si>
  <si>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</si>
  <si>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</si>
  <si>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</si>
  <si>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 xml:space="preserve">Hoàn vốn </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</si>
  <si>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</si>
  <si>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</si>
  <si>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</si>
  <si>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</si>
  <si>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</si>
  <si>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</si>
  <si>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</si>
  <si>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</si>
  <si>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</si>
  <si>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</si>
  <si>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</si>
  <si>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</si>
  <si>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</si>
  <si>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</si>
  <si>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</si>
  <si>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</si>
  <si>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</si>
  <si>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</si>
  <si>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</si>
  <si>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</si>
  <si>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</si>
  <si>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</si>
  <si>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</si>
  <si>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</si>
  <si>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</si>
  <si>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</si>
  <si>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</si>
  <si>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</si>
  <si>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</si>
  <si>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</si>
  <si>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</si>
  <si>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</si>
  <si>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</si>
  <si>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</si>
  <si>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</si>
  <si>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</si>
  <si>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</si>
  <si>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</si>
  <si>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</si>
  <si>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</si>
  <si>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</si>
  <si>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</si>
  <si>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</si>
  <si>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</si>
  <si>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</si>
  <si>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</si>
  <si>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</si>
  <si>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</si>
  <si>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</si>
  <si>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</si>
  <si>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</si>
  <si>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</si>
  <si>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</si>
  <si>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</si>
  <si>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</si>
  <si>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</si>
  <si>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</si>
  <si>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</si>
  <si>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</si>
  <si>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</si>
  <si>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</si>
  <si>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</si>
  <si>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</si>
  <si>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</si>
  <si>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</si>
  <si>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</si>
  <si>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</si>
  <si>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</si>
  <si>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Cty CP TM Dịch Vụ Ngọc An</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</si>
  <si>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</si>
  <si>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</si>
  <si>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</si>
  <si>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</si>
  <si>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</si>
  <si>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</si>
  <si>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</si>
  <si>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</si>
  <si>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</si>
  <si>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</si>
  <si>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</si>
  <si>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</si>
  <si>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</si>
  <si>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</si>
  <si>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</si>
  <si>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</si>
  <si>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</si>
  <si>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</si>
  <si>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</si>
  <si>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</si>
  <si>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</si>
  <si>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</si>
  <si>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</si>
  <si>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</si>
  <si>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</si>
  <si>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</si>
  <si>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</si>
  <si>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</si>
  <si>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</si>
  <si>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</si>
  <si>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</si>
  <si>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</si>
  <si>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</si>
  <si>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</si>
  <si>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</si>
  <si>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</si>
  <si>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</si>
  <si>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</si>
  <si>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</si>
  <si>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</si>
  <si>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</si>
  <si>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</si>
  <si>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</si>
  <si>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</si>
  <si>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</si>
  <si>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</si>
  <si>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</si>
  <si>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</si>
  <si>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</si>
  <si>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</si>
  <si>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</si>
  <si>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</si>
  <si>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</si>
  <si>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</si>
  <si>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</si>
  <si>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</si>
  <si>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</si>
  <si>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</si>
  <si>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</si>
  <si>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</si>
  <si>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</si>
  <si>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</si>
  <si>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</si>
  <si>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</si>
  <si>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</si>
  <si>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</si>
  <si>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</si>
  <si>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</si>
  <si>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</si>
  <si>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</si>
  <si>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</si>
  <si>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</si>
  <si>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</si>
  <si>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</si>
  <si>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</si>
  <si>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</si>
  <si>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</si>
  <si>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</si>
  <si>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</si>
  <si>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</si>
  <si>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</si>
  <si>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</si>
  <si>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</si>
  <si>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</si>
  <si>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THU</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</si>
  <si>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</si>
  <si>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</si>
  <si>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</si>
  <si>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</si>
  <si>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</si>
  <si>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</si>
  <si>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</si>
  <si>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</si>
  <si>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</si>
  <si>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</si>
  <si>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</si>
  <si>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</si>
  <si>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</si>
  <si>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</si>
  <si>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</si>
  <si>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</si>
  <si>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</si>
  <si>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</si>
  <si>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</si>
  <si>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</si>
  <si>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</si>
  <si>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</si>
  <si>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</si>
  <si>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</si>
  <si>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</si>
  <si>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</si>
  <si>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</si>
  <si>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</si>
  <si>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</si>
  <si>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</si>
  <si>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</si>
  <si>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</si>
  <si>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</si>
  <si>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</si>
  <si>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</si>
  <si>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</si>
  <si>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</si>
  <si>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</si>
  <si>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</si>
  <si>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</si>
  <si>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</si>
  <si>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</si>
  <si>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</si>
  <si>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</si>
  <si>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</si>
  <si>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</si>
  <si>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</si>
  <si>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</si>
  <si>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</si>
  <si>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</si>
  <si>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</si>
  <si>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</si>
  <si>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</si>
  <si>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</si>
  <si>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</si>
  <si>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</si>
  <si>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</si>
  <si>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</si>
  <si>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</si>
  <si>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</si>
  <si>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</si>
  <si>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</si>
  <si>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</si>
  <si>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</si>
  <si>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</si>
  <si>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</si>
  <si>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</si>
  <si>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</si>
  <si>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</si>
  <si>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</si>
  <si>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</si>
  <si>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</si>
  <si>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</si>
  <si>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</si>
  <si>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</si>
  <si>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</si>
  <si>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</si>
  <si>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</si>
  <si>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</si>
  <si>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</si>
  <si>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</si>
  <si>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</si>
  <si>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</si>
  <si>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</si>
  <si>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</si>
  <si>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</si>
  <si>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</si>
  <si>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</si>
  <si>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</si>
  <si>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</si>
  <si>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</si>
  <si>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</si>
  <si>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</si>
  <si>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</si>
  <si>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</si>
  <si>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</si>
  <si>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</si>
  <si>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</si>
  <si>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</si>
  <si>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</si>
  <si>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</si>
  <si>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</si>
  <si>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</si>
  <si>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</si>
  <si>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</si>
  <si>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Cá cơm khô</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</si>
  <si>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</si>
  <si>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</si>
  <si>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</si>
  <si>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</si>
  <si>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</si>
  <si>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</si>
  <si>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</si>
  <si>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</si>
  <si>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</si>
  <si>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</si>
  <si>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</si>
  <si>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</si>
  <si>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Cty TNHH Hải Sản An Lạc - Trà Vinh</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</si>
  <si>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</si>
  <si>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</si>
  <si>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</si>
  <si>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</si>
  <si>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</si>
  <si>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</si>
  <si>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</si>
  <si>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</si>
  <si>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</si>
  <si>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</si>
  <si>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</si>
  <si>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</si>
  <si>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</si>
  <si>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</si>
  <si>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</si>
  <si>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</si>
  <si>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</si>
  <si>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</si>
  <si>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</si>
  <si>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</si>
  <si>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</si>
  <si>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</si>
  <si>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</si>
  <si>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</si>
  <si>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</si>
  <si>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</si>
  <si>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</si>
  <si>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</si>
  <si>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</si>
  <si>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</si>
  <si>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</si>
  <si>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</si>
  <si>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</si>
  <si>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</si>
  <si>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</si>
  <si>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</si>
  <si>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</si>
  <si>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</si>
  <si>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</si>
  <si>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</si>
  <si>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</si>
  <si>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</si>
  <si>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Trần Thị Nê</t>
  </si>
  <si>
    <t>Đỗ Ngọc Trương</t>
  </si>
  <si>
    <t>NL/N24</t>
  </si>
  <si>
    <t>NL/N25</t>
  </si>
  <si>
    <t>NL/N26</t>
  </si>
  <si>
    <t>NL/N27</t>
  </si>
  <si>
    <t>NL/N28</t>
  </si>
  <si>
    <t>NL/N29</t>
  </si>
  <si>
    <t>NL/N30</t>
  </si>
  <si>
    <t>NL/N31</t>
  </si>
  <si>
    <t>NL/N32</t>
  </si>
  <si>
    <t>NL/N33</t>
  </si>
  <si>
    <t>Nguyễn Ngọc Anh</t>
  </si>
  <si>
    <t>Ngô Văn Vàng</t>
  </si>
  <si>
    <t>Nguyễn Văn Tư</t>
  </si>
  <si>
    <t>Nguyễn Văn Đức</t>
  </si>
  <si>
    <t>Cá mai NL</t>
  </si>
  <si>
    <t>Phạm Thị Bảy</t>
  </si>
  <si>
    <t>Tiêu Vĩnh Phát</t>
  </si>
  <si>
    <t>Phan Quốc Vũ</t>
  </si>
  <si>
    <t>Cá cơm NL</t>
  </si>
  <si>
    <t>Nguyễn Thị Hội</t>
  </si>
  <si>
    <t>Xuất gia công</t>
  </si>
  <si>
    <t xml:space="preserve"> Thuế GTGT đầu ra </t>
  </si>
  <si>
    <t xml:space="preserve"> Thuế GTGT hàng nhập khẩu </t>
  </si>
  <si>
    <t>3331</t>
  </si>
  <si>
    <t xml:space="preserve"> Thuế GTGT </t>
  </si>
  <si>
    <t>Thuế GTGT hàng nhập khẩu TK 10091171883</t>
  </si>
  <si>
    <t>K/C TSCĐ - Nhà vòm</t>
  </si>
  <si>
    <t>NATIONAL STARCH</t>
  </si>
  <si>
    <t>Thanh toán tiền bột</t>
  </si>
  <si>
    <t>100911718830</t>
  </si>
  <si>
    <t>Chi phí thuế TNDN</t>
  </si>
  <si>
    <t xml:space="preserve">K/C thuế TNDN </t>
  </si>
  <si>
    <t>1332</t>
  </si>
  <si>
    <t>0000820</t>
  </si>
  <si>
    <t>0019651</t>
  </si>
  <si>
    <t>0019652</t>
  </si>
  <si>
    <t>VAT Phí Ngân hàng</t>
  </si>
  <si>
    <t>Thuế GTGT phải nộp T7/2016</t>
  </si>
  <si>
    <t>Phạt chậm nộp thuế GTGT phải nộp T7/2016</t>
  </si>
  <si>
    <t>Phí NH nước ngoài giảm trừ</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</si>
</sst>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09">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0000FF"/>
      <name val="Arial"/>
      <family val="2"/>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C00000"/>
      <name val="Arial"/>
      <family val="2"/>
    </font>
    <font>
      <sz val="10"/>
      <color rgb="FF7030A0"/>
      <name val="Times New Roman"/>
      <family val="1"/>
    </font>
    <font>
      <sz val="10"/>
      <color rgb="FF7030A0"/>
      <name val="Arial"/>
      <family val="2"/>
    </font>
    <font>
      <sz val="9"/>
      <color indexed="81"/>
      <name val="Tahoma"/>
      <charset val="1"/>
    </font>
    <font>
      <b/>
      <sz val="9"/>
      <color indexed="81"/>
      <name val="Tahoma"/>
      <charset val="1"/>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2">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5" fillId="0" borderId="0"/>
    <xf numFmtId="0" fontId="3" fillId="0" borderId="0"/>
    <xf numFmtId="0" fontId="61" fillId="0" borderId="0" applyNumberFormat="0" applyFill="0" applyBorder="0" applyAlignment="0" applyProtection="0">
      <alignment vertical="top"/>
      <protection locked="0"/>
    </xf>
    <xf numFmtId="43" fontId="66" fillId="0" borderId="0" applyFont="0" applyFill="0" applyBorder="0" applyAlignment="0" applyProtection="0"/>
    <xf numFmtId="43" fontId="4" fillId="0" borderId="0" applyFont="0" applyFill="0" applyBorder="0" applyAlignment="0" applyProtection="0"/>
    <xf numFmtId="170" fontId="66" fillId="0" borderId="0" applyFont="0" applyFill="0" applyBorder="0" applyAlignment="0" applyProtection="0"/>
    <xf numFmtId="0" fontId="6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6" fillId="0" borderId="0"/>
    <xf numFmtId="0" fontId="94" fillId="0" borderId="0"/>
  </cellStyleXfs>
  <cellXfs count="1475">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164" fontId="48"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1" fillId="0" borderId="16" xfId="76" quotePrefix="1" applyNumberFormat="1" applyFont="1" applyFill="1" applyBorder="1" applyAlignment="1">
      <alignment horizontal="center" vertical="center"/>
    </xf>
    <xf numFmtId="164" fontId="23" fillId="0" borderId="26" xfId="74" applyNumberFormat="1" applyFont="1" applyBorder="1"/>
    <xf numFmtId="164" fontId="23" fillId="0" borderId="27" xfId="74" applyNumberFormat="1" applyFont="1" applyBorder="1"/>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1" fillId="0" borderId="16" xfId="76" applyNumberFormat="1" applyFont="1" applyFill="1" applyBorder="1" applyAlignment="1">
      <alignment horizontal="center" vertical="center"/>
    </xf>
    <xf numFmtId="164" fontId="51" fillId="0" borderId="16" xfId="76" applyNumberFormat="1" applyFont="1" applyFill="1" applyBorder="1" applyAlignment="1">
      <alignment horizontal="left" vertical="center"/>
    </xf>
    <xf numFmtId="49" fontId="51" fillId="0" borderId="16" xfId="76" applyNumberFormat="1" applyFont="1" applyFill="1" applyBorder="1" applyAlignment="1">
      <alignment horizontal="left" vertical="center"/>
    </xf>
    <xf numFmtId="164" fontId="51"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3" fillId="0" borderId="0" xfId="77" applyFont="1" applyFill="1" applyBorder="1" applyAlignment="1" applyProtection="1">
      <alignment vertical="center"/>
      <protection hidden="1"/>
    </xf>
    <xf numFmtId="0" fontId="54" fillId="0" borderId="0" xfId="77"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8" fillId="0" borderId="0" xfId="77" applyFont="1" applyFill="1" applyBorder="1" applyAlignment="1" applyProtection="1">
      <alignment vertical="center"/>
      <protection hidden="1"/>
    </xf>
    <xf numFmtId="0" fontId="59"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60" fillId="0" borderId="0" xfId="77" applyNumberFormat="1" applyFont="1" applyFill="1" applyBorder="1" applyAlignment="1" applyProtection="1">
      <alignment vertical="center"/>
      <protection hidden="1"/>
    </xf>
    <xf numFmtId="0" fontId="53" fillId="0" borderId="0" xfId="77" applyFont="1" applyFill="1" applyBorder="1" applyAlignment="1" applyProtection="1">
      <alignment horizontal="center" vertical="center"/>
      <protection hidden="1"/>
    </xf>
    <xf numFmtId="0" fontId="58" fillId="0" borderId="0" xfId="77" applyFont="1" applyFill="1" applyBorder="1" applyAlignment="1" applyProtection="1">
      <alignment horizontal="center" vertical="center"/>
      <protection hidden="1"/>
    </xf>
    <xf numFmtId="10" fontId="62"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3" fillId="0" borderId="0" xfId="77" applyFont="1" applyFill="1" applyBorder="1" applyAlignment="1" applyProtection="1">
      <alignment horizontal="left" vertical="center"/>
      <protection hidden="1"/>
    </xf>
    <xf numFmtId="0" fontId="63" fillId="0" borderId="0" xfId="77" applyFont="1" applyFill="1" applyBorder="1" applyAlignment="1" applyProtection="1">
      <alignment horizontal="justify" vertical="center"/>
      <protection hidden="1"/>
    </xf>
    <xf numFmtId="0" fontId="63" fillId="0" borderId="0" xfId="77" applyFont="1" applyFill="1" applyBorder="1" applyAlignment="1" applyProtection="1">
      <alignment vertical="center"/>
      <protection hidden="1"/>
    </xf>
    <xf numFmtId="171" fontId="64"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3" fillId="0" borderId="0" xfId="74" applyNumberFormat="1" applyFont="1" applyFill="1" applyBorder="1" applyAlignment="1" applyProtection="1">
      <alignment vertical="center"/>
      <protection hidden="1"/>
    </xf>
    <xf numFmtId="10" fontId="63" fillId="0" borderId="0" xfId="79" applyNumberFormat="1" applyFont="1" applyFill="1" applyBorder="1" applyAlignment="1" applyProtection="1">
      <alignment vertical="center"/>
      <protection hidden="1"/>
    </xf>
    <xf numFmtId="49" fontId="6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vertical="center"/>
      <protection hidden="1"/>
    </xf>
    <xf numFmtId="0" fontId="65"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horizontal="left" vertical="center"/>
      <protection hidden="1"/>
    </xf>
    <xf numFmtId="10" fontId="63"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60"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4"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7"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8" fillId="29" borderId="0" xfId="87" applyFont="1" applyFill="1" applyAlignment="1">
      <alignment horizontal="center" vertical="center" wrapText="1"/>
    </xf>
    <xf numFmtId="14" fontId="33" fillId="0" borderId="0" xfId="87" applyNumberFormat="1" applyFont="1" applyAlignment="1">
      <alignment vertical="center"/>
    </xf>
    <xf numFmtId="0" fontId="68" fillId="29" borderId="0" xfId="87" applyFont="1" applyFill="1" applyAlignment="1">
      <alignment horizontal="center" vertical="center"/>
    </xf>
    <xf numFmtId="0" fontId="69"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2" fillId="29" borderId="2" xfId="87" applyNumberFormat="1" applyFont="1" applyFill="1" applyBorder="1" applyAlignment="1">
      <alignment horizontal="center" vertical="center" wrapText="1"/>
    </xf>
    <xf numFmtId="0" fontId="72" fillId="29" borderId="2" xfId="87" applyFont="1" applyFill="1" applyBorder="1" applyAlignment="1">
      <alignment horizontal="center" vertical="center" wrapText="1"/>
    </xf>
    <xf numFmtId="0" fontId="35" fillId="0" borderId="0" xfId="87" applyFont="1" applyAlignment="1">
      <alignment vertical="center"/>
    </xf>
    <xf numFmtId="14" fontId="73" fillId="29" borderId="2" xfId="87" applyNumberFormat="1" applyFont="1" applyFill="1" applyBorder="1" applyAlignment="1">
      <alignment vertical="center" wrapText="1"/>
    </xf>
    <xf numFmtId="0" fontId="73" fillId="29" borderId="2" xfId="87" applyFont="1" applyFill="1" applyBorder="1" applyAlignment="1">
      <alignment horizontal="center" vertical="center" wrapText="1"/>
    </xf>
    <xf numFmtId="0" fontId="73"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71"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3" fillId="29" borderId="0" xfId="87" applyFont="1" applyFill="1" applyAlignment="1">
      <alignment vertical="center" wrapText="1"/>
    </xf>
    <xf numFmtId="0" fontId="73" fillId="29" borderId="0" xfId="87" applyFont="1" applyFill="1" applyAlignment="1">
      <alignment horizontal="center" vertical="center" wrapText="1"/>
    </xf>
    <xf numFmtId="0" fontId="74" fillId="29" borderId="0" xfId="87" applyFont="1" applyFill="1" applyAlignment="1">
      <alignment horizontal="center" vertical="center" wrapText="1"/>
    </xf>
    <xf numFmtId="0" fontId="73" fillId="29" borderId="0" xfId="87" applyFont="1" applyFill="1" applyAlignment="1">
      <alignment horizontal="center" vertical="center"/>
    </xf>
    <xf numFmtId="164" fontId="73" fillId="29" borderId="0" xfId="74" applyNumberFormat="1" applyFont="1" applyFill="1" applyAlignment="1">
      <alignment horizontal="center" vertical="center"/>
    </xf>
    <xf numFmtId="0" fontId="39" fillId="0" borderId="0" xfId="87" applyFont="1" applyAlignment="1">
      <alignment vertical="center"/>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71" fillId="29" borderId="0" xfId="87" applyFont="1" applyFill="1" applyAlignment="1">
      <alignment vertical="center" wrapText="1"/>
    </xf>
    <xf numFmtId="0" fontId="75" fillId="0" borderId="0" xfId="87" applyFont="1" applyAlignment="1">
      <alignment vertical="center"/>
    </xf>
    <xf numFmtId="14" fontId="75" fillId="0" borderId="0" xfId="87" applyNumberFormat="1" applyFont="1" applyAlignment="1">
      <alignment vertical="center"/>
    </xf>
    <xf numFmtId="0" fontId="75" fillId="0" borderId="0" xfId="87" applyFont="1" applyAlignment="1">
      <alignment horizontal="center" vertical="center"/>
    </xf>
    <xf numFmtId="0" fontId="68" fillId="29" borderId="0" xfId="87" applyFont="1" applyFill="1" applyAlignment="1">
      <alignment vertical="center" wrapText="1"/>
    </xf>
    <xf numFmtId="164" fontId="76"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71" fillId="29" borderId="0" xfId="0" applyNumberFormat="1" applyFont="1" applyFill="1" applyAlignment="1">
      <alignment vertical="center"/>
    </xf>
    <xf numFmtId="0" fontId="71"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7"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7"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6"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0" fontId="0" fillId="0" borderId="0" xfId="0" applyFill="1" applyAlignment="1"/>
    <xf numFmtId="14" fontId="34" fillId="0" borderId="16" xfId="77" applyNumberFormat="1" applyFont="1" applyFill="1" applyBorder="1" applyAlignment="1">
      <alignment horizontal="center" vertical="center"/>
    </xf>
    <xf numFmtId="0" fontId="50" fillId="0" borderId="0" xfId="0" applyFont="1" applyFill="1" applyAlignment="1"/>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50" fillId="0" borderId="0" xfId="0" applyFont="1" applyFill="1"/>
    <xf numFmtId="0" fontId="0" fillId="0" borderId="0" xfId="0" applyFill="1" applyAlignment="1">
      <alignment wrapText="1"/>
    </xf>
    <xf numFmtId="0" fontId="50" fillId="0" borderId="0" xfId="0" applyFont="1" applyFill="1" applyAlignment="1">
      <alignment wrapText="1"/>
    </xf>
    <xf numFmtId="0" fontId="52" fillId="0" borderId="0" xfId="0" applyFont="1" applyFill="1"/>
    <xf numFmtId="0" fontId="3" fillId="0" borderId="0" xfId="0" applyFont="1" applyFill="1"/>
    <xf numFmtId="49" fontId="0" fillId="0" borderId="0" xfId="0" applyNumberFormat="1" applyFill="1" applyAlignment="1"/>
    <xf numFmtId="0" fontId="60"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71"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60" fillId="0" borderId="0" xfId="0" applyFont="1" applyAlignment="1">
      <alignment horizontal="center"/>
    </xf>
    <xf numFmtId="0" fontId="34" fillId="0" borderId="21" xfId="55" applyNumberFormat="1" applyFont="1" applyBorder="1" applyAlignment="1">
      <alignment horizontal="left" vertical="center"/>
    </xf>
    <xf numFmtId="0" fontId="79" fillId="0" borderId="0" xfId="0" applyFont="1" applyAlignment="1">
      <alignment horizontal="center"/>
    </xf>
    <xf numFmtId="164" fontId="79"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60"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60" fillId="0" borderId="0" xfId="52" applyFont="1" applyAlignment="1">
      <alignment vertical="center"/>
    </xf>
    <xf numFmtId="0" fontId="60"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80" fillId="0" borderId="0" xfId="77" applyFont="1" applyAlignment="1">
      <alignment horizontal="center" vertical="center"/>
    </xf>
    <xf numFmtId="0" fontId="82"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1"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1" fillId="0" borderId="16" xfId="29" applyNumberFormat="1" applyFont="1" applyFill="1" applyBorder="1" applyAlignment="1">
      <alignment horizontal="left" vertical="center"/>
    </xf>
    <xf numFmtId="0" fontId="33" fillId="0" borderId="0" xfId="87" applyFont="1" applyAlignment="1">
      <alignment horizontal="right" vertical="center"/>
    </xf>
    <xf numFmtId="0" fontId="83"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164" fontId="43" fillId="0" borderId="26"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4"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3" fillId="29" borderId="0" xfId="97" applyFont="1" applyFill="1" applyAlignment="1">
      <alignment vertical="center"/>
    </xf>
    <xf numFmtId="0" fontId="68" fillId="29" borderId="0" xfId="97" applyFont="1" applyFill="1" applyAlignment="1">
      <alignment horizontal="center" vertical="center" wrapText="1"/>
    </xf>
    <xf numFmtId="0" fontId="33" fillId="0" borderId="0" xfId="97" applyFont="1" applyAlignment="1">
      <alignment vertical="center"/>
    </xf>
    <xf numFmtId="164" fontId="85" fillId="0" borderId="0" xfId="54" applyNumberFormat="1" applyFont="1" applyAlignment="1">
      <alignment horizontal="center" vertical="center" wrapText="1"/>
    </xf>
    <xf numFmtId="0" fontId="73" fillId="29" borderId="0" xfId="97" applyFont="1" applyFill="1" applyAlignment="1">
      <alignment horizontal="left" vertical="center"/>
    </xf>
    <xf numFmtId="0" fontId="68" fillId="29" borderId="0" xfId="97" applyFont="1" applyFill="1" applyAlignment="1">
      <alignment horizontal="left" vertical="center" wrapText="1"/>
    </xf>
    <xf numFmtId="164" fontId="86" fillId="0" borderId="0" xfId="54" applyNumberFormat="1" applyFont="1" applyAlignment="1">
      <alignment vertical="center" wrapText="1"/>
    </xf>
    <xf numFmtId="164" fontId="86"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3" fillId="0" borderId="0" xfId="98" applyFont="1" applyAlignment="1">
      <alignment vertical="center"/>
    </xf>
    <xf numFmtId="0" fontId="82" fillId="0" borderId="0" xfId="0" applyFont="1" applyAlignment="1">
      <alignment vertical="center"/>
    </xf>
    <xf numFmtId="0" fontId="87" fillId="0" borderId="0" xfId="0" applyFont="1" applyAlignment="1">
      <alignment vertical="center"/>
    </xf>
    <xf numFmtId="0" fontId="34" fillId="0" borderId="0" xfId="0" applyFont="1" applyAlignment="1">
      <alignment vertical="center"/>
    </xf>
    <xf numFmtId="0" fontId="86"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6"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6"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8" fillId="0" borderId="16" xfId="0" applyFont="1" applyFill="1" applyBorder="1" applyAlignment="1">
      <alignment vertical="center"/>
    </xf>
    <xf numFmtId="0" fontId="88" fillId="0" borderId="16" xfId="0" applyFont="1" applyFill="1" applyBorder="1" applyAlignment="1">
      <alignment horizontal="center" vertical="center"/>
    </xf>
    <xf numFmtId="164" fontId="88" fillId="0" borderId="16" xfId="29" applyNumberFormat="1" applyFont="1" applyFill="1" applyBorder="1" applyAlignment="1">
      <alignment vertical="center"/>
    </xf>
    <xf numFmtId="164" fontId="88" fillId="0" borderId="16" xfId="29" applyNumberFormat="1" applyFont="1" applyBorder="1" applyAlignment="1">
      <alignment vertical="center"/>
    </xf>
    <xf numFmtId="0" fontId="41" fillId="0" borderId="0" xfId="0" applyFont="1" applyAlignment="1">
      <alignment vertical="center"/>
    </xf>
    <xf numFmtId="3" fontId="34" fillId="0" borderId="42" xfId="0" applyNumberFormat="1" applyFont="1" applyBorder="1" applyAlignment="1">
      <alignment horizontal="center"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0" fontId="34" fillId="0" borderId="21" xfId="99" applyFont="1" applyBorder="1" applyAlignment="1">
      <alignment horizontal="center"/>
    </xf>
    <xf numFmtId="173" fontId="34" fillId="0" borderId="21" xfId="29" applyNumberFormat="1" applyFont="1" applyBorder="1" applyAlignment="1">
      <alignment horizontal="center" vertical="center"/>
    </xf>
    <xf numFmtId="0" fontId="34" fillId="0" borderId="16" xfId="99" applyFont="1" applyBorder="1" applyAlignment="1">
      <alignment horizont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3"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7" fillId="0" borderId="0" xfId="80" applyFont="1" applyAlignment="1" applyProtection="1">
      <alignment horizontal="left" vertical="center"/>
      <protection hidden="1"/>
    </xf>
    <xf numFmtId="0" fontId="77" fillId="0" borderId="0" xfId="80" applyFont="1" applyAlignment="1" applyProtection="1">
      <alignment horizontal="center" vertical="center"/>
      <protection hidden="1"/>
    </xf>
    <xf numFmtId="0" fontId="56" fillId="0" borderId="0" xfId="99" applyFont="1"/>
    <xf numFmtId="0" fontId="33" fillId="0" borderId="0" xfId="99" applyFont="1"/>
    <xf numFmtId="0" fontId="33" fillId="0" borderId="0" xfId="99" applyFont="1" applyFill="1" applyBorder="1"/>
    <xf numFmtId="0" fontId="68" fillId="29" borderId="0" xfId="97" applyFont="1" applyFill="1" applyAlignment="1">
      <alignment vertical="top"/>
    </xf>
    <xf numFmtId="0" fontId="68"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8"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6" fillId="0" borderId="22" xfId="99" applyFont="1" applyBorder="1" applyAlignment="1"/>
    <xf numFmtId="0" fontId="56"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7"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6"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60"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7" fillId="0" borderId="0" xfId="0" applyFont="1" applyAlignment="1" applyProtection="1">
      <alignment horizontal="center"/>
      <protection hidden="1"/>
    </xf>
    <xf numFmtId="0" fontId="67" fillId="0" borderId="0" xfId="0" applyNumberFormat="1" applyFont="1" applyProtection="1">
      <protection hidden="1"/>
    </xf>
    <xf numFmtId="14" fontId="67" fillId="0" borderId="0" xfId="0" applyNumberFormat="1" applyFont="1" applyProtection="1">
      <protection hidden="1"/>
    </xf>
    <xf numFmtId="164" fontId="67" fillId="0" borderId="0" xfId="29" applyNumberFormat="1" applyFont="1" applyProtection="1">
      <protection hidden="1"/>
    </xf>
    <xf numFmtId="0" fontId="75" fillId="0" borderId="0" xfId="100" applyFont="1" applyAlignment="1">
      <alignment vertical="center"/>
    </xf>
    <xf numFmtId="0" fontId="75" fillId="0" borderId="0" xfId="100" applyFont="1" applyBorder="1" applyAlignment="1">
      <alignment vertical="center"/>
    </xf>
    <xf numFmtId="14" fontId="75" fillId="0" borderId="0" xfId="100" applyNumberFormat="1" applyFont="1" applyAlignment="1">
      <alignment vertical="center"/>
    </xf>
    <xf numFmtId="0" fontId="92" fillId="0" borderId="0" xfId="100" applyFont="1" applyAlignment="1">
      <alignment vertical="center"/>
    </xf>
    <xf numFmtId="164" fontId="75" fillId="0" borderId="0" xfId="29" applyNumberFormat="1" applyFont="1" applyAlignment="1">
      <alignment vertical="center"/>
    </xf>
    <xf numFmtId="0" fontId="93"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5" fillId="0" borderId="0" xfId="100" applyFont="1" applyBorder="1" applyAlignment="1">
      <alignment horizontal="center" vertical="center"/>
    </xf>
    <xf numFmtId="164" fontId="33" fillId="0" borderId="16" xfId="29" applyNumberFormat="1" applyFont="1" applyBorder="1" applyAlignment="1">
      <alignment vertical="center"/>
    </xf>
    <xf numFmtId="164" fontId="76" fillId="0" borderId="0" xfId="29" applyNumberFormat="1" applyFont="1" applyAlignment="1">
      <alignment vertical="center"/>
    </xf>
    <xf numFmtId="164" fontId="34" fillId="0" borderId="0" xfId="100" applyNumberFormat="1" applyFont="1" applyAlignment="1">
      <alignment vertical="center"/>
    </xf>
    <xf numFmtId="164" fontId="75" fillId="0" borderId="0" xfId="29" applyNumberFormat="1" applyFont="1" applyBorder="1" applyAlignment="1">
      <alignment vertical="center"/>
    </xf>
    <xf numFmtId="164" fontId="75" fillId="0" borderId="0" xfId="100" applyNumberFormat="1" applyFont="1" applyAlignment="1">
      <alignment vertical="center"/>
    </xf>
    <xf numFmtId="164" fontId="60" fillId="0" borderId="0" xfId="29" applyNumberFormat="1" applyFont="1" applyAlignment="1">
      <alignment horizontal="center" vertical="center"/>
    </xf>
    <xf numFmtId="0" fontId="60" fillId="0" borderId="0" xfId="100" applyFont="1" applyAlignment="1">
      <alignment horizontal="center" vertical="center"/>
    </xf>
    <xf numFmtId="0" fontId="76" fillId="0" borderId="0" xfId="100" applyFont="1" applyAlignment="1">
      <alignment horizontal="center" vertical="center"/>
    </xf>
    <xf numFmtId="164" fontId="76" fillId="0" borderId="0" xfId="29" applyNumberFormat="1" applyFont="1" applyAlignment="1">
      <alignment horizontal="center" vertical="center"/>
    </xf>
    <xf numFmtId="0" fontId="79" fillId="0" borderId="0" xfId="100" applyFont="1" applyAlignment="1">
      <alignment horizontal="center" vertical="center"/>
    </xf>
    <xf numFmtId="43" fontId="75" fillId="0" borderId="0" xfId="29" applyFont="1" applyAlignment="1">
      <alignment vertical="center"/>
    </xf>
    <xf numFmtId="164" fontId="79" fillId="0" borderId="0" xfId="29" applyNumberFormat="1" applyFont="1" applyAlignment="1">
      <alignment horizontal="center" vertical="center"/>
    </xf>
    <xf numFmtId="174" fontId="75" fillId="0" borderId="0" xfId="100" applyNumberFormat="1" applyFont="1" applyAlignment="1">
      <alignment horizontal="center" vertical="center"/>
    </xf>
    <xf numFmtId="14" fontId="76"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5"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6" fillId="0" borderId="23" xfId="101" applyFont="1" applyFill="1" applyBorder="1"/>
    <xf numFmtId="175" fontId="96" fillId="0" borderId="23" xfId="29" applyNumberFormat="1" applyFont="1" applyBorder="1"/>
    <xf numFmtId="164" fontId="34" fillId="0" borderId="23" xfId="29" applyNumberFormat="1" applyFont="1" applyFill="1" applyBorder="1"/>
    <xf numFmtId="164" fontId="96" fillId="0" borderId="23" xfId="29" applyNumberFormat="1" applyFont="1" applyFill="1" applyBorder="1"/>
    <xf numFmtId="164" fontId="96" fillId="29" borderId="23" xfId="29" applyNumberFormat="1" applyFont="1" applyFill="1" applyBorder="1" applyAlignment="1">
      <alignment horizontal="right"/>
    </xf>
    <xf numFmtId="164" fontId="34" fillId="0" borderId="16" xfId="29" applyNumberFormat="1" applyFont="1" applyBorder="1"/>
    <xf numFmtId="164" fontId="96" fillId="0" borderId="23" xfId="29" applyNumberFormat="1" applyFont="1" applyBorder="1" applyAlignment="1"/>
    <xf numFmtId="43" fontId="96" fillId="0" borderId="23" xfId="29" applyFont="1" applyFill="1" applyBorder="1"/>
    <xf numFmtId="164" fontId="34" fillId="0" borderId="0" xfId="29" applyNumberFormat="1" applyFont="1" applyFill="1" applyBorder="1" applyAlignment="1">
      <alignment horizontal="left"/>
    </xf>
    <xf numFmtId="0" fontId="96"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6" fillId="0" borderId="19" xfId="101" applyFont="1" applyFill="1" applyBorder="1"/>
    <xf numFmtId="175" fontId="96" fillId="0" borderId="19" xfId="29" applyNumberFormat="1" applyFont="1" applyBorder="1"/>
    <xf numFmtId="164" fontId="96" fillId="0" borderId="19" xfId="29" applyNumberFormat="1" applyFont="1" applyFill="1" applyBorder="1"/>
    <xf numFmtId="164" fontId="96" fillId="29" borderId="19" xfId="29" applyNumberFormat="1" applyFont="1" applyFill="1" applyBorder="1" applyAlignment="1">
      <alignment horizontal="right"/>
    </xf>
    <xf numFmtId="164" fontId="96"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6"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6"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3" fontId="34" fillId="0" borderId="21"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3"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88" fillId="0" borderId="16" xfId="90" applyNumberFormat="1" applyFont="1" applyFill="1" applyBorder="1" applyAlignment="1">
      <alignment horizontal="center" vertical="center"/>
    </xf>
    <xf numFmtId="164" fontId="88" fillId="0" borderId="16" xfId="90" applyNumberFormat="1" applyFont="1" applyFill="1" applyBorder="1" applyAlignment="1">
      <alignment horizontal="left" vertical="center"/>
    </xf>
    <xf numFmtId="164" fontId="88"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64" fontId="95" fillId="0" borderId="16" xfId="54" applyNumberFormat="1" applyFont="1" applyFill="1" applyBorder="1" applyAlignment="1">
      <alignment horizontal="left" vertical="center"/>
    </xf>
    <xf numFmtId="164" fontId="95" fillId="0" borderId="16" xfId="0" applyNumberFormat="1" applyFont="1" applyFill="1" applyBorder="1" applyAlignment="1">
      <alignment vertical="center"/>
    </xf>
    <xf numFmtId="14" fontId="97" fillId="0" borderId="16" xfId="54" applyNumberFormat="1" applyFont="1" applyFill="1" applyBorder="1" applyAlignment="1">
      <alignment horizontal="center" vertical="center"/>
    </xf>
    <xf numFmtId="164" fontId="97" fillId="0" borderId="16" xfId="54" applyNumberFormat="1" applyFont="1" applyFill="1" applyBorder="1" applyAlignment="1">
      <alignment horizontal="left" vertical="center"/>
    </xf>
    <xf numFmtId="0" fontId="88" fillId="0" borderId="16" xfId="90"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95" fillId="0" borderId="16" xfId="54" quotePrefix="1" applyNumberFormat="1" applyFont="1" applyFill="1" applyBorder="1" applyAlignment="1">
      <alignment horizontal="center" vertical="center"/>
    </xf>
    <xf numFmtId="164" fontId="97" fillId="0" borderId="16" xfId="0" applyNumberFormat="1" applyFont="1" applyFill="1" applyBorder="1" applyAlignment="1">
      <alignment vertical="center"/>
    </xf>
    <xf numFmtId="0" fontId="97" fillId="0" borderId="16" xfId="54" quotePrefix="1" applyNumberFormat="1" applyFont="1" applyFill="1" applyBorder="1" applyAlignment="1">
      <alignment horizontal="center" vertical="center"/>
    </xf>
    <xf numFmtId="1" fontId="97" fillId="0" borderId="16" xfId="54" quotePrefix="1" applyNumberFormat="1" applyFont="1" applyFill="1" applyBorder="1" applyAlignment="1">
      <alignment horizontal="center" vertical="center"/>
    </xf>
    <xf numFmtId="1" fontId="97"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164" fontId="34" fillId="0" borderId="21" xfId="74" applyNumberFormat="1" applyFont="1" applyBorder="1" applyAlignment="1">
      <alignment horizontal="center" vertical="center"/>
    </xf>
    <xf numFmtId="43" fontId="34" fillId="0" borderId="21" xfId="74" applyFont="1" applyBorder="1" applyAlignment="1">
      <alignment horizontal="center"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6"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3" fillId="29" borderId="2" xfId="29" applyFont="1" applyFill="1" applyBorder="1" applyAlignment="1">
      <alignment vertical="center" wrapText="1"/>
    </xf>
    <xf numFmtId="43" fontId="34" fillId="0" borderId="16" xfId="29" applyFont="1" applyFill="1" applyBorder="1" applyAlignment="1">
      <alignment vertical="center" wrapText="1"/>
    </xf>
    <xf numFmtId="43" fontId="71"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43" fontId="49" fillId="0" borderId="16" xfId="29"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8" fillId="0" borderId="16" xfId="76" applyNumberFormat="1" applyFont="1" applyFill="1" applyBorder="1" applyAlignment="1">
      <alignment horizontal="left" vertical="center"/>
    </xf>
    <xf numFmtId="164" fontId="88" fillId="0" borderId="16" xfId="29" applyNumberFormat="1" applyFont="1" applyFill="1" applyBorder="1" applyAlignment="1">
      <alignment horizontal="left" vertical="center"/>
    </xf>
    <xf numFmtId="43" fontId="88" fillId="0" borderId="16" xfId="29" applyFont="1" applyFill="1" applyBorder="1" applyAlignment="1">
      <alignment horizontal="left" vertical="center"/>
    </xf>
    <xf numFmtId="43" fontId="88" fillId="0" borderId="16" xfId="29" applyNumberFormat="1" applyFont="1" applyFill="1" applyBorder="1" applyAlignment="1">
      <alignment horizontal="left" vertical="center"/>
    </xf>
    <xf numFmtId="14" fontId="88"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8" fillId="0" borderId="16" xfId="0" quotePrefix="1" applyNumberFormat="1" applyFont="1" applyFill="1" applyBorder="1" applyAlignment="1">
      <alignment horizontal="left" vertical="center"/>
    </xf>
    <xf numFmtId="164" fontId="88" fillId="0" borderId="16" xfId="76" quotePrefix="1" applyNumberFormat="1" applyFont="1" applyFill="1" applyBorder="1" applyAlignment="1">
      <alignment horizontal="left" vertical="center"/>
    </xf>
    <xf numFmtId="164" fontId="95"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1"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3" fontId="34" fillId="0" borderId="21" xfId="46" applyFont="1" applyBorder="1" applyAlignment="1">
      <alignment vertical="center" wrapText="1"/>
    </xf>
    <xf numFmtId="43" fontId="34" fillId="0" borderId="21" xfId="74" applyFont="1" applyBorder="1" applyAlignment="1">
      <alignment vertical="center"/>
    </xf>
    <xf numFmtId="164" fontId="34" fillId="0" borderId="21" xfId="74" applyNumberFormat="1"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91"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8" fillId="0" borderId="2" xfId="95" applyFont="1" applyBorder="1" applyAlignment="1">
      <alignment horizontal="center" vertical="center"/>
    </xf>
    <xf numFmtId="164" fontId="98" fillId="0" borderId="2" xfId="96" applyNumberFormat="1" applyFont="1" applyBorder="1" applyAlignment="1">
      <alignment horizontal="center" vertical="center"/>
    </xf>
    <xf numFmtId="0" fontId="98"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7"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6" fillId="0" borderId="0" xfId="96" applyNumberFormat="1" applyFont="1" applyBorder="1" applyAlignment="1">
      <alignment vertical="center"/>
    </xf>
    <xf numFmtId="0" fontId="77" fillId="0" borderId="0" xfId="95" applyFont="1" applyAlignment="1">
      <alignment vertical="center"/>
    </xf>
    <xf numFmtId="0" fontId="77" fillId="0" borderId="0" xfId="95" applyFont="1" applyAlignment="1">
      <alignment horizontal="center" vertical="center"/>
    </xf>
    <xf numFmtId="164" fontId="99" fillId="0" borderId="0" xfId="96" applyNumberFormat="1" applyFont="1" applyBorder="1" applyAlignment="1">
      <alignment vertical="center"/>
    </xf>
    <xf numFmtId="164" fontId="77"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8" fillId="0" borderId="16" xfId="95" applyFont="1" applyBorder="1" applyAlignment="1">
      <alignment horizontal="center" vertical="center"/>
    </xf>
    <xf numFmtId="0" fontId="34" fillId="0" borderId="16" xfId="95" applyFont="1" applyBorder="1" applyAlignment="1">
      <alignment horizontal="center" vertical="center"/>
    </xf>
    <xf numFmtId="0" fontId="98" fillId="0" borderId="21" xfId="95" applyFont="1" applyBorder="1" applyAlignment="1">
      <alignment horizontal="center" vertical="center"/>
    </xf>
    <xf numFmtId="0" fontId="98" fillId="0" borderId="21" xfId="95" applyFont="1" applyBorder="1" applyAlignment="1">
      <alignment horizontal="left" vertical="center"/>
    </xf>
    <xf numFmtId="0" fontId="98"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8"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8"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7" fillId="0" borderId="0" xfId="95" applyFont="1" applyAlignment="1">
      <alignment horizontal="center" vertical="center"/>
    </xf>
    <xf numFmtId="0" fontId="86" fillId="0" borderId="0" xfId="95" applyFont="1" applyAlignment="1">
      <alignment vertical="center"/>
    </xf>
    <xf numFmtId="0" fontId="100" fillId="0" borderId="0" xfId="95" applyFont="1" applyAlignment="1">
      <alignment vertical="center"/>
    </xf>
    <xf numFmtId="0" fontId="85" fillId="0" borderId="0" xfId="95" applyFont="1" applyAlignment="1">
      <alignment vertical="center" wrapText="1"/>
    </xf>
    <xf numFmtId="0" fontId="101" fillId="0" borderId="0" xfId="95" applyFont="1" applyAlignment="1">
      <alignment vertical="center"/>
    </xf>
    <xf numFmtId="0" fontId="102"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3" fillId="0" borderId="0" xfId="95" applyFont="1" applyAlignment="1">
      <alignment vertical="center"/>
    </xf>
    <xf numFmtId="0" fontId="92"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9" fillId="0" borderId="0" xfId="29" applyNumberFormat="1" applyFont="1" applyAlignment="1">
      <alignment vertical="center"/>
    </xf>
    <xf numFmtId="41" fontId="89"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60" fillId="0" borderId="0" xfId="95" applyFont="1" applyAlignment="1">
      <alignment horizontal="center" vertical="center"/>
    </xf>
    <xf numFmtId="164" fontId="60" fillId="0" borderId="0" xfId="96" applyNumberFormat="1" applyFont="1" applyAlignment="1">
      <alignment horizontal="center" vertical="center"/>
    </xf>
    <xf numFmtId="164" fontId="60"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60" fillId="0" borderId="0" xfId="0" applyFont="1" applyAlignment="1" applyProtection="1">
      <alignment horizontal="center"/>
      <protection hidden="1"/>
    </xf>
    <xf numFmtId="0" fontId="79" fillId="0" borderId="0" xfId="95" applyFont="1" applyAlignment="1">
      <alignment horizontal="center" vertical="center"/>
    </xf>
    <xf numFmtId="164" fontId="79"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0" fontId="88" fillId="0" borderId="16" xfId="77" applyNumberFormat="1" applyFont="1" applyFill="1" applyBorder="1" applyAlignment="1">
      <alignment horizontal="center" vertical="center"/>
    </xf>
    <xf numFmtId="164" fontId="88" fillId="0" borderId="16" xfId="77" applyNumberFormat="1" applyFont="1" applyFill="1" applyBorder="1" applyAlignment="1">
      <alignment vertical="center"/>
    </xf>
    <xf numFmtId="0" fontId="88" fillId="0" borderId="16" xfId="76" quotePrefix="1" applyNumberFormat="1" applyFont="1" applyFill="1" applyBorder="1" applyAlignment="1">
      <alignment horizontal="center" vertical="center"/>
    </xf>
    <xf numFmtId="0" fontId="104" fillId="0" borderId="0" xfId="0" applyFont="1" applyFill="1"/>
    <xf numFmtId="0" fontId="77"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2" fillId="0" borderId="0" xfId="100" applyFont="1" applyAlignment="1">
      <alignment vertical="center" wrapText="1"/>
    </xf>
    <xf numFmtId="0" fontId="75"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6" fillId="0" borderId="0" xfId="29" applyNumberFormat="1" applyFont="1" applyAlignment="1">
      <alignment vertical="center" wrapText="1"/>
    </xf>
    <xf numFmtId="164" fontId="75" fillId="0" borderId="0" xfId="100" applyNumberFormat="1" applyFont="1" applyAlignment="1">
      <alignment vertical="center" wrapText="1"/>
    </xf>
    <xf numFmtId="43" fontId="75" fillId="0" borderId="0" xfId="29" applyFont="1" applyAlignment="1">
      <alignment horizontal="center" vertical="center" wrapText="1"/>
    </xf>
    <xf numFmtId="0" fontId="0" fillId="0" borderId="0" xfId="0" applyAlignment="1">
      <alignment wrapText="1"/>
    </xf>
    <xf numFmtId="0" fontId="51" fillId="0" borderId="16" xfId="77" applyNumberFormat="1" applyFont="1" applyFill="1" applyBorder="1" applyAlignment="1">
      <alignment horizontal="center" vertical="center"/>
    </xf>
    <xf numFmtId="14" fontId="51" fillId="0" borderId="16" xfId="90" applyNumberFormat="1" applyFont="1" applyFill="1" applyBorder="1" applyAlignment="1">
      <alignment horizontal="center" vertical="center"/>
    </xf>
    <xf numFmtId="0" fontId="3" fillId="0" borderId="0" xfId="0" applyFont="1" applyFill="1" applyAlignment="1"/>
    <xf numFmtId="164" fontId="34" fillId="0" borderId="0" xfId="87" applyNumberFormat="1" applyFont="1" applyFill="1" applyAlignment="1">
      <alignment vertical="center"/>
    </xf>
    <xf numFmtId="164" fontId="51"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71"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0" fontId="104" fillId="0" borderId="0" xfId="0" applyFont="1" applyFill="1" applyAlignment="1"/>
    <xf numFmtId="164" fontId="34" fillId="0" borderId="16" xfId="77" quotePrefix="1" applyNumberFormat="1" applyFont="1" applyFill="1" applyBorder="1" applyAlignment="1">
      <alignment vertical="center"/>
    </xf>
    <xf numFmtId="0" fontId="105" fillId="0" borderId="16" xfId="77" applyNumberFormat="1" applyFont="1" applyFill="1" applyBorder="1" applyAlignment="1">
      <alignment horizontal="center" vertical="center"/>
    </xf>
    <xf numFmtId="14" fontId="105" fillId="0" borderId="16" xfId="76" applyNumberFormat="1" applyFont="1" applyFill="1" applyBorder="1" applyAlignment="1">
      <alignment horizontal="center" vertical="center"/>
    </xf>
    <xf numFmtId="49" fontId="105" fillId="0" borderId="16" xfId="76" applyNumberFormat="1" applyFont="1" applyFill="1" applyBorder="1" applyAlignment="1">
      <alignment horizontal="left" vertical="center"/>
    </xf>
    <xf numFmtId="164" fontId="105" fillId="0" borderId="16" xfId="76" applyNumberFormat="1" applyFont="1" applyFill="1" applyBorder="1" applyAlignment="1">
      <alignment horizontal="left" vertical="center"/>
    </xf>
    <xf numFmtId="164" fontId="105" fillId="0" borderId="16" xfId="29" applyNumberFormat="1" applyFont="1" applyFill="1" applyBorder="1" applyAlignment="1">
      <alignment horizontal="left" vertical="center"/>
    </xf>
    <xf numFmtId="43" fontId="105" fillId="0" borderId="16" xfId="29" applyFont="1" applyFill="1" applyBorder="1" applyAlignment="1">
      <alignment horizontal="left" vertical="center"/>
    </xf>
    <xf numFmtId="164" fontId="105" fillId="0" borderId="16" xfId="77" applyNumberFormat="1" applyFont="1" applyFill="1" applyBorder="1" applyAlignment="1">
      <alignment vertical="center"/>
    </xf>
    <xf numFmtId="0" fontId="105" fillId="0" borderId="16" xfId="76" quotePrefix="1" applyNumberFormat="1" applyFont="1" applyFill="1" applyBorder="1" applyAlignment="1">
      <alignment horizontal="center" vertical="center"/>
    </xf>
    <xf numFmtId="0" fontId="106" fillId="0" borderId="0" xfId="0" applyFont="1" applyFill="1"/>
    <xf numFmtId="0" fontId="52" fillId="0" borderId="0" xfId="0" applyFont="1" applyFill="1" applyAlignment="1"/>
    <xf numFmtId="0" fontId="0" fillId="0" borderId="0" xfId="0" applyFont="1" applyFill="1"/>
    <xf numFmtId="164" fontId="88"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0" fontId="49" fillId="0" borderId="16" xfId="0" applyFont="1" applyFill="1" applyBorder="1" applyAlignment="1">
      <alignment horizont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164" fontId="3" fillId="0" borderId="0" xfId="0" applyNumberFormat="1" applyFont="1" applyFill="1"/>
    <xf numFmtId="43" fontId="104" fillId="0" borderId="0" xfId="0" applyNumberFormat="1" applyFont="1" applyFill="1" applyAlignment="1"/>
    <xf numFmtId="0" fontId="49" fillId="0" borderId="16" xfId="0" applyFont="1" applyFill="1" applyBorder="1" applyAlignment="1">
      <alignment vertical="center"/>
    </xf>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1" fillId="0" borderId="16" xfId="29" quotePrefix="1" applyNumberFormat="1" applyFont="1" applyFill="1" applyBorder="1" applyAlignment="1">
      <alignment horizontal="left" vertical="center"/>
    </xf>
    <xf numFmtId="164" fontId="51" fillId="0" borderId="16" xfId="29" applyNumberFormat="1" applyFont="1" applyFill="1" applyBorder="1" applyAlignment="1">
      <alignment vertical="center"/>
    </xf>
    <xf numFmtId="43" fontId="51" fillId="0" borderId="16" xfId="29" applyFont="1" applyFill="1" applyBorder="1" applyAlignment="1">
      <alignment vertical="center"/>
    </xf>
    <xf numFmtId="1" fontId="51"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164" fontId="0" fillId="0" borderId="0" xfId="29" applyNumberFormat="1" applyFont="1" applyFill="1" applyAlignment="1">
      <alignment horizontal="left"/>
    </xf>
    <xf numFmtId="43" fontId="0" fillId="0" borderId="0" xfId="29" applyFont="1" applyFill="1"/>
    <xf numFmtId="0" fontId="34" fillId="25" borderId="16" xfId="0" applyFont="1" applyFill="1" applyBorder="1" applyAlignment="1">
      <alignment horizontal="center"/>
    </xf>
    <xf numFmtId="0" fontId="34" fillId="25" borderId="16" xfId="77" applyNumberFormat="1" applyFont="1" applyFill="1" applyBorder="1" applyAlignment="1">
      <alignment horizontal="center" vertical="center"/>
    </xf>
    <xf numFmtId="14" fontId="49" fillId="25" borderId="16" xfId="76" applyNumberFormat="1" applyFont="1" applyFill="1" applyBorder="1" applyAlignment="1">
      <alignment horizontal="center" vertical="center"/>
    </xf>
    <xf numFmtId="164" fontId="49" fillId="25" borderId="16" xfId="76" applyNumberFormat="1" applyFont="1" applyFill="1" applyBorder="1" applyAlignment="1">
      <alignment horizontal="left" vertical="center"/>
    </xf>
    <xf numFmtId="49" fontId="49" fillId="25" borderId="16" xfId="76" applyNumberFormat="1" applyFont="1" applyFill="1" applyBorder="1" applyAlignment="1">
      <alignment horizontal="left" vertical="center"/>
    </xf>
    <xf numFmtId="164" fontId="49" fillId="25" borderId="16" xfId="29" applyNumberFormat="1" applyFont="1" applyFill="1" applyBorder="1" applyAlignment="1">
      <alignment horizontal="left" vertical="center"/>
    </xf>
    <xf numFmtId="164" fontId="49" fillId="25" borderId="16" xfId="77" applyNumberFormat="1" applyFont="1" applyFill="1" applyBorder="1" applyAlignment="1">
      <alignment vertical="center"/>
    </xf>
    <xf numFmtId="0" fontId="49" fillId="25" borderId="16" xfId="76" quotePrefix="1" applyNumberFormat="1" applyFont="1" applyFill="1" applyBorder="1" applyAlignment="1">
      <alignment horizontal="center" vertical="center"/>
    </xf>
    <xf numFmtId="43" fontId="49" fillId="25" borderId="16" xfId="29" applyFont="1" applyFill="1" applyBorder="1" applyAlignment="1">
      <alignment horizontal="left" vertical="center"/>
    </xf>
    <xf numFmtId="1" fontId="49" fillId="25" borderId="16" xfId="76" quotePrefix="1" applyNumberFormat="1" applyFont="1" applyFill="1" applyBorder="1" applyAlignment="1">
      <alignment horizontal="center" vertical="center"/>
    </xf>
    <xf numFmtId="0" fontId="0" fillId="25" borderId="0" xfId="0" applyFill="1" applyAlignment="1"/>
    <xf numFmtId="3" fontId="41" fillId="0" borderId="16" xfId="46" applyFont="1" applyBorder="1" applyAlignment="1">
      <alignment vertical="center"/>
    </xf>
    <xf numFmtId="43" fontId="34" fillId="0" borderId="0" xfId="29" applyNumberFormat="1" applyFont="1" applyBorder="1" applyAlignment="1">
      <alignment horizontal="center"/>
    </xf>
    <xf numFmtId="43" fontId="39" fillId="0" borderId="2" xfId="29" applyFont="1" applyBorder="1"/>
    <xf numFmtId="164" fontId="0" fillId="0" borderId="0" xfId="29" applyNumberFormat="1" applyFont="1" applyFill="1"/>
    <xf numFmtId="0" fontId="88" fillId="0" borderId="16" xfId="0" applyFont="1" applyFill="1" applyBorder="1" applyAlignment="1">
      <alignment horizontal="center"/>
    </xf>
    <xf numFmtId="49" fontId="49" fillId="0" borderId="16" xfId="77" applyNumberFormat="1" applyFont="1" applyFill="1" applyBorder="1" applyAlignment="1">
      <alignment vertical="center"/>
    </xf>
    <xf numFmtId="49" fontId="88" fillId="0" borderId="16" xfId="90" applyNumberFormat="1" applyFont="1" applyFill="1" applyBorder="1" applyAlignment="1">
      <alignment horizontal="lef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64" fontId="34" fillId="25" borderId="0" xfId="29" applyNumberFormat="1" applyFont="1" applyFill="1"/>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0" fontId="45" fillId="0" borderId="0" xfId="76" applyFont="1" applyFill="1" applyAlignment="1">
      <alignment horizontal="center" vertical="center"/>
    </xf>
    <xf numFmtId="0" fontId="36" fillId="0" borderId="0" xfId="76" applyFont="1" applyFill="1" applyAlignment="1">
      <alignment horizontal="center" vertical="center"/>
    </xf>
    <xf numFmtId="0" fontId="34" fillId="0" borderId="2" xfId="76" applyFont="1" applyFill="1" applyBorder="1" applyAlignment="1">
      <alignment horizontal="center" vertical="center" wrapText="1"/>
    </xf>
    <xf numFmtId="0" fontId="34" fillId="0" borderId="5"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60" fillId="0" borderId="0" xfId="0" applyFont="1" applyAlignment="1">
      <alignment horizont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8"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70" fillId="0" borderId="0" xfId="87" applyFont="1" applyAlignment="1">
      <alignment horizontal="center" vertical="center" wrapText="1"/>
    </xf>
    <xf numFmtId="0" fontId="33" fillId="0" borderId="0" xfId="87" applyFont="1" applyAlignment="1">
      <alignment horizontal="center" vertical="center"/>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71" fillId="29" borderId="36" xfId="87" applyFont="1" applyFill="1" applyBorder="1" applyAlignment="1">
      <alignment horizontal="center" vertical="center" wrapText="1"/>
    </xf>
    <xf numFmtId="0" fontId="71" fillId="29" borderId="38" xfId="87" applyFont="1" applyFill="1" applyBorder="1" applyAlignment="1">
      <alignment horizontal="center" vertical="center" wrapText="1"/>
    </xf>
    <xf numFmtId="14" fontId="71" fillId="29" borderId="17" xfId="87" applyNumberFormat="1" applyFont="1" applyFill="1" applyBorder="1" applyAlignment="1">
      <alignment horizontal="center" vertical="center" wrapText="1"/>
    </xf>
    <xf numFmtId="14" fontId="71"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9" fillId="21" borderId="2" xfId="34" applyFont="1" applyBorder="1" applyAlignment="1">
      <alignment horizontal="center" vertical="center" wrapText="1"/>
    </xf>
    <xf numFmtId="0" fontId="38" fillId="0" borderId="22" xfId="58" applyFont="1" applyBorder="1" applyAlignment="1">
      <alignment horizontal="center" vertical="center"/>
    </xf>
    <xf numFmtId="0" fontId="39" fillId="21" borderId="2" xfId="53" applyFont="1" applyFill="1" applyBorder="1" applyAlignment="1">
      <alignment horizontal="center" vertical="center"/>
    </xf>
    <xf numFmtId="0" fontId="33" fillId="0" borderId="24" xfId="52" applyFont="1" applyBorder="1" applyAlignment="1">
      <alignment horizontal="center" vertical="center"/>
    </xf>
    <xf numFmtId="0" fontId="55" fillId="0" borderId="5" xfId="77" applyFont="1" applyBorder="1" applyAlignment="1">
      <alignment vertical="center"/>
    </xf>
    <xf numFmtId="0" fontId="55"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7"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7"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82" fillId="0" borderId="22" xfId="0" applyFont="1" applyBorder="1" applyAlignment="1">
      <alignment horizontal="center" vertical="center"/>
    </xf>
    <xf numFmtId="0" fontId="33" fillId="0" borderId="0" xfId="99" applyFont="1" applyAlignment="1" applyProtection="1">
      <alignment horizontal="center"/>
      <protection hidden="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64" fontId="60"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9"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75" fillId="0" borderId="0" xfId="100" applyFont="1" applyAlignment="1">
      <alignment horizontal="center" vertical="center"/>
    </xf>
    <xf numFmtId="0" fontId="75" fillId="0" borderId="0" xfId="100" applyFont="1" applyAlignment="1">
      <alignment horizontal="left" vertical="center" wrapText="1"/>
    </xf>
    <xf numFmtId="0" fontId="75"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91"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9"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9" fillId="0" borderId="0" xfId="78" applyFont="1" applyAlignment="1">
      <alignment horizontal="center" vertical="center"/>
    </xf>
    <xf numFmtId="0" fontId="89"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7" fillId="0" borderId="0" xfId="95" applyFont="1" applyAlignment="1">
      <alignment horizontal="center" vertical="center"/>
    </xf>
    <xf numFmtId="164" fontId="77"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0" fontId="81"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cellXfs>
  <cellStyles count="10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ser%201\Downloads\152%20-%20155%20-%2016.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69">
          <cell r="G69">
            <v>44151443527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NXT"/>
      <sheetName val="IN-NX"/>
      <sheetName val="TH"/>
      <sheetName val="SO CT"/>
      <sheetName val="THE KHO"/>
      <sheetName val="BANG KE NL"/>
      <sheetName val="BTGT"/>
      <sheetName val="THEGT"/>
    </sheetNames>
    <sheetDataSet>
      <sheetData sheetId="0">
        <row r="61">
          <cell r="Q61" t="str">
            <v>Khô cá cơm TP</v>
          </cell>
          <cell r="S61">
            <v>4.5</v>
          </cell>
        </row>
        <row r="62">
          <cell r="Q62" t="str">
            <v>Khô cá ngân TP</v>
          </cell>
          <cell r="S62">
            <v>5</v>
          </cell>
        </row>
        <row r="63">
          <cell r="Q63" t="str">
            <v>Khô cá chỉ vàng TP</v>
          </cell>
          <cell r="S63">
            <v>5</v>
          </cell>
        </row>
        <row r="64">
          <cell r="Q64" t="str">
            <v>Cá đù TP</v>
          </cell>
          <cell r="S64">
            <v>5</v>
          </cell>
        </row>
        <row r="65">
          <cell r="Q65" t="str">
            <v>Mực TP</v>
          </cell>
        </row>
        <row r="66">
          <cell r="Q66" t="str">
            <v>Cá mai tẩm TP</v>
          </cell>
          <cell r="S66">
            <v>8</v>
          </cell>
        </row>
        <row r="67">
          <cell r="Q67" t="str">
            <v>Khô cá mai TP</v>
          </cell>
          <cell r="S67">
            <v>9</v>
          </cell>
        </row>
        <row r="68">
          <cell r="Q68" t="str">
            <v>Ghẹ khô 8kg/thùng TP</v>
          </cell>
          <cell r="S68">
            <v>8</v>
          </cell>
        </row>
        <row r="69">
          <cell r="Q69" t="str">
            <v>Ghẹ khô tẩm TP</v>
          </cell>
          <cell r="S69">
            <v>8</v>
          </cell>
        </row>
        <row r="70">
          <cell r="Q70" t="str">
            <v>Cá chỉ vàng (12kg/bó) (40g)</v>
          </cell>
          <cell r="S70">
            <v>5</v>
          </cell>
        </row>
        <row r="71">
          <cell r="Q71" t="str">
            <v>Cá chỉ vàng (10.8kg/bó) (90g)</v>
          </cell>
          <cell r="S71">
            <v>5</v>
          </cell>
        </row>
        <row r="72">
          <cell r="Q72" t="str">
            <v>Cá chỉ vàng (10kg/bó) (1kg)</v>
          </cell>
          <cell r="S72">
            <v>5</v>
          </cell>
        </row>
        <row r="73">
          <cell r="Q73" t="str">
            <v>Cá cơm (9kg/bó) (25g)</v>
          </cell>
          <cell r="S73">
            <v>4.5</v>
          </cell>
        </row>
        <row r="74">
          <cell r="Q74" t="str">
            <v>Cá cơm (10kg/bó) (1kg)</v>
          </cell>
          <cell r="S74">
            <v>4.5</v>
          </cell>
        </row>
        <row r="75">
          <cell r="Q75" t="str">
            <v>Cá bò khô tẩm TP</v>
          </cell>
          <cell r="S75">
            <v>11</v>
          </cell>
        </row>
        <row r="76">
          <cell r="Q76" t="str">
            <v>Cá bò khô tẩm B TP</v>
          </cell>
          <cell r="S76">
            <v>11</v>
          </cell>
        </row>
        <row r="77">
          <cell r="Q77" t="str">
            <v>Cá nục TP</v>
          </cell>
          <cell r="S77">
            <v>4.4000000000000004</v>
          </cell>
        </row>
        <row r="78">
          <cell r="Q78" t="str">
            <v>Khô cá cơm B TP</v>
          </cell>
          <cell r="S78">
            <v>4.5</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10" activePane="bottomLeft" state="frozen"/>
      <selection activeCell="A7" sqref="A7"/>
      <selection pane="bottomLeft" activeCell="H16" sqref="H16"/>
    </sheetView>
  </sheetViews>
  <sheetFormatPr defaultColWidth="8" defaultRowHeight="13.5"/>
  <cols>
    <col min="1" max="1" width="7.42578125" style="33" customWidth="1"/>
    <col min="2" max="2" width="35.42578125" style="33" customWidth="1"/>
    <col min="3" max="3" width="14.140625" style="32" customWidth="1"/>
    <col min="4" max="4" width="13.5703125" style="32" customWidth="1"/>
    <col min="5" max="5" width="14.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9.5">
      <c r="A5" s="34" t="s">
        <v>54</v>
      </c>
      <c r="B5" s="34"/>
      <c r="C5" s="35"/>
      <c r="D5" s="35"/>
      <c r="E5" s="34"/>
      <c r="F5" s="34"/>
      <c r="G5" s="34"/>
      <c r="H5" s="34"/>
    </row>
    <row r="6" spans="1:12" ht="19.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43">
        <f t="array" ref="E10">SUM(IF(A10=KHN,TH))</f>
        <v>41000870000</v>
      </c>
      <c r="F10" s="43">
        <f t="array" ref="F10">SUM(IF(A10=KHC,TH))</f>
        <v>43553277862</v>
      </c>
      <c r="G10" s="44">
        <f>MAX(C10+E10-D10-F10,0)</f>
        <v>1152631233</v>
      </c>
      <c r="H10" s="44">
        <f>MAX(D10+F10-E10-C10,0)</f>
        <v>0</v>
      </c>
      <c r="K10" s="45"/>
      <c r="L10" s="45"/>
    </row>
    <row r="11" spans="1:12" s="32" customFormat="1">
      <c r="A11" s="46" t="s">
        <v>18</v>
      </c>
      <c r="B11" s="47" t="s">
        <v>65</v>
      </c>
      <c r="C11" s="48">
        <v>3705039095</v>
      </c>
      <c r="D11" s="48">
        <v>0</v>
      </c>
      <c r="E11" s="48">
        <f>E10</f>
        <v>41000870000</v>
      </c>
      <c r="F11" s="48">
        <f>F10</f>
        <v>43553277862</v>
      </c>
      <c r="G11" s="48">
        <f>G10</f>
        <v>1152631233</v>
      </c>
      <c r="H11" s="48">
        <f>H10</f>
        <v>0</v>
      </c>
    </row>
    <row r="12" spans="1:12" s="32" customFormat="1">
      <c r="A12" s="49" t="s">
        <v>26</v>
      </c>
      <c r="B12" s="42" t="s">
        <v>66</v>
      </c>
      <c r="C12" s="43">
        <v>19829295</v>
      </c>
      <c r="D12" s="43">
        <v>0</v>
      </c>
      <c r="E12" s="43">
        <f t="array" ref="E12">SUM(IF(A12=KHN,TH))</f>
        <v>76035243283</v>
      </c>
      <c r="F12" s="43">
        <f t="array" ref="F12">SUM(IF(A12=KHC,TH))</f>
        <v>75910355487</v>
      </c>
      <c r="G12" s="44">
        <f>MAX(C12+E12-D12-F12,0)</f>
        <v>144717091</v>
      </c>
      <c r="H12" s="44">
        <f>MAX(D12+F12-E12-C12,0)</f>
        <v>0</v>
      </c>
      <c r="K12" s="45"/>
      <c r="L12" s="45"/>
    </row>
    <row r="13" spans="1:12" s="32" customFormat="1">
      <c r="A13" s="49" t="s">
        <v>266</v>
      </c>
      <c r="B13" s="42" t="s">
        <v>267</v>
      </c>
      <c r="C13" s="43">
        <v>2236796790</v>
      </c>
      <c r="D13" s="43">
        <v>0</v>
      </c>
      <c r="E13" s="43">
        <f t="array" ref="E13">SUM(IF(A13=KHN,TH))</f>
        <v>84968526254.399994</v>
      </c>
      <c r="F13" s="43">
        <f t="array" ref="F13">SUM(IF(A13=KHC,TH))</f>
        <v>87192082513</v>
      </c>
      <c r="G13" s="44">
        <f>MAX(C13+E13-D13-F13,0)</f>
        <v>13240531.399993896</v>
      </c>
      <c r="H13" s="44">
        <f>MAX(D13+F13-E13-C13,0)</f>
        <v>0</v>
      </c>
      <c r="K13" s="45"/>
      <c r="L13" s="45"/>
    </row>
    <row r="14" spans="1:12" s="32" customFormat="1">
      <c r="A14" s="46" t="s">
        <v>67</v>
      </c>
      <c r="B14" s="47" t="s">
        <v>68</v>
      </c>
      <c r="C14" s="48">
        <v>2256626085</v>
      </c>
      <c r="D14" s="48">
        <v>0</v>
      </c>
      <c r="E14" s="48">
        <f>E12+E13</f>
        <v>161003769537.39999</v>
      </c>
      <c r="F14" s="48">
        <f>F12+F13</f>
        <v>163102438000</v>
      </c>
      <c r="G14" s="48">
        <f>G12+G13</f>
        <v>157957622.3999939</v>
      </c>
      <c r="H14" s="48">
        <f>H12+H13</f>
        <v>0</v>
      </c>
    </row>
    <row r="15" spans="1:12" s="32" customFormat="1">
      <c r="A15" s="46" t="s">
        <v>588</v>
      </c>
      <c r="B15" s="47" t="s">
        <v>867</v>
      </c>
      <c r="C15" s="48">
        <v>3343381600</v>
      </c>
      <c r="D15" s="48">
        <v>0</v>
      </c>
      <c r="E15" s="86">
        <f t="array" ref="E15">SUM(IF(A15=KHN,TH))</f>
        <v>29444020612</v>
      </c>
      <c r="F15" s="86">
        <f t="array" ref="F15">SUM(IF(A15=KHC,TH))</f>
        <v>24926850694</v>
      </c>
      <c r="G15" s="48">
        <f>MAX(C15+E15-D15-F15,0)</f>
        <v>7860551518</v>
      </c>
      <c r="H15" s="48">
        <f>MAX(D15+F15-E15-C15,0)</f>
        <v>0</v>
      </c>
    </row>
    <row r="16" spans="1:12" s="32" customFormat="1">
      <c r="A16" s="49" t="s">
        <v>9</v>
      </c>
      <c r="B16" s="42" t="s">
        <v>69</v>
      </c>
      <c r="C16" s="43">
        <v>162420936</v>
      </c>
      <c r="D16" s="43">
        <v>0</v>
      </c>
      <c r="E16" s="43">
        <f t="array" ref="E16">SUM(IF(A16=KHN,TH))</f>
        <v>216041107</v>
      </c>
      <c r="F16" s="43">
        <f t="array" ref="F16">SUM(IF(A16=KHC,TH))</f>
        <v>378385793</v>
      </c>
      <c r="G16" s="44">
        <f>MAX(C16+E16-D16-F16,0)</f>
        <v>76250</v>
      </c>
      <c r="H16" s="44">
        <f>MAX(D16+F16-E16-C16,0)</f>
        <v>0</v>
      </c>
    </row>
    <row r="17" spans="1:8" s="32" customFormat="1">
      <c r="A17" s="46" t="s">
        <v>70</v>
      </c>
      <c r="B17" s="47" t="s">
        <v>71</v>
      </c>
      <c r="C17" s="48">
        <v>162420936</v>
      </c>
      <c r="D17" s="48">
        <v>0</v>
      </c>
      <c r="E17" s="48">
        <f>E16</f>
        <v>216041107</v>
      </c>
      <c r="F17" s="48">
        <f>F16</f>
        <v>378385793</v>
      </c>
      <c r="G17" s="48">
        <f>G16</f>
        <v>76250</v>
      </c>
      <c r="H17" s="48">
        <f>H16</f>
        <v>0</v>
      </c>
    </row>
    <row r="18" spans="1:8" s="32" customFormat="1">
      <c r="A18" s="49" t="s">
        <v>72</v>
      </c>
      <c r="B18" s="42" t="s">
        <v>73</v>
      </c>
      <c r="C18" s="43">
        <v>1500000000</v>
      </c>
      <c r="D18" s="43">
        <v>0</v>
      </c>
      <c r="E18" s="43">
        <f t="array" ref="E18">SUM(IF(A18=KHN,TH))</f>
        <v>2889158412</v>
      </c>
      <c r="F18" s="43">
        <f t="array" ref="F18">SUM(IF(A18=KHC,TH))</f>
        <v>514158412</v>
      </c>
      <c r="G18" s="44">
        <f t="shared" ref="G18:G44" si="0">MAX(C18+E18-D18-F18,0)</f>
        <v>3875000000</v>
      </c>
      <c r="H18" s="44">
        <f t="shared" ref="H18:H44" si="1">MAX(D18+F18-E18-C18,0)</f>
        <v>0</v>
      </c>
    </row>
    <row r="19" spans="1:8" s="32" customFormat="1">
      <c r="A19" s="46" t="s">
        <v>74</v>
      </c>
      <c r="B19" s="47" t="s">
        <v>75</v>
      </c>
      <c r="C19" s="48">
        <v>1500000000</v>
      </c>
      <c r="D19" s="48">
        <v>0</v>
      </c>
      <c r="E19" s="48">
        <f>E18</f>
        <v>2889158412</v>
      </c>
      <c r="F19" s="48">
        <f>F18</f>
        <v>514158412</v>
      </c>
      <c r="G19" s="48">
        <f t="shared" si="0"/>
        <v>3875000000</v>
      </c>
      <c r="H19" s="48">
        <f t="shared" si="1"/>
        <v>0</v>
      </c>
    </row>
    <row r="20" spans="1:8" s="32" customFormat="1">
      <c r="A20" s="46" t="s">
        <v>272</v>
      </c>
      <c r="B20" s="47" t="s">
        <v>273</v>
      </c>
      <c r="C20" s="48"/>
      <c r="D20" s="48">
        <v>0</v>
      </c>
      <c r="E20" s="86">
        <f t="array" ref="E20">SUM(IF(A20=KHN,TH))</f>
        <v>3700000000</v>
      </c>
      <c r="F20" s="86">
        <f t="array" ref="F20">SUM(IF(A20=KHC,TH))</f>
        <v>3656600000</v>
      </c>
      <c r="G20" s="48">
        <f t="shared" si="0"/>
        <v>43400000</v>
      </c>
      <c r="H20" s="48">
        <f t="shared" si="1"/>
        <v>0</v>
      </c>
    </row>
    <row r="21" spans="1:8" s="32" customFormat="1">
      <c r="A21" s="49" t="s">
        <v>274</v>
      </c>
      <c r="B21" s="42" t="s">
        <v>275</v>
      </c>
      <c r="C21" s="43">
        <v>2772400000</v>
      </c>
      <c r="D21" s="43">
        <v>0</v>
      </c>
      <c r="E21" s="43">
        <f t="array" ref="E21">SUM(IF(A21=KHN,TH))</f>
        <v>25778042000</v>
      </c>
      <c r="F21" s="43">
        <f t="array" ref="F21">SUM(IF(A21=KHC,TH))</f>
        <v>25546812000</v>
      </c>
      <c r="G21" s="44">
        <f t="shared" si="0"/>
        <v>3003630000</v>
      </c>
      <c r="H21" s="44">
        <f t="shared" si="1"/>
        <v>0</v>
      </c>
    </row>
    <row r="22" spans="1:8" s="32" customFormat="1">
      <c r="A22" s="49" t="s">
        <v>276</v>
      </c>
      <c r="B22" s="42" t="s">
        <v>277</v>
      </c>
      <c r="C22" s="43">
        <v>526519887</v>
      </c>
      <c r="D22" s="43">
        <v>0</v>
      </c>
      <c r="E22" s="43">
        <f t="array" ref="E22">SUM(IF(A22=KHN,TH))</f>
        <v>800442354</v>
      </c>
      <c r="F22" s="43">
        <f t="array" ref="F22">SUM(IF(A22=KHC,TH))</f>
        <v>902614931</v>
      </c>
      <c r="G22" s="43">
        <f t="shared" si="0"/>
        <v>424347310</v>
      </c>
      <c r="H22" s="43">
        <f t="shared" si="1"/>
        <v>0</v>
      </c>
    </row>
    <row r="23" spans="1:8" s="32" customFormat="1">
      <c r="A23" s="46" t="s">
        <v>278</v>
      </c>
      <c r="B23" s="47" t="s">
        <v>279</v>
      </c>
      <c r="C23" s="48">
        <f>C21+C22</f>
        <v>3298919887</v>
      </c>
      <c r="D23" s="48">
        <f>D21+D22</f>
        <v>0</v>
      </c>
      <c r="E23" s="48">
        <f>E21+E22</f>
        <v>26578484354</v>
      </c>
      <c r="F23" s="48">
        <f>F21+F22</f>
        <v>26449426931</v>
      </c>
      <c r="G23" s="48">
        <f t="shared" si="0"/>
        <v>3427977310</v>
      </c>
      <c r="H23" s="48">
        <f t="shared" si="1"/>
        <v>0</v>
      </c>
    </row>
    <row r="24" spans="1:8" s="32" customFormat="1">
      <c r="A24" s="46" t="s">
        <v>280</v>
      </c>
      <c r="B24" s="47" t="s">
        <v>281</v>
      </c>
      <c r="C24" s="48"/>
      <c r="D24" s="48">
        <v>0</v>
      </c>
      <c r="E24" s="86">
        <f t="array" ref="E24">SUM(IF(A24=KHN,TH))</f>
        <v>0</v>
      </c>
      <c r="F24" s="86">
        <f t="array" ref="F24">SUM(IF(A24=KHC,TH))</f>
        <v>0</v>
      </c>
      <c r="G24" s="48">
        <f t="shared" si="0"/>
        <v>0</v>
      </c>
      <c r="H24" s="48">
        <f t="shared" si="1"/>
        <v>0</v>
      </c>
    </row>
    <row r="25" spans="1:8" s="32" customFormat="1">
      <c r="A25" s="46" t="s">
        <v>282</v>
      </c>
      <c r="B25" s="47" t="s">
        <v>283</v>
      </c>
      <c r="C25" s="48"/>
      <c r="D25" s="48">
        <v>0</v>
      </c>
      <c r="E25" s="86">
        <f t="array" ref="E25">SUM(IF(A25=KHN,TH))</f>
        <v>32053691803</v>
      </c>
      <c r="F25" s="86">
        <f t="array" ref="F25">SUM(IF(A25=KHC,TH))</f>
        <v>32528691803</v>
      </c>
      <c r="G25" s="48">
        <f t="shared" si="0"/>
        <v>0</v>
      </c>
      <c r="H25" s="48">
        <f t="shared" si="1"/>
        <v>475000000</v>
      </c>
    </row>
    <row r="26" spans="1:8" s="32" customFormat="1">
      <c r="A26" s="46" t="s">
        <v>284</v>
      </c>
      <c r="B26" s="47" t="s">
        <v>285</v>
      </c>
      <c r="C26" s="48">
        <v>9386323824</v>
      </c>
      <c r="D26" s="48">
        <v>0</v>
      </c>
      <c r="E26" s="86">
        <f t="array" ref="E26">SUM(IF(A26=KHN,TH))</f>
        <v>32528691803</v>
      </c>
      <c r="F26" s="86">
        <f t="array" ref="F26">SUM(IF(A26=KHC,TH))</f>
        <v>28920948028</v>
      </c>
      <c r="G26" s="48">
        <f t="shared" si="0"/>
        <v>12994067599</v>
      </c>
      <c r="H26" s="48">
        <f t="shared" si="1"/>
        <v>0</v>
      </c>
    </row>
    <row r="27" spans="1:8" s="32" customFormat="1">
      <c r="A27" s="451" t="s">
        <v>286</v>
      </c>
      <c r="B27" s="452" t="s">
        <v>287</v>
      </c>
      <c r="C27" s="453">
        <v>7490743648</v>
      </c>
      <c r="D27" s="453">
        <v>0</v>
      </c>
      <c r="E27" s="43">
        <f t="array" ref="E27">SUM(IF(A27=KHN,TH))</f>
        <v>279617893</v>
      </c>
      <c r="F27" s="43">
        <f t="array" ref="F27">SUM(IF(A27=KHC,TH))</f>
        <v>0</v>
      </c>
      <c r="G27" s="453">
        <f t="shared" si="0"/>
        <v>7770361541</v>
      </c>
      <c r="H27" s="453">
        <f t="shared" si="1"/>
        <v>0</v>
      </c>
    </row>
    <row r="28" spans="1:8" s="32" customFormat="1">
      <c r="A28" s="454" t="s">
        <v>288</v>
      </c>
      <c r="B28" s="455" t="s">
        <v>289</v>
      </c>
      <c r="C28" s="456">
        <v>3807898863</v>
      </c>
      <c r="D28" s="456">
        <v>0</v>
      </c>
      <c r="E28" s="43">
        <f t="array" ref="E28">SUM(IF(A28=KHN,TH))</f>
        <v>0</v>
      </c>
      <c r="F28" s="43">
        <f t="array" ref="F28">SUM(IF(A28=KHC,TH))</f>
        <v>0</v>
      </c>
      <c r="G28" s="456">
        <f t="shared" si="0"/>
        <v>3807898863</v>
      </c>
      <c r="H28" s="456">
        <f t="shared" si="1"/>
        <v>0</v>
      </c>
    </row>
    <row r="29" spans="1:8" s="32" customFormat="1">
      <c r="A29" s="454" t="s">
        <v>290</v>
      </c>
      <c r="B29" s="455" t="s">
        <v>291</v>
      </c>
      <c r="C29" s="456">
        <v>3790918485</v>
      </c>
      <c r="D29" s="456">
        <v>0</v>
      </c>
      <c r="E29" s="43">
        <f t="array" ref="E29">SUM(IF(A29=KHN,TH))</f>
        <v>0</v>
      </c>
      <c r="F29" s="43">
        <f t="array" ref="F29">SUM(IF(A29=KHC,TH))</f>
        <v>0</v>
      </c>
      <c r="G29" s="456">
        <f t="shared" si="0"/>
        <v>3790918485</v>
      </c>
      <c r="H29" s="456">
        <f t="shared" si="1"/>
        <v>0</v>
      </c>
    </row>
    <row r="30" spans="1:8" s="32" customFormat="1">
      <c r="A30" s="46" t="s">
        <v>292</v>
      </c>
      <c r="B30" s="47" t="s">
        <v>293</v>
      </c>
      <c r="C30" s="48">
        <v>15089560996</v>
      </c>
      <c r="D30" s="48">
        <v>0</v>
      </c>
      <c r="E30" s="48">
        <f>SUM(E27:E29)</f>
        <v>279617893</v>
      </c>
      <c r="F30" s="48">
        <f>SUM(F27:F29)</f>
        <v>0</v>
      </c>
      <c r="G30" s="48">
        <f>SUM(G27:G29)</f>
        <v>15369178889</v>
      </c>
      <c r="H30" s="48">
        <f>SUM(H27:H29)</f>
        <v>0</v>
      </c>
    </row>
    <row r="31" spans="1:8" s="32" customFormat="1">
      <c r="A31" s="454" t="s">
        <v>859</v>
      </c>
      <c r="B31" s="455" t="s">
        <v>860</v>
      </c>
      <c r="C31" s="456">
        <v>5405781300</v>
      </c>
      <c r="D31" s="456">
        <v>0</v>
      </c>
      <c r="E31" s="43">
        <f t="array" ref="E31">SUM(IF(A31=KHN,TH))</f>
        <v>0</v>
      </c>
      <c r="F31" s="43">
        <f t="array" ref="F31">SUM(IF(A31=KHC,TH))</f>
        <v>0</v>
      </c>
      <c r="G31" s="456">
        <f>MAX(C31+E31-D31-F31,0)</f>
        <v>5405781300</v>
      </c>
      <c r="H31" s="456">
        <f>MAX(D31+F31-E31-C31,0)</f>
        <v>0</v>
      </c>
    </row>
    <row r="32" spans="1:8" s="32" customFormat="1">
      <c r="A32" s="50" t="s">
        <v>861</v>
      </c>
      <c r="B32" s="47" t="s">
        <v>862</v>
      </c>
      <c r="C32" s="48">
        <f t="shared" ref="C32:H32" si="2">C31</f>
        <v>5405781300</v>
      </c>
      <c r="D32" s="48">
        <f t="shared" si="2"/>
        <v>0</v>
      </c>
      <c r="E32" s="48">
        <f t="shared" si="2"/>
        <v>0</v>
      </c>
      <c r="F32" s="48">
        <f t="shared" si="2"/>
        <v>0</v>
      </c>
      <c r="G32" s="48">
        <f t="shared" si="2"/>
        <v>5405781300</v>
      </c>
      <c r="H32" s="48">
        <f t="shared" si="2"/>
        <v>0</v>
      </c>
    </row>
    <row r="33" spans="1:8" s="32" customFormat="1">
      <c r="A33" s="49" t="s">
        <v>590</v>
      </c>
      <c r="B33" s="42" t="s">
        <v>863</v>
      </c>
      <c r="C33" s="43">
        <v>0</v>
      </c>
      <c r="D33" s="43">
        <v>9132359256</v>
      </c>
      <c r="E33" s="43">
        <f t="array" ref="E33">SUM(IF(A33=KHN,TH))</f>
        <v>0</v>
      </c>
      <c r="F33" s="43">
        <f t="array" ref="F33">SUM(IF(A33=KHC,TH))</f>
        <v>406394424</v>
      </c>
      <c r="G33" s="43">
        <f>MAX(C33+E33-D33-F33,0)</f>
        <v>0</v>
      </c>
      <c r="H33" s="43">
        <f>MAX(D33+F33-E33-C33,0)</f>
        <v>9538753680</v>
      </c>
    </row>
    <row r="34" spans="1:8" s="32" customFormat="1">
      <c r="A34" s="41" t="s">
        <v>589</v>
      </c>
      <c r="B34" s="42" t="s">
        <v>864</v>
      </c>
      <c r="C34" s="43">
        <v>0</v>
      </c>
      <c r="D34" s="43">
        <v>600642360</v>
      </c>
      <c r="E34" s="43">
        <f t="array" ref="E34">SUM(IF(A34=KHN,TH))</f>
        <v>0</v>
      </c>
      <c r="F34" s="43">
        <f t="array" ref="F34">SUM(IF(A34=KHC,TH))</f>
        <v>80085648</v>
      </c>
      <c r="G34" s="43">
        <f>MAX(C34+E34-D34-F34,0)</f>
        <v>0</v>
      </c>
      <c r="H34" s="43">
        <f>MAX(D34+F34-E34-C34,0)</f>
        <v>680728008</v>
      </c>
    </row>
    <row r="35" spans="1:8" s="32" customFormat="1" ht="12.75" customHeight="1">
      <c r="A35" s="46" t="s">
        <v>865</v>
      </c>
      <c r="B35" s="47" t="s">
        <v>866</v>
      </c>
      <c r="C35" s="48">
        <f t="shared" ref="C35:H35" si="3">C33+C34</f>
        <v>0</v>
      </c>
      <c r="D35" s="48">
        <f t="shared" si="3"/>
        <v>9733001616</v>
      </c>
      <c r="E35" s="48">
        <f t="shared" si="3"/>
        <v>0</v>
      </c>
      <c r="F35" s="48">
        <f t="shared" si="3"/>
        <v>486480072</v>
      </c>
      <c r="G35" s="48">
        <f t="shared" si="3"/>
        <v>0</v>
      </c>
      <c r="H35" s="48">
        <f t="shared" si="3"/>
        <v>10219481688</v>
      </c>
    </row>
    <row r="36" spans="1:8" s="32" customFormat="1">
      <c r="A36" s="41" t="s">
        <v>162</v>
      </c>
      <c r="B36" s="42" t="s">
        <v>163</v>
      </c>
      <c r="C36" s="43"/>
      <c r="D36" s="43">
        <v>0</v>
      </c>
      <c r="E36" s="43">
        <f t="array" ref="E36">SUM(IF(A36=KHN,TH))</f>
        <v>279617893</v>
      </c>
      <c r="F36" s="43">
        <f t="array" ref="F36">SUM(IF(A36=KHC,TH))</f>
        <v>279617893</v>
      </c>
      <c r="G36" s="44">
        <f t="shared" si="0"/>
        <v>0</v>
      </c>
      <c r="H36" s="44">
        <f t="shared" si="1"/>
        <v>0</v>
      </c>
    </row>
    <row r="37" spans="1:8" s="32" customFormat="1">
      <c r="A37" s="50" t="s">
        <v>226</v>
      </c>
      <c r="B37" s="47" t="s">
        <v>164</v>
      </c>
      <c r="C37" s="48"/>
      <c r="D37" s="48">
        <v>0</v>
      </c>
      <c r="E37" s="48">
        <f>E36</f>
        <v>279617893</v>
      </c>
      <c r="F37" s="48">
        <f>F36</f>
        <v>279617893</v>
      </c>
      <c r="G37" s="48">
        <f t="shared" si="0"/>
        <v>0</v>
      </c>
      <c r="H37" s="48">
        <f t="shared" si="1"/>
        <v>0</v>
      </c>
    </row>
    <row r="38" spans="1:8" s="32" customFormat="1">
      <c r="A38" s="46" t="s">
        <v>8</v>
      </c>
      <c r="B38" s="47" t="s">
        <v>76</v>
      </c>
      <c r="C38" s="48">
        <v>0</v>
      </c>
      <c r="D38" s="48">
        <v>476953252</v>
      </c>
      <c r="E38" s="86">
        <f t="array" ref="E38">SUM(IF(A38=KHN,TH))</f>
        <v>27681570507</v>
      </c>
      <c r="F38" s="86">
        <f t="array" ref="F38">SUM(IF(A38=KHC,TH))</f>
        <v>27728678590</v>
      </c>
      <c r="G38" s="48">
        <f t="shared" si="0"/>
        <v>0</v>
      </c>
      <c r="H38" s="48">
        <f t="shared" si="1"/>
        <v>524061335</v>
      </c>
    </row>
    <row r="39" spans="1:8" s="32" customFormat="1">
      <c r="A39" s="457" t="s">
        <v>932</v>
      </c>
      <c r="B39" s="458" t="s">
        <v>1990</v>
      </c>
      <c r="C39" s="459"/>
      <c r="D39" s="459"/>
      <c r="E39" s="460">
        <f t="array" ref="E39">SUM(IF(A39=KHN,TH))</f>
        <v>57227381</v>
      </c>
      <c r="F39" s="460">
        <f t="array" ref="F39">SUM(IF(A39=KHC,TH))</f>
        <v>57227381</v>
      </c>
      <c r="G39" s="453">
        <f t="shared" si="0"/>
        <v>0</v>
      </c>
      <c r="H39" s="453">
        <f t="shared" si="1"/>
        <v>0</v>
      </c>
    </row>
    <row r="40" spans="1:8" s="32" customFormat="1">
      <c r="A40" s="457" t="s">
        <v>1590</v>
      </c>
      <c r="B40" s="458" t="s">
        <v>1991</v>
      </c>
      <c r="C40" s="459"/>
      <c r="D40" s="459"/>
      <c r="E40" s="460">
        <f t="array" ref="E40">SUM(IF(A40=KHN,TH))</f>
        <v>4898300</v>
      </c>
      <c r="F40" s="460">
        <f t="array" ref="F40">SUM(IF(A40=KHC,TH))</f>
        <v>4898300</v>
      </c>
      <c r="G40" s="51">
        <f t="shared" si="0"/>
        <v>0</v>
      </c>
      <c r="H40" s="51">
        <f t="shared" si="1"/>
        <v>0</v>
      </c>
    </row>
    <row r="41" spans="1:8" s="32" customFormat="1">
      <c r="A41" s="49" t="s">
        <v>1992</v>
      </c>
      <c r="B41" s="42" t="s">
        <v>1993</v>
      </c>
      <c r="C41" s="43">
        <f t="shared" ref="C41:H41" si="4">C39+C40</f>
        <v>0</v>
      </c>
      <c r="D41" s="43">
        <f t="shared" si="4"/>
        <v>0</v>
      </c>
      <c r="E41" s="43">
        <f t="shared" si="4"/>
        <v>62125681</v>
      </c>
      <c r="F41" s="43">
        <f t="shared" si="4"/>
        <v>62125681</v>
      </c>
      <c r="G41" s="43">
        <f t="shared" si="4"/>
        <v>0</v>
      </c>
      <c r="H41" s="43">
        <f t="shared" si="4"/>
        <v>0</v>
      </c>
    </row>
    <row r="42" spans="1:8" s="32" customFormat="1">
      <c r="A42" s="49" t="s">
        <v>77</v>
      </c>
      <c r="B42" s="42" t="s">
        <v>78</v>
      </c>
      <c r="C42" s="43">
        <v>0</v>
      </c>
      <c r="D42" s="43">
        <v>3313435</v>
      </c>
      <c r="E42" s="43">
        <f t="array" ref="E42">SUM(IF(A42=KHN,TH))</f>
        <v>13069999</v>
      </c>
      <c r="F42" s="43">
        <f t="array" ref="F42">SUM(IF(A42=KHC,TH))</f>
        <v>0</v>
      </c>
      <c r="G42" s="43">
        <f t="shared" si="0"/>
        <v>9756564</v>
      </c>
      <c r="H42" s="43">
        <f t="shared" si="1"/>
        <v>0</v>
      </c>
    </row>
    <row r="43" spans="1:8" s="32" customFormat="1">
      <c r="A43" s="49" t="s">
        <v>856</v>
      </c>
      <c r="B43" s="42" t="s">
        <v>857</v>
      </c>
      <c r="C43" s="43">
        <v>3389804</v>
      </c>
      <c r="D43" s="43">
        <v>0</v>
      </c>
      <c r="E43" s="43">
        <f t="array" ref="E43">SUM(IF(A43=KHN,TH))</f>
        <v>0</v>
      </c>
      <c r="F43" s="43">
        <f t="array" ref="F43">SUM(IF(A43=KHC,TH))</f>
        <v>0</v>
      </c>
      <c r="G43" s="43">
        <f t="shared" si="0"/>
        <v>3389804</v>
      </c>
      <c r="H43" s="43">
        <f t="shared" si="1"/>
        <v>0</v>
      </c>
    </row>
    <row r="44" spans="1:8" s="32" customFormat="1">
      <c r="A44" s="52" t="s">
        <v>79</v>
      </c>
      <c r="B44" s="53" t="s">
        <v>80</v>
      </c>
      <c r="C44" s="51">
        <v>0</v>
      </c>
      <c r="D44" s="51">
        <v>0</v>
      </c>
      <c r="E44" s="51">
        <f t="array" ref="E44">SUM(IF(A44=KHN,TH))</f>
        <v>2000000</v>
      </c>
      <c r="F44" s="51">
        <f t="array" ref="F44">SUM(IF(A44=KHC,TH))</f>
        <v>2000000</v>
      </c>
      <c r="G44" s="51">
        <f t="shared" si="0"/>
        <v>0</v>
      </c>
      <c r="H44" s="51">
        <f t="shared" si="1"/>
        <v>0</v>
      </c>
    </row>
    <row r="45" spans="1:8" s="32" customFormat="1">
      <c r="A45" s="49" t="s">
        <v>20</v>
      </c>
      <c r="B45" s="42" t="s">
        <v>81</v>
      </c>
      <c r="C45" s="43">
        <v>0</v>
      </c>
      <c r="D45" s="43">
        <v>0</v>
      </c>
      <c r="E45" s="43">
        <f>E44</f>
        <v>2000000</v>
      </c>
      <c r="F45" s="43">
        <f>F44</f>
        <v>2000000</v>
      </c>
      <c r="G45" s="43">
        <f>G44</f>
        <v>0</v>
      </c>
      <c r="H45" s="43">
        <f>H44</f>
        <v>0</v>
      </c>
    </row>
    <row r="46" spans="1:8" s="32" customFormat="1">
      <c r="A46" s="46" t="s">
        <v>82</v>
      </c>
      <c r="B46" s="47" t="s">
        <v>83</v>
      </c>
      <c r="C46" s="48">
        <f t="shared" ref="C46:H46" si="5">C42+C45+C43</f>
        <v>3389804</v>
      </c>
      <c r="D46" s="48">
        <f t="shared" si="5"/>
        <v>3313435</v>
      </c>
      <c r="E46" s="48">
        <f t="shared" si="5"/>
        <v>15069999</v>
      </c>
      <c r="F46" s="48">
        <f t="shared" si="5"/>
        <v>2000000</v>
      </c>
      <c r="G46" s="48">
        <f t="shared" si="5"/>
        <v>13146368</v>
      </c>
      <c r="H46" s="48">
        <f t="shared" si="5"/>
        <v>0</v>
      </c>
    </row>
    <row r="47" spans="1:8" s="32" customFormat="1">
      <c r="A47" s="49" t="s">
        <v>592</v>
      </c>
      <c r="B47" s="42" t="s">
        <v>853</v>
      </c>
      <c r="C47" s="43">
        <v>0</v>
      </c>
      <c r="D47" s="43">
        <v>0</v>
      </c>
      <c r="E47" s="43">
        <f t="array" ref="E47">SUM(IF(A47=KHN,TH))</f>
        <v>1221272952</v>
      </c>
      <c r="F47" s="43">
        <f t="array" ref="F47">SUM(IF(A47=KHC,TH))</f>
        <v>1221272952</v>
      </c>
      <c r="G47" s="43">
        <f t="shared" ref="G47:G52" si="6">MAX(C47+E47-D47-F47,0)</f>
        <v>0</v>
      </c>
      <c r="H47" s="43">
        <f t="shared" ref="H47:H52" si="7">MAX(D47+F47-E47-C47,0)</f>
        <v>0</v>
      </c>
    </row>
    <row r="48" spans="1:8" s="32" customFormat="1">
      <c r="A48" s="46" t="s">
        <v>854</v>
      </c>
      <c r="B48" s="47" t="s">
        <v>855</v>
      </c>
      <c r="C48" s="48">
        <v>0</v>
      </c>
      <c r="D48" s="48">
        <v>0</v>
      </c>
      <c r="E48" s="48">
        <f>E47</f>
        <v>1221272952</v>
      </c>
      <c r="F48" s="48">
        <f>F47</f>
        <v>1221272952</v>
      </c>
      <c r="G48" s="48">
        <f t="shared" si="6"/>
        <v>0</v>
      </c>
      <c r="H48" s="48">
        <f t="shared" si="7"/>
        <v>0</v>
      </c>
    </row>
    <row r="49" spans="1:9" s="32" customFormat="1" ht="12.75" customHeight="1">
      <c r="A49" s="41" t="s">
        <v>593</v>
      </c>
      <c r="B49" s="42" t="s">
        <v>850</v>
      </c>
      <c r="C49" s="43">
        <v>0</v>
      </c>
      <c r="D49" s="43">
        <v>40272309</v>
      </c>
      <c r="E49" s="43">
        <f t="array" ref="E49">SUM(IF(A49=KHN,TH))</f>
        <v>242666115</v>
      </c>
      <c r="F49" s="43">
        <f t="array" ref="F49">SUM(IF(A49=KHC,TH))</f>
        <v>320035140</v>
      </c>
      <c r="G49" s="43">
        <f t="shared" si="6"/>
        <v>0</v>
      </c>
      <c r="H49" s="43">
        <f t="shared" si="7"/>
        <v>117641334</v>
      </c>
    </row>
    <row r="50" spans="1:9" s="32" customFormat="1">
      <c r="A50" s="49" t="s">
        <v>594</v>
      </c>
      <c r="B50" s="42" t="s">
        <v>851</v>
      </c>
      <c r="C50" s="43">
        <v>0</v>
      </c>
      <c r="D50" s="43">
        <v>6403142</v>
      </c>
      <c r="E50" s="43">
        <f t="array" ref="E50">SUM(IF(A50=KHN,TH))</f>
        <v>19101465</v>
      </c>
      <c r="F50" s="43">
        <f t="array" ref="F50">SUM(IF(A50=KHC,TH))</f>
        <v>48158505</v>
      </c>
      <c r="G50" s="43">
        <f t="shared" si="6"/>
        <v>0</v>
      </c>
      <c r="H50" s="43">
        <f t="shared" si="7"/>
        <v>35460182</v>
      </c>
    </row>
    <row r="51" spans="1:9" s="32" customFormat="1">
      <c r="A51" s="41" t="s">
        <v>595</v>
      </c>
      <c r="B51" s="42" t="s">
        <v>852</v>
      </c>
      <c r="C51" s="43">
        <v>0</v>
      </c>
      <c r="D51" s="43">
        <v>2761373</v>
      </c>
      <c r="E51" s="43">
        <f t="array" ref="E51">SUM(IF(A51=KHN,TH))</f>
        <v>8232420</v>
      </c>
      <c r="F51" s="43">
        <f t="array" ref="F51">SUM(IF(A51=KHC,TH))</f>
        <v>21403780</v>
      </c>
      <c r="G51" s="43">
        <f t="shared" si="6"/>
        <v>0</v>
      </c>
      <c r="H51" s="43">
        <f t="shared" si="7"/>
        <v>15932733</v>
      </c>
    </row>
    <row r="52" spans="1:9" s="32" customFormat="1">
      <c r="A52" s="49" t="s">
        <v>19</v>
      </c>
      <c r="B52" s="42" t="s">
        <v>84</v>
      </c>
      <c r="C52" s="43">
        <v>0</v>
      </c>
      <c r="D52" s="43">
        <v>0</v>
      </c>
      <c r="E52" s="43">
        <f t="array" ref="E52">SUM(IF(A52=KHN,TH))</f>
        <v>60629476</v>
      </c>
      <c r="F52" s="43">
        <f t="array" ref="F52">SUM(IF(A52=KHC,TH))</f>
        <v>60629476</v>
      </c>
      <c r="G52" s="43">
        <f t="shared" si="6"/>
        <v>0</v>
      </c>
      <c r="H52" s="43">
        <f t="shared" si="7"/>
        <v>0</v>
      </c>
    </row>
    <row r="53" spans="1:9" s="32" customFormat="1">
      <c r="A53" s="46" t="s">
        <v>85</v>
      </c>
      <c r="B53" s="47" t="s">
        <v>86</v>
      </c>
      <c r="C53" s="48">
        <f t="shared" ref="C53:H53" si="8">SUM(C49:C52)</f>
        <v>0</v>
      </c>
      <c r="D53" s="48">
        <f t="shared" si="8"/>
        <v>49436824</v>
      </c>
      <c r="E53" s="48">
        <f t="shared" si="8"/>
        <v>330629476</v>
      </c>
      <c r="F53" s="48">
        <f t="shared" si="8"/>
        <v>450226901</v>
      </c>
      <c r="G53" s="48">
        <f t="shared" si="8"/>
        <v>0</v>
      </c>
      <c r="H53" s="48">
        <f t="shared" si="8"/>
        <v>169034249</v>
      </c>
    </row>
    <row r="54" spans="1:9" s="32" customFormat="1">
      <c r="A54" s="41" t="s">
        <v>87</v>
      </c>
      <c r="B54" s="42" t="s">
        <v>261</v>
      </c>
      <c r="C54" s="44">
        <v>0</v>
      </c>
      <c r="D54" s="44">
        <v>2169121879</v>
      </c>
      <c r="E54" s="43">
        <f t="array" ref="E54">SUM(IF(A54=KHN,TH))</f>
        <v>2169121879</v>
      </c>
      <c r="F54" s="43">
        <f t="array" ref="F54">SUM(IF(A54=KHC,TH))</f>
        <v>0</v>
      </c>
      <c r="G54" s="44">
        <f>MAX(C54+E54-D54-F54,0)</f>
        <v>0</v>
      </c>
      <c r="H54" s="44">
        <f>MAX(D54+F54-E54-C54,0)</f>
        <v>0</v>
      </c>
    </row>
    <row r="55" spans="1:9" s="32" customFormat="1">
      <c r="A55" s="41" t="s">
        <v>260</v>
      </c>
      <c r="B55" s="42" t="s">
        <v>262</v>
      </c>
      <c r="C55" s="43">
        <v>0</v>
      </c>
      <c r="D55" s="43">
        <v>21202920500</v>
      </c>
      <c r="E55" s="43">
        <f t="array" ref="E55">SUM(IF(A55=KHN,TH))</f>
        <v>42733473900</v>
      </c>
      <c r="F55" s="43">
        <f t="array" ref="F55">SUM(IF(A55=KHC,TH))</f>
        <v>48209088637</v>
      </c>
      <c r="G55" s="43">
        <f>MAX(C55+E55-D55-F55,0)</f>
        <v>0</v>
      </c>
      <c r="H55" s="43">
        <f>MAX(D55+F55-E55-C55,0)</f>
        <v>26678535237</v>
      </c>
    </row>
    <row r="56" spans="1:9" s="32" customFormat="1">
      <c r="A56" s="50" t="s">
        <v>42</v>
      </c>
      <c r="B56" s="47" t="s">
        <v>88</v>
      </c>
      <c r="C56" s="48">
        <f t="shared" ref="C56:H56" si="9">SUM(C54:C55)</f>
        <v>0</v>
      </c>
      <c r="D56" s="48">
        <f t="shared" si="9"/>
        <v>23372042379</v>
      </c>
      <c r="E56" s="48">
        <f t="shared" si="9"/>
        <v>44902595779</v>
      </c>
      <c r="F56" s="48">
        <f t="shared" si="9"/>
        <v>48209088637</v>
      </c>
      <c r="G56" s="48">
        <f t="shared" si="9"/>
        <v>0</v>
      </c>
      <c r="H56" s="48">
        <f t="shared" si="9"/>
        <v>26678535237</v>
      </c>
    </row>
    <row r="57" spans="1:9" s="32" customFormat="1">
      <c r="A57" s="49" t="s">
        <v>27</v>
      </c>
      <c r="B57" s="42" t="s">
        <v>89</v>
      </c>
      <c r="C57" s="43">
        <v>0</v>
      </c>
      <c r="D57" s="43">
        <v>10000000000</v>
      </c>
      <c r="E57" s="43">
        <f t="array" ref="E57">SUM(IF(A57=KHN,TH))</f>
        <v>0</v>
      </c>
      <c r="F57" s="43">
        <f t="array" ref="F57">SUM(IF(A57=KHC,TH))</f>
        <v>0</v>
      </c>
      <c r="G57" s="44">
        <f>MAX(C57+E57-D57-F57,0)</f>
        <v>0</v>
      </c>
      <c r="H57" s="44">
        <f>MAX(D57+F57-E57-C57,0)</f>
        <v>10000000000</v>
      </c>
    </row>
    <row r="58" spans="1:9" s="32" customFormat="1">
      <c r="A58" s="46" t="s">
        <v>90</v>
      </c>
      <c r="B58" s="47" t="s">
        <v>91</v>
      </c>
      <c r="C58" s="48">
        <v>0</v>
      </c>
      <c r="D58" s="48">
        <f>D57</f>
        <v>10000000000</v>
      </c>
      <c r="E58" s="48">
        <f>E57</f>
        <v>0</v>
      </c>
      <c r="F58" s="48">
        <f>F57</f>
        <v>0</v>
      </c>
      <c r="G58" s="48">
        <f>MAX(C58+E58-D58-F58,0)</f>
        <v>0</v>
      </c>
      <c r="H58" s="48">
        <f>MAX(D58+F58-E58-C58,0)</f>
        <v>10000000000</v>
      </c>
    </row>
    <row r="59" spans="1:9" s="32" customFormat="1">
      <c r="A59" s="41" t="s">
        <v>92</v>
      </c>
      <c r="B59" s="42" t="s">
        <v>93</v>
      </c>
      <c r="C59" s="43"/>
      <c r="D59" s="43">
        <v>486535137</v>
      </c>
      <c r="E59" s="43">
        <f t="array" ref="E59">SUM(IF(A59=KHN,TH))</f>
        <v>2520000</v>
      </c>
      <c r="F59" s="43">
        <f t="array" ref="F59">SUM(IF(A59=KHC,TH))</f>
        <v>43230883.000000477</v>
      </c>
      <c r="G59" s="44">
        <f>MAX(C59+E59-D59-F59,0)</f>
        <v>0</v>
      </c>
      <c r="H59" s="44">
        <f>MAX(D59+F59-E59-C59,0)</f>
        <v>527246020.00000048</v>
      </c>
    </row>
    <row r="60" spans="1:9" s="32" customFormat="1">
      <c r="A60" s="49" t="s">
        <v>94</v>
      </c>
      <c r="B60" s="42" t="s">
        <v>95</v>
      </c>
      <c r="C60" s="43"/>
      <c r="D60" s="43">
        <v>30160884.000000477</v>
      </c>
      <c r="E60" s="43">
        <f t="array" ref="E60">SUM(IF(A60=TH!$N$10:$N$2007,TH!$M$10:$M$2007))</f>
        <v>30160884.000000477</v>
      </c>
      <c r="F60" s="43">
        <f t="array" ref="F60">SUM(IF(A60=TH!$O$10:$O$2007,TH!$M$10:$M$2007))</f>
        <v>0</v>
      </c>
      <c r="G60" s="43">
        <f>MAX(C60+E60-D60-F60,0)</f>
        <v>0</v>
      </c>
      <c r="H60" s="43">
        <f>MAX(D60+F60-E60-C60,0)</f>
        <v>0</v>
      </c>
    </row>
    <row r="61" spans="1:9" s="32" customFormat="1">
      <c r="A61" s="46" t="s">
        <v>96</v>
      </c>
      <c r="B61" s="47" t="s">
        <v>97</v>
      </c>
      <c r="C61" s="48"/>
      <c r="D61" s="48">
        <v>516696021.00000048</v>
      </c>
      <c r="E61" s="48">
        <f>E60+E59</f>
        <v>32680884.000000477</v>
      </c>
      <c r="F61" s="48">
        <f>F60+F59</f>
        <v>43230883.000000477</v>
      </c>
      <c r="G61" s="48">
        <f>G60+G59</f>
        <v>0</v>
      </c>
      <c r="H61" s="48">
        <f>H60+H59</f>
        <v>527246020.00000048</v>
      </c>
    </row>
    <row r="62" spans="1:9" s="32" customFormat="1" ht="12.75" customHeight="1">
      <c r="A62" s="457" t="s">
        <v>296</v>
      </c>
      <c r="B62" s="458" t="s">
        <v>297</v>
      </c>
      <c r="C62" s="459"/>
      <c r="D62" s="459"/>
      <c r="E62" s="460">
        <f t="array" ref="E62">SUM(IF(A62=KHN,TH))</f>
        <v>572273810</v>
      </c>
      <c r="F62" s="460">
        <f t="array" ref="F62">SUM(IF(A62=KHC,TH))</f>
        <v>572273810</v>
      </c>
      <c r="G62" s="459"/>
      <c r="H62" s="459"/>
      <c r="I62" s="32">
        <f>E62-F62</f>
        <v>0</v>
      </c>
    </row>
    <row r="63" spans="1:9" s="32" customFormat="1">
      <c r="A63" s="457" t="s">
        <v>298</v>
      </c>
      <c r="B63" s="458" t="s">
        <v>299</v>
      </c>
      <c r="C63" s="459"/>
      <c r="D63" s="459"/>
      <c r="E63" s="460">
        <f t="array" ref="E63">SUM(IF(A63=KHN,TH))</f>
        <v>28790816325</v>
      </c>
      <c r="F63" s="460">
        <f t="array" ref="F63">SUM(IF(A63=KHC,TH))</f>
        <v>28790816325</v>
      </c>
      <c r="G63" s="459"/>
      <c r="H63" s="459"/>
      <c r="I63" s="32">
        <f>E63-F63</f>
        <v>0</v>
      </c>
    </row>
    <row r="64" spans="1:9" s="32" customFormat="1">
      <c r="A64" s="41" t="s">
        <v>300</v>
      </c>
      <c r="B64" s="42" t="s">
        <v>301</v>
      </c>
      <c r="C64" s="43"/>
      <c r="D64" s="43"/>
      <c r="E64" s="43">
        <f>E62+E63</f>
        <v>29363090135</v>
      </c>
      <c r="F64" s="43">
        <f>F62+F63</f>
        <v>29363090135</v>
      </c>
      <c r="G64" s="43"/>
      <c r="H64" s="43"/>
      <c r="I64" s="32">
        <f>E64-F64</f>
        <v>0</v>
      </c>
    </row>
    <row r="65" spans="1:9" s="32" customFormat="1">
      <c r="A65" s="46" t="s">
        <v>302</v>
      </c>
      <c r="B65" s="47" t="s">
        <v>303</v>
      </c>
      <c r="C65" s="48"/>
      <c r="D65" s="48"/>
      <c r="E65" s="48">
        <f>E64</f>
        <v>29363090135</v>
      </c>
      <c r="F65" s="48">
        <f>F64</f>
        <v>29363090135</v>
      </c>
      <c r="G65" s="48"/>
      <c r="H65" s="48"/>
      <c r="I65" s="32">
        <f>E65-F65</f>
        <v>0</v>
      </c>
    </row>
    <row r="66" spans="1:9" s="32" customFormat="1">
      <c r="A66" s="46" t="s">
        <v>43</v>
      </c>
      <c r="B66" s="47" t="s">
        <v>98</v>
      </c>
      <c r="C66" s="48"/>
      <c r="D66" s="48"/>
      <c r="E66" s="86">
        <f t="array" ref="E66">SUM(IF(A66=KHN,TH))</f>
        <v>193704352.40000087</v>
      </c>
      <c r="F66" s="86">
        <f t="array" ref="F66">SUM(IF(A66=KHC,TH))</f>
        <v>193704352.40000087</v>
      </c>
      <c r="G66" s="48"/>
      <c r="H66" s="48"/>
      <c r="I66" s="32">
        <f t="shared" ref="I66:I74" si="10">E66-F66</f>
        <v>0</v>
      </c>
    </row>
    <row r="67" spans="1:9" s="32" customFormat="1" ht="12.75" customHeight="1">
      <c r="A67" s="46" t="s">
        <v>294</v>
      </c>
      <c r="B67" s="47" t="s">
        <v>295</v>
      </c>
      <c r="C67" s="48"/>
      <c r="D67" s="48"/>
      <c r="E67" s="86">
        <f t="array" ref="E67">SUM(IF(A67=KHN,TH))</f>
        <v>25487460043</v>
      </c>
      <c r="F67" s="86">
        <f t="array" ref="F67">SUM(IF(A67=KHC,TH))</f>
        <v>25487460043</v>
      </c>
      <c r="G67" s="48"/>
      <c r="H67" s="48"/>
      <c r="I67" s="32">
        <f t="shared" si="10"/>
        <v>0</v>
      </c>
    </row>
    <row r="68" spans="1:9" s="32" customFormat="1" ht="12.75" customHeight="1">
      <c r="A68" s="46" t="s">
        <v>99</v>
      </c>
      <c r="B68" s="47" t="s">
        <v>100</v>
      </c>
      <c r="C68" s="48"/>
      <c r="D68" s="48"/>
      <c r="E68" s="86">
        <f t="array" ref="E68">SUM(IF(A68=KHN,TH))</f>
        <v>796225536</v>
      </c>
      <c r="F68" s="86">
        <f t="array" ref="F68">SUM(IF(A68=KHC,TH))</f>
        <v>796225536</v>
      </c>
      <c r="G68" s="48"/>
      <c r="H68" s="48"/>
      <c r="I68" s="32">
        <f t="shared" si="10"/>
        <v>0</v>
      </c>
    </row>
    <row r="69" spans="1:9" s="32" customFormat="1" ht="12.75" customHeight="1">
      <c r="A69" s="50" t="s">
        <v>591</v>
      </c>
      <c r="B69" s="47" t="s">
        <v>1357</v>
      </c>
      <c r="C69" s="48"/>
      <c r="D69" s="48"/>
      <c r="E69" s="86">
        <f t="array" ref="E69">SUM(IF(A69=KHN,TH))</f>
        <v>770135947</v>
      </c>
      <c r="F69" s="86">
        <f t="array" ref="F69">SUM(IF(A69=KHC,TH))</f>
        <v>770135947</v>
      </c>
      <c r="G69" s="48"/>
      <c r="H69" s="48"/>
      <c r="I69" s="32">
        <f>E69-F69</f>
        <v>0</v>
      </c>
    </row>
    <row r="70" spans="1:9" s="32" customFormat="1" ht="12.75" customHeight="1">
      <c r="A70" s="46" t="s">
        <v>101</v>
      </c>
      <c r="B70" s="47" t="s">
        <v>102</v>
      </c>
      <c r="C70" s="48"/>
      <c r="D70" s="48"/>
      <c r="E70" s="86">
        <f t="array" ref="E70">SUM(IF(A70=KHN,TH))</f>
        <v>769607636</v>
      </c>
      <c r="F70" s="86">
        <f t="array" ref="F70">SUM(IF(A70=KHC,TH))</f>
        <v>769607636</v>
      </c>
      <c r="G70" s="48"/>
      <c r="H70" s="48"/>
      <c r="I70" s="32">
        <f t="shared" si="10"/>
        <v>0</v>
      </c>
    </row>
    <row r="71" spans="1:9" s="32" customFormat="1" ht="12.75" customHeight="1">
      <c r="A71" s="50" t="s">
        <v>103</v>
      </c>
      <c r="B71" s="47" t="s">
        <v>104</v>
      </c>
      <c r="C71" s="48"/>
      <c r="D71" s="48"/>
      <c r="E71" s="86">
        <f t="array" ref="E71">SUM(IF(A71=KHN,TH))</f>
        <v>0</v>
      </c>
      <c r="F71" s="86">
        <f t="array" ref="F71">SUM(IF(A71=KHC,TH))</f>
        <v>0</v>
      </c>
      <c r="G71" s="48"/>
      <c r="H71" s="48"/>
      <c r="I71" s="32">
        <f t="shared" si="10"/>
        <v>0</v>
      </c>
    </row>
    <row r="72" spans="1:9" s="32" customFormat="1" ht="12.75" customHeight="1">
      <c r="A72" s="46" t="s">
        <v>105</v>
      </c>
      <c r="B72" s="47" t="s">
        <v>106</v>
      </c>
      <c r="C72" s="48"/>
      <c r="D72" s="48"/>
      <c r="E72" s="86">
        <f t="array" ref="E72">SUM(IF(A72=KHN,TH))</f>
        <v>441104</v>
      </c>
      <c r="F72" s="86">
        <f t="array" ref="F72">SUM(IF(A72=KHC,TH))</f>
        <v>441104</v>
      </c>
      <c r="G72" s="48"/>
      <c r="H72" s="48"/>
      <c r="I72" s="32">
        <f t="shared" si="10"/>
        <v>0</v>
      </c>
    </row>
    <row r="73" spans="1:9" s="32" customFormat="1" ht="12.75" customHeight="1">
      <c r="A73" s="50" t="s">
        <v>107</v>
      </c>
      <c r="B73" s="47" t="s">
        <v>108</v>
      </c>
      <c r="C73" s="48"/>
      <c r="D73" s="48"/>
      <c r="E73" s="86">
        <f t="array" ref="E73">SUM(IF(A73=KHN,TH))</f>
        <v>0</v>
      </c>
      <c r="F73" s="86">
        <f t="array" ref="F73">SUM(IF(A73=KHC,TH))</f>
        <v>0</v>
      </c>
      <c r="G73" s="48"/>
      <c r="H73" s="48"/>
      <c r="I73" s="32">
        <f t="shared" si="10"/>
        <v>0</v>
      </c>
    </row>
    <row r="74" spans="1:9" s="32" customFormat="1">
      <c r="A74" s="46" t="s">
        <v>109</v>
      </c>
      <c r="B74" s="47" t="s">
        <v>110</v>
      </c>
      <c r="C74" s="48"/>
      <c r="D74" s="48"/>
      <c r="E74" s="87">
        <f t="array" ref="E74">SUM(IF(A74=KHN,TH))</f>
        <v>27823870266</v>
      </c>
      <c r="F74" s="87">
        <f t="array" ref="F74">SUM(IF(A74=TH!$O$10:$O$2007,TH!$M$10:$M$2007))</f>
        <v>29556794487.400002</v>
      </c>
      <c r="G74" s="48"/>
      <c r="H74" s="48"/>
      <c r="I74" s="32">
        <f t="shared" si="10"/>
        <v>-1732924221.4000015</v>
      </c>
    </row>
    <row r="75" spans="1:9" s="32" customFormat="1">
      <c r="A75" s="54" t="s">
        <v>111</v>
      </c>
      <c r="B75" s="54"/>
      <c r="C75" s="54">
        <f t="shared" ref="C75:H75" si="11">C11+C14+C15+C17+C19+C20+C23+C24+C25+C26+C30+C32+C35+C37+C38+C46+C48+C53+C56+C58+C61+C65+C66+C67+C68+C70+C71+C72+C73+C74+C69</f>
        <v>44151443527</v>
      </c>
      <c r="D75" s="54">
        <f t="shared" si="11"/>
        <v>44151443527</v>
      </c>
      <c r="E75" s="54">
        <f t="shared" si="11"/>
        <v>489362318030.80005</v>
      </c>
      <c r="F75" s="54">
        <f t="shared" si="11"/>
        <v>489388832691.80005</v>
      </c>
      <c r="G75" s="54">
        <f t="shared" si="11"/>
        <v>50299768089.399994</v>
      </c>
      <c r="H75" s="54">
        <f t="shared" si="11"/>
        <v>48593358529</v>
      </c>
    </row>
    <row r="76" spans="1:9">
      <c r="E76" s="55"/>
      <c r="F76" s="56"/>
    </row>
    <row r="77" spans="1:9">
      <c r="C77" s="32">
        <f>[1]CDPS!$G$69</f>
        <v>44151443527</v>
      </c>
      <c r="D77" s="32">
        <f>[1]CDPS!$G$69</f>
        <v>44151443527</v>
      </c>
      <c r="E77" s="56"/>
      <c r="H77" s="56">
        <f>G75-H75</f>
        <v>1706409560.3999939</v>
      </c>
    </row>
    <row r="78" spans="1:9">
      <c r="C78" s="32">
        <f>C75-C77</f>
        <v>0</v>
      </c>
      <c r="D78" s="32">
        <f>D75-D77</f>
        <v>0</v>
      </c>
      <c r="E78" s="57"/>
      <c r="F78" s="57"/>
    </row>
    <row r="79" spans="1:9">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filterMode="1">
    <tabColor theme="9" tint="-0.249977111117893"/>
  </sheetPr>
  <dimension ref="A1:AF2874"/>
  <sheetViews>
    <sheetView tabSelected="1" topLeftCell="D7" workbookViewId="0">
      <pane ySplit="3" topLeftCell="A2100" activePane="bottomLeft" state="frozen"/>
      <selection activeCell="A7" sqref="A7"/>
      <selection pane="bottomLeft" activeCell="M439" sqref="M439:M2170"/>
    </sheetView>
  </sheetViews>
  <sheetFormatPr defaultRowHeight="12.75"/>
  <cols>
    <col min="1" max="1" width="4.5703125" style="337" customWidth="1"/>
    <col min="2" max="2" width="4.85546875" style="330" customWidth="1"/>
    <col min="3" max="3" width="9.140625" style="330" customWidth="1"/>
    <col min="4" max="4" width="6.85546875" style="330" customWidth="1"/>
    <col min="5" max="5" width="9.140625" style="330" customWidth="1"/>
    <col min="6" max="6" width="32.7109375" style="330" customWidth="1"/>
    <col min="7" max="7" width="14.85546875" style="987" customWidth="1"/>
    <col min="8" max="8" width="24.140625" style="352" customWidth="1"/>
    <col min="9" max="10" width="7.7109375" style="352" customWidth="1"/>
    <col min="11" max="11" width="10" style="352" customWidth="1"/>
    <col min="12" max="12" width="7.28515625" style="352" customWidth="1"/>
    <col min="13" max="13" width="15.7109375" style="330" customWidth="1"/>
    <col min="14" max="15" width="7" style="330" customWidth="1"/>
    <col min="16" max="16" width="4.42578125" style="330" hidden="1" customWidth="1"/>
    <col min="17" max="19" width="2.7109375" style="330" hidden="1" customWidth="1"/>
    <col min="20" max="22" width="2.5703125" style="330" hidden="1" customWidth="1"/>
    <col min="23" max="25" width="4.42578125" style="330" hidden="1" customWidth="1"/>
    <col min="26" max="26" width="4.140625" style="330" hidden="1" customWidth="1"/>
    <col min="27" max="30" width="2.7109375" style="330" hidden="1" customWidth="1"/>
    <col min="31" max="31" width="9.140625" style="330" customWidth="1"/>
    <col min="32" max="32" width="11.28515625" style="330" bestFit="1" customWidth="1"/>
    <col min="33" max="16384" width="9.140625" style="330"/>
  </cols>
  <sheetData>
    <row r="1" spans="1:30">
      <c r="B1" s="58"/>
      <c r="C1" s="58" t="s">
        <v>121</v>
      </c>
      <c r="D1" s="59"/>
      <c r="E1" s="59"/>
      <c r="F1" s="60"/>
      <c r="G1" s="977"/>
      <c r="H1" s="91"/>
      <c r="I1" s="91"/>
      <c r="J1" s="91"/>
      <c r="K1" s="91"/>
      <c r="L1" s="91"/>
      <c r="M1" s="70"/>
      <c r="N1" s="61"/>
      <c r="O1" s="61"/>
      <c r="P1" s="61"/>
      <c r="Q1" s="61"/>
      <c r="R1" s="61"/>
      <c r="S1" s="61"/>
      <c r="T1" s="61"/>
      <c r="U1" s="61"/>
      <c r="V1" s="61"/>
      <c r="W1" s="61"/>
      <c r="X1" s="61"/>
      <c r="Y1" s="61"/>
      <c r="AA1" s="61"/>
      <c r="AB1" s="61"/>
      <c r="AC1" s="61"/>
      <c r="AD1" s="61"/>
    </row>
    <row r="2" spans="1:30">
      <c r="B2" s="58"/>
      <c r="C2" s="58" t="s">
        <v>122</v>
      </c>
      <c r="D2" s="59"/>
      <c r="E2" s="59"/>
      <c r="F2" s="59"/>
      <c r="G2" s="977"/>
      <c r="H2" s="92"/>
      <c r="I2" s="92"/>
      <c r="J2" s="92"/>
      <c r="K2" s="92"/>
      <c r="L2" s="92"/>
      <c r="M2" s="70"/>
      <c r="N2" s="61"/>
      <c r="O2" s="61"/>
      <c r="P2" s="61"/>
      <c r="Q2" s="61"/>
      <c r="R2" s="61"/>
      <c r="S2" s="61"/>
      <c r="T2" s="61"/>
      <c r="U2" s="61"/>
      <c r="V2" s="61"/>
      <c r="W2" s="61"/>
      <c r="X2" s="61"/>
      <c r="Y2" s="61"/>
      <c r="AA2" s="61"/>
      <c r="AB2" s="61"/>
      <c r="AC2" s="61"/>
      <c r="AD2" s="61"/>
    </row>
    <row r="3" spans="1:30">
      <c r="B3" s="59"/>
      <c r="C3" s="59"/>
      <c r="D3" s="59"/>
      <c r="E3" s="59"/>
      <c r="F3" s="59"/>
      <c r="G3" s="977"/>
      <c r="H3" s="92"/>
      <c r="I3" s="92"/>
      <c r="J3" s="92"/>
      <c r="K3" s="92"/>
      <c r="L3" s="92"/>
      <c r="M3" s="69"/>
      <c r="N3" s="62"/>
      <c r="O3" s="62"/>
      <c r="P3" s="62"/>
      <c r="Q3" s="62"/>
      <c r="R3" s="62"/>
      <c r="S3" s="62"/>
      <c r="T3" s="62"/>
      <c r="U3" s="62"/>
      <c r="V3" s="62"/>
      <c r="W3" s="62"/>
      <c r="X3" s="62"/>
      <c r="Y3" s="62"/>
      <c r="AA3" s="62"/>
      <c r="AB3" s="62"/>
      <c r="AC3" s="62"/>
      <c r="AD3" s="62"/>
    </row>
    <row r="4" spans="1:30" ht="22.5">
      <c r="B4" s="70"/>
      <c r="C4" s="1233" t="s">
        <v>112</v>
      </c>
      <c r="D4" s="1233"/>
      <c r="E4" s="1233"/>
      <c r="F4" s="1233"/>
      <c r="G4" s="1233"/>
      <c r="H4" s="1233"/>
      <c r="I4" s="1233"/>
      <c r="J4" s="1233"/>
      <c r="K4" s="1233"/>
      <c r="L4" s="1233"/>
      <c r="M4" s="1233"/>
      <c r="N4" s="1233"/>
      <c r="O4" s="1233"/>
    </row>
    <row r="5" spans="1:30" ht="14.25">
      <c r="B5" s="70"/>
      <c r="C5" s="1234"/>
      <c r="D5" s="1234"/>
      <c r="E5" s="1234"/>
      <c r="F5" s="1234"/>
      <c r="G5" s="1234"/>
      <c r="H5" s="1234"/>
      <c r="I5" s="1234"/>
      <c r="J5" s="1234"/>
      <c r="K5" s="1234"/>
      <c r="L5" s="1234"/>
      <c r="M5" s="1234"/>
      <c r="N5" s="1234"/>
      <c r="O5" s="1234"/>
    </row>
    <row r="6" spans="1:30">
      <c r="B6" s="70"/>
      <c r="C6" s="70"/>
      <c r="D6" s="70"/>
      <c r="E6" s="70"/>
      <c r="F6" s="70"/>
      <c r="G6" s="58"/>
      <c r="H6" s="71"/>
      <c r="I6" s="71"/>
      <c r="J6" s="71"/>
      <c r="K6" s="71"/>
      <c r="L6" s="71"/>
      <c r="M6" s="70"/>
      <c r="N6" s="61"/>
      <c r="O6" s="61"/>
      <c r="P6" s="61"/>
      <c r="Q6" s="61"/>
      <c r="R6" s="61"/>
      <c r="S6" s="61"/>
      <c r="T6" s="61"/>
      <c r="U6" s="61"/>
      <c r="V6" s="61"/>
      <c r="W6" s="61"/>
      <c r="X6" s="61"/>
      <c r="Y6" s="61"/>
      <c r="AA6" s="61"/>
      <c r="AB6" s="61"/>
      <c r="AC6" s="61"/>
      <c r="AD6" s="61"/>
    </row>
    <row r="7" spans="1:30" ht="24.75" customHeight="1">
      <c r="A7" s="1243" t="s">
        <v>141</v>
      </c>
      <c r="B7" s="1245" t="s">
        <v>123</v>
      </c>
      <c r="C7" s="1235" t="s">
        <v>22</v>
      </c>
      <c r="D7" s="1236" t="s">
        <v>1</v>
      </c>
      <c r="E7" s="1237"/>
      <c r="F7" s="1235" t="s">
        <v>0</v>
      </c>
      <c r="G7" s="1239" t="s">
        <v>140</v>
      </c>
      <c r="H7" s="1247" t="s">
        <v>47</v>
      </c>
      <c r="I7" s="1252" t="s">
        <v>579</v>
      </c>
      <c r="J7" s="1253"/>
      <c r="K7" s="1235" t="s">
        <v>265</v>
      </c>
      <c r="L7" s="1235"/>
      <c r="M7" s="1235" t="s">
        <v>264</v>
      </c>
      <c r="N7" s="1238" t="s">
        <v>114</v>
      </c>
      <c r="O7" s="1238"/>
      <c r="P7" s="1250" t="s">
        <v>8</v>
      </c>
      <c r="Q7" s="1227" t="s">
        <v>63</v>
      </c>
      <c r="R7" s="1228"/>
      <c r="S7" s="1229"/>
      <c r="T7" s="1227" t="s">
        <v>67</v>
      </c>
      <c r="U7" s="1228"/>
      <c r="V7" s="1229"/>
      <c r="W7" s="1250" t="s">
        <v>42</v>
      </c>
      <c r="X7" s="1241" t="str">
        <f>CTTK!$E$7</f>
        <v>1388</v>
      </c>
      <c r="Y7" s="1241" t="s">
        <v>588</v>
      </c>
      <c r="Z7" s="1248" t="s">
        <v>225</v>
      </c>
      <c r="AA7" s="1227" t="s">
        <v>278</v>
      </c>
      <c r="AB7" s="1228"/>
      <c r="AC7" s="1228"/>
      <c r="AD7" s="1229"/>
    </row>
    <row r="8" spans="1:30" ht="24.75" customHeight="1">
      <c r="A8" s="1244"/>
      <c r="B8" s="1246"/>
      <c r="C8" s="1235"/>
      <c r="D8" s="1179" t="s">
        <v>17</v>
      </c>
      <c r="E8" s="1178" t="s">
        <v>34</v>
      </c>
      <c r="F8" s="1235"/>
      <c r="G8" s="1240"/>
      <c r="H8" s="1247"/>
      <c r="I8" s="1177" t="s">
        <v>470</v>
      </c>
      <c r="J8" s="1177" t="s">
        <v>471</v>
      </c>
      <c r="K8" s="1178" t="s">
        <v>271</v>
      </c>
      <c r="L8" s="1178" t="s">
        <v>269</v>
      </c>
      <c r="M8" s="1235"/>
      <c r="N8" s="1180" t="s">
        <v>24</v>
      </c>
      <c r="O8" s="1180" t="s">
        <v>25</v>
      </c>
      <c r="P8" s="1251"/>
      <c r="Q8" s="1230"/>
      <c r="R8" s="1231"/>
      <c r="S8" s="1232"/>
      <c r="T8" s="1230"/>
      <c r="U8" s="1231"/>
      <c r="V8" s="1232"/>
      <c r="W8" s="1251"/>
      <c r="X8" s="1242"/>
      <c r="Y8" s="1242"/>
      <c r="Z8" s="1249"/>
      <c r="AA8" s="1230"/>
      <c r="AB8" s="1231"/>
      <c r="AC8" s="1231"/>
      <c r="AD8" s="1232"/>
    </row>
    <row r="9" spans="1:30">
      <c r="A9" s="338">
        <v>1</v>
      </c>
      <c r="B9" s="339">
        <v>2</v>
      </c>
      <c r="C9" s="339">
        <v>3</v>
      </c>
      <c r="D9" s="339">
        <v>4</v>
      </c>
      <c r="E9" s="339">
        <v>5</v>
      </c>
      <c r="F9" s="339">
        <v>6</v>
      </c>
      <c r="G9" s="978">
        <v>7</v>
      </c>
      <c r="H9" s="339">
        <v>8</v>
      </c>
      <c r="I9" s="340">
        <v>9</v>
      </c>
      <c r="J9" s="339">
        <v>10</v>
      </c>
      <c r="K9" s="340">
        <v>11</v>
      </c>
      <c r="L9" s="339">
        <v>12</v>
      </c>
      <c r="M9" s="340">
        <v>13</v>
      </c>
      <c r="N9" s="339">
        <v>14</v>
      </c>
      <c r="O9" s="340">
        <v>15</v>
      </c>
      <c r="P9" s="339">
        <v>16</v>
      </c>
      <c r="Q9" s="340">
        <v>17</v>
      </c>
      <c r="R9" s="339">
        <v>18</v>
      </c>
      <c r="S9" s="340">
        <v>19</v>
      </c>
      <c r="T9" s="339">
        <v>20</v>
      </c>
      <c r="U9" s="339"/>
      <c r="V9" s="339"/>
      <c r="W9" s="339">
        <v>26</v>
      </c>
      <c r="X9" s="340">
        <v>27</v>
      </c>
      <c r="Y9" s="340"/>
      <c r="Z9" s="339">
        <v>24</v>
      </c>
      <c r="AA9" s="339">
        <v>19</v>
      </c>
      <c r="AB9" s="339">
        <v>20</v>
      </c>
      <c r="AC9" s="339"/>
      <c r="AD9" s="339">
        <v>21</v>
      </c>
    </row>
    <row r="10" spans="1:30" s="341" customFormat="1" ht="15.75" hidden="1" customHeight="1">
      <c r="A10" s="336" t="str">
        <f>IF(B10&lt;&gt;"",IF(AND(B10='IN-TC'!$S$4,OR(TH!N10="1111",TH!O10="1111")),TH!D10,""),"")</f>
        <v/>
      </c>
      <c r="B10" s="63">
        <f t="shared" ref="B10:B15" si="0">IF(C10&lt;&gt;"",MONTH(C10),"")</f>
        <v>1</v>
      </c>
      <c r="C10" s="80">
        <f>E10</f>
        <v>42400</v>
      </c>
      <c r="D10" s="80" t="s">
        <v>115</v>
      </c>
      <c r="E10" s="80">
        <v>42400</v>
      </c>
      <c r="F10" s="81" t="s">
        <v>213</v>
      </c>
      <c r="G10" s="81"/>
      <c r="H10" s="82"/>
      <c r="I10" s="437"/>
      <c r="J10" s="437"/>
      <c r="K10" s="428"/>
      <c r="L10" s="437"/>
      <c r="M10" s="83">
        <f>CDPS!D60</f>
        <v>30160884.000000477</v>
      </c>
      <c r="N10" s="84" t="s">
        <v>94</v>
      </c>
      <c r="O10" s="84" t="s">
        <v>92</v>
      </c>
      <c r="P10" s="84" t="str">
        <f>IF(AND('331-CT'!$E$7=TH!H10,OR(N10="331",O10="331")),"x","")</f>
        <v/>
      </c>
      <c r="Q10" s="84" t="str">
        <f>IF(AND(B10='111'!$L$11,OR($N10=$Q$7,$O10=$Q$7)),"x","")</f>
        <v/>
      </c>
      <c r="R10" s="84" t="str">
        <f>IF(AND($N10=$Q$7,$B10&lt;'111'!$L$11),"x","")</f>
        <v/>
      </c>
      <c r="S10" s="84" t="str">
        <f>IF(AND($O10=$Q$7,$B10&lt;'111'!$L$11),"x","")</f>
        <v/>
      </c>
      <c r="T10" s="84" t="str">
        <f>IF(ISERROR(FIND('112'!$M$9,G10,1)),"",IF((AND(FIND('112'!$M$9,G10,1)&gt;=1,B10='112'!$K$9,OR($N10='112'!$I$6,$O10='112'!$I$6))),"x",""))</f>
        <v/>
      </c>
      <c r="U10" s="84" t="str">
        <f>IF(ISERROR(FIND('112'!$M$9,G10,1)),"",IF((AND(LEFT(G10,2)=LEFT('112'!$M$9,2),B10&lt;'112'!$K$9,$N10='112'!$I$6)),"x",""))</f>
        <v/>
      </c>
      <c r="V10" s="84" t="str">
        <f>IF(ISERROR(FIND('112'!$M$9,G10,1)),"",IF((AND(RIGHT(G10,2)=RIGHT('112'!$M$9,2),B10&lt;'112'!$K$9,$O10='112'!$I$6)),"x",""))</f>
        <v/>
      </c>
      <c r="W10" s="84" t="str">
        <f>IF(AND('341-CT'!$H$9=H10,OR(LEFT(N10,3)=$W$7,LEFT(O10,3)=$W$7)),"x","")</f>
        <v/>
      </c>
      <c r="X10" s="84" t="str">
        <f>IF(OR(TH!N10=TH!$X$7,O10=TH!$X$7),"x","")</f>
        <v/>
      </c>
      <c r="Y10" s="84" t="str">
        <f>IF(AND(OR(N10="131",O10="131"),H10='131-CT'!$H$9),"x","")</f>
        <v/>
      </c>
      <c r="Z10" s="84"/>
      <c r="AA10" s="84" t="str">
        <f>IF(AND(MONTH(E10)='IN-NX'!$J$5,'IN-NX'!$D$7=D10),"x","")</f>
        <v/>
      </c>
      <c r="AB10" s="84" t="str">
        <f>IF(AND(OR(LEFT(TH!N10,2)="15",LEFT(TH!O10,2)="15"),LEFT(TH!O10,3)&lt;&gt;"111",'152-CT'!$J$8=TH!F10),"x","")</f>
        <v/>
      </c>
      <c r="AC10" s="84" t="str">
        <f>IF(AND(OR(LEFT(TH!N10,2)="15",LEFT(TH!O10,2)="15"),TK!$E$7=TH!F10),"x","")</f>
        <v/>
      </c>
      <c r="AD10" s="84" t="str">
        <f>IF(AND(N10="1521",MONTH(C10)='BK-NL'!$M$11),"x","")</f>
        <v/>
      </c>
    </row>
    <row r="11" spans="1:30" s="341" customFormat="1" ht="15.75" hidden="1" customHeight="1">
      <c r="A11" s="336" t="str">
        <f>IF(B11&lt;&gt;"",IF(AND(B11='IN-TC'!$S$4,OR(TH!N11="1111",TH!O11="1111")),TH!D11,""),"")</f>
        <v/>
      </c>
      <c r="B11" s="63">
        <f t="shared" si="0"/>
        <v>1</v>
      </c>
      <c r="C11" s="80">
        <f t="shared" ref="C11:C20" si="1">E11</f>
        <v>42400</v>
      </c>
      <c r="D11" s="80" t="s">
        <v>115</v>
      </c>
      <c r="E11" s="80">
        <v>42400</v>
      </c>
      <c r="F11" s="81" t="s">
        <v>927</v>
      </c>
      <c r="G11" s="81"/>
      <c r="H11" s="82"/>
      <c r="I11" s="437"/>
      <c r="J11" s="437"/>
      <c r="K11" s="428"/>
      <c r="L11" s="437"/>
      <c r="M11" s="83">
        <f>SUMIF(KHC,N11,TH)</f>
        <v>57227381</v>
      </c>
      <c r="N11" s="88" t="s">
        <v>932</v>
      </c>
      <c r="O11" s="84" t="s">
        <v>9</v>
      </c>
      <c r="P11" s="84" t="str">
        <f>IF(AND('331-CT'!$E$7=TH!H11,OR(N11="331",O11="331")),"x","")</f>
        <v/>
      </c>
      <c r="Q11" s="84" t="str">
        <f>IF(AND(B11='111'!$L$11,OR($N11=$Q$7,$O11=$Q$7)),"x","")</f>
        <v/>
      </c>
      <c r="R11" s="84" t="str">
        <f>IF(AND($N11=$Q$7,$B11&lt;'111'!$L$11),"x","")</f>
        <v/>
      </c>
      <c r="S11" s="84" t="str">
        <f>IF(AND($O11=$Q$7,$B11&lt;'111'!$L$11),"x","")</f>
        <v/>
      </c>
      <c r="T11" s="84" t="str">
        <f>IF(ISERROR(FIND('112'!$M$9,G11,1)),"",IF((AND(FIND('112'!$M$9,G11,1)&gt;=1,B11='112'!$K$9,OR($N11='112'!$I$6,$O11='112'!$I$6))),"x",""))</f>
        <v/>
      </c>
      <c r="U11" s="84" t="str">
        <f>IF(ISERROR(FIND('112'!$M$9,G11,1)),"",IF((AND(LEFT(G11,2)=LEFT('112'!$M$9,2),B11&lt;'112'!$K$9,$N11='112'!$I$6)),"x",""))</f>
        <v/>
      </c>
      <c r="V11" s="84" t="str">
        <f>IF(ISERROR(FIND('112'!$M$9,G11,1)),"",IF((AND(RIGHT(G11,2)=RIGHT('112'!$M$9,2),B11&lt;'112'!$K$9,$O11='112'!$I$6)),"x",""))</f>
        <v/>
      </c>
      <c r="W11" s="84" t="str">
        <f>IF(AND('341-CT'!$H$9=H11,OR(LEFT(N11,3)=$W$7,LEFT(O11,3)=$W$7)),"x","")</f>
        <v/>
      </c>
      <c r="X11" s="84" t="str">
        <f>IF(OR(TH!N11=TH!$X$7,O11=TH!$X$7),"x","")</f>
        <v/>
      </c>
      <c r="Y11" s="84" t="str">
        <f>IF(AND(OR(N11="131",O11="131"),H11='131-CT'!$H$9),"x","")</f>
        <v/>
      </c>
      <c r="Z11" s="84"/>
      <c r="AA11" s="84" t="str">
        <f>IF(AND(MONTH(E11)='IN-NX'!$J$5,'IN-NX'!$D$7=D11),"x","")</f>
        <v/>
      </c>
      <c r="AB11" s="84" t="str">
        <f>IF(AND(OR(LEFT(TH!N11,2)="15",LEFT(TH!O11,2)="15"),LEFT(TH!O11,3)&lt;&gt;"111",'152-CT'!$J$8=TH!F11),"x","")</f>
        <v/>
      </c>
      <c r="AC11" s="84" t="str">
        <f>IF(AND(OR(LEFT(TH!N11,2)="15",LEFT(TH!O11,2)="15"),TK!$E$7=TH!F11),"x","")</f>
        <v/>
      </c>
      <c r="AD11" s="84" t="str">
        <f>IF(AND(N11="1521",MONTH(C11)='BK-NL'!$M$11),"x","")</f>
        <v/>
      </c>
    </row>
    <row r="12" spans="1:30" s="341" customFormat="1" ht="15.75" hidden="1" customHeight="1">
      <c r="A12" s="336" t="str">
        <f>IF(B12&lt;&gt;"",IF(AND(B12='IN-TC'!$S$4,OR(TH!N12="1111",TH!O12="1111")),TH!D12,""),"")</f>
        <v/>
      </c>
      <c r="B12" s="63">
        <f t="shared" si="0"/>
        <v>1</v>
      </c>
      <c r="C12" s="80">
        <f t="shared" si="1"/>
        <v>42400</v>
      </c>
      <c r="D12" s="80" t="s">
        <v>115</v>
      </c>
      <c r="E12" s="80">
        <v>42400</v>
      </c>
      <c r="F12" s="81" t="s">
        <v>928</v>
      </c>
      <c r="G12" s="81"/>
      <c r="H12" s="82"/>
      <c r="I12" s="437"/>
      <c r="J12" s="437"/>
      <c r="K12" s="428"/>
      <c r="L12" s="437"/>
      <c r="M12" s="83">
        <f>SUMIF(KHN,O12,TH)</f>
        <v>25487460043</v>
      </c>
      <c r="N12" s="88" t="s">
        <v>109</v>
      </c>
      <c r="O12" s="84" t="s">
        <v>294</v>
      </c>
      <c r="P12" s="84" t="str">
        <f>IF(AND('331-CT'!$E$7=TH!H12,OR(N12="331",O12="331")),"x","")</f>
        <v/>
      </c>
      <c r="Q12" s="84" t="str">
        <f>IF(AND(B12='111'!$L$11,OR($N12=$Q$7,$O12=$Q$7)),"x","")</f>
        <v/>
      </c>
      <c r="R12" s="84" t="str">
        <f>IF(AND($N12=$Q$7,$B12&lt;'111'!$L$11),"x","")</f>
        <v/>
      </c>
      <c r="S12" s="84" t="str">
        <f>IF(AND($O12=$Q$7,$B12&lt;'111'!$L$11),"x","")</f>
        <v/>
      </c>
      <c r="T12" s="84" t="str">
        <f>IF(ISERROR(FIND('112'!$M$9,G12,1)),"",IF((AND(FIND('112'!$M$9,G12,1)&gt;=1,B12='112'!$K$9,OR($N12='112'!$I$6,$O12='112'!$I$6))),"x",""))</f>
        <v/>
      </c>
      <c r="U12" s="84" t="str">
        <f>IF(ISERROR(FIND('112'!$M$9,G12,1)),"",IF((AND(LEFT(G12,2)=LEFT('112'!$M$9,2),B12&lt;'112'!$K$9,$N12='112'!$I$6)),"x",""))</f>
        <v/>
      </c>
      <c r="V12" s="84" t="str">
        <f>IF(ISERROR(FIND('112'!$M$9,G12,1)),"",IF((AND(RIGHT(G12,2)=RIGHT('112'!$M$9,2),B12&lt;'112'!$K$9,$O12='112'!$I$6)),"x",""))</f>
        <v/>
      </c>
      <c r="W12" s="84" t="str">
        <f>IF(AND('341-CT'!$H$9=H12,OR(LEFT(N12,3)=$W$7,LEFT(O12,3)=$W$7)),"x","")</f>
        <v/>
      </c>
      <c r="X12" s="84" t="str">
        <f>IF(OR(TH!N12=TH!$X$7,O12=TH!$X$7),"x","")</f>
        <v/>
      </c>
      <c r="Y12" s="84" t="str">
        <f>IF(AND(OR(N12="131",O12="131"),H12='131-CT'!$H$9),"x","")</f>
        <v/>
      </c>
      <c r="Z12" s="84"/>
      <c r="AA12" s="84" t="str">
        <f>IF(AND(MONTH(E12)='IN-NX'!$J$5,'IN-NX'!$D$7=D12),"x","")</f>
        <v/>
      </c>
      <c r="AB12" s="84" t="str">
        <f>IF(AND(OR(LEFT(TH!N12,2)="15",LEFT(TH!O12,2)="15"),LEFT(TH!O12,3)&lt;&gt;"111",'152-CT'!$J$8=TH!F12),"x","")</f>
        <v/>
      </c>
      <c r="AC12" s="84" t="str">
        <f>IF(AND(OR(LEFT(TH!N12,2)="15",LEFT(TH!O12,2)="15"),TK!$E$7=TH!F12),"x","")</f>
        <v/>
      </c>
      <c r="AD12" s="84" t="str">
        <f>IF(AND(N12="1521",MONTH(C12)='BK-NL'!$M$11),"x","")</f>
        <v/>
      </c>
    </row>
    <row r="13" spans="1:30" s="341" customFormat="1" ht="15.75" hidden="1" customHeight="1">
      <c r="A13" s="336" t="str">
        <f>IF(B13&lt;&gt;"",IF(AND(B13='IN-TC'!$S$4,OR(TH!N13="1111",TH!O13="1111")),TH!D13,""),"")</f>
        <v/>
      </c>
      <c r="B13" s="63">
        <f t="shared" si="0"/>
        <v>1</v>
      </c>
      <c r="C13" s="80">
        <f t="shared" si="1"/>
        <v>42400</v>
      </c>
      <c r="D13" s="80" t="s">
        <v>115</v>
      </c>
      <c r="E13" s="80">
        <v>42400</v>
      </c>
      <c r="F13" s="81" t="s">
        <v>116</v>
      </c>
      <c r="G13" s="81"/>
      <c r="H13" s="89"/>
      <c r="I13" s="438"/>
      <c r="J13" s="438"/>
      <c r="K13" s="429"/>
      <c r="L13" s="438"/>
      <c r="M13" s="83">
        <f>SUMIF(KHN,O13,TH)</f>
        <v>796225536</v>
      </c>
      <c r="N13" s="84" t="s">
        <v>109</v>
      </c>
      <c r="O13" s="84" t="s">
        <v>99</v>
      </c>
      <c r="P13" s="84" t="str">
        <f>IF(AND('331-CT'!$E$7=TH!H13,OR(N13="331",O13="331")),"x","")</f>
        <v/>
      </c>
      <c r="Q13" s="84" t="str">
        <f>IF(AND(B13='111'!$L$11,OR($N13=$Q$7,$O13=$Q$7)),"x","")</f>
        <v/>
      </c>
      <c r="R13" s="84" t="str">
        <f>IF(AND($N13=$Q$7,$B13&lt;'111'!$L$11),"x","")</f>
        <v/>
      </c>
      <c r="S13" s="84" t="str">
        <f>IF(AND($O13=$Q$7,$B13&lt;'111'!$L$11),"x","")</f>
        <v/>
      </c>
      <c r="T13" s="84" t="str">
        <f>IF(ISERROR(FIND('112'!$M$9,G13,1)),"",IF((AND(FIND('112'!$M$9,G13,1)&gt;=1,B13='112'!$K$9,OR($N13='112'!$I$6,$O13='112'!$I$6))),"x",""))</f>
        <v/>
      </c>
      <c r="U13" s="84" t="str">
        <f>IF(ISERROR(FIND('112'!$M$9,G13,1)),"",IF((AND(LEFT(G13,2)=LEFT('112'!$M$9,2),B13&lt;'112'!$K$9,$N13='112'!$I$6)),"x",""))</f>
        <v/>
      </c>
      <c r="V13" s="84" t="str">
        <f>IF(ISERROR(FIND('112'!$M$9,G13,1)),"",IF((AND(RIGHT(G13,2)=RIGHT('112'!$M$9,2),B13&lt;'112'!$K$9,$O13='112'!$I$6)),"x",""))</f>
        <v/>
      </c>
      <c r="W13" s="84" t="str">
        <f>IF(AND('341-CT'!$H$9=H13,OR(LEFT(N13,3)=$W$7,LEFT(O13,3)=$W$7)),"x","")</f>
        <v/>
      </c>
      <c r="X13" s="84" t="str">
        <f>IF(OR(TH!N13=TH!$X$7,O13=TH!$X$7),"x","")</f>
        <v/>
      </c>
      <c r="Y13" s="84" t="str">
        <f>IF(AND(OR(N13="131",O13="131"),H13='131-CT'!$H$9),"x","")</f>
        <v/>
      </c>
      <c r="Z13" s="84"/>
      <c r="AA13" s="84" t="str">
        <f>IF(AND(MONTH(E13)='IN-NX'!$J$5,'IN-NX'!$D$7=D13),"x","")</f>
        <v/>
      </c>
      <c r="AB13" s="84" t="str">
        <f>IF(AND(OR(LEFT(TH!N13,2)="15",LEFT(TH!O13,2)="15"),LEFT(TH!O13,3)&lt;&gt;"111",'152-CT'!$J$8=TH!F13),"x","")</f>
        <v/>
      </c>
      <c r="AC13" s="84" t="str">
        <f>IF(AND(OR(LEFT(TH!N13,2)="15",LEFT(TH!O13,2)="15"),TK!$E$7=TH!F13),"x","")</f>
        <v/>
      </c>
      <c r="AD13" s="84" t="str">
        <f>IF(AND(N13="1521",MONTH(C13)='BK-NL'!$M$11),"x","")</f>
        <v/>
      </c>
    </row>
    <row r="14" spans="1:30" s="341" customFormat="1" ht="15.75" hidden="1" customHeight="1">
      <c r="A14" s="336" t="str">
        <f>IF(B14&lt;&gt;"",IF(AND(B14='IN-TC'!$S$4,OR(TH!N14="1111",TH!O14="1111")),TH!D14,""),"")</f>
        <v/>
      </c>
      <c r="B14" s="63">
        <f t="shared" si="0"/>
        <v>1</v>
      </c>
      <c r="C14" s="80">
        <f t="shared" si="1"/>
        <v>42400</v>
      </c>
      <c r="D14" s="80" t="s">
        <v>115</v>
      </c>
      <c r="E14" s="80">
        <v>42400</v>
      </c>
      <c r="F14" s="81" t="s">
        <v>929</v>
      </c>
      <c r="G14" s="81"/>
      <c r="H14" s="82"/>
      <c r="I14" s="437"/>
      <c r="J14" s="437"/>
      <c r="K14" s="428"/>
      <c r="L14" s="437"/>
      <c r="M14" s="83">
        <f>SUMIF(KHN,O14,TH)</f>
        <v>770135947</v>
      </c>
      <c r="N14" s="84" t="s">
        <v>109</v>
      </c>
      <c r="O14" s="84" t="s">
        <v>591</v>
      </c>
      <c r="P14" s="84" t="str">
        <f>IF(AND('331-CT'!$E$7=TH!H14,OR(N14="331",O14="331")),"x","")</f>
        <v/>
      </c>
      <c r="Q14" s="84" t="str">
        <f>IF(AND(B14='111'!$L$11,OR($N14=$Q$7,$O14=$Q$7)),"x","")</f>
        <v/>
      </c>
      <c r="R14" s="84" t="str">
        <f>IF(AND($N14=$Q$7,$B14&lt;'111'!$L$11),"x","")</f>
        <v/>
      </c>
      <c r="S14" s="84" t="str">
        <f>IF(AND($O14=$Q$7,$B14&lt;'111'!$L$11),"x","")</f>
        <v/>
      </c>
      <c r="T14" s="84" t="str">
        <f>IF(ISERROR(FIND('112'!$M$9,G14,1)),"",IF((AND(FIND('112'!$M$9,G14,1)&gt;=1,B14='112'!$K$9,OR($N14='112'!$I$6,$O14='112'!$I$6))),"x",""))</f>
        <v/>
      </c>
      <c r="U14" s="84" t="str">
        <f>IF(ISERROR(FIND('112'!$M$9,G14,1)),"",IF((AND(LEFT(G14,2)=LEFT('112'!$M$9,2),B14&lt;'112'!$K$9,$N14='112'!$I$6)),"x",""))</f>
        <v/>
      </c>
      <c r="V14" s="84" t="str">
        <f>IF(ISERROR(FIND('112'!$M$9,G14,1)),"",IF((AND(RIGHT(G14,2)=RIGHT('112'!$M$9,2),B14&lt;'112'!$K$9,$O14='112'!$I$6)),"x",""))</f>
        <v/>
      </c>
      <c r="W14" s="84" t="str">
        <f>IF(AND('341-CT'!$H$9=H14,OR(LEFT(N14,3)=$W$7,LEFT(O14,3)=$W$7)),"x","")</f>
        <v/>
      </c>
      <c r="X14" s="84" t="str">
        <f>IF(OR(TH!N14=TH!$X$7,O14=TH!$X$7),"x","")</f>
        <v/>
      </c>
      <c r="Y14" s="84" t="str">
        <f>IF(AND(OR(N14="131",O14="131"),H14='131-CT'!$H$9),"x","")</f>
        <v/>
      </c>
      <c r="Z14" s="84"/>
      <c r="AA14" s="84" t="str">
        <f>IF(AND(MONTH(E14)='IN-NX'!$J$5,'IN-NX'!$D$7=D14),"x","")</f>
        <v/>
      </c>
      <c r="AB14" s="84" t="str">
        <f>IF(AND(OR(LEFT(TH!N14,2)="15",LEFT(TH!O14,2)="15"),LEFT(TH!O14,3)&lt;&gt;"111",'152-CT'!$J$8=TH!F14),"x","")</f>
        <v/>
      </c>
      <c r="AC14" s="84" t="str">
        <f>IF(AND(OR(LEFT(TH!N14,2)="15",LEFT(TH!O14,2)="15"),TK!$E$7=TH!F14),"x","")</f>
        <v/>
      </c>
      <c r="AD14" s="84" t="str">
        <f>IF(AND(N14="1521",MONTH(C14)='BK-NL'!$M$11),"x","")</f>
        <v/>
      </c>
    </row>
    <row r="15" spans="1:30" s="341" customFormat="1" ht="15.75" hidden="1" customHeight="1">
      <c r="A15" s="336" t="str">
        <f>IF(B15&lt;&gt;"",IF(AND(B15='IN-TC'!$S$4,OR(TH!N15="1111",TH!O15="1111")),TH!D15,""),"")</f>
        <v/>
      </c>
      <c r="B15" s="63">
        <f t="shared" si="0"/>
        <v>1</v>
      </c>
      <c r="C15" s="80">
        <f t="shared" si="1"/>
        <v>42400</v>
      </c>
      <c r="D15" s="80" t="s">
        <v>115</v>
      </c>
      <c r="E15" s="80">
        <v>42400</v>
      </c>
      <c r="F15" s="81" t="s">
        <v>117</v>
      </c>
      <c r="G15" s="81"/>
      <c r="H15" s="82"/>
      <c r="I15" s="437"/>
      <c r="J15" s="437"/>
      <c r="K15" s="428"/>
      <c r="L15" s="437"/>
      <c r="M15" s="83">
        <f>SUMIF(KHN,O15,TH)</f>
        <v>769607636</v>
      </c>
      <c r="N15" s="84" t="s">
        <v>109</v>
      </c>
      <c r="O15" s="84" t="s">
        <v>101</v>
      </c>
      <c r="P15" s="84" t="str">
        <f>IF(AND('331-CT'!$E$7=TH!H15,OR(N15="331",O15="331")),"x","")</f>
        <v/>
      </c>
      <c r="Q15" s="84" t="str">
        <f>IF(AND(B15='111'!$L$11,OR($N15=$Q$7,$O15=$Q$7)),"x","")</f>
        <v/>
      </c>
      <c r="R15" s="84" t="str">
        <f>IF(AND($N15=$Q$7,$B15&lt;'111'!$L$11),"x","")</f>
        <v/>
      </c>
      <c r="S15" s="84" t="str">
        <f>IF(AND($O15=$Q$7,$B15&lt;'111'!$L$11),"x","")</f>
        <v/>
      </c>
      <c r="T15" s="84" t="str">
        <f>IF(ISERROR(FIND('112'!$M$9,G15,1)),"",IF((AND(FIND('112'!$M$9,G15,1)&gt;=1,B15='112'!$K$9,OR($N15='112'!$I$6,$O15='112'!$I$6))),"x",""))</f>
        <v/>
      </c>
      <c r="U15" s="84" t="str">
        <f>IF(ISERROR(FIND('112'!$M$9,G15,1)),"",IF((AND(LEFT(G15,2)=LEFT('112'!$M$9,2),B15&lt;'112'!$K$9,$N15='112'!$I$6)),"x",""))</f>
        <v/>
      </c>
      <c r="V15" s="84" t="str">
        <f>IF(ISERROR(FIND('112'!$M$9,G15,1)),"",IF((AND(RIGHT(G15,2)=RIGHT('112'!$M$9,2),B15&lt;'112'!$K$9,$O15='112'!$I$6)),"x",""))</f>
        <v/>
      </c>
      <c r="W15" s="84" t="str">
        <f>IF(AND('341-CT'!$H$9=H15,OR(LEFT(N15,3)=$W$7,LEFT(O15,3)=$W$7)),"x","")</f>
        <v/>
      </c>
      <c r="X15" s="84" t="str">
        <f>IF(OR(TH!N15=TH!$X$7,O15=TH!$X$7),"x","")</f>
        <v/>
      </c>
      <c r="Y15" s="84" t="str">
        <f>IF(AND(OR(N15="131",O15="131"),H15='131-CT'!$H$9),"x","")</f>
        <v/>
      </c>
      <c r="Z15" s="84"/>
      <c r="AA15" s="84" t="str">
        <f>IF(AND(MONTH(E15)='IN-NX'!$J$5,'IN-NX'!$D$7=D15),"x","")</f>
        <v/>
      </c>
      <c r="AB15" s="84" t="str">
        <f>IF(AND(OR(LEFT(TH!N15,2)="15",LEFT(TH!O15,2)="15"),LEFT(TH!O15,3)&lt;&gt;"111",'152-CT'!$J$8=TH!F15),"x","")</f>
        <v/>
      </c>
      <c r="AC15" s="84" t="str">
        <f>IF(AND(OR(LEFT(TH!N15,2)="15",LEFT(TH!O15,2)="15"),TK!$E$7=TH!F15),"x","")</f>
        <v/>
      </c>
      <c r="AD15" s="84" t="str">
        <f>IF(AND(N15="1521",MONTH(C15)='BK-NL'!$M$11),"x","")</f>
        <v/>
      </c>
    </row>
    <row r="16" spans="1:30" s="341" customFormat="1" ht="15.75" hidden="1" customHeight="1">
      <c r="A16" s="336" t="str">
        <f>IF(B16&lt;&gt;"",IF(AND(B16='IN-TC'!$S$4,OR(TH!N16="1111",TH!O16="1111")),TH!D16,""),"")</f>
        <v/>
      </c>
      <c r="B16" s="63">
        <f t="shared" ref="B16:B33" si="2">IF(C16&lt;&gt;"",MONTH(C16),"")</f>
        <v>1</v>
      </c>
      <c r="C16" s="80">
        <f t="shared" si="1"/>
        <v>42400</v>
      </c>
      <c r="D16" s="80" t="s">
        <v>115</v>
      </c>
      <c r="E16" s="80">
        <v>42400</v>
      </c>
      <c r="F16" s="81" t="s">
        <v>118</v>
      </c>
      <c r="G16" s="81"/>
      <c r="H16" s="82"/>
      <c r="I16" s="437"/>
      <c r="J16" s="437"/>
      <c r="K16" s="428"/>
      <c r="L16" s="437"/>
      <c r="M16" s="83">
        <f>SUMIF(KHC,N16,TH)</f>
        <v>193704352.40000087</v>
      </c>
      <c r="N16" s="88" t="s">
        <v>43</v>
      </c>
      <c r="O16" s="84" t="s">
        <v>109</v>
      </c>
      <c r="P16" s="84" t="str">
        <f>IF(AND('331-CT'!$E$7=TH!H16,OR(N16="331",O16="331")),"x","")</f>
        <v/>
      </c>
      <c r="Q16" s="84" t="str">
        <f>IF(AND(B16='111'!$L$11,OR($N16=$Q$7,$O16=$Q$7)),"x","")</f>
        <v/>
      </c>
      <c r="R16" s="84" t="str">
        <f>IF(AND($N16=$Q$7,$B16&lt;'111'!$L$11),"x","")</f>
        <v/>
      </c>
      <c r="S16" s="84" t="str">
        <f>IF(AND($O16=$Q$7,$B16&lt;'111'!$L$11),"x","")</f>
        <v/>
      </c>
      <c r="T16" s="84" t="str">
        <f>IF(ISERROR(FIND('112'!$M$9,G16,1)),"",IF((AND(FIND('112'!$M$9,G16,1)&gt;=1,B16='112'!$K$9,OR($N16='112'!$I$6,$O16='112'!$I$6))),"x",""))</f>
        <v/>
      </c>
      <c r="U16" s="84" t="str">
        <f>IF(ISERROR(FIND('112'!$M$9,G16,1)),"",IF((AND(LEFT(G16,2)=LEFT('112'!$M$9,2),B16&lt;'112'!$K$9,$N16='112'!$I$6)),"x",""))</f>
        <v/>
      </c>
      <c r="V16" s="84" t="str">
        <f>IF(ISERROR(FIND('112'!$M$9,G16,1)),"",IF((AND(RIGHT(G16,2)=RIGHT('112'!$M$9,2),B16&lt;'112'!$K$9,$O16='112'!$I$6)),"x",""))</f>
        <v/>
      </c>
      <c r="W16" s="84" t="str">
        <f>IF(AND('341-CT'!$H$9=H16,OR(LEFT(N16,3)=$W$7,LEFT(O16,3)=$W$7)),"x","")</f>
        <v/>
      </c>
      <c r="X16" s="84" t="str">
        <f>IF(OR(TH!N16=TH!$X$7,O16=TH!$X$7),"x","")</f>
        <v/>
      </c>
      <c r="Y16" s="84" t="str">
        <f>IF(AND(OR(N16="131",O16="131"),H16='131-CT'!$H$9),"x","")</f>
        <v/>
      </c>
      <c r="Z16" s="84"/>
      <c r="AA16" s="84" t="str">
        <f>IF(AND(MONTH(E16)='IN-NX'!$J$5,'IN-NX'!$D$7=D16),"x","")</f>
        <v/>
      </c>
      <c r="AB16" s="84" t="str">
        <f>IF(AND(OR(LEFT(TH!N16,2)="15",LEFT(TH!O16,2)="15"),LEFT(TH!O16,3)&lt;&gt;"111",'152-CT'!$J$8=TH!F16),"x","")</f>
        <v/>
      </c>
      <c r="AC16" s="84" t="str">
        <f>IF(AND(OR(LEFT(TH!N16,2)="15",LEFT(TH!O16,2)="15"),TK!$E$7=TH!F16),"x","")</f>
        <v/>
      </c>
      <c r="AD16" s="84" t="str">
        <f>IF(AND(N16="1521",MONTH(C16)='BK-NL'!$M$11),"x","")</f>
        <v/>
      </c>
    </row>
    <row r="17" spans="1:30" s="341" customFormat="1" ht="15.75" hidden="1" customHeight="1">
      <c r="A17" s="336" t="str">
        <f>IF(B17&lt;&gt;"",IF(AND(B17='IN-TC'!$S$4,OR(TH!N17="1111",TH!O17="1111")),TH!D17,""),"")</f>
        <v/>
      </c>
      <c r="B17" s="63">
        <f t="shared" si="2"/>
        <v>1</v>
      </c>
      <c r="C17" s="80">
        <f t="shared" si="1"/>
        <v>42400</v>
      </c>
      <c r="D17" s="80" t="s">
        <v>115</v>
      </c>
      <c r="E17" s="80">
        <v>42400</v>
      </c>
      <c r="F17" s="81" t="s">
        <v>930</v>
      </c>
      <c r="G17" s="81"/>
      <c r="H17" s="89"/>
      <c r="I17" s="438"/>
      <c r="J17" s="438"/>
      <c r="K17" s="429"/>
      <c r="L17" s="438"/>
      <c r="M17" s="83">
        <f>SUMIF(KHC,N17,TH)</f>
        <v>572273810</v>
      </c>
      <c r="N17" s="84" t="s">
        <v>296</v>
      </c>
      <c r="O17" s="84" t="s">
        <v>109</v>
      </c>
      <c r="P17" s="84" t="str">
        <f>IF(AND('331-CT'!$E$7=TH!H17,OR(N17="331",O17="331")),"x","")</f>
        <v/>
      </c>
      <c r="Q17" s="84" t="str">
        <f>IF(AND(B17='111'!$L$11,OR($N17=$Q$7,$O17=$Q$7)),"x","")</f>
        <v/>
      </c>
      <c r="R17" s="84" t="str">
        <f>IF(AND($N17=$Q$7,$B17&lt;'111'!$L$11),"x","")</f>
        <v/>
      </c>
      <c r="S17" s="84" t="str">
        <f>IF(AND($O17=$Q$7,$B17&lt;'111'!$L$11),"x","")</f>
        <v/>
      </c>
      <c r="T17" s="84" t="str">
        <f>IF(ISERROR(FIND('112'!$M$9,G17,1)),"",IF((AND(FIND('112'!$M$9,G17,1)&gt;=1,B17='112'!$K$9,OR($N17='112'!$I$6,$O17='112'!$I$6))),"x",""))</f>
        <v/>
      </c>
      <c r="U17" s="84" t="str">
        <f>IF(ISERROR(FIND('112'!$M$9,G17,1)),"",IF((AND(LEFT(G17,2)=LEFT('112'!$M$9,2),B17&lt;'112'!$K$9,$N17='112'!$I$6)),"x",""))</f>
        <v/>
      </c>
      <c r="V17" s="84" t="str">
        <f>IF(ISERROR(FIND('112'!$M$9,G17,1)),"",IF((AND(RIGHT(G17,2)=RIGHT('112'!$M$9,2),B17&lt;'112'!$K$9,$O17='112'!$I$6)),"x",""))</f>
        <v/>
      </c>
      <c r="W17" s="84" t="str">
        <f>IF(AND('341-CT'!$H$9=H17,OR(LEFT(N17,3)=$W$7,LEFT(O17,3)=$W$7)),"x","")</f>
        <v/>
      </c>
      <c r="X17" s="84" t="str">
        <f>IF(OR(TH!N17=TH!$X$7,O17=TH!$X$7),"x","")</f>
        <v/>
      </c>
      <c r="Y17" s="84" t="str">
        <f>IF(AND(OR(N17="131",O17="131"),H17='131-CT'!$H$9),"x","")</f>
        <v/>
      </c>
      <c r="Z17" s="84"/>
      <c r="AA17" s="84" t="str">
        <f>IF(AND(MONTH(E17)='IN-NX'!$J$5,'IN-NX'!$D$7=D17),"x","")</f>
        <v/>
      </c>
      <c r="AB17" s="84" t="str">
        <f>IF(AND(OR(LEFT(TH!N17,2)="15",LEFT(TH!O17,2)="15"),LEFT(TH!O17,3)&lt;&gt;"111",'152-CT'!$J$8=TH!F17),"x","")</f>
        <v/>
      </c>
      <c r="AC17" s="84" t="str">
        <f>IF(AND(OR(LEFT(TH!N17,2)="15",LEFT(TH!O17,2)="15"),TK!$E$7=TH!F17),"x","")</f>
        <v/>
      </c>
      <c r="AD17" s="84" t="str">
        <f>IF(AND(N17="1521",MONTH(C17)='BK-NL'!$M$11),"x","")</f>
        <v/>
      </c>
    </row>
    <row r="18" spans="1:30" s="341" customFormat="1" ht="15.75" hidden="1" customHeight="1">
      <c r="A18" s="336" t="str">
        <f>IF(B18&lt;&gt;"",IF(AND(B18='IN-TC'!$S$4,OR(TH!N18="1111",TH!O18="1111")),TH!D18,""),"")</f>
        <v/>
      </c>
      <c r="B18" s="63">
        <f t="shared" si="2"/>
        <v>1</v>
      </c>
      <c r="C18" s="80">
        <f t="shared" si="1"/>
        <v>42400</v>
      </c>
      <c r="D18" s="80" t="s">
        <v>115</v>
      </c>
      <c r="E18" s="80">
        <v>42400</v>
      </c>
      <c r="F18" s="81" t="s">
        <v>931</v>
      </c>
      <c r="G18" s="81"/>
      <c r="H18" s="82"/>
      <c r="I18" s="437"/>
      <c r="J18" s="437"/>
      <c r="K18" s="428"/>
      <c r="L18" s="437"/>
      <c r="M18" s="83">
        <f>SUMIF(KHC,N18,TH)</f>
        <v>28790816325</v>
      </c>
      <c r="N18" s="84" t="s">
        <v>298</v>
      </c>
      <c r="O18" s="84" t="s">
        <v>109</v>
      </c>
      <c r="P18" s="84" t="str">
        <f>IF(AND('331-CT'!$E$7=TH!H18,OR(N18="331",O18="331")),"x","")</f>
        <v/>
      </c>
      <c r="Q18" s="84" t="str">
        <f>IF(AND(B18='111'!$L$11,OR($N18=$Q$7,$O18=$Q$7)),"x","")</f>
        <v/>
      </c>
      <c r="R18" s="84" t="str">
        <f>IF(AND($N18=$Q$7,$B18&lt;'111'!$L$11),"x","")</f>
        <v/>
      </c>
      <c r="S18" s="84" t="str">
        <f>IF(AND($O18=$Q$7,$B18&lt;'111'!$L$11),"x","")</f>
        <v/>
      </c>
      <c r="T18" s="84" t="str">
        <f>IF(ISERROR(FIND('112'!$M$9,G18,1)),"",IF((AND(FIND('112'!$M$9,G18,1)&gt;=1,B18='112'!$K$9,OR($N18='112'!$I$6,$O18='112'!$I$6))),"x",""))</f>
        <v/>
      </c>
      <c r="U18" s="84" t="str">
        <f>IF(ISERROR(FIND('112'!$M$9,G18,1)),"",IF((AND(LEFT(G18,2)=LEFT('112'!$M$9,2),B18&lt;'112'!$K$9,$N18='112'!$I$6)),"x",""))</f>
        <v/>
      </c>
      <c r="V18" s="84" t="str">
        <f>IF(ISERROR(FIND('112'!$M$9,G18,1)),"",IF((AND(RIGHT(G18,2)=RIGHT('112'!$M$9,2),B18&lt;'112'!$K$9,$O18='112'!$I$6)),"x",""))</f>
        <v/>
      </c>
      <c r="W18" s="84" t="str">
        <f>IF(AND('341-CT'!$H$9=H18,OR(LEFT(N18,3)=$W$7,LEFT(O18,3)=$W$7)),"x","")</f>
        <v/>
      </c>
      <c r="X18" s="84" t="str">
        <f>IF(OR(TH!N18=TH!$X$7,O18=TH!$X$7),"x","")</f>
        <v/>
      </c>
      <c r="Y18" s="84" t="str">
        <f>IF(AND(OR(N18="131",O18="131"),H18='131-CT'!$H$9),"x","")</f>
        <v/>
      </c>
      <c r="Z18" s="84"/>
      <c r="AA18" s="84" t="str">
        <f>IF(AND(MONTH(E18)='IN-NX'!$J$5,'IN-NX'!$D$7=D18),"x","")</f>
        <v/>
      </c>
      <c r="AB18" s="84" t="str">
        <f>IF(AND(OR(LEFT(TH!N18,2)="15",LEFT(TH!O18,2)="15"),LEFT(TH!O18,3)&lt;&gt;"111",'152-CT'!$J$8=TH!F18),"x","")</f>
        <v/>
      </c>
      <c r="AC18" s="84" t="str">
        <f>IF(AND(OR(LEFT(TH!N18,2)="15",LEFT(TH!O18,2)="15"),TK!$E$7=TH!F18),"x","")</f>
        <v/>
      </c>
      <c r="AD18" s="84" t="str">
        <f>IF(AND(N18="1521",MONTH(C18)='BK-NL'!$M$11),"x","")</f>
        <v/>
      </c>
    </row>
    <row r="19" spans="1:30" s="341" customFormat="1" ht="15.75" hidden="1" customHeight="1">
      <c r="A19" s="336" t="str">
        <f>IF(B19&lt;&gt;"",IF(AND(B19='IN-TC'!$S$4,OR(TH!N19="1111",TH!O19="1111")),TH!D19,""),"")</f>
        <v/>
      </c>
      <c r="B19" s="63">
        <f t="shared" si="2"/>
        <v>1</v>
      </c>
      <c r="C19" s="80">
        <f t="shared" si="1"/>
        <v>42400</v>
      </c>
      <c r="D19" s="80" t="s">
        <v>115</v>
      </c>
      <c r="E19" s="80">
        <v>42400</v>
      </c>
      <c r="F19" s="81" t="s">
        <v>119</v>
      </c>
      <c r="G19" s="81"/>
      <c r="H19" s="82"/>
      <c r="I19" s="437"/>
      <c r="J19" s="437"/>
      <c r="K19" s="428"/>
      <c r="L19" s="437"/>
      <c r="M19" s="83">
        <f>SUMIF(KHC,N19,TH)</f>
        <v>0</v>
      </c>
      <c r="N19" s="84" t="s">
        <v>103</v>
      </c>
      <c r="O19" s="84" t="s">
        <v>109</v>
      </c>
      <c r="P19" s="84" t="str">
        <f>IF(AND('331-CT'!$E$7=TH!H19,OR(N19="331",O19="331")),"x","")</f>
        <v/>
      </c>
      <c r="Q19" s="84" t="str">
        <f>IF(AND(B19='111'!$L$11,OR($N19=$Q$7,$O19=$Q$7)),"x","")</f>
        <v/>
      </c>
      <c r="R19" s="84" t="str">
        <f>IF(AND($N19=$Q$7,$B19&lt;'111'!$L$11),"x","")</f>
        <v/>
      </c>
      <c r="S19" s="84" t="str">
        <f>IF(AND($O19=$Q$7,$B19&lt;'111'!$L$11),"x","")</f>
        <v/>
      </c>
      <c r="T19" s="84" t="str">
        <f>IF(ISERROR(FIND('112'!$M$9,G19,1)),"",IF((AND(FIND('112'!$M$9,G19,1)&gt;=1,B19='112'!$K$9,OR($N19='112'!$I$6,$O19='112'!$I$6))),"x",""))</f>
        <v/>
      </c>
      <c r="U19" s="84" t="str">
        <f>IF(ISERROR(FIND('112'!$M$9,G19,1)),"",IF((AND(LEFT(G19,2)=LEFT('112'!$M$9,2),B19&lt;'112'!$K$9,$N19='112'!$I$6)),"x",""))</f>
        <v/>
      </c>
      <c r="V19" s="84" t="str">
        <f>IF(ISERROR(FIND('112'!$M$9,G19,1)),"",IF((AND(RIGHT(G19,2)=RIGHT('112'!$M$9,2),B19&lt;'112'!$K$9,$O19='112'!$I$6)),"x",""))</f>
        <v/>
      </c>
      <c r="W19" s="84" t="str">
        <f>IF(AND('341-CT'!$H$9=H19,OR(LEFT(N19,3)=$W$7,LEFT(O19,3)=$W$7)),"x","")</f>
        <v/>
      </c>
      <c r="X19" s="84" t="str">
        <f>IF(OR(TH!N19=TH!$X$7,O19=TH!$X$7),"x","")</f>
        <v/>
      </c>
      <c r="Y19" s="84" t="str">
        <f>IF(AND(OR(N19="131",O19="131"),H19='131-CT'!$H$9),"x","")</f>
        <v/>
      </c>
      <c r="Z19" s="84"/>
      <c r="AA19" s="84" t="str">
        <f>IF(AND(MONTH(E19)='IN-NX'!$J$5,'IN-NX'!$D$7=D19),"x","")</f>
        <v/>
      </c>
      <c r="AB19" s="84" t="str">
        <f>IF(AND(OR(LEFT(TH!N19,2)="15",LEFT(TH!O19,2)="15"),LEFT(TH!O19,3)&lt;&gt;"111",'152-CT'!$J$8=TH!F19),"x","")</f>
        <v/>
      </c>
      <c r="AC19" s="84" t="str">
        <f>IF(AND(OR(LEFT(TH!N19,2)="15",LEFT(TH!O19,2)="15"),TK!$E$7=TH!F19),"x","")</f>
        <v/>
      </c>
      <c r="AD19" s="84" t="str">
        <f>IF(AND(N19="1521",MONTH(C19)='BK-NL'!$M$11),"x","")</f>
        <v/>
      </c>
    </row>
    <row r="20" spans="1:30" s="341" customFormat="1" ht="15.75" hidden="1" customHeight="1">
      <c r="A20" s="336" t="str">
        <f>IF(B20&lt;&gt;"",IF(AND(B20='IN-TC'!$S$4,OR(TH!N20="1111",TH!O20="1111")),TH!D20,""),"")</f>
        <v/>
      </c>
      <c r="B20" s="63">
        <f t="shared" si="2"/>
        <v>1</v>
      </c>
      <c r="C20" s="80">
        <f t="shared" si="1"/>
        <v>42400</v>
      </c>
      <c r="D20" s="80" t="s">
        <v>115</v>
      </c>
      <c r="E20" s="80">
        <v>42400</v>
      </c>
      <c r="F20" s="81" t="s">
        <v>120</v>
      </c>
      <c r="G20" s="81"/>
      <c r="H20" s="82"/>
      <c r="I20" s="437"/>
      <c r="J20" s="437"/>
      <c r="K20" s="428"/>
      <c r="L20" s="437"/>
      <c r="M20" s="83">
        <f>SUMIF(KHN,O20,TH)</f>
        <v>441104</v>
      </c>
      <c r="N20" s="88" t="s">
        <v>109</v>
      </c>
      <c r="O20" s="84" t="s">
        <v>105</v>
      </c>
      <c r="P20" s="84" t="str">
        <f>IF(AND('331-CT'!$E$7=TH!H20,OR(N20="331",O20="331")),"x","")</f>
        <v/>
      </c>
      <c r="Q20" s="84" t="str">
        <f>IF(AND(B20='111'!$L$11,OR($N20=$Q$7,$O20=$Q$7)),"x","")</f>
        <v/>
      </c>
      <c r="R20" s="84" t="str">
        <f>IF(AND($N20=$Q$7,$B20&lt;'111'!$L$11),"x","")</f>
        <v/>
      </c>
      <c r="S20" s="84" t="str">
        <f>IF(AND($O20=$Q$7,$B20&lt;'111'!$L$11),"x","")</f>
        <v/>
      </c>
      <c r="T20" s="84" t="str">
        <f>IF(ISERROR(FIND('112'!$M$9,G20,1)),"",IF((AND(FIND('112'!$M$9,G20,1)&gt;=1,B20='112'!$K$9,OR($N20='112'!$I$6,$O20='112'!$I$6))),"x",""))</f>
        <v/>
      </c>
      <c r="U20" s="84" t="str">
        <f>IF(ISERROR(FIND('112'!$M$9,G20,1)),"",IF((AND(LEFT(G20,2)=LEFT('112'!$M$9,2),B20&lt;'112'!$K$9,$N20='112'!$I$6)),"x",""))</f>
        <v/>
      </c>
      <c r="V20" s="84" t="str">
        <f>IF(ISERROR(FIND('112'!$M$9,G20,1)),"",IF((AND(RIGHT(G20,2)=RIGHT('112'!$M$9,2),B20&lt;'112'!$K$9,$O20='112'!$I$6)),"x",""))</f>
        <v/>
      </c>
      <c r="W20" s="84" t="str">
        <f>IF(AND('341-CT'!$H$9=H20,OR(LEFT(N20,3)=$W$7,LEFT(O20,3)=$W$7)),"x","")</f>
        <v/>
      </c>
      <c r="X20" s="84" t="str">
        <f>IF(OR(TH!N20=TH!$X$7,O20=TH!$X$7),"x","")</f>
        <v/>
      </c>
      <c r="Y20" s="84" t="str">
        <f>IF(AND(OR(N20="131",O20="131"),H20='131-CT'!$H$9),"x","")</f>
        <v/>
      </c>
      <c r="Z20" s="84"/>
      <c r="AA20" s="84" t="str">
        <f>IF(AND(MONTH(E20)='IN-NX'!$J$5,'IN-NX'!$D$7=D20),"x","")</f>
        <v/>
      </c>
      <c r="AB20" s="84" t="str">
        <f>IF(AND(OR(LEFT(TH!N20,2)="15",LEFT(TH!O20,2)="15"),LEFT(TH!O20,3)&lt;&gt;"111",'152-CT'!$J$8=TH!F20),"x","")</f>
        <v/>
      </c>
      <c r="AC20" s="84" t="str">
        <f>IF(AND(OR(LEFT(TH!N20,2)="15",LEFT(TH!O20,2)="15"),TK!$E$7=TH!F20),"x","")</f>
        <v/>
      </c>
      <c r="AD20" s="84" t="str">
        <f>IF(AND(N20="1521",MONTH(C20)='BK-NL'!$M$11),"x","")</f>
        <v/>
      </c>
    </row>
    <row r="21" spans="1:30" s="341" customFormat="1" ht="15.75" hidden="1" customHeight="1">
      <c r="A21" s="336" t="str">
        <f>IF(B21&lt;&gt;"",IF(AND(B21='IN-TC'!$S$4,OR(TH!N21="1111",TH!O21="1111")),TH!D21,""),"")</f>
        <v/>
      </c>
      <c r="B21" s="63">
        <f t="shared" si="2"/>
        <v>1</v>
      </c>
      <c r="C21" s="80">
        <f>E21</f>
        <v>42400</v>
      </c>
      <c r="D21" s="80" t="s">
        <v>115</v>
      </c>
      <c r="E21" s="80">
        <v>42400</v>
      </c>
      <c r="F21" s="81" t="s">
        <v>1368</v>
      </c>
      <c r="G21" s="81"/>
      <c r="H21" s="82"/>
      <c r="I21" s="437"/>
      <c r="J21" s="437"/>
      <c r="K21" s="428"/>
      <c r="L21" s="437"/>
      <c r="M21" s="83"/>
      <c r="N21" s="88" t="s">
        <v>109</v>
      </c>
      <c r="O21" s="84" t="s">
        <v>94</v>
      </c>
      <c r="P21" s="84" t="str">
        <f>IF(AND('331-CT'!$E$7=TH!H21,OR(N21="331",O21="331")),"x","")</f>
        <v/>
      </c>
      <c r="Q21" s="84" t="str">
        <f>IF(AND(B21='111'!$L$11,OR($N21=$Q$7,$O21=$Q$7)),"x","")</f>
        <v/>
      </c>
      <c r="R21" s="84" t="str">
        <f>IF(AND($N21=$Q$7,$B21&lt;'111'!$L$11),"x","")</f>
        <v/>
      </c>
      <c r="S21" s="84" t="str">
        <f>IF(AND($O21=$Q$7,$B21&lt;'111'!$L$11),"x","")</f>
        <v/>
      </c>
      <c r="T21" s="84" t="str">
        <f>IF(ISERROR(FIND('112'!$M$9,G21,1)),"",IF((AND(FIND('112'!$M$9,G21,1)&gt;=1,B21='112'!$K$9,OR($N21='112'!$I$6,$O21='112'!$I$6))),"x",""))</f>
        <v/>
      </c>
      <c r="U21" s="84" t="str">
        <f>IF(ISERROR(FIND('112'!$M$9,G21,1)),"",IF((AND(LEFT(G21,2)=LEFT('112'!$M$9,2),B21&lt;'112'!$K$9,$N21='112'!$I$6)),"x",""))</f>
        <v/>
      </c>
      <c r="V21" s="84" t="str">
        <f>IF(ISERROR(FIND('112'!$M$9,G21,1)),"",IF((AND(RIGHT(G21,2)=RIGHT('112'!$M$9,2),B21&lt;'112'!$K$9,$O21='112'!$I$6)),"x",""))</f>
        <v/>
      </c>
      <c r="W21" s="84" t="str">
        <f>IF(AND('341-CT'!$H$9=H21,OR(LEFT(N21,3)=$W$7,LEFT(O21,3)=$W$7)),"x","")</f>
        <v/>
      </c>
      <c r="X21" s="84" t="str">
        <f>IF(OR(TH!N21=TH!$X$7,O21=TH!$X$7),"x","")</f>
        <v/>
      </c>
      <c r="Y21" s="84" t="str">
        <f>IF(AND(OR(N21="131",O21="131"),H21='131-CT'!$H$9),"x","")</f>
        <v/>
      </c>
      <c r="Z21" s="84"/>
      <c r="AA21" s="84" t="str">
        <f>IF(AND(MONTH(E21)='IN-NX'!$J$5,'IN-NX'!$D$7=D21),"x","")</f>
        <v/>
      </c>
      <c r="AB21" s="84" t="str">
        <f>IF(AND(OR(LEFT(TH!N21,2)="15",LEFT(TH!O21,2)="15"),LEFT(TH!O21,3)&lt;&gt;"111",'152-CT'!$J$8=TH!F21),"x","")</f>
        <v/>
      </c>
      <c r="AC21" s="84" t="str">
        <f>IF(AND(OR(LEFT(TH!N21,2)="15",LEFT(TH!O21,2)="15"),TK!$E$7=TH!F21),"x","")</f>
        <v/>
      </c>
      <c r="AD21" s="84" t="str">
        <f>IF(AND(N21="1521",MONTH(C21)='BK-NL'!$M$11),"x","")</f>
        <v/>
      </c>
    </row>
    <row r="22" spans="1:30" s="341" customFormat="1" ht="15.75" hidden="1" customHeight="1">
      <c r="A22" s="336" t="str">
        <f>IF(B22&lt;&gt;"",IF(AND(B22='IN-TC'!$S$4,OR(TH!N22="1111",TH!O22="1111")),TH!D22,""),"")</f>
        <v/>
      </c>
      <c r="B22" s="63">
        <f t="shared" si="2"/>
        <v>1</v>
      </c>
      <c r="C22" s="80">
        <f>E22</f>
        <v>42400</v>
      </c>
      <c r="D22" s="80" t="s">
        <v>115</v>
      </c>
      <c r="E22" s="80">
        <v>42400</v>
      </c>
      <c r="F22" s="81" t="s">
        <v>1999</v>
      </c>
      <c r="G22" s="81"/>
      <c r="H22" s="82"/>
      <c r="I22" s="437"/>
      <c r="J22" s="437"/>
      <c r="K22" s="428"/>
      <c r="L22" s="437"/>
      <c r="M22" s="83"/>
      <c r="N22" s="88" t="s">
        <v>107</v>
      </c>
      <c r="O22" s="84" t="s">
        <v>77</v>
      </c>
      <c r="P22" s="84" t="str">
        <f>IF(AND('331-CT'!$E$7=TH!H22,OR(N22="331",O22="331")),"x","")</f>
        <v/>
      </c>
      <c r="Q22" s="84" t="str">
        <f>IF(AND(B22='111'!$L$11,OR($N22=$Q$7,$O22=$Q$7)),"x","")</f>
        <v/>
      </c>
      <c r="R22" s="84" t="str">
        <f>IF(AND($N22=$Q$7,$B22&lt;'111'!$L$11),"x","")</f>
        <v/>
      </c>
      <c r="S22" s="84" t="str">
        <f>IF(AND($O22=$Q$7,$B22&lt;'111'!$L$11),"x","")</f>
        <v/>
      </c>
      <c r="T22" s="84" t="str">
        <f>IF(ISERROR(FIND('112'!$M$9,G22,1)),"",IF((AND(FIND('112'!$M$9,G22,1)&gt;=1,B22='112'!$K$9,OR($N22='112'!$I$6,$O22='112'!$I$6))),"x",""))</f>
        <v/>
      </c>
      <c r="U22" s="84" t="str">
        <f>IF(ISERROR(FIND('112'!$M$9,G22,1)),"",IF((AND(LEFT(G22,2)=LEFT('112'!$M$9,2),B22&lt;'112'!$K$9,$N22='112'!$I$6)),"x",""))</f>
        <v/>
      </c>
      <c r="V22" s="84" t="str">
        <f>IF(ISERROR(FIND('112'!$M$9,G22,1)),"",IF((AND(RIGHT(G22,2)=RIGHT('112'!$M$9,2),B22&lt;'112'!$K$9,$O22='112'!$I$6)),"x",""))</f>
        <v/>
      </c>
      <c r="W22" s="84" t="str">
        <f>IF(AND('341-CT'!$H$9=H22,OR(LEFT(N22,3)=$W$7,LEFT(O22,3)=$W$7)),"x","")</f>
        <v/>
      </c>
      <c r="X22" s="84" t="str">
        <f>IF(OR(TH!N22=TH!$X$7,O22=TH!$X$7),"x","")</f>
        <v/>
      </c>
      <c r="Y22" s="84" t="str">
        <f>IF(AND(OR(N22="131",O22="131"),H22='131-CT'!$H$9),"x","")</f>
        <v/>
      </c>
      <c r="Z22" s="84"/>
      <c r="AA22" s="84" t="str">
        <f>IF(AND(MONTH(E22)='IN-NX'!$J$5,'IN-NX'!$D$7=D22),"x","")</f>
        <v/>
      </c>
      <c r="AB22" s="84" t="str">
        <f>IF(AND(OR(LEFT(TH!N22,2)="15",LEFT(TH!O22,2)="15"),LEFT(TH!O22,3)&lt;&gt;"111",'152-CT'!$J$8=TH!F22),"x","")</f>
        <v/>
      </c>
      <c r="AC22" s="84" t="str">
        <f>IF(AND(OR(LEFT(TH!N22,2)="15",LEFT(TH!O22,2)="15"),TK!$E$7=TH!F22),"x","")</f>
        <v/>
      </c>
      <c r="AD22" s="84" t="str">
        <f>IF(AND(N22="1521",MONTH(C22)='BK-NL'!$M$11),"x","")</f>
        <v/>
      </c>
    </row>
    <row r="23" spans="1:30" s="341" customFormat="1" ht="15.75" hidden="1" customHeight="1">
      <c r="A23" s="336" t="str">
        <f>IF(B23&lt;&gt;"",IF(AND(B23='IN-TC'!$S$4,OR(TH!N23="1111",TH!O23="1111")),TH!D23,""),"")</f>
        <v/>
      </c>
      <c r="B23" s="63">
        <f t="shared" si="2"/>
        <v>1</v>
      </c>
      <c r="C23" s="80">
        <f>E23</f>
        <v>42400</v>
      </c>
      <c r="D23" s="80" t="s">
        <v>115</v>
      </c>
      <c r="E23" s="80">
        <v>42400</v>
      </c>
      <c r="F23" s="81" t="s">
        <v>2000</v>
      </c>
      <c r="G23" s="81"/>
      <c r="H23" s="82"/>
      <c r="I23" s="437"/>
      <c r="J23" s="437"/>
      <c r="K23" s="428"/>
      <c r="L23" s="437"/>
      <c r="M23" s="83"/>
      <c r="N23" s="88" t="s">
        <v>109</v>
      </c>
      <c r="O23" s="84" t="s">
        <v>107</v>
      </c>
      <c r="P23" s="84" t="str">
        <f>IF(AND('331-CT'!$E$7=TH!H23,OR(N23="331",O23="331")),"x","")</f>
        <v/>
      </c>
      <c r="Q23" s="84" t="str">
        <f>IF(AND(B23='111'!$L$11,OR($N23=$Q$7,$O23=$Q$7)),"x","")</f>
        <v/>
      </c>
      <c r="R23" s="84" t="str">
        <f>IF(AND($N23=$Q$7,$B23&lt;'111'!$L$11),"x","")</f>
        <v/>
      </c>
      <c r="S23" s="84" t="str">
        <f>IF(AND($O23=$Q$7,$B23&lt;'111'!$L$11),"x","")</f>
        <v/>
      </c>
      <c r="T23" s="84" t="str">
        <f>IF(ISERROR(FIND('112'!$M$9,G23,1)),"",IF((AND(FIND('112'!$M$9,G23,1)&gt;=1,B23='112'!$K$9,OR($N23='112'!$I$6,$O23='112'!$I$6))),"x",""))</f>
        <v/>
      </c>
      <c r="U23" s="84" t="str">
        <f>IF(ISERROR(FIND('112'!$M$9,G23,1)),"",IF((AND(LEFT(G23,2)=LEFT('112'!$M$9,2),B23&lt;'112'!$K$9,$N23='112'!$I$6)),"x",""))</f>
        <v/>
      </c>
      <c r="V23" s="84" t="str">
        <f>IF(ISERROR(FIND('112'!$M$9,G23,1)),"",IF((AND(RIGHT(G23,2)=RIGHT('112'!$M$9,2),B23&lt;'112'!$K$9,$O23='112'!$I$6)),"x",""))</f>
        <v/>
      </c>
      <c r="W23" s="84" t="str">
        <f>IF(AND('341-CT'!$H$9=H23,OR(LEFT(N23,3)=$W$7,LEFT(O23,3)=$W$7)),"x","")</f>
        <v/>
      </c>
      <c r="X23" s="84" t="str">
        <f>IF(OR(TH!N23=TH!$X$7,O23=TH!$X$7),"x","")</f>
        <v/>
      </c>
      <c r="Y23" s="84" t="str">
        <f>IF(AND(OR(N23="131",O23="131"),H23='131-CT'!$H$9),"x","")</f>
        <v/>
      </c>
      <c r="Z23" s="84"/>
      <c r="AA23" s="84" t="str">
        <f>IF(AND(MONTH(E23)='IN-NX'!$J$5,'IN-NX'!$D$7=D23),"x","")</f>
        <v/>
      </c>
      <c r="AB23" s="84" t="str">
        <f>IF(AND(OR(LEFT(TH!N23,2)="15",LEFT(TH!O23,2)="15"),LEFT(TH!O23,3)&lt;&gt;"111",'152-CT'!$J$8=TH!F23),"x","")</f>
        <v/>
      </c>
      <c r="AC23" s="84" t="str">
        <f>IF(AND(OR(LEFT(TH!N23,2)="15",LEFT(TH!O23,2)="15"),TK!$E$7=TH!F23),"x","")</f>
        <v/>
      </c>
      <c r="AD23" s="84" t="str">
        <f>IF(AND(N23="1521",MONTH(C23)='BK-NL'!$M$11),"x","")</f>
        <v/>
      </c>
    </row>
    <row r="24" spans="1:30" s="1208" customFormat="1" ht="15.75" hidden="1" customHeight="1">
      <c r="A24" s="1198" t="str">
        <f>IF(B24&lt;&gt;"",IF(AND(B24='IN-TC'!$S$4,OR(TH!N24="1111",TH!O24="1111")),TH!D24,""),"")</f>
        <v/>
      </c>
      <c r="B24" s="1199">
        <f t="shared" si="2"/>
        <v>6</v>
      </c>
      <c r="C24" s="1200">
        <v>42551</v>
      </c>
      <c r="D24" s="1200" t="s">
        <v>115</v>
      </c>
      <c r="E24" s="1200">
        <v>42551</v>
      </c>
      <c r="F24" s="1201" t="s">
        <v>1995</v>
      </c>
      <c r="G24" s="1201"/>
      <c r="H24" s="1202"/>
      <c r="I24" s="1203"/>
      <c r="J24" s="1203"/>
      <c r="K24" s="1206"/>
      <c r="L24" s="1203"/>
      <c r="M24" s="1204">
        <v>279617893</v>
      </c>
      <c r="N24" s="1207" t="s">
        <v>286</v>
      </c>
      <c r="O24" s="1205" t="s">
        <v>162</v>
      </c>
      <c r="P24" s="1205" t="str">
        <f>IF(AND('331-CT'!$E$7=TH!H24,OR(N24="331",O24="331")),"x","")</f>
        <v/>
      </c>
      <c r="Q24" s="1205" t="str">
        <f>IF(AND(B24='111'!$L$11,OR($N24=$Q$7,$O24=$Q$7)),"x","")</f>
        <v/>
      </c>
      <c r="R24" s="1205" t="str">
        <f>IF(AND($N24=$Q$7,$B24&lt;'111'!$L$11),"x","")</f>
        <v/>
      </c>
      <c r="S24" s="1205" t="str">
        <f>IF(AND($O24=$Q$7,$B24&lt;'111'!$L$11),"x","")</f>
        <v/>
      </c>
      <c r="T24" s="1205" t="str">
        <f>IF(ISERROR(FIND('112'!$M$9,G24,1)),"",IF((AND(FIND('112'!$M$9,G24,1)&gt;=1,B24='112'!$K$9,OR($N24='112'!$I$6,$O24='112'!$I$6))),"x",""))</f>
        <v/>
      </c>
      <c r="U24" s="1205" t="str">
        <f>IF(ISERROR(FIND('112'!$M$9,G24,1)),"",IF((AND(LEFT(G24,2)=LEFT('112'!$M$9,2),B24&lt;'112'!$K$9,$N24='112'!$I$6)),"x",""))</f>
        <v/>
      </c>
      <c r="V24" s="1205" t="str">
        <f>IF(ISERROR(FIND('112'!$M$9,G24,1)),"",IF((AND(RIGHT(G24,2)=RIGHT('112'!$M$9,2),B24&lt;'112'!$K$9,$O24='112'!$I$6)),"x",""))</f>
        <v/>
      </c>
      <c r="W24" s="1205" t="str">
        <f>IF(AND('341-CT'!$H$9=H24,OR(LEFT(N24,3)=$W$7,LEFT(O24,3)=$W$7)),"x","")</f>
        <v/>
      </c>
      <c r="X24" s="1205" t="str">
        <f>IF(OR(TH!N24=TH!$X$7,O24=TH!$X$7),"x","")</f>
        <v/>
      </c>
      <c r="Y24" s="1205" t="str">
        <f>IF(AND(OR(N24="131",O24="131"),H24='131-CT'!$H$9),"x","")</f>
        <v/>
      </c>
      <c r="Z24" s="1205"/>
      <c r="AA24" s="1205" t="str">
        <f>IF(AND(MONTH(E24)='IN-NX'!$J$5,'IN-NX'!$D$7=D24),"x","")</f>
        <v/>
      </c>
      <c r="AB24" s="1205" t="str">
        <f>IF(AND(OR(LEFT(TH!N24,2)="15",LEFT(TH!O24,2)="15"),LEFT(TH!O24,3)&lt;&gt;"111",'152-CT'!$J$8=TH!F24),"x","")</f>
        <v/>
      </c>
      <c r="AC24" s="1205" t="str">
        <f>IF(AND(OR(LEFT(TH!N24,2)="15",LEFT(TH!O24,2)="15"),TK!$E$7=TH!F24),"x","")</f>
        <v/>
      </c>
      <c r="AD24" s="1205" t="str">
        <f>IF(AND(N24="1521",MONTH(C24)='BK-NL'!$M$11),"x","")</f>
        <v/>
      </c>
    </row>
    <row r="25" spans="1:30" s="341" customFormat="1" ht="15.75" hidden="1" customHeight="1">
      <c r="A25" s="336" t="str">
        <f>IF(B25&lt;&gt;"",IF(AND(B25='IN-TC'!$S$4,OR(TH!N25="1111",TH!O25="1111")),TH!D25,""),"")</f>
        <v/>
      </c>
      <c r="B25" s="63">
        <f t="shared" si="2"/>
        <v>1</v>
      </c>
      <c r="C25" s="868">
        <v>42400</v>
      </c>
      <c r="D25" s="868" t="s">
        <v>582</v>
      </c>
      <c r="E25" s="868">
        <f t="shared" ref="E25:E32" si="3">C25</f>
        <v>42400</v>
      </c>
      <c r="F25" s="869" t="s">
        <v>1315</v>
      </c>
      <c r="G25" s="869"/>
      <c r="H25" s="73"/>
      <c r="I25" s="439"/>
      <c r="J25" s="439"/>
      <c r="K25" s="430"/>
      <c r="L25" s="439"/>
      <c r="M25" s="870">
        <v>10010706</v>
      </c>
      <c r="N25" s="874" t="s">
        <v>282</v>
      </c>
      <c r="O25" s="875" t="s">
        <v>589</v>
      </c>
      <c r="P25" s="84" t="str">
        <f>IF(AND('331-CT'!$E$7=TH!H25,OR(N25="331",O25="331")),"x","")</f>
        <v/>
      </c>
      <c r="Q25" s="84" t="str">
        <f>IF(AND(B25='111'!$L$11,OR($N25=$Q$7,$O25=$Q$7)),"x","")</f>
        <v/>
      </c>
      <c r="R25" s="84" t="str">
        <f>IF(AND($N25=$Q$7,$B25&lt;'111'!$L$11),"x","")</f>
        <v/>
      </c>
      <c r="S25" s="84" t="str">
        <f>IF(AND($O25=$Q$7,$B25&lt;'111'!$L$11),"x","")</f>
        <v/>
      </c>
      <c r="T25" s="84" t="str">
        <f>IF(ISERROR(FIND('112'!$M$9,G25,1)),"",IF((AND(FIND('112'!$M$9,G25,1)&gt;=1,B25='112'!$K$9,OR($N25='112'!$I$6,$O25='112'!$I$6))),"x",""))</f>
        <v/>
      </c>
      <c r="U25" s="84" t="str">
        <f>IF(ISERROR(FIND('112'!$M$9,G25,1)),"",IF((AND(LEFT(G25,2)=LEFT('112'!$M$9,2),B25&lt;'112'!$K$9,$N25='112'!$I$6)),"x",""))</f>
        <v/>
      </c>
      <c r="V25" s="84" t="str">
        <f>IF(ISERROR(FIND('112'!$M$9,G25,1)),"",IF((AND(RIGHT(G25,2)=RIGHT('112'!$M$9,2),B25&lt;'112'!$K$9,$O25='112'!$I$6)),"x",""))</f>
        <v/>
      </c>
      <c r="W25" s="84" t="str">
        <f>IF(AND('341-CT'!$H$9=H25,OR(LEFT(N25,3)=$W$7,LEFT(O25,3)=$W$7)),"x","")</f>
        <v/>
      </c>
      <c r="X25" s="84" t="str">
        <f>IF(OR(TH!N25=TH!$X$7,O25=TH!$X$7),"x","")</f>
        <v/>
      </c>
      <c r="Y25" s="84" t="str">
        <f>IF(AND(OR(N25="131",O25="131"),H25='131-CT'!$H$9),"x","")</f>
        <v/>
      </c>
      <c r="Z25" s="84"/>
      <c r="AA25" s="84" t="str">
        <f>IF(AND(MONTH(E25)='IN-NX'!$J$5,'IN-NX'!$D$7=D25),"x","")</f>
        <v/>
      </c>
      <c r="AB25" s="84" t="str">
        <f>IF(AND(OR(LEFT(TH!N25,2)="15",LEFT(TH!O25,2)="15"),LEFT(TH!O25,3)&lt;&gt;"111",'152-CT'!$J$8=TH!F25),"x","")</f>
        <v/>
      </c>
      <c r="AC25" s="84" t="str">
        <f>IF(AND(OR(LEFT(TH!N25,2)="15",LEFT(TH!O25,2)="15"),TK!$E$7=TH!F25),"x","")</f>
        <v/>
      </c>
      <c r="AD25" s="84" t="str">
        <f>IF(AND(N25="1521",MONTH(C25)='BK-NL'!$M$11),"x","")</f>
        <v/>
      </c>
    </row>
    <row r="26" spans="1:30" s="341" customFormat="1" ht="15.75" hidden="1" customHeight="1">
      <c r="A26" s="336" t="str">
        <f>IF(B26&lt;&gt;"",IF(AND(B26='IN-TC'!$S$4,OR(TH!N26="1111",TH!O26="1111")),TH!D26,""),"")</f>
        <v/>
      </c>
      <c r="B26" s="63">
        <f t="shared" si="2"/>
        <v>1</v>
      </c>
      <c r="C26" s="868">
        <v>42400</v>
      </c>
      <c r="D26" s="868" t="s">
        <v>582</v>
      </c>
      <c r="E26" s="868">
        <f t="shared" si="3"/>
        <v>42400</v>
      </c>
      <c r="F26" s="869" t="s">
        <v>1316</v>
      </c>
      <c r="G26" s="981"/>
      <c r="H26" s="72"/>
      <c r="I26" s="440"/>
      <c r="J26" s="440"/>
      <c r="K26" s="431"/>
      <c r="L26" s="440"/>
      <c r="M26" s="870">
        <v>3671167</v>
      </c>
      <c r="N26" s="876" t="s">
        <v>101</v>
      </c>
      <c r="O26" s="876" t="s">
        <v>590</v>
      </c>
      <c r="P26" s="84" t="str">
        <f>IF(AND('331-CT'!$E$7=TH!H26,OR(N26="331",O26="331")),"x","")</f>
        <v/>
      </c>
      <c r="Q26" s="84" t="str">
        <f>IF(AND(B26='111'!$L$11,OR($N26=$Q$7,$O26=$Q$7)),"x","")</f>
        <v/>
      </c>
      <c r="R26" s="84" t="str">
        <f>IF(AND($N26=$Q$7,$B26&lt;'111'!$L$11),"x","")</f>
        <v/>
      </c>
      <c r="S26" s="84" t="str">
        <f>IF(AND($O26=$Q$7,$B26&lt;'111'!$L$11),"x","")</f>
        <v/>
      </c>
      <c r="T26" s="84" t="str">
        <f>IF(ISERROR(FIND('112'!$M$9,G26,1)),"",IF((AND(FIND('112'!$M$9,G26,1)&gt;=1,B26='112'!$K$9,OR($N26='112'!$I$6,$O26='112'!$I$6))),"x",""))</f>
        <v/>
      </c>
      <c r="U26" s="84" t="str">
        <f>IF(ISERROR(FIND('112'!$M$9,G26,1)),"",IF((AND(LEFT(G26,2)=LEFT('112'!$M$9,2),B26&lt;'112'!$K$9,$N26='112'!$I$6)),"x",""))</f>
        <v/>
      </c>
      <c r="V26" s="84" t="str">
        <f>IF(ISERROR(FIND('112'!$M$9,G26,1)),"",IF((AND(RIGHT(G26,2)=RIGHT('112'!$M$9,2),B26&lt;'112'!$K$9,$O26='112'!$I$6)),"x",""))</f>
        <v/>
      </c>
      <c r="W26" s="84" t="str">
        <f>IF(AND('341-CT'!$H$9=H26,OR(LEFT(N26,3)=$W$7,LEFT(O26,3)=$W$7)),"x","")</f>
        <v/>
      </c>
      <c r="X26" s="84" t="str">
        <f>IF(OR(TH!N26=TH!$X$7,O26=TH!$X$7),"x","")</f>
        <v/>
      </c>
      <c r="Y26" s="84" t="str">
        <f>IF(AND(OR(N26="131",O26="131"),H26='131-CT'!$H$9),"x","")</f>
        <v/>
      </c>
      <c r="Z26" s="84"/>
      <c r="AA26" s="84" t="str">
        <f>IF(AND(MONTH(E26)='IN-NX'!$J$5,'IN-NX'!$D$7=D26),"x","")</f>
        <v/>
      </c>
      <c r="AB26" s="84" t="str">
        <f>IF(AND(OR(LEFT(TH!N26,2)="15",LEFT(TH!O26,2)="15"),LEFT(TH!O26,3)&lt;&gt;"111",'152-CT'!$J$8=TH!F26),"x","")</f>
        <v/>
      </c>
      <c r="AC26" s="84" t="str">
        <f>IF(AND(OR(LEFT(TH!N26,2)="15",LEFT(TH!O26,2)="15"),TK!$E$7=TH!F26),"x","")</f>
        <v/>
      </c>
      <c r="AD26" s="84" t="str">
        <f>IF(AND(N26="1521",MONTH(C26)='BK-NL'!$M$11),"x","")</f>
        <v/>
      </c>
    </row>
    <row r="27" spans="1:30" s="341" customFormat="1" ht="15.75" hidden="1" customHeight="1">
      <c r="A27" s="336" t="str">
        <f>IF(B27&lt;&gt;"",IF(AND(B27='IN-TC'!$S$4,OR(TH!N27="1111",TH!O27="1111")),TH!D27,""),"")</f>
        <v/>
      </c>
      <c r="B27" s="63">
        <f t="shared" si="2"/>
        <v>1</v>
      </c>
      <c r="C27" s="868">
        <v>42400</v>
      </c>
      <c r="D27" s="868" t="s">
        <v>582</v>
      </c>
      <c r="E27" s="868">
        <f t="shared" si="3"/>
        <v>42400</v>
      </c>
      <c r="F27" s="869" t="s">
        <v>1316</v>
      </c>
      <c r="G27" s="869"/>
      <c r="H27" s="72"/>
      <c r="I27" s="440"/>
      <c r="J27" s="440"/>
      <c r="K27" s="431"/>
      <c r="L27" s="440"/>
      <c r="M27" s="870">
        <v>47128136</v>
      </c>
      <c r="N27" s="876" t="s">
        <v>282</v>
      </c>
      <c r="O27" s="876" t="s">
        <v>590</v>
      </c>
      <c r="P27" s="84" t="str">
        <f>IF(AND('331-CT'!$E$7=TH!H27,OR(N27="331",O27="331")),"x","")</f>
        <v/>
      </c>
      <c r="Q27" s="84" t="str">
        <f>IF(AND(B27='111'!$L$11,OR($N27=$Q$7,$O27=$Q$7)),"x","")</f>
        <v/>
      </c>
      <c r="R27" s="84" t="str">
        <f>IF(AND($N27=$Q$7,$B27&lt;'111'!$L$11),"x","")</f>
        <v/>
      </c>
      <c r="S27" s="84" t="str">
        <f>IF(AND($O27=$Q$7,$B27&lt;'111'!$L$11),"x","")</f>
        <v/>
      </c>
      <c r="T27" s="84" t="str">
        <f>IF(ISERROR(FIND('112'!$M$9,G27,1)),"",IF((AND(FIND('112'!$M$9,G27,1)&gt;=1,B27='112'!$K$9,OR($N27='112'!$I$6,$O27='112'!$I$6))),"x",""))</f>
        <v/>
      </c>
      <c r="U27" s="84" t="str">
        <f>IF(ISERROR(FIND('112'!$M$9,G27,1)),"",IF((AND(LEFT(G27,2)=LEFT('112'!$M$9,2),B27&lt;'112'!$K$9,$N27='112'!$I$6)),"x",""))</f>
        <v/>
      </c>
      <c r="V27" s="84" t="str">
        <f>IF(ISERROR(FIND('112'!$M$9,G27,1)),"",IF((AND(RIGHT(G27,2)=RIGHT('112'!$M$9,2),B27&lt;'112'!$K$9,$O27='112'!$I$6)),"x",""))</f>
        <v/>
      </c>
      <c r="W27" s="84" t="str">
        <f>IF(AND('341-CT'!$H$9=H27,OR(LEFT(N27,3)=$W$7,LEFT(O27,3)=$W$7)),"x","")</f>
        <v/>
      </c>
      <c r="X27" s="84" t="str">
        <f>IF(OR(TH!N27=TH!$X$7,O27=TH!$X$7),"x","")</f>
        <v/>
      </c>
      <c r="Y27" s="84" t="str">
        <f>IF(AND(OR(N27="131",O27="131"),H27='131-CT'!$H$9),"x","")</f>
        <v/>
      </c>
      <c r="Z27" s="84"/>
      <c r="AA27" s="84" t="str">
        <f>IF(AND(MONTH(E27)='IN-NX'!$J$5,'IN-NX'!$D$7=D27),"x","")</f>
        <v/>
      </c>
      <c r="AB27" s="84" t="str">
        <f>IF(AND(OR(LEFT(TH!N27,2)="15",LEFT(TH!O27,2)="15"),LEFT(TH!O27,3)&lt;&gt;"111",'152-CT'!$J$8=TH!F27),"x","")</f>
        <v/>
      </c>
      <c r="AC27" s="84" t="str">
        <f>IF(AND(OR(LEFT(TH!N27,2)="15",LEFT(TH!O27,2)="15"),TK!$E$7=TH!F27),"x","")</f>
        <v/>
      </c>
      <c r="AD27" s="84" t="str">
        <f>IF(AND(N27="1521",MONTH(C27)='BK-NL'!$M$11),"x","")</f>
        <v/>
      </c>
    </row>
    <row r="28" spans="1:30" s="341" customFormat="1" ht="15.75" hidden="1" customHeight="1">
      <c r="A28" s="336" t="str">
        <f>IF(B28&lt;&gt;"",IF(AND(B28='IN-TC'!$S$4,OR(TH!N28="1111",TH!O28="1111")),TH!D28,""),"")</f>
        <v/>
      </c>
      <c r="B28" s="63">
        <f t="shared" si="2"/>
        <v>2</v>
      </c>
      <c r="C28" s="868">
        <v>42429</v>
      </c>
      <c r="D28" s="868" t="s">
        <v>582</v>
      </c>
      <c r="E28" s="868">
        <f t="shared" si="3"/>
        <v>42429</v>
      </c>
      <c r="F28" s="869" t="s">
        <v>1315</v>
      </c>
      <c r="G28" s="869"/>
      <c r="H28" s="73"/>
      <c r="I28" s="439"/>
      <c r="J28" s="439"/>
      <c r="K28" s="430"/>
      <c r="L28" s="439"/>
      <c r="M28" s="870">
        <v>10010706</v>
      </c>
      <c r="N28" s="874" t="s">
        <v>282</v>
      </c>
      <c r="O28" s="875" t="s">
        <v>589</v>
      </c>
      <c r="P28" s="84" t="str">
        <f>IF(AND('331-CT'!$E$7=TH!H28,OR(N28="331",O28="331")),"x","")</f>
        <v/>
      </c>
      <c r="Q28" s="84" t="str">
        <f>IF(AND(B28='111'!$L$11,OR($N28=$Q$7,$O28=$Q$7)),"x","")</f>
        <v/>
      </c>
      <c r="R28" s="84" t="str">
        <f>IF(AND($N28=$Q$7,$B28&lt;'111'!$L$11),"x","")</f>
        <v/>
      </c>
      <c r="S28" s="84" t="str">
        <f>IF(AND($O28=$Q$7,$B28&lt;'111'!$L$11),"x","")</f>
        <v/>
      </c>
      <c r="T28" s="84" t="str">
        <f>IF(ISERROR(FIND('112'!$M$9,G28,1)),"",IF((AND(FIND('112'!$M$9,G28,1)&gt;=1,B28='112'!$K$9,OR($N28='112'!$I$6,$O28='112'!$I$6))),"x",""))</f>
        <v/>
      </c>
      <c r="U28" s="84" t="str">
        <f>IF(ISERROR(FIND('112'!$M$9,G28,1)),"",IF((AND(LEFT(G28,2)=LEFT('112'!$M$9,2),B28&lt;'112'!$K$9,$N28='112'!$I$6)),"x",""))</f>
        <v/>
      </c>
      <c r="V28" s="84" t="str">
        <f>IF(ISERROR(FIND('112'!$M$9,G28,1)),"",IF((AND(RIGHT(G28,2)=RIGHT('112'!$M$9,2),B28&lt;'112'!$K$9,$O28='112'!$I$6)),"x",""))</f>
        <v/>
      </c>
      <c r="W28" s="84" t="str">
        <f>IF(AND('341-CT'!$H$9=H28,OR(LEFT(N28,3)=$W$7,LEFT(O28,3)=$W$7)),"x","")</f>
        <v/>
      </c>
      <c r="X28" s="84" t="str">
        <f>IF(OR(TH!N28=TH!$X$7,O28=TH!$X$7),"x","")</f>
        <v/>
      </c>
      <c r="Y28" s="84" t="str">
        <f>IF(AND(OR(N28="131",O28="131"),H28='131-CT'!$H$9),"x","")</f>
        <v/>
      </c>
      <c r="Z28" s="84"/>
      <c r="AA28" s="84" t="str">
        <f>IF(AND(MONTH(E28)='IN-NX'!$J$5,'IN-NX'!$D$7=D28),"x","")</f>
        <v/>
      </c>
      <c r="AB28" s="84" t="str">
        <f>IF(AND(OR(LEFT(TH!N28,2)="15",LEFT(TH!O28,2)="15"),LEFT(TH!O28,3)&lt;&gt;"111",'152-CT'!$J$8=TH!F28),"x","")</f>
        <v/>
      </c>
      <c r="AC28" s="84" t="str">
        <f>IF(AND(OR(LEFT(TH!N28,2)="15",LEFT(TH!O28,2)="15"),TK!$E$7=TH!F28),"x","")</f>
        <v/>
      </c>
      <c r="AD28" s="84" t="str">
        <f>IF(AND(N28="1521",MONTH(C28)='BK-NL'!$M$11),"x","")</f>
        <v/>
      </c>
    </row>
    <row r="29" spans="1:30" s="341" customFormat="1" ht="15.75" hidden="1" customHeight="1">
      <c r="A29" s="336" t="str">
        <f>IF(B29&lt;&gt;"",IF(AND(B29='IN-TC'!$S$4,OR(TH!N29="1111",TH!O29="1111")),TH!D29,""),"")</f>
        <v/>
      </c>
      <c r="B29" s="63">
        <f t="shared" si="2"/>
        <v>2</v>
      </c>
      <c r="C29" s="868">
        <v>42429</v>
      </c>
      <c r="D29" s="868" t="s">
        <v>582</v>
      </c>
      <c r="E29" s="868">
        <f t="shared" si="3"/>
        <v>42429</v>
      </c>
      <c r="F29" s="869" t="s">
        <v>1316</v>
      </c>
      <c r="G29" s="981"/>
      <c r="H29" s="72"/>
      <c r="I29" s="440"/>
      <c r="J29" s="440"/>
      <c r="K29" s="431"/>
      <c r="L29" s="440"/>
      <c r="M29" s="870">
        <v>3671167</v>
      </c>
      <c r="N29" s="876" t="s">
        <v>101</v>
      </c>
      <c r="O29" s="876" t="s">
        <v>590</v>
      </c>
      <c r="P29" s="84" t="str">
        <f>IF(AND('331-CT'!$E$7=TH!H29,OR(N29="331",O29="331")),"x","")</f>
        <v/>
      </c>
      <c r="Q29" s="84" t="str">
        <f>IF(AND(B29='111'!$L$11,OR($N29=$Q$7,$O29=$Q$7)),"x","")</f>
        <v/>
      </c>
      <c r="R29" s="84" t="str">
        <f>IF(AND($N29=$Q$7,$B29&lt;'111'!$L$11),"x","")</f>
        <v/>
      </c>
      <c r="S29" s="84" t="str">
        <f>IF(AND($O29=$Q$7,$B29&lt;'111'!$L$11),"x","")</f>
        <v/>
      </c>
      <c r="T29" s="84" t="str">
        <f>IF(ISERROR(FIND('112'!$M$9,G29,1)),"",IF((AND(FIND('112'!$M$9,G29,1)&gt;=1,B29='112'!$K$9,OR($N29='112'!$I$6,$O29='112'!$I$6))),"x",""))</f>
        <v/>
      </c>
      <c r="U29" s="84" t="str">
        <f>IF(ISERROR(FIND('112'!$M$9,G29,1)),"",IF((AND(LEFT(G29,2)=LEFT('112'!$M$9,2),B29&lt;'112'!$K$9,$N29='112'!$I$6)),"x",""))</f>
        <v/>
      </c>
      <c r="V29" s="84" t="str">
        <f>IF(ISERROR(FIND('112'!$M$9,G29,1)),"",IF((AND(RIGHT(G29,2)=RIGHT('112'!$M$9,2),B29&lt;'112'!$K$9,$O29='112'!$I$6)),"x",""))</f>
        <v/>
      </c>
      <c r="W29" s="84" t="str">
        <f>IF(AND('341-CT'!$H$9=H29,OR(LEFT(N29,3)=$W$7,LEFT(O29,3)=$W$7)),"x","")</f>
        <v/>
      </c>
      <c r="X29" s="84" t="str">
        <f>IF(OR(TH!N29=TH!$X$7,O29=TH!$X$7),"x","")</f>
        <v/>
      </c>
      <c r="Y29" s="84" t="str">
        <f>IF(AND(OR(N29="131",O29="131"),H29='131-CT'!$H$9),"x","")</f>
        <v/>
      </c>
      <c r="Z29" s="84"/>
      <c r="AA29" s="84" t="str">
        <f>IF(AND(MONTH(E29)='IN-NX'!$J$5,'IN-NX'!$D$7=D29),"x","")</f>
        <v/>
      </c>
      <c r="AB29" s="84" t="str">
        <f>IF(AND(OR(LEFT(TH!N29,2)="15",LEFT(TH!O29,2)="15"),LEFT(TH!O29,3)&lt;&gt;"111",'152-CT'!$J$8=TH!F29),"x","")</f>
        <v/>
      </c>
      <c r="AC29" s="84" t="str">
        <f>IF(AND(OR(LEFT(TH!N29,2)="15",LEFT(TH!O29,2)="15"),TK!$E$7=TH!F29),"x","")</f>
        <v/>
      </c>
      <c r="AD29" s="84" t="str">
        <f>IF(AND(N29="1521",MONTH(C29)='BK-NL'!$M$11),"x","")</f>
        <v/>
      </c>
    </row>
    <row r="30" spans="1:30" s="341" customFormat="1" ht="15.75" hidden="1" customHeight="1">
      <c r="A30" s="336" t="str">
        <f>IF(B30&lt;&gt;"",IF(AND(B30='IN-TC'!$S$4,OR(TH!N30="1111",TH!O30="1111")),TH!D30,""),"")</f>
        <v/>
      </c>
      <c r="B30" s="63">
        <f t="shared" si="2"/>
        <v>2</v>
      </c>
      <c r="C30" s="868">
        <v>42429</v>
      </c>
      <c r="D30" s="868" t="s">
        <v>582</v>
      </c>
      <c r="E30" s="868">
        <f t="shared" si="3"/>
        <v>42429</v>
      </c>
      <c r="F30" s="869" t="s">
        <v>1316</v>
      </c>
      <c r="G30" s="869"/>
      <c r="H30" s="72"/>
      <c r="I30" s="440"/>
      <c r="J30" s="440"/>
      <c r="K30" s="431"/>
      <c r="L30" s="440"/>
      <c r="M30" s="870">
        <v>47128136</v>
      </c>
      <c r="N30" s="876" t="s">
        <v>282</v>
      </c>
      <c r="O30" s="876" t="s">
        <v>590</v>
      </c>
      <c r="P30" s="84" t="str">
        <f>IF(AND('331-CT'!$E$7=TH!H30,OR(N30="331",O30="331")),"x","")</f>
        <v/>
      </c>
      <c r="Q30" s="84" t="str">
        <f>IF(AND(B30='111'!$L$11,OR($N30=$Q$7,$O30=$Q$7)),"x","")</f>
        <v/>
      </c>
      <c r="R30" s="84" t="str">
        <f>IF(AND($N30=$Q$7,$B30&lt;'111'!$L$11),"x","")</f>
        <v/>
      </c>
      <c r="S30" s="84" t="str">
        <f>IF(AND($O30=$Q$7,$B30&lt;'111'!$L$11),"x","")</f>
        <v/>
      </c>
      <c r="T30" s="84" t="str">
        <f>IF(ISERROR(FIND('112'!$M$9,G30,1)),"",IF((AND(FIND('112'!$M$9,G30,1)&gt;=1,B30='112'!$K$9,OR($N30='112'!$I$6,$O30='112'!$I$6))),"x",""))</f>
        <v/>
      </c>
      <c r="U30" s="84" t="str">
        <f>IF(ISERROR(FIND('112'!$M$9,G30,1)),"",IF((AND(LEFT(G30,2)=LEFT('112'!$M$9,2),B30&lt;'112'!$K$9,$N30='112'!$I$6)),"x",""))</f>
        <v/>
      </c>
      <c r="V30" s="84" t="str">
        <f>IF(ISERROR(FIND('112'!$M$9,G30,1)),"",IF((AND(RIGHT(G30,2)=RIGHT('112'!$M$9,2),B30&lt;'112'!$K$9,$O30='112'!$I$6)),"x",""))</f>
        <v/>
      </c>
      <c r="W30" s="84" t="str">
        <f>IF(AND('341-CT'!$H$9=H30,OR(LEFT(N30,3)=$W$7,LEFT(O30,3)=$W$7)),"x","")</f>
        <v/>
      </c>
      <c r="X30" s="84" t="str">
        <f>IF(OR(TH!N30=TH!$X$7,O30=TH!$X$7),"x","")</f>
        <v/>
      </c>
      <c r="Y30" s="84" t="str">
        <f>IF(AND(OR(N30="131",O30="131"),H30='131-CT'!$H$9),"x","")</f>
        <v/>
      </c>
      <c r="Z30" s="84"/>
      <c r="AA30" s="84" t="str">
        <f>IF(AND(MONTH(E30)='IN-NX'!$J$5,'IN-NX'!$D$7=D30),"x","")</f>
        <v/>
      </c>
      <c r="AB30" s="84" t="str">
        <f>IF(AND(OR(LEFT(TH!N30,2)="15",LEFT(TH!O30,2)="15"),LEFT(TH!O30,3)&lt;&gt;"111",'152-CT'!$J$8=TH!F30),"x","")</f>
        <v/>
      </c>
      <c r="AC30" s="84" t="str">
        <f>IF(AND(OR(LEFT(TH!N30,2)="15",LEFT(TH!O30,2)="15"),TK!$E$7=TH!F30),"x","")</f>
        <v/>
      </c>
      <c r="AD30" s="84" t="str">
        <f>IF(AND(N30="1521",MONTH(C30)='BK-NL'!$M$11),"x","")</f>
        <v/>
      </c>
    </row>
    <row r="31" spans="1:30" s="341" customFormat="1" ht="15.75" hidden="1" customHeight="1">
      <c r="A31" s="336" t="str">
        <f>IF(B31&lt;&gt;"",IF(AND(B31='IN-TC'!$S$4,OR(TH!N31="1111",TH!O31="1111")),TH!D31,""),"")</f>
        <v/>
      </c>
      <c r="B31" s="63">
        <f t="shared" si="2"/>
        <v>3</v>
      </c>
      <c r="C31" s="868">
        <v>42460</v>
      </c>
      <c r="D31" s="868" t="s">
        <v>582</v>
      </c>
      <c r="E31" s="868">
        <f t="shared" si="3"/>
        <v>42460</v>
      </c>
      <c r="F31" s="869" t="s">
        <v>1315</v>
      </c>
      <c r="G31" s="869"/>
      <c r="H31" s="73"/>
      <c r="I31" s="439"/>
      <c r="J31" s="439"/>
      <c r="K31" s="430"/>
      <c r="L31" s="439"/>
      <c r="M31" s="870">
        <v>10010706</v>
      </c>
      <c r="N31" s="874" t="s">
        <v>282</v>
      </c>
      <c r="O31" s="875" t="s">
        <v>589</v>
      </c>
      <c r="P31" s="84" t="str">
        <f>IF(AND('331-CT'!$E$7=TH!H31,OR(N31="331",O31="331")),"x","")</f>
        <v/>
      </c>
      <c r="Q31" s="84" t="str">
        <f>IF(AND(B31='111'!$L$11,OR($N31=$Q$7,$O31=$Q$7)),"x","")</f>
        <v/>
      </c>
      <c r="R31" s="84" t="str">
        <f>IF(AND($N31=$Q$7,$B31&lt;'111'!$L$11),"x","")</f>
        <v/>
      </c>
      <c r="S31" s="84" t="str">
        <f>IF(AND($O31=$Q$7,$B31&lt;'111'!$L$11),"x","")</f>
        <v/>
      </c>
      <c r="T31" s="84" t="str">
        <f>IF(ISERROR(FIND('112'!$M$9,G31,1)),"",IF((AND(FIND('112'!$M$9,G31,1)&gt;=1,B31='112'!$K$9,OR($N31='112'!$I$6,$O31='112'!$I$6))),"x",""))</f>
        <v/>
      </c>
      <c r="U31" s="84" t="str">
        <f>IF(ISERROR(FIND('112'!$M$9,G31,1)),"",IF((AND(LEFT(G31,2)=LEFT('112'!$M$9,2),B31&lt;'112'!$K$9,$N31='112'!$I$6)),"x",""))</f>
        <v/>
      </c>
      <c r="V31" s="84" t="str">
        <f>IF(ISERROR(FIND('112'!$M$9,G31,1)),"",IF((AND(RIGHT(G31,2)=RIGHT('112'!$M$9,2),B31&lt;'112'!$K$9,$O31='112'!$I$6)),"x",""))</f>
        <v/>
      </c>
      <c r="W31" s="84" t="str">
        <f>IF(AND('341-CT'!$H$9=H31,OR(LEFT(N31,3)=$W$7,LEFT(O31,3)=$W$7)),"x","")</f>
        <v/>
      </c>
      <c r="X31" s="84" t="str">
        <f>IF(OR(TH!N31=TH!$X$7,O31=TH!$X$7),"x","")</f>
        <v/>
      </c>
      <c r="Y31" s="84" t="str">
        <f>IF(AND(OR(N31="131",O31="131"),H31='131-CT'!$H$9),"x","")</f>
        <v/>
      </c>
      <c r="Z31" s="84"/>
      <c r="AA31" s="84" t="str">
        <f>IF(AND(MONTH(E31)='IN-NX'!$J$5,'IN-NX'!$D$7=D31),"x","")</f>
        <v/>
      </c>
      <c r="AB31" s="84" t="str">
        <f>IF(AND(OR(LEFT(TH!N31,2)="15",LEFT(TH!O31,2)="15"),LEFT(TH!O31,3)&lt;&gt;"111",'152-CT'!$J$8=TH!F31),"x","")</f>
        <v/>
      </c>
      <c r="AC31" s="84" t="str">
        <f>IF(AND(OR(LEFT(TH!N31,2)="15",LEFT(TH!O31,2)="15"),TK!$E$7=TH!F31),"x","")</f>
        <v/>
      </c>
      <c r="AD31" s="84" t="str">
        <f>IF(AND(N31="1521",MONTH(C31)='BK-NL'!$M$11),"x","")</f>
        <v/>
      </c>
    </row>
    <row r="32" spans="1:30" s="341" customFormat="1" ht="15.75" hidden="1" customHeight="1">
      <c r="A32" s="336" t="str">
        <f>IF(B32&lt;&gt;"",IF(AND(B32='IN-TC'!$S$4,OR(TH!N32="1111",TH!O32="1111")),TH!D32,""),"")</f>
        <v/>
      </c>
      <c r="B32" s="63">
        <f t="shared" si="2"/>
        <v>3</v>
      </c>
      <c r="C32" s="868">
        <v>42460</v>
      </c>
      <c r="D32" s="868" t="s">
        <v>582</v>
      </c>
      <c r="E32" s="868">
        <f t="shared" si="3"/>
        <v>42460</v>
      </c>
      <c r="F32" s="869" t="s">
        <v>1316</v>
      </c>
      <c r="G32" s="981"/>
      <c r="H32" s="72"/>
      <c r="I32" s="440"/>
      <c r="J32" s="440"/>
      <c r="K32" s="431"/>
      <c r="L32" s="440"/>
      <c r="M32" s="870">
        <v>3671167</v>
      </c>
      <c r="N32" s="876" t="s">
        <v>101</v>
      </c>
      <c r="O32" s="876" t="s">
        <v>590</v>
      </c>
      <c r="P32" s="84" t="str">
        <f>IF(AND('331-CT'!$E$7=TH!H32,OR(N32="331",O32="331")),"x","")</f>
        <v/>
      </c>
      <c r="Q32" s="84" t="str">
        <f>IF(AND(B32='111'!$L$11,OR($N32=$Q$7,$O32=$Q$7)),"x","")</f>
        <v/>
      </c>
      <c r="R32" s="84" t="str">
        <f>IF(AND($N32=$Q$7,$B32&lt;'111'!$L$11),"x","")</f>
        <v/>
      </c>
      <c r="S32" s="84" t="str">
        <f>IF(AND($O32=$Q$7,$B32&lt;'111'!$L$11),"x","")</f>
        <v/>
      </c>
      <c r="T32" s="84" t="str">
        <f>IF(ISERROR(FIND('112'!$M$9,G32,1)),"",IF((AND(FIND('112'!$M$9,G32,1)&gt;=1,B32='112'!$K$9,OR($N32='112'!$I$6,$O32='112'!$I$6))),"x",""))</f>
        <v/>
      </c>
      <c r="U32" s="84" t="str">
        <f>IF(ISERROR(FIND('112'!$M$9,G32,1)),"",IF((AND(LEFT(G32,2)=LEFT('112'!$M$9,2),B32&lt;'112'!$K$9,$N32='112'!$I$6)),"x",""))</f>
        <v/>
      </c>
      <c r="V32" s="84" t="str">
        <f>IF(ISERROR(FIND('112'!$M$9,G32,1)),"",IF((AND(RIGHT(G32,2)=RIGHT('112'!$M$9,2),B32&lt;'112'!$K$9,$O32='112'!$I$6)),"x",""))</f>
        <v/>
      </c>
      <c r="W32" s="84" t="str">
        <f>IF(AND('341-CT'!$H$9=H32,OR(LEFT(N32,3)=$W$7,LEFT(O32,3)=$W$7)),"x","")</f>
        <v/>
      </c>
      <c r="X32" s="84" t="str">
        <f>IF(OR(TH!N32=TH!$X$7,O32=TH!$X$7),"x","")</f>
        <v/>
      </c>
      <c r="Y32" s="84" t="str">
        <f>IF(AND(OR(N32="131",O32="131"),H32='131-CT'!$H$9),"x","")</f>
        <v/>
      </c>
      <c r="Z32" s="84"/>
      <c r="AA32" s="84" t="str">
        <f>IF(AND(MONTH(E32)='IN-NX'!$J$5,'IN-NX'!$D$7=D32),"x","")</f>
        <v/>
      </c>
      <c r="AB32" s="84" t="str">
        <f>IF(AND(OR(LEFT(TH!N32,2)="15",LEFT(TH!O32,2)="15"),LEFT(TH!O32,3)&lt;&gt;"111",'152-CT'!$J$8=TH!F32),"x","")</f>
        <v/>
      </c>
      <c r="AC32" s="84" t="str">
        <f>IF(AND(OR(LEFT(TH!N32,2)="15",LEFT(TH!O32,2)="15"),TK!$E$7=TH!F32),"x","")</f>
        <v/>
      </c>
      <c r="AD32" s="84" t="str">
        <f>IF(AND(N32="1521",MONTH(C32)='BK-NL'!$M$11),"x","")</f>
        <v/>
      </c>
    </row>
    <row r="33" spans="1:30" s="341" customFormat="1" ht="15.75" hidden="1" customHeight="1">
      <c r="A33" s="336" t="str">
        <f>IF(B33&lt;&gt;"",IF(AND(B33='IN-TC'!$S$4,OR(TH!N33="1111",TH!O33="1111")),TH!D33,""),"")</f>
        <v/>
      </c>
      <c r="B33" s="63">
        <f t="shared" si="2"/>
        <v>3</v>
      </c>
      <c r="C33" s="868">
        <v>42460</v>
      </c>
      <c r="D33" s="868" t="s">
        <v>582</v>
      </c>
      <c r="E33" s="868">
        <f t="shared" ref="E33:E42" si="4">C33</f>
        <v>42460</v>
      </c>
      <c r="F33" s="869" t="s">
        <v>1316</v>
      </c>
      <c r="G33" s="869"/>
      <c r="H33" s="72"/>
      <c r="I33" s="440"/>
      <c r="J33" s="440"/>
      <c r="K33" s="431"/>
      <c r="L33" s="440"/>
      <c r="M33" s="870">
        <v>47128136</v>
      </c>
      <c r="N33" s="876" t="s">
        <v>282</v>
      </c>
      <c r="O33" s="876" t="s">
        <v>590</v>
      </c>
      <c r="P33" s="84" t="str">
        <f>IF(AND('331-CT'!$E$7=TH!H33,OR(N33="331",O33="331")),"x","")</f>
        <v/>
      </c>
      <c r="Q33" s="84" t="str">
        <f>IF(AND(B33='111'!$L$11,OR($N33=$Q$7,$O33=$Q$7)),"x","")</f>
        <v/>
      </c>
      <c r="R33" s="84" t="str">
        <f>IF(AND($N33=$Q$7,$B33&lt;'111'!$L$11),"x","")</f>
        <v/>
      </c>
      <c r="S33" s="84" t="str">
        <f>IF(AND($O33=$Q$7,$B33&lt;'111'!$L$11),"x","")</f>
        <v/>
      </c>
      <c r="T33" s="84" t="str">
        <f>IF(ISERROR(FIND('112'!$M$9,G33,1)),"",IF((AND(FIND('112'!$M$9,G33,1)&gt;=1,B33='112'!$K$9,OR($N33='112'!$I$6,$O33='112'!$I$6))),"x",""))</f>
        <v/>
      </c>
      <c r="U33" s="84" t="str">
        <f>IF(ISERROR(FIND('112'!$M$9,G33,1)),"",IF((AND(LEFT(G33,2)=LEFT('112'!$M$9,2),B33&lt;'112'!$K$9,$N33='112'!$I$6)),"x",""))</f>
        <v/>
      </c>
      <c r="V33" s="84" t="str">
        <f>IF(ISERROR(FIND('112'!$M$9,G33,1)),"",IF((AND(RIGHT(G33,2)=RIGHT('112'!$M$9,2),B33&lt;'112'!$K$9,$O33='112'!$I$6)),"x",""))</f>
        <v/>
      </c>
      <c r="W33" s="84" t="str">
        <f>IF(AND('341-CT'!$H$9=H33,OR(LEFT(N33,3)=$W$7,LEFT(O33,3)=$W$7)),"x","")</f>
        <v/>
      </c>
      <c r="X33" s="84" t="str">
        <f>IF(OR(TH!N33=TH!$X$7,O33=TH!$X$7),"x","")</f>
        <v/>
      </c>
      <c r="Y33" s="84" t="str">
        <f>IF(AND(OR(N33="131",O33="131"),H33='131-CT'!$H$9),"x","")</f>
        <v/>
      </c>
      <c r="Z33" s="84"/>
      <c r="AA33" s="84" t="str">
        <f>IF(AND(MONTH(E33)='IN-NX'!$J$5,'IN-NX'!$D$7=D33),"x","")</f>
        <v/>
      </c>
      <c r="AB33" s="84" t="str">
        <f>IF(AND(OR(LEFT(TH!N33,2)="15",LEFT(TH!O33,2)="15"),LEFT(TH!O33,3)&lt;&gt;"111",'152-CT'!$J$8=TH!F33),"x","")</f>
        <v/>
      </c>
      <c r="AC33" s="84" t="str">
        <f>IF(AND(OR(LEFT(TH!N33,2)="15",LEFT(TH!O33,2)="15"),TK!$E$7=TH!F33),"x","")</f>
        <v/>
      </c>
      <c r="AD33" s="84" t="str">
        <f>IF(AND(N33="1521",MONTH(C33)='BK-NL'!$M$11),"x","")</f>
        <v/>
      </c>
    </row>
    <row r="34" spans="1:30" s="341" customFormat="1" ht="15.75" hidden="1" customHeight="1">
      <c r="A34" s="336" t="str">
        <f>IF(B34&lt;&gt;"",IF(AND(B34='IN-TC'!$S$4,OR(TH!N34="1111",TH!O34="1111")),TH!D34,""),"")</f>
        <v/>
      </c>
      <c r="B34" s="63">
        <f t="shared" ref="B34:B42" si="5">IF(C34&lt;&gt;"",MONTH(C34),"")</f>
        <v>4</v>
      </c>
      <c r="C34" s="868">
        <v>42490</v>
      </c>
      <c r="D34" s="868" t="s">
        <v>582</v>
      </c>
      <c r="E34" s="868">
        <f t="shared" si="4"/>
        <v>42490</v>
      </c>
      <c r="F34" s="869" t="s">
        <v>1315</v>
      </c>
      <c r="G34" s="869"/>
      <c r="H34" s="73"/>
      <c r="I34" s="439"/>
      <c r="J34" s="439"/>
      <c r="K34" s="430"/>
      <c r="L34" s="439"/>
      <c r="M34" s="870">
        <v>10010706</v>
      </c>
      <c r="N34" s="874" t="s">
        <v>282</v>
      </c>
      <c r="O34" s="875" t="s">
        <v>589</v>
      </c>
      <c r="P34" s="84" t="str">
        <f>IF(AND('331-CT'!$E$7=TH!H34,OR(N34="331",O34="331")),"x","")</f>
        <v/>
      </c>
      <c r="Q34" s="84" t="str">
        <f>IF(AND(B34='111'!$L$11,OR($N34=$Q$7,$O34=$Q$7)),"x","")</f>
        <v/>
      </c>
      <c r="R34" s="84" t="str">
        <f>IF(AND($N34=$Q$7,$B34&lt;'111'!$L$11),"x","")</f>
        <v/>
      </c>
      <c r="S34" s="84" t="str">
        <f>IF(AND($O34=$Q$7,$B34&lt;'111'!$L$11),"x","")</f>
        <v/>
      </c>
      <c r="T34" s="84" t="str">
        <f>IF(ISERROR(FIND('112'!$M$9,G34,1)),"",IF((AND(FIND('112'!$M$9,G34,1)&gt;=1,B34='112'!$K$9,OR($N34='112'!$I$6,$O34='112'!$I$6))),"x",""))</f>
        <v/>
      </c>
      <c r="U34" s="84" t="str">
        <f>IF(ISERROR(FIND('112'!$M$9,G34,1)),"",IF((AND(LEFT(G34,2)=LEFT('112'!$M$9,2),B34&lt;'112'!$K$9,$N34='112'!$I$6)),"x",""))</f>
        <v/>
      </c>
      <c r="V34" s="84" t="str">
        <f>IF(ISERROR(FIND('112'!$M$9,G34,1)),"",IF((AND(RIGHT(G34,2)=RIGHT('112'!$M$9,2),B34&lt;'112'!$K$9,$O34='112'!$I$6)),"x",""))</f>
        <v/>
      </c>
      <c r="W34" s="84" t="str">
        <f>IF(AND('341-CT'!$H$9=H34,OR(LEFT(N34,3)=$W$7,LEFT(O34,3)=$W$7)),"x","")</f>
        <v/>
      </c>
      <c r="X34" s="84" t="str">
        <f>IF(OR(TH!N34=TH!$X$7,O34=TH!$X$7),"x","")</f>
        <v/>
      </c>
      <c r="Y34" s="84" t="str">
        <f>IF(AND(OR(N34="131",O34="131"),H34='131-CT'!$H$9),"x","")</f>
        <v/>
      </c>
      <c r="Z34" s="84"/>
      <c r="AA34" s="84" t="str">
        <f>IF(AND(MONTH(E34)='IN-NX'!$J$5,'IN-NX'!$D$7=D34),"x","")</f>
        <v/>
      </c>
      <c r="AB34" s="84" t="str">
        <f>IF(AND(OR(LEFT(TH!N34,2)="15",LEFT(TH!O34,2)="15"),LEFT(TH!O34,3)&lt;&gt;"111",'152-CT'!$J$8=TH!F34),"x","")</f>
        <v/>
      </c>
      <c r="AC34" s="84" t="str">
        <f>IF(AND(OR(LEFT(TH!N34,2)="15",LEFT(TH!O34,2)="15"),TK!$E$7=TH!F34),"x","")</f>
        <v/>
      </c>
      <c r="AD34" s="84" t="str">
        <f>IF(AND(N34="1521",MONTH(C34)='BK-NL'!$M$11),"x","")</f>
        <v/>
      </c>
    </row>
    <row r="35" spans="1:30" s="341" customFormat="1" ht="15.75" hidden="1" customHeight="1">
      <c r="A35" s="336" t="str">
        <f>IF(B35&lt;&gt;"",IF(AND(B35='IN-TC'!$S$4,OR(TH!N35="1111",TH!O35="1111")),TH!D35,""),"")</f>
        <v/>
      </c>
      <c r="B35" s="63">
        <f t="shared" si="5"/>
        <v>4</v>
      </c>
      <c r="C35" s="868">
        <v>42490</v>
      </c>
      <c r="D35" s="868" t="s">
        <v>582</v>
      </c>
      <c r="E35" s="868">
        <f t="shared" si="4"/>
        <v>42490</v>
      </c>
      <c r="F35" s="869" t="s">
        <v>1316</v>
      </c>
      <c r="G35" s="981"/>
      <c r="H35" s="72"/>
      <c r="I35" s="440"/>
      <c r="J35" s="440"/>
      <c r="K35" s="431"/>
      <c r="L35" s="440"/>
      <c r="M35" s="870">
        <v>3671167</v>
      </c>
      <c r="N35" s="876" t="s">
        <v>101</v>
      </c>
      <c r="O35" s="876" t="s">
        <v>590</v>
      </c>
      <c r="P35" s="84" t="str">
        <f>IF(AND('331-CT'!$E$7=TH!H35,OR(N35="331",O35="331")),"x","")</f>
        <v/>
      </c>
      <c r="Q35" s="84" t="str">
        <f>IF(AND(B35='111'!$L$11,OR($N35=$Q$7,$O35=$Q$7)),"x","")</f>
        <v/>
      </c>
      <c r="R35" s="84" t="str">
        <f>IF(AND($N35=$Q$7,$B35&lt;'111'!$L$11),"x","")</f>
        <v/>
      </c>
      <c r="S35" s="84" t="str">
        <f>IF(AND($O35=$Q$7,$B35&lt;'111'!$L$11),"x","")</f>
        <v/>
      </c>
      <c r="T35" s="84" t="str">
        <f>IF(ISERROR(FIND('112'!$M$9,G35,1)),"",IF((AND(FIND('112'!$M$9,G35,1)&gt;=1,B35='112'!$K$9,OR($N35='112'!$I$6,$O35='112'!$I$6))),"x",""))</f>
        <v/>
      </c>
      <c r="U35" s="84" t="str">
        <f>IF(ISERROR(FIND('112'!$M$9,G35,1)),"",IF((AND(LEFT(G35,2)=LEFT('112'!$M$9,2),B35&lt;'112'!$K$9,$N35='112'!$I$6)),"x",""))</f>
        <v/>
      </c>
      <c r="V35" s="84" t="str">
        <f>IF(ISERROR(FIND('112'!$M$9,G35,1)),"",IF((AND(RIGHT(G35,2)=RIGHT('112'!$M$9,2),B35&lt;'112'!$K$9,$O35='112'!$I$6)),"x",""))</f>
        <v/>
      </c>
      <c r="W35" s="84" t="str">
        <f>IF(AND('341-CT'!$H$9=H35,OR(LEFT(N35,3)=$W$7,LEFT(O35,3)=$W$7)),"x","")</f>
        <v/>
      </c>
      <c r="X35" s="84" t="str">
        <f>IF(OR(TH!N35=TH!$X$7,O35=TH!$X$7),"x","")</f>
        <v/>
      </c>
      <c r="Y35" s="84" t="str">
        <f>IF(AND(OR(N35="131",O35="131"),H35='131-CT'!$H$9),"x","")</f>
        <v/>
      </c>
      <c r="Z35" s="84"/>
      <c r="AA35" s="84" t="str">
        <f>IF(AND(MONTH(E35)='IN-NX'!$J$5,'IN-NX'!$D$7=D35),"x","")</f>
        <v/>
      </c>
      <c r="AB35" s="84" t="str">
        <f>IF(AND(OR(LEFT(TH!N35,2)="15",LEFT(TH!O35,2)="15"),LEFT(TH!O35,3)&lt;&gt;"111",'152-CT'!$J$8=TH!F35),"x","")</f>
        <v/>
      </c>
      <c r="AC35" s="84" t="str">
        <f>IF(AND(OR(LEFT(TH!N35,2)="15",LEFT(TH!O35,2)="15"),TK!$E$7=TH!F35),"x","")</f>
        <v/>
      </c>
      <c r="AD35" s="84" t="str">
        <f>IF(AND(N35="1521",MONTH(C35)='BK-NL'!$M$11),"x","")</f>
        <v/>
      </c>
    </row>
    <row r="36" spans="1:30" s="341" customFormat="1" ht="15.75" hidden="1" customHeight="1">
      <c r="A36" s="336" t="str">
        <f>IF(B36&lt;&gt;"",IF(AND(B36='IN-TC'!$S$4,OR(TH!N36="1111",TH!O36="1111")),TH!D36,""),"")</f>
        <v/>
      </c>
      <c r="B36" s="63">
        <f t="shared" si="5"/>
        <v>4</v>
      </c>
      <c r="C36" s="868">
        <v>42490</v>
      </c>
      <c r="D36" s="868" t="s">
        <v>582</v>
      </c>
      <c r="E36" s="868">
        <f t="shared" si="4"/>
        <v>42490</v>
      </c>
      <c r="F36" s="869" t="s">
        <v>1316</v>
      </c>
      <c r="G36" s="869"/>
      <c r="H36" s="72"/>
      <c r="I36" s="440"/>
      <c r="J36" s="440"/>
      <c r="K36" s="431"/>
      <c r="L36" s="440"/>
      <c r="M36" s="870">
        <v>47128136</v>
      </c>
      <c r="N36" s="876" t="s">
        <v>282</v>
      </c>
      <c r="O36" s="876" t="s">
        <v>590</v>
      </c>
      <c r="P36" s="84" t="str">
        <f>IF(AND('331-CT'!$E$7=TH!H36,OR(N36="331",O36="331")),"x","")</f>
        <v/>
      </c>
      <c r="Q36" s="84" t="str">
        <f>IF(AND(B36='111'!$L$11,OR($N36=$Q$7,$O36=$Q$7)),"x","")</f>
        <v/>
      </c>
      <c r="R36" s="84" t="str">
        <f>IF(AND($N36=$Q$7,$B36&lt;'111'!$L$11),"x","")</f>
        <v/>
      </c>
      <c r="S36" s="84" t="str">
        <f>IF(AND($O36=$Q$7,$B36&lt;'111'!$L$11),"x","")</f>
        <v/>
      </c>
      <c r="T36" s="84" t="str">
        <f>IF(ISERROR(FIND('112'!$M$9,G36,1)),"",IF((AND(FIND('112'!$M$9,G36,1)&gt;=1,B36='112'!$K$9,OR($N36='112'!$I$6,$O36='112'!$I$6))),"x",""))</f>
        <v/>
      </c>
      <c r="U36" s="84" t="str">
        <f>IF(ISERROR(FIND('112'!$M$9,G36,1)),"",IF((AND(LEFT(G36,2)=LEFT('112'!$M$9,2),B36&lt;'112'!$K$9,$N36='112'!$I$6)),"x",""))</f>
        <v/>
      </c>
      <c r="V36" s="84" t="str">
        <f>IF(ISERROR(FIND('112'!$M$9,G36,1)),"",IF((AND(RIGHT(G36,2)=RIGHT('112'!$M$9,2),B36&lt;'112'!$K$9,$O36='112'!$I$6)),"x",""))</f>
        <v/>
      </c>
      <c r="W36" s="84" t="str">
        <f>IF(AND('341-CT'!$H$9=H36,OR(LEFT(N36,3)=$W$7,LEFT(O36,3)=$W$7)),"x","")</f>
        <v/>
      </c>
      <c r="X36" s="84" t="str">
        <f>IF(OR(TH!N36=TH!$X$7,O36=TH!$X$7),"x","")</f>
        <v/>
      </c>
      <c r="Y36" s="84" t="str">
        <f>IF(AND(OR(N36="131",O36="131"),H36='131-CT'!$H$9),"x","")</f>
        <v/>
      </c>
      <c r="Z36" s="84"/>
      <c r="AA36" s="84" t="str">
        <f>IF(AND(MONTH(E36)='IN-NX'!$J$5,'IN-NX'!$D$7=D36),"x","")</f>
        <v/>
      </c>
      <c r="AB36" s="84" t="str">
        <f>IF(AND(OR(LEFT(TH!N36,2)="15",LEFT(TH!O36,2)="15"),LEFT(TH!O36,3)&lt;&gt;"111",'152-CT'!$J$8=TH!F36),"x","")</f>
        <v/>
      </c>
      <c r="AC36" s="84" t="str">
        <f>IF(AND(OR(LEFT(TH!N36,2)="15",LEFT(TH!O36,2)="15"),TK!$E$7=TH!F36),"x","")</f>
        <v/>
      </c>
      <c r="AD36" s="84" t="str">
        <f>IF(AND(N36="1521",MONTH(C36)='BK-NL'!$M$11),"x","")</f>
        <v/>
      </c>
    </row>
    <row r="37" spans="1:30" s="341" customFormat="1" ht="15.75" hidden="1" customHeight="1">
      <c r="A37" s="336" t="str">
        <f>IF(B37&lt;&gt;"",IF(AND(B37='IN-TC'!$S$4,OR(TH!N37="1111",TH!O37="1111")),TH!D37,""),"")</f>
        <v/>
      </c>
      <c r="B37" s="63">
        <f t="shared" si="5"/>
        <v>5</v>
      </c>
      <c r="C37" s="868">
        <v>42521</v>
      </c>
      <c r="D37" s="868" t="s">
        <v>582</v>
      </c>
      <c r="E37" s="868">
        <f t="shared" si="4"/>
        <v>42521</v>
      </c>
      <c r="F37" s="869" t="s">
        <v>1315</v>
      </c>
      <c r="G37" s="869"/>
      <c r="H37" s="73"/>
      <c r="I37" s="439"/>
      <c r="J37" s="439"/>
      <c r="K37" s="430"/>
      <c r="L37" s="439"/>
      <c r="M37" s="870">
        <v>10010706</v>
      </c>
      <c r="N37" s="874" t="s">
        <v>282</v>
      </c>
      <c r="O37" s="875" t="s">
        <v>589</v>
      </c>
      <c r="P37" s="84" t="str">
        <f>IF(AND('331-CT'!$E$7=TH!H37,OR(N37="331",O37="331")),"x","")</f>
        <v/>
      </c>
      <c r="Q37" s="84" t="str">
        <f>IF(AND(B37='111'!$L$11,OR($N37=$Q$7,$O37=$Q$7)),"x","")</f>
        <v/>
      </c>
      <c r="R37" s="84" t="str">
        <f>IF(AND($N37=$Q$7,$B37&lt;'111'!$L$11),"x","")</f>
        <v/>
      </c>
      <c r="S37" s="84" t="str">
        <f>IF(AND($O37=$Q$7,$B37&lt;'111'!$L$11),"x","")</f>
        <v/>
      </c>
      <c r="T37" s="84" t="str">
        <f>IF(ISERROR(FIND('112'!$M$9,G37,1)),"",IF((AND(FIND('112'!$M$9,G37,1)&gt;=1,B37='112'!$K$9,OR($N37='112'!$I$6,$O37='112'!$I$6))),"x",""))</f>
        <v/>
      </c>
      <c r="U37" s="84" t="str">
        <f>IF(ISERROR(FIND('112'!$M$9,G37,1)),"",IF((AND(LEFT(G37,2)=LEFT('112'!$M$9,2),B37&lt;'112'!$K$9,$N37='112'!$I$6)),"x",""))</f>
        <v/>
      </c>
      <c r="V37" s="84" t="str">
        <f>IF(ISERROR(FIND('112'!$M$9,G37,1)),"",IF((AND(RIGHT(G37,2)=RIGHT('112'!$M$9,2),B37&lt;'112'!$K$9,$O37='112'!$I$6)),"x",""))</f>
        <v/>
      </c>
      <c r="W37" s="84" t="str">
        <f>IF(AND('341-CT'!$H$9=H37,OR(LEFT(N37,3)=$W$7,LEFT(O37,3)=$W$7)),"x","")</f>
        <v/>
      </c>
      <c r="X37" s="84" t="str">
        <f>IF(OR(TH!N37=TH!$X$7,O37=TH!$X$7),"x","")</f>
        <v/>
      </c>
      <c r="Y37" s="84" t="str">
        <f>IF(AND(OR(N37="131",O37="131"),H37='131-CT'!$H$9),"x","")</f>
        <v/>
      </c>
      <c r="Z37" s="84"/>
      <c r="AA37" s="84" t="str">
        <f>IF(AND(MONTH(E37)='IN-NX'!$J$5,'IN-NX'!$D$7=D37),"x","")</f>
        <v/>
      </c>
      <c r="AB37" s="84" t="str">
        <f>IF(AND(OR(LEFT(TH!N37,2)="15",LEFT(TH!O37,2)="15"),LEFT(TH!O37,3)&lt;&gt;"111",'152-CT'!$J$8=TH!F37),"x","")</f>
        <v/>
      </c>
      <c r="AC37" s="84" t="str">
        <f>IF(AND(OR(LEFT(TH!N37,2)="15",LEFT(TH!O37,2)="15"),TK!$E$7=TH!F37),"x","")</f>
        <v/>
      </c>
      <c r="AD37" s="84" t="str">
        <f>IF(AND(N37="1521",MONTH(C37)='BK-NL'!$M$11),"x","")</f>
        <v/>
      </c>
    </row>
    <row r="38" spans="1:30" s="341" customFormat="1" ht="15.75" hidden="1" customHeight="1">
      <c r="A38" s="336" t="str">
        <f>IF(B38&lt;&gt;"",IF(AND(B38='IN-TC'!$S$4,OR(TH!N38="1111",TH!O38="1111")),TH!D38,""),"")</f>
        <v/>
      </c>
      <c r="B38" s="63">
        <f t="shared" si="5"/>
        <v>5</v>
      </c>
      <c r="C38" s="868">
        <v>42521</v>
      </c>
      <c r="D38" s="868" t="s">
        <v>582</v>
      </c>
      <c r="E38" s="868">
        <f t="shared" si="4"/>
        <v>42521</v>
      </c>
      <c r="F38" s="869" t="s">
        <v>1316</v>
      </c>
      <c r="G38" s="981"/>
      <c r="H38" s="72"/>
      <c r="I38" s="440"/>
      <c r="J38" s="440"/>
      <c r="K38" s="431"/>
      <c r="L38" s="440"/>
      <c r="M38" s="870">
        <v>3671167</v>
      </c>
      <c r="N38" s="876" t="s">
        <v>101</v>
      </c>
      <c r="O38" s="876" t="s">
        <v>590</v>
      </c>
      <c r="P38" s="84" t="str">
        <f>IF(AND('331-CT'!$E$7=TH!H38,OR(N38="331",O38="331")),"x","")</f>
        <v/>
      </c>
      <c r="Q38" s="84" t="str">
        <f>IF(AND(B38='111'!$L$11,OR($N38=$Q$7,$O38=$Q$7)),"x","")</f>
        <v/>
      </c>
      <c r="R38" s="84" t="str">
        <f>IF(AND($N38=$Q$7,$B38&lt;'111'!$L$11),"x","")</f>
        <v/>
      </c>
      <c r="S38" s="84" t="str">
        <f>IF(AND($O38=$Q$7,$B38&lt;'111'!$L$11),"x","")</f>
        <v/>
      </c>
      <c r="T38" s="84" t="str">
        <f>IF(ISERROR(FIND('112'!$M$9,G38,1)),"",IF((AND(FIND('112'!$M$9,G38,1)&gt;=1,B38='112'!$K$9,OR($N38='112'!$I$6,$O38='112'!$I$6))),"x",""))</f>
        <v/>
      </c>
      <c r="U38" s="84" t="str">
        <f>IF(ISERROR(FIND('112'!$M$9,G38,1)),"",IF((AND(LEFT(G38,2)=LEFT('112'!$M$9,2),B38&lt;'112'!$K$9,$N38='112'!$I$6)),"x",""))</f>
        <v/>
      </c>
      <c r="V38" s="84" t="str">
        <f>IF(ISERROR(FIND('112'!$M$9,G38,1)),"",IF((AND(RIGHT(G38,2)=RIGHT('112'!$M$9,2),B38&lt;'112'!$K$9,$O38='112'!$I$6)),"x",""))</f>
        <v/>
      </c>
      <c r="W38" s="84" t="str">
        <f>IF(AND('341-CT'!$H$9=H38,OR(LEFT(N38,3)=$W$7,LEFT(O38,3)=$W$7)),"x","")</f>
        <v/>
      </c>
      <c r="X38" s="84" t="str">
        <f>IF(OR(TH!N38=TH!$X$7,O38=TH!$X$7),"x","")</f>
        <v/>
      </c>
      <c r="Y38" s="84" t="str">
        <f>IF(AND(OR(N38="131",O38="131"),H38='131-CT'!$H$9),"x","")</f>
        <v/>
      </c>
      <c r="Z38" s="84"/>
      <c r="AA38" s="84" t="str">
        <f>IF(AND(MONTH(E38)='IN-NX'!$J$5,'IN-NX'!$D$7=D38),"x","")</f>
        <v/>
      </c>
      <c r="AB38" s="84" t="str">
        <f>IF(AND(OR(LEFT(TH!N38,2)="15",LEFT(TH!O38,2)="15"),LEFT(TH!O38,3)&lt;&gt;"111",'152-CT'!$J$8=TH!F38),"x","")</f>
        <v/>
      </c>
      <c r="AC38" s="84" t="str">
        <f>IF(AND(OR(LEFT(TH!N38,2)="15",LEFT(TH!O38,2)="15"),TK!$E$7=TH!F38),"x","")</f>
        <v/>
      </c>
      <c r="AD38" s="84" t="str">
        <f>IF(AND(N38="1521",MONTH(C38)='BK-NL'!$M$11),"x","")</f>
        <v/>
      </c>
    </row>
    <row r="39" spans="1:30" s="341" customFormat="1" ht="15.75" hidden="1" customHeight="1">
      <c r="A39" s="336" t="str">
        <f>IF(B39&lt;&gt;"",IF(AND(B39='IN-TC'!$S$4,OR(TH!N39="1111",TH!O39="1111")),TH!D39,""),"")</f>
        <v/>
      </c>
      <c r="B39" s="63">
        <f t="shared" si="5"/>
        <v>5</v>
      </c>
      <c r="C39" s="868">
        <v>42521</v>
      </c>
      <c r="D39" s="868" t="s">
        <v>582</v>
      </c>
      <c r="E39" s="868">
        <f t="shared" si="4"/>
        <v>42521</v>
      </c>
      <c r="F39" s="869" t="s">
        <v>1316</v>
      </c>
      <c r="G39" s="869"/>
      <c r="H39" s="72"/>
      <c r="I39" s="440"/>
      <c r="J39" s="440"/>
      <c r="K39" s="431"/>
      <c r="L39" s="440"/>
      <c r="M39" s="870">
        <v>47128136</v>
      </c>
      <c r="N39" s="876" t="s">
        <v>282</v>
      </c>
      <c r="O39" s="876" t="s">
        <v>590</v>
      </c>
      <c r="P39" s="84" t="str">
        <f>IF(AND('331-CT'!$E$7=TH!H39,OR(N39="331",O39="331")),"x","")</f>
        <v/>
      </c>
      <c r="Q39" s="84" t="str">
        <f>IF(AND(B39='111'!$L$11,OR($N39=$Q$7,$O39=$Q$7)),"x","")</f>
        <v/>
      </c>
      <c r="R39" s="84" t="str">
        <f>IF(AND($N39=$Q$7,$B39&lt;'111'!$L$11),"x","")</f>
        <v/>
      </c>
      <c r="S39" s="84" t="str">
        <f>IF(AND($O39=$Q$7,$B39&lt;'111'!$L$11),"x","")</f>
        <v/>
      </c>
      <c r="T39" s="84" t="str">
        <f>IF(ISERROR(FIND('112'!$M$9,G39,1)),"",IF((AND(FIND('112'!$M$9,G39,1)&gt;=1,B39='112'!$K$9,OR($N39='112'!$I$6,$O39='112'!$I$6))),"x",""))</f>
        <v/>
      </c>
      <c r="U39" s="84" t="str">
        <f>IF(ISERROR(FIND('112'!$M$9,G39,1)),"",IF((AND(LEFT(G39,2)=LEFT('112'!$M$9,2),B39&lt;'112'!$K$9,$N39='112'!$I$6)),"x",""))</f>
        <v/>
      </c>
      <c r="V39" s="84" t="str">
        <f>IF(ISERROR(FIND('112'!$M$9,G39,1)),"",IF((AND(RIGHT(G39,2)=RIGHT('112'!$M$9,2),B39&lt;'112'!$K$9,$O39='112'!$I$6)),"x",""))</f>
        <v/>
      </c>
      <c r="W39" s="84" t="str">
        <f>IF(AND('341-CT'!$H$9=H39,OR(LEFT(N39,3)=$W$7,LEFT(O39,3)=$W$7)),"x","")</f>
        <v/>
      </c>
      <c r="X39" s="84" t="str">
        <f>IF(OR(TH!N39=TH!$X$7,O39=TH!$X$7),"x","")</f>
        <v/>
      </c>
      <c r="Y39" s="84" t="str">
        <f>IF(AND(OR(N39="131",O39="131"),H39='131-CT'!$H$9),"x","")</f>
        <v/>
      </c>
      <c r="Z39" s="84"/>
      <c r="AA39" s="84" t="str">
        <f>IF(AND(MONTH(E39)='IN-NX'!$J$5,'IN-NX'!$D$7=D39),"x","")</f>
        <v/>
      </c>
      <c r="AB39" s="84" t="str">
        <f>IF(AND(OR(LEFT(TH!N39,2)="15",LEFT(TH!O39,2)="15"),LEFT(TH!O39,3)&lt;&gt;"111",'152-CT'!$J$8=TH!F39),"x","")</f>
        <v/>
      </c>
      <c r="AC39" s="84" t="str">
        <f>IF(AND(OR(LEFT(TH!N39,2)="15",LEFT(TH!O39,2)="15"),TK!$E$7=TH!F39),"x","")</f>
        <v/>
      </c>
      <c r="AD39" s="84" t="str">
        <f>IF(AND(N39="1521",MONTH(C39)='BK-NL'!$M$11),"x","")</f>
        <v/>
      </c>
    </row>
    <row r="40" spans="1:30" s="341" customFormat="1" ht="15.75" hidden="1" customHeight="1">
      <c r="A40" s="336" t="str">
        <f>IF(B40&lt;&gt;"",IF(AND(B40='IN-TC'!$S$4,OR(TH!N40="1111",TH!O40="1111")),TH!D40,""),"")</f>
        <v/>
      </c>
      <c r="B40" s="63">
        <f t="shared" si="5"/>
        <v>6</v>
      </c>
      <c r="C40" s="868">
        <v>42551</v>
      </c>
      <c r="D40" s="868" t="s">
        <v>582</v>
      </c>
      <c r="E40" s="868">
        <f t="shared" si="4"/>
        <v>42551</v>
      </c>
      <c r="F40" s="869" t="s">
        <v>1315</v>
      </c>
      <c r="G40" s="869"/>
      <c r="H40" s="73"/>
      <c r="I40" s="439"/>
      <c r="J40" s="439"/>
      <c r="K40" s="430"/>
      <c r="L40" s="439"/>
      <c r="M40" s="870">
        <v>10010706</v>
      </c>
      <c r="N40" s="874" t="s">
        <v>282</v>
      </c>
      <c r="O40" s="875" t="s">
        <v>589</v>
      </c>
      <c r="P40" s="84" t="str">
        <f>IF(AND('331-CT'!$E$7=TH!H40,OR(N40="331",O40="331")),"x","")</f>
        <v/>
      </c>
      <c r="Q40" s="84" t="str">
        <f>IF(AND(B40='111'!$L$11,OR($N40=$Q$7,$O40=$Q$7)),"x","")</f>
        <v/>
      </c>
      <c r="R40" s="84" t="str">
        <f>IF(AND($N40=$Q$7,$B40&lt;'111'!$L$11),"x","")</f>
        <v/>
      </c>
      <c r="S40" s="84" t="str">
        <f>IF(AND($O40=$Q$7,$B40&lt;'111'!$L$11),"x","")</f>
        <v/>
      </c>
      <c r="T40" s="84" t="str">
        <f>IF(ISERROR(FIND('112'!$M$9,G40,1)),"",IF((AND(FIND('112'!$M$9,G40,1)&gt;=1,B40='112'!$K$9,OR($N40='112'!$I$6,$O40='112'!$I$6))),"x",""))</f>
        <v/>
      </c>
      <c r="U40" s="84" t="str">
        <f>IF(ISERROR(FIND('112'!$M$9,G40,1)),"",IF((AND(LEFT(G40,2)=LEFT('112'!$M$9,2),B40&lt;'112'!$K$9,$N40='112'!$I$6)),"x",""))</f>
        <v/>
      </c>
      <c r="V40" s="84" t="str">
        <f>IF(ISERROR(FIND('112'!$M$9,G40,1)),"",IF((AND(RIGHT(G40,2)=RIGHT('112'!$M$9,2),B40&lt;'112'!$K$9,$O40='112'!$I$6)),"x",""))</f>
        <v/>
      </c>
      <c r="W40" s="84" t="str">
        <f>IF(AND('341-CT'!$H$9=H40,OR(LEFT(N40,3)=$W$7,LEFT(O40,3)=$W$7)),"x","")</f>
        <v/>
      </c>
      <c r="X40" s="84" t="str">
        <f>IF(OR(TH!N40=TH!$X$7,O40=TH!$X$7),"x","")</f>
        <v/>
      </c>
      <c r="Y40" s="84" t="str">
        <f>IF(AND(OR(N40="131",O40="131"),H40='131-CT'!$H$9),"x","")</f>
        <v/>
      </c>
      <c r="Z40" s="84"/>
      <c r="AA40" s="84" t="str">
        <f>IF(AND(MONTH(E40)='IN-NX'!$J$5,'IN-NX'!$D$7=D40),"x","")</f>
        <v/>
      </c>
      <c r="AB40" s="84" t="str">
        <f>IF(AND(OR(LEFT(TH!N40,2)="15",LEFT(TH!O40,2)="15"),LEFT(TH!O40,3)&lt;&gt;"111",'152-CT'!$J$8=TH!F40),"x","")</f>
        <v/>
      </c>
      <c r="AC40" s="84" t="str">
        <f>IF(AND(OR(LEFT(TH!N40,2)="15",LEFT(TH!O40,2)="15"),TK!$E$7=TH!F40),"x","")</f>
        <v/>
      </c>
      <c r="AD40" s="84" t="str">
        <f>IF(AND(N40="1521",MONTH(C40)='BK-NL'!$M$11),"x","")</f>
        <v/>
      </c>
    </row>
    <row r="41" spans="1:30" s="341" customFormat="1" ht="15.75" hidden="1" customHeight="1">
      <c r="A41" s="336" t="str">
        <f>IF(B41&lt;&gt;"",IF(AND(B41='IN-TC'!$S$4,OR(TH!N41="1111",TH!O41="1111")),TH!D41,""),"")</f>
        <v/>
      </c>
      <c r="B41" s="63">
        <f t="shared" si="5"/>
        <v>6</v>
      </c>
      <c r="C41" s="868">
        <v>42551</v>
      </c>
      <c r="D41" s="868" t="s">
        <v>582</v>
      </c>
      <c r="E41" s="868">
        <f t="shared" si="4"/>
        <v>42551</v>
      </c>
      <c r="F41" s="869" t="s">
        <v>1316</v>
      </c>
      <c r="G41" s="981"/>
      <c r="H41" s="72"/>
      <c r="I41" s="440"/>
      <c r="J41" s="440"/>
      <c r="K41" s="431"/>
      <c r="L41" s="440"/>
      <c r="M41" s="870">
        <v>3671167</v>
      </c>
      <c r="N41" s="876" t="s">
        <v>101</v>
      </c>
      <c r="O41" s="876" t="s">
        <v>590</v>
      </c>
      <c r="P41" s="84" t="str">
        <f>IF(AND('331-CT'!$E$7=TH!H41,OR(N41="331",O41="331")),"x","")</f>
        <v/>
      </c>
      <c r="Q41" s="84" t="str">
        <f>IF(AND(B41='111'!$L$11,OR($N41=$Q$7,$O41=$Q$7)),"x","")</f>
        <v/>
      </c>
      <c r="R41" s="84" t="str">
        <f>IF(AND($N41=$Q$7,$B41&lt;'111'!$L$11),"x","")</f>
        <v/>
      </c>
      <c r="S41" s="84" t="str">
        <f>IF(AND($O41=$Q$7,$B41&lt;'111'!$L$11),"x","")</f>
        <v/>
      </c>
      <c r="T41" s="84" t="str">
        <f>IF(ISERROR(FIND('112'!$M$9,G41,1)),"",IF((AND(FIND('112'!$M$9,G41,1)&gt;=1,B41='112'!$K$9,OR($N41='112'!$I$6,$O41='112'!$I$6))),"x",""))</f>
        <v/>
      </c>
      <c r="U41" s="84" t="str">
        <f>IF(ISERROR(FIND('112'!$M$9,G41,1)),"",IF((AND(LEFT(G41,2)=LEFT('112'!$M$9,2),B41&lt;'112'!$K$9,$N41='112'!$I$6)),"x",""))</f>
        <v/>
      </c>
      <c r="V41" s="84" t="str">
        <f>IF(ISERROR(FIND('112'!$M$9,G41,1)),"",IF((AND(RIGHT(G41,2)=RIGHT('112'!$M$9,2),B41&lt;'112'!$K$9,$O41='112'!$I$6)),"x",""))</f>
        <v/>
      </c>
      <c r="W41" s="84" t="str">
        <f>IF(AND('341-CT'!$H$9=H41,OR(LEFT(N41,3)=$W$7,LEFT(O41,3)=$W$7)),"x","")</f>
        <v/>
      </c>
      <c r="X41" s="84" t="str">
        <f>IF(OR(TH!N41=TH!$X$7,O41=TH!$X$7),"x","")</f>
        <v/>
      </c>
      <c r="Y41" s="84" t="str">
        <f>IF(AND(OR(N41="131",O41="131"),H41='131-CT'!$H$9),"x","")</f>
        <v/>
      </c>
      <c r="Z41" s="84"/>
      <c r="AA41" s="84" t="str">
        <f>IF(AND(MONTH(E41)='IN-NX'!$J$5,'IN-NX'!$D$7=D41),"x","")</f>
        <v/>
      </c>
      <c r="AB41" s="84" t="str">
        <f>IF(AND(OR(LEFT(TH!N41,2)="15",LEFT(TH!O41,2)="15"),LEFT(TH!O41,3)&lt;&gt;"111",'152-CT'!$J$8=TH!F41),"x","")</f>
        <v/>
      </c>
      <c r="AC41" s="84" t="str">
        <f>IF(AND(OR(LEFT(TH!N41,2)="15",LEFT(TH!O41,2)="15"),TK!$E$7=TH!F41),"x","")</f>
        <v/>
      </c>
      <c r="AD41" s="84" t="str">
        <f>IF(AND(N41="1521",MONTH(C41)='BK-NL'!$M$11),"x","")</f>
        <v/>
      </c>
    </row>
    <row r="42" spans="1:30" s="341" customFormat="1" ht="15.75" hidden="1" customHeight="1">
      <c r="A42" s="336" t="str">
        <f>IF(B42&lt;&gt;"",IF(AND(B42='IN-TC'!$S$4,OR(TH!N42="1111",TH!O42="1111")),TH!D42,""),"")</f>
        <v/>
      </c>
      <c r="B42" s="63">
        <f t="shared" si="5"/>
        <v>6</v>
      </c>
      <c r="C42" s="868">
        <v>42551</v>
      </c>
      <c r="D42" s="868" t="s">
        <v>582</v>
      </c>
      <c r="E42" s="868">
        <f t="shared" si="4"/>
        <v>42551</v>
      </c>
      <c r="F42" s="869" t="s">
        <v>1316</v>
      </c>
      <c r="G42" s="869"/>
      <c r="H42" s="72"/>
      <c r="I42" s="440"/>
      <c r="J42" s="440"/>
      <c r="K42" s="431"/>
      <c r="L42" s="440"/>
      <c r="M42" s="870">
        <v>47128136</v>
      </c>
      <c r="N42" s="876" t="s">
        <v>282</v>
      </c>
      <c r="O42" s="876" t="s">
        <v>590</v>
      </c>
      <c r="P42" s="84" t="str">
        <f>IF(AND('331-CT'!$E$7=TH!H42,OR(N42="331",O42="331")),"x","")</f>
        <v/>
      </c>
      <c r="Q42" s="84" t="str">
        <f>IF(AND(B42='111'!$L$11,OR($N42=$Q$7,$O42=$Q$7)),"x","")</f>
        <v/>
      </c>
      <c r="R42" s="84" t="str">
        <f>IF(AND($N42=$Q$7,$B42&lt;'111'!$L$11),"x","")</f>
        <v/>
      </c>
      <c r="S42" s="84" t="str">
        <f>IF(AND($O42=$Q$7,$B42&lt;'111'!$L$11),"x","")</f>
        <v/>
      </c>
      <c r="T42" s="84" t="str">
        <f>IF(ISERROR(FIND('112'!$M$9,G42,1)),"",IF((AND(FIND('112'!$M$9,G42,1)&gt;=1,B42='112'!$K$9,OR($N42='112'!$I$6,$O42='112'!$I$6))),"x",""))</f>
        <v/>
      </c>
      <c r="U42" s="84" t="str">
        <f>IF(ISERROR(FIND('112'!$M$9,G42,1)),"",IF((AND(LEFT(G42,2)=LEFT('112'!$M$9,2),B42&lt;'112'!$K$9,$N42='112'!$I$6)),"x",""))</f>
        <v/>
      </c>
      <c r="V42" s="84" t="str">
        <f>IF(ISERROR(FIND('112'!$M$9,G42,1)),"",IF((AND(RIGHT(G42,2)=RIGHT('112'!$M$9,2),B42&lt;'112'!$K$9,$O42='112'!$I$6)),"x",""))</f>
        <v/>
      </c>
      <c r="W42" s="84" t="str">
        <f>IF(AND('341-CT'!$H$9=H42,OR(LEFT(N42,3)=$W$7,LEFT(O42,3)=$W$7)),"x","")</f>
        <v/>
      </c>
      <c r="X42" s="84" t="str">
        <f>IF(OR(TH!N42=TH!$X$7,O42=TH!$X$7),"x","")</f>
        <v/>
      </c>
      <c r="Y42" s="84" t="str">
        <f>IF(AND(OR(N42="131",O42="131"),H42='131-CT'!$H$9),"x","")</f>
        <v/>
      </c>
      <c r="Z42" s="84"/>
      <c r="AA42" s="84" t="str">
        <f>IF(AND(MONTH(E42)='IN-NX'!$J$5,'IN-NX'!$D$7=D42),"x","")</f>
        <v/>
      </c>
      <c r="AB42" s="84" t="str">
        <f>IF(AND(OR(LEFT(TH!N42,2)="15",LEFT(TH!O42,2)="15"),LEFT(TH!O42,3)&lt;&gt;"111",'152-CT'!$J$8=TH!F42),"x","")</f>
        <v/>
      </c>
      <c r="AC42" s="84" t="str">
        <f>IF(AND(OR(LEFT(TH!N42,2)="15",LEFT(TH!O42,2)="15"),TK!$E$7=TH!F42),"x","")</f>
        <v/>
      </c>
      <c r="AD42" s="84" t="str">
        <f>IF(AND(N42="1521",MONTH(C42)='BK-NL'!$M$11),"x","")</f>
        <v/>
      </c>
    </row>
    <row r="43" spans="1:30" s="341" customFormat="1" ht="15.75" hidden="1" customHeight="1">
      <c r="A43" s="336" t="str">
        <f>IF(B43&lt;&gt;"",IF(AND(B43='IN-TC'!$S$4,OR(TH!N43="1111",TH!O43="1111")),TH!D43,""),"")</f>
        <v/>
      </c>
      <c r="B43" s="63">
        <f t="shared" ref="B43:B48" si="6">IF(C43&lt;&gt;"",MONTH(C43),"")</f>
        <v>7</v>
      </c>
      <c r="C43" s="868">
        <v>42582</v>
      </c>
      <c r="D43" s="868" t="s">
        <v>582</v>
      </c>
      <c r="E43" s="868">
        <f t="shared" ref="E43:E48" si="7">C43</f>
        <v>42582</v>
      </c>
      <c r="F43" s="869" t="s">
        <v>1315</v>
      </c>
      <c r="G43" s="869"/>
      <c r="H43" s="73"/>
      <c r="I43" s="439"/>
      <c r="J43" s="439"/>
      <c r="K43" s="430"/>
      <c r="L43" s="439"/>
      <c r="M43" s="870">
        <v>10010706</v>
      </c>
      <c r="N43" s="874" t="s">
        <v>282</v>
      </c>
      <c r="O43" s="875" t="s">
        <v>589</v>
      </c>
      <c r="P43" s="84" t="str">
        <f>IF(AND('331-CT'!$E$7=TH!H43,OR(N43="331",O43="331")),"x","")</f>
        <v/>
      </c>
      <c r="Q43" s="84" t="str">
        <f>IF(AND(B43='111'!$L$11,OR($N43=$Q$7,$O43=$Q$7)),"x","")</f>
        <v/>
      </c>
      <c r="R43" s="84" t="str">
        <f>IF(AND($N43=$Q$7,$B43&lt;'111'!$L$11),"x","")</f>
        <v/>
      </c>
      <c r="S43" s="84" t="str">
        <f>IF(AND($O43=$Q$7,$B43&lt;'111'!$L$11),"x","")</f>
        <v/>
      </c>
      <c r="T43" s="84" t="str">
        <f>IF(ISERROR(FIND('112'!$M$9,G43,1)),"",IF((AND(FIND('112'!$M$9,G43,1)&gt;=1,B43='112'!$K$9,OR($N43='112'!$I$6,$O43='112'!$I$6))),"x",""))</f>
        <v/>
      </c>
      <c r="U43" s="84" t="str">
        <f>IF(ISERROR(FIND('112'!$M$9,G43,1)),"",IF((AND(LEFT(G43,2)=LEFT('112'!$M$9,2),B43&lt;'112'!$K$9,$N43='112'!$I$6)),"x",""))</f>
        <v/>
      </c>
      <c r="V43" s="84" t="str">
        <f>IF(ISERROR(FIND('112'!$M$9,G43,1)),"",IF((AND(RIGHT(G43,2)=RIGHT('112'!$M$9,2),B43&lt;'112'!$K$9,$O43='112'!$I$6)),"x",""))</f>
        <v/>
      </c>
      <c r="W43" s="84" t="str">
        <f>IF(AND('341-CT'!$H$9=H43,OR(LEFT(N43,3)=$W$7,LEFT(O43,3)=$W$7)),"x","")</f>
        <v/>
      </c>
      <c r="X43" s="84" t="str">
        <f>IF(OR(TH!N43=TH!$X$7,O43=TH!$X$7),"x","")</f>
        <v/>
      </c>
      <c r="Y43" s="84" t="str">
        <f>IF(AND(OR(N43="131",O43="131"),H43='131-CT'!$H$9),"x","")</f>
        <v/>
      </c>
      <c r="Z43" s="84"/>
      <c r="AA43" s="84" t="str">
        <f>IF(AND(MONTH(E43)='IN-NX'!$J$5,'IN-NX'!$D$7=D43),"x","")</f>
        <v/>
      </c>
      <c r="AB43" s="84" t="str">
        <f>IF(AND(OR(LEFT(TH!N43,2)="15",LEFT(TH!O43,2)="15"),LEFT(TH!O43,3)&lt;&gt;"111",'152-CT'!$J$8=TH!F43),"x","")</f>
        <v/>
      </c>
      <c r="AC43" s="84" t="str">
        <f>IF(AND(OR(LEFT(TH!N43,2)="15",LEFT(TH!O43,2)="15"),TK!$E$7=TH!F43),"x","")</f>
        <v/>
      </c>
      <c r="AD43" s="84" t="str">
        <f>IF(AND(N43="1521",MONTH(C43)='BK-NL'!$M$11),"x","")</f>
        <v/>
      </c>
    </row>
    <row r="44" spans="1:30" s="341" customFormat="1" ht="15.75" hidden="1" customHeight="1">
      <c r="A44" s="336" t="str">
        <f>IF(B44&lt;&gt;"",IF(AND(B44='IN-TC'!$S$4,OR(TH!N44="1111",TH!O44="1111")),TH!D44,""),"")</f>
        <v/>
      </c>
      <c r="B44" s="63">
        <f t="shared" si="6"/>
        <v>7</v>
      </c>
      <c r="C44" s="868">
        <v>42582</v>
      </c>
      <c r="D44" s="868" t="s">
        <v>582</v>
      </c>
      <c r="E44" s="868">
        <f t="shared" si="7"/>
        <v>42582</v>
      </c>
      <c r="F44" s="869" t="s">
        <v>1316</v>
      </c>
      <c r="G44" s="981"/>
      <c r="H44" s="72"/>
      <c r="I44" s="440"/>
      <c r="J44" s="440"/>
      <c r="K44" s="431"/>
      <c r="L44" s="440"/>
      <c r="M44" s="870">
        <v>3671167</v>
      </c>
      <c r="N44" s="876" t="s">
        <v>101</v>
      </c>
      <c r="O44" s="876" t="s">
        <v>590</v>
      </c>
      <c r="P44" s="84" t="str">
        <f>IF(AND('331-CT'!$E$7=TH!H44,OR(N44="331",O44="331")),"x","")</f>
        <v/>
      </c>
      <c r="Q44" s="84" t="str">
        <f>IF(AND(B44='111'!$L$11,OR($N44=$Q$7,$O44=$Q$7)),"x","")</f>
        <v/>
      </c>
      <c r="R44" s="84" t="str">
        <f>IF(AND($N44=$Q$7,$B44&lt;'111'!$L$11),"x","")</f>
        <v/>
      </c>
      <c r="S44" s="84" t="str">
        <f>IF(AND($O44=$Q$7,$B44&lt;'111'!$L$11),"x","")</f>
        <v/>
      </c>
      <c r="T44" s="84" t="str">
        <f>IF(ISERROR(FIND('112'!$M$9,G44,1)),"",IF((AND(FIND('112'!$M$9,G44,1)&gt;=1,B44='112'!$K$9,OR($N44='112'!$I$6,$O44='112'!$I$6))),"x",""))</f>
        <v/>
      </c>
      <c r="U44" s="84" t="str">
        <f>IF(ISERROR(FIND('112'!$M$9,G44,1)),"",IF((AND(LEFT(G44,2)=LEFT('112'!$M$9,2),B44&lt;'112'!$K$9,$N44='112'!$I$6)),"x",""))</f>
        <v/>
      </c>
      <c r="V44" s="84" t="str">
        <f>IF(ISERROR(FIND('112'!$M$9,G44,1)),"",IF((AND(RIGHT(G44,2)=RIGHT('112'!$M$9,2),B44&lt;'112'!$K$9,$O44='112'!$I$6)),"x",""))</f>
        <v/>
      </c>
      <c r="W44" s="84" t="str">
        <f>IF(AND('341-CT'!$H$9=H44,OR(LEFT(N44,3)=$W$7,LEFT(O44,3)=$W$7)),"x","")</f>
        <v/>
      </c>
      <c r="X44" s="84" t="str">
        <f>IF(OR(TH!N44=TH!$X$7,O44=TH!$X$7),"x","")</f>
        <v/>
      </c>
      <c r="Y44" s="84" t="str">
        <f>IF(AND(OR(N44="131",O44="131"),H44='131-CT'!$H$9),"x","")</f>
        <v/>
      </c>
      <c r="Z44" s="84"/>
      <c r="AA44" s="84" t="str">
        <f>IF(AND(MONTH(E44)='IN-NX'!$J$5,'IN-NX'!$D$7=D44),"x","")</f>
        <v/>
      </c>
      <c r="AB44" s="84" t="str">
        <f>IF(AND(OR(LEFT(TH!N44,2)="15",LEFT(TH!O44,2)="15"),LEFT(TH!O44,3)&lt;&gt;"111",'152-CT'!$J$8=TH!F44),"x","")</f>
        <v/>
      </c>
      <c r="AC44" s="84" t="str">
        <f>IF(AND(OR(LEFT(TH!N44,2)="15",LEFT(TH!O44,2)="15"),TK!$E$7=TH!F44),"x","")</f>
        <v/>
      </c>
      <c r="AD44" s="84" t="str">
        <f>IF(AND(N44="1521",MONTH(C44)='BK-NL'!$M$11),"x","")</f>
        <v/>
      </c>
    </row>
    <row r="45" spans="1:30" s="341" customFormat="1" ht="15.75" hidden="1" customHeight="1">
      <c r="A45" s="336" t="str">
        <f>IF(B45&lt;&gt;"",IF(AND(B45='IN-TC'!$S$4,OR(TH!N45="1111",TH!O45="1111")),TH!D45,""),"")</f>
        <v/>
      </c>
      <c r="B45" s="63">
        <f t="shared" si="6"/>
        <v>7</v>
      </c>
      <c r="C45" s="868">
        <v>42582</v>
      </c>
      <c r="D45" s="868" t="s">
        <v>582</v>
      </c>
      <c r="E45" s="868">
        <f t="shared" si="7"/>
        <v>42582</v>
      </c>
      <c r="F45" s="869" t="s">
        <v>1316</v>
      </c>
      <c r="G45" s="869"/>
      <c r="H45" s="72"/>
      <c r="I45" s="440"/>
      <c r="J45" s="440"/>
      <c r="K45" s="431"/>
      <c r="L45" s="440"/>
      <c r="M45" s="870">
        <v>47128136</v>
      </c>
      <c r="N45" s="876" t="s">
        <v>282</v>
      </c>
      <c r="O45" s="876" t="s">
        <v>590</v>
      </c>
      <c r="P45" s="84" t="str">
        <f>IF(AND('331-CT'!$E$7=TH!H45,OR(N45="331",O45="331")),"x","")</f>
        <v/>
      </c>
      <c r="Q45" s="84" t="str">
        <f>IF(AND(B45='111'!$L$11,OR($N45=$Q$7,$O45=$Q$7)),"x","")</f>
        <v/>
      </c>
      <c r="R45" s="84" t="str">
        <f>IF(AND($N45=$Q$7,$B45&lt;'111'!$L$11),"x","")</f>
        <v/>
      </c>
      <c r="S45" s="84" t="str">
        <f>IF(AND($O45=$Q$7,$B45&lt;'111'!$L$11),"x","")</f>
        <v/>
      </c>
      <c r="T45" s="84" t="str">
        <f>IF(ISERROR(FIND('112'!$M$9,G45,1)),"",IF((AND(FIND('112'!$M$9,G45,1)&gt;=1,B45='112'!$K$9,OR($N45='112'!$I$6,$O45='112'!$I$6))),"x",""))</f>
        <v/>
      </c>
      <c r="U45" s="84" t="str">
        <f>IF(ISERROR(FIND('112'!$M$9,G45,1)),"",IF((AND(LEFT(G45,2)=LEFT('112'!$M$9,2),B45&lt;'112'!$K$9,$N45='112'!$I$6)),"x",""))</f>
        <v/>
      </c>
      <c r="V45" s="84" t="str">
        <f>IF(ISERROR(FIND('112'!$M$9,G45,1)),"",IF((AND(RIGHT(G45,2)=RIGHT('112'!$M$9,2),B45&lt;'112'!$K$9,$O45='112'!$I$6)),"x",""))</f>
        <v/>
      </c>
      <c r="W45" s="84" t="str">
        <f>IF(AND('341-CT'!$H$9=H45,OR(LEFT(N45,3)=$W$7,LEFT(O45,3)=$W$7)),"x","")</f>
        <v/>
      </c>
      <c r="X45" s="84" t="str">
        <f>IF(OR(TH!N45=TH!$X$7,O45=TH!$X$7),"x","")</f>
        <v/>
      </c>
      <c r="Y45" s="84" t="str">
        <f>IF(AND(OR(N45="131",O45="131"),H45='131-CT'!$H$9),"x","")</f>
        <v/>
      </c>
      <c r="Z45" s="84"/>
      <c r="AA45" s="84" t="str">
        <f>IF(AND(MONTH(E45)='IN-NX'!$J$5,'IN-NX'!$D$7=D45),"x","")</f>
        <v/>
      </c>
      <c r="AB45" s="84" t="str">
        <f>IF(AND(OR(LEFT(TH!N45,2)="15",LEFT(TH!O45,2)="15"),LEFT(TH!O45,3)&lt;&gt;"111",'152-CT'!$J$8=TH!F45),"x","")</f>
        <v/>
      </c>
      <c r="AC45" s="84" t="str">
        <f>IF(AND(OR(LEFT(TH!N45,2)="15",LEFT(TH!O45,2)="15"),TK!$E$7=TH!F45),"x","")</f>
        <v/>
      </c>
      <c r="AD45" s="84" t="str">
        <f>IF(AND(N45="1521",MONTH(C45)='BK-NL'!$M$11),"x","")</f>
        <v/>
      </c>
    </row>
    <row r="46" spans="1:30" s="341" customFormat="1" ht="15.75" hidden="1" customHeight="1">
      <c r="A46" s="336" t="str">
        <f>IF(B46&lt;&gt;"",IF(AND(B46='IN-TC'!$S$4,OR(TH!N46="1111",TH!O46="1111")),TH!D46,""),"")</f>
        <v/>
      </c>
      <c r="B46" s="63">
        <f t="shared" si="6"/>
        <v>8</v>
      </c>
      <c r="C46" s="868">
        <v>42613</v>
      </c>
      <c r="D46" s="868" t="s">
        <v>582</v>
      </c>
      <c r="E46" s="868">
        <f t="shared" si="7"/>
        <v>42613</v>
      </c>
      <c r="F46" s="869" t="s">
        <v>1315</v>
      </c>
      <c r="G46" s="869"/>
      <c r="H46" s="73"/>
      <c r="I46" s="439"/>
      <c r="J46" s="439"/>
      <c r="K46" s="430"/>
      <c r="L46" s="439"/>
      <c r="M46" s="870">
        <v>10010706</v>
      </c>
      <c r="N46" s="874" t="s">
        <v>282</v>
      </c>
      <c r="O46" s="875" t="s">
        <v>589</v>
      </c>
      <c r="P46" s="84" t="str">
        <f>IF(AND('331-CT'!$E$7=TH!H46,OR(N46="331",O46="331")),"x","")</f>
        <v/>
      </c>
      <c r="Q46" s="84" t="str">
        <f>IF(AND(B46='111'!$L$11,OR($N46=$Q$7,$O46=$Q$7)),"x","")</f>
        <v/>
      </c>
      <c r="R46" s="84" t="str">
        <f>IF(AND($N46=$Q$7,$B46&lt;'111'!$L$11),"x","")</f>
        <v/>
      </c>
      <c r="S46" s="84" t="str">
        <f>IF(AND($O46=$Q$7,$B46&lt;'111'!$L$11),"x","")</f>
        <v/>
      </c>
      <c r="T46" s="84" t="str">
        <f>IF(ISERROR(FIND('112'!$M$9,G46,1)),"",IF((AND(FIND('112'!$M$9,G46,1)&gt;=1,B46='112'!$K$9,OR($N46='112'!$I$6,$O46='112'!$I$6))),"x",""))</f>
        <v/>
      </c>
      <c r="U46" s="84" t="str">
        <f>IF(ISERROR(FIND('112'!$M$9,G46,1)),"",IF((AND(LEFT(G46,2)=LEFT('112'!$M$9,2),B46&lt;'112'!$K$9,$N46='112'!$I$6)),"x",""))</f>
        <v/>
      </c>
      <c r="V46" s="84" t="str">
        <f>IF(ISERROR(FIND('112'!$M$9,G46,1)),"",IF((AND(RIGHT(G46,2)=RIGHT('112'!$M$9,2),B46&lt;'112'!$K$9,$O46='112'!$I$6)),"x",""))</f>
        <v/>
      </c>
      <c r="W46" s="84" t="str">
        <f>IF(AND('341-CT'!$H$9=H46,OR(LEFT(N46,3)=$W$7,LEFT(O46,3)=$W$7)),"x","")</f>
        <v/>
      </c>
      <c r="X46" s="84" t="str">
        <f>IF(OR(TH!N46=TH!$X$7,O46=TH!$X$7),"x","")</f>
        <v/>
      </c>
      <c r="Y46" s="84" t="str">
        <f>IF(AND(OR(N46="131",O46="131"),H46='131-CT'!$H$9),"x","")</f>
        <v/>
      </c>
      <c r="Z46" s="84"/>
      <c r="AA46" s="84" t="str">
        <f>IF(AND(MONTH(E46)='IN-NX'!$J$5,'IN-NX'!$D$7=D46),"x","")</f>
        <v/>
      </c>
      <c r="AB46" s="84" t="str">
        <f>IF(AND(OR(LEFT(TH!N46,2)="15",LEFT(TH!O46,2)="15"),LEFT(TH!O46,3)&lt;&gt;"111",'152-CT'!$J$8=TH!F46),"x","")</f>
        <v/>
      </c>
      <c r="AC46" s="84" t="str">
        <f>IF(AND(OR(LEFT(TH!N46,2)="15",LEFT(TH!O46,2)="15"),TK!$E$7=TH!F46),"x","")</f>
        <v/>
      </c>
      <c r="AD46" s="84" t="str">
        <f>IF(AND(N46="1521",MONTH(C46)='BK-NL'!$M$11),"x","")</f>
        <v/>
      </c>
    </row>
    <row r="47" spans="1:30" s="341" customFormat="1" ht="15.75" hidden="1" customHeight="1">
      <c r="A47" s="336" t="str">
        <f>IF(B47&lt;&gt;"",IF(AND(B47='IN-TC'!$S$4,OR(TH!N47="1111",TH!O47="1111")),TH!D47,""),"")</f>
        <v/>
      </c>
      <c r="B47" s="63">
        <f t="shared" si="6"/>
        <v>8</v>
      </c>
      <c r="C47" s="868">
        <v>42613</v>
      </c>
      <c r="D47" s="868" t="s">
        <v>582</v>
      </c>
      <c r="E47" s="868">
        <f t="shared" si="7"/>
        <v>42613</v>
      </c>
      <c r="F47" s="869" t="s">
        <v>1316</v>
      </c>
      <c r="G47" s="981"/>
      <c r="H47" s="72"/>
      <c r="I47" s="440"/>
      <c r="J47" s="440"/>
      <c r="K47" s="431"/>
      <c r="L47" s="440"/>
      <c r="M47" s="870">
        <v>3671167</v>
      </c>
      <c r="N47" s="876" t="s">
        <v>101</v>
      </c>
      <c r="O47" s="876" t="s">
        <v>590</v>
      </c>
      <c r="P47" s="84" t="str">
        <f>IF(AND('331-CT'!$E$7=TH!H47,OR(N47="331",O47="331")),"x","")</f>
        <v/>
      </c>
      <c r="Q47" s="84" t="str">
        <f>IF(AND(B47='111'!$L$11,OR($N47=$Q$7,$O47=$Q$7)),"x","")</f>
        <v/>
      </c>
      <c r="R47" s="84" t="str">
        <f>IF(AND($N47=$Q$7,$B47&lt;'111'!$L$11),"x","")</f>
        <v/>
      </c>
      <c r="S47" s="84" t="str">
        <f>IF(AND($O47=$Q$7,$B47&lt;'111'!$L$11),"x","")</f>
        <v/>
      </c>
      <c r="T47" s="84" t="str">
        <f>IF(ISERROR(FIND('112'!$M$9,G47,1)),"",IF((AND(FIND('112'!$M$9,G47,1)&gt;=1,B47='112'!$K$9,OR($N47='112'!$I$6,$O47='112'!$I$6))),"x",""))</f>
        <v/>
      </c>
      <c r="U47" s="84" t="str">
        <f>IF(ISERROR(FIND('112'!$M$9,G47,1)),"",IF((AND(LEFT(G47,2)=LEFT('112'!$M$9,2),B47&lt;'112'!$K$9,$N47='112'!$I$6)),"x",""))</f>
        <v/>
      </c>
      <c r="V47" s="84" t="str">
        <f>IF(ISERROR(FIND('112'!$M$9,G47,1)),"",IF((AND(RIGHT(G47,2)=RIGHT('112'!$M$9,2),B47&lt;'112'!$K$9,$O47='112'!$I$6)),"x",""))</f>
        <v/>
      </c>
      <c r="W47" s="84" t="str">
        <f>IF(AND('341-CT'!$H$9=H47,OR(LEFT(N47,3)=$W$7,LEFT(O47,3)=$W$7)),"x","")</f>
        <v/>
      </c>
      <c r="X47" s="84" t="str">
        <f>IF(OR(TH!N47=TH!$X$7,O47=TH!$X$7),"x","")</f>
        <v/>
      </c>
      <c r="Y47" s="84" t="str">
        <f>IF(AND(OR(N47="131",O47="131"),H47='131-CT'!$H$9),"x","")</f>
        <v/>
      </c>
      <c r="Z47" s="84"/>
      <c r="AA47" s="84" t="str">
        <f>IF(AND(MONTH(E47)='IN-NX'!$J$5,'IN-NX'!$D$7=D47),"x","")</f>
        <v/>
      </c>
      <c r="AB47" s="84" t="str">
        <f>IF(AND(OR(LEFT(TH!N47,2)="15",LEFT(TH!O47,2)="15"),LEFT(TH!O47,3)&lt;&gt;"111",'152-CT'!$J$8=TH!F47),"x","")</f>
        <v/>
      </c>
      <c r="AC47" s="84" t="str">
        <f>IF(AND(OR(LEFT(TH!N47,2)="15",LEFT(TH!O47,2)="15"),TK!$E$7=TH!F47),"x","")</f>
        <v/>
      </c>
      <c r="AD47" s="84" t="str">
        <f>IF(AND(N47="1521",MONTH(C47)='BK-NL'!$M$11),"x","")</f>
        <v/>
      </c>
    </row>
    <row r="48" spans="1:30" s="341" customFormat="1" ht="15.75" hidden="1" customHeight="1">
      <c r="A48" s="336" t="str">
        <f>IF(B48&lt;&gt;"",IF(AND(B48='IN-TC'!$S$4,OR(TH!N48="1111",TH!O48="1111")),TH!D48,""),"")</f>
        <v/>
      </c>
      <c r="B48" s="63">
        <f t="shared" si="6"/>
        <v>8</v>
      </c>
      <c r="C48" s="868">
        <v>42613</v>
      </c>
      <c r="D48" s="868" t="s">
        <v>582</v>
      </c>
      <c r="E48" s="868">
        <f t="shared" si="7"/>
        <v>42613</v>
      </c>
      <c r="F48" s="869" t="s">
        <v>1316</v>
      </c>
      <c r="G48" s="869"/>
      <c r="H48" s="72"/>
      <c r="I48" s="440"/>
      <c r="J48" s="440"/>
      <c r="K48" s="431"/>
      <c r="L48" s="440"/>
      <c r="M48" s="870">
        <v>47128136</v>
      </c>
      <c r="N48" s="876" t="s">
        <v>282</v>
      </c>
      <c r="O48" s="876" t="s">
        <v>590</v>
      </c>
      <c r="P48" s="84" t="str">
        <f>IF(AND('331-CT'!$E$7=TH!H48,OR(N48="331",O48="331")),"x","")</f>
        <v/>
      </c>
      <c r="Q48" s="84" t="str">
        <f>IF(AND(B48='111'!$L$11,OR($N48=$Q$7,$O48=$Q$7)),"x","")</f>
        <v/>
      </c>
      <c r="R48" s="84" t="str">
        <f>IF(AND($N48=$Q$7,$B48&lt;'111'!$L$11),"x","")</f>
        <v/>
      </c>
      <c r="S48" s="84" t="str">
        <f>IF(AND($O48=$Q$7,$B48&lt;'111'!$L$11),"x","")</f>
        <v/>
      </c>
      <c r="T48" s="84" t="str">
        <f>IF(ISERROR(FIND('112'!$M$9,G48,1)),"",IF((AND(FIND('112'!$M$9,G48,1)&gt;=1,B48='112'!$K$9,OR($N48='112'!$I$6,$O48='112'!$I$6))),"x",""))</f>
        <v/>
      </c>
      <c r="U48" s="84" t="str">
        <f>IF(ISERROR(FIND('112'!$M$9,G48,1)),"",IF((AND(LEFT(G48,2)=LEFT('112'!$M$9,2),B48&lt;'112'!$K$9,$N48='112'!$I$6)),"x",""))</f>
        <v/>
      </c>
      <c r="V48" s="84" t="str">
        <f>IF(ISERROR(FIND('112'!$M$9,G48,1)),"",IF((AND(RIGHT(G48,2)=RIGHT('112'!$M$9,2),B48&lt;'112'!$K$9,$O48='112'!$I$6)),"x",""))</f>
        <v/>
      </c>
      <c r="W48" s="84" t="str">
        <f>IF(AND('341-CT'!$H$9=H48,OR(LEFT(N48,3)=$W$7,LEFT(O48,3)=$W$7)),"x","")</f>
        <v/>
      </c>
      <c r="X48" s="84" t="str">
        <f>IF(OR(TH!N48=TH!$X$7,O48=TH!$X$7),"x","")</f>
        <v/>
      </c>
      <c r="Y48" s="84" t="str">
        <f>IF(AND(OR(N48="131",O48="131"),H48='131-CT'!$H$9),"x","")</f>
        <v/>
      </c>
      <c r="Z48" s="84"/>
      <c r="AA48" s="84" t="str">
        <f>IF(AND(MONTH(E48)='IN-NX'!$J$5,'IN-NX'!$D$7=D48),"x","")</f>
        <v/>
      </c>
      <c r="AB48" s="84" t="str">
        <f>IF(AND(OR(LEFT(TH!N48,2)="15",LEFT(TH!O48,2)="15"),LEFT(TH!O48,3)&lt;&gt;"111",'152-CT'!$J$8=TH!F48),"x","")</f>
        <v/>
      </c>
      <c r="AC48" s="84" t="str">
        <f>IF(AND(OR(LEFT(TH!N48,2)="15",LEFT(TH!O48,2)="15"),TK!$E$7=TH!F48),"x","")</f>
        <v/>
      </c>
      <c r="AD48" s="84" t="str">
        <f>IF(AND(N48="1521",MONTH(C48)='BK-NL'!$M$11),"x","")</f>
        <v/>
      </c>
    </row>
    <row r="49" spans="1:30" s="341" customFormat="1" ht="15.75" hidden="1" customHeight="1">
      <c r="A49" s="336" t="str">
        <f>IF(B49&lt;&gt;"",IF(AND(B49='IN-TC'!$S$4,OR(TH!N49="1111",TH!O49="1111")),TH!D49,""),"")</f>
        <v/>
      </c>
      <c r="B49" s="63">
        <f t="shared" ref="B49:B90" si="8">IF(C49&lt;&gt;"",MONTH(C49),"")</f>
        <v>1</v>
      </c>
      <c r="C49" s="871">
        <v>42400</v>
      </c>
      <c r="D49" s="871" t="s">
        <v>582</v>
      </c>
      <c r="E49" s="871">
        <f>C49</f>
        <v>42400</v>
      </c>
      <c r="F49" s="872" t="s">
        <v>1328</v>
      </c>
      <c r="G49" s="276">
        <v>37369000</v>
      </c>
      <c r="H49" s="320"/>
      <c r="I49" s="439"/>
      <c r="J49" s="439"/>
      <c r="K49" s="430"/>
      <c r="L49" s="439"/>
      <c r="M49" s="877">
        <v>36456640</v>
      </c>
      <c r="N49" s="878" t="s">
        <v>591</v>
      </c>
      <c r="O49" s="878" t="s">
        <v>592</v>
      </c>
      <c r="P49" s="84" t="str">
        <f>IF(AND('331-CT'!$E$7=TH!H49,OR(N49="331",O49="331")),"x","")</f>
        <v/>
      </c>
      <c r="Q49" s="84" t="str">
        <f>IF(AND(B49='111'!$L$11,OR($N49=$Q$7,$O49=$Q$7)),"x","")</f>
        <v/>
      </c>
      <c r="R49" s="84" t="str">
        <f>IF(AND($N49=$Q$7,$B49&lt;'111'!$L$11),"x","")</f>
        <v/>
      </c>
      <c r="S49" s="84" t="str">
        <f>IF(AND($O49=$Q$7,$B49&lt;'111'!$L$11),"x","")</f>
        <v/>
      </c>
      <c r="T49" s="84" t="str">
        <f>IF(ISERROR(FIND('112'!$M$9,G49,1)),"",IF((AND(FIND('112'!$M$9,G49,1)&gt;=1,B49='112'!$K$9,OR($N49='112'!$I$6,$O49='112'!$I$6))),"x",""))</f>
        <v/>
      </c>
      <c r="U49" s="84" t="str">
        <f>IF(ISERROR(FIND('112'!$M$9,G49,1)),"",IF((AND(LEFT(G49,2)=LEFT('112'!$M$9,2),B49&lt;'112'!$K$9,$N49='112'!$I$6)),"x",""))</f>
        <v/>
      </c>
      <c r="V49" s="84" t="str">
        <f>IF(ISERROR(FIND('112'!$M$9,G49,1)),"",IF((AND(RIGHT(G49,2)=RIGHT('112'!$M$9,2),B49&lt;'112'!$K$9,$O49='112'!$I$6)),"x",""))</f>
        <v/>
      </c>
      <c r="W49" s="84" t="str">
        <f>IF(AND('341-CT'!$H$9=H49,OR(LEFT(N49,3)=$W$7,LEFT(O49,3)=$W$7)),"x","")</f>
        <v/>
      </c>
      <c r="X49" s="84" t="str">
        <f>IF(OR(TH!N49=TH!$X$7,O49=TH!$X$7),"x","")</f>
        <v/>
      </c>
      <c r="Y49" s="84" t="str">
        <f>IF(AND(OR(N49="131",O49="131"),H49='131-CT'!$H$9),"x","")</f>
        <v/>
      </c>
      <c r="Z49" s="84"/>
      <c r="AA49" s="84" t="str">
        <f>IF(AND(MONTH(E49)='IN-NX'!$J$5,'IN-NX'!$D$7=D49),"x","")</f>
        <v/>
      </c>
      <c r="AB49" s="84" t="str">
        <f>IF(AND(OR(LEFT(TH!N49,2)="15",LEFT(TH!O49,2)="15"),LEFT(TH!O49,3)&lt;&gt;"111",'152-CT'!$J$8=TH!F49),"x","")</f>
        <v/>
      </c>
      <c r="AC49" s="84" t="str">
        <f>IF(AND(OR(LEFT(TH!N49,2)="15",LEFT(TH!O49,2)="15"),TK!$E$7=TH!F49),"x","")</f>
        <v/>
      </c>
      <c r="AD49" s="84" t="str">
        <f>IF(AND(N49="1521",MONTH(C49)='BK-NL'!$M$11),"x","")</f>
        <v/>
      </c>
    </row>
    <row r="50" spans="1:30" s="341" customFormat="1" ht="15.75" hidden="1" customHeight="1">
      <c r="A50" s="336" t="str">
        <f>IF(B50&lt;&gt;"",IF(AND(B50='IN-TC'!$S$4,OR(TH!N50="1111",TH!O50="1111")),TH!D50,""),"")</f>
        <v/>
      </c>
      <c r="B50" s="63">
        <f t="shared" si="8"/>
        <v>1</v>
      </c>
      <c r="C50" s="871">
        <v>42400</v>
      </c>
      <c r="D50" s="871" t="s">
        <v>582</v>
      </c>
      <c r="E50" s="871">
        <f t="shared" ref="E50:E62" si="9">C50</f>
        <v>42400</v>
      </c>
      <c r="F50" s="872" t="s">
        <v>1329</v>
      </c>
      <c r="G50" s="276">
        <v>111683000</v>
      </c>
      <c r="H50" s="320"/>
      <c r="I50" s="439"/>
      <c r="J50" s="439"/>
      <c r="K50" s="430"/>
      <c r="L50" s="439"/>
      <c r="M50" s="877">
        <v>119802600</v>
      </c>
      <c r="N50" s="878" t="s">
        <v>282</v>
      </c>
      <c r="O50" s="878" t="s">
        <v>592</v>
      </c>
      <c r="P50" s="84" t="str">
        <f>IF(AND('331-CT'!$E$7=TH!H50,OR(N50="331",O50="331")),"x","")</f>
        <v/>
      </c>
      <c r="Q50" s="84" t="str">
        <f>IF(AND(B50='111'!$L$11,OR($N50=$Q$7,$O50=$Q$7)),"x","")</f>
        <v/>
      </c>
      <c r="R50" s="84" t="str">
        <f>IF(AND($N50=$Q$7,$B50&lt;'111'!$L$11),"x","")</f>
        <v/>
      </c>
      <c r="S50" s="84" t="str">
        <f>IF(AND($O50=$Q$7,$B50&lt;'111'!$L$11),"x","")</f>
        <v/>
      </c>
      <c r="T50" s="84" t="str">
        <f>IF(ISERROR(FIND('112'!$M$9,G50,1)),"",IF((AND(FIND('112'!$M$9,G50,1)&gt;=1,B50='112'!$K$9,OR($N50='112'!$I$6,$O50='112'!$I$6))),"x",""))</f>
        <v/>
      </c>
      <c r="U50" s="84" t="str">
        <f>IF(ISERROR(FIND('112'!$M$9,G50,1)),"",IF((AND(LEFT(G50,2)=LEFT('112'!$M$9,2),B50&lt;'112'!$K$9,$N50='112'!$I$6)),"x",""))</f>
        <v/>
      </c>
      <c r="V50" s="84" t="str">
        <f>IF(ISERROR(FIND('112'!$M$9,G50,1)),"",IF((AND(RIGHT(G50,2)=RIGHT('112'!$M$9,2),B50&lt;'112'!$K$9,$O50='112'!$I$6)),"x",""))</f>
        <v/>
      </c>
      <c r="W50" s="84" t="str">
        <f>IF(AND('341-CT'!$H$9=H50,OR(LEFT(N50,3)=$W$7,LEFT(O50,3)=$W$7)),"x","")</f>
        <v/>
      </c>
      <c r="X50" s="84" t="str">
        <f>IF(OR(TH!N50=TH!$X$7,O50=TH!$X$7),"x","")</f>
        <v/>
      </c>
      <c r="Y50" s="84" t="str">
        <f>IF(AND(OR(N50="131",O50="131"),H50='131-CT'!$H$9),"x","")</f>
        <v/>
      </c>
      <c r="Z50" s="84"/>
      <c r="AA50" s="84" t="str">
        <f>IF(AND(MONTH(E50)='IN-NX'!$J$5,'IN-NX'!$D$7=D50),"x","")</f>
        <v/>
      </c>
      <c r="AB50" s="84" t="str">
        <f>IF(AND(OR(LEFT(TH!N50,2)="15",LEFT(TH!O50,2)="15"),LEFT(TH!O50,3)&lt;&gt;"111",'152-CT'!$J$8=TH!F50),"x","")</f>
        <v/>
      </c>
      <c r="AC50" s="84" t="str">
        <f>IF(AND(OR(LEFT(TH!N50,2)="15",LEFT(TH!O50,2)="15"),TK!$E$7=TH!F50),"x","")</f>
        <v/>
      </c>
      <c r="AD50" s="84" t="str">
        <f>IF(AND(N50="1521",MONTH(C50)='BK-NL'!$M$11),"x","")</f>
        <v/>
      </c>
    </row>
    <row r="51" spans="1:30" s="341" customFormat="1" ht="15.75" hidden="1" customHeight="1">
      <c r="A51" s="336" t="str">
        <f>IF(B51&lt;&gt;"",IF(AND(B51='IN-TC'!$S$4,OR(TH!N51="1111",TH!O51="1111")),TH!D51,""),"")</f>
        <v/>
      </c>
      <c r="B51" s="63">
        <f t="shared" si="8"/>
        <v>1</v>
      </c>
      <c r="C51" s="871">
        <v>42400</v>
      </c>
      <c r="D51" s="871" t="s">
        <v>582</v>
      </c>
      <c r="E51" s="871">
        <f t="shared" si="9"/>
        <v>42400</v>
      </c>
      <c r="F51" s="872" t="s">
        <v>1330</v>
      </c>
      <c r="G51" s="976" t="s">
        <v>583</v>
      </c>
      <c r="H51" s="320"/>
      <c r="I51" s="439"/>
      <c r="J51" s="439"/>
      <c r="K51" s="430"/>
      <c r="L51" s="439"/>
      <c r="M51" s="877">
        <f>G49*$G51</f>
        <v>2989520</v>
      </c>
      <c r="N51" s="878" t="s">
        <v>592</v>
      </c>
      <c r="O51" s="878" t="s">
        <v>593</v>
      </c>
      <c r="P51" s="84" t="str">
        <f>IF(AND('331-CT'!$E$7=TH!H51,OR(N51="331",O51="331")),"x","")</f>
        <v/>
      </c>
      <c r="Q51" s="84" t="str">
        <f>IF(AND(B51='111'!$L$11,OR($N51=$Q$7,$O51=$Q$7)),"x","")</f>
        <v/>
      </c>
      <c r="R51" s="84" t="str">
        <f>IF(AND($N51=$Q$7,$B51&lt;'111'!$L$11),"x","")</f>
        <v/>
      </c>
      <c r="S51" s="84" t="str">
        <f>IF(AND($O51=$Q$7,$B51&lt;'111'!$L$11),"x","")</f>
        <v/>
      </c>
      <c r="T51" s="84" t="str">
        <f>IF(ISERROR(FIND('112'!$M$9,G51,1)),"",IF((AND(FIND('112'!$M$9,G51,1)&gt;=1,B51='112'!$K$9,OR($N51='112'!$I$6,$O51='112'!$I$6))),"x",""))</f>
        <v/>
      </c>
      <c r="U51" s="84" t="str">
        <f>IF(ISERROR(FIND('112'!$M$9,G51,1)),"",IF((AND(LEFT(G51,2)=LEFT('112'!$M$9,2),B51&lt;'112'!$K$9,$N51='112'!$I$6)),"x",""))</f>
        <v/>
      </c>
      <c r="V51" s="84" t="str">
        <f>IF(ISERROR(FIND('112'!$M$9,G51,1)),"",IF((AND(RIGHT(G51,2)=RIGHT('112'!$M$9,2),B51&lt;'112'!$K$9,$O51='112'!$I$6)),"x",""))</f>
        <v/>
      </c>
      <c r="W51" s="84" t="str">
        <f>IF(AND('341-CT'!$H$9=H51,OR(LEFT(N51,3)=$W$7,LEFT(O51,3)=$W$7)),"x","")</f>
        <v/>
      </c>
      <c r="X51" s="84" t="str">
        <f>IF(OR(TH!N51=TH!$X$7,O51=TH!$X$7),"x","")</f>
        <v/>
      </c>
      <c r="Y51" s="84" t="str">
        <f>IF(AND(OR(N51="131",O51="131"),H51='131-CT'!$H$9),"x","")</f>
        <v/>
      </c>
      <c r="Z51" s="84"/>
      <c r="AA51" s="84" t="str">
        <f>IF(AND(MONTH(E51)='IN-NX'!$J$5,'IN-NX'!$D$7=D51),"x","")</f>
        <v/>
      </c>
      <c r="AB51" s="84" t="str">
        <f>IF(AND(OR(LEFT(TH!N51,2)="15",LEFT(TH!O51,2)="15"),LEFT(TH!O51,3)&lt;&gt;"111",'152-CT'!$J$8=TH!F51),"x","")</f>
        <v/>
      </c>
      <c r="AC51" s="84" t="str">
        <f>IF(AND(OR(LEFT(TH!N51,2)="15",LEFT(TH!O51,2)="15"),TK!$E$7=TH!F51),"x","")</f>
        <v/>
      </c>
      <c r="AD51" s="84" t="str">
        <f>IF(AND(N51="1521",MONTH(C51)='BK-NL'!$M$11),"x","")</f>
        <v/>
      </c>
    </row>
    <row r="52" spans="1:30" s="341" customFormat="1" ht="15.75" hidden="1" customHeight="1">
      <c r="A52" s="336" t="str">
        <f>IF(B52&lt;&gt;"",IF(AND(B52='IN-TC'!$S$4,OR(TH!N52="1111",TH!O52="1111")),TH!D52,""),"")</f>
        <v/>
      </c>
      <c r="B52" s="63">
        <f t="shared" si="8"/>
        <v>1</v>
      </c>
      <c r="C52" s="871">
        <v>42400</v>
      </c>
      <c r="D52" s="871" t="s">
        <v>582</v>
      </c>
      <c r="E52" s="871">
        <f t="shared" si="9"/>
        <v>42400</v>
      </c>
      <c r="F52" s="872" t="s">
        <v>1331</v>
      </c>
      <c r="G52" s="276"/>
      <c r="H52" s="320"/>
      <c r="I52" s="439"/>
      <c r="J52" s="439"/>
      <c r="K52" s="430"/>
      <c r="L52" s="439"/>
      <c r="M52" s="877">
        <f>G50*$G51</f>
        <v>8934640</v>
      </c>
      <c r="N52" s="879" t="s">
        <v>592</v>
      </c>
      <c r="O52" s="880" t="s">
        <v>593</v>
      </c>
      <c r="P52" s="84" t="str">
        <f>IF(AND('331-CT'!$E$7=TH!H52,OR(N52="331",O52="331")),"x","")</f>
        <v/>
      </c>
      <c r="Q52" s="84" t="str">
        <f>IF(AND(B52='111'!$L$11,OR($N52=$Q$7,$O52=$Q$7)),"x","")</f>
        <v/>
      </c>
      <c r="R52" s="84" t="str">
        <f>IF(AND($N52=$Q$7,$B52&lt;'111'!$L$11),"x","")</f>
        <v/>
      </c>
      <c r="S52" s="84" t="str">
        <f>IF(AND($O52=$Q$7,$B52&lt;'111'!$L$11),"x","")</f>
        <v/>
      </c>
      <c r="T52" s="84" t="str">
        <f>IF(ISERROR(FIND('112'!$M$9,G52,1)),"",IF((AND(FIND('112'!$M$9,G52,1)&gt;=1,B52='112'!$K$9,OR($N52='112'!$I$6,$O52='112'!$I$6))),"x",""))</f>
        <v/>
      </c>
      <c r="U52" s="84" t="str">
        <f>IF(ISERROR(FIND('112'!$M$9,G52,1)),"",IF((AND(LEFT(G52,2)=LEFT('112'!$M$9,2),B52&lt;'112'!$K$9,$N52='112'!$I$6)),"x",""))</f>
        <v/>
      </c>
      <c r="V52" s="84" t="str">
        <f>IF(ISERROR(FIND('112'!$M$9,G52,1)),"",IF((AND(RIGHT(G52,2)=RIGHT('112'!$M$9,2),B52&lt;'112'!$K$9,$O52='112'!$I$6)),"x",""))</f>
        <v/>
      </c>
      <c r="W52" s="84" t="str">
        <f>IF(AND('341-CT'!$H$9=H52,OR(LEFT(N52,3)=$W$7,LEFT(O52,3)=$W$7)),"x","")</f>
        <v/>
      </c>
      <c r="X52" s="84" t="str">
        <f>IF(OR(TH!N52=TH!$X$7,O52=TH!$X$7),"x","")</f>
        <v/>
      </c>
      <c r="Y52" s="84" t="str">
        <f>IF(AND(OR(N52="131",O52="131"),H52='131-CT'!$H$9),"x","")</f>
        <v/>
      </c>
      <c r="Z52" s="84"/>
      <c r="AA52" s="84" t="str">
        <f>IF(AND(MONTH(E52)='IN-NX'!$J$5,'IN-NX'!$D$7=D52),"x","")</f>
        <v/>
      </c>
      <c r="AB52" s="84" t="str">
        <f>IF(AND(OR(LEFT(TH!N52,2)="15",LEFT(TH!O52,2)="15"),LEFT(TH!O52,3)&lt;&gt;"111",'152-CT'!$J$8=TH!F52),"x","")</f>
        <v/>
      </c>
      <c r="AC52" s="84" t="str">
        <f>IF(AND(OR(LEFT(TH!N52,2)="15",LEFT(TH!O52,2)="15"),TK!$E$7=TH!F52),"x","")</f>
        <v/>
      </c>
      <c r="AD52" s="84" t="str">
        <f>IF(AND(N52="1521",MONTH(C52)='BK-NL'!$M$11),"x","")</f>
        <v/>
      </c>
    </row>
    <row r="53" spans="1:30" s="341" customFormat="1" ht="15.75" hidden="1" customHeight="1">
      <c r="A53" s="336" t="str">
        <f>IF(B53&lt;&gt;"",IF(AND(B53='IN-TC'!$S$4,OR(TH!N53="1111",TH!O53="1111")),TH!D53,""),"")</f>
        <v/>
      </c>
      <c r="B53" s="63">
        <f t="shared" si="8"/>
        <v>1</v>
      </c>
      <c r="C53" s="871">
        <v>42400</v>
      </c>
      <c r="D53" s="871" t="s">
        <v>582</v>
      </c>
      <c r="E53" s="871">
        <f t="shared" si="9"/>
        <v>42400</v>
      </c>
      <c r="F53" s="872" t="s">
        <v>1332</v>
      </c>
      <c r="G53" s="976" t="s">
        <v>584</v>
      </c>
      <c r="H53" s="320"/>
      <c r="I53" s="439"/>
      <c r="J53" s="439"/>
      <c r="K53" s="430"/>
      <c r="L53" s="439"/>
      <c r="M53" s="877">
        <f>G49*$G53</f>
        <v>6726420</v>
      </c>
      <c r="N53" s="878" t="s">
        <v>591</v>
      </c>
      <c r="O53" s="878" t="s">
        <v>593</v>
      </c>
      <c r="P53" s="84" t="str">
        <f>IF(AND('331-CT'!$E$7=TH!H53,OR(N53="331",O53="331")),"x","")</f>
        <v/>
      </c>
      <c r="Q53" s="84" t="str">
        <f>IF(AND(B53='111'!$L$11,OR($N53=$Q$7,$O53=$Q$7)),"x","")</f>
        <v/>
      </c>
      <c r="R53" s="84" t="str">
        <f>IF(AND($N53=$Q$7,$B53&lt;'111'!$L$11),"x","")</f>
        <v/>
      </c>
      <c r="S53" s="84" t="str">
        <f>IF(AND($O53=$Q$7,$B53&lt;'111'!$L$11),"x","")</f>
        <v/>
      </c>
      <c r="T53" s="84" t="str">
        <f>IF(ISERROR(FIND('112'!$M$9,G53,1)),"",IF((AND(FIND('112'!$M$9,G53,1)&gt;=1,B53='112'!$K$9,OR($N53='112'!$I$6,$O53='112'!$I$6))),"x",""))</f>
        <v/>
      </c>
      <c r="U53" s="84" t="str">
        <f>IF(ISERROR(FIND('112'!$M$9,G53,1)),"",IF((AND(LEFT(G53,2)=LEFT('112'!$M$9,2),B53&lt;'112'!$K$9,$N53='112'!$I$6)),"x",""))</f>
        <v/>
      </c>
      <c r="V53" s="84" t="str">
        <f>IF(ISERROR(FIND('112'!$M$9,G53,1)),"",IF((AND(RIGHT(G53,2)=RIGHT('112'!$M$9,2),B53&lt;'112'!$K$9,$O53='112'!$I$6)),"x",""))</f>
        <v/>
      </c>
      <c r="W53" s="84" t="str">
        <f>IF(AND('341-CT'!$H$9=H53,OR(LEFT(N53,3)=$W$7,LEFT(O53,3)=$W$7)),"x","")</f>
        <v/>
      </c>
      <c r="X53" s="84" t="str">
        <f>IF(OR(TH!N53=TH!$X$7,O53=TH!$X$7),"x","")</f>
        <v/>
      </c>
      <c r="Y53" s="84" t="str">
        <f>IF(AND(OR(N53="131",O53="131"),H53='131-CT'!$H$9),"x","")</f>
        <v/>
      </c>
      <c r="Z53" s="84"/>
      <c r="AA53" s="84" t="str">
        <f>IF(AND(MONTH(E53)='IN-NX'!$J$5,'IN-NX'!$D$7=D53),"x","")</f>
        <v/>
      </c>
      <c r="AB53" s="84" t="str">
        <f>IF(AND(OR(LEFT(TH!N53,2)="15",LEFT(TH!O53,2)="15"),LEFT(TH!O53,3)&lt;&gt;"111",'152-CT'!$J$8=TH!F53),"x","")</f>
        <v/>
      </c>
      <c r="AC53" s="84" t="str">
        <f>IF(AND(OR(LEFT(TH!N53,2)="15",LEFT(TH!O53,2)="15"),TK!$E$7=TH!F53),"x","")</f>
        <v/>
      </c>
      <c r="AD53" s="84" t="str">
        <f>IF(AND(N53="1521",MONTH(C53)='BK-NL'!$M$11),"x","")</f>
        <v/>
      </c>
    </row>
    <row r="54" spans="1:30" s="341" customFormat="1" ht="15.75" hidden="1" customHeight="1">
      <c r="A54" s="336" t="str">
        <f>IF(B54&lt;&gt;"",IF(AND(B54='IN-TC'!$S$4,OR(TH!N54="1111",TH!O54="1111")),TH!D54,""),"")</f>
        <v/>
      </c>
      <c r="B54" s="63">
        <f t="shared" si="8"/>
        <v>1</v>
      </c>
      <c r="C54" s="871">
        <v>42400</v>
      </c>
      <c r="D54" s="871" t="s">
        <v>582</v>
      </c>
      <c r="E54" s="871">
        <f t="shared" si="9"/>
        <v>42400</v>
      </c>
      <c r="F54" s="872" t="s">
        <v>1333</v>
      </c>
      <c r="G54" s="276"/>
      <c r="H54" s="320"/>
      <c r="I54" s="439"/>
      <c r="J54" s="439"/>
      <c r="K54" s="430"/>
      <c r="L54" s="439"/>
      <c r="M54" s="877">
        <f>G50*$G53</f>
        <v>20102940</v>
      </c>
      <c r="N54" s="878" t="s">
        <v>282</v>
      </c>
      <c r="O54" s="878" t="s">
        <v>593</v>
      </c>
      <c r="P54" s="84" t="str">
        <f>IF(AND('331-CT'!$E$7=TH!H54,OR(N54="331",O54="331")),"x","")</f>
        <v/>
      </c>
      <c r="Q54" s="84" t="str">
        <f>IF(AND(B54='111'!$L$11,OR($N54=$Q$7,$O54=$Q$7)),"x","")</f>
        <v/>
      </c>
      <c r="R54" s="84" t="str">
        <f>IF(AND($N54=$Q$7,$B54&lt;'111'!$L$11),"x","")</f>
        <v/>
      </c>
      <c r="S54" s="84" t="str">
        <f>IF(AND($O54=$Q$7,$B54&lt;'111'!$L$11),"x","")</f>
        <v/>
      </c>
      <c r="T54" s="84" t="str">
        <f>IF(ISERROR(FIND('112'!$M$9,G54,1)),"",IF((AND(FIND('112'!$M$9,G54,1)&gt;=1,B54='112'!$K$9,OR($N54='112'!$I$6,$O54='112'!$I$6))),"x",""))</f>
        <v/>
      </c>
      <c r="U54" s="84" t="str">
        <f>IF(ISERROR(FIND('112'!$M$9,G54,1)),"",IF((AND(LEFT(G54,2)=LEFT('112'!$M$9,2),B54&lt;'112'!$K$9,$N54='112'!$I$6)),"x",""))</f>
        <v/>
      </c>
      <c r="V54" s="84" t="str">
        <f>IF(ISERROR(FIND('112'!$M$9,G54,1)),"",IF((AND(RIGHT(G54,2)=RIGHT('112'!$M$9,2),B54&lt;'112'!$K$9,$O54='112'!$I$6)),"x",""))</f>
        <v/>
      </c>
      <c r="W54" s="84" t="str">
        <f>IF(AND('341-CT'!$H$9=H54,OR(LEFT(N54,3)=$W$7,LEFT(O54,3)=$W$7)),"x","")</f>
        <v/>
      </c>
      <c r="X54" s="84" t="str">
        <f>IF(OR(TH!N54=TH!$X$7,O54=TH!$X$7),"x","")</f>
        <v/>
      </c>
      <c r="Y54" s="84" t="str">
        <f>IF(AND(OR(N54="131",O54="131"),H54='131-CT'!$H$9),"x","")</f>
        <v/>
      </c>
      <c r="Z54" s="84"/>
      <c r="AA54" s="84" t="str">
        <f>IF(AND(MONTH(E54)='IN-NX'!$J$5,'IN-NX'!$D$7=D54),"x","")</f>
        <v/>
      </c>
      <c r="AB54" s="84" t="str">
        <f>IF(AND(OR(LEFT(TH!N54,2)="15",LEFT(TH!O54,2)="15"),LEFT(TH!O54,3)&lt;&gt;"111",'152-CT'!$J$8=TH!F54),"x","")</f>
        <v/>
      </c>
      <c r="AC54" s="84" t="str">
        <f>IF(AND(OR(LEFT(TH!N54,2)="15",LEFT(TH!O54,2)="15"),TK!$E$7=TH!F54),"x","")</f>
        <v/>
      </c>
      <c r="AD54" s="84" t="str">
        <f>IF(AND(N54="1521",MONTH(C54)='BK-NL'!$M$11),"x","")</f>
        <v/>
      </c>
    </row>
    <row r="55" spans="1:30" s="341" customFormat="1" ht="15.75" hidden="1" customHeight="1">
      <c r="A55" s="336" t="str">
        <f>IF(B55&lt;&gt;"",IF(AND(B55='IN-TC'!$S$4,OR(TH!N55="1111",TH!O55="1111")),TH!D55,""),"")</f>
        <v/>
      </c>
      <c r="B55" s="63">
        <f t="shared" si="8"/>
        <v>1</v>
      </c>
      <c r="C55" s="871">
        <v>42400</v>
      </c>
      <c r="D55" s="871" t="s">
        <v>582</v>
      </c>
      <c r="E55" s="871">
        <f t="shared" si="9"/>
        <v>42400</v>
      </c>
      <c r="F55" s="872" t="s">
        <v>1334</v>
      </c>
      <c r="G55" s="976" t="s">
        <v>585</v>
      </c>
      <c r="H55" s="322"/>
      <c r="I55" s="437"/>
      <c r="J55" s="437"/>
      <c r="K55" s="428"/>
      <c r="L55" s="437"/>
      <c r="M55" s="877">
        <f>G49*$G55</f>
        <v>560535</v>
      </c>
      <c r="N55" s="878" t="s">
        <v>592</v>
      </c>
      <c r="O55" s="878" t="s">
        <v>594</v>
      </c>
      <c r="P55" s="84" t="str">
        <f>IF(AND('331-CT'!$E$7=TH!H55,OR(N55="331",O55="331")),"x","")</f>
        <v/>
      </c>
      <c r="Q55" s="84" t="str">
        <f>IF(AND(B55='111'!$L$11,OR($N55=$Q$7,$O55=$Q$7)),"x","")</f>
        <v/>
      </c>
      <c r="R55" s="84" t="str">
        <f>IF(AND($N55=$Q$7,$B55&lt;'111'!$L$11),"x","")</f>
        <v/>
      </c>
      <c r="S55" s="84" t="str">
        <f>IF(AND($O55=$Q$7,$B55&lt;'111'!$L$11),"x","")</f>
        <v/>
      </c>
      <c r="T55" s="84" t="str">
        <f>IF(ISERROR(FIND('112'!$M$9,G55,1)),"",IF((AND(FIND('112'!$M$9,G55,1)&gt;=1,B55='112'!$K$9,OR($N55='112'!$I$6,$O55='112'!$I$6))),"x",""))</f>
        <v/>
      </c>
      <c r="U55" s="84" t="str">
        <f>IF(ISERROR(FIND('112'!$M$9,G55,1)),"",IF((AND(LEFT(G55,2)=LEFT('112'!$M$9,2),B55&lt;'112'!$K$9,$N55='112'!$I$6)),"x",""))</f>
        <v/>
      </c>
      <c r="V55" s="84" t="str">
        <f>IF(ISERROR(FIND('112'!$M$9,G55,1)),"",IF((AND(RIGHT(G55,2)=RIGHT('112'!$M$9,2),B55&lt;'112'!$K$9,$O55='112'!$I$6)),"x",""))</f>
        <v/>
      </c>
      <c r="W55" s="84" t="str">
        <f>IF(AND('341-CT'!$H$9=H55,OR(LEFT(N55,3)=$W$7,LEFT(O55,3)=$W$7)),"x","")</f>
        <v/>
      </c>
      <c r="X55" s="84" t="str">
        <f>IF(OR(TH!N55=TH!$X$7,O55=TH!$X$7),"x","")</f>
        <v/>
      </c>
      <c r="Y55" s="84" t="str">
        <f>IF(AND(OR(N55="131",O55="131"),H55='131-CT'!$H$9),"x","")</f>
        <v/>
      </c>
      <c r="Z55" s="84"/>
      <c r="AA55" s="84" t="str">
        <f>IF(AND(MONTH(E55)='IN-NX'!$J$5,'IN-NX'!$D$7=D55),"x","")</f>
        <v/>
      </c>
      <c r="AB55" s="84" t="str">
        <f>IF(AND(OR(LEFT(TH!N55,2)="15",LEFT(TH!O55,2)="15"),LEFT(TH!O55,3)&lt;&gt;"111",'152-CT'!$J$8=TH!F55),"x","")</f>
        <v/>
      </c>
      <c r="AC55" s="84" t="str">
        <f>IF(AND(OR(LEFT(TH!N55,2)="15",LEFT(TH!O55,2)="15"),TK!$E$7=TH!F55),"x","")</f>
        <v/>
      </c>
      <c r="AD55" s="84" t="str">
        <f>IF(AND(N55="1521",MONTH(C55)='BK-NL'!$M$11),"x","")</f>
        <v/>
      </c>
    </row>
    <row r="56" spans="1:30" s="341" customFormat="1" ht="15.75" hidden="1" customHeight="1">
      <c r="A56" s="336" t="str">
        <f>IF(B56&lt;&gt;"",IF(AND(B56='IN-TC'!$S$4,OR(TH!N56="1111",TH!O56="1111")),TH!D56,""),"")</f>
        <v/>
      </c>
      <c r="B56" s="63">
        <f t="shared" si="8"/>
        <v>1</v>
      </c>
      <c r="C56" s="871">
        <v>42400</v>
      </c>
      <c r="D56" s="871" t="s">
        <v>582</v>
      </c>
      <c r="E56" s="871">
        <f t="shared" si="9"/>
        <v>42400</v>
      </c>
      <c r="F56" s="872" t="s">
        <v>1335</v>
      </c>
      <c r="G56" s="276"/>
      <c r="H56" s="322"/>
      <c r="I56" s="437"/>
      <c r="J56" s="437"/>
      <c r="K56" s="428"/>
      <c r="L56" s="437"/>
      <c r="M56" s="877">
        <f>G50*$G55</f>
        <v>1675245</v>
      </c>
      <c r="N56" s="878" t="s">
        <v>592</v>
      </c>
      <c r="O56" s="878" t="s">
        <v>594</v>
      </c>
      <c r="P56" s="84" t="str">
        <f>IF(AND('331-CT'!$E$7=TH!H56,OR(N56="331",O56="331")),"x","")</f>
        <v/>
      </c>
      <c r="Q56" s="84" t="str">
        <f>IF(AND(B56='111'!$L$11,OR($N56=$Q$7,$O56=$Q$7)),"x","")</f>
        <v/>
      </c>
      <c r="R56" s="84" t="str">
        <f>IF(AND($N56=$Q$7,$B56&lt;'111'!$L$11),"x","")</f>
        <v/>
      </c>
      <c r="S56" s="84" t="str">
        <f>IF(AND($O56=$Q$7,$B56&lt;'111'!$L$11),"x","")</f>
        <v/>
      </c>
      <c r="T56" s="84" t="str">
        <f>IF(ISERROR(FIND('112'!$M$9,G56,1)),"",IF((AND(FIND('112'!$M$9,G56,1)&gt;=1,B56='112'!$K$9,OR($N56='112'!$I$6,$O56='112'!$I$6))),"x",""))</f>
        <v/>
      </c>
      <c r="U56" s="84" t="str">
        <f>IF(ISERROR(FIND('112'!$M$9,G56,1)),"",IF((AND(LEFT(G56,2)=LEFT('112'!$M$9,2),B56&lt;'112'!$K$9,$N56='112'!$I$6)),"x",""))</f>
        <v/>
      </c>
      <c r="V56" s="84" t="str">
        <f>IF(ISERROR(FIND('112'!$M$9,G56,1)),"",IF((AND(RIGHT(G56,2)=RIGHT('112'!$M$9,2),B56&lt;'112'!$K$9,$O56='112'!$I$6)),"x",""))</f>
        <v/>
      </c>
      <c r="W56" s="84" t="str">
        <f>IF(AND('341-CT'!$H$9=H56,OR(LEFT(N56,3)=$W$7,LEFT(O56,3)=$W$7)),"x","")</f>
        <v/>
      </c>
      <c r="X56" s="84" t="str">
        <f>IF(OR(TH!N56=TH!$X$7,O56=TH!$X$7),"x","")</f>
        <v/>
      </c>
      <c r="Y56" s="84" t="str">
        <f>IF(AND(OR(N56="131",O56="131"),H56='131-CT'!$H$9),"x","")</f>
        <v/>
      </c>
      <c r="Z56" s="84"/>
      <c r="AA56" s="84" t="str">
        <f>IF(AND(MONTH(E56)='IN-NX'!$J$5,'IN-NX'!$D$7=D56),"x","")</f>
        <v/>
      </c>
      <c r="AB56" s="84" t="str">
        <f>IF(AND(OR(LEFT(TH!N56,2)="15",LEFT(TH!O56,2)="15"),LEFT(TH!O56,3)&lt;&gt;"111",'152-CT'!$J$8=TH!F56),"x","")</f>
        <v/>
      </c>
      <c r="AC56" s="84" t="str">
        <f>IF(AND(OR(LEFT(TH!N56,2)="15",LEFT(TH!O56,2)="15"),TK!$E$7=TH!F56),"x","")</f>
        <v/>
      </c>
      <c r="AD56" s="84" t="str">
        <f>IF(AND(N56="1521",MONTH(C56)='BK-NL'!$M$11),"x","")</f>
        <v/>
      </c>
    </row>
    <row r="57" spans="1:30" s="341" customFormat="1" ht="15.75" hidden="1" customHeight="1">
      <c r="A57" s="336" t="str">
        <f>IF(B57&lt;&gt;"",IF(AND(B57='IN-TC'!$S$4,OR(TH!N57="1111",TH!O57="1111")),TH!D57,""),"")</f>
        <v/>
      </c>
      <c r="B57" s="63">
        <f t="shared" si="8"/>
        <v>1</v>
      </c>
      <c r="C57" s="871">
        <v>42400</v>
      </c>
      <c r="D57" s="871" t="s">
        <v>582</v>
      </c>
      <c r="E57" s="871">
        <f t="shared" si="9"/>
        <v>42400</v>
      </c>
      <c r="F57" s="872" t="s">
        <v>1336</v>
      </c>
      <c r="G57" s="976" t="s">
        <v>586</v>
      </c>
      <c r="H57" s="320"/>
      <c r="I57" s="439"/>
      <c r="J57" s="439"/>
      <c r="K57" s="430"/>
      <c r="L57" s="439"/>
      <c r="M57" s="877">
        <f>G49*$G57</f>
        <v>1121070</v>
      </c>
      <c r="N57" s="878" t="s">
        <v>591</v>
      </c>
      <c r="O57" s="878" t="s">
        <v>594</v>
      </c>
      <c r="P57" s="84" t="str">
        <f>IF(AND('331-CT'!$E$7=TH!H57,OR(N57="331",O57="331")),"x","")</f>
        <v/>
      </c>
      <c r="Q57" s="84" t="str">
        <f>IF(AND(B57='111'!$L$11,OR($N57=$Q$7,$O57=$Q$7)),"x","")</f>
        <v/>
      </c>
      <c r="R57" s="84" t="str">
        <f>IF(AND($N57=$Q$7,$B57&lt;'111'!$L$11),"x","")</f>
        <v/>
      </c>
      <c r="S57" s="84" t="str">
        <f>IF(AND($O57=$Q$7,$B57&lt;'111'!$L$11),"x","")</f>
        <v/>
      </c>
      <c r="T57" s="84" t="str">
        <f>IF(ISERROR(FIND('112'!$M$9,G57,1)),"",IF((AND(FIND('112'!$M$9,G57,1)&gt;=1,B57='112'!$K$9,OR($N57='112'!$I$6,$O57='112'!$I$6))),"x",""))</f>
        <v/>
      </c>
      <c r="U57" s="84" t="str">
        <f>IF(ISERROR(FIND('112'!$M$9,G57,1)),"",IF((AND(LEFT(G57,2)=LEFT('112'!$M$9,2),B57&lt;'112'!$K$9,$N57='112'!$I$6)),"x",""))</f>
        <v/>
      </c>
      <c r="V57" s="84" t="str">
        <f>IF(ISERROR(FIND('112'!$M$9,G57,1)),"",IF((AND(RIGHT(G57,2)=RIGHT('112'!$M$9,2),B57&lt;'112'!$K$9,$O57='112'!$I$6)),"x",""))</f>
        <v/>
      </c>
      <c r="W57" s="84" t="str">
        <f>IF(AND('341-CT'!$H$9=H57,OR(LEFT(N57,3)=$W$7,LEFT(O57,3)=$W$7)),"x","")</f>
        <v/>
      </c>
      <c r="X57" s="84" t="str">
        <f>IF(OR(TH!N57=TH!$X$7,O57=TH!$X$7),"x","")</f>
        <v/>
      </c>
      <c r="Y57" s="84" t="str">
        <f>IF(AND(OR(N57="131",O57="131"),H57='131-CT'!$H$9),"x","")</f>
        <v/>
      </c>
      <c r="Z57" s="84"/>
      <c r="AA57" s="84" t="str">
        <f>IF(AND(MONTH(E57)='IN-NX'!$J$5,'IN-NX'!$D$7=D57),"x","")</f>
        <v/>
      </c>
      <c r="AB57" s="84" t="str">
        <f>IF(AND(OR(LEFT(TH!N57,2)="15",LEFT(TH!O57,2)="15"),LEFT(TH!O57,3)&lt;&gt;"111",'152-CT'!$J$8=TH!F57),"x","")</f>
        <v/>
      </c>
      <c r="AC57" s="84" t="str">
        <f>IF(AND(OR(LEFT(TH!N57,2)="15",LEFT(TH!O57,2)="15"),TK!$E$7=TH!F57),"x","")</f>
        <v/>
      </c>
      <c r="AD57" s="84" t="str">
        <f>IF(AND(N57="1521",MONTH(C57)='BK-NL'!$M$11),"x","")</f>
        <v/>
      </c>
    </row>
    <row r="58" spans="1:30" s="341" customFormat="1" ht="15.75" hidden="1" customHeight="1">
      <c r="A58" s="336" t="str">
        <f>IF(B58&lt;&gt;"",IF(AND(B58='IN-TC'!$S$4,OR(TH!N58="1111",TH!O58="1111")),TH!D58,""),"")</f>
        <v/>
      </c>
      <c r="B58" s="63">
        <f t="shared" si="8"/>
        <v>1</v>
      </c>
      <c r="C58" s="871">
        <v>42400</v>
      </c>
      <c r="D58" s="871" t="s">
        <v>582</v>
      </c>
      <c r="E58" s="871">
        <f t="shared" si="9"/>
        <v>42400</v>
      </c>
      <c r="F58" s="872" t="s">
        <v>1337</v>
      </c>
      <c r="G58" s="276"/>
      <c r="H58" s="320"/>
      <c r="I58" s="439"/>
      <c r="J58" s="439"/>
      <c r="K58" s="430"/>
      <c r="L58" s="439"/>
      <c r="M58" s="877">
        <f>G50*$G57</f>
        <v>3350490</v>
      </c>
      <c r="N58" s="878" t="s">
        <v>282</v>
      </c>
      <c r="O58" s="878" t="s">
        <v>594</v>
      </c>
      <c r="P58" s="84" t="str">
        <f>IF(AND('331-CT'!$E$7=TH!H58,OR(N58="331",O58="331")),"x","")</f>
        <v/>
      </c>
      <c r="Q58" s="84" t="str">
        <f>IF(AND(B58='111'!$L$11,OR($N58=$Q$7,$O58=$Q$7)),"x","")</f>
        <v/>
      </c>
      <c r="R58" s="84" t="str">
        <f>IF(AND($N58=$Q$7,$B58&lt;'111'!$L$11),"x","")</f>
        <v/>
      </c>
      <c r="S58" s="84" t="str">
        <f>IF(AND($O58=$Q$7,$B58&lt;'111'!$L$11),"x","")</f>
        <v/>
      </c>
      <c r="T58" s="84" t="str">
        <f>IF(ISERROR(FIND('112'!$M$9,G58,1)),"",IF((AND(FIND('112'!$M$9,G58,1)&gt;=1,B58='112'!$K$9,OR($N58='112'!$I$6,$O58='112'!$I$6))),"x",""))</f>
        <v/>
      </c>
      <c r="U58" s="84" t="str">
        <f>IF(ISERROR(FIND('112'!$M$9,G58,1)),"",IF((AND(LEFT(G58,2)=LEFT('112'!$M$9,2),B58&lt;'112'!$K$9,$N58='112'!$I$6)),"x",""))</f>
        <v/>
      </c>
      <c r="V58" s="84" t="str">
        <f>IF(ISERROR(FIND('112'!$M$9,G58,1)),"",IF((AND(RIGHT(G58,2)=RIGHT('112'!$M$9,2),B58&lt;'112'!$K$9,$O58='112'!$I$6)),"x",""))</f>
        <v/>
      </c>
      <c r="W58" s="84" t="str">
        <f>IF(AND('341-CT'!$H$9=H58,OR(LEFT(N58,3)=$W$7,LEFT(O58,3)=$W$7)),"x","")</f>
        <v/>
      </c>
      <c r="X58" s="84" t="str">
        <f>IF(OR(TH!N58=TH!$X$7,O58=TH!$X$7),"x","")</f>
        <v/>
      </c>
      <c r="Y58" s="84" t="str">
        <f>IF(AND(OR(N58="131",O58="131"),H58='131-CT'!$H$9),"x","")</f>
        <v/>
      </c>
      <c r="Z58" s="84"/>
      <c r="AA58" s="84" t="str">
        <f>IF(AND(MONTH(E58)='IN-NX'!$J$5,'IN-NX'!$D$7=D58),"x","")</f>
        <v/>
      </c>
      <c r="AB58" s="84" t="str">
        <f>IF(AND(OR(LEFT(TH!N58,2)="15",LEFT(TH!O58,2)="15"),LEFT(TH!O58,3)&lt;&gt;"111",'152-CT'!$J$8=TH!F58),"x","")</f>
        <v/>
      </c>
      <c r="AC58" s="84" t="str">
        <f>IF(AND(OR(LEFT(TH!N58,2)="15",LEFT(TH!O58,2)="15"),TK!$E$7=TH!F58),"x","")</f>
        <v/>
      </c>
      <c r="AD58" s="84" t="str">
        <f>IF(AND(N58="1521",MONTH(C58)='BK-NL'!$M$11),"x","")</f>
        <v/>
      </c>
    </row>
    <row r="59" spans="1:30" s="341" customFormat="1" ht="15.75" hidden="1" customHeight="1">
      <c r="A59" s="336" t="str">
        <f>IF(B59&lt;&gt;"",IF(AND(B59='IN-TC'!$S$4,OR(TH!N59="1111",TH!O59="1111")),TH!D59,""),"")</f>
        <v/>
      </c>
      <c r="B59" s="63">
        <f t="shared" si="8"/>
        <v>1</v>
      </c>
      <c r="C59" s="871">
        <v>42400</v>
      </c>
      <c r="D59" s="871" t="s">
        <v>582</v>
      </c>
      <c r="E59" s="871">
        <f t="shared" si="9"/>
        <v>42400</v>
      </c>
      <c r="F59" s="872" t="s">
        <v>1338</v>
      </c>
      <c r="G59" s="976" t="s">
        <v>587</v>
      </c>
      <c r="H59" s="320"/>
      <c r="I59" s="439"/>
      <c r="J59" s="439"/>
      <c r="K59" s="430"/>
      <c r="L59" s="439"/>
      <c r="M59" s="877">
        <f>G49*$G59</f>
        <v>373690</v>
      </c>
      <c r="N59" s="878" t="s">
        <v>592</v>
      </c>
      <c r="O59" s="878" t="s">
        <v>595</v>
      </c>
      <c r="P59" s="84" t="str">
        <f>IF(AND('331-CT'!$E$7=TH!H59,OR(N59="331",O59="331")),"x","")</f>
        <v/>
      </c>
      <c r="Q59" s="84" t="str">
        <f>IF(AND(B59='111'!$L$11,OR($N59=$Q$7,$O59=$Q$7)),"x","")</f>
        <v/>
      </c>
      <c r="R59" s="84" t="str">
        <f>IF(AND($N59=$Q$7,$B59&lt;'111'!$L$11),"x","")</f>
        <v/>
      </c>
      <c r="S59" s="84" t="str">
        <f>IF(AND($O59=$Q$7,$B59&lt;'111'!$L$11),"x","")</f>
        <v/>
      </c>
      <c r="T59" s="84" t="str">
        <f>IF(ISERROR(FIND('112'!$M$9,G59,1)),"",IF((AND(FIND('112'!$M$9,G59,1)&gt;=1,B59='112'!$K$9,OR($N59='112'!$I$6,$O59='112'!$I$6))),"x",""))</f>
        <v/>
      </c>
      <c r="U59" s="84" t="str">
        <f>IF(ISERROR(FIND('112'!$M$9,G59,1)),"",IF((AND(LEFT(G59,2)=LEFT('112'!$M$9,2),B59&lt;'112'!$K$9,$N59='112'!$I$6)),"x",""))</f>
        <v/>
      </c>
      <c r="V59" s="84" t="str">
        <f>IF(ISERROR(FIND('112'!$M$9,G59,1)),"",IF((AND(RIGHT(G59,2)=RIGHT('112'!$M$9,2),B59&lt;'112'!$K$9,$O59='112'!$I$6)),"x",""))</f>
        <v/>
      </c>
      <c r="W59" s="84" t="str">
        <f>IF(AND('341-CT'!$H$9=H59,OR(LEFT(N59,3)=$W$7,LEFT(O59,3)=$W$7)),"x","")</f>
        <v/>
      </c>
      <c r="X59" s="84" t="str">
        <f>IF(OR(TH!N59=TH!$X$7,O59=TH!$X$7),"x","")</f>
        <v/>
      </c>
      <c r="Y59" s="84" t="str">
        <f>IF(AND(OR(N59="131",O59="131"),H59='131-CT'!$H$9),"x","")</f>
        <v/>
      </c>
      <c r="Z59" s="84"/>
      <c r="AA59" s="84" t="str">
        <f>IF(AND(MONTH(E59)='IN-NX'!$J$5,'IN-NX'!$D$7=D59),"x","")</f>
        <v/>
      </c>
      <c r="AB59" s="84" t="str">
        <f>IF(AND(OR(LEFT(TH!N59,2)="15",LEFT(TH!O59,2)="15"),LEFT(TH!O59,3)&lt;&gt;"111",'152-CT'!$J$8=TH!F59),"x","")</f>
        <v/>
      </c>
      <c r="AC59" s="84" t="str">
        <f>IF(AND(OR(LEFT(TH!N59,2)="15",LEFT(TH!O59,2)="15"),TK!$E$7=TH!F59),"x","")</f>
        <v/>
      </c>
      <c r="AD59" s="84" t="str">
        <f>IF(AND(N59="1521",MONTH(C59)='BK-NL'!$M$11),"x","")</f>
        <v/>
      </c>
    </row>
    <row r="60" spans="1:30" s="341" customFormat="1" ht="15.75" hidden="1" customHeight="1">
      <c r="A60" s="336" t="str">
        <f>IF(B60&lt;&gt;"",IF(AND(B60='IN-TC'!$S$4,OR(TH!N60="1111",TH!O60="1111")),TH!D60,""),"")</f>
        <v/>
      </c>
      <c r="B60" s="63">
        <f t="shared" si="8"/>
        <v>1</v>
      </c>
      <c r="C60" s="871">
        <v>42400</v>
      </c>
      <c r="D60" s="871" t="s">
        <v>582</v>
      </c>
      <c r="E60" s="871">
        <f t="shared" si="9"/>
        <v>42400</v>
      </c>
      <c r="F60" s="872" t="s">
        <v>1339</v>
      </c>
      <c r="G60" s="276"/>
      <c r="H60" s="320"/>
      <c r="I60" s="439"/>
      <c r="J60" s="439"/>
      <c r="K60" s="430"/>
      <c r="L60" s="439"/>
      <c r="M60" s="877">
        <f>G50*$G59</f>
        <v>1116830</v>
      </c>
      <c r="N60" s="878" t="s">
        <v>592</v>
      </c>
      <c r="O60" s="878" t="s">
        <v>595</v>
      </c>
      <c r="P60" s="84" t="str">
        <f>IF(AND('331-CT'!$E$7=TH!H60,OR(N60="331",O60="331")),"x","")</f>
        <v/>
      </c>
      <c r="Q60" s="84" t="str">
        <f>IF(AND(B60='111'!$L$11,OR($N60=$Q$7,$O60=$Q$7)),"x","")</f>
        <v/>
      </c>
      <c r="R60" s="84" t="str">
        <f>IF(AND($N60=$Q$7,$B60&lt;'111'!$L$11),"x","")</f>
        <v/>
      </c>
      <c r="S60" s="84" t="str">
        <f>IF(AND($O60=$Q$7,$B60&lt;'111'!$L$11),"x","")</f>
        <v/>
      </c>
      <c r="T60" s="84" t="str">
        <f>IF(ISERROR(FIND('112'!$M$9,G60,1)),"",IF((AND(FIND('112'!$M$9,G60,1)&gt;=1,B60='112'!$K$9,OR($N60='112'!$I$6,$O60='112'!$I$6))),"x",""))</f>
        <v/>
      </c>
      <c r="U60" s="84" t="str">
        <f>IF(ISERROR(FIND('112'!$M$9,G60,1)),"",IF((AND(LEFT(G60,2)=LEFT('112'!$M$9,2),B60&lt;'112'!$K$9,$N60='112'!$I$6)),"x",""))</f>
        <v/>
      </c>
      <c r="V60" s="84" t="str">
        <f>IF(ISERROR(FIND('112'!$M$9,G60,1)),"",IF((AND(RIGHT(G60,2)=RIGHT('112'!$M$9,2),B60&lt;'112'!$K$9,$O60='112'!$I$6)),"x",""))</f>
        <v/>
      </c>
      <c r="W60" s="84" t="str">
        <f>IF(AND('341-CT'!$H$9=H60,OR(LEFT(N60,3)=$W$7,LEFT(O60,3)=$W$7)),"x","")</f>
        <v/>
      </c>
      <c r="X60" s="84" t="str">
        <f>IF(OR(TH!N60=TH!$X$7,O60=TH!$X$7),"x","")</f>
        <v/>
      </c>
      <c r="Y60" s="84" t="str">
        <f>IF(AND(OR(N60="131",O60="131"),H60='131-CT'!$H$9),"x","")</f>
        <v/>
      </c>
      <c r="Z60" s="84"/>
      <c r="AA60" s="84" t="str">
        <f>IF(AND(MONTH(E60)='IN-NX'!$J$5,'IN-NX'!$D$7=D60),"x","")</f>
        <v/>
      </c>
      <c r="AB60" s="84" t="str">
        <f>IF(AND(OR(LEFT(TH!N60,2)="15",LEFT(TH!O60,2)="15"),LEFT(TH!O60,3)&lt;&gt;"111",'152-CT'!$J$8=TH!F60),"x","")</f>
        <v/>
      </c>
      <c r="AC60" s="84" t="str">
        <f>IF(AND(OR(LEFT(TH!N60,2)="15",LEFT(TH!O60,2)="15"),TK!$E$7=TH!F60),"x","")</f>
        <v/>
      </c>
      <c r="AD60" s="84" t="str">
        <f>IF(AND(N60="1521",MONTH(C60)='BK-NL'!$M$11),"x","")</f>
        <v/>
      </c>
    </row>
    <row r="61" spans="1:30" s="341" customFormat="1" ht="15.75" hidden="1" customHeight="1">
      <c r="A61" s="336" t="str">
        <f>IF(B61&lt;&gt;"",IF(AND(B61='IN-TC'!$S$4,OR(TH!N61="1111",TH!O61="1111")),TH!D61,""),"")</f>
        <v/>
      </c>
      <c r="B61" s="63">
        <f t="shared" si="8"/>
        <v>1</v>
      </c>
      <c r="C61" s="871">
        <v>42400</v>
      </c>
      <c r="D61" s="871" t="s">
        <v>582</v>
      </c>
      <c r="E61" s="871">
        <f t="shared" si="9"/>
        <v>42400</v>
      </c>
      <c r="F61" s="872" t="s">
        <v>1340</v>
      </c>
      <c r="G61" s="976" t="s">
        <v>587</v>
      </c>
      <c r="H61" s="1127"/>
      <c r="I61" s="440"/>
      <c r="J61" s="440"/>
      <c r="K61" s="431"/>
      <c r="L61" s="440"/>
      <c r="M61" s="877">
        <f>M59</f>
        <v>373690</v>
      </c>
      <c r="N61" s="878" t="s">
        <v>591</v>
      </c>
      <c r="O61" s="878" t="s">
        <v>595</v>
      </c>
      <c r="P61" s="84" t="str">
        <f>IF(AND('331-CT'!$E$7=TH!H61,OR(N61="331",O61="331")),"x","")</f>
        <v/>
      </c>
      <c r="Q61" s="84" t="str">
        <f>IF(AND(B61='111'!$L$11,OR($N61=$Q$7,$O61=$Q$7)),"x","")</f>
        <v/>
      </c>
      <c r="R61" s="84" t="str">
        <f>IF(AND($N61=$Q$7,$B61&lt;'111'!$L$11),"x","")</f>
        <v/>
      </c>
      <c r="S61" s="84" t="str">
        <f>IF(AND($O61=$Q$7,$B61&lt;'111'!$L$11),"x","")</f>
        <v/>
      </c>
      <c r="T61" s="84" t="str">
        <f>IF(ISERROR(FIND('112'!$M$9,G61,1)),"",IF((AND(FIND('112'!$M$9,G61,1)&gt;=1,B61='112'!$K$9,OR($N61='112'!$I$6,$O61='112'!$I$6))),"x",""))</f>
        <v/>
      </c>
      <c r="U61" s="84" t="str">
        <f>IF(ISERROR(FIND('112'!$M$9,G61,1)),"",IF((AND(LEFT(G61,2)=LEFT('112'!$M$9,2),B61&lt;'112'!$K$9,$N61='112'!$I$6)),"x",""))</f>
        <v/>
      </c>
      <c r="V61" s="84" t="str">
        <f>IF(ISERROR(FIND('112'!$M$9,G61,1)),"",IF((AND(RIGHT(G61,2)=RIGHT('112'!$M$9,2),B61&lt;'112'!$K$9,$O61='112'!$I$6)),"x",""))</f>
        <v/>
      </c>
      <c r="W61" s="84" t="str">
        <f>IF(AND('341-CT'!$H$9=H61,OR(LEFT(N61,3)=$W$7,LEFT(O61,3)=$W$7)),"x","")</f>
        <v/>
      </c>
      <c r="X61" s="84" t="str">
        <f>IF(OR(TH!N61=TH!$X$7,O61=TH!$X$7),"x","")</f>
        <v/>
      </c>
      <c r="Y61" s="84" t="str">
        <f>IF(AND(OR(N61="131",O61="131"),H61='131-CT'!$H$9),"x","")</f>
        <v/>
      </c>
      <c r="Z61" s="84"/>
      <c r="AA61" s="84" t="str">
        <f>IF(AND(MONTH(E61)='IN-NX'!$J$5,'IN-NX'!$D$7=D61),"x","")</f>
        <v/>
      </c>
      <c r="AB61" s="84" t="str">
        <f>IF(AND(OR(LEFT(TH!N61,2)="15",LEFT(TH!O61,2)="15"),LEFT(TH!O61,3)&lt;&gt;"111",'152-CT'!$J$8=TH!F61),"x","")</f>
        <v/>
      </c>
      <c r="AC61" s="84" t="str">
        <f>IF(AND(OR(LEFT(TH!N61,2)="15",LEFT(TH!O61,2)="15"),TK!$E$7=TH!F61),"x","")</f>
        <v/>
      </c>
      <c r="AD61" s="84" t="str">
        <f>IF(AND(N61="1521",MONTH(C61)='BK-NL'!$M$11),"x","")</f>
        <v/>
      </c>
    </row>
    <row r="62" spans="1:30" s="341" customFormat="1" ht="15.75" hidden="1" customHeight="1">
      <c r="A62" s="336" t="str">
        <f>IF(B62&lt;&gt;"",IF(AND(B62='IN-TC'!$S$4,OR(TH!N62="1111",TH!O62="1111")),TH!D62,""),"")</f>
        <v/>
      </c>
      <c r="B62" s="63">
        <f t="shared" si="8"/>
        <v>1</v>
      </c>
      <c r="C62" s="871">
        <v>42400</v>
      </c>
      <c r="D62" s="871" t="s">
        <v>582</v>
      </c>
      <c r="E62" s="871">
        <f t="shared" si="9"/>
        <v>42400</v>
      </c>
      <c r="F62" s="872" t="s">
        <v>1341</v>
      </c>
      <c r="G62" s="276"/>
      <c r="H62" s="320"/>
      <c r="I62" s="439"/>
      <c r="J62" s="439"/>
      <c r="K62" s="430"/>
      <c r="L62" s="439"/>
      <c r="M62" s="877">
        <f>M60</f>
        <v>1116830</v>
      </c>
      <c r="N62" s="878" t="s">
        <v>282</v>
      </c>
      <c r="O62" s="878" t="s">
        <v>595</v>
      </c>
      <c r="P62" s="84" t="str">
        <f>IF(AND('331-CT'!$E$7=TH!H62,OR(N62="331",O62="331")),"x","")</f>
        <v/>
      </c>
      <c r="Q62" s="84" t="str">
        <f>IF(AND(B62='111'!$L$11,OR($N62=$Q$7,$O62=$Q$7)),"x","")</f>
        <v/>
      </c>
      <c r="R62" s="84" t="str">
        <f>IF(AND($N62=$Q$7,$B62&lt;'111'!$L$11),"x","")</f>
        <v/>
      </c>
      <c r="S62" s="84" t="str">
        <f>IF(AND($O62=$Q$7,$B62&lt;'111'!$L$11),"x","")</f>
        <v/>
      </c>
      <c r="T62" s="84" t="str">
        <f>IF(ISERROR(FIND('112'!$M$9,G62,1)),"",IF((AND(FIND('112'!$M$9,G62,1)&gt;=1,B62='112'!$K$9,OR($N62='112'!$I$6,$O62='112'!$I$6))),"x",""))</f>
        <v/>
      </c>
      <c r="U62" s="84" t="str">
        <f>IF(ISERROR(FIND('112'!$M$9,G62,1)),"",IF((AND(LEFT(G62,2)=LEFT('112'!$M$9,2),B62&lt;'112'!$K$9,$N62='112'!$I$6)),"x",""))</f>
        <v/>
      </c>
      <c r="V62" s="84" t="str">
        <f>IF(ISERROR(FIND('112'!$M$9,G62,1)),"",IF((AND(RIGHT(G62,2)=RIGHT('112'!$M$9,2),B62&lt;'112'!$K$9,$O62='112'!$I$6)),"x",""))</f>
        <v/>
      </c>
      <c r="W62" s="84" t="str">
        <f>IF(AND('341-CT'!$H$9=H62,OR(LEFT(N62,3)=$W$7,LEFT(O62,3)=$W$7)),"x","")</f>
        <v/>
      </c>
      <c r="X62" s="84" t="str">
        <f>IF(OR(TH!N62=TH!$X$7,O62=TH!$X$7),"x","")</f>
        <v/>
      </c>
      <c r="Y62" s="84" t="str">
        <f>IF(AND(OR(N62="131",O62="131"),H62='131-CT'!$H$9),"x","")</f>
        <v/>
      </c>
      <c r="Z62" s="84"/>
      <c r="AA62" s="84" t="str">
        <f>IF(AND(MONTH(E62)='IN-NX'!$J$5,'IN-NX'!$D$7=D62),"x","")</f>
        <v/>
      </c>
      <c r="AB62" s="84" t="str">
        <f>IF(AND(OR(LEFT(TH!N62,2)="15",LEFT(TH!O62,2)="15"),LEFT(TH!O62,3)&lt;&gt;"111",'152-CT'!$J$8=TH!F62),"x","")</f>
        <v/>
      </c>
      <c r="AC62" s="84" t="str">
        <f>IF(AND(OR(LEFT(TH!N62,2)="15",LEFT(TH!O62,2)="15"),TK!$E$7=TH!F62),"x","")</f>
        <v/>
      </c>
      <c r="AD62" s="84" t="str">
        <f>IF(AND(N62="1521",MONTH(C62)='BK-NL'!$M$11),"x","")</f>
        <v/>
      </c>
    </row>
    <row r="63" spans="1:30" s="341" customFormat="1" ht="15.75" hidden="1" customHeight="1">
      <c r="A63" s="336" t="str">
        <f>IF(B63&lt;&gt;"",IF(AND(B63='IN-TC'!$S$4,OR(TH!N63="1111",TH!O63="1111")),TH!D63,""),"")</f>
        <v/>
      </c>
      <c r="B63" s="63">
        <f t="shared" si="8"/>
        <v>2</v>
      </c>
      <c r="C63" s="871">
        <v>42429</v>
      </c>
      <c r="D63" s="871" t="s">
        <v>582</v>
      </c>
      <c r="E63" s="871">
        <f>C63</f>
        <v>42429</v>
      </c>
      <c r="F63" s="872" t="s">
        <v>1328</v>
      </c>
      <c r="G63" s="276">
        <v>37369000</v>
      </c>
      <c r="H63" s="320"/>
      <c r="I63" s="439"/>
      <c r="J63" s="439"/>
      <c r="K63" s="430"/>
      <c r="L63" s="439"/>
      <c r="M63" s="877">
        <v>31803952</v>
      </c>
      <c r="N63" s="878" t="s">
        <v>591</v>
      </c>
      <c r="O63" s="878" t="s">
        <v>592</v>
      </c>
      <c r="P63" s="84" t="str">
        <f>IF(AND('331-CT'!$E$7=TH!H63,OR(N63="331",O63="331")),"x","")</f>
        <v/>
      </c>
      <c r="Q63" s="84" t="str">
        <f>IF(AND(B63='111'!$L$11,OR($N63=$Q$7,$O63=$Q$7)),"x","")</f>
        <v/>
      </c>
      <c r="R63" s="84" t="str">
        <f>IF(AND($N63=$Q$7,$B63&lt;'111'!$L$11),"x","")</f>
        <v/>
      </c>
      <c r="S63" s="84" t="str">
        <f>IF(AND($O63=$Q$7,$B63&lt;'111'!$L$11),"x","")</f>
        <v/>
      </c>
      <c r="T63" s="84" t="str">
        <f>IF(ISERROR(FIND('112'!$M$9,G63,1)),"",IF((AND(FIND('112'!$M$9,G63,1)&gt;=1,B63='112'!$K$9,OR($N63='112'!$I$6,$O63='112'!$I$6))),"x",""))</f>
        <v/>
      </c>
      <c r="U63" s="84" t="str">
        <f>IF(ISERROR(FIND('112'!$M$9,G63,1)),"",IF((AND(LEFT(G63,2)=LEFT('112'!$M$9,2),B63&lt;'112'!$K$9,$N63='112'!$I$6)),"x",""))</f>
        <v/>
      </c>
      <c r="V63" s="84" t="str">
        <f>IF(ISERROR(FIND('112'!$M$9,G63,1)),"",IF((AND(RIGHT(G63,2)=RIGHT('112'!$M$9,2),B63&lt;'112'!$K$9,$O63='112'!$I$6)),"x",""))</f>
        <v/>
      </c>
      <c r="W63" s="84" t="str">
        <f>IF(AND('341-CT'!$H$9=H63,OR(LEFT(N63,3)=$W$7,LEFT(O63,3)=$W$7)),"x","")</f>
        <v/>
      </c>
      <c r="X63" s="84" t="str">
        <f>IF(OR(TH!N63=TH!$X$7,O63=TH!$X$7),"x","")</f>
        <v/>
      </c>
      <c r="Y63" s="84" t="str">
        <f>IF(AND(OR(N63="131",O63="131"),H63='131-CT'!$H$9),"x","")</f>
        <v/>
      </c>
      <c r="Z63" s="84"/>
      <c r="AA63" s="84" t="str">
        <f>IF(AND(MONTH(E63)='IN-NX'!$J$5,'IN-NX'!$D$7=D63),"x","")</f>
        <v/>
      </c>
      <c r="AB63" s="84" t="str">
        <f>IF(AND(OR(LEFT(TH!N63,2)="15",LEFT(TH!O63,2)="15"),LEFT(TH!O63,3)&lt;&gt;"111",'152-CT'!$J$8=TH!F63),"x","")</f>
        <v/>
      </c>
      <c r="AC63" s="84" t="str">
        <f>IF(AND(OR(LEFT(TH!N63,2)="15",LEFT(TH!O63,2)="15"),TK!$E$7=TH!F63),"x","")</f>
        <v/>
      </c>
      <c r="AD63" s="84" t="str">
        <f>IF(AND(N63="1521",MONTH(C63)='BK-NL'!$M$11),"x","")</f>
        <v/>
      </c>
    </row>
    <row r="64" spans="1:30" s="341" customFormat="1" ht="15.75" hidden="1" customHeight="1">
      <c r="A64" s="336" t="str">
        <f>IF(B64&lt;&gt;"",IF(AND(B64='IN-TC'!$S$4,OR(TH!N64="1111",TH!O64="1111")),TH!D64,""),"")</f>
        <v/>
      </c>
      <c r="B64" s="63">
        <f t="shared" si="8"/>
        <v>2</v>
      </c>
      <c r="C64" s="871">
        <v>42429</v>
      </c>
      <c r="D64" s="871" t="s">
        <v>582</v>
      </c>
      <c r="E64" s="871">
        <f t="shared" ref="E64:E83" si="10">C64</f>
        <v>42429</v>
      </c>
      <c r="F64" s="872" t="s">
        <v>1329</v>
      </c>
      <c r="G64" s="276">
        <v>108366000</v>
      </c>
      <c r="H64" s="320"/>
      <c r="I64" s="439"/>
      <c r="J64" s="439"/>
      <c r="K64" s="430"/>
      <c r="L64" s="439"/>
      <c r="M64" s="877">
        <v>97552760</v>
      </c>
      <c r="N64" s="878" t="s">
        <v>282</v>
      </c>
      <c r="O64" s="878" t="s">
        <v>592</v>
      </c>
      <c r="P64" s="84" t="str">
        <f>IF(AND('331-CT'!$E$7=TH!H64,OR(N64="331",O64="331")),"x","")</f>
        <v/>
      </c>
      <c r="Q64" s="84" t="str">
        <f>IF(AND(B64='111'!$L$11,OR($N64=$Q$7,$O64=$Q$7)),"x","")</f>
        <v/>
      </c>
      <c r="R64" s="84" t="str">
        <f>IF(AND($N64=$Q$7,$B64&lt;'111'!$L$11),"x","")</f>
        <v/>
      </c>
      <c r="S64" s="84" t="str">
        <f>IF(AND($O64=$Q$7,$B64&lt;'111'!$L$11),"x","")</f>
        <v/>
      </c>
      <c r="T64" s="84" t="str">
        <f>IF(ISERROR(FIND('112'!$M$9,G64,1)),"",IF((AND(FIND('112'!$M$9,G64,1)&gt;=1,B64='112'!$K$9,OR($N64='112'!$I$6,$O64='112'!$I$6))),"x",""))</f>
        <v/>
      </c>
      <c r="U64" s="84" t="str">
        <f>IF(ISERROR(FIND('112'!$M$9,G64,1)),"",IF((AND(LEFT(G64,2)=LEFT('112'!$M$9,2),B64&lt;'112'!$K$9,$N64='112'!$I$6)),"x",""))</f>
        <v/>
      </c>
      <c r="V64" s="84" t="str">
        <f>IF(ISERROR(FIND('112'!$M$9,G64,1)),"",IF((AND(RIGHT(G64,2)=RIGHT('112'!$M$9,2),B64&lt;'112'!$K$9,$O64='112'!$I$6)),"x",""))</f>
        <v/>
      </c>
      <c r="W64" s="84" t="str">
        <f>IF(AND('341-CT'!$H$9=H64,OR(LEFT(N64,3)=$W$7,LEFT(O64,3)=$W$7)),"x","")</f>
        <v/>
      </c>
      <c r="X64" s="84" t="str">
        <f>IF(OR(TH!N64=TH!$X$7,O64=TH!$X$7),"x","")</f>
        <v/>
      </c>
      <c r="Y64" s="84" t="str">
        <f>IF(AND(OR(N64="131",O64="131"),H64='131-CT'!$H$9),"x","")</f>
        <v/>
      </c>
      <c r="Z64" s="84"/>
      <c r="AA64" s="84" t="str">
        <f>IF(AND(MONTH(E64)='IN-NX'!$J$5,'IN-NX'!$D$7=D64),"x","")</f>
        <v/>
      </c>
      <c r="AB64" s="84" t="str">
        <f>IF(AND(OR(LEFT(TH!N64,2)="15",LEFT(TH!O64,2)="15"),LEFT(TH!O64,3)&lt;&gt;"111",'152-CT'!$J$8=TH!F64),"x","")</f>
        <v/>
      </c>
      <c r="AC64" s="84" t="str">
        <f>IF(AND(OR(LEFT(TH!N64,2)="15",LEFT(TH!O64,2)="15"),TK!$E$7=TH!F64),"x","")</f>
        <v/>
      </c>
      <c r="AD64" s="84" t="str">
        <f>IF(AND(N64="1521",MONTH(C64)='BK-NL'!$M$11),"x","")</f>
        <v/>
      </c>
    </row>
    <row r="65" spans="1:30" s="341" customFormat="1" ht="15.75" hidden="1" customHeight="1">
      <c r="A65" s="336" t="str">
        <f>IF(B65&lt;&gt;"",IF(AND(B65='IN-TC'!$S$4,OR(TH!N65="1111",TH!O65="1111")),TH!D65,""),"")</f>
        <v/>
      </c>
      <c r="B65" s="63">
        <f t="shared" si="8"/>
        <v>2</v>
      </c>
      <c r="C65" s="871">
        <v>42429</v>
      </c>
      <c r="D65" s="871" t="s">
        <v>582</v>
      </c>
      <c r="E65" s="871">
        <f t="shared" si="10"/>
        <v>42429</v>
      </c>
      <c r="F65" s="872" t="s">
        <v>1330</v>
      </c>
      <c r="G65" s="976" t="s">
        <v>583</v>
      </c>
      <c r="H65" s="320"/>
      <c r="I65" s="439"/>
      <c r="J65" s="439"/>
      <c r="K65" s="430"/>
      <c r="L65" s="439"/>
      <c r="M65" s="877">
        <f>G63*$G65</f>
        <v>2989520</v>
      </c>
      <c r="N65" s="878" t="s">
        <v>592</v>
      </c>
      <c r="O65" s="878" t="s">
        <v>593</v>
      </c>
      <c r="P65" s="84" t="str">
        <f>IF(AND('331-CT'!$E$7=TH!H65,OR(N65="331",O65="331")),"x","")</f>
        <v/>
      </c>
      <c r="Q65" s="84" t="str">
        <f>IF(AND(B65='111'!$L$11,OR($N65=$Q$7,$O65=$Q$7)),"x","")</f>
        <v/>
      </c>
      <c r="R65" s="84" t="str">
        <f>IF(AND($N65=$Q$7,$B65&lt;'111'!$L$11),"x","")</f>
        <v/>
      </c>
      <c r="S65" s="84" t="str">
        <f>IF(AND($O65=$Q$7,$B65&lt;'111'!$L$11),"x","")</f>
        <v/>
      </c>
      <c r="T65" s="84" t="str">
        <f>IF(ISERROR(FIND('112'!$M$9,G65,1)),"",IF((AND(FIND('112'!$M$9,G65,1)&gt;=1,B65='112'!$K$9,OR($N65='112'!$I$6,$O65='112'!$I$6))),"x",""))</f>
        <v/>
      </c>
      <c r="U65" s="84" t="str">
        <f>IF(ISERROR(FIND('112'!$M$9,G65,1)),"",IF((AND(LEFT(G65,2)=LEFT('112'!$M$9,2),B65&lt;'112'!$K$9,$N65='112'!$I$6)),"x",""))</f>
        <v/>
      </c>
      <c r="V65" s="84" t="str">
        <f>IF(ISERROR(FIND('112'!$M$9,G65,1)),"",IF((AND(RIGHT(G65,2)=RIGHT('112'!$M$9,2),B65&lt;'112'!$K$9,$O65='112'!$I$6)),"x",""))</f>
        <v/>
      </c>
      <c r="W65" s="84" t="str">
        <f>IF(AND('341-CT'!$H$9=H65,OR(LEFT(N65,3)=$W$7,LEFT(O65,3)=$W$7)),"x","")</f>
        <v/>
      </c>
      <c r="X65" s="84" t="str">
        <f>IF(OR(TH!N65=TH!$X$7,O65=TH!$X$7),"x","")</f>
        <v/>
      </c>
      <c r="Y65" s="84" t="str">
        <f>IF(AND(OR(N65="131",O65="131"),H65='131-CT'!$H$9),"x","")</f>
        <v/>
      </c>
      <c r="Z65" s="84"/>
      <c r="AA65" s="84" t="str">
        <f>IF(AND(MONTH(E65)='IN-NX'!$J$5,'IN-NX'!$D$7=D65),"x","")</f>
        <v/>
      </c>
      <c r="AB65" s="84" t="str">
        <f>IF(AND(OR(LEFT(TH!N65,2)="15",LEFT(TH!O65,2)="15"),LEFT(TH!O65,3)&lt;&gt;"111",'152-CT'!$J$8=TH!F65),"x","")</f>
        <v/>
      </c>
      <c r="AC65" s="84" t="str">
        <f>IF(AND(OR(LEFT(TH!N65,2)="15",LEFT(TH!O65,2)="15"),TK!$E$7=TH!F65),"x","")</f>
        <v/>
      </c>
      <c r="AD65" s="84" t="str">
        <f>IF(AND(N65="1521",MONTH(C65)='BK-NL'!$M$11),"x","")</f>
        <v/>
      </c>
    </row>
    <row r="66" spans="1:30" s="341" customFormat="1" ht="15.75" hidden="1" customHeight="1">
      <c r="A66" s="336" t="str">
        <f>IF(B66&lt;&gt;"",IF(AND(B66='IN-TC'!$S$4,OR(TH!N66="1111",TH!O66="1111")),TH!D66,""),"")</f>
        <v/>
      </c>
      <c r="B66" s="63">
        <f t="shared" si="8"/>
        <v>2</v>
      </c>
      <c r="C66" s="871">
        <v>42429</v>
      </c>
      <c r="D66" s="871" t="s">
        <v>582</v>
      </c>
      <c r="E66" s="871">
        <f t="shared" si="10"/>
        <v>42429</v>
      </c>
      <c r="F66" s="872" t="s">
        <v>1331</v>
      </c>
      <c r="G66" s="276"/>
      <c r="H66" s="320"/>
      <c r="I66" s="439"/>
      <c r="J66" s="439"/>
      <c r="K66" s="430"/>
      <c r="L66" s="439"/>
      <c r="M66" s="877">
        <f>G64*$G65</f>
        <v>8669280</v>
      </c>
      <c r="N66" s="879" t="s">
        <v>592</v>
      </c>
      <c r="O66" s="880" t="s">
        <v>593</v>
      </c>
      <c r="P66" s="84" t="str">
        <f>IF(AND('331-CT'!$E$7=TH!H66,OR(N66="331",O66="331")),"x","")</f>
        <v/>
      </c>
      <c r="Q66" s="84" t="str">
        <f>IF(AND(B66='111'!$L$11,OR($N66=$Q$7,$O66=$Q$7)),"x","")</f>
        <v/>
      </c>
      <c r="R66" s="84" t="str">
        <f>IF(AND($N66=$Q$7,$B66&lt;'111'!$L$11),"x","")</f>
        <v/>
      </c>
      <c r="S66" s="84" t="str">
        <f>IF(AND($O66=$Q$7,$B66&lt;'111'!$L$11),"x","")</f>
        <v/>
      </c>
      <c r="T66" s="84" t="str">
        <f>IF(ISERROR(FIND('112'!$M$9,G66,1)),"",IF((AND(FIND('112'!$M$9,G66,1)&gt;=1,B66='112'!$K$9,OR($N66='112'!$I$6,$O66='112'!$I$6))),"x",""))</f>
        <v/>
      </c>
      <c r="U66" s="84" t="str">
        <f>IF(ISERROR(FIND('112'!$M$9,G66,1)),"",IF((AND(LEFT(G66,2)=LEFT('112'!$M$9,2),B66&lt;'112'!$K$9,$N66='112'!$I$6)),"x",""))</f>
        <v/>
      </c>
      <c r="V66" s="84" t="str">
        <f>IF(ISERROR(FIND('112'!$M$9,G66,1)),"",IF((AND(RIGHT(G66,2)=RIGHT('112'!$M$9,2),B66&lt;'112'!$K$9,$O66='112'!$I$6)),"x",""))</f>
        <v/>
      </c>
      <c r="W66" s="84" t="str">
        <f>IF(AND('341-CT'!$H$9=H66,OR(LEFT(N66,3)=$W$7,LEFT(O66,3)=$W$7)),"x","")</f>
        <v/>
      </c>
      <c r="X66" s="84" t="str">
        <f>IF(OR(TH!N66=TH!$X$7,O66=TH!$X$7),"x","")</f>
        <v/>
      </c>
      <c r="Y66" s="84" t="str">
        <f>IF(AND(OR(N66="131",O66="131"),H66='131-CT'!$H$9),"x","")</f>
        <v/>
      </c>
      <c r="Z66" s="84"/>
      <c r="AA66" s="84" t="str">
        <f>IF(AND(MONTH(E66)='IN-NX'!$J$5,'IN-NX'!$D$7=D66),"x","")</f>
        <v/>
      </c>
      <c r="AB66" s="84" t="str">
        <f>IF(AND(OR(LEFT(TH!N66,2)="15",LEFT(TH!O66,2)="15"),LEFT(TH!O66,3)&lt;&gt;"111",'152-CT'!$J$8=TH!F66),"x","")</f>
        <v/>
      </c>
      <c r="AC66" s="84" t="str">
        <f>IF(AND(OR(LEFT(TH!N66,2)="15",LEFT(TH!O66,2)="15"),TK!$E$7=TH!F66),"x","")</f>
        <v/>
      </c>
      <c r="AD66" s="84" t="str">
        <f>IF(AND(N66="1521",MONTH(C66)='BK-NL'!$M$11),"x","")</f>
        <v/>
      </c>
    </row>
    <row r="67" spans="1:30" s="341" customFormat="1" ht="15.75" hidden="1" customHeight="1">
      <c r="A67" s="336" t="str">
        <f>IF(B67&lt;&gt;"",IF(AND(B67='IN-TC'!$S$4,OR(TH!N67="1111",TH!O67="1111")),TH!D67,""),"")</f>
        <v/>
      </c>
      <c r="B67" s="63">
        <f t="shared" si="8"/>
        <v>2</v>
      </c>
      <c r="C67" s="871">
        <v>42429</v>
      </c>
      <c r="D67" s="871" t="s">
        <v>582</v>
      </c>
      <c r="E67" s="871">
        <f t="shared" si="10"/>
        <v>42429</v>
      </c>
      <c r="F67" s="872" t="s">
        <v>1332</v>
      </c>
      <c r="G67" s="976" t="s">
        <v>584</v>
      </c>
      <c r="H67" s="320"/>
      <c r="I67" s="439"/>
      <c r="J67" s="439"/>
      <c r="K67" s="430"/>
      <c r="L67" s="439"/>
      <c r="M67" s="877">
        <f>G63*$G67</f>
        <v>6726420</v>
      </c>
      <c r="N67" s="878" t="s">
        <v>591</v>
      </c>
      <c r="O67" s="878" t="s">
        <v>593</v>
      </c>
      <c r="P67" s="84" t="str">
        <f>IF(AND('331-CT'!$E$7=TH!H67,OR(N67="331",O67="331")),"x","")</f>
        <v/>
      </c>
      <c r="Q67" s="84" t="str">
        <f>IF(AND(B67='111'!$L$11,OR($N67=$Q$7,$O67=$Q$7)),"x","")</f>
        <v/>
      </c>
      <c r="R67" s="84" t="str">
        <f>IF(AND($N67=$Q$7,$B67&lt;'111'!$L$11),"x","")</f>
        <v/>
      </c>
      <c r="S67" s="84" t="str">
        <f>IF(AND($O67=$Q$7,$B67&lt;'111'!$L$11),"x","")</f>
        <v/>
      </c>
      <c r="T67" s="84" t="str">
        <f>IF(ISERROR(FIND('112'!$M$9,G67,1)),"",IF((AND(FIND('112'!$M$9,G67,1)&gt;=1,B67='112'!$K$9,OR($N67='112'!$I$6,$O67='112'!$I$6))),"x",""))</f>
        <v/>
      </c>
      <c r="U67" s="84" t="str">
        <f>IF(ISERROR(FIND('112'!$M$9,G67,1)),"",IF((AND(LEFT(G67,2)=LEFT('112'!$M$9,2),B67&lt;'112'!$K$9,$N67='112'!$I$6)),"x",""))</f>
        <v/>
      </c>
      <c r="V67" s="84" t="str">
        <f>IF(ISERROR(FIND('112'!$M$9,G67,1)),"",IF((AND(RIGHT(G67,2)=RIGHT('112'!$M$9,2),B67&lt;'112'!$K$9,$O67='112'!$I$6)),"x",""))</f>
        <v/>
      </c>
      <c r="W67" s="84" t="str">
        <f>IF(AND('341-CT'!$H$9=H67,OR(LEFT(N67,3)=$W$7,LEFT(O67,3)=$W$7)),"x","")</f>
        <v/>
      </c>
      <c r="X67" s="84" t="str">
        <f>IF(OR(TH!N67=TH!$X$7,O67=TH!$X$7),"x","")</f>
        <v/>
      </c>
      <c r="Y67" s="84" t="str">
        <f>IF(AND(OR(N67="131",O67="131"),H67='131-CT'!$H$9),"x","")</f>
        <v/>
      </c>
      <c r="Z67" s="84"/>
      <c r="AA67" s="84" t="str">
        <f>IF(AND(MONTH(E67)='IN-NX'!$J$5,'IN-NX'!$D$7=D67),"x","")</f>
        <v/>
      </c>
      <c r="AB67" s="84" t="str">
        <f>IF(AND(OR(LEFT(TH!N67,2)="15",LEFT(TH!O67,2)="15"),LEFT(TH!O67,3)&lt;&gt;"111",'152-CT'!$J$8=TH!F67),"x","")</f>
        <v/>
      </c>
      <c r="AC67" s="84" t="str">
        <f>IF(AND(OR(LEFT(TH!N67,2)="15",LEFT(TH!O67,2)="15"),TK!$E$7=TH!F67),"x","")</f>
        <v/>
      </c>
      <c r="AD67" s="84" t="str">
        <f>IF(AND(N67="1521",MONTH(C67)='BK-NL'!$M$11),"x","")</f>
        <v/>
      </c>
    </row>
    <row r="68" spans="1:30" s="341" customFormat="1" ht="15.75" hidden="1" customHeight="1">
      <c r="A68" s="336" t="str">
        <f>IF(B68&lt;&gt;"",IF(AND(B68='IN-TC'!$S$4,OR(TH!N68="1111",TH!O68="1111")),TH!D68,""),"")</f>
        <v/>
      </c>
      <c r="B68" s="63">
        <f t="shared" si="8"/>
        <v>2</v>
      </c>
      <c r="C68" s="871">
        <v>42429</v>
      </c>
      <c r="D68" s="871" t="s">
        <v>582</v>
      </c>
      <c r="E68" s="871">
        <f t="shared" si="10"/>
        <v>42429</v>
      </c>
      <c r="F68" s="872" t="s">
        <v>1333</v>
      </c>
      <c r="G68" s="276"/>
      <c r="H68" s="320"/>
      <c r="I68" s="439"/>
      <c r="J68" s="439"/>
      <c r="K68" s="430"/>
      <c r="L68" s="439"/>
      <c r="M68" s="877">
        <f>G64*$G67</f>
        <v>19505880</v>
      </c>
      <c r="N68" s="878" t="s">
        <v>282</v>
      </c>
      <c r="O68" s="878" t="s">
        <v>593</v>
      </c>
      <c r="P68" s="84" t="str">
        <f>IF(AND('331-CT'!$E$7=TH!H68,OR(N68="331",O68="331")),"x","")</f>
        <v/>
      </c>
      <c r="Q68" s="84" t="str">
        <f>IF(AND(B68='111'!$L$11,OR($N68=$Q$7,$O68=$Q$7)),"x","")</f>
        <v/>
      </c>
      <c r="R68" s="84" t="str">
        <f>IF(AND($N68=$Q$7,$B68&lt;'111'!$L$11),"x","")</f>
        <v/>
      </c>
      <c r="S68" s="84" t="str">
        <f>IF(AND($O68=$Q$7,$B68&lt;'111'!$L$11),"x","")</f>
        <v/>
      </c>
      <c r="T68" s="84" t="str">
        <f>IF(ISERROR(FIND('112'!$M$9,G68,1)),"",IF((AND(FIND('112'!$M$9,G68,1)&gt;=1,B68='112'!$K$9,OR($N68='112'!$I$6,$O68='112'!$I$6))),"x",""))</f>
        <v/>
      </c>
      <c r="U68" s="84" t="str">
        <f>IF(ISERROR(FIND('112'!$M$9,G68,1)),"",IF((AND(LEFT(G68,2)=LEFT('112'!$M$9,2),B68&lt;'112'!$K$9,$N68='112'!$I$6)),"x",""))</f>
        <v/>
      </c>
      <c r="V68" s="84" t="str">
        <f>IF(ISERROR(FIND('112'!$M$9,G68,1)),"",IF((AND(RIGHT(G68,2)=RIGHT('112'!$M$9,2),B68&lt;'112'!$K$9,$O68='112'!$I$6)),"x",""))</f>
        <v/>
      </c>
      <c r="W68" s="84" t="str">
        <f>IF(AND('341-CT'!$H$9=H68,OR(LEFT(N68,3)=$W$7,LEFT(O68,3)=$W$7)),"x","")</f>
        <v/>
      </c>
      <c r="X68" s="84" t="str">
        <f>IF(OR(TH!N68=TH!$X$7,O68=TH!$X$7),"x","")</f>
        <v/>
      </c>
      <c r="Y68" s="84" t="str">
        <f>IF(AND(OR(N68="131",O68="131"),H68='131-CT'!$H$9),"x","")</f>
        <v/>
      </c>
      <c r="Z68" s="84"/>
      <c r="AA68" s="84" t="str">
        <f>IF(AND(MONTH(E68)='IN-NX'!$J$5,'IN-NX'!$D$7=D68),"x","")</f>
        <v/>
      </c>
      <c r="AB68" s="84" t="str">
        <f>IF(AND(OR(LEFT(TH!N68,2)="15",LEFT(TH!O68,2)="15"),LEFT(TH!O68,3)&lt;&gt;"111",'152-CT'!$J$8=TH!F68),"x","")</f>
        <v/>
      </c>
      <c r="AC68" s="84" t="str">
        <f>IF(AND(OR(LEFT(TH!N68,2)="15",LEFT(TH!O68,2)="15"),TK!$E$7=TH!F68),"x","")</f>
        <v/>
      </c>
      <c r="AD68" s="84" t="str">
        <f>IF(AND(N68="1521",MONTH(C68)='BK-NL'!$M$11),"x","")</f>
        <v/>
      </c>
    </row>
    <row r="69" spans="1:30" s="341" customFormat="1" ht="15.75" hidden="1" customHeight="1">
      <c r="A69" s="336" t="str">
        <f>IF(B69&lt;&gt;"",IF(AND(B69='IN-TC'!$S$4,OR(TH!N69="1111",TH!O69="1111")),TH!D69,""),"")</f>
        <v/>
      </c>
      <c r="B69" s="63">
        <f t="shared" si="8"/>
        <v>2</v>
      </c>
      <c r="C69" s="871">
        <v>42429</v>
      </c>
      <c r="D69" s="871" t="s">
        <v>582</v>
      </c>
      <c r="E69" s="871">
        <f t="shared" si="10"/>
        <v>42429</v>
      </c>
      <c r="F69" s="872" t="s">
        <v>1334</v>
      </c>
      <c r="G69" s="976" t="s">
        <v>585</v>
      </c>
      <c r="H69" s="322"/>
      <c r="I69" s="437"/>
      <c r="J69" s="437"/>
      <c r="K69" s="428"/>
      <c r="L69" s="437"/>
      <c r="M69" s="877">
        <f>G63*$G69</f>
        <v>560535</v>
      </c>
      <c r="N69" s="878" t="s">
        <v>592</v>
      </c>
      <c r="O69" s="878" t="s">
        <v>594</v>
      </c>
      <c r="P69" s="84" t="str">
        <f>IF(AND('331-CT'!$E$7=TH!H69,OR(N69="331",O69="331")),"x","")</f>
        <v/>
      </c>
      <c r="Q69" s="84" t="str">
        <f>IF(AND(B69='111'!$L$11,OR($N69=$Q$7,$O69=$Q$7)),"x","")</f>
        <v/>
      </c>
      <c r="R69" s="84" t="str">
        <f>IF(AND($N69=$Q$7,$B69&lt;'111'!$L$11),"x","")</f>
        <v/>
      </c>
      <c r="S69" s="84" t="str">
        <f>IF(AND($O69=$Q$7,$B69&lt;'111'!$L$11),"x","")</f>
        <v/>
      </c>
      <c r="T69" s="84" t="str">
        <f>IF(ISERROR(FIND('112'!$M$9,G69,1)),"",IF((AND(FIND('112'!$M$9,G69,1)&gt;=1,B69='112'!$K$9,OR($N69='112'!$I$6,$O69='112'!$I$6))),"x",""))</f>
        <v/>
      </c>
      <c r="U69" s="84" t="str">
        <f>IF(ISERROR(FIND('112'!$M$9,G69,1)),"",IF((AND(LEFT(G69,2)=LEFT('112'!$M$9,2),B69&lt;'112'!$K$9,$N69='112'!$I$6)),"x",""))</f>
        <v/>
      </c>
      <c r="V69" s="84" t="str">
        <f>IF(ISERROR(FIND('112'!$M$9,G69,1)),"",IF((AND(RIGHT(G69,2)=RIGHT('112'!$M$9,2),B69&lt;'112'!$K$9,$O69='112'!$I$6)),"x",""))</f>
        <v/>
      </c>
      <c r="W69" s="84" t="str">
        <f>IF(AND('341-CT'!$H$9=H69,OR(LEFT(N69,3)=$W$7,LEFT(O69,3)=$W$7)),"x","")</f>
        <v/>
      </c>
      <c r="X69" s="84" t="str">
        <f>IF(OR(TH!N69=TH!$X$7,O69=TH!$X$7),"x","")</f>
        <v/>
      </c>
      <c r="Y69" s="84" t="str">
        <f>IF(AND(OR(N69="131",O69="131"),H69='131-CT'!$H$9),"x","")</f>
        <v/>
      </c>
      <c r="Z69" s="84"/>
      <c r="AA69" s="84" t="str">
        <f>IF(AND(MONTH(E69)='IN-NX'!$J$5,'IN-NX'!$D$7=D69),"x","")</f>
        <v/>
      </c>
      <c r="AB69" s="84" t="str">
        <f>IF(AND(OR(LEFT(TH!N69,2)="15",LEFT(TH!O69,2)="15"),LEFT(TH!O69,3)&lt;&gt;"111",'152-CT'!$J$8=TH!F69),"x","")</f>
        <v/>
      </c>
      <c r="AC69" s="84" t="str">
        <f>IF(AND(OR(LEFT(TH!N69,2)="15",LEFT(TH!O69,2)="15"),TK!$E$7=TH!F69),"x","")</f>
        <v/>
      </c>
      <c r="AD69" s="84" t="str">
        <f>IF(AND(N69="1521",MONTH(C69)='BK-NL'!$M$11),"x","")</f>
        <v/>
      </c>
    </row>
    <row r="70" spans="1:30" s="341" customFormat="1" ht="15.75" hidden="1" customHeight="1">
      <c r="A70" s="336" t="str">
        <f>IF(B70&lt;&gt;"",IF(AND(B70='IN-TC'!$S$4,OR(TH!N70="1111",TH!O70="1111")),TH!D70,""),"")</f>
        <v/>
      </c>
      <c r="B70" s="63">
        <f t="shared" si="8"/>
        <v>2</v>
      </c>
      <c r="C70" s="871">
        <v>42429</v>
      </c>
      <c r="D70" s="871" t="s">
        <v>582</v>
      </c>
      <c r="E70" s="871">
        <f t="shared" si="10"/>
        <v>42429</v>
      </c>
      <c r="F70" s="872" t="s">
        <v>1335</v>
      </c>
      <c r="G70" s="276"/>
      <c r="H70" s="322"/>
      <c r="I70" s="437"/>
      <c r="J70" s="437"/>
      <c r="K70" s="428"/>
      <c r="L70" s="437"/>
      <c r="M70" s="877">
        <f>G64*$G69</f>
        <v>1625490</v>
      </c>
      <c r="N70" s="878" t="s">
        <v>592</v>
      </c>
      <c r="O70" s="878" t="s">
        <v>594</v>
      </c>
      <c r="P70" s="84" t="str">
        <f>IF(AND('331-CT'!$E$7=TH!H70,OR(N70="331",O70="331")),"x","")</f>
        <v/>
      </c>
      <c r="Q70" s="84" t="str">
        <f>IF(AND(B70='111'!$L$11,OR($N70=$Q$7,$O70=$Q$7)),"x","")</f>
        <v/>
      </c>
      <c r="R70" s="84" t="str">
        <f>IF(AND($N70=$Q$7,$B70&lt;'111'!$L$11),"x","")</f>
        <v/>
      </c>
      <c r="S70" s="84" t="str">
        <f>IF(AND($O70=$Q$7,$B70&lt;'111'!$L$11),"x","")</f>
        <v/>
      </c>
      <c r="T70" s="84" t="str">
        <f>IF(ISERROR(FIND('112'!$M$9,G70,1)),"",IF((AND(FIND('112'!$M$9,G70,1)&gt;=1,B70='112'!$K$9,OR($N70='112'!$I$6,$O70='112'!$I$6))),"x",""))</f>
        <v/>
      </c>
      <c r="U70" s="84" t="str">
        <f>IF(ISERROR(FIND('112'!$M$9,G70,1)),"",IF((AND(LEFT(G70,2)=LEFT('112'!$M$9,2),B70&lt;'112'!$K$9,$N70='112'!$I$6)),"x",""))</f>
        <v/>
      </c>
      <c r="V70" s="84" t="str">
        <f>IF(ISERROR(FIND('112'!$M$9,G70,1)),"",IF((AND(RIGHT(G70,2)=RIGHT('112'!$M$9,2),B70&lt;'112'!$K$9,$O70='112'!$I$6)),"x",""))</f>
        <v/>
      </c>
      <c r="W70" s="84" t="str">
        <f>IF(AND('341-CT'!$H$9=H70,OR(LEFT(N70,3)=$W$7,LEFT(O70,3)=$W$7)),"x","")</f>
        <v/>
      </c>
      <c r="X70" s="84" t="str">
        <f>IF(OR(TH!N70=TH!$X$7,O70=TH!$X$7),"x","")</f>
        <v/>
      </c>
      <c r="Y70" s="84" t="str">
        <f>IF(AND(OR(N70="131",O70="131"),H70='131-CT'!$H$9),"x","")</f>
        <v/>
      </c>
      <c r="Z70" s="84"/>
      <c r="AA70" s="84" t="str">
        <f>IF(AND(MONTH(E70)='IN-NX'!$J$5,'IN-NX'!$D$7=D70),"x","")</f>
        <v/>
      </c>
      <c r="AB70" s="84" t="str">
        <f>IF(AND(OR(LEFT(TH!N70,2)="15",LEFT(TH!O70,2)="15"),LEFT(TH!O70,3)&lt;&gt;"111",'152-CT'!$J$8=TH!F70),"x","")</f>
        <v/>
      </c>
      <c r="AC70" s="84" t="str">
        <f>IF(AND(OR(LEFT(TH!N70,2)="15",LEFT(TH!O70,2)="15"),TK!$E$7=TH!F70),"x","")</f>
        <v/>
      </c>
      <c r="AD70" s="84" t="str">
        <f>IF(AND(N70="1521",MONTH(C70)='BK-NL'!$M$11),"x","")</f>
        <v/>
      </c>
    </row>
    <row r="71" spans="1:30" s="341" customFormat="1" ht="15.75" hidden="1" customHeight="1">
      <c r="A71" s="336" t="str">
        <f>IF(B71&lt;&gt;"",IF(AND(B71='IN-TC'!$S$4,OR(TH!N71="1111",TH!O71="1111")),TH!D71,""),"")</f>
        <v/>
      </c>
      <c r="B71" s="63">
        <f t="shared" si="8"/>
        <v>2</v>
      </c>
      <c r="C71" s="871">
        <v>42429</v>
      </c>
      <c r="D71" s="871" t="s">
        <v>582</v>
      </c>
      <c r="E71" s="871">
        <f t="shared" si="10"/>
        <v>42429</v>
      </c>
      <c r="F71" s="872" t="s">
        <v>1336</v>
      </c>
      <c r="G71" s="976" t="s">
        <v>586</v>
      </c>
      <c r="H71" s="320"/>
      <c r="I71" s="439"/>
      <c r="J71" s="439"/>
      <c r="K71" s="430"/>
      <c r="L71" s="439"/>
      <c r="M71" s="877">
        <f>G63*$G71</f>
        <v>1121070</v>
      </c>
      <c r="N71" s="878" t="s">
        <v>591</v>
      </c>
      <c r="O71" s="878" t="s">
        <v>594</v>
      </c>
      <c r="P71" s="84" t="str">
        <f>IF(AND('331-CT'!$E$7=TH!H71,OR(N71="331",O71="331")),"x","")</f>
        <v/>
      </c>
      <c r="Q71" s="84" t="str">
        <f>IF(AND(B71='111'!$L$11,OR($N71=$Q$7,$O71=$Q$7)),"x","")</f>
        <v/>
      </c>
      <c r="R71" s="84" t="str">
        <f>IF(AND($N71=$Q$7,$B71&lt;'111'!$L$11),"x","")</f>
        <v/>
      </c>
      <c r="S71" s="84" t="str">
        <f>IF(AND($O71=$Q$7,$B71&lt;'111'!$L$11),"x","")</f>
        <v/>
      </c>
      <c r="T71" s="84" t="str">
        <f>IF(ISERROR(FIND('112'!$M$9,G71,1)),"",IF((AND(FIND('112'!$M$9,G71,1)&gt;=1,B71='112'!$K$9,OR($N71='112'!$I$6,$O71='112'!$I$6))),"x",""))</f>
        <v/>
      </c>
      <c r="U71" s="84" t="str">
        <f>IF(ISERROR(FIND('112'!$M$9,G71,1)),"",IF((AND(LEFT(G71,2)=LEFT('112'!$M$9,2),B71&lt;'112'!$K$9,$N71='112'!$I$6)),"x",""))</f>
        <v/>
      </c>
      <c r="V71" s="84" t="str">
        <f>IF(ISERROR(FIND('112'!$M$9,G71,1)),"",IF((AND(RIGHT(G71,2)=RIGHT('112'!$M$9,2),B71&lt;'112'!$K$9,$O71='112'!$I$6)),"x",""))</f>
        <v/>
      </c>
      <c r="W71" s="84" t="str">
        <f>IF(AND('341-CT'!$H$9=H71,OR(LEFT(N71,3)=$W$7,LEFT(O71,3)=$W$7)),"x","")</f>
        <v/>
      </c>
      <c r="X71" s="84" t="str">
        <f>IF(OR(TH!N71=TH!$X$7,O71=TH!$X$7),"x","")</f>
        <v/>
      </c>
      <c r="Y71" s="84" t="str">
        <f>IF(AND(OR(N71="131",O71="131"),H71='131-CT'!$H$9),"x","")</f>
        <v/>
      </c>
      <c r="Z71" s="84"/>
      <c r="AA71" s="84" t="str">
        <f>IF(AND(MONTH(E71)='IN-NX'!$J$5,'IN-NX'!$D$7=D71),"x","")</f>
        <v/>
      </c>
      <c r="AB71" s="84" t="str">
        <f>IF(AND(OR(LEFT(TH!N71,2)="15",LEFT(TH!O71,2)="15"),LEFT(TH!O71,3)&lt;&gt;"111",'152-CT'!$J$8=TH!F71),"x","")</f>
        <v/>
      </c>
      <c r="AC71" s="84" t="str">
        <f>IF(AND(OR(LEFT(TH!N71,2)="15",LEFT(TH!O71,2)="15"),TK!$E$7=TH!F71),"x","")</f>
        <v/>
      </c>
      <c r="AD71" s="84" t="str">
        <f>IF(AND(N71="1521",MONTH(C71)='BK-NL'!$M$11),"x","")</f>
        <v/>
      </c>
    </row>
    <row r="72" spans="1:30" s="341" customFormat="1" ht="15.75" hidden="1" customHeight="1">
      <c r="A72" s="336" t="str">
        <f>IF(B72&lt;&gt;"",IF(AND(B72='IN-TC'!$S$4,OR(TH!N72="1111",TH!O72="1111")),TH!D72,""),"")</f>
        <v/>
      </c>
      <c r="B72" s="63">
        <f t="shared" si="8"/>
        <v>2</v>
      </c>
      <c r="C72" s="871">
        <v>42429</v>
      </c>
      <c r="D72" s="871" t="s">
        <v>582</v>
      </c>
      <c r="E72" s="871">
        <f t="shared" si="10"/>
        <v>42429</v>
      </c>
      <c r="F72" s="872" t="s">
        <v>1337</v>
      </c>
      <c r="G72" s="276"/>
      <c r="H72" s="320"/>
      <c r="I72" s="439"/>
      <c r="J72" s="439"/>
      <c r="K72" s="430"/>
      <c r="L72" s="439"/>
      <c r="M72" s="877">
        <f>G64*$G71</f>
        <v>3250980</v>
      </c>
      <c r="N72" s="878" t="s">
        <v>282</v>
      </c>
      <c r="O72" s="878" t="s">
        <v>594</v>
      </c>
      <c r="P72" s="84" t="str">
        <f>IF(AND('331-CT'!$E$7=TH!H72,OR(N72="331",O72="331")),"x","")</f>
        <v/>
      </c>
      <c r="Q72" s="84" t="str">
        <f>IF(AND(B72='111'!$L$11,OR($N72=$Q$7,$O72=$Q$7)),"x","")</f>
        <v/>
      </c>
      <c r="R72" s="84" t="str">
        <f>IF(AND($N72=$Q$7,$B72&lt;'111'!$L$11),"x","")</f>
        <v/>
      </c>
      <c r="S72" s="84" t="str">
        <f>IF(AND($O72=$Q$7,$B72&lt;'111'!$L$11),"x","")</f>
        <v/>
      </c>
      <c r="T72" s="84" t="str">
        <f>IF(ISERROR(FIND('112'!$M$9,G72,1)),"",IF((AND(FIND('112'!$M$9,G72,1)&gt;=1,B72='112'!$K$9,OR($N72='112'!$I$6,$O72='112'!$I$6))),"x",""))</f>
        <v/>
      </c>
      <c r="U72" s="84" t="str">
        <f>IF(ISERROR(FIND('112'!$M$9,G72,1)),"",IF((AND(LEFT(G72,2)=LEFT('112'!$M$9,2),B72&lt;'112'!$K$9,$N72='112'!$I$6)),"x",""))</f>
        <v/>
      </c>
      <c r="V72" s="84" t="str">
        <f>IF(ISERROR(FIND('112'!$M$9,G72,1)),"",IF((AND(RIGHT(G72,2)=RIGHT('112'!$M$9,2),B72&lt;'112'!$K$9,$O72='112'!$I$6)),"x",""))</f>
        <v/>
      </c>
      <c r="W72" s="84" t="str">
        <f>IF(AND('341-CT'!$H$9=H72,OR(LEFT(N72,3)=$W$7,LEFT(O72,3)=$W$7)),"x","")</f>
        <v/>
      </c>
      <c r="X72" s="84" t="str">
        <f>IF(OR(TH!N72=TH!$X$7,O72=TH!$X$7),"x","")</f>
        <v/>
      </c>
      <c r="Y72" s="84" t="str">
        <f>IF(AND(OR(N72="131",O72="131"),H72='131-CT'!$H$9),"x","")</f>
        <v/>
      </c>
      <c r="Z72" s="84"/>
      <c r="AA72" s="84" t="str">
        <f>IF(AND(MONTH(E72)='IN-NX'!$J$5,'IN-NX'!$D$7=D72),"x","")</f>
        <v/>
      </c>
      <c r="AB72" s="84" t="str">
        <f>IF(AND(OR(LEFT(TH!N72,2)="15",LEFT(TH!O72,2)="15"),LEFT(TH!O72,3)&lt;&gt;"111",'152-CT'!$J$8=TH!F72),"x","")</f>
        <v/>
      </c>
      <c r="AC72" s="84" t="str">
        <f>IF(AND(OR(LEFT(TH!N72,2)="15",LEFT(TH!O72,2)="15"),TK!$E$7=TH!F72),"x","")</f>
        <v/>
      </c>
      <c r="AD72" s="84" t="str">
        <f>IF(AND(N72="1521",MONTH(C72)='BK-NL'!$M$11),"x","")</f>
        <v/>
      </c>
    </row>
    <row r="73" spans="1:30" s="341" customFormat="1" ht="15.75" hidden="1" customHeight="1">
      <c r="A73" s="336" t="str">
        <f>IF(B73&lt;&gt;"",IF(AND(B73='IN-TC'!$S$4,OR(TH!N73="1111",TH!O73="1111")),TH!D73,""),"")</f>
        <v/>
      </c>
      <c r="B73" s="63">
        <f t="shared" si="8"/>
        <v>2</v>
      </c>
      <c r="C73" s="871">
        <v>42429</v>
      </c>
      <c r="D73" s="871" t="s">
        <v>582</v>
      </c>
      <c r="E73" s="871">
        <f t="shared" si="10"/>
        <v>42429</v>
      </c>
      <c r="F73" s="872" t="s">
        <v>1338</v>
      </c>
      <c r="G73" s="976" t="s">
        <v>587</v>
      </c>
      <c r="H73" s="320"/>
      <c r="I73" s="439"/>
      <c r="J73" s="439"/>
      <c r="K73" s="430"/>
      <c r="L73" s="439"/>
      <c r="M73" s="877">
        <f>G63*$G73</f>
        <v>373690</v>
      </c>
      <c r="N73" s="878" t="s">
        <v>592</v>
      </c>
      <c r="O73" s="878" t="s">
        <v>595</v>
      </c>
      <c r="P73" s="84" t="str">
        <f>IF(AND('331-CT'!$E$7=TH!H73,OR(N73="331",O73="331")),"x","")</f>
        <v/>
      </c>
      <c r="Q73" s="84" t="str">
        <f>IF(AND(B73='111'!$L$11,OR($N73=$Q$7,$O73=$Q$7)),"x","")</f>
        <v/>
      </c>
      <c r="R73" s="84" t="str">
        <f>IF(AND($N73=$Q$7,$B73&lt;'111'!$L$11),"x","")</f>
        <v/>
      </c>
      <c r="S73" s="84" t="str">
        <f>IF(AND($O73=$Q$7,$B73&lt;'111'!$L$11),"x","")</f>
        <v/>
      </c>
      <c r="T73" s="84" t="str">
        <f>IF(ISERROR(FIND('112'!$M$9,G73,1)),"",IF((AND(FIND('112'!$M$9,G73,1)&gt;=1,B73='112'!$K$9,OR($N73='112'!$I$6,$O73='112'!$I$6))),"x",""))</f>
        <v/>
      </c>
      <c r="U73" s="84" t="str">
        <f>IF(ISERROR(FIND('112'!$M$9,G73,1)),"",IF((AND(LEFT(G73,2)=LEFT('112'!$M$9,2),B73&lt;'112'!$K$9,$N73='112'!$I$6)),"x",""))</f>
        <v/>
      </c>
      <c r="V73" s="84" t="str">
        <f>IF(ISERROR(FIND('112'!$M$9,G73,1)),"",IF((AND(RIGHT(G73,2)=RIGHT('112'!$M$9,2),B73&lt;'112'!$K$9,$O73='112'!$I$6)),"x",""))</f>
        <v/>
      </c>
      <c r="W73" s="84" t="str">
        <f>IF(AND('341-CT'!$H$9=H73,OR(LEFT(N73,3)=$W$7,LEFT(O73,3)=$W$7)),"x","")</f>
        <v/>
      </c>
      <c r="X73" s="84" t="str">
        <f>IF(OR(TH!N73=TH!$X$7,O73=TH!$X$7),"x","")</f>
        <v/>
      </c>
      <c r="Y73" s="84" t="str">
        <f>IF(AND(OR(N73="131",O73="131"),H73='131-CT'!$H$9),"x","")</f>
        <v/>
      </c>
      <c r="Z73" s="84"/>
      <c r="AA73" s="84" t="str">
        <f>IF(AND(MONTH(E73)='IN-NX'!$J$5,'IN-NX'!$D$7=D73),"x","")</f>
        <v/>
      </c>
      <c r="AB73" s="84" t="str">
        <f>IF(AND(OR(LEFT(TH!N73,2)="15",LEFT(TH!O73,2)="15"),LEFT(TH!O73,3)&lt;&gt;"111",'152-CT'!$J$8=TH!F73),"x","")</f>
        <v/>
      </c>
      <c r="AC73" s="84" t="str">
        <f>IF(AND(OR(LEFT(TH!N73,2)="15",LEFT(TH!O73,2)="15"),TK!$E$7=TH!F73),"x","")</f>
        <v/>
      </c>
      <c r="AD73" s="84" t="str">
        <f>IF(AND(N73="1521",MONTH(C73)='BK-NL'!$M$11),"x","")</f>
        <v/>
      </c>
    </row>
    <row r="74" spans="1:30" s="341" customFormat="1" ht="15.75" hidden="1" customHeight="1">
      <c r="A74" s="336" t="str">
        <f>IF(B74&lt;&gt;"",IF(AND(B74='IN-TC'!$S$4,OR(TH!N74="1111",TH!O74="1111")),TH!D74,""),"")</f>
        <v/>
      </c>
      <c r="B74" s="63">
        <f t="shared" si="8"/>
        <v>2</v>
      </c>
      <c r="C74" s="871">
        <v>42429</v>
      </c>
      <c r="D74" s="871" t="s">
        <v>582</v>
      </c>
      <c r="E74" s="871">
        <f t="shared" si="10"/>
        <v>42429</v>
      </c>
      <c r="F74" s="872" t="s">
        <v>1339</v>
      </c>
      <c r="G74" s="276"/>
      <c r="H74" s="320"/>
      <c r="I74" s="439"/>
      <c r="J74" s="439"/>
      <c r="K74" s="430"/>
      <c r="L74" s="439"/>
      <c r="M74" s="877">
        <f>G64*$G73</f>
        <v>1083660</v>
      </c>
      <c r="N74" s="878" t="s">
        <v>592</v>
      </c>
      <c r="O74" s="878" t="s">
        <v>595</v>
      </c>
      <c r="P74" s="84" t="str">
        <f>IF(AND('331-CT'!$E$7=TH!H74,OR(N74="331",O74="331")),"x","")</f>
        <v/>
      </c>
      <c r="Q74" s="84" t="str">
        <f>IF(AND(B74='111'!$L$11,OR($N74=$Q$7,$O74=$Q$7)),"x","")</f>
        <v/>
      </c>
      <c r="R74" s="84" t="str">
        <f>IF(AND($N74=$Q$7,$B74&lt;'111'!$L$11),"x","")</f>
        <v/>
      </c>
      <c r="S74" s="84" t="str">
        <f>IF(AND($O74=$Q$7,$B74&lt;'111'!$L$11),"x","")</f>
        <v/>
      </c>
      <c r="T74" s="84" t="str">
        <f>IF(ISERROR(FIND('112'!$M$9,G74,1)),"",IF((AND(FIND('112'!$M$9,G74,1)&gt;=1,B74='112'!$K$9,OR($N74='112'!$I$6,$O74='112'!$I$6))),"x",""))</f>
        <v/>
      </c>
      <c r="U74" s="84" t="str">
        <f>IF(ISERROR(FIND('112'!$M$9,G74,1)),"",IF((AND(LEFT(G74,2)=LEFT('112'!$M$9,2),B74&lt;'112'!$K$9,$N74='112'!$I$6)),"x",""))</f>
        <v/>
      </c>
      <c r="V74" s="84" t="str">
        <f>IF(ISERROR(FIND('112'!$M$9,G74,1)),"",IF((AND(RIGHT(G74,2)=RIGHT('112'!$M$9,2),B74&lt;'112'!$K$9,$O74='112'!$I$6)),"x",""))</f>
        <v/>
      </c>
      <c r="W74" s="84" t="str">
        <f>IF(AND('341-CT'!$H$9=H74,OR(LEFT(N74,3)=$W$7,LEFT(O74,3)=$W$7)),"x","")</f>
        <v/>
      </c>
      <c r="X74" s="84" t="str">
        <f>IF(OR(TH!N74=TH!$X$7,O74=TH!$X$7),"x","")</f>
        <v/>
      </c>
      <c r="Y74" s="84" t="str">
        <f>IF(AND(OR(N74="131",O74="131"),H74='131-CT'!$H$9),"x","")</f>
        <v/>
      </c>
      <c r="Z74" s="84"/>
      <c r="AA74" s="84" t="str">
        <f>IF(AND(MONTH(E74)='IN-NX'!$J$5,'IN-NX'!$D$7=D74),"x","")</f>
        <v/>
      </c>
      <c r="AB74" s="84" t="str">
        <f>IF(AND(OR(LEFT(TH!N74,2)="15",LEFT(TH!O74,2)="15"),LEFT(TH!O74,3)&lt;&gt;"111",'152-CT'!$J$8=TH!F74),"x","")</f>
        <v/>
      </c>
      <c r="AC74" s="84" t="str">
        <f>IF(AND(OR(LEFT(TH!N74,2)="15",LEFT(TH!O74,2)="15"),TK!$E$7=TH!F74),"x","")</f>
        <v/>
      </c>
      <c r="AD74" s="84" t="str">
        <f>IF(AND(N74="1521",MONTH(C74)='BK-NL'!$M$11),"x","")</f>
        <v/>
      </c>
    </row>
    <row r="75" spans="1:30" s="341" customFormat="1" ht="15.75" hidden="1" customHeight="1">
      <c r="A75" s="336" t="str">
        <f>IF(B75&lt;&gt;"",IF(AND(B75='IN-TC'!$S$4,OR(TH!N75="1111",TH!O75="1111")),TH!D75,""),"")</f>
        <v/>
      </c>
      <c r="B75" s="63">
        <f t="shared" si="8"/>
        <v>2</v>
      </c>
      <c r="C75" s="871">
        <v>42429</v>
      </c>
      <c r="D75" s="871" t="s">
        <v>582</v>
      </c>
      <c r="E75" s="871">
        <f t="shared" si="10"/>
        <v>42429</v>
      </c>
      <c r="F75" s="872" t="s">
        <v>1340</v>
      </c>
      <c r="G75" s="976" t="s">
        <v>587</v>
      </c>
      <c r="H75" s="1127"/>
      <c r="I75" s="440"/>
      <c r="J75" s="440"/>
      <c r="K75" s="431"/>
      <c r="L75" s="440"/>
      <c r="M75" s="877">
        <f>M73</f>
        <v>373690</v>
      </c>
      <c r="N75" s="878" t="s">
        <v>591</v>
      </c>
      <c r="O75" s="878" t="s">
        <v>595</v>
      </c>
      <c r="P75" s="84" t="str">
        <f>IF(AND('331-CT'!$E$7=TH!H75,OR(N75="331",O75="331")),"x","")</f>
        <v/>
      </c>
      <c r="Q75" s="84" t="str">
        <f>IF(AND(B75='111'!$L$11,OR($N75=$Q$7,$O75=$Q$7)),"x","")</f>
        <v/>
      </c>
      <c r="R75" s="84" t="str">
        <f>IF(AND($N75=$Q$7,$B75&lt;'111'!$L$11),"x","")</f>
        <v/>
      </c>
      <c r="S75" s="84" t="str">
        <f>IF(AND($O75=$Q$7,$B75&lt;'111'!$L$11),"x","")</f>
        <v/>
      </c>
      <c r="T75" s="84" t="str">
        <f>IF(ISERROR(FIND('112'!$M$9,G75,1)),"",IF((AND(FIND('112'!$M$9,G75,1)&gt;=1,B75='112'!$K$9,OR($N75='112'!$I$6,$O75='112'!$I$6))),"x",""))</f>
        <v/>
      </c>
      <c r="U75" s="84" t="str">
        <f>IF(ISERROR(FIND('112'!$M$9,G75,1)),"",IF((AND(LEFT(G75,2)=LEFT('112'!$M$9,2),B75&lt;'112'!$K$9,$N75='112'!$I$6)),"x",""))</f>
        <v/>
      </c>
      <c r="V75" s="84" t="str">
        <f>IF(ISERROR(FIND('112'!$M$9,G75,1)),"",IF((AND(RIGHT(G75,2)=RIGHT('112'!$M$9,2),B75&lt;'112'!$K$9,$O75='112'!$I$6)),"x",""))</f>
        <v/>
      </c>
      <c r="W75" s="84" t="str">
        <f>IF(AND('341-CT'!$H$9=H75,OR(LEFT(N75,3)=$W$7,LEFT(O75,3)=$W$7)),"x","")</f>
        <v/>
      </c>
      <c r="X75" s="84" t="str">
        <f>IF(OR(TH!N75=TH!$X$7,O75=TH!$X$7),"x","")</f>
        <v/>
      </c>
      <c r="Y75" s="84" t="str">
        <f>IF(AND(OR(N75="131",O75="131"),H75='131-CT'!$H$9),"x","")</f>
        <v/>
      </c>
      <c r="Z75" s="84"/>
      <c r="AA75" s="84" t="str">
        <f>IF(AND(MONTH(E75)='IN-NX'!$J$5,'IN-NX'!$D$7=D75),"x","")</f>
        <v/>
      </c>
      <c r="AB75" s="84" t="str">
        <f>IF(AND(OR(LEFT(TH!N75,2)="15",LEFT(TH!O75,2)="15"),LEFT(TH!O75,3)&lt;&gt;"111",'152-CT'!$J$8=TH!F75),"x","")</f>
        <v/>
      </c>
      <c r="AC75" s="84" t="str">
        <f>IF(AND(OR(LEFT(TH!N75,2)="15",LEFT(TH!O75,2)="15"),TK!$E$7=TH!F75),"x","")</f>
        <v/>
      </c>
      <c r="AD75" s="84" t="str">
        <f>IF(AND(N75="1521",MONTH(C75)='BK-NL'!$M$11),"x","")</f>
        <v/>
      </c>
    </row>
    <row r="76" spans="1:30" s="341" customFormat="1" ht="15.75" hidden="1" customHeight="1">
      <c r="A76" s="336" t="str">
        <f>IF(B76&lt;&gt;"",IF(AND(B76='IN-TC'!$S$4,OR(TH!N76="1111",TH!O76="1111")),TH!D76,""),"")</f>
        <v/>
      </c>
      <c r="B76" s="63">
        <f t="shared" si="8"/>
        <v>2</v>
      </c>
      <c r="C76" s="871">
        <v>42429</v>
      </c>
      <c r="D76" s="871" t="s">
        <v>582</v>
      </c>
      <c r="E76" s="871">
        <f t="shared" si="10"/>
        <v>42429</v>
      </c>
      <c r="F76" s="872" t="s">
        <v>1341</v>
      </c>
      <c r="G76" s="276"/>
      <c r="H76" s="320"/>
      <c r="I76" s="439"/>
      <c r="J76" s="439"/>
      <c r="K76" s="430"/>
      <c r="L76" s="439"/>
      <c r="M76" s="877">
        <f>M74</f>
        <v>1083660</v>
      </c>
      <c r="N76" s="878" t="s">
        <v>282</v>
      </c>
      <c r="O76" s="878" t="s">
        <v>595</v>
      </c>
      <c r="P76" s="84" t="str">
        <f>IF(AND('331-CT'!$E$7=TH!H76,OR(N76="331",O76="331")),"x","")</f>
        <v/>
      </c>
      <c r="Q76" s="84" t="str">
        <f>IF(AND(B76='111'!$L$11,OR($N76=$Q$7,$O76=$Q$7)),"x","")</f>
        <v/>
      </c>
      <c r="R76" s="84" t="str">
        <f>IF(AND($N76=$Q$7,$B76&lt;'111'!$L$11),"x","")</f>
        <v/>
      </c>
      <c r="S76" s="84" t="str">
        <f>IF(AND($O76=$Q$7,$B76&lt;'111'!$L$11),"x","")</f>
        <v/>
      </c>
      <c r="T76" s="84" t="str">
        <f>IF(ISERROR(FIND('112'!$M$9,G76,1)),"",IF((AND(FIND('112'!$M$9,G76,1)&gt;=1,B76='112'!$K$9,OR($N76='112'!$I$6,$O76='112'!$I$6))),"x",""))</f>
        <v/>
      </c>
      <c r="U76" s="84" t="str">
        <f>IF(ISERROR(FIND('112'!$M$9,G76,1)),"",IF((AND(LEFT(G76,2)=LEFT('112'!$M$9,2),B76&lt;'112'!$K$9,$N76='112'!$I$6)),"x",""))</f>
        <v/>
      </c>
      <c r="V76" s="84" t="str">
        <f>IF(ISERROR(FIND('112'!$M$9,G76,1)),"",IF((AND(RIGHT(G76,2)=RIGHT('112'!$M$9,2),B76&lt;'112'!$K$9,$O76='112'!$I$6)),"x",""))</f>
        <v/>
      </c>
      <c r="W76" s="84" t="str">
        <f>IF(AND('341-CT'!$H$9=H76,OR(LEFT(N76,3)=$W$7,LEFT(O76,3)=$W$7)),"x","")</f>
        <v/>
      </c>
      <c r="X76" s="84" t="str">
        <f>IF(OR(TH!N76=TH!$X$7,O76=TH!$X$7),"x","")</f>
        <v/>
      </c>
      <c r="Y76" s="84" t="str">
        <f>IF(AND(OR(N76="131",O76="131"),H76='131-CT'!$H$9),"x","")</f>
        <v/>
      </c>
      <c r="Z76" s="84"/>
      <c r="AA76" s="84" t="str">
        <f>IF(AND(MONTH(E76)='IN-NX'!$J$5,'IN-NX'!$D$7=D76),"x","")</f>
        <v/>
      </c>
      <c r="AB76" s="84" t="str">
        <f>IF(AND(OR(LEFT(TH!N76,2)="15",LEFT(TH!O76,2)="15"),LEFT(TH!O76,3)&lt;&gt;"111",'152-CT'!$J$8=TH!F76),"x","")</f>
        <v/>
      </c>
      <c r="AC76" s="84" t="str">
        <f>IF(AND(OR(LEFT(TH!N76,2)="15",LEFT(TH!O76,2)="15"),TK!$E$7=TH!F76),"x","")</f>
        <v/>
      </c>
      <c r="AD76" s="84" t="str">
        <f>IF(AND(N76="1521",MONTH(C76)='BK-NL'!$M$11),"x","")</f>
        <v/>
      </c>
    </row>
    <row r="77" spans="1:30" s="341" customFormat="1" ht="15.75" hidden="1" customHeight="1">
      <c r="A77" s="336" t="str">
        <f>IF(B77&lt;&gt;"",IF(AND(B77='IN-TC'!$S$4,OR(TH!N77="1111",TH!O77="1111")),TH!D77,""),"")</f>
        <v/>
      </c>
      <c r="B77" s="63">
        <f t="shared" si="8"/>
        <v>3</v>
      </c>
      <c r="C77" s="871">
        <v>42460</v>
      </c>
      <c r="D77" s="871" t="s">
        <v>582</v>
      </c>
      <c r="E77" s="871">
        <f t="shared" si="10"/>
        <v>42460</v>
      </c>
      <c r="F77" s="872" t="s">
        <v>1328</v>
      </c>
      <c r="G77" s="276">
        <v>37369000</v>
      </c>
      <c r="H77" s="320"/>
      <c r="I77" s="439"/>
      <c r="J77" s="439"/>
      <c r="K77" s="430"/>
      <c r="L77" s="439"/>
      <c r="M77" s="877">
        <v>37691667</v>
      </c>
      <c r="N77" s="878" t="s">
        <v>591</v>
      </c>
      <c r="O77" s="878" t="s">
        <v>592</v>
      </c>
      <c r="P77" s="84" t="str">
        <f>IF(AND('331-CT'!$E$7=TH!H77,OR(N77="331",O77="331")),"x","")</f>
        <v/>
      </c>
      <c r="Q77" s="84" t="str">
        <f>IF(AND(B77='111'!$L$11,OR($N77=$Q$7,$O77=$Q$7)),"x","")</f>
        <v/>
      </c>
      <c r="R77" s="84" t="str">
        <f>IF(AND($N77=$Q$7,$B77&lt;'111'!$L$11),"x","")</f>
        <v/>
      </c>
      <c r="S77" s="84" t="str">
        <f>IF(AND($O77=$Q$7,$B77&lt;'111'!$L$11),"x","")</f>
        <v/>
      </c>
      <c r="T77" s="84" t="str">
        <f>IF(ISERROR(FIND('112'!$M$9,G77,1)),"",IF((AND(FIND('112'!$M$9,G77,1)&gt;=1,B77='112'!$K$9,OR($N77='112'!$I$6,$O77='112'!$I$6))),"x",""))</f>
        <v/>
      </c>
      <c r="U77" s="84" t="str">
        <f>IF(ISERROR(FIND('112'!$M$9,G77,1)),"",IF((AND(LEFT(G77,2)=LEFT('112'!$M$9,2),B77&lt;'112'!$K$9,$N77='112'!$I$6)),"x",""))</f>
        <v/>
      </c>
      <c r="V77" s="84" t="str">
        <f>IF(ISERROR(FIND('112'!$M$9,G77,1)),"",IF((AND(RIGHT(G77,2)=RIGHT('112'!$M$9,2),B77&lt;'112'!$K$9,$O77='112'!$I$6)),"x",""))</f>
        <v/>
      </c>
      <c r="W77" s="84" t="str">
        <f>IF(AND('341-CT'!$H$9=H77,OR(LEFT(N77,3)=$W$7,LEFT(O77,3)=$W$7)),"x","")</f>
        <v/>
      </c>
      <c r="X77" s="84" t="str">
        <f>IF(OR(TH!N77=TH!$X$7,O77=TH!$X$7),"x","")</f>
        <v/>
      </c>
      <c r="Y77" s="84" t="str">
        <f>IF(AND(OR(N77="131",O77="131"),H77='131-CT'!$H$9),"x","")</f>
        <v/>
      </c>
      <c r="Z77" s="84"/>
      <c r="AA77" s="84" t="str">
        <f>IF(AND(MONTH(E77)='IN-NX'!$J$5,'IN-NX'!$D$7=D77),"x","")</f>
        <v/>
      </c>
      <c r="AB77" s="84" t="str">
        <f>IF(AND(OR(LEFT(TH!N77,2)="15",LEFT(TH!O77,2)="15"),LEFT(TH!O77,3)&lt;&gt;"111",'152-CT'!$J$8=TH!F77),"x","")</f>
        <v/>
      </c>
      <c r="AC77" s="84" t="str">
        <f>IF(AND(OR(LEFT(TH!N77,2)="15",LEFT(TH!O77,2)="15"),TK!$E$7=TH!F77),"x","")</f>
        <v/>
      </c>
      <c r="AD77" s="84" t="str">
        <f>IF(AND(N77="1521",MONTH(C77)='BK-NL'!$M$11),"x","")</f>
        <v/>
      </c>
    </row>
    <row r="78" spans="1:30" s="341" customFormat="1" ht="15.75" hidden="1" customHeight="1">
      <c r="A78" s="336" t="str">
        <f>IF(B78&lt;&gt;"",IF(AND(B78='IN-TC'!$S$4,OR(TH!N78="1111",TH!O78="1111")),TH!D78,""),"")</f>
        <v/>
      </c>
      <c r="B78" s="63">
        <f t="shared" si="8"/>
        <v>3</v>
      </c>
      <c r="C78" s="871">
        <v>42460</v>
      </c>
      <c r="D78" s="871" t="s">
        <v>582</v>
      </c>
      <c r="E78" s="871">
        <f t="shared" si="10"/>
        <v>42460</v>
      </c>
      <c r="F78" s="872" t="s">
        <v>1329</v>
      </c>
      <c r="G78" s="276">
        <v>108366000</v>
      </c>
      <c r="H78" s="320"/>
      <c r="I78" s="439"/>
      <c r="J78" s="439"/>
      <c r="K78" s="430"/>
      <c r="L78" s="439"/>
      <c r="M78" s="877">
        <v>118338627</v>
      </c>
      <c r="N78" s="878" t="s">
        <v>282</v>
      </c>
      <c r="O78" s="878" t="s">
        <v>592</v>
      </c>
      <c r="P78" s="84" t="str">
        <f>IF(AND('331-CT'!$E$7=TH!H78,OR(N78="331",O78="331")),"x","")</f>
        <v/>
      </c>
      <c r="Q78" s="84" t="str">
        <f>IF(AND(B78='111'!$L$11,OR($N78=$Q$7,$O78=$Q$7)),"x","")</f>
        <v/>
      </c>
      <c r="R78" s="84" t="str">
        <f>IF(AND($N78=$Q$7,$B78&lt;'111'!$L$11),"x","")</f>
        <v/>
      </c>
      <c r="S78" s="84" t="str">
        <f>IF(AND($O78=$Q$7,$B78&lt;'111'!$L$11),"x","")</f>
        <v/>
      </c>
      <c r="T78" s="84" t="str">
        <f>IF(ISERROR(FIND('112'!$M$9,G78,1)),"",IF((AND(FIND('112'!$M$9,G78,1)&gt;=1,B78='112'!$K$9,OR($N78='112'!$I$6,$O78='112'!$I$6))),"x",""))</f>
        <v/>
      </c>
      <c r="U78" s="84" t="str">
        <f>IF(ISERROR(FIND('112'!$M$9,G78,1)),"",IF((AND(LEFT(G78,2)=LEFT('112'!$M$9,2),B78&lt;'112'!$K$9,$N78='112'!$I$6)),"x",""))</f>
        <v/>
      </c>
      <c r="V78" s="84" t="str">
        <f>IF(ISERROR(FIND('112'!$M$9,G78,1)),"",IF((AND(RIGHT(G78,2)=RIGHT('112'!$M$9,2),B78&lt;'112'!$K$9,$O78='112'!$I$6)),"x",""))</f>
        <v/>
      </c>
      <c r="W78" s="84" t="str">
        <f>IF(AND('341-CT'!$H$9=H78,OR(LEFT(N78,3)=$W$7,LEFT(O78,3)=$W$7)),"x","")</f>
        <v/>
      </c>
      <c r="X78" s="84" t="str">
        <f>IF(OR(TH!N78=TH!$X$7,O78=TH!$X$7),"x","")</f>
        <v/>
      </c>
      <c r="Y78" s="84" t="str">
        <f>IF(AND(OR(N78="131",O78="131"),H78='131-CT'!$H$9),"x","")</f>
        <v/>
      </c>
      <c r="Z78" s="84"/>
      <c r="AA78" s="84" t="str">
        <f>IF(AND(MONTH(E78)='IN-NX'!$J$5,'IN-NX'!$D$7=D78),"x","")</f>
        <v/>
      </c>
      <c r="AB78" s="84" t="str">
        <f>IF(AND(OR(LEFT(TH!N78,2)="15",LEFT(TH!O78,2)="15"),LEFT(TH!O78,3)&lt;&gt;"111",'152-CT'!$J$8=TH!F78),"x","")</f>
        <v/>
      </c>
      <c r="AC78" s="84" t="str">
        <f>IF(AND(OR(LEFT(TH!N78,2)="15",LEFT(TH!O78,2)="15"),TK!$E$7=TH!F78),"x","")</f>
        <v/>
      </c>
      <c r="AD78" s="84" t="str">
        <f>IF(AND(N78="1521",MONTH(C78)='BK-NL'!$M$11),"x","")</f>
        <v/>
      </c>
    </row>
    <row r="79" spans="1:30" s="341" customFormat="1" ht="15.75" hidden="1" customHeight="1">
      <c r="A79" s="336" t="str">
        <f>IF(B79&lt;&gt;"",IF(AND(B79='IN-TC'!$S$4,OR(TH!N79="1111",TH!O79="1111")),TH!D79,""),"")</f>
        <v/>
      </c>
      <c r="B79" s="63">
        <f t="shared" si="8"/>
        <v>3</v>
      </c>
      <c r="C79" s="871">
        <v>42460</v>
      </c>
      <c r="D79" s="871" t="s">
        <v>582</v>
      </c>
      <c r="E79" s="871">
        <f t="shared" si="10"/>
        <v>42460</v>
      </c>
      <c r="F79" s="872" t="s">
        <v>1330</v>
      </c>
      <c r="G79" s="976" t="s">
        <v>583</v>
      </c>
      <c r="H79" s="320"/>
      <c r="I79" s="439"/>
      <c r="J79" s="439"/>
      <c r="K79" s="430"/>
      <c r="L79" s="439"/>
      <c r="M79" s="877">
        <f>G77*$G79</f>
        <v>2989520</v>
      </c>
      <c r="N79" s="878" t="s">
        <v>592</v>
      </c>
      <c r="O79" s="878" t="s">
        <v>593</v>
      </c>
      <c r="P79" s="84" t="str">
        <f>IF(AND('331-CT'!$E$7=TH!H79,OR(N79="331",O79="331")),"x","")</f>
        <v/>
      </c>
      <c r="Q79" s="84" t="str">
        <f>IF(AND(B79='111'!$L$11,OR($N79=$Q$7,$O79=$Q$7)),"x","")</f>
        <v/>
      </c>
      <c r="R79" s="84" t="str">
        <f>IF(AND($N79=$Q$7,$B79&lt;'111'!$L$11),"x","")</f>
        <v/>
      </c>
      <c r="S79" s="84" t="str">
        <f>IF(AND($O79=$Q$7,$B79&lt;'111'!$L$11),"x","")</f>
        <v/>
      </c>
      <c r="T79" s="84" t="str">
        <f>IF(ISERROR(FIND('112'!$M$9,G79,1)),"",IF((AND(FIND('112'!$M$9,G79,1)&gt;=1,B79='112'!$K$9,OR($N79='112'!$I$6,$O79='112'!$I$6))),"x",""))</f>
        <v/>
      </c>
      <c r="U79" s="84" t="str">
        <f>IF(ISERROR(FIND('112'!$M$9,G79,1)),"",IF((AND(LEFT(G79,2)=LEFT('112'!$M$9,2),B79&lt;'112'!$K$9,$N79='112'!$I$6)),"x",""))</f>
        <v/>
      </c>
      <c r="V79" s="84" t="str">
        <f>IF(ISERROR(FIND('112'!$M$9,G79,1)),"",IF((AND(RIGHT(G79,2)=RIGHT('112'!$M$9,2),B79&lt;'112'!$K$9,$O79='112'!$I$6)),"x",""))</f>
        <v/>
      </c>
      <c r="W79" s="84" t="str">
        <f>IF(AND('341-CT'!$H$9=H79,OR(LEFT(N79,3)=$W$7,LEFT(O79,3)=$W$7)),"x","")</f>
        <v/>
      </c>
      <c r="X79" s="84" t="str">
        <f>IF(OR(TH!N79=TH!$X$7,O79=TH!$X$7),"x","")</f>
        <v/>
      </c>
      <c r="Y79" s="84" t="str">
        <f>IF(AND(OR(N79="131",O79="131"),H79='131-CT'!$H$9),"x","")</f>
        <v/>
      </c>
      <c r="Z79" s="84"/>
      <c r="AA79" s="84" t="str">
        <f>IF(AND(MONTH(E79)='IN-NX'!$J$5,'IN-NX'!$D$7=D79),"x","")</f>
        <v/>
      </c>
      <c r="AB79" s="84" t="str">
        <f>IF(AND(OR(LEFT(TH!N79,2)="15",LEFT(TH!O79,2)="15"),LEFT(TH!O79,3)&lt;&gt;"111",'152-CT'!$J$8=TH!F79),"x","")</f>
        <v/>
      </c>
      <c r="AC79" s="84" t="str">
        <f>IF(AND(OR(LEFT(TH!N79,2)="15",LEFT(TH!O79,2)="15"),TK!$E$7=TH!F79),"x","")</f>
        <v/>
      </c>
      <c r="AD79" s="84" t="str">
        <f>IF(AND(N79="1521",MONTH(C79)='BK-NL'!$M$11),"x","")</f>
        <v/>
      </c>
    </row>
    <row r="80" spans="1:30" s="341" customFormat="1" ht="15.75" hidden="1" customHeight="1">
      <c r="A80" s="336" t="str">
        <f>IF(B80&lt;&gt;"",IF(AND(B80='IN-TC'!$S$4,OR(TH!N80="1111",TH!O80="1111")),TH!D80,""),"")</f>
        <v/>
      </c>
      <c r="B80" s="63">
        <f t="shared" si="8"/>
        <v>3</v>
      </c>
      <c r="C80" s="871">
        <v>42460</v>
      </c>
      <c r="D80" s="871" t="s">
        <v>582</v>
      </c>
      <c r="E80" s="871">
        <f t="shared" si="10"/>
        <v>42460</v>
      </c>
      <c r="F80" s="872" t="s">
        <v>1331</v>
      </c>
      <c r="G80" s="276"/>
      <c r="H80" s="320"/>
      <c r="I80" s="439"/>
      <c r="J80" s="439"/>
      <c r="K80" s="430"/>
      <c r="L80" s="439"/>
      <c r="M80" s="877">
        <f>G78*$G79</f>
        <v>8669280</v>
      </c>
      <c r="N80" s="879" t="s">
        <v>592</v>
      </c>
      <c r="O80" s="880" t="s">
        <v>593</v>
      </c>
      <c r="P80" s="84" t="str">
        <f>IF(AND('331-CT'!$E$7=TH!H80,OR(N80="331",O80="331")),"x","")</f>
        <v/>
      </c>
      <c r="Q80" s="84" t="str">
        <f>IF(AND(B80='111'!$L$11,OR($N80=$Q$7,$O80=$Q$7)),"x","")</f>
        <v/>
      </c>
      <c r="R80" s="84" t="str">
        <f>IF(AND($N80=$Q$7,$B80&lt;'111'!$L$11),"x","")</f>
        <v/>
      </c>
      <c r="S80" s="84" t="str">
        <f>IF(AND($O80=$Q$7,$B80&lt;'111'!$L$11),"x","")</f>
        <v/>
      </c>
      <c r="T80" s="84" t="str">
        <f>IF(ISERROR(FIND('112'!$M$9,G80,1)),"",IF((AND(FIND('112'!$M$9,G80,1)&gt;=1,B80='112'!$K$9,OR($N80='112'!$I$6,$O80='112'!$I$6))),"x",""))</f>
        <v/>
      </c>
      <c r="U80" s="84" t="str">
        <f>IF(ISERROR(FIND('112'!$M$9,G80,1)),"",IF((AND(LEFT(G80,2)=LEFT('112'!$M$9,2),B80&lt;'112'!$K$9,$N80='112'!$I$6)),"x",""))</f>
        <v/>
      </c>
      <c r="V80" s="84" t="str">
        <f>IF(ISERROR(FIND('112'!$M$9,G80,1)),"",IF((AND(RIGHT(G80,2)=RIGHT('112'!$M$9,2),B80&lt;'112'!$K$9,$O80='112'!$I$6)),"x",""))</f>
        <v/>
      </c>
      <c r="W80" s="84" t="str">
        <f>IF(AND('341-CT'!$H$9=H80,OR(LEFT(N80,3)=$W$7,LEFT(O80,3)=$W$7)),"x","")</f>
        <v/>
      </c>
      <c r="X80" s="84" t="str">
        <f>IF(OR(TH!N80=TH!$X$7,O80=TH!$X$7),"x","")</f>
        <v/>
      </c>
      <c r="Y80" s="84" t="str">
        <f>IF(AND(OR(N80="131",O80="131"),H80='131-CT'!$H$9),"x","")</f>
        <v/>
      </c>
      <c r="Z80" s="84"/>
      <c r="AA80" s="84" t="str">
        <f>IF(AND(MONTH(E80)='IN-NX'!$J$5,'IN-NX'!$D$7=D80),"x","")</f>
        <v/>
      </c>
      <c r="AB80" s="84" t="str">
        <f>IF(AND(OR(LEFT(TH!N80,2)="15",LEFT(TH!O80,2)="15"),LEFT(TH!O80,3)&lt;&gt;"111",'152-CT'!$J$8=TH!F80),"x","")</f>
        <v/>
      </c>
      <c r="AC80" s="84" t="str">
        <f>IF(AND(OR(LEFT(TH!N80,2)="15",LEFT(TH!O80,2)="15"),TK!$E$7=TH!F80),"x","")</f>
        <v/>
      </c>
      <c r="AD80" s="84" t="str">
        <f>IF(AND(N80="1521",MONTH(C80)='BK-NL'!$M$11),"x","")</f>
        <v/>
      </c>
    </row>
    <row r="81" spans="1:30" s="341" customFormat="1" ht="15.75" hidden="1" customHeight="1">
      <c r="A81" s="336" t="str">
        <f>IF(B81&lt;&gt;"",IF(AND(B81='IN-TC'!$S$4,OR(TH!N81="1111",TH!O81="1111")),TH!D81,""),"")</f>
        <v/>
      </c>
      <c r="B81" s="63">
        <f t="shared" si="8"/>
        <v>3</v>
      </c>
      <c r="C81" s="871">
        <v>42460</v>
      </c>
      <c r="D81" s="871" t="s">
        <v>582</v>
      </c>
      <c r="E81" s="871">
        <f t="shared" si="10"/>
        <v>42460</v>
      </c>
      <c r="F81" s="872" t="s">
        <v>1332</v>
      </c>
      <c r="G81" s="976" t="s">
        <v>584</v>
      </c>
      <c r="H81" s="320"/>
      <c r="I81" s="439"/>
      <c r="J81" s="439"/>
      <c r="K81" s="430"/>
      <c r="L81" s="439"/>
      <c r="M81" s="877">
        <f>G77*$G81</f>
        <v>6726420</v>
      </c>
      <c r="N81" s="878" t="s">
        <v>591</v>
      </c>
      <c r="O81" s="878" t="s">
        <v>593</v>
      </c>
      <c r="P81" s="84" t="str">
        <f>IF(AND('331-CT'!$E$7=TH!H81,OR(N81="331",O81="331")),"x","")</f>
        <v/>
      </c>
      <c r="Q81" s="84" t="str">
        <f>IF(AND(B81='111'!$L$11,OR($N81=$Q$7,$O81=$Q$7)),"x","")</f>
        <v/>
      </c>
      <c r="R81" s="84" t="str">
        <f>IF(AND($N81=$Q$7,$B81&lt;'111'!$L$11),"x","")</f>
        <v/>
      </c>
      <c r="S81" s="84" t="str">
        <f>IF(AND($O81=$Q$7,$B81&lt;'111'!$L$11),"x","")</f>
        <v/>
      </c>
      <c r="T81" s="84" t="str">
        <f>IF(ISERROR(FIND('112'!$M$9,G81,1)),"",IF((AND(FIND('112'!$M$9,G81,1)&gt;=1,B81='112'!$K$9,OR($N81='112'!$I$6,$O81='112'!$I$6))),"x",""))</f>
        <v/>
      </c>
      <c r="U81" s="84" t="str">
        <f>IF(ISERROR(FIND('112'!$M$9,G81,1)),"",IF((AND(LEFT(G81,2)=LEFT('112'!$M$9,2),B81&lt;'112'!$K$9,$N81='112'!$I$6)),"x",""))</f>
        <v/>
      </c>
      <c r="V81" s="84" t="str">
        <f>IF(ISERROR(FIND('112'!$M$9,G81,1)),"",IF((AND(RIGHT(G81,2)=RIGHT('112'!$M$9,2),B81&lt;'112'!$K$9,$O81='112'!$I$6)),"x",""))</f>
        <v/>
      </c>
      <c r="W81" s="84" t="str">
        <f>IF(AND('341-CT'!$H$9=H81,OR(LEFT(N81,3)=$W$7,LEFT(O81,3)=$W$7)),"x","")</f>
        <v/>
      </c>
      <c r="X81" s="84" t="str">
        <f>IF(OR(TH!N81=TH!$X$7,O81=TH!$X$7),"x","")</f>
        <v/>
      </c>
      <c r="Y81" s="84" t="str">
        <f>IF(AND(OR(N81="131",O81="131"),H81='131-CT'!$H$9),"x","")</f>
        <v/>
      </c>
      <c r="Z81" s="84"/>
      <c r="AA81" s="84" t="str">
        <f>IF(AND(MONTH(E81)='IN-NX'!$J$5,'IN-NX'!$D$7=D81),"x","")</f>
        <v/>
      </c>
      <c r="AB81" s="84" t="str">
        <f>IF(AND(OR(LEFT(TH!N81,2)="15",LEFT(TH!O81,2)="15"),LEFT(TH!O81,3)&lt;&gt;"111",'152-CT'!$J$8=TH!F81),"x","")</f>
        <v/>
      </c>
      <c r="AC81" s="84" t="str">
        <f>IF(AND(OR(LEFT(TH!N81,2)="15",LEFT(TH!O81,2)="15"),TK!$E$7=TH!F81),"x","")</f>
        <v/>
      </c>
      <c r="AD81" s="84" t="str">
        <f>IF(AND(N81="1521",MONTH(C81)='BK-NL'!$M$11),"x","")</f>
        <v/>
      </c>
    </row>
    <row r="82" spans="1:30" s="341" customFormat="1" ht="15.75" hidden="1" customHeight="1">
      <c r="A82" s="336" t="str">
        <f>IF(B82&lt;&gt;"",IF(AND(B82='IN-TC'!$S$4,OR(TH!N82="1111",TH!O82="1111")),TH!D82,""),"")</f>
        <v/>
      </c>
      <c r="B82" s="63">
        <f t="shared" si="8"/>
        <v>3</v>
      </c>
      <c r="C82" s="871">
        <v>42460</v>
      </c>
      <c r="D82" s="871" t="s">
        <v>582</v>
      </c>
      <c r="E82" s="871">
        <f t="shared" si="10"/>
        <v>42460</v>
      </c>
      <c r="F82" s="872" t="s">
        <v>1333</v>
      </c>
      <c r="G82" s="276"/>
      <c r="H82" s="320"/>
      <c r="I82" s="439"/>
      <c r="J82" s="439"/>
      <c r="K82" s="430"/>
      <c r="L82" s="439"/>
      <c r="M82" s="877">
        <f>G78*$G81</f>
        <v>19505880</v>
      </c>
      <c r="N82" s="878" t="s">
        <v>282</v>
      </c>
      <c r="O82" s="878" t="s">
        <v>593</v>
      </c>
      <c r="P82" s="84" t="str">
        <f>IF(AND('331-CT'!$E$7=TH!H82,OR(N82="331",O82="331")),"x","")</f>
        <v/>
      </c>
      <c r="Q82" s="84" t="str">
        <f>IF(AND(B82='111'!$L$11,OR($N82=$Q$7,$O82=$Q$7)),"x","")</f>
        <v/>
      </c>
      <c r="R82" s="84" t="str">
        <f>IF(AND($N82=$Q$7,$B82&lt;'111'!$L$11),"x","")</f>
        <v/>
      </c>
      <c r="S82" s="84" t="str">
        <f>IF(AND($O82=$Q$7,$B82&lt;'111'!$L$11),"x","")</f>
        <v/>
      </c>
      <c r="T82" s="84" t="str">
        <f>IF(ISERROR(FIND('112'!$M$9,G82,1)),"",IF((AND(FIND('112'!$M$9,G82,1)&gt;=1,B82='112'!$K$9,OR($N82='112'!$I$6,$O82='112'!$I$6))),"x",""))</f>
        <v/>
      </c>
      <c r="U82" s="84" t="str">
        <f>IF(ISERROR(FIND('112'!$M$9,G82,1)),"",IF((AND(LEFT(G82,2)=LEFT('112'!$M$9,2),B82&lt;'112'!$K$9,$N82='112'!$I$6)),"x",""))</f>
        <v/>
      </c>
      <c r="V82" s="84" t="str">
        <f>IF(ISERROR(FIND('112'!$M$9,G82,1)),"",IF((AND(RIGHT(G82,2)=RIGHT('112'!$M$9,2),B82&lt;'112'!$K$9,$O82='112'!$I$6)),"x",""))</f>
        <v/>
      </c>
      <c r="W82" s="84" t="str">
        <f>IF(AND('341-CT'!$H$9=H82,OR(LEFT(N82,3)=$W$7,LEFT(O82,3)=$W$7)),"x","")</f>
        <v/>
      </c>
      <c r="X82" s="84" t="str">
        <f>IF(OR(TH!N82=TH!$X$7,O82=TH!$X$7),"x","")</f>
        <v/>
      </c>
      <c r="Y82" s="84" t="str">
        <f>IF(AND(OR(N82="131",O82="131"),H82='131-CT'!$H$9),"x","")</f>
        <v/>
      </c>
      <c r="Z82" s="84"/>
      <c r="AA82" s="84" t="str">
        <f>IF(AND(MONTH(E82)='IN-NX'!$J$5,'IN-NX'!$D$7=D82),"x","")</f>
        <v/>
      </c>
      <c r="AB82" s="84" t="str">
        <f>IF(AND(OR(LEFT(TH!N82,2)="15",LEFT(TH!O82,2)="15"),LEFT(TH!O82,3)&lt;&gt;"111",'152-CT'!$J$8=TH!F82),"x","")</f>
        <v/>
      </c>
      <c r="AC82" s="84" t="str">
        <f>IF(AND(OR(LEFT(TH!N82,2)="15",LEFT(TH!O82,2)="15"),TK!$E$7=TH!F82),"x","")</f>
        <v/>
      </c>
      <c r="AD82" s="84" t="str">
        <f>IF(AND(N82="1521",MONTH(C82)='BK-NL'!$M$11),"x","")</f>
        <v/>
      </c>
    </row>
    <row r="83" spans="1:30" s="341" customFormat="1" ht="15.75" hidden="1" customHeight="1">
      <c r="A83" s="336" t="str">
        <f>IF(B83&lt;&gt;"",IF(AND(B83='IN-TC'!$S$4,OR(TH!N83="1111",TH!O83="1111")),TH!D83,""),"")</f>
        <v/>
      </c>
      <c r="B83" s="63">
        <f t="shared" si="8"/>
        <v>3</v>
      </c>
      <c r="C83" s="871">
        <v>42460</v>
      </c>
      <c r="D83" s="871" t="s">
        <v>582</v>
      </c>
      <c r="E83" s="871">
        <f t="shared" si="10"/>
        <v>42460</v>
      </c>
      <c r="F83" s="872" t="s">
        <v>1334</v>
      </c>
      <c r="G83" s="976" t="s">
        <v>585</v>
      </c>
      <c r="H83" s="322"/>
      <c r="I83" s="437"/>
      <c r="J83" s="437"/>
      <c r="K83" s="428"/>
      <c r="L83" s="437"/>
      <c r="M83" s="877">
        <f>G77*$G83</f>
        <v>560535</v>
      </c>
      <c r="N83" s="878" t="s">
        <v>592</v>
      </c>
      <c r="O83" s="878" t="s">
        <v>594</v>
      </c>
      <c r="P83" s="84" t="str">
        <f>IF(AND('331-CT'!$E$7=TH!H83,OR(N83="331",O83="331")),"x","")</f>
        <v/>
      </c>
      <c r="Q83" s="84" t="str">
        <f>IF(AND(B83='111'!$L$11,OR($N83=$Q$7,$O83=$Q$7)),"x","")</f>
        <v/>
      </c>
      <c r="R83" s="84" t="str">
        <f>IF(AND($N83=$Q$7,$B83&lt;'111'!$L$11),"x","")</f>
        <v/>
      </c>
      <c r="S83" s="84" t="str">
        <f>IF(AND($O83=$Q$7,$B83&lt;'111'!$L$11),"x","")</f>
        <v/>
      </c>
      <c r="T83" s="84" t="str">
        <f>IF(ISERROR(FIND('112'!$M$9,G83,1)),"",IF((AND(FIND('112'!$M$9,G83,1)&gt;=1,B83='112'!$K$9,OR($N83='112'!$I$6,$O83='112'!$I$6))),"x",""))</f>
        <v/>
      </c>
      <c r="U83" s="84" t="str">
        <f>IF(ISERROR(FIND('112'!$M$9,G83,1)),"",IF((AND(LEFT(G83,2)=LEFT('112'!$M$9,2),B83&lt;'112'!$K$9,$N83='112'!$I$6)),"x",""))</f>
        <v/>
      </c>
      <c r="V83" s="84" t="str">
        <f>IF(ISERROR(FIND('112'!$M$9,G83,1)),"",IF((AND(RIGHT(G83,2)=RIGHT('112'!$M$9,2),B83&lt;'112'!$K$9,$O83='112'!$I$6)),"x",""))</f>
        <v/>
      </c>
      <c r="W83" s="84" t="str">
        <f>IF(AND('341-CT'!$H$9=H83,OR(LEFT(N83,3)=$W$7,LEFT(O83,3)=$W$7)),"x","")</f>
        <v/>
      </c>
      <c r="X83" s="84" t="str">
        <f>IF(OR(TH!N83=TH!$X$7,O83=TH!$X$7),"x","")</f>
        <v/>
      </c>
      <c r="Y83" s="84" t="str">
        <f>IF(AND(OR(N83="131",O83="131"),H83='131-CT'!$H$9),"x","")</f>
        <v/>
      </c>
      <c r="Z83" s="84"/>
      <c r="AA83" s="84" t="str">
        <f>IF(AND(MONTH(E83)='IN-NX'!$J$5,'IN-NX'!$D$7=D83),"x","")</f>
        <v/>
      </c>
      <c r="AB83" s="84" t="str">
        <f>IF(AND(OR(LEFT(TH!N83,2)="15",LEFT(TH!O83,2)="15"),LEFT(TH!O83,3)&lt;&gt;"111",'152-CT'!$J$8=TH!F83),"x","")</f>
        <v/>
      </c>
      <c r="AC83" s="84" t="str">
        <f>IF(AND(OR(LEFT(TH!N83,2)="15",LEFT(TH!O83,2)="15"),TK!$E$7=TH!F83),"x","")</f>
        <v/>
      </c>
      <c r="AD83" s="84" t="str">
        <f>IF(AND(N83="1521",MONTH(C83)='BK-NL'!$M$11),"x","")</f>
        <v/>
      </c>
    </row>
    <row r="84" spans="1:30" s="341" customFormat="1" ht="15.75" hidden="1" customHeight="1">
      <c r="A84" s="336" t="str">
        <f>IF(B84&lt;&gt;"",IF(AND(B84='IN-TC'!$S$4,OR(TH!N84="1111",TH!O84="1111")),TH!D84,""),"")</f>
        <v/>
      </c>
      <c r="B84" s="63">
        <f t="shared" si="8"/>
        <v>3</v>
      </c>
      <c r="C84" s="871">
        <v>42460</v>
      </c>
      <c r="D84" s="871" t="s">
        <v>582</v>
      </c>
      <c r="E84" s="871">
        <f>C84</f>
        <v>42460</v>
      </c>
      <c r="F84" s="872" t="s">
        <v>1335</v>
      </c>
      <c r="G84" s="276"/>
      <c r="H84" s="322"/>
      <c r="I84" s="437"/>
      <c r="J84" s="437"/>
      <c r="K84" s="428"/>
      <c r="L84" s="437"/>
      <c r="M84" s="877">
        <f>G78*$G83</f>
        <v>1625490</v>
      </c>
      <c r="N84" s="878" t="s">
        <v>592</v>
      </c>
      <c r="O84" s="878" t="s">
        <v>594</v>
      </c>
      <c r="P84" s="84" t="str">
        <f>IF(AND('331-CT'!$E$7=TH!H84,OR(N84="331",O84="331")),"x","")</f>
        <v/>
      </c>
      <c r="Q84" s="84" t="str">
        <f>IF(AND(B84='111'!$L$11,OR($N84=$Q$7,$O84=$Q$7)),"x","")</f>
        <v/>
      </c>
      <c r="R84" s="84" t="str">
        <f>IF(AND($N84=$Q$7,$B84&lt;'111'!$L$11),"x","")</f>
        <v/>
      </c>
      <c r="S84" s="84" t="str">
        <f>IF(AND($O84=$Q$7,$B84&lt;'111'!$L$11),"x","")</f>
        <v/>
      </c>
      <c r="T84" s="84" t="str">
        <f>IF(ISERROR(FIND('112'!$M$9,G84,1)),"",IF((AND(FIND('112'!$M$9,G84,1)&gt;=1,B84='112'!$K$9,OR($N84='112'!$I$6,$O84='112'!$I$6))),"x",""))</f>
        <v/>
      </c>
      <c r="U84" s="84" t="str">
        <f>IF(ISERROR(FIND('112'!$M$9,G84,1)),"",IF((AND(LEFT(G84,2)=LEFT('112'!$M$9,2),B84&lt;'112'!$K$9,$N84='112'!$I$6)),"x",""))</f>
        <v/>
      </c>
      <c r="V84" s="84" t="str">
        <f>IF(ISERROR(FIND('112'!$M$9,G84,1)),"",IF((AND(RIGHT(G84,2)=RIGHT('112'!$M$9,2),B84&lt;'112'!$K$9,$O84='112'!$I$6)),"x",""))</f>
        <v/>
      </c>
      <c r="W84" s="84" t="str">
        <f>IF(AND('341-CT'!$H$9=H84,OR(LEFT(N84,3)=$W$7,LEFT(O84,3)=$W$7)),"x","")</f>
        <v/>
      </c>
      <c r="X84" s="84" t="str">
        <f>IF(OR(TH!N84=TH!$X$7,O84=TH!$X$7),"x","")</f>
        <v/>
      </c>
      <c r="Y84" s="84" t="str">
        <f>IF(AND(OR(N84="131",O84="131"),H84='131-CT'!$H$9),"x","")</f>
        <v/>
      </c>
      <c r="Z84" s="84"/>
      <c r="AA84" s="84" t="str">
        <f>IF(AND(MONTH(E84)='IN-NX'!$J$5,'IN-NX'!$D$7=D84),"x","")</f>
        <v/>
      </c>
      <c r="AB84" s="84" t="str">
        <f>IF(AND(OR(LEFT(TH!N84,2)="15",LEFT(TH!O84,2)="15"),LEFT(TH!O84,3)&lt;&gt;"111",'152-CT'!$J$8=TH!F84),"x","")</f>
        <v/>
      </c>
      <c r="AC84" s="84" t="str">
        <f>IF(AND(OR(LEFT(TH!N84,2)="15",LEFT(TH!O84,2)="15"),TK!$E$7=TH!F84),"x","")</f>
        <v/>
      </c>
      <c r="AD84" s="84" t="str">
        <f>IF(AND(N84="1521",MONTH(C84)='BK-NL'!$M$11),"x","")</f>
        <v/>
      </c>
    </row>
    <row r="85" spans="1:30" s="341" customFormat="1" ht="15.75" hidden="1" customHeight="1">
      <c r="A85" s="336" t="str">
        <f>IF(B85&lt;&gt;"",IF(AND(B85='IN-TC'!$S$4,OR(TH!N85="1111",TH!O85="1111")),TH!D85,""),"")</f>
        <v/>
      </c>
      <c r="B85" s="63">
        <f t="shared" si="8"/>
        <v>3</v>
      </c>
      <c r="C85" s="871">
        <v>42460</v>
      </c>
      <c r="D85" s="871" t="s">
        <v>582</v>
      </c>
      <c r="E85" s="871">
        <f t="shared" ref="E85:E90" si="11">C85</f>
        <v>42460</v>
      </c>
      <c r="F85" s="872" t="s">
        <v>1336</v>
      </c>
      <c r="G85" s="976" t="s">
        <v>586</v>
      </c>
      <c r="H85" s="320"/>
      <c r="I85" s="439"/>
      <c r="J85" s="439"/>
      <c r="K85" s="430"/>
      <c r="L85" s="439"/>
      <c r="M85" s="877">
        <f>G77*$G85</f>
        <v>1121070</v>
      </c>
      <c r="N85" s="878" t="s">
        <v>591</v>
      </c>
      <c r="O85" s="878" t="s">
        <v>594</v>
      </c>
      <c r="P85" s="84" t="str">
        <f>IF(AND('331-CT'!$E$7=TH!H85,OR(N85="331",O85="331")),"x","")</f>
        <v/>
      </c>
      <c r="Q85" s="84" t="str">
        <f>IF(AND(B85='111'!$L$11,OR($N85=$Q$7,$O85=$Q$7)),"x","")</f>
        <v/>
      </c>
      <c r="R85" s="84" t="str">
        <f>IF(AND($N85=$Q$7,$B85&lt;'111'!$L$11),"x","")</f>
        <v/>
      </c>
      <c r="S85" s="84" t="str">
        <f>IF(AND($O85=$Q$7,$B85&lt;'111'!$L$11),"x","")</f>
        <v/>
      </c>
      <c r="T85" s="84" t="str">
        <f>IF(ISERROR(FIND('112'!$M$9,G85,1)),"",IF((AND(FIND('112'!$M$9,G85,1)&gt;=1,B85='112'!$K$9,OR($N85='112'!$I$6,$O85='112'!$I$6))),"x",""))</f>
        <v/>
      </c>
      <c r="U85" s="84" t="str">
        <f>IF(ISERROR(FIND('112'!$M$9,G85,1)),"",IF((AND(LEFT(G85,2)=LEFT('112'!$M$9,2),B85&lt;'112'!$K$9,$N85='112'!$I$6)),"x",""))</f>
        <v/>
      </c>
      <c r="V85" s="84" t="str">
        <f>IF(ISERROR(FIND('112'!$M$9,G85,1)),"",IF((AND(RIGHT(G85,2)=RIGHT('112'!$M$9,2),B85&lt;'112'!$K$9,$O85='112'!$I$6)),"x",""))</f>
        <v/>
      </c>
      <c r="W85" s="84" t="str">
        <f>IF(AND('341-CT'!$H$9=H85,OR(LEFT(N85,3)=$W$7,LEFT(O85,3)=$W$7)),"x","")</f>
        <v/>
      </c>
      <c r="X85" s="84" t="str">
        <f>IF(OR(TH!N85=TH!$X$7,O85=TH!$X$7),"x","")</f>
        <v/>
      </c>
      <c r="Y85" s="84" t="str">
        <f>IF(AND(OR(N85="131",O85="131"),H85='131-CT'!$H$9),"x","")</f>
        <v/>
      </c>
      <c r="Z85" s="84"/>
      <c r="AA85" s="84" t="str">
        <f>IF(AND(MONTH(E85)='IN-NX'!$J$5,'IN-NX'!$D$7=D85),"x","")</f>
        <v/>
      </c>
      <c r="AB85" s="84" t="str">
        <f>IF(AND(OR(LEFT(TH!N85,2)="15",LEFT(TH!O85,2)="15"),LEFT(TH!O85,3)&lt;&gt;"111",'152-CT'!$J$8=TH!F85),"x","")</f>
        <v/>
      </c>
      <c r="AC85" s="84" t="str">
        <f>IF(AND(OR(LEFT(TH!N85,2)="15",LEFT(TH!O85,2)="15"),TK!$E$7=TH!F85),"x","")</f>
        <v/>
      </c>
      <c r="AD85" s="84" t="str">
        <f>IF(AND(N85="1521",MONTH(C85)='BK-NL'!$M$11),"x","")</f>
        <v/>
      </c>
    </row>
    <row r="86" spans="1:30" s="341" customFormat="1" ht="15.75" hidden="1" customHeight="1">
      <c r="A86" s="336" t="str">
        <f>IF(B86&lt;&gt;"",IF(AND(B86='IN-TC'!$S$4,OR(TH!N86="1111",TH!O86="1111")),TH!D86,""),"")</f>
        <v/>
      </c>
      <c r="B86" s="63">
        <f t="shared" si="8"/>
        <v>3</v>
      </c>
      <c r="C86" s="871">
        <v>42460</v>
      </c>
      <c r="D86" s="871" t="s">
        <v>582</v>
      </c>
      <c r="E86" s="871">
        <f t="shared" si="11"/>
        <v>42460</v>
      </c>
      <c r="F86" s="872" t="s">
        <v>1337</v>
      </c>
      <c r="G86" s="276"/>
      <c r="H86" s="320"/>
      <c r="I86" s="439"/>
      <c r="J86" s="439"/>
      <c r="K86" s="430"/>
      <c r="L86" s="439"/>
      <c r="M86" s="877">
        <f>G78*$G85</f>
        <v>3250980</v>
      </c>
      <c r="N86" s="878" t="s">
        <v>282</v>
      </c>
      <c r="O86" s="878" t="s">
        <v>594</v>
      </c>
      <c r="P86" s="84" t="str">
        <f>IF(AND('331-CT'!$E$7=TH!H86,OR(N86="331",O86="331")),"x","")</f>
        <v/>
      </c>
      <c r="Q86" s="84" t="str">
        <f>IF(AND(B86='111'!$L$11,OR($N86=$Q$7,$O86=$Q$7)),"x","")</f>
        <v/>
      </c>
      <c r="R86" s="84" t="str">
        <f>IF(AND($N86=$Q$7,$B86&lt;'111'!$L$11),"x","")</f>
        <v/>
      </c>
      <c r="S86" s="84" t="str">
        <f>IF(AND($O86=$Q$7,$B86&lt;'111'!$L$11),"x","")</f>
        <v/>
      </c>
      <c r="T86" s="84" t="str">
        <f>IF(ISERROR(FIND('112'!$M$9,G86,1)),"",IF((AND(FIND('112'!$M$9,G86,1)&gt;=1,B86='112'!$K$9,OR($N86='112'!$I$6,$O86='112'!$I$6))),"x",""))</f>
        <v/>
      </c>
      <c r="U86" s="84" t="str">
        <f>IF(ISERROR(FIND('112'!$M$9,G86,1)),"",IF((AND(LEFT(G86,2)=LEFT('112'!$M$9,2),B86&lt;'112'!$K$9,$N86='112'!$I$6)),"x",""))</f>
        <v/>
      </c>
      <c r="V86" s="84" t="str">
        <f>IF(ISERROR(FIND('112'!$M$9,G86,1)),"",IF((AND(RIGHT(G86,2)=RIGHT('112'!$M$9,2),B86&lt;'112'!$K$9,$O86='112'!$I$6)),"x",""))</f>
        <v/>
      </c>
      <c r="W86" s="84" t="str">
        <f>IF(AND('341-CT'!$H$9=H86,OR(LEFT(N86,3)=$W$7,LEFT(O86,3)=$W$7)),"x","")</f>
        <v/>
      </c>
      <c r="X86" s="84" t="str">
        <f>IF(OR(TH!N86=TH!$X$7,O86=TH!$X$7),"x","")</f>
        <v/>
      </c>
      <c r="Y86" s="84" t="str">
        <f>IF(AND(OR(N86="131",O86="131"),H86='131-CT'!$H$9),"x","")</f>
        <v/>
      </c>
      <c r="Z86" s="84"/>
      <c r="AA86" s="84" t="str">
        <f>IF(AND(MONTH(E86)='IN-NX'!$J$5,'IN-NX'!$D$7=D86),"x","")</f>
        <v/>
      </c>
      <c r="AB86" s="84" t="str">
        <f>IF(AND(OR(LEFT(TH!N86,2)="15",LEFT(TH!O86,2)="15"),LEFT(TH!O86,3)&lt;&gt;"111",'152-CT'!$J$8=TH!F86),"x","")</f>
        <v/>
      </c>
      <c r="AC86" s="84" t="str">
        <f>IF(AND(OR(LEFT(TH!N86,2)="15",LEFT(TH!O86,2)="15"),TK!$E$7=TH!F86),"x","")</f>
        <v/>
      </c>
      <c r="AD86" s="84" t="str">
        <f>IF(AND(N86="1521",MONTH(C86)='BK-NL'!$M$11),"x","")</f>
        <v/>
      </c>
    </row>
    <row r="87" spans="1:30" s="341" customFormat="1" ht="15.75" hidden="1" customHeight="1">
      <c r="A87" s="336" t="str">
        <f>IF(B87&lt;&gt;"",IF(AND(B87='IN-TC'!$S$4,OR(TH!N87="1111",TH!O87="1111")),TH!D87,""),"")</f>
        <v/>
      </c>
      <c r="B87" s="63">
        <f t="shared" si="8"/>
        <v>3</v>
      </c>
      <c r="C87" s="871">
        <v>42460</v>
      </c>
      <c r="D87" s="871" t="s">
        <v>582</v>
      </c>
      <c r="E87" s="871">
        <f t="shared" si="11"/>
        <v>42460</v>
      </c>
      <c r="F87" s="872" t="s">
        <v>1338</v>
      </c>
      <c r="G87" s="976" t="s">
        <v>587</v>
      </c>
      <c r="H87" s="320"/>
      <c r="I87" s="439"/>
      <c r="J87" s="439"/>
      <c r="K87" s="430"/>
      <c r="L87" s="439"/>
      <c r="M87" s="877">
        <f>G77*$G87</f>
        <v>373690</v>
      </c>
      <c r="N87" s="878" t="s">
        <v>592</v>
      </c>
      <c r="O87" s="878" t="s">
        <v>595</v>
      </c>
      <c r="P87" s="84" t="str">
        <f>IF(AND('331-CT'!$E$7=TH!H87,OR(N87="331",O87="331")),"x","")</f>
        <v/>
      </c>
      <c r="Q87" s="84" t="str">
        <f>IF(AND(B87='111'!$L$11,OR($N87=$Q$7,$O87=$Q$7)),"x","")</f>
        <v/>
      </c>
      <c r="R87" s="84" t="str">
        <f>IF(AND($N87=$Q$7,$B87&lt;'111'!$L$11),"x","")</f>
        <v/>
      </c>
      <c r="S87" s="84" t="str">
        <f>IF(AND($O87=$Q$7,$B87&lt;'111'!$L$11),"x","")</f>
        <v/>
      </c>
      <c r="T87" s="84" t="str">
        <f>IF(ISERROR(FIND('112'!$M$9,G87,1)),"",IF((AND(FIND('112'!$M$9,G87,1)&gt;=1,B87='112'!$K$9,OR($N87='112'!$I$6,$O87='112'!$I$6))),"x",""))</f>
        <v/>
      </c>
      <c r="U87" s="84" t="str">
        <f>IF(ISERROR(FIND('112'!$M$9,G87,1)),"",IF((AND(LEFT(G87,2)=LEFT('112'!$M$9,2),B87&lt;'112'!$K$9,$N87='112'!$I$6)),"x",""))</f>
        <v/>
      </c>
      <c r="V87" s="84" t="str">
        <f>IF(ISERROR(FIND('112'!$M$9,G87,1)),"",IF((AND(RIGHT(G87,2)=RIGHT('112'!$M$9,2),B87&lt;'112'!$K$9,$O87='112'!$I$6)),"x",""))</f>
        <v/>
      </c>
      <c r="W87" s="84" t="str">
        <f>IF(AND('341-CT'!$H$9=H87,OR(LEFT(N87,3)=$W$7,LEFT(O87,3)=$W$7)),"x","")</f>
        <v/>
      </c>
      <c r="X87" s="84" t="str">
        <f>IF(OR(TH!N87=TH!$X$7,O87=TH!$X$7),"x","")</f>
        <v/>
      </c>
      <c r="Y87" s="84" t="str">
        <f>IF(AND(OR(N87="131",O87="131"),H87='131-CT'!$H$9),"x","")</f>
        <v/>
      </c>
      <c r="Z87" s="84"/>
      <c r="AA87" s="84" t="str">
        <f>IF(AND(MONTH(E87)='IN-NX'!$J$5,'IN-NX'!$D$7=D87),"x","")</f>
        <v/>
      </c>
      <c r="AB87" s="84" t="str">
        <f>IF(AND(OR(LEFT(TH!N87,2)="15",LEFT(TH!O87,2)="15"),LEFT(TH!O87,3)&lt;&gt;"111",'152-CT'!$J$8=TH!F87),"x","")</f>
        <v/>
      </c>
      <c r="AC87" s="84" t="str">
        <f>IF(AND(OR(LEFT(TH!N87,2)="15",LEFT(TH!O87,2)="15"),TK!$E$7=TH!F87),"x","")</f>
        <v/>
      </c>
      <c r="AD87" s="84" t="str">
        <f>IF(AND(N87="1521",MONTH(C87)='BK-NL'!$M$11),"x","")</f>
        <v/>
      </c>
    </row>
    <row r="88" spans="1:30" s="341" customFormat="1" ht="15.75" hidden="1" customHeight="1">
      <c r="A88" s="336" t="str">
        <f>IF(B88&lt;&gt;"",IF(AND(B88='IN-TC'!$S$4,OR(TH!N88="1111",TH!O88="1111")),TH!D88,""),"")</f>
        <v/>
      </c>
      <c r="B88" s="63">
        <f t="shared" si="8"/>
        <v>3</v>
      </c>
      <c r="C88" s="871">
        <v>42460</v>
      </c>
      <c r="D88" s="871" t="s">
        <v>582</v>
      </c>
      <c r="E88" s="871">
        <f t="shared" si="11"/>
        <v>42460</v>
      </c>
      <c r="F88" s="872" t="s">
        <v>1339</v>
      </c>
      <c r="G88" s="276"/>
      <c r="H88" s="320"/>
      <c r="I88" s="439"/>
      <c r="J88" s="439"/>
      <c r="K88" s="430"/>
      <c r="L88" s="439"/>
      <c r="M88" s="877">
        <f>G78*$G87</f>
        <v>1083660</v>
      </c>
      <c r="N88" s="878" t="s">
        <v>592</v>
      </c>
      <c r="O88" s="878" t="s">
        <v>595</v>
      </c>
      <c r="P88" s="84" t="str">
        <f>IF(AND('331-CT'!$E$7=TH!H88,OR(N88="331",O88="331")),"x","")</f>
        <v/>
      </c>
      <c r="Q88" s="84" t="str">
        <f>IF(AND(B88='111'!$L$11,OR($N88=$Q$7,$O88=$Q$7)),"x","")</f>
        <v/>
      </c>
      <c r="R88" s="84" t="str">
        <f>IF(AND($N88=$Q$7,$B88&lt;'111'!$L$11),"x","")</f>
        <v/>
      </c>
      <c r="S88" s="84" t="str">
        <f>IF(AND($O88=$Q$7,$B88&lt;'111'!$L$11),"x","")</f>
        <v/>
      </c>
      <c r="T88" s="84" t="str">
        <f>IF(ISERROR(FIND('112'!$M$9,G88,1)),"",IF((AND(FIND('112'!$M$9,G88,1)&gt;=1,B88='112'!$K$9,OR($N88='112'!$I$6,$O88='112'!$I$6))),"x",""))</f>
        <v/>
      </c>
      <c r="U88" s="84" t="str">
        <f>IF(ISERROR(FIND('112'!$M$9,G88,1)),"",IF((AND(LEFT(G88,2)=LEFT('112'!$M$9,2),B88&lt;'112'!$K$9,$N88='112'!$I$6)),"x",""))</f>
        <v/>
      </c>
      <c r="V88" s="84" t="str">
        <f>IF(ISERROR(FIND('112'!$M$9,G88,1)),"",IF((AND(RIGHT(G88,2)=RIGHT('112'!$M$9,2),B88&lt;'112'!$K$9,$O88='112'!$I$6)),"x",""))</f>
        <v/>
      </c>
      <c r="W88" s="84" t="str">
        <f>IF(AND('341-CT'!$H$9=H88,OR(LEFT(N88,3)=$W$7,LEFT(O88,3)=$W$7)),"x","")</f>
        <v/>
      </c>
      <c r="X88" s="84" t="str">
        <f>IF(OR(TH!N88=TH!$X$7,O88=TH!$X$7),"x","")</f>
        <v/>
      </c>
      <c r="Y88" s="84" t="str">
        <f>IF(AND(OR(N88="131",O88="131"),H88='131-CT'!$H$9),"x","")</f>
        <v/>
      </c>
      <c r="Z88" s="84"/>
      <c r="AA88" s="84" t="str">
        <f>IF(AND(MONTH(E88)='IN-NX'!$J$5,'IN-NX'!$D$7=D88),"x","")</f>
        <v/>
      </c>
      <c r="AB88" s="84" t="str">
        <f>IF(AND(OR(LEFT(TH!N88,2)="15",LEFT(TH!O88,2)="15"),LEFT(TH!O88,3)&lt;&gt;"111",'152-CT'!$J$8=TH!F88),"x","")</f>
        <v/>
      </c>
      <c r="AC88" s="84" t="str">
        <f>IF(AND(OR(LEFT(TH!N88,2)="15",LEFT(TH!O88,2)="15"),TK!$E$7=TH!F88),"x","")</f>
        <v/>
      </c>
      <c r="AD88" s="84" t="str">
        <f>IF(AND(N88="1521",MONTH(C88)='BK-NL'!$M$11),"x","")</f>
        <v/>
      </c>
    </row>
    <row r="89" spans="1:30" s="341" customFormat="1" ht="15.75" hidden="1" customHeight="1">
      <c r="A89" s="336" t="str">
        <f>IF(B89&lt;&gt;"",IF(AND(B89='IN-TC'!$S$4,OR(TH!N89="1111",TH!O89="1111")),TH!D89,""),"")</f>
        <v/>
      </c>
      <c r="B89" s="63">
        <f t="shared" si="8"/>
        <v>3</v>
      </c>
      <c r="C89" s="871">
        <v>42460</v>
      </c>
      <c r="D89" s="871" t="s">
        <v>582</v>
      </c>
      <c r="E89" s="871">
        <f t="shared" si="11"/>
        <v>42460</v>
      </c>
      <c r="F89" s="872" t="s">
        <v>1340</v>
      </c>
      <c r="G89" s="976" t="s">
        <v>587</v>
      </c>
      <c r="H89" s="1127"/>
      <c r="I89" s="440"/>
      <c r="J89" s="440"/>
      <c r="K89" s="431"/>
      <c r="L89" s="440"/>
      <c r="M89" s="877">
        <f>M87</f>
        <v>373690</v>
      </c>
      <c r="N89" s="878" t="s">
        <v>591</v>
      </c>
      <c r="O89" s="878" t="s">
        <v>595</v>
      </c>
      <c r="P89" s="84" t="str">
        <f>IF(AND('331-CT'!$E$7=TH!H89,OR(N89="331",O89="331")),"x","")</f>
        <v/>
      </c>
      <c r="Q89" s="84" t="str">
        <f>IF(AND(B89='111'!$L$11,OR($N89=$Q$7,$O89=$Q$7)),"x","")</f>
        <v/>
      </c>
      <c r="R89" s="84" t="str">
        <f>IF(AND($N89=$Q$7,$B89&lt;'111'!$L$11),"x","")</f>
        <v/>
      </c>
      <c r="S89" s="84" t="str">
        <f>IF(AND($O89=$Q$7,$B89&lt;'111'!$L$11),"x","")</f>
        <v/>
      </c>
      <c r="T89" s="84" t="str">
        <f>IF(ISERROR(FIND('112'!$M$9,G89,1)),"",IF((AND(FIND('112'!$M$9,G89,1)&gt;=1,B89='112'!$K$9,OR($N89='112'!$I$6,$O89='112'!$I$6))),"x",""))</f>
        <v/>
      </c>
      <c r="U89" s="84" t="str">
        <f>IF(ISERROR(FIND('112'!$M$9,G89,1)),"",IF((AND(LEFT(G89,2)=LEFT('112'!$M$9,2),B89&lt;'112'!$K$9,$N89='112'!$I$6)),"x",""))</f>
        <v/>
      </c>
      <c r="V89" s="84" t="str">
        <f>IF(ISERROR(FIND('112'!$M$9,G89,1)),"",IF((AND(RIGHT(G89,2)=RIGHT('112'!$M$9,2),B89&lt;'112'!$K$9,$O89='112'!$I$6)),"x",""))</f>
        <v/>
      </c>
      <c r="W89" s="84" t="str">
        <f>IF(AND('341-CT'!$H$9=H89,OR(LEFT(N89,3)=$W$7,LEFT(O89,3)=$W$7)),"x","")</f>
        <v/>
      </c>
      <c r="X89" s="84" t="str">
        <f>IF(OR(TH!N89=TH!$X$7,O89=TH!$X$7),"x","")</f>
        <v/>
      </c>
      <c r="Y89" s="84" t="str">
        <f>IF(AND(OR(N89="131",O89="131"),H89='131-CT'!$H$9),"x","")</f>
        <v/>
      </c>
      <c r="Z89" s="84"/>
      <c r="AA89" s="84" t="str">
        <f>IF(AND(MONTH(E89)='IN-NX'!$J$5,'IN-NX'!$D$7=D89),"x","")</f>
        <v/>
      </c>
      <c r="AB89" s="84" t="str">
        <f>IF(AND(OR(LEFT(TH!N89,2)="15",LEFT(TH!O89,2)="15"),LEFT(TH!O89,3)&lt;&gt;"111",'152-CT'!$J$8=TH!F89),"x","")</f>
        <v/>
      </c>
      <c r="AC89" s="84" t="str">
        <f>IF(AND(OR(LEFT(TH!N89,2)="15",LEFT(TH!O89,2)="15"),TK!$E$7=TH!F89),"x","")</f>
        <v/>
      </c>
      <c r="AD89" s="84" t="str">
        <f>IF(AND(N89="1521",MONTH(C89)='BK-NL'!$M$11),"x","")</f>
        <v/>
      </c>
    </row>
    <row r="90" spans="1:30" s="341" customFormat="1" ht="15.75" hidden="1" customHeight="1">
      <c r="A90" s="336" t="str">
        <f>IF(B90&lt;&gt;"",IF(AND(B90='IN-TC'!$S$4,OR(TH!N90="1111",TH!O90="1111")),TH!D90,""),"")</f>
        <v/>
      </c>
      <c r="B90" s="63">
        <f t="shared" si="8"/>
        <v>3</v>
      </c>
      <c r="C90" s="871">
        <v>42460</v>
      </c>
      <c r="D90" s="871" t="s">
        <v>582</v>
      </c>
      <c r="E90" s="871">
        <f t="shared" si="11"/>
        <v>42460</v>
      </c>
      <c r="F90" s="872" t="s">
        <v>1341</v>
      </c>
      <c r="G90" s="276"/>
      <c r="H90" s="320"/>
      <c r="I90" s="439"/>
      <c r="J90" s="439"/>
      <c r="K90" s="430"/>
      <c r="L90" s="439"/>
      <c r="M90" s="877">
        <f>M88</f>
        <v>1083660</v>
      </c>
      <c r="N90" s="878" t="s">
        <v>282</v>
      </c>
      <c r="O90" s="878" t="s">
        <v>595</v>
      </c>
      <c r="P90" s="84" t="str">
        <f>IF(AND('331-CT'!$E$7=TH!H90,OR(N90="331",O90="331")),"x","")</f>
        <v/>
      </c>
      <c r="Q90" s="84" t="str">
        <f>IF(AND(B90='111'!$L$11,OR($N90=$Q$7,$O90=$Q$7)),"x","")</f>
        <v/>
      </c>
      <c r="R90" s="84" t="str">
        <f>IF(AND($N90=$Q$7,$B90&lt;'111'!$L$11),"x","")</f>
        <v/>
      </c>
      <c r="S90" s="84" t="str">
        <f>IF(AND($O90=$Q$7,$B90&lt;'111'!$L$11),"x","")</f>
        <v/>
      </c>
      <c r="T90" s="84" t="str">
        <f>IF(ISERROR(FIND('112'!$M$9,G90,1)),"",IF((AND(FIND('112'!$M$9,G90,1)&gt;=1,B90='112'!$K$9,OR($N90='112'!$I$6,$O90='112'!$I$6))),"x",""))</f>
        <v/>
      </c>
      <c r="U90" s="84" t="str">
        <f>IF(ISERROR(FIND('112'!$M$9,G90,1)),"",IF((AND(LEFT(G90,2)=LEFT('112'!$M$9,2),B90&lt;'112'!$K$9,$N90='112'!$I$6)),"x",""))</f>
        <v/>
      </c>
      <c r="V90" s="84" t="str">
        <f>IF(ISERROR(FIND('112'!$M$9,G90,1)),"",IF((AND(RIGHT(G90,2)=RIGHT('112'!$M$9,2),B90&lt;'112'!$K$9,$O90='112'!$I$6)),"x",""))</f>
        <v/>
      </c>
      <c r="W90" s="84" t="str">
        <f>IF(AND('341-CT'!$H$9=H90,OR(LEFT(N90,3)=$W$7,LEFT(O90,3)=$W$7)),"x","")</f>
        <v/>
      </c>
      <c r="X90" s="84" t="str">
        <f>IF(OR(TH!N90=TH!$X$7,O90=TH!$X$7),"x","")</f>
        <v/>
      </c>
      <c r="Y90" s="84" t="str">
        <f>IF(AND(OR(N90="131",O90="131"),H90='131-CT'!$H$9),"x","")</f>
        <v/>
      </c>
      <c r="Z90" s="84"/>
      <c r="AA90" s="84" t="str">
        <f>IF(AND(MONTH(E90)='IN-NX'!$J$5,'IN-NX'!$D$7=D90),"x","")</f>
        <v/>
      </c>
      <c r="AB90" s="84" t="str">
        <f>IF(AND(OR(LEFT(TH!N90,2)="15",LEFT(TH!O90,2)="15"),LEFT(TH!O90,3)&lt;&gt;"111",'152-CT'!$J$8=TH!F90),"x","")</f>
        <v/>
      </c>
      <c r="AC90" s="84" t="str">
        <f>IF(AND(OR(LEFT(TH!N90,2)="15",LEFT(TH!O90,2)="15"),TK!$E$7=TH!F90),"x","")</f>
        <v/>
      </c>
      <c r="AD90" s="84" t="str">
        <f>IF(AND(N90="1521",MONTH(C90)='BK-NL'!$M$11),"x","")</f>
        <v/>
      </c>
    </row>
    <row r="91" spans="1:30" s="341" customFormat="1" ht="15.75" hidden="1" customHeight="1">
      <c r="A91" s="336" t="str">
        <f>IF(B91&lt;&gt;"",IF(AND(B91='IN-TC'!$S$4,OR(TH!N91="1111",TH!O91="1111")),TH!D91,""),"")</f>
        <v/>
      </c>
      <c r="B91" s="63">
        <f t="shared" ref="B91:B122" si="12">IF(C91&lt;&gt;"",MONTH(C91),"")</f>
        <v>4</v>
      </c>
      <c r="C91" s="871">
        <v>42489</v>
      </c>
      <c r="D91" s="871" t="s">
        <v>582</v>
      </c>
      <c r="E91" s="871">
        <f>C91</f>
        <v>42489</v>
      </c>
      <c r="F91" s="73" t="s">
        <v>1328</v>
      </c>
      <c r="G91" s="276">
        <v>37369000</v>
      </c>
      <c r="H91" s="320"/>
      <c r="I91" s="439"/>
      <c r="J91" s="439"/>
      <c r="K91" s="430"/>
      <c r="L91" s="439"/>
      <c r="M91" s="877">
        <v>37292708</v>
      </c>
      <c r="N91" s="878" t="s">
        <v>591</v>
      </c>
      <c r="O91" s="878" t="s">
        <v>592</v>
      </c>
      <c r="P91" s="84" t="str">
        <f>IF(AND('331-CT'!$E$7=TH!H91,OR(N91="331",O91="331")),"x","")</f>
        <v/>
      </c>
      <c r="Q91" s="84" t="str">
        <f>IF(AND(B91='111'!$L$11,OR($N91=$Q$7,$O91=$Q$7)),"x","")</f>
        <v/>
      </c>
      <c r="R91" s="84" t="str">
        <f>IF(AND($N91=$Q$7,$B91&lt;'111'!$L$11),"x","")</f>
        <v/>
      </c>
      <c r="S91" s="84" t="str">
        <f>IF(AND($O91=$Q$7,$B91&lt;'111'!$L$11),"x","")</f>
        <v/>
      </c>
      <c r="T91" s="84" t="str">
        <f>IF(ISERROR(FIND('112'!$M$9,G91,1)),"",IF((AND(FIND('112'!$M$9,G91,1)&gt;=1,B91='112'!$K$9,OR($N91='112'!$I$6,$O91='112'!$I$6))),"x",""))</f>
        <v/>
      </c>
      <c r="U91" s="84" t="str">
        <f>IF(ISERROR(FIND('112'!$M$9,G91,1)),"",IF((AND(LEFT(G91,2)=LEFT('112'!$M$9,2),B91&lt;'112'!$K$9,$N91='112'!$I$6)),"x",""))</f>
        <v/>
      </c>
      <c r="V91" s="84" t="str">
        <f>IF(ISERROR(FIND('112'!$M$9,G91,1)),"",IF((AND(RIGHT(G91,2)=RIGHT('112'!$M$9,2),B91&lt;'112'!$K$9,$O91='112'!$I$6)),"x",""))</f>
        <v/>
      </c>
      <c r="W91" s="84" t="str">
        <f>IF(AND('341-CT'!$H$9=H91,OR(LEFT(N91,3)=$W$7,LEFT(O91,3)=$W$7)),"x","")</f>
        <v/>
      </c>
      <c r="X91" s="84" t="str">
        <f>IF(OR(TH!N91=TH!$X$7,O91=TH!$X$7),"x","")</f>
        <v/>
      </c>
      <c r="Y91" s="84" t="str">
        <f>IF(AND(OR(N91="131",O91="131"),H91='131-CT'!$H$9),"x","")</f>
        <v/>
      </c>
      <c r="Z91" s="84"/>
      <c r="AA91" s="84" t="str">
        <f>IF(AND(MONTH(E91)='IN-NX'!$J$5,'IN-NX'!$D$7=D91),"x","")</f>
        <v/>
      </c>
      <c r="AB91" s="84" t="str">
        <f>IF(AND(OR(LEFT(TH!N91,2)="15",LEFT(TH!O91,2)="15"),LEFT(TH!O91,3)&lt;&gt;"111",'152-CT'!$J$8=TH!F91),"x","")</f>
        <v/>
      </c>
      <c r="AC91" s="84" t="str">
        <f>IF(AND(OR(LEFT(TH!N91,2)="15",LEFT(TH!O91,2)="15"),TK!$E$7=TH!F91),"x","")</f>
        <v/>
      </c>
      <c r="AD91" s="84" t="str">
        <f>IF(AND(N91="1521",MONTH(C91)='BK-NL'!$M$11),"x","")</f>
        <v/>
      </c>
    </row>
    <row r="92" spans="1:30" s="341" customFormat="1" ht="15.75" hidden="1" customHeight="1">
      <c r="A92" s="336" t="str">
        <f>IF(B92&lt;&gt;"",IF(AND(B92='IN-TC'!$S$4,OR(TH!N92="1111",TH!O92="1111")),TH!D92,""),"")</f>
        <v/>
      </c>
      <c r="B92" s="63">
        <f t="shared" si="12"/>
        <v>4</v>
      </c>
      <c r="C92" s="871">
        <v>42489</v>
      </c>
      <c r="D92" s="871" t="s">
        <v>582</v>
      </c>
      <c r="E92" s="871">
        <f t="shared" ref="E92:E104" si="13">C92</f>
        <v>42489</v>
      </c>
      <c r="F92" s="73" t="s">
        <v>1329</v>
      </c>
      <c r="G92" s="276">
        <v>105049000</v>
      </c>
      <c r="H92" s="320"/>
      <c r="I92" s="439"/>
      <c r="J92" s="439"/>
      <c r="K92" s="430"/>
      <c r="L92" s="439"/>
      <c r="M92" s="877">
        <v>111366967</v>
      </c>
      <c r="N92" s="878" t="s">
        <v>282</v>
      </c>
      <c r="O92" s="878" t="s">
        <v>592</v>
      </c>
      <c r="P92" s="84" t="str">
        <f>IF(AND('331-CT'!$E$7=TH!H92,OR(N92="331",O92="331")),"x","")</f>
        <v/>
      </c>
      <c r="Q92" s="84" t="str">
        <f>IF(AND(B92='111'!$L$11,OR($N92=$Q$7,$O92=$Q$7)),"x","")</f>
        <v/>
      </c>
      <c r="R92" s="84" t="str">
        <f>IF(AND($N92=$Q$7,$B92&lt;'111'!$L$11),"x","")</f>
        <v/>
      </c>
      <c r="S92" s="84" t="str">
        <f>IF(AND($O92=$Q$7,$B92&lt;'111'!$L$11),"x","")</f>
        <v/>
      </c>
      <c r="T92" s="84" t="str">
        <f>IF(ISERROR(FIND('112'!$M$9,G92,1)),"",IF((AND(FIND('112'!$M$9,G92,1)&gt;=1,B92='112'!$K$9,OR($N92='112'!$I$6,$O92='112'!$I$6))),"x",""))</f>
        <v/>
      </c>
      <c r="U92" s="84" t="str">
        <f>IF(ISERROR(FIND('112'!$M$9,G92,1)),"",IF((AND(LEFT(G92,2)=LEFT('112'!$M$9,2),B92&lt;'112'!$K$9,$N92='112'!$I$6)),"x",""))</f>
        <v/>
      </c>
      <c r="V92" s="84" t="str">
        <f>IF(ISERROR(FIND('112'!$M$9,G92,1)),"",IF((AND(RIGHT(G92,2)=RIGHT('112'!$M$9,2),B92&lt;'112'!$K$9,$O92='112'!$I$6)),"x",""))</f>
        <v/>
      </c>
      <c r="W92" s="84" t="str">
        <f>IF(AND('341-CT'!$H$9=H92,OR(LEFT(N92,3)=$W$7,LEFT(O92,3)=$W$7)),"x","")</f>
        <v/>
      </c>
      <c r="X92" s="84" t="str">
        <f>IF(OR(TH!N92=TH!$X$7,O92=TH!$X$7),"x","")</f>
        <v/>
      </c>
      <c r="Y92" s="84" t="str">
        <f>IF(AND(OR(N92="131",O92="131"),H92='131-CT'!$H$9),"x","")</f>
        <v/>
      </c>
      <c r="Z92" s="84"/>
      <c r="AA92" s="84" t="str">
        <f>IF(AND(MONTH(E92)='IN-NX'!$J$5,'IN-NX'!$D$7=D92),"x","")</f>
        <v/>
      </c>
      <c r="AB92" s="84" t="str">
        <f>IF(AND(OR(LEFT(TH!N92,2)="15",LEFT(TH!O92,2)="15"),LEFT(TH!O92,3)&lt;&gt;"111",'152-CT'!$J$8=TH!F92),"x","")</f>
        <v/>
      </c>
      <c r="AC92" s="84" t="str">
        <f>IF(AND(OR(LEFT(TH!N92,2)="15",LEFT(TH!O92,2)="15"),TK!$E$7=TH!F92),"x","")</f>
        <v/>
      </c>
      <c r="AD92" s="84" t="str">
        <f>IF(AND(N92="1521",MONTH(C92)='BK-NL'!$M$11),"x","")</f>
        <v/>
      </c>
    </row>
    <row r="93" spans="1:30" s="341" customFormat="1" ht="15.75" hidden="1" customHeight="1">
      <c r="A93" s="336" t="str">
        <f>IF(B93&lt;&gt;"",IF(AND(B93='IN-TC'!$S$4,OR(TH!N93="1111",TH!O93="1111")),TH!D93,""),"")</f>
        <v/>
      </c>
      <c r="B93" s="63">
        <f t="shared" si="12"/>
        <v>4</v>
      </c>
      <c r="C93" s="871">
        <v>42489</v>
      </c>
      <c r="D93" s="871" t="s">
        <v>582</v>
      </c>
      <c r="E93" s="871">
        <f t="shared" si="13"/>
        <v>42489</v>
      </c>
      <c r="F93" s="73" t="s">
        <v>1330</v>
      </c>
      <c r="G93" s="976" t="s">
        <v>583</v>
      </c>
      <c r="H93" s="320"/>
      <c r="I93" s="439"/>
      <c r="J93" s="439"/>
      <c r="K93" s="430"/>
      <c r="L93" s="439"/>
      <c r="M93" s="877">
        <f>G91*$G93</f>
        <v>2989520</v>
      </c>
      <c r="N93" s="878" t="s">
        <v>592</v>
      </c>
      <c r="O93" s="878" t="s">
        <v>593</v>
      </c>
      <c r="P93" s="84" t="str">
        <f>IF(AND('331-CT'!$E$7=TH!H93,OR(N93="331",O93="331")),"x","")</f>
        <v/>
      </c>
      <c r="Q93" s="84" t="str">
        <f>IF(AND(B93='111'!$L$11,OR($N93=$Q$7,$O93=$Q$7)),"x","")</f>
        <v/>
      </c>
      <c r="R93" s="84" t="str">
        <f>IF(AND($N93=$Q$7,$B93&lt;'111'!$L$11),"x","")</f>
        <v/>
      </c>
      <c r="S93" s="84" t="str">
        <f>IF(AND($O93=$Q$7,$B93&lt;'111'!$L$11),"x","")</f>
        <v/>
      </c>
      <c r="T93" s="84" t="str">
        <f>IF(ISERROR(FIND('112'!$M$9,G93,1)),"",IF((AND(FIND('112'!$M$9,G93,1)&gt;=1,B93='112'!$K$9,OR($N93='112'!$I$6,$O93='112'!$I$6))),"x",""))</f>
        <v/>
      </c>
      <c r="U93" s="84" t="str">
        <f>IF(ISERROR(FIND('112'!$M$9,G93,1)),"",IF((AND(LEFT(G93,2)=LEFT('112'!$M$9,2),B93&lt;'112'!$K$9,$N93='112'!$I$6)),"x",""))</f>
        <v/>
      </c>
      <c r="V93" s="84" t="str">
        <f>IF(ISERROR(FIND('112'!$M$9,G93,1)),"",IF((AND(RIGHT(G93,2)=RIGHT('112'!$M$9,2),B93&lt;'112'!$K$9,$O93='112'!$I$6)),"x",""))</f>
        <v/>
      </c>
      <c r="W93" s="84" t="str">
        <f>IF(AND('341-CT'!$H$9=H93,OR(LEFT(N93,3)=$W$7,LEFT(O93,3)=$W$7)),"x","")</f>
        <v/>
      </c>
      <c r="X93" s="84" t="str">
        <f>IF(OR(TH!N93=TH!$X$7,O93=TH!$X$7),"x","")</f>
        <v/>
      </c>
      <c r="Y93" s="84" t="str">
        <f>IF(AND(OR(N93="131",O93="131"),H93='131-CT'!$H$9),"x","")</f>
        <v/>
      </c>
      <c r="Z93" s="84"/>
      <c r="AA93" s="84" t="str">
        <f>IF(AND(MONTH(E93)='IN-NX'!$J$5,'IN-NX'!$D$7=D93),"x","")</f>
        <v/>
      </c>
      <c r="AB93" s="84" t="str">
        <f>IF(AND(OR(LEFT(TH!N93,2)="15",LEFT(TH!O93,2)="15"),LEFT(TH!O93,3)&lt;&gt;"111",'152-CT'!$J$8=TH!F93),"x","")</f>
        <v/>
      </c>
      <c r="AC93" s="84" t="str">
        <f>IF(AND(OR(LEFT(TH!N93,2)="15",LEFT(TH!O93,2)="15"),TK!$E$7=TH!F93),"x","")</f>
        <v/>
      </c>
      <c r="AD93" s="84" t="str">
        <f>IF(AND(N93="1521",MONTH(C93)='BK-NL'!$M$11),"x","")</f>
        <v/>
      </c>
    </row>
    <row r="94" spans="1:30" s="341" customFormat="1" ht="15.75" hidden="1" customHeight="1">
      <c r="A94" s="336" t="str">
        <f>IF(B94&lt;&gt;"",IF(AND(B94='IN-TC'!$S$4,OR(TH!N94="1111",TH!O94="1111")),TH!D94,""),"")</f>
        <v/>
      </c>
      <c r="B94" s="63">
        <f t="shared" si="12"/>
        <v>4</v>
      </c>
      <c r="C94" s="871">
        <v>42489</v>
      </c>
      <c r="D94" s="871" t="s">
        <v>582</v>
      </c>
      <c r="E94" s="871">
        <f t="shared" si="13"/>
        <v>42489</v>
      </c>
      <c r="F94" s="73" t="s">
        <v>1331</v>
      </c>
      <c r="G94" s="276"/>
      <c r="H94" s="320"/>
      <c r="I94" s="439"/>
      <c r="J94" s="439"/>
      <c r="K94" s="430"/>
      <c r="L94" s="439"/>
      <c r="M94" s="877">
        <f>G92*$G93</f>
        <v>8403920</v>
      </c>
      <c r="N94" s="879" t="s">
        <v>592</v>
      </c>
      <c r="O94" s="880" t="s">
        <v>593</v>
      </c>
      <c r="P94" s="84" t="str">
        <f>IF(AND('331-CT'!$E$7=TH!H94,OR(N94="331",O94="331")),"x","")</f>
        <v/>
      </c>
      <c r="Q94" s="84" t="str">
        <f>IF(AND(B94='111'!$L$11,OR($N94=$Q$7,$O94=$Q$7)),"x","")</f>
        <v/>
      </c>
      <c r="R94" s="84" t="str">
        <f>IF(AND($N94=$Q$7,$B94&lt;'111'!$L$11),"x","")</f>
        <v/>
      </c>
      <c r="S94" s="84" t="str">
        <f>IF(AND($O94=$Q$7,$B94&lt;'111'!$L$11),"x","")</f>
        <v/>
      </c>
      <c r="T94" s="84" t="str">
        <f>IF(ISERROR(FIND('112'!$M$9,G94,1)),"",IF((AND(FIND('112'!$M$9,G94,1)&gt;=1,B94='112'!$K$9,OR($N94='112'!$I$6,$O94='112'!$I$6))),"x",""))</f>
        <v/>
      </c>
      <c r="U94" s="84" t="str">
        <f>IF(ISERROR(FIND('112'!$M$9,G94,1)),"",IF((AND(LEFT(G94,2)=LEFT('112'!$M$9,2),B94&lt;'112'!$K$9,$N94='112'!$I$6)),"x",""))</f>
        <v/>
      </c>
      <c r="V94" s="84" t="str">
        <f>IF(ISERROR(FIND('112'!$M$9,G94,1)),"",IF((AND(RIGHT(G94,2)=RIGHT('112'!$M$9,2),B94&lt;'112'!$K$9,$O94='112'!$I$6)),"x",""))</f>
        <v/>
      </c>
      <c r="W94" s="84" t="str">
        <f>IF(AND('341-CT'!$H$9=H94,OR(LEFT(N94,3)=$W$7,LEFT(O94,3)=$W$7)),"x","")</f>
        <v/>
      </c>
      <c r="X94" s="84" t="str">
        <f>IF(OR(TH!N94=TH!$X$7,O94=TH!$X$7),"x","")</f>
        <v/>
      </c>
      <c r="Y94" s="84" t="str">
        <f>IF(AND(OR(N94="131",O94="131"),H94='131-CT'!$H$9),"x","")</f>
        <v/>
      </c>
      <c r="Z94" s="84"/>
      <c r="AA94" s="84" t="str">
        <f>IF(AND(MONTH(E94)='IN-NX'!$J$5,'IN-NX'!$D$7=D94),"x","")</f>
        <v/>
      </c>
      <c r="AB94" s="84" t="str">
        <f>IF(AND(OR(LEFT(TH!N94,2)="15",LEFT(TH!O94,2)="15"),LEFT(TH!O94,3)&lt;&gt;"111",'152-CT'!$J$8=TH!F94),"x","")</f>
        <v/>
      </c>
      <c r="AC94" s="84" t="str">
        <f>IF(AND(OR(LEFT(TH!N94,2)="15",LEFT(TH!O94,2)="15"),TK!$E$7=TH!F94),"x","")</f>
        <v/>
      </c>
      <c r="AD94" s="84" t="str">
        <f>IF(AND(N94="1521",MONTH(C94)='BK-NL'!$M$11),"x","")</f>
        <v/>
      </c>
    </row>
    <row r="95" spans="1:30" s="341" customFormat="1" ht="15.75" hidden="1" customHeight="1">
      <c r="A95" s="336" t="str">
        <f>IF(B95&lt;&gt;"",IF(AND(B95='IN-TC'!$S$4,OR(TH!N95="1111",TH!O95="1111")),TH!D95,""),"")</f>
        <v/>
      </c>
      <c r="B95" s="63">
        <f t="shared" si="12"/>
        <v>4</v>
      </c>
      <c r="C95" s="871">
        <v>42489</v>
      </c>
      <c r="D95" s="871" t="s">
        <v>582</v>
      </c>
      <c r="E95" s="871">
        <f t="shared" si="13"/>
        <v>42489</v>
      </c>
      <c r="F95" s="73" t="s">
        <v>1332</v>
      </c>
      <c r="G95" s="976" t="s">
        <v>584</v>
      </c>
      <c r="H95" s="320"/>
      <c r="I95" s="439"/>
      <c r="J95" s="439"/>
      <c r="K95" s="430"/>
      <c r="L95" s="439"/>
      <c r="M95" s="877">
        <f>G91*$G95</f>
        <v>6726420</v>
      </c>
      <c r="N95" s="878" t="s">
        <v>591</v>
      </c>
      <c r="O95" s="878" t="s">
        <v>593</v>
      </c>
      <c r="P95" s="84" t="str">
        <f>IF(AND('331-CT'!$E$7=TH!H95,OR(N95="331",O95="331")),"x","")</f>
        <v/>
      </c>
      <c r="Q95" s="84" t="str">
        <f>IF(AND(B95='111'!$L$11,OR($N95=$Q$7,$O95=$Q$7)),"x","")</f>
        <v/>
      </c>
      <c r="R95" s="84" t="str">
        <f>IF(AND($N95=$Q$7,$B95&lt;'111'!$L$11),"x","")</f>
        <v/>
      </c>
      <c r="S95" s="84" t="str">
        <f>IF(AND($O95=$Q$7,$B95&lt;'111'!$L$11),"x","")</f>
        <v/>
      </c>
      <c r="T95" s="84" t="str">
        <f>IF(ISERROR(FIND('112'!$M$9,G95,1)),"",IF((AND(FIND('112'!$M$9,G95,1)&gt;=1,B95='112'!$K$9,OR($N95='112'!$I$6,$O95='112'!$I$6))),"x",""))</f>
        <v/>
      </c>
      <c r="U95" s="84" t="str">
        <f>IF(ISERROR(FIND('112'!$M$9,G95,1)),"",IF((AND(LEFT(G95,2)=LEFT('112'!$M$9,2),B95&lt;'112'!$K$9,$N95='112'!$I$6)),"x",""))</f>
        <v/>
      </c>
      <c r="V95" s="84" t="str">
        <f>IF(ISERROR(FIND('112'!$M$9,G95,1)),"",IF((AND(RIGHT(G95,2)=RIGHT('112'!$M$9,2),B95&lt;'112'!$K$9,$O95='112'!$I$6)),"x",""))</f>
        <v/>
      </c>
      <c r="W95" s="84" t="str">
        <f>IF(AND('341-CT'!$H$9=H95,OR(LEFT(N95,3)=$W$7,LEFT(O95,3)=$W$7)),"x","")</f>
        <v/>
      </c>
      <c r="X95" s="84" t="str">
        <f>IF(OR(TH!N95=TH!$X$7,O95=TH!$X$7),"x","")</f>
        <v/>
      </c>
      <c r="Y95" s="84" t="str">
        <f>IF(AND(OR(N95="131",O95="131"),H95='131-CT'!$H$9),"x","")</f>
        <v/>
      </c>
      <c r="Z95" s="84"/>
      <c r="AA95" s="84" t="str">
        <f>IF(AND(MONTH(E95)='IN-NX'!$J$5,'IN-NX'!$D$7=D95),"x","")</f>
        <v/>
      </c>
      <c r="AB95" s="84" t="str">
        <f>IF(AND(OR(LEFT(TH!N95,2)="15",LEFT(TH!O95,2)="15"),LEFT(TH!O95,3)&lt;&gt;"111",'152-CT'!$J$8=TH!F95),"x","")</f>
        <v/>
      </c>
      <c r="AC95" s="84" t="str">
        <f>IF(AND(OR(LEFT(TH!N95,2)="15",LEFT(TH!O95,2)="15"),TK!$E$7=TH!F95),"x","")</f>
        <v/>
      </c>
      <c r="AD95" s="84" t="str">
        <f>IF(AND(N95="1521",MONTH(C95)='BK-NL'!$M$11),"x","")</f>
        <v/>
      </c>
    </row>
    <row r="96" spans="1:30" s="341" customFormat="1" ht="15.75" hidden="1" customHeight="1">
      <c r="A96" s="336" t="str">
        <f>IF(B96&lt;&gt;"",IF(AND(B96='IN-TC'!$S$4,OR(TH!N96="1111",TH!O96="1111")),TH!D96,""),"")</f>
        <v/>
      </c>
      <c r="B96" s="63">
        <f t="shared" si="12"/>
        <v>4</v>
      </c>
      <c r="C96" s="871">
        <v>42489</v>
      </c>
      <c r="D96" s="871" t="s">
        <v>582</v>
      </c>
      <c r="E96" s="871">
        <f t="shared" si="13"/>
        <v>42489</v>
      </c>
      <c r="F96" s="73" t="s">
        <v>1333</v>
      </c>
      <c r="G96" s="276"/>
      <c r="H96" s="320"/>
      <c r="I96" s="439"/>
      <c r="J96" s="439"/>
      <c r="K96" s="430"/>
      <c r="L96" s="439"/>
      <c r="M96" s="877">
        <f>G92*$G95</f>
        <v>18908820</v>
      </c>
      <c r="N96" s="878" t="s">
        <v>282</v>
      </c>
      <c r="O96" s="878" t="s">
        <v>593</v>
      </c>
      <c r="P96" s="84" t="str">
        <f>IF(AND('331-CT'!$E$7=TH!H96,OR(N96="331",O96="331")),"x","")</f>
        <v/>
      </c>
      <c r="Q96" s="84" t="str">
        <f>IF(AND(B96='111'!$L$11,OR($N96=$Q$7,$O96=$Q$7)),"x","")</f>
        <v/>
      </c>
      <c r="R96" s="84" t="str">
        <f>IF(AND($N96=$Q$7,$B96&lt;'111'!$L$11),"x","")</f>
        <v/>
      </c>
      <c r="S96" s="84" t="str">
        <f>IF(AND($O96=$Q$7,$B96&lt;'111'!$L$11),"x","")</f>
        <v/>
      </c>
      <c r="T96" s="84" t="str">
        <f>IF(ISERROR(FIND('112'!$M$9,G96,1)),"",IF((AND(FIND('112'!$M$9,G96,1)&gt;=1,B96='112'!$K$9,OR($N96='112'!$I$6,$O96='112'!$I$6))),"x",""))</f>
        <v/>
      </c>
      <c r="U96" s="84" t="str">
        <f>IF(ISERROR(FIND('112'!$M$9,G96,1)),"",IF((AND(LEFT(G96,2)=LEFT('112'!$M$9,2),B96&lt;'112'!$K$9,$N96='112'!$I$6)),"x",""))</f>
        <v/>
      </c>
      <c r="V96" s="84" t="str">
        <f>IF(ISERROR(FIND('112'!$M$9,G96,1)),"",IF((AND(RIGHT(G96,2)=RIGHT('112'!$M$9,2),B96&lt;'112'!$K$9,$O96='112'!$I$6)),"x",""))</f>
        <v/>
      </c>
      <c r="W96" s="84" t="str">
        <f>IF(AND('341-CT'!$H$9=H96,OR(LEFT(N96,3)=$W$7,LEFT(O96,3)=$W$7)),"x","")</f>
        <v/>
      </c>
      <c r="X96" s="84" t="str">
        <f>IF(OR(TH!N96=TH!$X$7,O96=TH!$X$7),"x","")</f>
        <v/>
      </c>
      <c r="Y96" s="84" t="str">
        <f>IF(AND(OR(N96="131",O96="131"),H96='131-CT'!$H$9),"x","")</f>
        <v/>
      </c>
      <c r="Z96" s="84"/>
      <c r="AA96" s="84" t="str">
        <f>IF(AND(MONTH(E96)='IN-NX'!$J$5,'IN-NX'!$D$7=D96),"x","")</f>
        <v/>
      </c>
      <c r="AB96" s="84" t="str">
        <f>IF(AND(OR(LEFT(TH!N96,2)="15",LEFT(TH!O96,2)="15"),LEFT(TH!O96,3)&lt;&gt;"111",'152-CT'!$J$8=TH!F96),"x","")</f>
        <v/>
      </c>
      <c r="AC96" s="84" t="str">
        <f>IF(AND(OR(LEFT(TH!N96,2)="15",LEFT(TH!O96,2)="15"),TK!$E$7=TH!F96),"x","")</f>
        <v/>
      </c>
      <c r="AD96" s="84" t="str">
        <f>IF(AND(N96="1521",MONTH(C96)='BK-NL'!$M$11),"x","")</f>
        <v/>
      </c>
    </row>
    <row r="97" spans="1:30" s="341" customFormat="1" ht="15.75" hidden="1" customHeight="1">
      <c r="A97" s="336" t="str">
        <f>IF(B97&lt;&gt;"",IF(AND(B97='IN-TC'!$S$4,OR(TH!N97="1111",TH!O97="1111")),TH!D97,""),"")</f>
        <v/>
      </c>
      <c r="B97" s="63">
        <f t="shared" si="12"/>
        <v>4</v>
      </c>
      <c r="C97" s="871">
        <v>42489</v>
      </c>
      <c r="D97" s="871" t="s">
        <v>582</v>
      </c>
      <c r="E97" s="871">
        <f t="shared" si="13"/>
        <v>42489</v>
      </c>
      <c r="F97" s="73" t="s">
        <v>1334</v>
      </c>
      <c r="G97" s="976" t="s">
        <v>585</v>
      </c>
      <c r="H97" s="322"/>
      <c r="I97" s="437"/>
      <c r="J97" s="437"/>
      <c r="K97" s="428"/>
      <c r="L97" s="437"/>
      <c r="M97" s="877">
        <f>G91*$G97</f>
        <v>560535</v>
      </c>
      <c r="N97" s="878" t="s">
        <v>592</v>
      </c>
      <c r="O97" s="878" t="s">
        <v>594</v>
      </c>
      <c r="P97" s="84" t="str">
        <f>IF(AND('331-CT'!$E$7=TH!H97,OR(N97="331",O97="331")),"x","")</f>
        <v/>
      </c>
      <c r="Q97" s="84" t="str">
        <f>IF(AND(B97='111'!$L$11,OR($N97=$Q$7,$O97=$Q$7)),"x","")</f>
        <v/>
      </c>
      <c r="R97" s="84" t="str">
        <f>IF(AND($N97=$Q$7,$B97&lt;'111'!$L$11),"x","")</f>
        <v/>
      </c>
      <c r="S97" s="84" t="str">
        <f>IF(AND($O97=$Q$7,$B97&lt;'111'!$L$11),"x","")</f>
        <v/>
      </c>
      <c r="T97" s="84" t="str">
        <f>IF(ISERROR(FIND('112'!$M$9,G97,1)),"",IF((AND(FIND('112'!$M$9,G97,1)&gt;=1,B97='112'!$K$9,OR($N97='112'!$I$6,$O97='112'!$I$6))),"x",""))</f>
        <v/>
      </c>
      <c r="U97" s="84" t="str">
        <f>IF(ISERROR(FIND('112'!$M$9,G97,1)),"",IF((AND(LEFT(G97,2)=LEFT('112'!$M$9,2),B97&lt;'112'!$K$9,$N97='112'!$I$6)),"x",""))</f>
        <v/>
      </c>
      <c r="V97" s="84" t="str">
        <f>IF(ISERROR(FIND('112'!$M$9,G97,1)),"",IF((AND(RIGHT(G97,2)=RIGHT('112'!$M$9,2),B97&lt;'112'!$K$9,$O97='112'!$I$6)),"x",""))</f>
        <v/>
      </c>
      <c r="W97" s="84" t="str">
        <f>IF(AND('341-CT'!$H$9=H97,OR(LEFT(N97,3)=$W$7,LEFT(O97,3)=$W$7)),"x","")</f>
        <v/>
      </c>
      <c r="X97" s="84" t="str">
        <f>IF(OR(TH!N97=TH!$X$7,O97=TH!$X$7),"x","")</f>
        <v/>
      </c>
      <c r="Y97" s="84" t="str">
        <f>IF(AND(OR(N97="131",O97="131"),H97='131-CT'!$H$9),"x","")</f>
        <v/>
      </c>
      <c r="Z97" s="84"/>
      <c r="AA97" s="84" t="str">
        <f>IF(AND(MONTH(E97)='IN-NX'!$J$5,'IN-NX'!$D$7=D97),"x","")</f>
        <v/>
      </c>
      <c r="AB97" s="84" t="str">
        <f>IF(AND(OR(LEFT(TH!N97,2)="15",LEFT(TH!O97,2)="15"),LEFT(TH!O97,3)&lt;&gt;"111",'152-CT'!$J$8=TH!F97),"x","")</f>
        <v/>
      </c>
      <c r="AC97" s="84" t="str">
        <f>IF(AND(OR(LEFT(TH!N97,2)="15",LEFT(TH!O97,2)="15"),TK!$E$7=TH!F97),"x","")</f>
        <v/>
      </c>
      <c r="AD97" s="84" t="str">
        <f>IF(AND(N97="1521",MONTH(C97)='BK-NL'!$M$11),"x","")</f>
        <v/>
      </c>
    </row>
    <row r="98" spans="1:30" s="341" customFormat="1" ht="15.75" hidden="1" customHeight="1">
      <c r="A98" s="336" t="str">
        <f>IF(B98&lt;&gt;"",IF(AND(B98='IN-TC'!$S$4,OR(TH!N98="1111",TH!O98="1111")),TH!D98,""),"")</f>
        <v/>
      </c>
      <c r="B98" s="63">
        <f t="shared" si="12"/>
        <v>4</v>
      </c>
      <c r="C98" s="871">
        <v>42489</v>
      </c>
      <c r="D98" s="871" t="s">
        <v>582</v>
      </c>
      <c r="E98" s="871">
        <f t="shared" si="13"/>
        <v>42489</v>
      </c>
      <c r="F98" s="73" t="s">
        <v>1335</v>
      </c>
      <c r="G98" s="276"/>
      <c r="H98" s="322"/>
      <c r="I98" s="437"/>
      <c r="J98" s="437"/>
      <c r="K98" s="428"/>
      <c r="L98" s="437"/>
      <c r="M98" s="877">
        <f>G92*$G97</f>
        <v>1575735</v>
      </c>
      <c r="N98" s="878" t="s">
        <v>592</v>
      </c>
      <c r="O98" s="878" t="s">
        <v>594</v>
      </c>
      <c r="P98" s="84" t="str">
        <f>IF(AND('331-CT'!$E$7=TH!H98,OR(N98="331",O98="331")),"x","")</f>
        <v/>
      </c>
      <c r="Q98" s="84" t="str">
        <f>IF(AND(B98='111'!$L$11,OR($N98=$Q$7,$O98=$Q$7)),"x","")</f>
        <v/>
      </c>
      <c r="R98" s="84" t="str">
        <f>IF(AND($N98=$Q$7,$B98&lt;'111'!$L$11),"x","")</f>
        <v/>
      </c>
      <c r="S98" s="84" t="str">
        <f>IF(AND($O98=$Q$7,$B98&lt;'111'!$L$11),"x","")</f>
        <v/>
      </c>
      <c r="T98" s="84" t="str">
        <f>IF(ISERROR(FIND('112'!$M$9,G98,1)),"",IF((AND(FIND('112'!$M$9,G98,1)&gt;=1,B98='112'!$K$9,OR($N98='112'!$I$6,$O98='112'!$I$6))),"x",""))</f>
        <v/>
      </c>
      <c r="U98" s="84" t="str">
        <f>IF(ISERROR(FIND('112'!$M$9,G98,1)),"",IF((AND(LEFT(G98,2)=LEFT('112'!$M$9,2),B98&lt;'112'!$K$9,$N98='112'!$I$6)),"x",""))</f>
        <v/>
      </c>
      <c r="V98" s="84" t="str">
        <f>IF(ISERROR(FIND('112'!$M$9,G98,1)),"",IF((AND(RIGHT(G98,2)=RIGHT('112'!$M$9,2),B98&lt;'112'!$K$9,$O98='112'!$I$6)),"x",""))</f>
        <v/>
      </c>
      <c r="W98" s="84" t="str">
        <f>IF(AND('341-CT'!$H$9=H98,OR(LEFT(N98,3)=$W$7,LEFT(O98,3)=$W$7)),"x","")</f>
        <v/>
      </c>
      <c r="X98" s="84" t="str">
        <f>IF(OR(TH!N98=TH!$X$7,O98=TH!$X$7),"x","")</f>
        <v/>
      </c>
      <c r="Y98" s="84" t="str">
        <f>IF(AND(OR(N98="131",O98="131"),H98='131-CT'!$H$9),"x","")</f>
        <v/>
      </c>
      <c r="Z98" s="84"/>
      <c r="AA98" s="84" t="str">
        <f>IF(AND(MONTH(E98)='IN-NX'!$J$5,'IN-NX'!$D$7=D98),"x","")</f>
        <v/>
      </c>
      <c r="AB98" s="84" t="str">
        <f>IF(AND(OR(LEFT(TH!N98,2)="15",LEFT(TH!O98,2)="15"),LEFT(TH!O98,3)&lt;&gt;"111",'152-CT'!$J$8=TH!F98),"x","")</f>
        <v/>
      </c>
      <c r="AC98" s="84" t="str">
        <f>IF(AND(OR(LEFT(TH!N98,2)="15",LEFT(TH!O98,2)="15"),TK!$E$7=TH!F98),"x","")</f>
        <v/>
      </c>
      <c r="AD98" s="84" t="str">
        <f>IF(AND(N98="1521",MONTH(C98)='BK-NL'!$M$11),"x","")</f>
        <v/>
      </c>
    </row>
    <row r="99" spans="1:30" s="341" customFormat="1" ht="15.75" hidden="1" customHeight="1">
      <c r="A99" s="336" t="str">
        <f>IF(B99&lt;&gt;"",IF(AND(B99='IN-TC'!$S$4,OR(TH!N99="1111",TH!O99="1111")),TH!D99,""),"")</f>
        <v/>
      </c>
      <c r="B99" s="63">
        <f t="shared" si="12"/>
        <v>4</v>
      </c>
      <c r="C99" s="871">
        <v>42489</v>
      </c>
      <c r="D99" s="871" t="s">
        <v>582</v>
      </c>
      <c r="E99" s="871">
        <f t="shared" si="13"/>
        <v>42489</v>
      </c>
      <c r="F99" s="73" t="s">
        <v>1336</v>
      </c>
      <c r="G99" s="976" t="s">
        <v>586</v>
      </c>
      <c r="H99" s="320"/>
      <c r="I99" s="439"/>
      <c r="J99" s="439"/>
      <c r="K99" s="430"/>
      <c r="L99" s="439"/>
      <c r="M99" s="877">
        <f>G91*$G99</f>
        <v>1121070</v>
      </c>
      <c r="N99" s="878" t="s">
        <v>591</v>
      </c>
      <c r="O99" s="878" t="s">
        <v>594</v>
      </c>
      <c r="P99" s="84" t="str">
        <f>IF(AND('331-CT'!$E$7=TH!H99,OR(N99="331",O99="331")),"x","")</f>
        <v/>
      </c>
      <c r="Q99" s="84" t="str">
        <f>IF(AND(B99='111'!$L$11,OR($N99=$Q$7,$O99=$Q$7)),"x","")</f>
        <v/>
      </c>
      <c r="R99" s="84" t="str">
        <f>IF(AND($N99=$Q$7,$B99&lt;'111'!$L$11),"x","")</f>
        <v/>
      </c>
      <c r="S99" s="84" t="str">
        <f>IF(AND($O99=$Q$7,$B99&lt;'111'!$L$11),"x","")</f>
        <v/>
      </c>
      <c r="T99" s="84" t="str">
        <f>IF(ISERROR(FIND('112'!$M$9,G99,1)),"",IF((AND(FIND('112'!$M$9,G99,1)&gt;=1,B99='112'!$K$9,OR($N99='112'!$I$6,$O99='112'!$I$6))),"x",""))</f>
        <v/>
      </c>
      <c r="U99" s="84" t="str">
        <f>IF(ISERROR(FIND('112'!$M$9,G99,1)),"",IF((AND(LEFT(G99,2)=LEFT('112'!$M$9,2),B99&lt;'112'!$K$9,$N99='112'!$I$6)),"x",""))</f>
        <v/>
      </c>
      <c r="V99" s="84" t="str">
        <f>IF(ISERROR(FIND('112'!$M$9,G99,1)),"",IF((AND(RIGHT(G99,2)=RIGHT('112'!$M$9,2),B99&lt;'112'!$K$9,$O99='112'!$I$6)),"x",""))</f>
        <v/>
      </c>
      <c r="W99" s="84" t="str">
        <f>IF(AND('341-CT'!$H$9=H99,OR(LEFT(N99,3)=$W$7,LEFT(O99,3)=$W$7)),"x","")</f>
        <v/>
      </c>
      <c r="X99" s="84" t="str">
        <f>IF(OR(TH!N99=TH!$X$7,O99=TH!$X$7),"x","")</f>
        <v/>
      </c>
      <c r="Y99" s="84" t="str">
        <f>IF(AND(OR(N99="131",O99="131"),H99='131-CT'!$H$9),"x","")</f>
        <v/>
      </c>
      <c r="Z99" s="84"/>
      <c r="AA99" s="84" t="str">
        <f>IF(AND(MONTH(E99)='IN-NX'!$J$5,'IN-NX'!$D$7=D99),"x","")</f>
        <v/>
      </c>
      <c r="AB99" s="84" t="str">
        <f>IF(AND(OR(LEFT(TH!N99,2)="15",LEFT(TH!O99,2)="15"),LEFT(TH!O99,3)&lt;&gt;"111",'152-CT'!$J$8=TH!F99),"x","")</f>
        <v/>
      </c>
      <c r="AC99" s="84" t="str">
        <f>IF(AND(OR(LEFT(TH!N99,2)="15",LEFT(TH!O99,2)="15"),TK!$E$7=TH!F99),"x","")</f>
        <v/>
      </c>
      <c r="AD99" s="84" t="str">
        <f>IF(AND(N99="1521",MONTH(C99)='BK-NL'!$M$11),"x","")</f>
        <v/>
      </c>
    </row>
    <row r="100" spans="1:30" s="341" customFormat="1" ht="15.75" hidden="1" customHeight="1">
      <c r="A100" s="336" t="str">
        <f>IF(B100&lt;&gt;"",IF(AND(B100='IN-TC'!$S$4,OR(TH!N100="1111",TH!O100="1111")),TH!D100,""),"")</f>
        <v/>
      </c>
      <c r="B100" s="63">
        <f t="shared" si="12"/>
        <v>4</v>
      </c>
      <c r="C100" s="871">
        <v>42489</v>
      </c>
      <c r="D100" s="871" t="s">
        <v>582</v>
      </c>
      <c r="E100" s="871">
        <f t="shared" si="13"/>
        <v>42489</v>
      </c>
      <c r="F100" s="73" t="s">
        <v>1337</v>
      </c>
      <c r="G100" s="276"/>
      <c r="H100" s="320"/>
      <c r="I100" s="439"/>
      <c r="J100" s="439"/>
      <c r="K100" s="430"/>
      <c r="L100" s="439"/>
      <c r="M100" s="877">
        <f>G92*$G99</f>
        <v>3151470</v>
      </c>
      <c r="N100" s="878" t="s">
        <v>282</v>
      </c>
      <c r="O100" s="878" t="s">
        <v>594</v>
      </c>
      <c r="P100" s="84" t="str">
        <f>IF(AND('331-CT'!$E$7=TH!H100,OR(N100="331",O100="331")),"x","")</f>
        <v/>
      </c>
      <c r="Q100" s="84" t="str">
        <f>IF(AND(B100='111'!$L$11,OR($N100=$Q$7,$O100=$Q$7)),"x","")</f>
        <v/>
      </c>
      <c r="R100" s="84" t="str">
        <f>IF(AND($N100=$Q$7,$B100&lt;'111'!$L$11),"x","")</f>
        <v/>
      </c>
      <c r="S100" s="84" t="str">
        <f>IF(AND($O100=$Q$7,$B100&lt;'111'!$L$11),"x","")</f>
        <v/>
      </c>
      <c r="T100" s="84" t="str">
        <f>IF(ISERROR(FIND('112'!$M$9,G100,1)),"",IF((AND(FIND('112'!$M$9,G100,1)&gt;=1,B100='112'!$K$9,OR($N100='112'!$I$6,$O100='112'!$I$6))),"x",""))</f>
        <v/>
      </c>
      <c r="U100" s="84" t="str">
        <f>IF(ISERROR(FIND('112'!$M$9,G100,1)),"",IF((AND(LEFT(G100,2)=LEFT('112'!$M$9,2),B100&lt;'112'!$K$9,$N100='112'!$I$6)),"x",""))</f>
        <v/>
      </c>
      <c r="V100" s="84" t="str">
        <f>IF(ISERROR(FIND('112'!$M$9,G100,1)),"",IF((AND(RIGHT(G100,2)=RIGHT('112'!$M$9,2),B100&lt;'112'!$K$9,$O100='112'!$I$6)),"x",""))</f>
        <v/>
      </c>
      <c r="W100" s="84" t="str">
        <f>IF(AND('341-CT'!$H$9=H100,OR(LEFT(N100,3)=$W$7,LEFT(O100,3)=$W$7)),"x","")</f>
        <v/>
      </c>
      <c r="X100" s="84" t="str">
        <f>IF(OR(TH!N100=TH!$X$7,O100=TH!$X$7),"x","")</f>
        <v/>
      </c>
      <c r="Y100" s="84" t="str">
        <f>IF(AND(OR(N100="131",O100="131"),H100='131-CT'!$H$9),"x","")</f>
        <v/>
      </c>
      <c r="Z100" s="84"/>
      <c r="AA100" s="84" t="str">
        <f>IF(AND(MONTH(E100)='IN-NX'!$J$5,'IN-NX'!$D$7=D100),"x","")</f>
        <v/>
      </c>
      <c r="AB100" s="84" t="str">
        <f>IF(AND(OR(LEFT(TH!N100,2)="15",LEFT(TH!O100,2)="15"),LEFT(TH!O100,3)&lt;&gt;"111",'152-CT'!$J$8=TH!F100),"x","")</f>
        <v/>
      </c>
      <c r="AC100" s="84" t="str">
        <f>IF(AND(OR(LEFT(TH!N100,2)="15",LEFT(TH!O100,2)="15"),TK!$E$7=TH!F100),"x","")</f>
        <v/>
      </c>
      <c r="AD100" s="84" t="str">
        <f>IF(AND(N100="1521",MONTH(C100)='BK-NL'!$M$11),"x","")</f>
        <v/>
      </c>
    </row>
    <row r="101" spans="1:30" s="341" customFormat="1" ht="15.75" hidden="1" customHeight="1">
      <c r="A101" s="336" t="str">
        <f>IF(B101&lt;&gt;"",IF(AND(B101='IN-TC'!$S$4,OR(TH!N101="1111",TH!O101="1111")),TH!D101,""),"")</f>
        <v/>
      </c>
      <c r="B101" s="63">
        <f t="shared" si="12"/>
        <v>4</v>
      </c>
      <c r="C101" s="871">
        <v>42489</v>
      </c>
      <c r="D101" s="871" t="s">
        <v>582</v>
      </c>
      <c r="E101" s="871">
        <f t="shared" si="13"/>
        <v>42489</v>
      </c>
      <c r="F101" s="73" t="s">
        <v>1338</v>
      </c>
      <c r="G101" s="976" t="s">
        <v>587</v>
      </c>
      <c r="H101" s="320"/>
      <c r="I101" s="439"/>
      <c r="J101" s="439"/>
      <c r="K101" s="430"/>
      <c r="L101" s="439"/>
      <c r="M101" s="877">
        <f>G91*$G101</f>
        <v>373690</v>
      </c>
      <c r="N101" s="878" t="s">
        <v>592</v>
      </c>
      <c r="O101" s="878" t="s">
        <v>595</v>
      </c>
      <c r="P101" s="84" t="str">
        <f>IF(AND('331-CT'!$E$7=TH!H101,OR(N101="331",O101="331")),"x","")</f>
        <v/>
      </c>
      <c r="Q101" s="84" t="str">
        <f>IF(AND(B101='111'!$L$11,OR($N101=$Q$7,$O101=$Q$7)),"x","")</f>
        <v/>
      </c>
      <c r="R101" s="84" t="str">
        <f>IF(AND($N101=$Q$7,$B101&lt;'111'!$L$11),"x","")</f>
        <v/>
      </c>
      <c r="S101" s="84" t="str">
        <f>IF(AND($O101=$Q$7,$B101&lt;'111'!$L$11),"x","")</f>
        <v/>
      </c>
      <c r="T101" s="84" t="str">
        <f>IF(ISERROR(FIND('112'!$M$9,G101,1)),"",IF((AND(FIND('112'!$M$9,G101,1)&gt;=1,B101='112'!$K$9,OR($N101='112'!$I$6,$O101='112'!$I$6))),"x",""))</f>
        <v/>
      </c>
      <c r="U101" s="84" t="str">
        <f>IF(ISERROR(FIND('112'!$M$9,G101,1)),"",IF((AND(LEFT(G101,2)=LEFT('112'!$M$9,2),B101&lt;'112'!$K$9,$N101='112'!$I$6)),"x",""))</f>
        <v/>
      </c>
      <c r="V101" s="84" t="str">
        <f>IF(ISERROR(FIND('112'!$M$9,G101,1)),"",IF((AND(RIGHT(G101,2)=RIGHT('112'!$M$9,2),B101&lt;'112'!$K$9,$O101='112'!$I$6)),"x",""))</f>
        <v/>
      </c>
      <c r="W101" s="84" t="str">
        <f>IF(AND('341-CT'!$H$9=H101,OR(LEFT(N101,3)=$W$7,LEFT(O101,3)=$W$7)),"x","")</f>
        <v/>
      </c>
      <c r="X101" s="84" t="str">
        <f>IF(OR(TH!N101=TH!$X$7,O101=TH!$X$7),"x","")</f>
        <v/>
      </c>
      <c r="Y101" s="84" t="str">
        <f>IF(AND(OR(N101="131",O101="131"),H101='131-CT'!$H$9),"x","")</f>
        <v/>
      </c>
      <c r="Z101" s="84"/>
      <c r="AA101" s="84" t="str">
        <f>IF(AND(MONTH(E101)='IN-NX'!$J$5,'IN-NX'!$D$7=D101),"x","")</f>
        <v/>
      </c>
      <c r="AB101" s="84" t="str">
        <f>IF(AND(OR(LEFT(TH!N101,2)="15",LEFT(TH!O101,2)="15"),LEFT(TH!O101,3)&lt;&gt;"111",'152-CT'!$J$8=TH!F101),"x","")</f>
        <v/>
      </c>
      <c r="AC101" s="84" t="str">
        <f>IF(AND(OR(LEFT(TH!N101,2)="15",LEFT(TH!O101,2)="15"),TK!$E$7=TH!F101),"x","")</f>
        <v/>
      </c>
      <c r="AD101" s="84" t="str">
        <f>IF(AND(N101="1521",MONTH(C101)='BK-NL'!$M$11),"x","")</f>
        <v/>
      </c>
    </row>
    <row r="102" spans="1:30" s="341" customFormat="1" ht="15.75" hidden="1" customHeight="1">
      <c r="A102" s="336" t="str">
        <f>IF(B102&lt;&gt;"",IF(AND(B102='IN-TC'!$S$4,OR(TH!N102="1111",TH!O102="1111")),TH!D102,""),"")</f>
        <v/>
      </c>
      <c r="B102" s="63">
        <f t="shared" si="12"/>
        <v>4</v>
      </c>
      <c r="C102" s="871">
        <v>42489</v>
      </c>
      <c r="D102" s="871" t="s">
        <v>582</v>
      </c>
      <c r="E102" s="871">
        <f t="shared" si="13"/>
        <v>42489</v>
      </c>
      <c r="F102" s="73" t="s">
        <v>1339</v>
      </c>
      <c r="G102" s="276"/>
      <c r="H102" s="320"/>
      <c r="I102" s="439"/>
      <c r="J102" s="439"/>
      <c r="K102" s="430"/>
      <c r="L102" s="439"/>
      <c r="M102" s="877">
        <f>G92*$G101</f>
        <v>1050490</v>
      </c>
      <c r="N102" s="878" t="s">
        <v>592</v>
      </c>
      <c r="O102" s="878" t="s">
        <v>595</v>
      </c>
      <c r="P102" s="84" t="str">
        <f>IF(AND('331-CT'!$E$7=TH!H102,OR(N102="331",O102="331")),"x","")</f>
        <v/>
      </c>
      <c r="Q102" s="84" t="str">
        <f>IF(AND(B102='111'!$L$11,OR($N102=$Q$7,$O102=$Q$7)),"x","")</f>
        <v/>
      </c>
      <c r="R102" s="84" t="str">
        <f>IF(AND($N102=$Q$7,$B102&lt;'111'!$L$11),"x","")</f>
        <v/>
      </c>
      <c r="S102" s="84" t="str">
        <f>IF(AND($O102=$Q$7,$B102&lt;'111'!$L$11),"x","")</f>
        <v/>
      </c>
      <c r="T102" s="84" t="str">
        <f>IF(ISERROR(FIND('112'!$M$9,G102,1)),"",IF((AND(FIND('112'!$M$9,G102,1)&gt;=1,B102='112'!$K$9,OR($N102='112'!$I$6,$O102='112'!$I$6))),"x",""))</f>
        <v/>
      </c>
      <c r="U102" s="84" t="str">
        <f>IF(ISERROR(FIND('112'!$M$9,G102,1)),"",IF((AND(LEFT(G102,2)=LEFT('112'!$M$9,2),B102&lt;'112'!$K$9,$N102='112'!$I$6)),"x",""))</f>
        <v/>
      </c>
      <c r="V102" s="84" t="str">
        <f>IF(ISERROR(FIND('112'!$M$9,G102,1)),"",IF((AND(RIGHT(G102,2)=RIGHT('112'!$M$9,2),B102&lt;'112'!$K$9,$O102='112'!$I$6)),"x",""))</f>
        <v/>
      </c>
      <c r="W102" s="84" t="str">
        <f>IF(AND('341-CT'!$H$9=H102,OR(LEFT(N102,3)=$W$7,LEFT(O102,3)=$W$7)),"x","")</f>
        <v/>
      </c>
      <c r="X102" s="84" t="str">
        <f>IF(OR(TH!N102=TH!$X$7,O102=TH!$X$7),"x","")</f>
        <v/>
      </c>
      <c r="Y102" s="84" t="str">
        <f>IF(AND(OR(N102="131",O102="131"),H102='131-CT'!$H$9),"x","")</f>
        <v/>
      </c>
      <c r="Z102" s="84"/>
      <c r="AA102" s="84" t="str">
        <f>IF(AND(MONTH(E102)='IN-NX'!$J$5,'IN-NX'!$D$7=D102),"x","")</f>
        <v/>
      </c>
      <c r="AB102" s="84" t="str">
        <f>IF(AND(OR(LEFT(TH!N102,2)="15",LEFT(TH!O102,2)="15"),LEFT(TH!O102,3)&lt;&gt;"111",'152-CT'!$J$8=TH!F102),"x","")</f>
        <v/>
      </c>
      <c r="AC102" s="84" t="str">
        <f>IF(AND(OR(LEFT(TH!N102,2)="15",LEFT(TH!O102,2)="15"),TK!$E$7=TH!F102),"x","")</f>
        <v/>
      </c>
      <c r="AD102" s="84" t="str">
        <f>IF(AND(N102="1521",MONTH(C102)='BK-NL'!$M$11),"x","")</f>
        <v/>
      </c>
    </row>
    <row r="103" spans="1:30" s="341" customFormat="1" ht="15.75" hidden="1" customHeight="1">
      <c r="A103" s="336" t="str">
        <f>IF(B103&lt;&gt;"",IF(AND(B103='IN-TC'!$S$4,OR(TH!N103="1111",TH!O103="1111")),TH!D103,""),"")</f>
        <v/>
      </c>
      <c r="B103" s="63">
        <f t="shared" si="12"/>
        <v>4</v>
      </c>
      <c r="C103" s="871">
        <v>42489</v>
      </c>
      <c r="D103" s="871" t="s">
        <v>582</v>
      </c>
      <c r="E103" s="871">
        <f t="shared" si="13"/>
        <v>42489</v>
      </c>
      <c r="F103" s="73" t="s">
        <v>1340</v>
      </c>
      <c r="G103" s="976" t="s">
        <v>587</v>
      </c>
      <c r="H103" s="1127"/>
      <c r="I103" s="440"/>
      <c r="J103" s="440"/>
      <c r="K103" s="431"/>
      <c r="L103" s="440"/>
      <c r="M103" s="877">
        <f>M101</f>
        <v>373690</v>
      </c>
      <c r="N103" s="878" t="s">
        <v>591</v>
      </c>
      <c r="O103" s="878" t="s">
        <v>595</v>
      </c>
      <c r="P103" s="84" t="str">
        <f>IF(AND('331-CT'!$E$7=TH!H103,OR(N103="331",O103="331")),"x","")</f>
        <v/>
      </c>
      <c r="Q103" s="84" t="str">
        <f>IF(AND(B103='111'!$L$11,OR($N103=$Q$7,$O103=$Q$7)),"x","")</f>
        <v/>
      </c>
      <c r="R103" s="84" t="str">
        <f>IF(AND($N103=$Q$7,$B103&lt;'111'!$L$11),"x","")</f>
        <v/>
      </c>
      <c r="S103" s="84" t="str">
        <f>IF(AND($O103=$Q$7,$B103&lt;'111'!$L$11),"x","")</f>
        <v/>
      </c>
      <c r="T103" s="84" t="str">
        <f>IF(ISERROR(FIND('112'!$M$9,G103,1)),"",IF((AND(FIND('112'!$M$9,G103,1)&gt;=1,B103='112'!$K$9,OR($N103='112'!$I$6,$O103='112'!$I$6))),"x",""))</f>
        <v/>
      </c>
      <c r="U103" s="84" t="str">
        <f>IF(ISERROR(FIND('112'!$M$9,G103,1)),"",IF((AND(LEFT(G103,2)=LEFT('112'!$M$9,2),B103&lt;'112'!$K$9,$N103='112'!$I$6)),"x",""))</f>
        <v/>
      </c>
      <c r="V103" s="84" t="str">
        <f>IF(ISERROR(FIND('112'!$M$9,G103,1)),"",IF((AND(RIGHT(G103,2)=RIGHT('112'!$M$9,2),B103&lt;'112'!$K$9,$O103='112'!$I$6)),"x",""))</f>
        <v/>
      </c>
      <c r="W103" s="84" t="str">
        <f>IF(AND('341-CT'!$H$9=H103,OR(LEFT(N103,3)=$W$7,LEFT(O103,3)=$W$7)),"x","")</f>
        <v/>
      </c>
      <c r="X103" s="84" t="str">
        <f>IF(OR(TH!N103=TH!$X$7,O103=TH!$X$7),"x","")</f>
        <v/>
      </c>
      <c r="Y103" s="84" t="str">
        <f>IF(AND(OR(N103="131",O103="131"),H103='131-CT'!$H$9),"x","")</f>
        <v/>
      </c>
      <c r="Z103" s="84"/>
      <c r="AA103" s="84" t="str">
        <f>IF(AND(MONTH(E103)='IN-NX'!$J$5,'IN-NX'!$D$7=D103),"x","")</f>
        <v/>
      </c>
      <c r="AB103" s="84" t="str">
        <f>IF(AND(OR(LEFT(TH!N103,2)="15",LEFT(TH!O103,2)="15"),LEFT(TH!O103,3)&lt;&gt;"111",'152-CT'!$J$8=TH!F103),"x","")</f>
        <v/>
      </c>
      <c r="AC103" s="84" t="str">
        <f>IF(AND(OR(LEFT(TH!N103,2)="15",LEFT(TH!O103,2)="15"),TK!$E$7=TH!F103),"x","")</f>
        <v/>
      </c>
      <c r="AD103" s="84" t="str">
        <f>IF(AND(N103="1521",MONTH(C103)='BK-NL'!$M$11),"x","")</f>
        <v/>
      </c>
    </row>
    <row r="104" spans="1:30" s="341" customFormat="1" ht="15.75" hidden="1" customHeight="1">
      <c r="A104" s="336" t="str">
        <f>IF(B104&lt;&gt;"",IF(AND(B104='IN-TC'!$S$4,OR(TH!N104="1111",TH!O104="1111")),TH!D104,""),"")</f>
        <v/>
      </c>
      <c r="B104" s="63">
        <f t="shared" si="12"/>
        <v>4</v>
      </c>
      <c r="C104" s="871">
        <v>42489</v>
      </c>
      <c r="D104" s="871" t="s">
        <v>582</v>
      </c>
      <c r="E104" s="871">
        <f t="shared" si="13"/>
        <v>42489</v>
      </c>
      <c r="F104" s="73" t="s">
        <v>1341</v>
      </c>
      <c r="G104" s="276"/>
      <c r="H104" s="320"/>
      <c r="I104" s="439"/>
      <c r="J104" s="439"/>
      <c r="K104" s="430"/>
      <c r="L104" s="439"/>
      <c r="M104" s="877">
        <f>M102</f>
        <v>1050490</v>
      </c>
      <c r="N104" s="878" t="s">
        <v>282</v>
      </c>
      <c r="O104" s="878" t="s">
        <v>595</v>
      </c>
      <c r="P104" s="84" t="str">
        <f>IF(AND('331-CT'!$E$7=TH!H104,OR(N104="331",O104="331")),"x","")</f>
        <v/>
      </c>
      <c r="Q104" s="84" t="str">
        <f>IF(AND(B104='111'!$L$11,OR($N104=$Q$7,$O104=$Q$7)),"x","")</f>
        <v/>
      </c>
      <c r="R104" s="84" t="str">
        <f>IF(AND($N104=$Q$7,$B104&lt;'111'!$L$11),"x","")</f>
        <v/>
      </c>
      <c r="S104" s="84" t="str">
        <f>IF(AND($O104=$Q$7,$B104&lt;'111'!$L$11),"x","")</f>
        <v/>
      </c>
      <c r="T104" s="84" t="str">
        <f>IF(ISERROR(FIND('112'!$M$9,G104,1)),"",IF((AND(FIND('112'!$M$9,G104,1)&gt;=1,B104='112'!$K$9,OR($N104='112'!$I$6,$O104='112'!$I$6))),"x",""))</f>
        <v/>
      </c>
      <c r="U104" s="84" t="str">
        <f>IF(ISERROR(FIND('112'!$M$9,G104,1)),"",IF((AND(LEFT(G104,2)=LEFT('112'!$M$9,2),B104&lt;'112'!$K$9,$N104='112'!$I$6)),"x",""))</f>
        <v/>
      </c>
      <c r="V104" s="84" t="str">
        <f>IF(ISERROR(FIND('112'!$M$9,G104,1)),"",IF((AND(RIGHT(G104,2)=RIGHT('112'!$M$9,2),B104&lt;'112'!$K$9,$O104='112'!$I$6)),"x",""))</f>
        <v/>
      </c>
      <c r="W104" s="84" t="str">
        <f>IF(AND('341-CT'!$H$9=H104,OR(LEFT(N104,3)=$W$7,LEFT(O104,3)=$W$7)),"x","")</f>
        <v/>
      </c>
      <c r="X104" s="84" t="str">
        <f>IF(OR(TH!N104=TH!$X$7,O104=TH!$X$7),"x","")</f>
        <v/>
      </c>
      <c r="Y104" s="84" t="str">
        <f>IF(AND(OR(N104="131",O104="131"),H104='131-CT'!$H$9),"x","")</f>
        <v/>
      </c>
      <c r="Z104" s="84"/>
      <c r="AA104" s="84" t="str">
        <f>IF(AND(MONTH(E104)='IN-NX'!$J$5,'IN-NX'!$D$7=D104),"x","")</f>
        <v/>
      </c>
      <c r="AB104" s="84" t="str">
        <f>IF(AND(OR(LEFT(TH!N104,2)="15",LEFT(TH!O104,2)="15"),LEFT(TH!O104,3)&lt;&gt;"111",'152-CT'!$J$8=TH!F104),"x","")</f>
        <v/>
      </c>
      <c r="AC104" s="84" t="str">
        <f>IF(AND(OR(LEFT(TH!N104,2)="15",LEFT(TH!O104,2)="15"),TK!$E$7=TH!F104),"x","")</f>
        <v/>
      </c>
      <c r="AD104" s="84" t="str">
        <f>IF(AND(N104="1521",MONTH(C104)='BK-NL'!$M$11),"x","")</f>
        <v/>
      </c>
    </row>
    <row r="105" spans="1:30" s="341" customFormat="1" ht="15.75" hidden="1" customHeight="1">
      <c r="A105" s="336" t="str">
        <f>IF(B105&lt;&gt;"",IF(AND(B105='IN-TC'!$S$4,OR(TH!N105="1111",TH!O105="1111")),TH!D105,""),"")</f>
        <v/>
      </c>
      <c r="B105" s="63">
        <f t="shared" si="12"/>
        <v>5</v>
      </c>
      <c r="C105" s="871">
        <v>42521</v>
      </c>
      <c r="D105" s="871" t="s">
        <v>582</v>
      </c>
      <c r="E105" s="871">
        <f>C105</f>
        <v>42521</v>
      </c>
      <c r="F105" s="73" t="s">
        <v>1328</v>
      </c>
      <c r="G105" s="276">
        <v>40937000</v>
      </c>
      <c r="H105" s="320"/>
      <c r="I105" s="439"/>
      <c r="J105" s="439"/>
      <c r="K105" s="430"/>
      <c r="L105" s="439"/>
      <c r="M105" s="877">
        <v>45062826</v>
      </c>
      <c r="N105" s="878" t="s">
        <v>591</v>
      </c>
      <c r="O105" s="878" t="s">
        <v>592</v>
      </c>
      <c r="P105" s="84" t="str">
        <f>IF(AND('331-CT'!$E$7=TH!H105,OR(N105="331",O105="331")),"x","")</f>
        <v/>
      </c>
      <c r="Q105" s="84" t="str">
        <f>IF(AND(B105='111'!$L$11,OR($N105=$Q$7,$O105=$Q$7)),"x","")</f>
        <v/>
      </c>
      <c r="R105" s="84" t="str">
        <f>IF(AND($N105=$Q$7,$B105&lt;'111'!$L$11),"x","")</f>
        <v/>
      </c>
      <c r="S105" s="84" t="str">
        <f>IF(AND($O105=$Q$7,$B105&lt;'111'!$L$11),"x","")</f>
        <v/>
      </c>
      <c r="T105" s="84" t="str">
        <f>IF(ISERROR(FIND('112'!$M$9,G105,1)),"",IF((AND(FIND('112'!$M$9,G105,1)&gt;=1,B105='112'!$K$9,OR($N105='112'!$I$6,$O105='112'!$I$6))),"x",""))</f>
        <v/>
      </c>
      <c r="U105" s="84" t="str">
        <f>IF(ISERROR(FIND('112'!$M$9,G105,1)),"",IF((AND(LEFT(G105,2)=LEFT('112'!$M$9,2),B105&lt;'112'!$K$9,$N105='112'!$I$6)),"x",""))</f>
        <v/>
      </c>
      <c r="V105" s="84" t="str">
        <f>IF(ISERROR(FIND('112'!$M$9,G105,1)),"",IF((AND(RIGHT(G105,2)=RIGHT('112'!$M$9,2),B105&lt;'112'!$K$9,$O105='112'!$I$6)),"x",""))</f>
        <v/>
      </c>
      <c r="W105" s="84" t="str">
        <f>IF(AND('341-CT'!$H$9=H105,OR(LEFT(N105,3)=$W$7,LEFT(O105,3)=$W$7)),"x","")</f>
        <v/>
      </c>
      <c r="X105" s="84" t="str">
        <f>IF(OR(TH!N105=TH!$X$7,O105=TH!$X$7),"x","")</f>
        <v/>
      </c>
      <c r="Y105" s="84" t="str">
        <f>IF(AND(OR(N105="131",O105="131"),H105='131-CT'!$H$9),"x","")</f>
        <v/>
      </c>
      <c r="Z105" s="84"/>
      <c r="AA105" s="84" t="str">
        <f>IF(AND(MONTH(E105)='IN-NX'!$J$5,'IN-NX'!$D$7=D105),"x","")</f>
        <v/>
      </c>
      <c r="AB105" s="84" t="str">
        <f>IF(AND(OR(LEFT(TH!N105,2)="15",LEFT(TH!O105,2)="15"),LEFT(TH!O105,3)&lt;&gt;"111",'152-CT'!$J$8=TH!F105),"x","")</f>
        <v/>
      </c>
      <c r="AC105" s="84" t="str">
        <f>IF(AND(OR(LEFT(TH!N105,2)="15",LEFT(TH!O105,2)="15"),TK!$E$7=TH!F105),"x","")</f>
        <v/>
      </c>
      <c r="AD105" s="84" t="str">
        <f>IF(AND(N105="1521",MONTH(C105)='BK-NL'!$M$11),"x","")</f>
        <v/>
      </c>
    </row>
    <row r="106" spans="1:30" s="341" customFormat="1" ht="15.75" hidden="1" customHeight="1">
      <c r="A106" s="336" t="str">
        <f>IF(B106&lt;&gt;"",IF(AND(B106='IN-TC'!$S$4,OR(TH!N106="1111",TH!O106="1111")),TH!D106,""),"")</f>
        <v/>
      </c>
      <c r="B106" s="63">
        <f t="shared" si="12"/>
        <v>5</v>
      </c>
      <c r="C106" s="871">
        <v>42521</v>
      </c>
      <c r="D106" s="871" t="s">
        <v>582</v>
      </c>
      <c r="E106" s="871">
        <f t="shared" ref="E106:E125" si="14">C106</f>
        <v>42521</v>
      </c>
      <c r="F106" s="73" t="s">
        <v>1329</v>
      </c>
      <c r="G106" s="276">
        <f>98415000-3317000</f>
        <v>95098000</v>
      </c>
      <c r="H106" s="320"/>
      <c r="I106" s="439"/>
      <c r="J106" s="439"/>
      <c r="K106" s="430"/>
      <c r="L106" s="439"/>
      <c r="M106" s="877">
        <v>117847832</v>
      </c>
      <c r="N106" s="878" t="s">
        <v>282</v>
      </c>
      <c r="O106" s="878" t="s">
        <v>592</v>
      </c>
      <c r="P106" s="84" t="str">
        <f>IF(AND('331-CT'!$E$7=TH!H106,OR(N106="331",O106="331")),"x","")</f>
        <v/>
      </c>
      <c r="Q106" s="84" t="str">
        <f>IF(AND(B106='111'!$L$11,OR($N106=$Q$7,$O106=$Q$7)),"x","")</f>
        <v/>
      </c>
      <c r="R106" s="84" t="str">
        <f>IF(AND($N106=$Q$7,$B106&lt;'111'!$L$11),"x","")</f>
        <v/>
      </c>
      <c r="S106" s="84" t="str">
        <f>IF(AND($O106=$Q$7,$B106&lt;'111'!$L$11),"x","")</f>
        <v/>
      </c>
      <c r="T106" s="84" t="str">
        <f>IF(ISERROR(FIND('112'!$M$9,G106,1)),"",IF((AND(FIND('112'!$M$9,G106,1)&gt;=1,B106='112'!$K$9,OR($N106='112'!$I$6,$O106='112'!$I$6))),"x",""))</f>
        <v/>
      </c>
      <c r="U106" s="84" t="str">
        <f>IF(ISERROR(FIND('112'!$M$9,G106,1)),"",IF((AND(LEFT(G106,2)=LEFT('112'!$M$9,2),B106&lt;'112'!$K$9,$N106='112'!$I$6)),"x",""))</f>
        <v/>
      </c>
      <c r="V106" s="84" t="str">
        <f>IF(ISERROR(FIND('112'!$M$9,G106,1)),"",IF((AND(RIGHT(G106,2)=RIGHT('112'!$M$9,2),B106&lt;'112'!$K$9,$O106='112'!$I$6)),"x",""))</f>
        <v/>
      </c>
      <c r="W106" s="84" t="str">
        <f>IF(AND('341-CT'!$H$9=H106,OR(LEFT(N106,3)=$W$7,LEFT(O106,3)=$W$7)),"x","")</f>
        <v/>
      </c>
      <c r="X106" s="84" t="str">
        <f>IF(OR(TH!N106=TH!$X$7,O106=TH!$X$7),"x","")</f>
        <v/>
      </c>
      <c r="Y106" s="84" t="str">
        <f>IF(AND(OR(N106="131",O106="131"),H106='131-CT'!$H$9),"x","")</f>
        <v/>
      </c>
      <c r="Z106" s="84"/>
      <c r="AA106" s="84" t="str">
        <f>IF(AND(MONTH(E106)='IN-NX'!$J$5,'IN-NX'!$D$7=D106),"x","")</f>
        <v/>
      </c>
      <c r="AB106" s="84" t="str">
        <f>IF(AND(OR(LEFT(TH!N106,2)="15",LEFT(TH!O106,2)="15"),LEFT(TH!O106,3)&lt;&gt;"111",'152-CT'!$J$8=TH!F106),"x","")</f>
        <v/>
      </c>
      <c r="AC106" s="84" t="str">
        <f>IF(AND(OR(LEFT(TH!N106,2)="15",LEFT(TH!O106,2)="15"),TK!$E$7=TH!F106),"x","")</f>
        <v/>
      </c>
      <c r="AD106" s="84" t="str">
        <f>IF(AND(N106="1521",MONTH(C106)='BK-NL'!$M$11),"x","")</f>
        <v/>
      </c>
    </row>
    <row r="107" spans="1:30" s="341" customFormat="1" ht="15.75" hidden="1" customHeight="1">
      <c r="A107" s="336" t="str">
        <f>IF(B107&lt;&gt;"",IF(AND(B107='IN-TC'!$S$4,OR(TH!N107="1111",TH!O107="1111")),TH!D107,""),"")</f>
        <v/>
      </c>
      <c r="B107" s="63">
        <f t="shared" si="12"/>
        <v>5</v>
      </c>
      <c r="C107" s="871">
        <v>42521</v>
      </c>
      <c r="D107" s="871" t="s">
        <v>582</v>
      </c>
      <c r="E107" s="871">
        <f t="shared" si="14"/>
        <v>42521</v>
      </c>
      <c r="F107" s="73" t="s">
        <v>1330</v>
      </c>
      <c r="G107" s="976" t="s">
        <v>583</v>
      </c>
      <c r="H107" s="320"/>
      <c r="I107" s="439"/>
      <c r="J107" s="439"/>
      <c r="K107" s="430"/>
      <c r="L107" s="439"/>
      <c r="M107" s="877">
        <f>G105*$G107</f>
        <v>3274960</v>
      </c>
      <c r="N107" s="878" t="s">
        <v>592</v>
      </c>
      <c r="O107" s="878" t="s">
        <v>593</v>
      </c>
      <c r="P107" s="84" t="str">
        <f>IF(AND('331-CT'!$E$7=TH!H107,OR(N107="331",O107="331")),"x","")</f>
        <v/>
      </c>
      <c r="Q107" s="84" t="str">
        <f>IF(AND(B107='111'!$L$11,OR($N107=$Q$7,$O107=$Q$7)),"x","")</f>
        <v/>
      </c>
      <c r="R107" s="84" t="str">
        <f>IF(AND($N107=$Q$7,$B107&lt;'111'!$L$11),"x","")</f>
        <v/>
      </c>
      <c r="S107" s="84" t="str">
        <f>IF(AND($O107=$Q$7,$B107&lt;'111'!$L$11),"x","")</f>
        <v/>
      </c>
      <c r="T107" s="84" t="str">
        <f>IF(ISERROR(FIND('112'!$M$9,G107,1)),"",IF((AND(FIND('112'!$M$9,G107,1)&gt;=1,B107='112'!$K$9,OR($N107='112'!$I$6,$O107='112'!$I$6))),"x",""))</f>
        <v/>
      </c>
      <c r="U107" s="84" t="str">
        <f>IF(ISERROR(FIND('112'!$M$9,G107,1)),"",IF((AND(LEFT(G107,2)=LEFT('112'!$M$9,2),B107&lt;'112'!$K$9,$N107='112'!$I$6)),"x",""))</f>
        <v/>
      </c>
      <c r="V107" s="84" t="str">
        <f>IF(ISERROR(FIND('112'!$M$9,G107,1)),"",IF((AND(RIGHT(G107,2)=RIGHT('112'!$M$9,2),B107&lt;'112'!$K$9,$O107='112'!$I$6)),"x",""))</f>
        <v/>
      </c>
      <c r="W107" s="84" t="str">
        <f>IF(AND('341-CT'!$H$9=H107,OR(LEFT(N107,3)=$W$7,LEFT(O107,3)=$W$7)),"x","")</f>
        <v/>
      </c>
      <c r="X107" s="84" t="str">
        <f>IF(OR(TH!N107=TH!$X$7,O107=TH!$X$7),"x","")</f>
        <v/>
      </c>
      <c r="Y107" s="84" t="str">
        <f>IF(AND(OR(N107="131",O107="131"),H107='131-CT'!$H$9),"x","")</f>
        <v/>
      </c>
      <c r="Z107" s="84"/>
      <c r="AA107" s="84" t="str">
        <f>IF(AND(MONTH(E107)='IN-NX'!$J$5,'IN-NX'!$D$7=D107),"x","")</f>
        <v/>
      </c>
      <c r="AB107" s="84" t="str">
        <f>IF(AND(OR(LEFT(TH!N107,2)="15",LEFT(TH!O107,2)="15"),LEFT(TH!O107,3)&lt;&gt;"111",'152-CT'!$J$8=TH!F107),"x","")</f>
        <v/>
      </c>
      <c r="AC107" s="84" t="str">
        <f>IF(AND(OR(LEFT(TH!N107,2)="15",LEFT(TH!O107,2)="15"),TK!$E$7=TH!F107),"x","")</f>
        <v/>
      </c>
      <c r="AD107" s="84" t="str">
        <f>IF(AND(N107="1521",MONTH(C107)='BK-NL'!$M$11),"x","")</f>
        <v/>
      </c>
    </row>
    <row r="108" spans="1:30" s="341" customFormat="1" ht="15.75" hidden="1" customHeight="1">
      <c r="A108" s="336" t="str">
        <f>IF(B108&lt;&gt;"",IF(AND(B108='IN-TC'!$S$4,OR(TH!N108="1111",TH!O108="1111")),TH!D108,""),"")</f>
        <v/>
      </c>
      <c r="B108" s="63">
        <f t="shared" si="12"/>
        <v>5</v>
      </c>
      <c r="C108" s="871">
        <v>42521</v>
      </c>
      <c r="D108" s="871" t="s">
        <v>582</v>
      </c>
      <c r="E108" s="871">
        <f t="shared" si="14"/>
        <v>42521</v>
      </c>
      <c r="F108" s="73" t="s">
        <v>1331</v>
      </c>
      <c r="G108" s="276"/>
      <c r="H108" s="320"/>
      <c r="I108" s="439"/>
      <c r="J108" s="439"/>
      <c r="K108" s="430"/>
      <c r="L108" s="439"/>
      <c r="M108" s="877">
        <f>G106*$G107</f>
        <v>7607840</v>
      </c>
      <c r="N108" s="879" t="s">
        <v>592</v>
      </c>
      <c r="O108" s="880" t="s">
        <v>593</v>
      </c>
      <c r="P108" s="84" t="str">
        <f>IF(AND('331-CT'!$E$7=TH!H108,OR(N108="331",O108="331")),"x","")</f>
        <v/>
      </c>
      <c r="Q108" s="84" t="str">
        <f>IF(AND(B108='111'!$L$11,OR($N108=$Q$7,$O108=$Q$7)),"x","")</f>
        <v/>
      </c>
      <c r="R108" s="84" t="str">
        <f>IF(AND($N108=$Q$7,$B108&lt;'111'!$L$11),"x","")</f>
        <v/>
      </c>
      <c r="S108" s="84" t="str">
        <f>IF(AND($O108=$Q$7,$B108&lt;'111'!$L$11),"x","")</f>
        <v/>
      </c>
      <c r="T108" s="84" t="str">
        <f>IF(ISERROR(FIND('112'!$M$9,G108,1)),"",IF((AND(FIND('112'!$M$9,G108,1)&gt;=1,B108='112'!$K$9,OR($N108='112'!$I$6,$O108='112'!$I$6))),"x",""))</f>
        <v/>
      </c>
      <c r="U108" s="84" t="str">
        <f>IF(ISERROR(FIND('112'!$M$9,G108,1)),"",IF((AND(LEFT(G108,2)=LEFT('112'!$M$9,2),B108&lt;'112'!$K$9,$N108='112'!$I$6)),"x",""))</f>
        <v/>
      </c>
      <c r="V108" s="84" t="str">
        <f>IF(ISERROR(FIND('112'!$M$9,G108,1)),"",IF((AND(RIGHT(G108,2)=RIGHT('112'!$M$9,2),B108&lt;'112'!$K$9,$O108='112'!$I$6)),"x",""))</f>
        <v/>
      </c>
      <c r="W108" s="84" t="str">
        <f>IF(AND('341-CT'!$H$9=H108,OR(LEFT(N108,3)=$W$7,LEFT(O108,3)=$W$7)),"x","")</f>
        <v/>
      </c>
      <c r="X108" s="84" t="str">
        <f>IF(OR(TH!N108=TH!$X$7,O108=TH!$X$7),"x","")</f>
        <v/>
      </c>
      <c r="Y108" s="84" t="str">
        <f>IF(AND(OR(N108="131",O108="131"),H108='131-CT'!$H$9),"x","")</f>
        <v/>
      </c>
      <c r="Z108" s="84"/>
      <c r="AA108" s="84" t="str">
        <f>IF(AND(MONTH(E108)='IN-NX'!$J$5,'IN-NX'!$D$7=D108),"x","")</f>
        <v/>
      </c>
      <c r="AB108" s="84" t="str">
        <f>IF(AND(OR(LEFT(TH!N108,2)="15",LEFT(TH!O108,2)="15"),LEFT(TH!O108,3)&lt;&gt;"111",'152-CT'!$J$8=TH!F108),"x","")</f>
        <v/>
      </c>
      <c r="AC108" s="84" t="str">
        <f>IF(AND(OR(LEFT(TH!N108,2)="15",LEFT(TH!O108,2)="15"),TK!$E$7=TH!F108),"x","")</f>
        <v/>
      </c>
      <c r="AD108" s="84" t="str">
        <f>IF(AND(N108="1521",MONTH(C108)='BK-NL'!$M$11),"x","")</f>
        <v/>
      </c>
    </row>
    <row r="109" spans="1:30" s="341" customFormat="1" ht="15.75" hidden="1" customHeight="1">
      <c r="A109" s="336" t="str">
        <f>IF(B109&lt;&gt;"",IF(AND(B109='IN-TC'!$S$4,OR(TH!N109="1111",TH!O109="1111")),TH!D109,""),"")</f>
        <v/>
      </c>
      <c r="B109" s="63">
        <f t="shared" si="12"/>
        <v>5</v>
      </c>
      <c r="C109" s="871">
        <v>42521</v>
      </c>
      <c r="D109" s="871" t="s">
        <v>582</v>
      </c>
      <c r="E109" s="871">
        <f t="shared" si="14"/>
        <v>42521</v>
      </c>
      <c r="F109" s="73" t="s">
        <v>1332</v>
      </c>
      <c r="G109" s="976" t="s">
        <v>584</v>
      </c>
      <c r="H109" s="320"/>
      <c r="I109" s="439"/>
      <c r="J109" s="439"/>
      <c r="K109" s="430"/>
      <c r="L109" s="439"/>
      <c r="M109" s="877">
        <f>G105*$G109</f>
        <v>7368660</v>
      </c>
      <c r="N109" s="878" t="s">
        <v>591</v>
      </c>
      <c r="O109" s="878" t="s">
        <v>593</v>
      </c>
      <c r="P109" s="84" t="str">
        <f>IF(AND('331-CT'!$E$7=TH!H109,OR(N109="331",O109="331")),"x","")</f>
        <v/>
      </c>
      <c r="Q109" s="84" t="str">
        <f>IF(AND(B109='111'!$L$11,OR($N109=$Q$7,$O109=$Q$7)),"x","")</f>
        <v/>
      </c>
      <c r="R109" s="84" t="str">
        <f>IF(AND($N109=$Q$7,$B109&lt;'111'!$L$11),"x","")</f>
        <v/>
      </c>
      <c r="S109" s="84" t="str">
        <f>IF(AND($O109=$Q$7,$B109&lt;'111'!$L$11),"x","")</f>
        <v/>
      </c>
      <c r="T109" s="84" t="str">
        <f>IF(ISERROR(FIND('112'!$M$9,G109,1)),"",IF((AND(FIND('112'!$M$9,G109,1)&gt;=1,B109='112'!$K$9,OR($N109='112'!$I$6,$O109='112'!$I$6))),"x",""))</f>
        <v/>
      </c>
      <c r="U109" s="84" t="str">
        <f>IF(ISERROR(FIND('112'!$M$9,G109,1)),"",IF((AND(LEFT(G109,2)=LEFT('112'!$M$9,2),B109&lt;'112'!$K$9,$N109='112'!$I$6)),"x",""))</f>
        <v/>
      </c>
      <c r="V109" s="84" t="str">
        <f>IF(ISERROR(FIND('112'!$M$9,G109,1)),"",IF((AND(RIGHT(G109,2)=RIGHT('112'!$M$9,2),B109&lt;'112'!$K$9,$O109='112'!$I$6)),"x",""))</f>
        <v/>
      </c>
      <c r="W109" s="84" t="str">
        <f>IF(AND('341-CT'!$H$9=H109,OR(LEFT(N109,3)=$W$7,LEFT(O109,3)=$W$7)),"x","")</f>
        <v/>
      </c>
      <c r="X109" s="84" t="str">
        <f>IF(OR(TH!N109=TH!$X$7,O109=TH!$X$7),"x","")</f>
        <v/>
      </c>
      <c r="Y109" s="84" t="str">
        <f>IF(AND(OR(N109="131",O109="131"),H109='131-CT'!$H$9),"x","")</f>
        <v/>
      </c>
      <c r="Z109" s="84"/>
      <c r="AA109" s="84" t="str">
        <f>IF(AND(MONTH(E109)='IN-NX'!$J$5,'IN-NX'!$D$7=D109),"x","")</f>
        <v/>
      </c>
      <c r="AB109" s="84" t="str">
        <f>IF(AND(OR(LEFT(TH!N109,2)="15",LEFT(TH!O109,2)="15"),LEFT(TH!O109,3)&lt;&gt;"111",'152-CT'!$J$8=TH!F109),"x","")</f>
        <v/>
      </c>
      <c r="AC109" s="84" t="str">
        <f>IF(AND(OR(LEFT(TH!N109,2)="15",LEFT(TH!O109,2)="15"),TK!$E$7=TH!F109),"x","")</f>
        <v/>
      </c>
      <c r="AD109" s="84" t="str">
        <f>IF(AND(N109="1521",MONTH(C109)='BK-NL'!$M$11),"x","")</f>
        <v/>
      </c>
    </row>
    <row r="110" spans="1:30" s="341" customFormat="1" ht="15.75" hidden="1" customHeight="1">
      <c r="A110" s="336" t="str">
        <f>IF(B110&lt;&gt;"",IF(AND(B110='IN-TC'!$S$4,OR(TH!N110="1111",TH!O110="1111")),TH!D110,""),"")</f>
        <v/>
      </c>
      <c r="B110" s="63">
        <f t="shared" si="12"/>
        <v>5</v>
      </c>
      <c r="C110" s="871">
        <v>42521</v>
      </c>
      <c r="D110" s="871" t="s">
        <v>582</v>
      </c>
      <c r="E110" s="871">
        <f t="shared" si="14"/>
        <v>42521</v>
      </c>
      <c r="F110" s="73" t="s">
        <v>1333</v>
      </c>
      <c r="G110" s="276"/>
      <c r="H110" s="320"/>
      <c r="I110" s="439"/>
      <c r="J110" s="439"/>
      <c r="K110" s="430"/>
      <c r="L110" s="439"/>
      <c r="M110" s="877">
        <f>G106*$G109</f>
        <v>17117640</v>
      </c>
      <c r="N110" s="878" t="s">
        <v>282</v>
      </c>
      <c r="O110" s="878" t="s">
        <v>593</v>
      </c>
      <c r="P110" s="84" t="str">
        <f>IF(AND('331-CT'!$E$7=TH!H110,OR(N110="331",O110="331")),"x","")</f>
        <v/>
      </c>
      <c r="Q110" s="84" t="str">
        <f>IF(AND(B110='111'!$L$11,OR($N110=$Q$7,$O110=$Q$7)),"x","")</f>
        <v/>
      </c>
      <c r="R110" s="84" t="str">
        <f>IF(AND($N110=$Q$7,$B110&lt;'111'!$L$11),"x","")</f>
        <v/>
      </c>
      <c r="S110" s="84" t="str">
        <f>IF(AND($O110=$Q$7,$B110&lt;'111'!$L$11),"x","")</f>
        <v/>
      </c>
      <c r="T110" s="84" t="str">
        <f>IF(ISERROR(FIND('112'!$M$9,G110,1)),"",IF((AND(FIND('112'!$M$9,G110,1)&gt;=1,B110='112'!$K$9,OR($N110='112'!$I$6,$O110='112'!$I$6))),"x",""))</f>
        <v/>
      </c>
      <c r="U110" s="84" t="str">
        <f>IF(ISERROR(FIND('112'!$M$9,G110,1)),"",IF((AND(LEFT(G110,2)=LEFT('112'!$M$9,2),B110&lt;'112'!$K$9,$N110='112'!$I$6)),"x",""))</f>
        <v/>
      </c>
      <c r="V110" s="84" t="str">
        <f>IF(ISERROR(FIND('112'!$M$9,G110,1)),"",IF((AND(RIGHT(G110,2)=RIGHT('112'!$M$9,2),B110&lt;'112'!$K$9,$O110='112'!$I$6)),"x",""))</f>
        <v/>
      </c>
      <c r="W110" s="84" t="str">
        <f>IF(AND('341-CT'!$H$9=H110,OR(LEFT(N110,3)=$W$7,LEFT(O110,3)=$W$7)),"x","")</f>
        <v/>
      </c>
      <c r="X110" s="84" t="str">
        <f>IF(OR(TH!N110=TH!$X$7,O110=TH!$X$7),"x","")</f>
        <v/>
      </c>
      <c r="Y110" s="84" t="str">
        <f>IF(AND(OR(N110="131",O110="131"),H110='131-CT'!$H$9),"x","")</f>
        <v/>
      </c>
      <c r="Z110" s="84"/>
      <c r="AA110" s="84" t="str">
        <f>IF(AND(MONTH(E110)='IN-NX'!$J$5,'IN-NX'!$D$7=D110),"x","")</f>
        <v/>
      </c>
      <c r="AB110" s="84" t="str">
        <f>IF(AND(OR(LEFT(TH!N110,2)="15",LEFT(TH!O110,2)="15"),LEFT(TH!O110,3)&lt;&gt;"111",'152-CT'!$J$8=TH!F110),"x","")</f>
        <v/>
      </c>
      <c r="AC110" s="84" t="str">
        <f>IF(AND(OR(LEFT(TH!N110,2)="15",LEFT(TH!O110,2)="15"),TK!$E$7=TH!F110),"x","")</f>
        <v/>
      </c>
      <c r="AD110" s="84" t="str">
        <f>IF(AND(N110="1521",MONTH(C110)='BK-NL'!$M$11),"x","")</f>
        <v/>
      </c>
    </row>
    <row r="111" spans="1:30" s="341" customFormat="1" ht="15.75" hidden="1" customHeight="1">
      <c r="A111" s="336" t="str">
        <f>IF(B111&lt;&gt;"",IF(AND(B111='IN-TC'!$S$4,OR(TH!N111="1111",TH!O111="1111")),TH!D111,""),"")</f>
        <v/>
      </c>
      <c r="B111" s="63">
        <f t="shared" si="12"/>
        <v>5</v>
      </c>
      <c r="C111" s="871">
        <v>42521</v>
      </c>
      <c r="D111" s="871" t="s">
        <v>582</v>
      </c>
      <c r="E111" s="871">
        <f t="shared" si="14"/>
        <v>42521</v>
      </c>
      <c r="F111" s="73" t="s">
        <v>1334</v>
      </c>
      <c r="G111" s="976" t="s">
        <v>585</v>
      </c>
      <c r="H111" s="322"/>
      <c r="I111" s="437"/>
      <c r="J111" s="437"/>
      <c r="K111" s="428"/>
      <c r="L111" s="437"/>
      <c r="M111" s="877">
        <f>G105*$G111</f>
        <v>614055</v>
      </c>
      <c r="N111" s="878" t="s">
        <v>592</v>
      </c>
      <c r="O111" s="878" t="s">
        <v>594</v>
      </c>
      <c r="P111" s="84" t="str">
        <f>IF(AND('331-CT'!$E$7=TH!H111,OR(N111="331",O111="331")),"x","")</f>
        <v/>
      </c>
      <c r="Q111" s="84" t="str">
        <f>IF(AND(B111='111'!$L$11,OR($N111=$Q$7,$O111=$Q$7)),"x","")</f>
        <v/>
      </c>
      <c r="R111" s="84" t="str">
        <f>IF(AND($N111=$Q$7,$B111&lt;'111'!$L$11),"x","")</f>
        <v/>
      </c>
      <c r="S111" s="84" t="str">
        <f>IF(AND($O111=$Q$7,$B111&lt;'111'!$L$11),"x","")</f>
        <v/>
      </c>
      <c r="T111" s="84" t="str">
        <f>IF(ISERROR(FIND('112'!$M$9,G111,1)),"",IF((AND(FIND('112'!$M$9,G111,1)&gt;=1,B111='112'!$K$9,OR($N111='112'!$I$6,$O111='112'!$I$6))),"x",""))</f>
        <v/>
      </c>
      <c r="U111" s="84" t="str">
        <f>IF(ISERROR(FIND('112'!$M$9,G111,1)),"",IF((AND(LEFT(G111,2)=LEFT('112'!$M$9,2),B111&lt;'112'!$K$9,$N111='112'!$I$6)),"x",""))</f>
        <v/>
      </c>
      <c r="V111" s="84" t="str">
        <f>IF(ISERROR(FIND('112'!$M$9,G111,1)),"",IF((AND(RIGHT(G111,2)=RIGHT('112'!$M$9,2),B111&lt;'112'!$K$9,$O111='112'!$I$6)),"x",""))</f>
        <v/>
      </c>
      <c r="W111" s="84" t="str">
        <f>IF(AND('341-CT'!$H$9=H111,OR(LEFT(N111,3)=$W$7,LEFT(O111,3)=$W$7)),"x","")</f>
        <v/>
      </c>
      <c r="X111" s="84" t="str">
        <f>IF(OR(TH!N111=TH!$X$7,O111=TH!$X$7),"x","")</f>
        <v/>
      </c>
      <c r="Y111" s="84" t="str">
        <f>IF(AND(OR(N111="131",O111="131"),H111='131-CT'!$H$9),"x","")</f>
        <v/>
      </c>
      <c r="Z111" s="84"/>
      <c r="AA111" s="84" t="str">
        <f>IF(AND(MONTH(E111)='IN-NX'!$J$5,'IN-NX'!$D$7=D111),"x","")</f>
        <v/>
      </c>
      <c r="AB111" s="84" t="str">
        <f>IF(AND(OR(LEFT(TH!N111,2)="15",LEFT(TH!O111,2)="15"),LEFT(TH!O111,3)&lt;&gt;"111",'152-CT'!$J$8=TH!F111),"x","")</f>
        <v/>
      </c>
      <c r="AC111" s="84" t="str">
        <f>IF(AND(OR(LEFT(TH!N111,2)="15",LEFT(TH!O111,2)="15"),TK!$E$7=TH!F111),"x","")</f>
        <v/>
      </c>
      <c r="AD111" s="84" t="str">
        <f>IF(AND(N111="1521",MONTH(C111)='BK-NL'!$M$11),"x","")</f>
        <v/>
      </c>
    </row>
    <row r="112" spans="1:30" s="341" customFormat="1" ht="15.75" hidden="1" customHeight="1">
      <c r="A112" s="336" t="str">
        <f>IF(B112&lt;&gt;"",IF(AND(B112='IN-TC'!$S$4,OR(TH!N112="1111",TH!O112="1111")),TH!D112,""),"")</f>
        <v/>
      </c>
      <c r="B112" s="63">
        <f t="shared" si="12"/>
        <v>5</v>
      </c>
      <c r="C112" s="871">
        <v>42521</v>
      </c>
      <c r="D112" s="871" t="s">
        <v>582</v>
      </c>
      <c r="E112" s="871">
        <f t="shared" si="14"/>
        <v>42521</v>
      </c>
      <c r="F112" s="73" t="s">
        <v>1335</v>
      </c>
      <c r="G112" s="276"/>
      <c r="H112" s="322"/>
      <c r="I112" s="437"/>
      <c r="J112" s="437"/>
      <c r="K112" s="428"/>
      <c r="L112" s="437"/>
      <c r="M112" s="877">
        <f>G106*$G111</f>
        <v>1426470</v>
      </c>
      <c r="N112" s="878" t="s">
        <v>592</v>
      </c>
      <c r="O112" s="878" t="s">
        <v>594</v>
      </c>
      <c r="P112" s="84" t="str">
        <f>IF(AND('331-CT'!$E$7=TH!H112,OR(N112="331",O112="331")),"x","")</f>
        <v/>
      </c>
      <c r="Q112" s="84" t="str">
        <f>IF(AND(B112='111'!$L$11,OR($N112=$Q$7,$O112=$Q$7)),"x","")</f>
        <v/>
      </c>
      <c r="R112" s="84" t="str">
        <f>IF(AND($N112=$Q$7,$B112&lt;'111'!$L$11),"x","")</f>
        <v/>
      </c>
      <c r="S112" s="84" t="str">
        <f>IF(AND($O112=$Q$7,$B112&lt;'111'!$L$11),"x","")</f>
        <v/>
      </c>
      <c r="T112" s="84" t="str">
        <f>IF(ISERROR(FIND('112'!$M$9,G112,1)),"",IF((AND(FIND('112'!$M$9,G112,1)&gt;=1,B112='112'!$K$9,OR($N112='112'!$I$6,$O112='112'!$I$6))),"x",""))</f>
        <v/>
      </c>
      <c r="U112" s="84" t="str">
        <f>IF(ISERROR(FIND('112'!$M$9,G112,1)),"",IF((AND(LEFT(G112,2)=LEFT('112'!$M$9,2),B112&lt;'112'!$K$9,$N112='112'!$I$6)),"x",""))</f>
        <v/>
      </c>
      <c r="V112" s="84" t="str">
        <f>IF(ISERROR(FIND('112'!$M$9,G112,1)),"",IF((AND(RIGHT(G112,2)=RIGHT('112'!$M$9,2),B112&lt;'112'!$K$9,$O112='112'!$I$6)),"x",""))</f>
        <v/>
      </c>
      <c r="W112" s="84" t="str">
        <f>IF(AND('341-CT'!$H$9=H112,OR(LEFT(N112,3)=$W$7,LEFT(O112,3)=$W$7)),"x","")</f>
        <v/>
      </c>
      <c r="X112" s="84" t="str">
        <f>IF(OR(TH!N112=TH!$X$7,O112=TH!$X$7),"x","")</f>
        <v/>
      </c>
      <c r="Y112" s="84" t="str">
        <f>IF(AND(OR(N112="131",O112="131"),H112='131-CT'!$H$9),"x","")</f>
        <v/>
      </c>
      <c r="Z112" s="84"/>
      <c r="AA112" s="84" t="str">
        <f>IF(AND(MONTH(E112)='IN-NX'!$J$5,'IN-NX'!$D$7=D112),"x","")</f>
        <v/>
      </c>
      <c r="AB112" s="84" t="str">
        <f>IF(AND(OR(LEFT(TH!N112,2)="15",LEFT(TH!O112,2)="15"),LEFT(TH!O112,3)&lt;&gt;"111",'152-CT'!$J$8=TH!F112),"x","")</f>
        <v/>
      </c>
      <c r="AC112" s="84" t="str">
        <f>IF(AND(OR(LEFT(TH!N112,2)="15",LEFT(TH!O112,2)="15"),TK!$E$7=TH!F112),"x","")</f>
        <v/>
      </c>
      <c r="AD112" s="84" t="str">
        <f>IF(AND(N112="1521",MONTH(C112)='BK-NL'!$M$11),"x","")</f>
        <v/>
      </c>
    </row>
    <row r="113" spans="1:30" s="341" customFormat="1" ht="15.75" hidden="1" customHeight="1">
      <c r="A113" s="336" t="str">
        <f>IF(B113&lt;&gt;"",IF(AND(B113='IN-TC'!$S$4,OR(TH!N113="1111",TH!O113="1111")),TH!D113,""),"")</f>
        <v/>
      </c>
      <c r="B113" s="63">
        <f t="shared" si="12"/>
        <v>5</v>
      </c>
      <c r="C113" s="871">
        <v>42521</v>
      </c>
      <c r="D113" s="871" t="s">
        <v>582</v>
      </c>
      <c r="E113" s="871">
        <f t="shared" si="14"/>
        <v>42521</v>
      </c>
      <c r="F113" s="73" t="s">
        <v>1336</v>
      </c>
      <c r="G113" s="976" t="s">
        <v>586</v>
      </c>
      <c r="H113" s="320"/>
      <c r="I113" s="439"/>
      <c r="J113" s="439"/>
      <c r="K113" s="430"/>
      <c r="L113" s="439"/>
      <c r="M113" s="877">
        <f>G105*$G113</f>
        <v>1228110</v>
      </c>
      <c r="N113" s="878" t="s">
        <v>591</v>
      </c>
      <c r="O113" s="878" t="s">
        <v>594</v>
      </c>
      <c r="P113" s="84" t="str">
        <f>IF(AND('331-CT'!$E$7=TH!H113,OR(N113="331",O113="331")),"x","")</f>
        <v/>
      </c>
      <c r="Q113" s="84" t="str">
        <f>IF(AND(B113='111'!$L$11,OR($N113=$Q$7,$O113=$Q$7)),"x","")</f>
        <v/>
      </c>
      <c r="R113" s="84" t="str">
        <f>IF(AND($N113=$Q$7,$B113&lt;'111'!$L$11),"x","")</f>
        <v/>
      </c>
      <c r="S113" s="84" t="str">
        <f>IF(AND($O113=$Q$7,$B113&lt;'111'!$L$11),"x","")</f>
        <v/>
      </c>
      <c r="T113" s="84" t="str">
        <f>IF(ISERROR(FIND('112'!$M$9,G113,1)),"",IF((AND(FIND('112'!$M$9,G113,1)&gt;=1,B113='112'!$K$9,OR($N113='112'!$I$6,$O113='112'!$I$6))),"x",""))</f>
        <v/>
      </c>
      <c r="U113" s="84" t="str">
        <f>IF(ISERROR(FIND('112'!$M$9,G113,1)),"",IF((AND(LEFT(G113,2)=LEFT('112'!$M$9,2),B113&lt;'112'!$K$9,$N113='112'!$I$6)),"x",""))</f>
        <v/>
      </c>
      <c r="V113" s="84" t="str">
        <f>IF(ISERROR(FIND('112'!$M$9,G113,1)),"",IF((AND(RIGHT(G113,2)=RIGHT('112'!$M$9,2),B113&lt;'112'!$K$9,$O113='112'!$I$6)),"x",""))</f>
        <v/>
      </c>
      <c r="W113" s="84" t="str">
        <f>IF(AND('341-CT'!$H$9=H113,OR(LEFT(N113,3)=$W$7,LEFT(O113,3)=$W$7)),"x","")</f>
        <v/>
      </c>
      <c r="X113" s="84" t="str">
        <f>IF(OR(TH!N113=TH!$X$7,O113=TH!$X$7),"x","")</f>
        <v/>
      </c>
      <c r="Y113" s="84" t="str">
        <f>IF(AND(OR(N113="131",O113="131"),H113='131-CT'!$H$9),"x","")</f>
        <v/>
      </c>
      <c r="Z113" s="84"/>
      <c r="AA113" s="84" t="str">
        <f>IF(AND(MONTH(E113)='IN-NX'!$J$5,'IN-NX'!$D$7=D113),"x","")</f>
        <v/>
      </c>
      <c r="AB113" s="84" t="str">
        <f>IF(AND(OR(LEFT(TH!N113,2)="15",LEFT(TH!O113,2)="15"),LEFT(TH!O113,3)&lt;&gt;"111",'152-CT'!$J$8=TH!F113),"x","")</f>
        <v/>
      </c>
      <c r="AC113" s="84" t="str">
        <f>IF(AND(OR(LEFT(TH!N113,2)="15",LEFT(TH!O113,2)="15"),TK!$E$7=TH!F113),"x","")</f>
        <v/>
      </c>
      <c r="AD113" s="84" t="str">
        <f>IF(AND(N113="1521",MONTH(C113)='BK-NL'!$M$11),"x","")</f>
        <v/>
      </c>
    </row>
    <row r="114" spans="1:30" s="341" customFormat="1" ht="15.75" hidden="1" customHeight="1">
      <c r="A114" s="336" t="str">
        <f>IF(B114&lt;&gt;"",IF(AND(B114='IN-TC'!$S$4,OR(TH!N114="1111",TH!O114="1111")),TH!D114,""),"")</f>
        <v/>
      </c>
      <c r="B114" s="63">
        <f t="shared" si="12"/>
        <v>5</v>
      </c>
      <c r="C114" s="871">
        <v>42521</v>
      </c>
      <c r="D114" s="871" t="s">
        <v>582</v>
      </c>
      <c r="E114" s="871">
        <f t="shared" si="14"/>
        <v>42521</v>
      </c>
      <c r="F114" s="73" t="s">
        <v>1337</v>
      </c>
      <c r="G114" s="276"/>
      <c r="H114" s="320"/>
      <c r="I114" s="439"/>
      <c r="J114" s="439"/>
      <c r="K114" s="430"/>
      <c r="L114" s="439"/>
      <c r="M114" s="877">
        <f>G106*$G113</f>
        <v>2852940</v>
      </c>
      <c r="N114" s="878" t="s">
        <v>282</v>
      </c>
      <c r="O114" s="878" t="s">
        <v>594</v>
      </c>
      <c r="P114" s="84" t="str">
        <f>IF(AND('331-CT'!$E$7=TH!H114,OR(N114="331",O114="331")),"x","")</f>
        <v/>
      </c>
      <c r="Q114" s="84" t="str">
        <f>IF(AND(B114='111'!$L$11,OR($N114=$Q$7,$O114=$Q$7)),"x","")</f>
        <v/>
      </c>
      <c r="R114" s="84" t="str">
        <f>IF(AND($N114=$Q$7,$B114&lt;'111'!$L$11),"x","")</f>
        <v/>
      </c>
      <c r="S114" s="84" t="str">
        <f>IF(AND($O114=$Q$7,$B114&lt;'111'!$L$11),"x","")</f>
        <v/>
      </c>
      <c r="T114" s="84" t="str">
        <f>IF(ISERROR(FIND('112'!$M$9,G114,1)),"",IF((AND(FIND('112'!$M$9,G114,1)&gt;=1,B114='112'!$K$9,OR($N114='112'!$I$6,$O114='112'!$I$6))),"x",""))</f>
        <v/>
      </c>
      <c r="U114" s="84" t="str">
        <f>IF(ISERROR(FIND('112'!$M$9,G114,1)),"",IF((AND(LEFT(G114,2)=LEFT('112'!$M$9,2),B114&lt;'112'!$K$9,$N114='112'!$I$6)),"x",""))</f>
        <v/>
      </c>
      <c r="V114" s="84" t="str">
        <f>IF(ISERROR(FIND('112'!$M$9,G114,1)),"",IF((AND(RIGHT(G114,2)=RIGHT('112'!$M$9,2),B114&lt;'112'!$K$9,$O114='112'!$I$6)),"x",""))</f>
        <v/>
      </c>
      <c r="W114" s="84" t="str">
        <f>IF(AND('341-CT'!$H$9=H114,OR(LEFT(N114,3)=$W$7,LEFT(O114,3)=$W$7)),"x","")</f>
        <v/>
      </c>
      <c r="X114" s="84" t="str">
        <f>IF(OR(TH!N114=TH!$X$7,O114=TH!$X$7),"x","")</f>
        <v/>
      </c>
      <c r="Y114" s="84" t="str">
        <f>IF(AND(OR(N114="131",O114="131"),H114='131-CT'!$H$9),"x","")</f>
        <v/>
      </c>
      <c r="Z114" s="84"/>
      <c r="AA114" s="84" t="str">
        <f>IF(AND(MONTH(E114)='IN-NX'!$J$5,'IN-NX'!$D$7=D114),"x","")</f>
        <v/>
      </c>
      <c r="AB114" s="84" t="str">
        <f>IF(AND(OR(LEFT(TH!N114,2)="15",LEFT(TH!O114,2)="15"),LEFT(TH!O114,3)&lt;&gt;"111",'152-CT'!$J$8=TH!F114),"x","")</f>
        <v/>
      </c>
      <c r="AC114" s="84" t="str">
        <f>IF(AND(OR(LEFT(TH!N114,2)="15",LEFT(TH!O114,2)="15"),TK!$E$7=TH!F114),"x","")</f>
        <v/>
      </c>
      <c r="AD114" s="84" t="str">
        <f>IF(AND(N114="1521",MONTH(C114)='BK-NL'!$M$11),"x","")</f>
        <v/>
      </c>
    </row>
    <row r="115" spans="1:30" s="341" customFormat="1" ht="15.75" hidden="1" customHeight="1">
      <c r="A115" s="336" t="str">
        <f>IF(B115&lt;&gt;"",IF(AND(B115='IN-TC'!$S$4,OR(TH!N115="1111",TH!O115="1111")),TH!D115,""),"")</f>
        <v/>
      </c>
      <c r="B115" s="63">
        <f t="shared" si="12"/>
        <v>5</v>
      </c>
      <c r="C115" s="871">
        <v>42521</v>
      </c>
      <c r="D115" s="871" t="s">
        <v>582</v>
      </c>
      <c r="E115" s="871">
        <f t="shared" si="14"/>
        <v>42521</v>
      </c>
      <c r="F115" s="73" t="s">
        <v>1338</v>
      </c>
      <c r="G115" s="976" t="s">
        <v>587</v>
      </c>
      <c r="H115" s="320"/>
      <c r="I115" s="439"/>
      <c r="J115" s="439"/>
      <c r="K115" s="430"/>
      <c r="L115" s="439"/>
      <c r="M115" s="877">
        <f>G105*$G115</f>
        <v>409370</v>
      </c>
      <c r="N115" s="878" t="s">
        <v>592</v>
      </c>
      <c r="O115" s="878" t="s">
        <v>595</v>
      </c>
      <c r="P115" s="84" t="str">
        <f>IF(AND('331-CT'!$E$7=TH!H115,OR(N115="331",O115="331")),"x","")</f>
        <v/>
      </c>
      <c r="Q115" s="84" t="str">
        <f>IF(AND(B115='111'!$L$11,OR($N115=$Q$7,$O115=$Q$7)),"x","")</f>
        <v/>
      </c>
      <c r="R115" s="84" t="str">
        <f>IF(AND($N115=$Q$7,$B115&lt;'111'!$L$11),"x","")</f>
        <v/>
      </c>
      <c r="S115" s="84" t="str">
        <f>IF(AND($O115=$Q$7,$B115&lt;'111'!$L$11),"x","")</f>
        <v/>
      </c>
      <c r="T115" s="84" t="str">
        <f>IF(ISERROR(FIND('112'!$M$9,G115,1)),"",IF((AND(FIND('112'!$M$9,G115,1)&gt;=1,B115='112'!$K$9,OR($N115='112'!$I$6,$O115='112'!$I$6))),"x",""))</f>
        <v/>
      </c>
      <c r="U115" s="84" t="str">
        <f>IF(ISERROR(FIND('112'!$M$9,G115,1)),"",IF((AND(LEFT(G115,2)=LEFT('112'!$M$9,2),B115&lt;'112'!$K$9,$N115='112'!$I$6)),"x",""))</f>
        <v/>
      </c>
      <c r="V115" s="84" t="str">
        <f>IF(ISERROR(FIND('112'!$M$9,G115,1)),"",IF((AND(RIGHT(G115,2)=RIGHT('112'!$M$9,2),B115&lt;'112'!$K$9,$O115='112'!$I$6)),"x",""))</f>
        <v/>
      </c>
      <c r="W115" s="84" t="str">
        <f>IF(AND('341-CT'!$H$9=H115,OR(LEFT(N115,3)=$W$7,LEFT(O115,3)=$W$7)),"x","")</f>
        <v/>
      </c>
      <c r="X115" s="84" t="str">
        <f>IF(OR(TH!N115=TH!$X$7,O115=TH!$X$7),"x","")</f>
        <v/>
      </c>
      <c r="Y115" s="84" t="str">
        <f>IF(AND(OR(N115="131",O115="131"),H115='131-CT'!$H$9),"x","")</f>
        <v/>
      </c>
      <c r="Z115" s="84"/>
      <c r="AA115" s="84" t="str">
        <f>IF(AND(MONTH(E115)='IN-NX'!$J$5,'IN-NX'!$D$7=D115),"x","")</f>
        <v/>
      </c>
      <c r="AB115" s="84" t="str">
        <f>IF(AND(OR(LEFT(TH!N115,2)="15",LEFT(TH!O115,2)="15"),LEFT(TH!O115,3)&lt;&gt;"111",'152-CT'!$J$8=TH!F115),"x","")</f>
        <v/>
      </c>
      <c r="AC115" s="84" t="str">
        <f>IF(AND(OR(LEFT(TH!N115,2)="15",LEFT(TH!O115,2)="15"),TK!$E$7=TH!F115),"x","")</f>
        <v/>
      </c>
      <c r="AD115" s="84" t="str">
        <f>IF(AND(N115="1521",MONTH(C115)='BK-NL'!$M$11),"x","")</f>
        <v/>
      </c>
    </row>
    <row r="116" spans="1:30" s="341" customFormat="1" ht="15.75" hidden="1" customHeight="1">
      <c r="A116" s="336" t="str">
        <f>IF(B116&lt;&gt;"",IF(AND(B116='IN-TC'!$S$4,OR(TH!N116="1111",TH!O116="1111")),TH!D116,""),"")</f>
        <v/>
      </c>
      <c r="B116" s="63">
        <f t="shared" si="12"/>
        <v>5</v>
      </c>
      <c r="C116" s="871">
        <v>42521</v>
      </c>
      <c r="D116" s="871" t="s">
        <v>582</v>
      </c>
      <c r="E116" s="871">
        <f t="shared" si="14"/>
        <v>42521</v>
      </c>
      <c r="F116" s="73" t="s">
        <v>1339</v>
      </c>
      <c r="G116" s="276"/>
      <c r="H116" s="320"/>
      <c r="I116" s="439"/>
      <c r="J116" s="439"/>
      <c r="K116" s="430"/>
      <c r="L116" s="439"/>
      <c r="M116" s="877">
        <f>G106*$G115</f>
        <v>950980</v>
      </c>
      <c r="N116" s="878" t="s">
        <v>592</v>
      </c>
      <c r="O116" s="878" t="s">
        <v>595</v>
      </c>
      <c r="P116" s="84" t="str">
        <f>IF(AND('331-CT'!$E$7=TH!H116,OR(N116="331",O116="331")),"x","")</f>
        <v/>
      </c>
      <c r="Q116" s="84" t="str">
        <f>IF(AND(B116='111'!$L$11,OR($N116=$Q$7,$O116=$Q$7)),"x","")</f>
        <v/>
      </c>
      <c r="R116" s="84" t="str">
        <f>IF(AND($N116=$Q$7,$B116&lt;'111'!$L$11),"x","")</f>
        <v/>
      </c>
      <c r="S116" s="84" t="str">
        <f>IF(AND($O116=$Q$7,$B116&lt;'111'!$L$11),"x","")</f>
        <v/>
      </c>
      <c r="T116" s="84" t="str">
        <f>IF(ISERROR(FIND('112'!$M$9,G116,1)),"",IF((AND(FIND('112'!$M$9,G116,1)&gt;=1,B116='112'!$K$9,OR($N116='112'!$I$6,$O116='112'!$I$6))),"x",""))</f>
        <v/>
      </c>
      <c r="U116" s="84" t="str">
        <f>IF(ISERROR(FIND('112'!$M$9,G116,1)),"",IF((AND(LEFT(G116,2)=LEFT('112'!$M$9,2),B116&lt;'112'!$K$9,$N116='112'!$I$6)),"x",""))</f>
        <v/>
      </c>
      <c r="V116" s="84" t="str">
        <f>IF(ISERROR(FIND('112'!$M$9,G116,1)),"",IF((AND(RIGHT(G116,2)=RIGHT('112'!$M$9,2),B116&lt;'112'!$K$9,$O116='112'!$I$6)),"x",""))</f>
        <v/>
      </c>
      <c r="W116" s="84" t="str">
        <f>IF(AND('341-CT'!$H$9=H116,OR(LEFT(N116,3)=$W$7,LEFT(O116,3)=$W$7)),"x","")</f>
        <v/>
      </c>
      <c r="X116" s="84" t="str">
        <f>IF(OR(TH!N116=TH!$X$7,O116=TH!$X$7),"x","")</f>
        <v/>
      </c>
      <c r="Y116" s="84" t="str">
        <f>IF(AND(OR(N116="131",O116="131"),H116='131-CT'!$H$9),"x","")</f>
        <v/>
      </c>
      <c r="Z116" s="84"/>
      <c r="AA116" s="84" t="str">
        <f>IF(AND(MONTH(E116)='IN-NX'!$J$5,'IN-NX'!$D$7=D116),"x","")</f>
        <v/>
      </c>
      <c r="AB116" s="84" t="str">
        <f>IF(AND(OR(LEFT(TH!N116,2)="15",LEFT(TH!O116,2)="15"),LEFT(TH!O116,3)&lt;&gt;"111",'152-CT'!$J$8=TH!F116),"x","")</f>
        <v/>
      </c>
      <c r="AC116" s="84" t="str">
        <f>IF(AND(OR(LEFT(TH!N116,2)="15",LEFT(TH!O116,2)="15"),TK!$E$7=TH!F116),"x","")</f>
        <v/>
      </c>
      <c r="AD116" s="84" t="str">
        <f>IF(AND(N116="1521",MONTH(C116)='BK-NL'!$M$11),"x","")</f>
        <v/>
      </c>
    </row>
    <row r="117" spans="1:30" s="341" customFormat="1" ht="15.75" hidden="1" customHeight="1">
      <c r="A117" s="336" t="str">
        <f>IF(B117&lt;&gt;"",IF(AND(B117='IN-TC'!$S$4,OR(TH!N117="1111",TH!O117="1111")),TH!D117,""),"")</f>
        <v/>
      </c>
      <c r="B117" s="63">
        <f t="shared" si="12"/>
        <v>5</v>
      </c>
      <c r="C117" s="871">
        <v>42521</v>
      </c>
      <c r="D117" s="871" t="s">
        <v>582</v>
      </c>
      <c r="E117" s="871">
        <f t="shared" si="14"/>
        <v>42521</v>
      </c>
      <c r="F117" s="73" t="s">
        <v>1340</v>
      </c>
      <c r="G117" s="976" t="s">
        <v>587</v>
      </c>
      <c r="H117" s="1127"/>
      <c r="I117" s="440"/>
      <c r="J117" s="440"/>
      <c r="K117" s="431"/>
      <c r="L117" s="440"/>
      <c r="M117" s="877">
        <f>M115</f>
        <v>409370</v>
      </c>
      <c r="N117" s="878" t="s">
        <v>591</v>
      </c>
      <c r="O117" s="878" t="s">
        <v>595</v>
      </c>
      <c r="P117" s="84" t="str">
        <f>IF(AND('331-CT'!$E$7=TH!H117,OR(N117="331",O117="331")),"x","")</f>
        <v/>
      </c>
      <c r="Q117" s="84" t="str">
        <f>IF(AND(B117='111'!$L$11,OR($N117=$Q$7,$O117=$Q$7)),"x","")</f>
        <v/>
      </c>
      <c r="R117" s="84" t="str">
        <f>IF(AND($N117=$Q$7,$B117&lt;'111'!$L$11),"x","")</f>
        <v/>
      </c>
      <c r="S117" s="84" t="str">
        <f>IF(AND($O117=$Q$7,$B117&lt;'111'!$L$11),"x","")</f>
        <v/>
      </c>
      <c r="T117" s="84" t="str">
        <f>IF(ISERROR(FIND('112'!$M$9,G117,1)),"",IF((AND(FIND('112'!$M$9,G117,1)&gt;=1,B117='112'!$K$9,OR($N117='112'!$I$6,$O117='112'!$I$6))),"x",""))</f>
        <v/>
      </c>
      <c r="U117" s="84" t="str">
        <f>IF(ISERROR(FIND('112'!$M$9,G117,1)),"",IF((AND(LEFT(G117,2)=LEFT('112'!$M$9,2),B117&lt;'112'!$K$9,$N117='112'!$I$6)),"x",""))</f>
        <v/>
      </c>
      <c r="V117" s="84" t="str">
        <f>IF(ISERROR(FIND('112'!$M$9,G117,1)),"",IF((AND(RIGHT(G117,2)=RIGHT('112'!$M$9,2),B117&lt;'112'!$K$9,$O117='112'!$I$6)),"x",""))</f>
        <v/>
      </c>
      <c r="W117" s="84" t="str">
        <f>IF(AND('341-CT'!$H$9=H117,OR(LEFT(N117,3)=$W$7,LEFT(O117,3)=$W$7)),"x","")</f>
        <v/>
      </c>
      <c r="X117" s="84" t="str">
        <f>IF(OR(TH!N117=TH!$X$7,O117=TH!$X$7),"x","")</f>
        <v/>
      </c>
      <c r="Y117" s="84" t="str">
        <f>IF(AND(OR(N117="131",O117="131"),H117='131-CT'!$H$9),"x","")</f>
        <v/>
      </c>
      <c r="Z117" s="84"/>
      <c r="AA117" s="84" t="str">
        <f>IF(AND(MONTH(E117)='IN-NX'!$J$5,'IN-NX'!$D$7=D117),"x","")</f>
        <v/>
      </c>
      <c r="AB117" s="84" t="str">
        <f>IF(AND(OR(LEFT(TH!N117,2)="15",LEFT(TH!O117,2)="15"),LEFT(TH!O117,3)&lt;&gt;"111",'152-CT'!$J$8=TH!F117),"x","")</f>
        <v/>
      </c>
      <c r="AC117" s="84" t="str">
        <f>IF(AND(OR(LEFT(TH!N117,2)="15",LEFT(TH!O117,2)="15"),TK!$E$7=TH!F117),"x","")</f>
        <v/>
      </c>
      <c r="AD117" s="84" t="str">
        <f>IF(AND(N117="1521",MONTH(C117)='BK-NL'!$M$11),"x","")</f>
        <v/>
      </c>
    </row>
    <row r="118" spans="1:30" s="341" customFormat="1" ht="15.75" hidden="1" customHeight="1">
      <c r="A118" s="336" t="str">
        <f>IF(B118&lt;&gt;"",IF(AND(B118='IN-TC'!$S$4,OR(TH!N118="1111",TH!O118="1111")),TH!D118,""),"")</f>
        <v/>
      </c>
      <c r="B118" s="63">
        <f t="shared" si="12"/>
        <v>5</v>
      </c>
      <c r="C118" s="871">
        <v>42521</v>
      </c>
      <c r="D118" s="871" t="s">
        <v>582</v>
      </c>
      <c r="E118" s="871">
        <f t="shared" si="14"/>
        <v>42521</v>
      </c>
      <c r="F118" s="73" t="s">
        <v>1341</v>
      </c>
      <c r="G118" s="276"/>
      <c r="H118" s="320"/>
      <c r="I118" s="439"/>
      <c r="J118" s="439"/>
      <c r="K118" s="430"/>
      <c r="L118" s="439"/>
      <c r="M118" s="877">
        <f>M116</f>
        <v>950980</v>
      </c>
      <c r="N118" s="878" t="s">
        <v>282</v>
      </c>
      <c r="O118" s="878" t="s">
        <v>595</v>
      </c>
      <c r="P118" s="84" t="str">
        <f>IF(AND('331-CT'!$E$7=TH!H118,OR(N118="331",O118="331")),"x","")</f>
        <v/>
      </c>
      <c r="Q118" s="84" t="str">
        <f>IF(AND(B118='111'!$L$11,OR($N118=$Q$7,$O118=$Q$7)),"x","")</f>
        <v/>
      </c>
      <c r="R118" s="84" t="str">
        <f>IF(AND($N118=$Q$7,$B118&lt;'111'!$L$11),"x","")</f>
        <v/>
      </c>
      <c r="S118" s="84" t="str">
        <f>IF(AND($O118=$Q$7,$B118&lt;'111'!$L$11),"x","")</f>
        <v/>
      </c>
      <c r="T118" s="84" t="str">
        <f>IF(ISERROR(FIND('112'!$M$9,G118,1)),"",IF((AND(FIND('112'!$M$9,G118,1)&gt;=1,B118='112'!$K$9,OR($N118='112'!$I$6,$O118='112'!$I$6))),"x",""))</f>
        <v/>
      </c>
      <c r="U118" s="84" t="str">
        <f>IF(ISERROR(FIND('112'!$M$9,G118,1)),"",IF((AND(LEFT(G118,2)=LEFT('112'!$M$9,2),B118&lt;'112'!$K$9,$N118='112'!$I$6)),"x",""))</f>
        <v/>
      </c>
      <c r="V118" s="84" t="str">
        <f>IF(ISERROR(FIND('112'!$M$9,G118,1)),"",IF((AND(RIGHT(G118,2)=RIGHT('112'!$M$9,2),B118&lt;'112'!$K$9,$O118='112'!$I$6)),"x",""))</f>
        <v/>
      </c>
      <c r="W118" s="84" t="str">
        <f>IF(AND('341-CT'!$H$9=H118,OR(LEFT(N118,3)=$W$7,LEFT(O118,3)=$W$7)),"x","")</f>
        <v/>
      </c>
      <c r="X118" s="84" t="str">
        <f>IF(OR(TH!N118=TH!$X$7,O118=TH!$X$7),"x","")</f>
        <v/>
      </c>
      <c r="Y118" s="84" t="str">
        <f>IF(AND(OR(N118="131",O118="131"),H118='131-CT'!$H$9),"x","")</f>
        <v/>
      </c>
      <c r="Z118" s="84"/>
      <c r="AA118" s="84" t="str">
        <f>IF(AND(MONTH(E118)='IN-NX'!$J$5,'IN-NX'!$D$7=D118),"x","")</f>
        <v/>
      </c>
      <c r="AB118" s="84" t="str">
        <f>IF(AND(OR(LEFT(TH!N118,2)="15",LEFT(TH!O118,2)="15"),LEFT(TH!O118,3)&lt;&gt;"111",'152-CT'!$J$8=TH!F118),"x","")</f>
        <v/>
      </c>
      <c r="AC118" s="84" t="str">
        <f>IF(AND(OR(LEFT(TH!N118,2)="15",LEFT(TH!O118,2)="15"),TK!$E$7=TH!F118),"x","")</f>
        <v/>
      </c>
      <c r="AD118" s="84" t="str">
        <f>IF(AND(N118="1521",MONTH(C118)='BK-NL'!$M$11),"x","")</f>
        <v/>
      </c>
    </row>
    <row r="119" spans="1:30" s="341" customFormat="1" ht="15.75" hidden="1" customHeight="1">
      <c r="A119" s="336" t="str">
        <f>IF(B119&lt;&gt;"",IF(AND(B119='IN-TC'!$S$4,OR(TH!N119="1111",TH!O119="1111")),TH!D119,""),"")</f>
        <v/>
      </c>
      <c r="B119" s="63">
        <f t="shared" si="12"/>
        <v>6</v>
      </c>
      <c r="C119" s="871">
        <v>42551</v>
      </c>
      <c r="D119" s="871" t="s">
        <v>582</v>
      </c>
      <c r="E119" s="871">
        <f t="shared" si="14"/>
        <v>42551</v>
      </c>
      <c r="F119" s="73" t="s">
        <v>1328</v>
      </c>
      <c r="G119" s="276">
        <v>40937000</v>
      </c>
      <c r="H119" s="320"/>
      <c r="I119" s="439"/>
      <c r="J119" s="439"/>
      <c r="K119" s="430"/>
      <c r="L119" s="439"/>
      <c r="M119" s="877">
        <v>43898320</v>
      </c>
      <c r="N119" s="878" t="s">
        <v>591</v>
      </c>
      <c r="O119" s="878" t="s">
        <v>592</v>
      </c>
      <c r="P119" s="84" t="str">
        <f>IF(AND('331-CT'!$E$7=TH!H119,OR(N119="331",O119="331")),"x","")</f>
        <v/>
      </c>
      <c r="Q119" s="84" t="str">
        <f>IF(AND(B119='111'!$L$11,OR($N119=$Q$7,$O119=$Q$7)),"x","")</f>
        <v/>
      </c>
      <c r="R119" s="84" t="str">
        <f>IF(AND($N119=$Q$7,$B119&lt;'111'!$L$11),"x","")</f>
        <v/>
      </c>
      <c r="S119" s="84" t="str">
        <f>IF(AND($O119=$Q$7,$B119&lt;'111'!$L$11),"x","")</f>
        <v/>
      </c>
      <c r="T119" s="84" t="str">
        <f>IF(ISERROR(FIND('112'!$M$9,G119,1)),"",IF((AND(FIND('112'!$M$9,G119,1)&gt;=1,B119='112'!$K$9,OR($N119='112'!$I$6,$O119='112'!$I$6))),"x",""))</f>
        <v/>
      </c>
      <c r="U119" s="84" t="str">
        <f>IF(ISERROR(FIND('112'!$M$9,G119,1)),"",IF((AND(LEFT(G119,2)=LEFT('112'!$M$9,2),B119&lt;'112'!$K$9,$N119='112'!$I$6)),"x",""))</f>
        <v/>
      </c>
      <c r="V119" s="84" t="str">
        <f>IF(ISERROR(FIND('112'!$M$9,G119,1)),"",IF((AND(RIGHT(G119,2)=RIGHT('112'!$M$9,2),B119&lt;'112'!$K$9,$O119='112'!$I$6)),"x",""))</f>
        <v/>
      </c>
      <c r="W119" s="84" t="str">
        <f>IF(AND('341-CT'!$H$9=H119,OR(LEFT(N119,3)=$W$7,LEFT(O119,3)=$W$7)),"x","")</f>
        <v/>
      </c>
      <c r="X119" s="84" t="str">
        <f>IF(OR(TH!N119=TH!$X$7,O119=TH!$X$7),"x","")</f>
        <v/>
      </c>
      <c r="Y119" s="84" t="str">
        <f>IF(AND(OR(N119="131",O119="131"),H119='131-CT'!$H$9),"x","")</f>
        <v/>
      </c>
      <c r="Z119" s="84"/>
      <c r="AA119" s="84" t="str">
        <f>IF(AND(MONTH(E119)='IN-NX'!$J$5,'IN-NX'!$D$7=D119),"x","")</f>
        <v/>
      </c>
      <c r="AB119" s="84" t="str">
        <f>IF(AND(OR(LEFT(TH!N119,2)="15",LEFT(TH!O119,2)="15"),LEFT(TH!O119,3)&lt;&gt;"111",'152-CT'!$J$8=TH!F119),"x","")</f>
        <v/>
      </c>
      <c r="AC119" s="84" t="str">
        <f>IF(AND(OR(LEFT(TH!N119,2)="15",LEFT(TH!O119,2)="15"),TK!$E$7=TH!F119),"x","")</f>
        <v/>
      </c>
      <c r="AD119" s="84" t="str">
        <f>IF(AND(N119="1521",MONTH(C119)='BK-NL'!$M$11),"x","")</f>
        <v/>
      </c>
    </row>
    <row r="120" spans="1:30" s="341" customFormat="1" ht="15.75" hidden="1" customHeight="1">
      <c r="A120" s="336" t="str">
        <f>IF(B120&lt;&gt;"",IF(AND(B120='IN-TC'!$S$4,OR(TH!N120="1111",TH!O120="1111")),TH!D120,""),"")</f>
        <v/>
      </c>
      <c r="B120" s="63">
        <f t="shared" si="12"/>
        <v>6</v>
      </c>
      <c r="C120" s="871">
        <v>42551</v>
      </c>
      <c r="D120" s="871" t="s">
        <v>582</v>
      </c>
      <c r="E120" s="871">
        <f t="shared" si="14"/>
        <v>42551</v>
      </c>
      <c r="F120" s="73" t="s">
        <v>1329</v>
      </c>
      <c r="G120" s="276">
        <f>95098000-16585000</f>
        <v>78513000</v>
      </c>
      <c r="H120" s="320"/>
      <c r="I120" s="439"/>
      <c r="J120" s="439"/>
      <c r="K120" s="430"/>
      <c r="L120" s="439"/>
      <c r="M120" s="877">
        <v>109821920</v>
      </c>
      <c r="N120" s="878" t="s">
        <v>282</v>
      </c>
      <c r="O120" s="878" t="s">
        <v>592</v>
      </c>
      <c r="P120" s="84" t="str">
        <f>IF(AND('331-CT'!$E$7=TH!H120,OR(N120="331",O120="331")),"x","")</f>
        <v/>
      </c>
      <c r="Q120" s="84" t="str">
        <f>IF(AND(B120='111'!$L$11,OR($N120=$Q$7,$O120=$Q$7)),"x","")</f>
        <v/>
      </c>
      <c r="R120" s="84" t="str">
        <f>IF(AND($N120=$Q$7,$B120&lt;'111'!$L$11),"x","")</f>
        <v/>
      </c>
      <c r="S120" s="84" t="str">
        <f>IF(AND($O120=$Q$7,$B120&lt;'111'!$L$11),"x","")</f>
        <v/>
      </c>
      <c r="T120" s="84" t="str">
        <f>IF(ISERROR(FIND('112'!$M$9,G120,1)),"",IF((AND(FIND('112'!$M$9,G120,1)&gt;=1,B120='112'!$K$9,OR($N120='112'!$I$6,$O120='112'!$I$6))),"x",""))</f>
        <v/>
      </c>
      <c r="U120" s="84" t="str">
        <f>IF(ISERROR(FIND('112'!$M$9,G120,1)),"",IF((AND(LEFT(G120,2)=LEFT('112'!$M$9,2),B120&lt;'112'!$K$9,$N120='112'!$I$6)),"x",""))</f>
        <v/>
      </c>
      <c r="V120" s="84" t="str">
        <f>IF(ISERROR(FIND('112'!$M$9,G120,1)),"",IF((AND(RIGHT(G120,2)=RIGHT('112'!$M$9,2),B120&lt;'112'!$K$9,$O120='112'!$I$6)),"x",""))</f>
        <v/>
      </c>
      <c r="W120" s="84" t="str">
        <f>IF(AND('341-CT'!$H$9=H120,OR(LEFT(N120,3)=$W$7,LEFT(O120,3)=$W$7)),"x","")</f>
        <v/>
      </c>
      <c r="X120" s="84" t="str">
        <f>IF(OR(TH!N120=TH!$X$7,O120=TH!$X$7),"x","")</f>
        <v/>
      </c>
      <c r="Y120" s="84" t="str">
        <f>IF(AND(OR(N120="131",O120="131"),H120='131-CT'!$H$9),"x","")</f>
        <v/>
      </c>
      <c r="Z120" s="84"/>
      <c r="AA120" s="84" t="str">
        <f>IF(AND(MONTH(E120)='IN-NX'!$J$5,'IN-NX'!$D$7=D120),"x","")</f>
        <v/>
      </c>
      <c r="AB120" s="84" t="str">
        <f>IF(AND(OR(LEFT(TH!N120,2)="15",LEFT(TH!O120,2)="15"),LEFT(TH!O120,3)&lt;&gt;"111",'152-CT'!$J$8=TH!F120),"x","")</f>
        <v/>
      </c>
      <c r="AC120" s="84" t="str">
        <f>IF(AND(OR(LEFT(TH!N120,2)="15",LEFT(TH!O120,2)="15"),TK!$E$7=TH!F120),"x","")</f>
        <v/>
      </c>
      <c r="AD120" s="84" t="str">
        <f>IF(AND(N120="1521",MONTH(C120)='BK-NL'!$M$11),"x","")</f>
        <v/>
      </c>
    </row>
    <row r="121" spans="1:30" s="341" customFormat="1" ht="15.75" hidden="1" customHeight="1">
      <c r="A121" s="336" t="str">
        <f>IF(B121&lt;&gt;"",IF(AND(B121='IN-TC'!$S$4,OR(TH!N121="1111",TH!O121="1111")),TH!D121,""),"")</f>
        <v/>
      </c>
      <c r="B121" s="63">
        <f t="shared" si="12"/>
        <v>6</v>
      </c>
      <c r="C121" s="871">
        <v>42551</v>
      </c>
      <c r="D121" s="871" t="s">
        <v>582</v>
      </c>
      <c r="E121" s="871">
        <f t="shared" si="14"/>
        <v>42551</v>
      </c>
      <c r="F121" s="73" t="s">
        <v>1330</v>
      </c>
      <c r="G121" s="976" t="s">
        <v>583</v>
      </c>
      <c r="H121" s="320"/>
      <c r="I121" s="439"/>
      <c r="J121" s="439"/>
      <c r="K121" s="430"/>
      <c r="L121" s="439"/>
      <c r="M121" s="877">
        <f>G119*$G121</f>
        <v>3274960</v>
      </c>
      <c r="N121" s="878" t="s">
        <v>592</v>
      </c>
      <c r="O121" s="878" t="s">
        <v>593</v>
      </c>
      <c r="P121" s="84" t="str">
        <f>IF(AND('331-CT'!$E$7=TH!H121,OR(N121="331",O121="331")),"x","")</f>
        <v/>
      </c>
      <c r="Q121" s="84" t="str">
        <f>IF(AND(B121='111'!$L$11,OR($N121=$Q$7,$O121=$Q$7)),"x","")</f>
        <v/>
      </c>
      <c r="R121" s="84" t="str">
        <f>IF(AND($N121=$Q$7,$B121&lt;'111'!$L$11),"x","")</f>
        <v/>
      </c>
      <c r="S121" s="84" t="str">
        <f>IF(AND($O121=$Q$7,$B121&lt;'111'!$L$11),"x","")</f>
        <v/>
      </c>
      <c r="T121" s="84" t="str">
        <f>IF(ISERROR(FIND('112'!$M$9,G121,1)),"",IF((AND(FIND('112'!$M$9,G121,1)&gt;=1,B121='112'!$K$9,OR($N121='112'!$I$6,$O121='112'!$I$6))),"x",""))</f>
        <v/>
      </c>
      <c r="U121" s="84" t="str">
        <f>IF(ISERROR(FIND('112'!$M$9,G121,1)),"",IF((AND(LEFT(G121,2)=LEFT('112'!$M$9,2),B121&lt;'112'!$K$9,$N121='112'!$I$6)),"x",""))</f>
        <v/>
      </c>
      <c r="V121" s="84" t="str">
        <f>IF(ISERROR(FIND('112'!$M$9,G121,1)),"",IF((AND(RIGHT(G121,2)=RIGHT('112'!$M$9,2),B121&lt;'112'!$K$9,$O121='112'!$I$6)),"x",""))</f>
        <v/>
      </c>
      <c r="W121" s="84" t="str">
        <f>IF(AND('341-CT'!$H$9=H121,OR(LEFT(N121,3)=$W$7,LEFT(O121,3)=$W$7)),"x","")</f>
        <v/>
      </c>
      <c r="X121" s="84" t="str">
        <f>IF(OR(TH!N121=TH!$X$7,O121=TH!$X$7),"x","")</f>
        <v/>
      </c>
      <c r="Y121" s="84" t="str">
        <f>IF(AND(OR(N121="131",O121="131"),H121='131-CT'!$H$9),"x","")</f>
        <v/>
      </c>
      <c r="Z121" s="84"/>
      <c r="AA121" s="84" t="str">
        <f>IF(AND(MONTH(E121)='IN-NX'!$J$5,'IN-NX'!$D$7=D121),"x","")</f>
        <v/>
      </c>
      <c r="AB121" s="84" t="str">
        <f>IF(AND(OR(LEFT(TH!N121,2)="15",LEFT(TH!O121,2)="15"),LEFT(TH!O121,3)&lt;&gt;"111",'152-CT'!$J$8=TH!F121),"x","")</f>
        <v/>
      </c>
      <c r="AC121" s="84" t="str">
        <f>IF(AND(OR(LEFT(TH!N121,2)="15",LEFT(TH!O121,2)="15"),TK!$E$7=TH!F121),"x","")</f>
        <v/>
      </c>
      <c r="AD121" s="84" t="str">
        <f>IF(AND(N121="1521",MONTH(C121)='BK-NL'!$M$11),"x","")</f>
        <v/>
      </c>
    </row>
    <row r="122" spans="1:30" s="341" customFormat="1" ht="15.75" hidden="1" customHeight="1">
      <c r="A122" s="336" t="str">
        <f>IF(B122&lt;&gt;"",IF(AND(B122='IN-TC'!$S$4,OR(TH!N122="1111",TH!O122="1111")),TH!D122,""),"")</f>
        <v/>
      </c>
      <c r="B122" s="63">
        <f t="shared" si="12"/>
        <v>6</v>
      </c>
      <c r="C122" s="871">
        <v>42551</v>
      </c>
      <c r="D122" s="871" t="s">
        <v>582</v>
      </c>
      <c r="E122" s="871">
        <f t="shared" si="14"/>
        <v>42551</v>
      </c>
      <c r="F122" s="73" t="s">
        <v>1331</v>
      </c>
      <c r="G122" s="276"/>
      <c r="H122" s="320"/>
      <c r="I122" s="439"/>
      <c r="J122" s="439"/>
      <c r="K122" s="430"/>
      <c r="L122" s="439"/>
      <c r="M122" s="877">
        <f>G120*$G121</f>
        <v>6281040</v>
      </c>
      <c r="N122" s="879" t="s">
        <v>592</v>
      </c>
      <c r="O122" s="880" t="s">
        <v>593</v>
      </c>
      <c r="P122" s="84" t="str">
        <f>IF(AND('331-CT'!$E$7=TH!H122,OR(N122="331",O122="331")),"x","")</f>
        <v/>
      </c>
      <c r="Q122" s="84" t="str">
        <f>IF(AND(B122='111'!$L$11,OR($N122=$Q$7,$O122=$Q$7)),"x","")</f>
        <v/>
      </c>
      <c r="R122" s="84" t="str">
        <f>IF(AND($N122=$Q$7,$B122&lt;'111'!$L$11),"x","")</f>
        <v/>
      </c>
      <c r="S122" s="84" t="str">
        <f>IF(AND($O122=$Q$7,$B122&lt;'111'!$L$11),"x","")</f>
        <v/>
      </c>
      <c r="T122" s="84" t="str">
        <f>IF(ISERROR(FIND('112'!$M$9,G122,1)),"",IF((AND(FIND('112'!$M$9,G122,1)&gt;=1,B122='112'!$K$9,OR($N122='112'!$I$6,$O122='112'!$I$6))),"x",""))</f>
        <v/>
      </c>
      <c r="U122" s="84" t="str">
        <f>IF(ISERROR(FIND('112'!$M$9,G122,1)),"",IF((AND(LEFT(G122,2)=LEFT('112'!$M$9,2),B122&lt;'112'!$K$9,$N122='112'!$I$6)),"x",""))</f>
        <v/>
      </c>
      <c r="V122" s="84" t="str">
        <f>IF(ISERROR(FIND('112'!$M$9,G122,1)),"",IF((AND(RIGHT(G122,2)=RIGHT('112'!$M$9,2),B122&lt;'112'!$K$9,$O122='112'!$I$6)),"x",""))</f>
        <v/>
      </c>
      <c r="W122" s="84" t="str">
        <f>IF(AND('341-CT'!$H$9=H122,OR(LEFT(N122,3)=$W$7,LEFT(O122,3)=$W$7)),"x","")</f>
        <v/>
      </c>
      <c r="X122" s="84" t="str">
        <f>IF(OR(TH!N122=TH!$X$7,O122=TH!$X$7),"x","")</f>
        <v/>
      </c>
      <c r="Y122" s="84" t="str">
        <f>IF(AND(OR(N122="131",O122="131"),H122='131-CT'!$H$9),"x","")</f>
        <v/>
      </c>
      <c r="Z122" s="84"/>
      <c r="AA122" s="84" t="str">
        <f>IF(AND(MONTH(E122)='IN-NX'!$J$5,'IN-NX'!$D$7=D122),"x","")</f>
        <v/>
      </c>
      <c r="AB122" s="84" t="str">
        <f>IF(AND(OR(LEFT(TH!N122,2)="15",LEFT(TH!O122,2)="15"),LEFT(TH!O122,3)&lt;&gt;"111",'152-CT'!$J$8=TH!F122),"x","")</f>
        <v/>
      </c>
      <c r="AC122" s="84" t="str">
        <f>IF(AND(OR(LEFT(TH!N122,2)="15",LEFT(TH!O122,2)="15"),TK!$E$7=TH!F122),"x","")</f>
        <v/>
      </c>
      <c r="AD122" s="84" t="str">
        <f>IF(AND(N122="1521",MONTH(C122)='BK-NL'!$M$11),"x","")</f>
        <v/>
      </c>
    </row>
    <row r="123" spans="1:30" s="341" customFormat="1" ht="15.75" hidden="1" customHeight="1">
      <c r="A123" s="336" t="str">
        <f>IF(B123&lt;&gt;"",IF(AND(B123='IN-TC'!$S$4,OR(TH!N123="1111",TH!O123="1111")),TH!D123,""),"")</f>
        <v/>
      </c>
      <c r="B123" s="63">
        <f t="shared" ref="B123:B154" si="15">IF(C123&lt;&gt;"",MONTH(C123),"")</f>
        <v>6</v>
      </c>
      <c r="C123" s="871">
        <v>42551</v>
      </c>
      <c r="D123" s="871" t="s">
        <v>582</v>
      </c>
      <c r="E123" s="871">
        <f t="shared" si="14"/>
        <v>42551</v>
      </c>
      <c r="F123" s="73" t="s">
        <v>1332</v>
      </c>
      <c r="G123" s="976" t="s">
        <v>584</v>
      </c>
      <c r="H123" s="320"/>
      <c r="I123" s="439"/>
      <c r="J123" s="439"/>
      <c r="K123" s="430"/>
      <c r="L123" s="439"/>
      <c r="M123" s="877">
        <f>G119*$G123</f>
        <v>7368660</v>
      </c>
      <c r="N123" s="878" t="s">
        <v>591</v>
      </c>
      <c r="O123" s="878" t="s">
        <v>593</v>
      </c>
      <c r="P123" s="84" t="str">
        <f>IF(AND('331-CT'!$E$7=TH!H123,OR(N123="331",O123="331")),"x","")</f>
        <v/>
      </c>
      <c r="Q123" s="84" t="str">
        <f>IF(AND(B123='111'!$L$11,OR($N123=$Q$7,$O123=$Q$7)),"x","")</f>
        <v/>
      </c>
      <c r="R123" s="84" t="str">
        <f>IF(AND($N123=$Q$7,$B123&lt;'111'!$L$11),"x","")</f>
        <v/>
      </c>
      <c r="S123" s="84" t="str">
        <f>IF(AND($O123=$Q$7,$B123&lt;'111'!$L$11),"x","")</f>
        <v/>
      </c>
      <c r="T123" s="84" t="str">
        <f>IF(ISERROR(FIND('112'!$M$9,G123,1)),"",IF((AND(FIND('112'!$M$9,G123,1)&gt;=1,B123='112'!$K$9,OR($N123='112'!$I$6,$O123='112'!$I$6))),"x",""))</f>
        <v/>
      </c>
      <c r="U123" s="84" t="str">
        <f>IF(ISERROR(FIND('112'!$M$9,G123,1)),"",IF((AND(LEFT(G123,2)=LEFT('112'!$M$9,2),B123&lt;'112'!$K$9,$N123='112'!$I$6)),"x",""))</f>
        <v/>
      </c>
      <c r="V123" s="84" t="str">
        <f>IF(ISERROR(FIND('112'!$M$9,G123,1)),"",IF((AND(RIGHT(G123,2)=RIGHT('112'!$M$9,2),B123&lt;'112'!$K$9,$O123='112'!$I$6)),"x",""))</f>
        <v/>
      </c>
      <c r="W123" s="84" t="str">
        <f>IF(AND('341-CT'!$H$9=H123,OR(LEFT(N123,3)=$W$7,LEFT(O123,3)=$W$7)),"x","")</f>
        <v/>
      </c>
      <c r="X123" s="84" t="str">
        <f>IF(OR(TH!N123=TH!$X$7,O123=TH!$X$7),"x","")</f>
        <v/>
      </c>
      <c r="Y123" s="84" t="str">
        <f>IF(AND(OR(N123="131",O123="131"),H123='131-CT'!$H$9),"x","")</f>
        <v/>
      </c>
      <c r="Z123" s="84"/>
      <c r="AA123" s="84" t="str">
        <f>IF(AND(MONTH(E123)='IN-NX'!$J$5,'IN-NX'!$D$7=D123),"x","")</f>
        <v/>
      </c>
      <c r="AB123" s="84" t="str">
        <f>IF(AND(OR(LEFT(TH!N123,2)="15",LEFT(TH!O123,2)="15"),LEFT(TH!O123,3)&lt;&gt;"111",'152-CT'!$J$8=TH!F123),"x","")</f>
        <v/>
      </c>
      <c r="AC123" s="84" t="str">
        <f>IF(AND(OR(LEFT(TH!N123,2)="15",LEFT(TH!O123,2)="15"),TK!$E$7=TH!F123),"x","")</f>
        <v/>
      </c>
      <c r="AD123" s="84" t="str">
        <f>IF(AND(N123="1521",MONTH(C123)='BK-NL'!$M$11),"x","")</f>
        <v/>
      </c>
    </row>
    <row r="124" spans="1:30" s="341" customFormat="1" ht="15.75" hidden="1" customHeight="1">
      <c r="A124" s="336" t="str">
        <f>IF(B124&lt;&gt;"",IF(AND(B124='IN-TC'!$S$4,OR(TH!N124="1111",TH!O124="1111")),TH!D124,""),"")</f>
        <v/>
      </c>
      <c r="B124" s="63">
        <f t="shared" si="15"/>
        <v>6</v>
      </c>
      <c r="C124" s="871">
        <v>42551</v>
      </c>
      <c r="D124" s="871" t="s">
        <v>582</v>
      </c>
      <c r="E124" s="871">
        <f t="shared" si="14"/>
        <v>42551</v>
      </c>
      <c r="F124" s="73" t="s">
        <v>1333</v>
      </c>
      <c r="G124" s="276"/>
      <c r="H124" s="320"/>
      <c r="I124" s="439"/>
      <c r="J124" s="439"/>
      <c r="K124" s="430"/>
      <c r="L124" s="439"/>
      <c r="M124" s="877">
        <f>G120*$G123</f>
        <v>14132340</v>
      </c>
      <c r="N124" s="878" t="s">
        <v>282</v>
      </c>
      <c r="O124" s="878" t="s">
        <v>593</v>
      </c>
      <c r="P124" s="84" t="str">
        <f>IF(AND('331-CT'!$E$7=TH!H124,OR(N124="331",O124="331")),"x","")</f>
        <v/>
      </c>
      <c r="Q124" s="84" t="str">
        <f>IF(AND(B124='111'!$L$11,OR($N124=$Q$7,$O124=$Q$7)),"x","")</f>
        <v/>
      </c>
      <c r="R124" s="84" t="str">
        <f>IF(AND($N124=$Q$7,$B124&lt;'111'!$L$11),"x","")</f>
        <v/>
      </c>
      <c r="S124" s="84" t="str">
        <f>IF(AND($O124=$Q$7,$B124&lt;'111'!$L$11),"x","")</f>
        <v/>
      </c>
      <c r="T124" s="84" t="str">
        <f>IF(ISERROR(FIND('112'!$M$9,G124,1)),"",IF((AND(FIND('112'!$M$9,G124,1)&gt;=1,B124='112'!$K$9,OR($N124='112'!$I$6,$O124='112'!$I$6))),"x",""))</f>
        <v/>
      </c>
      <c r="U124" s="84" t="str">
        <f>IF(ISERROR(FIND('112'!$M$9,G124,1)),"",IF((AND(LEFT(G124,2)=LEFT('112'!$M$9,2),B124&lt;'112'!$K$9,$N124='112'!$I$6)),"x",""))</f>
        <v/>
      </c>
      <c r="V124" s="84" t="str">
        <f>IF(ISERROR(FIND('112'!$M$9,G124,1)),"",IF((AND(RIGHT(G124,2)=RIGHT('112'!$M$9,2),B124&lt;'112'!$K$9,$O124='112'!$I$6)),"x",""))</f>
        <v/>
      </c>
      <c r="W124" s="84" t="str">
        <f>IF(AND('341-CT'!$H$9=H124,OR(LEFT(N124,3)=$W$7,LEFT(O124,3)=$W$7)),"x","")</f>
        <v/>
      </c>
      <c r="X124" s="84" t="str">
        <f>IF(OR(TH!N124=TH!$X$7,O124=TH!$X$7),"x","")</f>
        <v/>
      </c>
      <c r="Y124" s="84" t="str">
        <f>IF(AND(OR(N124="131",O124="131"),H124='131-CT'!$H$9),"x","")</f>
        <v/>
      </c>
      <c r="Z124" s="84"/>
      <c r="AA124" s="84" t="str">
        <f>IF(AND(MONTH(E124)='IN-NX'!$J$5,'IN-NX'!$D$7=D124),"x","")</f>
        <v/>
      </c>
      <c r="AB124" s="84" t="str">
        <f>IF(AND(OR(LEFT(TH!N124,2)="15",LEFT(TH!O124,2)="15"),LEFT(TH!O124,3)&lt;&gt;"111",'152-CT'!$J$8=TH!F124),"x","")</f>
        <v/>
      </c>
      <c r="AC124" s="84" t="str">
        <f>IF(AND(OR(LEFT(TH!N124,2)="15",LEFT(TH!O124,2)="15"),TK!$E$7=TH!F124),"x","")</f>
        <v/>
      </c>
      <c r="AD124" s="84" t="str">
        <f>IF(AND(N124="1521",MONTH(C124)='BK-NL'!$M$11),"x","")</f>
        <v/>
      </c>
    </row>
    <row r="125" spans="1:30" s="341" customFormat="1" ht="15.75" hidden="1" customHeight="1">
      <c r="A125" s="336" t="str">
        <f>IF(B125&lt;&gt;"",IF(AND(B125='IN-TC'!$S$4,OR(TH!N125="1111",TH!O125="1111")),TH!D125,""),"")</f>
        <v/>
      </c>
      <c r="B125" s="63">
        <f t="shared" si="15"/>
        <v>6</v>
      </c>
      <c r="C125" s="871">
        <v>42551</v>
      </c>
      <c r="D125" s="871" t="s">
        <v>582</v>
      </c>
      <c r="E125" s="871">
        <f t="shared" si="14"/>
        <v>42551</v>
      </c>
      <c r="F125" s="73" t="s">
        <v>1334</v>
      </c>
      <c r="G125" s="976" t="s">
        <v>585</v>
      </c>
      <c r="H125" s="322"/>
      <c r="I125" s="437"/>
      <c r="J125" s="437"/>
      <c r="K125" s="428"/>
      <c r="L125" s="437"/>
      <c r="M125" s="877">
        <f>G119*$G125</f>
        <v>614055</v>
      </c>
      <c r="N125" s="878" t="s">
        <v>592</v>
      </c>
      <c r="O125" s="878" t="s">
        <v>594</v>
      </c>
      <c r="P125" s="84" t="str">
        <f>IF(AND('331-CT'!$E$7=TH!H125,OR(N125="331",O125="331")),"x","")</f>
        <v/>
      </c>
      <c r="Q125" s="84" t="str">
        <f>IF(AND(B125='111'!$L$11,OR($N125=$Q$7,$O125=$Q$7)),"x","")</f>
        <v/>
      </c>
      <c r="R125" s="84" t="str">
        <f>IF(AND($N125=$Q$7,$B125&lt;'111'!$L$11),"x","")</f>
        <v/>
      </c>
      <c r="S125" s="84" t="str">
        <f>IF(AND($O125=$Q$7,$B125&lt;'111'!$L$11),"x","")</f>
        <v/>
      </c>
      <c r="T125" s="84" t="str">
        <f>IF(ISERROR(FIND('112'!$M$9,G125,1)),"",IF((AND(FIND('112'!$M$9,G125,1)&gt;=1,B125='112'!$K$9,OR($N125='112'!$I$6,$O125='112'!$I$6))),"x",""))</f>
        <v/>
      </c>
      <c r="U125" s="84" t="str">
        <f>IF(ISERROR(FIND('112'!$M$9,G125,1)),"",IF((AND(LEFT(G125,2)=LEFT('112'!$M$9,2),B125&lt;'112'!$K$9,$N125='112'!$I$6)),"x",""))</f>
        <v/>
      </c>
      <c r="V125" s="84" t="str">
        <f>IF(ISERROR(FIND('112'!$M$9,G125,1)),"",IF((AND(RIGHT(G125,2)=RIGHT('112'!$M$9,2),B125&lt;'112'!$K$9,$O125='112'!$I$6)),"x",""))</f>
        <v/>
      </c>
      <c r="W125" s="84" t="str">
        <f>IF(AND('341-CT'!$H$9=H125,OR(LEFT(N125,3)=$W$7,LEFT(O125,3)=$W$7)),"x","")</f>
        <v/>
      </c>
      <c r="X125" s="84" t="str">
        <f>IF(OR(TH!N125=TH!$X$7,O125=TH!$X$7),"x","")</f>
        <v/>
      </c>
      <c r="Y125" s="84" t="str">
        <f>IF(AND(OR(N125="131",O125="131"),H125='131-CT'!$H$9),"x","")</f>
        <v/>
      </c>
      <c r="Z125" s="84"/>
      <c r="AA125" s="84" t="str">
        <f>IF(AND(MONTH(E125)='IN-NX'!$J$5,'IN-NX'!$D$7=D125),"x","")</f>
        <v/>
      </c>
      <c r="AB125" s="84" t="str">
        <f>IF(AND(OR(LEFT(TH!N125,2)="15",LEFT(TH!O125,2)="15"),LEFT(TH!O125,3)&lt;&gt;"111",'152-CT'!$J$8=TH!F125),"x","")</f>
        <v/>
      </c>
      <c r="AC125" s="84" t="str">
        <f>IF(AND(OR(LEFT(TH!N125,2)="15",LEFT(TH!O125,2)="15"),TK!$E$7=TH!F125),"x","")</f>
        <v/>
      </c>
      <c r="AD125" s="84" t="str">
        <f>IF(AND(N125="1521",MONTH(C125)='BK-NL'!$M$11),"x","")</f>
        <v/>
      </c>
    </row>
    <row r="126" spans="1:30" s="341" customFormat="1" ht="15.75" hidden="1" customHeight="1">
      <c r="A126" s="336" t="str">
        <f>IF(B126&lt;&gt;"",IF(AND(B126='IN-TC'!$S$4,OR(TH!N126="1111",TH!O126="1111")),TH!D126,""),"")</f>
        <v/>
      </c>
      <c r="B126" s="63">
        <f t="shared" si="15"/>
        <v>6</v>
      </c>
      <c r="C126" s="871">
        <v>42551</v>
      </c>
      <c r="D126" s="871" t="s">
        <v>582</v>
      </c>
      <c r="E126" s="871">
        <f>C126</f>
        <v>42551</v>
      </c>
      <c r="F126" s="73" t="s">
        <v>1335</v>
      </c>
      <c r="G126" s="276"/>
      <c r="H126" s="322"/>
      <c r="I126" s="437"/>
      <c r="J126" s="437"/>
      <c r="K126" s="428"/>
      <c r="L126" s="437"/>
      <c r="M126" s="877">
        <f>G120*$G125</f>
        <v>1177695</v>
      </c>
      <c r="N126" s="878" t="s">
        <v>592</v>
      </c>
      <c r="O126" s="878" t="s">
        <v>594</v>
      </c>
      <c r="P126" s="84" t="str">
        <f>IF(AND('331-CT'!$E$7=TH!H126,OR(N126="331",O126="331")),"x","")</f>
        <v/>
      </c>
      <c r="Q126" s="84" t="str">
        <f>IF(AND(B126='111'!$L$11,OR($N126=$Q$7,$O126=$Q$7)),"x","")</f>
        <v/>
      </c>
      <c r="R126" s="84" t="str">
        <f>IF(AND($N126=$Q$7,$B126&lt;'111'!$L$11),"x","")</f>
        <v/>
      </c>
      <c r="S126" s="84" t="str">
        <f>IF(AND($O126=$Q$7,$B126&lt;'111'!$L$11),"x","")</f>
        <v/>
      </c>
      <c r="T126" s="84" t="str">
        <f>IF(ISERROR(FIND('112'!$M$9,G126,1)),"",IF((AND(FIND('112'!$M$9,G126,1)&gt;=1,B126='112'!$K$9,OR($N126='112'!$I$6,$O126='112'!$I$6))),"x",""))</f>
        <v/>
      </c>
      <c r="U126" s="84" t="str">
        <f>IF(ISERROR(FIND('112'!$M$9,G126,1)),"",IF((AND(LEFT(G126,2)=LEFT('112'!$M$9,2),B126&lt;'112'!$K$9,$N126='112'!$I$6)),"x",""))</f>
        <v/>
      </c>
      <c r="V126" s="84" t="str">
        <f>IF(ISERROR(FIND('112'!$M$9,G126,1)),"",IF((AND(RIGHT(G126,2)=RIGHT('112'!$M$9,2),B126&lt;'112'!$K$9,$O126='112'!$I$6)),"x",""))</f>
        <v/>
      </c>
      <c r="W126" s="84" t="str">
        <f>IF(AND('341-CT'!$H$9=H126,OR(LEFT(N126,3)=$W$7,LEFT(O126,3)=$W$7)),"x","")</f>
        <v/>
      </c>
      <c r="X126" s="84" t="str">
        <f>IF(OR(TH!N126=TH!$X$7,O126=TH!$X$7),"x","")</f>
        <v/>
      </c>
      <c r="Y126" s="84" t="str">
        <f>IF(AND(OR(N126="131",O126="131"),H126='131-CT'!$H$9),"x","")</f>
        <v/>
      </c>
      <c r="Z126" s="84"/>
      <c r="AA126" s="84" t="str">
        <f>IF(AND(MONTH(E126)='IN-NX'!$J$5,'IN-NX'!$D$7=D126),"x","")</f>
        <v/>
      </c>
      <c r="AB126" s="84" t="str">
        <f>IF(AND(OR(LEFT(TH!N126,2)="15",LEFT(TH!O126,2)="15"),LEFT(TH!O126,3)&lt;&gt;"111",'152-CT'!$J$8=TH!F126),"x","")</f>
        <v/>
      </c>
      <c r="AC126" s="84" t="str">
        <f>IF(AND(OR(LEFT(TH!N126,2)="15",LEFT(TH!O126,2)="15"),TK!$E$7=TH!F126),"x","")</f>
        <v/>
      </c>
      <c r="AD126" s="84" t="str">
        <f>IF(AND(N126="1521",MONTH(C126)='BK-NL'!$M$11),"x","")</f>
        <v/>
      </c>
    </row>
    <row r="127" spans="1:30" s="341" customFormat="1" ht="15.75" hidden="1" customHeight="1">
      <c r="A127" s="336" t="str">
        <f>IF(B127&lt;&gt;"",IF(AND(B127='IN-TC'!$S$4,OR(TH!N127="1111",TH!O127="1111")),TH!D127,""),"")</f>
        <v/>
      </c>
      <c r="B127" s="63">
        <f t="shared" si="15"/>
        <v>6</v>
      </c>
      <c r="C127" s="871">
        <v>42551</v>
      </c>
      <c r="D127" s="871" t="s">
        <v>582</v>
      </c>
      <c r="E127" s="871">
        <f t="shared" ref="E127:E132" si="16">C127</f>
        <v>42551</v>
      </c>
      <c r="F127" s="73" t="s">
        <v>1336</v>
      </c>
      <c r="G127" s="976" t="s">
        <v>586</v>
      </c>
      <c r="H127" s="320"/>
      <c r="I127" s="439"/>
      <c r="J127" s="439"/>
      <c r="K127" s="430"/>
      <c r="L127" s="439"/>
      <c r="M127" s="877">
        <f>G119*$G127</f>
        <v>1228110</v>
      </c>
      <c r="N127" s="878" t="s">
        <v>591</v>
      </c>
      <c r="O127" s="878" t="s">
        <v>594</v>
      </c>
      <c r="P127" s="84" t="str">
        <f>IF(AND('331-CT'!$E$7=TH!H127,OR(N127="331",O127="331")),"x","")</f>
        <v/>
      </c>
      <c r="Q127" s="84" t="str">
        <f>IF(AND(B127='111'!$L$11,OR($N127=$Q$7,$O127=$Q$7)),"x","")</f>
        <v/>
      </c>
      <c r="R127" s="84" t="str">
        <f>IF(AND($N127=$Q$7,$B127&lt;'111'!$L$11),"x","")</f>
        <v/>
      </c>
      <c r="S127" s="84" t="str">
        <f>IF(AND($O127=$Q$7,$B127&lt;'111'!$L$11),"x","")</f>
        <v/>
      </c>
      <c r="T127" s="84" t="str">
        <f>IF(ISERROR(FIND('112'!$M$9,G127,1)),"",IF((AND(FIND('112'!$M$9,G127,1)&gt;=1,B127='112'!$K$9,OR($N127='112'!$I$6,$O127='112'!$I$6))),"x",""))</f>
        <v/>
      </c>
      <c r="U127" s="84" t="str">
        <f>IF(ISERROR(FIND('112'!$M$9,G127,1)),"",IF((AND(LEFT(G127,2)=LEFT('112'!$M$9,2),B127&lt;'112'!$K$9,$N127='112'!$I$6)),"x",""))</f>
        <v/>
      </c>
      <c r="V127" s="84" t="str">
        <f>IF(ISERROR(FIND('112'!$M$9,G127,1)),"",IF((AND(RIGHT(G127,2)=RIGHT('112'!$M$9,2),B127&lt;'112'!$K$9,$O127='112'!$I$6)),"x",""))</f>
        <v/>
      </c>
      <c r="W127" s="84" t="str">
        <f>IF(AND('341-CT'!$H$9=H127,OR(LEFT(N127,3)=$W$7,LEFT(O127,3)=$W$7)),"x","")</f>
        <v/>
      </c>
      <c r="X127" s="84" t="str">
        <f>IF(OR(TH!N127=TH!$X$7,O127=TH!$X$7),"x","")</f>
        <v/>
      </c>
      <c r="Y127" s="84" t="str">
        <f>IF(AND(OR(N127="131",O127="131"),H127='131-CT'!$H$9),"x","")</f>
        <v/>
      </c>
      <c r="Z127" s="84"/>
      <c r="AA127" s="84" t="str">
        <f>IF(AND(MONTH(E127)='IN-NX'!$J$5,'IN-NX'!$D$7=D127),"x","")</f>
        <v/>
      </c>
      <c r="AB127" s="84" t="str">
        <f>IF(AND(OR(LEFT(TH!N127,2)="15",LEFT(TH!O127,2)="15"),LEFT(TH!O127,3)&lt;&gt;"111",'152-CT'!$J$8=TH!F127),"x","")</f>
        <v/>
      </c>
      <c r="AC127" s="84" t="str">
        <f>IF(AND(OR(LEFT(TH!N127,2)="15",LEFT(TH!O127,2)="15"),TK!$E$7=TH!F127),"x","")</f>
        <v/>
      </c>
      <c r="AD127" s="84" t="str">
        <f>IF(AND(N127="1521",MONTH(C127)='BK-NL'!$M$11),"x","")</f>
        <v/>
      </c>
    </row>
    <row r="128" spans="1:30" s="341" customFormat="1" ht="15.75" hidden="1" customHeight="1">
      <c r="A128" s="336" t="str">
        <f>IF(B128&lt;&gt;"",IF(AND(B128='IN-TC'!$S$4,OR(TH!N128="1111",TH!O128="1111")),TH!D128,""),"")</f>
        <v/>
      </c>
      <c r="B128" s="63">
        <f t="shared" si="15"/>
        <v>6</v>
      </c>
      <c r="C128" s="871">
        <v>42551</v>
      </c>
      <c r="D128" s="871" t="s">
        <v>582</v>
      </c>
      <c r="E128" s="871">
        <f t="shared" si="16"/>
        <v>42551</v>
      </c>
      <c r="F128" s="73" t="s">
        <v>1337</v>
      </c>
      <c r="G128" s="276"/>
      <c r="H128" s="320"/>
      <c r="I128" s="439"/>
      <c r="J128" s="439"/>
      <c r="K128" s="430"/>
      <c r="L128" s="439"/>
      <c r="M128" s="877">
        <f>G120*$G127</f>
        <v>2355390</v>
      </c>
      <c r="N128" s="878" t="s">
        <v>282</v>
      </c>
      <c r="O128" s="878" t="s">
        <v>594</v>
      </c>
      <c r="P128" s="84" t="str">
        <f>IF(AND('331-CT'!$E$7=TH!H128,OR(N128="331",O128="331")),"x","")</f>
        <v/>
      </c>
      <c r="Q128" s="84" t="str">
        <f>IF(AND(B128='111'!$L$11,OR($N128=$Q$7,$O128=$Q$7)),"x","")</f>
        <v/>
      </c>
      <c r="R128" s="84" t="str">
        <f>IF(AND($N128=$Q$7,$B128&lt;'111'!$L$11),"x","")</f>
        <v/>
      </c>
      <c r="S128" s="84" t="str">
        <f>IF(AND($O128=$Q$7,$B128&lt;'111'!$L$11),"x","")</f>
        <v/>
      </c>
      <c r="T128" s="84" t="str">
        <f>IF(ISERROR(FIND('112'!$M$9,G128,1)),"",IF((AND(FIND('112'!$M$9,G128,1)&gt;=1,B128='112'!$K$9,OR($N128='112'!$I$6,$O128='112'!$I$6))),"x",""))</f>
        <v/>
      </c>
      <c r="U128" s="84" t="str">
        <f>IF(ISERROR(FIND('112'!$M$9,G128,1)),"",IF((AND(LEFT(G128,2)=LEFT('112'!$M$9,2),B128&lt;'112'!$K$9,$N128='112'!$I$6)),"x",""))</f>
        <v/>
      </c>
      <c r="V128" s="84" t="str">
        <f>IF(ISERROR(FIND('112'!$M$9,G128,1)),"",IF((AND(RIGHT(G128,2)=RIGHT('112'!$M$9,2),B128&lt;'112'!$K$9,$O128='112'!$I$6)),"x",""))</f>
        <v/>
      </c>
      <c r="W128" s="84" t="str">
        <f>IF(AND('341-CT'!$H$9=H128,OR(LEFT(N128,3)=$W$7,LEFT(O128,3)=$W$7)),"x","")</f>
        <v/>
      </c>
      <c r="X128" s="84" t="str">
        <f>IF(OR(TH!N128=TH!$X$7,O128=TH!$X$7),"x","")</f>
        <v/>
      </c>
      <c r="Y128" s="84" t="str">
        <f>IF(AND(OR(N128="131",O128="131"),H128='131-CT'!$H$9),"x","")</f>
        <v/>
      </c>
      <c r="Z128" s="84"/>
      <c r="AA128" s="84" t="str">
        <f>IF(AND(MONTH(E128)='IN-NX'!$J$5,'IN-NX'!$D$7=D128),"x","")</f>
        <v/>
      </c>
      <c r="AB128" s="84" t="str">
        <f>IF(AND(OR(LEFT(TH!N128,2)="15",LEFT(TH!O128,2)="15"),LEFT(TH!O128,3)&lt;&gt;"111",'152-CT'!$J$8=TH!F128),"x","")</f>
        <v/>
      </c>
      <c r="AC128" s="84" t="str">
        <f>IF(AND(OR(LEFT(TH!N128,2)="15",LEFT(TH!O128,2)="15"),TK!$E$7=TH!F128),"x","")</f>
        <v/>
      </c>
      <c r="AD128" s="84" t="str">
        <f>IF(AND(N128="1521",MONTH(C128)='BK-NL'!$M$11),"x","")</f>
        <v/>
      </c>
    </row>
    <row r="129" spans="1:30" s="341" customFormat="1" ht="15.75" hidden="1" customHeight="1">
      <c r="A129" s="336" t="str">
        <f>IF(B129&lt;&gt;"",IF(AND(B129='IN-TC'!$S$4,OR(TH!N129="1111",TH!O129="1111")),TH!D129,""),"")</f>
        <v/>
      </c>
      <c r="B129" s="63">
        <f t="shared" si="15"/>
        <v>6</v>
      </c>
      <c r="C129" s="871">
        <v>42551</v>
      </c>
      <c r="D129" s="871" t="s">
        <v>582</v>
      </c>
      <c r="E129" s="871">
        <f t="shared" si="16"/>
        <v>42551</v>
      </c>
      <c r="F129" s="73" t="s">
        <v>1338</v>
      </c>
      <c r="G129" s="976" t="s">
        <v>587</v>
      </c>
      <c r="H129" s="320"/>
      <c r="I129" s="439"/>
      <c r="J129" s="439"/>
      <c r="K129" s="430"/>
      <c r="L129" s="439"/>
      <c r="M129" s="877">
        <f>G119*$G129</f>
        <v>409370</v>
      </c>
      <c r="N129" s="878" t="s">
        <v>592</v>
      </c>
      <c r="O129" s="878" t="s">
        <v>595</v>
      </c>
      <c r="P129" s="84" t="str">
        <f>IF(AND('331-CT'!$E$7=TH!H129,OR(N129="331",O129="331")),"x","")</f>
        <v/>
      </c>
      <c r="Q129" s="84" t="str">
        <f>IF(AND(B129='111'!$L$11,OR($N129=$Q$7,$O129=$Q$7)),"x","")</f>
        <v/>
      </c>
      <c r="R129" s="84" t="str">
        <f>IF(AND($N129=$Q$7,$B129&lt;'111'!$L$11),"x","")</f>
        <v/>
      </c>
      <c r="S129" s="84" t="str">
        <f>IF(AND($O129=$Q$7,$B129&lt;'111'!$L$11),"x","")</f>
        <v/>
      </c>
      <c r="T129" s="84" t="str">
        <f>IF(ISERROR(FIND('112'!$M$9,G129,1)),"",IF((AND(FIND('112'!$M$9,G129,1)&gt;=1,B129='112'!$K$9,OR($N129='112'!$I$6,$O129='112'!$I$6))),"x",""))</f>
        <v/>
      </c>
      <c r="U129" s="84" t="str">
        <f>IF(ISERROR(FIND('112'!$M$9,G129,1)),"",IF((AND(LEFT(G129,2)=LEFT('112'!$M$9,2),B129&lt;'112'!$K$9,$N129='112'!$I$6)),"x",""))</f>
        <v/>
      </c>
      <c r="V129" s="84" t="str">
        <f>IF(ISERROR(FIND('112'!$M$9,G129,1)),"",IF((AND(RIGHT(G129,2)=RIGHT('112'!$M$9,2),B129&lt;'112'!$K$9,$O129='112'!$I$6)),"x",""))</f>
        <v/>
      </c>
      <c r="W129" s="84" t="str">
        <f>IF(AND('341-CT'!$H$9=H129,OR(LEFT(N129,3)=$W$7,LEFT(O129,3)=$W$7)),"x","")</f>
        <v/>
      </c>
      <c r="X129" s="84" t="str">
        <f>IF(OR(TH!N129=TH!$X$7,O129=TH!$X$7),"x","")</f>
        <v/>
      </c>
      <c r="Y129" s="84" t="str">
        <f>IF(AND(OR(N129="131",O129="131"),H129='131-CT'!$H$9),"x","")</f>
        <v/>
      </c>
      <c r="Z129" s="84"/>
      <c r="AA129" s="84" t="str">
        <f>IF(AND(MONTH(E129)='IN-NX'!$J$5,'IN-NX'!$D$7=D129),"x","")</f>
        <v/>
      </c>
      <c r="AB129" s="84" t="str">
        <f>IF(AND(OR(LEFT(TH!N129,2)="15",LEFT(TH!O129,2)="15"),LEFT(TH!O129,3)&lt;&gt;"111",'152-CT'!$J$8=TH!F129),"x","")</f>
        <v/>
      </c>
      <c r="AC129" s="84" t="str">
        <f>IF(AND(OR(LEFT(TH!N129,2)="15",LEFT(TH!O129,2)="15"),TK!$E$7=TH!F129),"x","")</f>
        <v/>
      </c>
      <c r="AD129" s="84" t="str">
        <f>IF(AND(N129="1521",MONTH(C129)='BK-NL'!$M$11),"x","")</f>
        <v/>
      </c>
    </row>
    <row r="130" spans="1:30" s="341" customFormat="1" ht="15.75" hidden="1" customHeight="1">
      <c r="A130" s="336" t="str">
        <f>IF(B130&lt;&gt;"",IF(AND(B130='IN-TC'!$S$4,OR(TH!N130="1111",TH!O130="1111")),TH!D130,""),"")</f>
        <v/>
      </c>
      <c r="B130" s="63">
        <f t="shared" si="15"/>
        <v>6</v>
      </c>
      <c r="C130" s="871">
        <v>42551</v>
      </c>
      <c r="D130" s="871" t="s">
        <v>582</v>
      </c>
      <c r="E130" s="871">
        <f t="shared" si="16"/>
        <v>42551</v>
      </c>
      <c r="F130" s="73" t="s">
        <v>1339</v>
      </c>
      <c r="G130" s="276"/>
      <c r="H130" s="320"/>
      <c r="I130" s="439"/>
      <c r="J130" s="439"/>
      <c r="K130" s="430"/>
      <c r="L130" s="439"/>
      <c r="M130" s="877">
        <f>G120*$G129</f>
        <v>785130</v>
      </c>
      <c r="N130" s="878" t="s">
        <v>592</v>
      </c>
      <c r="O130" s="878" t="s">
        <v>595</v>
      </c>
      <c r="P130" s="84" t="str">
        <f>IF(AND('331-CT'!$E$7=TH!H130,OR(N130="331",O130="331")),"x","")</f>
        <v/>
      </c>
      <c r="Q130" s="84" t="str">
        <f>IF(AND(B130='111'!$L$11,OR($N130=$Q$7,$O130=$Q$7)),"x","")</f>
        <v/>
      </c>
      <c r="R130" s="84" t="str">
        <f>IF(AND($N130=$Q$7,$B130&lt;'111'!$L$11),"x","")</f>
        <v/>
      </c>
      <c r="S130" s="84" t="str">
        <f>IF(AND($O130=$Q$7,$B130&lt;'111'!$L$11),"x","")</f>
        <v/>
      </c>
      <c r="T130" s="84" t="str">
        <f>IF(ISERROR(FIND('112'!$M$9,G130,1)),"",IF((AND(FIND('112'!$M$9,G130,1)&gt;=1,B130='112'!$K$9,OR($N130='112'!$I$6,$O130='112'!$I$6))),"x",""))</f>
        <v/>
      </c>
      <c r="U130" s="84" t="str">
        <f>IF(ISERROR(FIND('112'!$M$9,G130,1)),"",IF((AND(LEFT(G130,2)=LEFT('112'!$M$9,2),B130&lt;'112'!$K$9,$N130='112'!$I$6)),"x",""))</f>
        <v/>
      </c>
      <c r="V130" s="84" t="str">
        <f>IF(ISERROR(FIND('112'!$M$9,G130,1)),"",IF((AND(RIGHT(G130,2)=RIGHT('112'!$M$9,2),B130&lt;'112'!$K$9,$O130='112'!$I$6)),"x",""))</f>
        <v/>
      </c>
      <c r="W130" s="84" t="str">
        <f>IF(AND('341-CT'!$H$9=H130,OR(LEFT(N130,3)=$W$7,LEFT(O130,3)=$W$7)),"x","")</f>
        <v/>
      </c>
      <c r="X130" s="84" t="str">
        <f>IF(OR(TH!N130=TH!$X$7,O130=TH!$X$7),"x","")</f>
        <v/>
      </c>
      <c r="Y130" s="84" t="str">
        <f>IF(AND(OR(N130="131",O130="131"),H130='131-CT'!$H$9),"x","")</f>
        <v/>
      </c>
      <c r="Z130" s="84"/>
      <c r="AA130" s="84" t="str">
        <f>IF(AND(MONTH(E130)='IN-NX'!$J$5,'IN-NX'!$D$7=D130),"x","")</f>
        <v/>
      </c>
      <c r="AB130" s="84" t="str">
        <f>IF(AND(OR(LEFT(TH!N130,2)="15",LEFT(TH!O130,2)="15"),LEFT(TH!O130,3)&lt;&gt;"111",'152-CT'!$J$8=TH!F130),"x","")</f>
        <v/>
      </c>
      <c r="AC130" s="84" t="str">
        <f>IF(AND(OR(LEFT(TH!N130,2)="15",LEFT(TH!O130,2)="15"),TK!$E$7=TH!F130),"x","")</f>
        <v/>
      </c>
      <c r="AD130" s="84" t="str">
        <f>IF(AND(N130="1521",MONTH(C130)='BK-NL'!$M$11),"x","")</f>
        <v/>
      </c>
    </row>
    <row r="131" spans="1:30" s="341" customFormat="1" ht="15.75" hidden="1" customHeight="1">
      <c r="A131" s="336" t="str">
        <f>IF(B131&lt;&gt;"",IF(AND(B131='IN-TC'!$S$4,OR(TH!N131="1111",TH!O131="1111")),TH!D131,""),"")</f>
        <v/>
      </c>
      <c r="B131" s="63">
        <f t="shared" si="15"/>
        <v>6</v>
      </c>
      <c r="C131" s="871">
        <v>42551</v>
      </c>
      <c r="D131" s="871" t="s">
        <v>582</v>
      </c>
      <c r="E131" s="871">
        <f t="shared" si="16"/>
        <v>42551</v>
      </c>
      <c r="F131" s="73" t="s">
        <v>1340</v>
      </c>
      <c r="G131" s="976" t="s">
        <v>587</v>
      </c>
      <c r="H131" s="1127"/>
      <c r="I131" s="440"/>
      <c r="J131" s="440"/>
      <c r="K131" s="431"/>
      <c r="L131" s="440"/>
      <c r="M131" s="877">
        <f>M129</f>
        <v>409370</v>
      </c>
      <c r="N131" s="878" t="s">
        <v>591</v>
      </c>
      <c r="O131" s="878" t="s">
        <v>595</v>
      </c>
      <c r="P131" s="84" t="str">
        <f>IF(AND('331-CT'!$E$7=TH!H131,OR(N131="331",O131="331")),"x","")</f>
        <v/>
      </c>
      <c r="Q131" s="84" t="str">
        <f>IF(AND(B131='111'!$L$11,OR($N131=$Q$7,$O131=$Q$7)),"x","")</f>
        <v/>
      </c>
      <c r="R131" s="84" t="str">
        <f>IF(AND($N131=$Q$7,$B131&lt;'111'!$L$11),"x","")</f>
        <v/>
      </c>
      <c r="S131" s="84" t="str">
        <f>IF(AND($O131=$Q$7,$B131&lt;'111'!$L$11),"x","")</f>
        <v/>
      </c>
      <c r="T131" s="84" t="str">
        <f>IF(ISERROR(FIND('112'!$M$9,G131,1)),"",IF((AND(FIND('112'!$M$9,G131,1)&gt;=1,B131='112'!$K$9,OR($N131='112'!$I$6,$O131='112'!$I$6))),"x",""))</f>
        <v/>
      </c>
      <c r="U131" s="84" t="str">
        <f>IF(ISERROR(FIND('112'!$M$9,G131,1)),"",IF((AND(LEFT(G131,2)=LEFT('112'!$M$9,2),B131&lt;'112'!$K$9,$N131='112'!$I$6)),"x",""))</f>
        <v/>
      </c>
      <c r="V131" s="84" t="str">
        <f>IF(ISERROR(FIND('112'!$M$9,G131,1)),"",IF((AND(RIGHT(G131,2)=RIGHT('112'!$M$9,2),B131&lt;'112'!$K$9,$O131='112'!$I$6)),"x",""))</f>
        <v/>
      </c>
      <c r="W131" s="84" t="str">
        <f>IF(AND('341-CT'!$H$9=H131,OR(LEFT(N131,3)=$W$7,LEFT(O131,3)=$W$7)),"x","")</f>
        <v/>
      </c>
      <c r="X131" s="84" t="str">
        <f>IF(OR(TH!N131=TH!$X$7,O131=TH!$X$7),"x","")</f>
        <v/>
      </c>
      <c r="Y131" s="84" t="str">
        <f>IF(AND(OR(N131="131",O131="131"),H131='131-CT'!$H$9),"x","")</f>
        <v/>
      </c>
      <c r="Z131" s="84"/>
      <c r="AA131" s="84" t="str">
        <f>IF(AND(MONTH(E131)='IN-NX'!$J$5,'IN-NX'!$D$7=D131),"x","")</f>
        <v/>
      </c>
      <c r="AB131" s="84" t="str">
        <f>IF(AND(OR(LEFT(TH!N131,2)="15",LEFT(TH!O131,2)="15"),LEFT(TH!O131,3)&lt;&gt;"111",'152-CT'!$J$8=TH!F131),"x","")</f>
        <v/>
      </c>
      <c r="AC131" s="84" t="str">
        <f>IF(AND(OR(LEFT(TH!N131,2)="15",LEFT(TH!O131,2)="15"),TK!$E$7=TH!F131),"x","")</f>
        <v/>
      </c>
      <c r="AD131" s="84" t="str">
        <f>IF(AND(N131="1521",MONTH(C131)='BK-NL'!$M$11),"x","")</f>
        <v/>
      </c>
    </row>
    <row r="132" spans="1:30" s="341" customFormat="1" ht="15.75" hidden="1" customHeight="1">
      <c r="A132" s="336" t="str">
        <f>IF(B132&lt;&gt;"",IF(AND(B132='IN-TC'!$S$4,OR(TH!N132="1111",TH!O132="1111")),TH!D132,""),"")</f>
        <v/>
      </c>
      <c r="B132" s="63">
        <f t="shared" si="15"/>
        <v>6</v>
      </c>
      <c r="C132" s="871">
        <v>42551</v>
      </c>
      <c r="D132" s="871" t="s">
        <v>582</v>
      </c>
      <c r="E132" s="871">
        <f t="shared" si="16"/>
        <v>42551</v>
      </c>
      <c r="F132" s="73" t="s">
        <v>1341</v>
      </c>
      <c r="G132" s="276"/>
      <c r="H132" s="320"/>
      <c r="I132" s="439"/>
      <c r="J132" s="439"/>
      <c r="K132" s="430"/>
      <c r="L132" s="439"/>
      <c r="M132" s="877">
        <f>M130</f>
        <v>785130</v>
      </c>
      <c r="N132" s="878" t="s">
        <v>282</v>
      </c>
      <c r="O132" s="878" t="s">
        <v>595</v>
      </c>
      <c r="P132" s="84" t="str">
        <f>IF(AND('331-CT'!$E$7=TH!H132,OR(N132="331",O132="331")),"x","")</f>
        <v/>
      </c>
      <c r="Q132" s="84" t="str">
        <f>IF(AND(B132='111'!$L$11,OR($N132=$Q$7,$O132=$Q$7)),"x","")</f>
        <v/>
      </c>
      <c r="R132" s="84" t="str">
        <f>IF(AND($N132=$Q$7,$B132&lt;'111'!$L$11),"x","")</f>
        <v/>
      </c>
      <c r="S132" s="84" t="str">
        <f>IF(AND($O132=$Q$7,$B132&lt;'111'!$L$11),"x","")</f>
        <v/>
      </c>
      <c r="T132" s="84" t="str">
        <f>IF(ISERROR(FIND('112'!$M$9,G132,1)),"",IF((AND(FIND('112'!$M$9,G132,1)&gt;=1,B132='112'!$K$9,OR($N132='112'!$I$6,$O132='112'!$I$6))),"x",""))</f>
        <v/>
      </c>
      <c r="U132" s="84" t="str">
        <f>IF(ISERROR(FIND('112'!$M$9,G132,1)),"",IF((AND(LEFT(G132,2)=LEFT('112'!$M$9,2),B132&lt;'112'!$K$9,$N132='112'!$I$6)),"x",""))</f>
        <v/>
      </c>
      <c r="V132" s="84" t="str">
        <f>IF(ISERROR(FIND('112'!$M$9,G132,1)),"",IF((AND(RIGHT(G132,2)=RIGHT('112'!$M$9,2),B132&lt;'112'!$K$9,$O132='112'!$I$6)),"x",""))</f>
        <v/>
      </c>
      <c r="W132" s="84" t="str">
        <f>IF(AND('341-CT'!$H$9=H132,OR(LEFT(N132,3)=$W$7,LEFT(O132,3)=$W$7)),"x","")</f>
        <v/>
      </c>
      <c r="X132" s="84" t="str">
        <f>IF(OR(TH!N132=TH!$X$7,O132=TH!$X$7),"x","")</f>
        <v/>
      </c>
      <c r="Y132" s="84" t="str">
        <f>IF(AND(OR(N132="131",O132="131"),H132='131-CT'!$H$9),"x","")</f>
        <v/>
      </c>
      <c r="Z132" s="84"/>
      <c r="AA132" s="84" t="str">
        <f>IF(AND(MONTH(E132)='IN-NX'!$J$5,'IN-NX'!$D$7=D132),"x","")</f>
        <v/>
      </c>
      <c r="AB132" s="84" t="str">
        <f>IF(AND(OR(LEFT(TH!N132,2)="15",LEFT(TH!O132,2)="15"),LEFT(TH!O132,3)&lt;&gt;"111",'152-CT'!$J$8=TH!F132),"x","")</f>
        <v/>
      </c>
      <c r="AC132" s="84" t="str">
        <f>IF(AND(OR(LEFT(TH!N132,2)="15",LEFT(TH!O132,2)="15"),TK!$E$7=TH!F132),"x","")</f>
        <v/>
      </c>
      <c r="AD132" s="84" t="str">
        <f>IF(AND(N132="1521",MONTH(C132)='BK-NL'!$M$11),"x","")</f>
        <v/>
      </c>
    </row>
    <row r="133" spans="1:30" s="341" customFormat="1" ht="15.75" hidden="1" customHeight="1">
      <c r="A133" s="336" t="str">
        <f>IF(B133&lt;&gt;"",IF(AND(B133='IN-TC'!$S$4,OR(TH!N133="1111",TH!O133="1111")),TH!D133,""),"")</f>
        <v/>
      </c>
      <c r="B133" s="63">
        <f t="shared" si="15"/>
        <v>7</v>
      </c>
      <c r="C133" s="871">
        <v>42582</v>
      </c>
      <c r="D133" s="871" t="s">
        <v>582</v>
      </c>
      <c r="E133" s="871">
        <f>C133</f>
        <v>42582</v>
      </c>
      <c r="F133" s="73" t="s">
        <v>1328</v>
      </c>
      <c r="G133" s="276">
        <v>37369000</v>
      </c>
      <c r="H133" s="320"/>
      <c r="I133" s="439"/>
      <c r="J133" s="439"/>
      <c r="K133" s="430"/>
      <c r="L133" s="439"/>
      <c r="M133" s="877">
        <v>38369615</v>
      </c>
      <c r="N133" s="878" t="s">
        <v>591</v>
      </c>
      <c r="O133" s="878" t="s">
        <v>592</v>
      </c>
      <c r="P133" s="84" t="str">
        <f>IF(AND('331-CT'!$E$7=TH!H133,OR(N133="331",O133="331")),"x","")</f>
        <v/>
      </c>
      <c r="Q133" s="84" t="str">
        <f>IF(AND(B133='111'!$L$11,OR($N133=$Q$7,$O133=$Q$7)),"x","")</f>
        <v/>
      </c>
      <c r="R133" s="84" t="str">
        <f>IF(AND($N133=$Q$7,$B133&lt;'111'!$L$11),"x","")</f>
        <v/>
      </c>
      <c r="S133" s="84" t="str">
        <f>IF(AND($O133=$Q$7,$B133&lt;'111'!$L$11),"x","")</f>
        <v/>
      </c>
      <c r="T133" s="84" t="str">
        <f>IF(ISERROR(FIND('112'!$M$9,G133,1)),"",IF((AND(FIND('112'!$M$9,G133,1)&gt;=1,B133='112'!$K$9,OR($N133='112'!$I$6,$O133='112'!$I$6))),"x",""))</f>
        <v/>
      </c>
      <c r="U133" s="84" t="str">
        <f>IF(ISERROR(FIND('112'!$M$9,G133,1)),"",IF((AND(LEFT(G133,2)=LEFT('112'!$M$9,2),B133&lt;'112'!$K$9,$N133='112'!$I$6)),"x",""))</f>
        <v/>
      </c>
      <c r="V133" s="84" t="str">
        <f>IF(ISERROR(FIND('112'!$M$9,G133,1)),"",IF((AND(RIGHT(G133,2)=RIGHT('112'!$M$9,2),B133&lt;'112'!$K$9,$O133='112'!$I$6)),"x",""))</f>
        <v/>
      </c>
      <c r="W133" s="84" t="str">
        <f>IF(AND('341-CT'!$H$9=H133,OR(LEFT(N133,3)=$W$7,LEFT(O133,3)=$W$7)),"x","")</f>
        <v/>
      </c>
      <c r="X133" s="84" t="str">
        <f>IF(OR(TH!N133=TH!$X$7,O133=TH!$X$7),"x","")</f>
        <v/>
      </c>
      <c r="Y133" s="84" t="str">
        <f>IF(AND(OR(N133="131",O133="131"),H133='131-CT'!$H$9),"x","")</f>
        <v/>
      </c>
      <c r="Z133" s="84"/>
      <c r="AA133" s="84" t="str">
        <f>IF(AND(MONTH(E133)='IN-NX'!$J$5,'IN-NX'!$D$7=D133),"x","")</f>
        <v/>
      </c>
      <c r="AB133" s="84" t="str">
        <f>IF(AND(OR(LEFT(TH!N133,2)="15",LEFT(TH!O133,2)="15"),LEFT(TH!O133,3)&lt;&gt;"111",'152-CT'!$J$8=TH!F133),"x","")</f>
        <v/>
      </c>
      <c r="AC133" s="84" t="str">
        <f>IF(AND(OR(LEFT(TH!N133,2)="15",LEFT(TH!O133,2)="15"),TK!$E$7=TH!F133),"x","")</f>
        <v/>
      </c>
      <c r="AD133" s="84" t="str">
        <f>IF(AND(N133="1521",MONTH(C133)='BK-NL'!$M$11),"x","")</f>
        <v/>
      </c>
    </row>
    <row r="134" spans="1:30" s="341" customFormat="1" ht="15.75" hidden="1" customHeight="1">
      <c r="A134" s="336" t="str">
        <f>IF(B134&lt;&gt;"",IF(AND(B134='IN-TC'!$S$4,OR(TH!N134="1111",TH!O134="1111")),TH!D134,""),"")</f>
        <v/>
      </c>
      <c r="B134" s="63">
        <f t="shared" si="15"/>
        <v>7</v>
      </c>
      <c r="C134" s="871">
        <v>42582</v>
      </c>
      <c r="D134" s="871" t="s">
        <v>582</v>
      </c>
      <c r="E134" s="871">
        <f t="shared" ref="E134:E153" si="17">C134</f>
        <v>42582</v>
      </c>
      <c r="F134" s="73" t="s">
        <v>1329</v>
      </c>
      <c r="G134" s="276">
        <f>108366000-29853000</f>
        <v>78513000</v>
      </c>
      <c r="H134" s="320"/>
      <c r="I134" s="439"/>
      <c r="J134" s="439"/>
      <c r="K134" s="430"/>
      <c r="L134" s="439"/>
      <c r="M134" s="877">
        <v>120846000</v>
      </c>
      <c r="N134" s="878" t="s">
        <v>282</v>
      </c>
      <c r="O134" s="878" t="s">
        <v>592</v>
      </c>
      <c r="P134" s="84" t="str">
        <f>IF(AND('331-CT'!$E$7=TH!H134,OR(N134="331",O134="331")),"x","")</f>
        <v/>
      </c>
      <c r="Q134" s="84" t="str">
        <f>IF(AND(B134='111'!$L$11,OR($N134=$Q$7,$O134=$Q$7)),"x","")</f>
        <v/>
      </c>
      <c r="R134" s="84" t="str">
        <f>IF(AND($N134=$Q$7,$B134&lt;'111'!$L$11),"x","")</f>
        <v/>
      </c>
      <c r="S134" s="84" t="str">
        <f>IF(AND($O134=$Q$7,$B134&lt;'111'!$L$11),"x","")</f>
        <v/>
      </c>
      <c r="T134" s="84" t="str">
        <f>IF(ISERROR(FIND('112'!$M$9,G134,1)),"",IF((AND(FIND('112'!$M$9,G134,1)&gt;=1,B134='112'!$K$9,OR($N134='112'!$I$6,$O134='112'!$I$6))),"x",""))</f>
        <v/>
      </c>
      <c r="U134" s="84" t="str">
        <f>IF(ISERROR(FIND('112'!$M$9,G134,1)),"",IF((AND(LEFT(G134,2)=LEFT('112'!$M$9,2),B134&lt;'112'!$K$9,$N134='112'!$I$6)),"x",""))</f>
        <v/>
      </c>
      <c r="V134" s="84" t="str">
        <f>IF(ISERROR(FIND('112'!$M$9,G134,1)),"",IF((AND(RIGHT(G134,2)=RIGHT('112'!$M$9,2),B134&lt;'112'!$K$9,$O134='112'!$I$6)),"x",""))</f>
        <v/>
      </c>
      <c r="W134" s="84" t="str">
        <f>IF(AND('341-CT'!$H$9=H134,OR(LEFT(N134,3)=$W$7,LEFT(O134,3)=$W$7)),"x","")</f>
        <v/>
      </c>
      <c r="X134" s="84" t="str">
        <f>IF(OR(TH!N134=TH!$X$7,O134=TH!$X$7),"x","")</f>
        <v/>
      </c>
      <c r="Y134" s="84" t="str">
        <f>IF(AND(OR(N134="131",O134="131"),H134='131-CT'!$H$9),"x","")</f>
        <v/>
      </c>
      <c r="Z134" s="84"/>
      <c r="AA134" s="84" t="str">
        <f>IF(AND(MONTH(E134)='IN-NX'!$J$5,'IN-NX'!$D$7=D134),"x","")</f>
        <v/>
      </c>
      <c r="AB134" s="84" t="str">
        <f>IF(AND(OR(LEFT(TH!N134,2)="15",LEFT(TH!O134,2)="15"),LEFT(TH!O134,3)&lt;&gt;"111",'152-CT'!$J$8=TH!F134),"x","")</f>
        <v/>
      </c>
      <c r="AC134" s="84" t="str">
        <f>IF(AND(OR(LEFT(TH!N134,2)="15",LEFT(TH!O134,2)="15"),TK!$E$7=TH!F134),"x","")</f>
        <v/>
      </c>
      <c r="AD134" s="84" t="str">
        <f>IF(AND(N134="1521",MONTH(C134)='BK-NL'!$M$11),"x","")</f>
        <v/>
      </c>
    </row>
    <row r="135" spans="1:30" s="341" customFormat="1" ht="15.75" hidden="1" customHeight="1">
      <c r="A135" s="336" t="str">
        <f>IF(B135&lt;&gt;"",IF(AND(B135='IN-TC'!$S$4,OR(TH!N135="1111",TH!O135="1111")),TH!D135,""),"")</f>
        <v/>
      </c>
      <c r="B135" s="63">
        <f t="shared" si="15"/>
        <v>7</v>
      </c>
      <c r="C135" s="871">
        <v>42582</v>
      </c>
      <c r="D135" s="871" t="s">
        <v>582</v>
      </c>
      <c r="E135" s="871">
        <f t="shared" si="17"/>
        <v>42582</v>
      </c>
      <c r="F135" s="73" t="s">
        <v>1330</v>
      </c>
      <c r="G135" s="976" t="s">
        <v>583</v>
      </c>
      <c r="H135" s="320"/>
      <c r="I135" s="439"/>
      <c r="J135" s="439"/>
      <c r="K135" s="430"/>
      <c r="L135" s="439"/>
      <c r="M135" s="877">
        <f>G133*$G135</f>
        <v>2989520</v>
      </c>
      <c r="N135" s="878" t="s">
        <v>592</v>
      </c>
      <c r="O135" s="878" t="s">
        <v>593</v>
      </c>
      <c r="P135" s="84" t="str">
        <f>IF(AND('331-CT'!$E$7=TH!H135,OR(N135="331",O135="331")),"x","")</f>
        <v/>
      </c>
      <c r="Q135" s="84" t="str">
        <f>IF(AND(B135='111'!$L$11,OR($N135=$Q$7,$O135=$Q$7)),"x","")</f>
        <v/>
      </c>
      <c r="R135" s="84" t="str">
        <f>IF(AND($N135=$Q$7,$B135&lt;'111'!$L$11),"x","")</f>
        <v/>
      </c>
      <c r="S135" s="84" t="str">
        <f>IF(AND($O135=$Q$7,$B135&lt;'111'!$L$11),"x","")</f>
        <v/>
      </c>
      <c r="T135" s="84" t="str">
        <f>IF(ISERROR(FIND('112'!$M$9,G135,1)),"",IF((AND(FIND('112'!$M$9,G135,1)&gt;=1,B135='112'!$K$9,OR($N135='112'!$I$6,$O135='112'!$I$6))),"x",""))</f>
        <v/>
      </c>
      <c r="U135" s="84" t="str">
        <f>IF(ISERROR(FIND('112'!$M$9,G135,1)),"",IF((AND(LEFT(G135,2)=LEFT('112'!$M$9,2),B135&lt;'112'!$K$9,$N135='112'!$I$6)),"x",""))</f>
        <v/>
      </c>
      <c r="V135" s="84" t="str">
        <f>IF(ISERROR(FIND('112'!$M$9,G135,1)),"",IF((AND(RIGHT(G135,2)=RIGHT('112'!$M$9,2),B135&lt;'112'!$K$9,$O135='112'!$I$6)),"x",""))</f>
        <v/>
      </c>
      <c r="W135" s="84" t="str">
        <f>IF(AND('341-CT'!$H$9=H135,OR(LEFT(N135,3)=$W$7,LEFT(O135,3)=$W$7)),"x","")</f>
        <v/>
      </c>
      <c r="X135" s="84" t="str">
        <f>IF(OR(TH!N135=TH!$X$7,O135=TH!$X$7),"x","")</f>
        <v/>
      </c>
      <c r="Y135" s="84" t="str">
        <f>IF(AND(OR(N135="131",O135="131"),H135='131-CT'!$H$9),"x","")</f>
        <v/>
      </c>
      <c r="Z135" s="84"/>
      <c r="AA135" s="84" t="str">
        <f>IF(AND(MONTH(E135)='IN-NX'!$J$5,'IN-NX'!$D$7=D135),"x","")</f>
        <v/>
      </c>
      <c r="AB135" s="84" t="str">
        <f>IF(AND(OR(LEFT(TH!N135,2)="15",LEFT(TH!O135,2)="15"),LEFT(TH!O135,3)&lt;&gt;"111",'152-CT'!$J$8=TH!F135),"x","")</f>
        <v/>
      </c>
      <c r="AC135" s="84" t="str">
        <f>IF(AND(OR(LEFT(TH!N135,2)="15",LEFT(TH!O135,2)="15"),TK!$E$7=TH!F135),"x","")</f>
        <v/>
      </c>
      <c r="AD135" s="84" t="str">
        <f>IF(AND(N135="1521",MONTH(C135)='BK-NL'!$M$11),"x","")</f>
        <v/>
      </c>
    </row>
    <row r="136" spans="1:30" s="341" customFormat="1" ht="15.75" hidden="1" customHeight="1">
      <c r="A136" s="336" t="str">
        <f>IF(B136&lt;&gt;"",IF(AND(B136='IN-TC'!$S$4,OR(TH!N136="1111",TH!O136="1111")),TH!D136,""),"")</f>
        <v/>
      </c>
      <c r="B136" s="63">
        <f t="shared" si="15"/>
        <v>7</v>
      </c>
      <c r="C136" s="871">
        <v>42582</v>
      </c>
      <c r="D136" s="871" t="s">
        <v>582</v>
      </c>
      <c r="E136" s="871">
        <f t="shared" si="17"/>
        <v>42582</v>
      </c>
      <c r="F136" s="73" t="s">
        <v>1331</v>
      </c>
      <c r="G136" s="276"/>
      <c r="H136" s="320"/>
      <c r="I136" s="439"/>
      <c r="J136" s="439"/>
      <c r="K136" s="430"/>
      <c r="L136" s="439"/>
      <c r="M136" s="877">
        <f>G134*$G135</f>
        <v>6281040</v>
      </c>
      <c r="N136" s="879" t="s">
        <v>592</v>
      </c>
      <c r="O136" s="880" t="s">
        <v>593</v>
      </c>
      <c r="P136" s="84" t="str">
        <f>IF(AND('331-CT'!$E$7=TH!H136,OR(N136="331",O136="331")),"x","")</f>
        <v/>
      </c>
      <c r="Q136" s="84" t="str">
        <f>IF(AND(B136='111'!$L$11,OR($N136=$Q$7,$O136=$Q$7)),"x","")</f>
        <v/>
      </c>
      <c r="R136" s="84" t="str">
        <f>IF(AND($N136=$Q$7,$B136&lt;'111'!$L$11),"x","")</f>
        <v/>
      </c>
      <c r="S136" s="84" t="str">
        <f>IF(AND($O136=$Q$7,$B136&lt;'111'!$L$11),"x","")</f>
        <v/>
      </c>
      <c r="T136" s="84" t="str">
        <f>IF(ISERROR(FIND('112'!$M$9,G136,1)),"",IF((AND(FIND('112'!$M$9,G136,1)&gt;=1,B136='112'!$K$9,OR($N136='112'!$I$6,$O136='112'!$I$6))),"x",""))</f>
        <v/>
      </c>
      <c r="U136" s="84" t="str">
        <f>IF(ISERROR(FIND('112'!$M$9,G136,1)),"",IF((AND(LEFT(G136,2)=LEFT('112'!$M$9,2),B136&lt;'112'!$K$9,$N136='112'!$I$6)),"x",""))</f>
        <v/>
      </c>
      <c r="V136" s="84" t="str">
        <f>IF(ISERROR(FIND('112'!$M$9,G136,1)),"",IF((AND(RIGHT(G136,2)=RIGHT('112'!$M$9,2),B136&lt;'112'!$K$9,$O136='112'!$I$6)),"x",""))</f>
        <v/>
      </c>
      <c r="W136" s="84" t="str">
        <f>IF(AND('341-CT'!$H$9=H136,OR(LEFT(N136,3)=$W$7,LEFT(O136,3)=$W$7)),"x","")</f>
        <v/>
      </c>
      <c r="X136" s="84" t="str">
        <f>IF(OR(TH!N136=TH!$X$7,O136=TH!$X$7),"x","")</f>
        <v/>
      </c>
      <c r="Y136" s="84" t="str">
        <f>IF(AND(OR(N136="131",O136="131"),H136='131-CT'!$H$9),"x","")</f>
        <v/>
      </c>
      <c r="Z136" s="84"/>
      <c r="AA136" s="84" t="str">
        <f>IF(AND(MONTH(E136)='IN-NX'!$J$5,'IN-NX'!$D$7=D136),"x","")</f>
        <v/>
      </c>
      <c r="AB136" s="84" t="str">
        <f>IF(AND(OR(LEFT(TH!N136,2)="15",LEFT(TH!O136,2)="15"),LEFT(TH!O136,3)&lt;&gt;"111",'152-CT'!$J$8=TH!F136),"x","")</f>
        <v/>
      </c>
      <c r="AC136" s="84" t="str">
        <f>IF(AND(OR(LEFT(TH!N136,2)="15",LEFT(TH!O136,2)="15"),TK!$E$7=TH!F136),"x","")</f>
        <v/>
      </c>
      <c r="AD136" s="84" t="str">
        <f>IF(AND(N136="1521",MONTH(C136)='BK-NL'!$M$11),"x","")</f>
        <v/>
      </c>
    </row>
    <row r="137" spans="1:30" s="341" customFormat="1" ht="15.75" hidden="1" customHeight="1">
      <c r="A137" s="336" t="str">
        <f>IF(B137&lt;&gt;"",IF(AND(B137='IN-TC'!$S$4,OR(TH!N137="1111",TH!O137="1111")),TH!D137,""),"")</f>
        <v/>
      </c>
      <c r="B137" s="63">
        <f t="shared" si="15"/>
        <v>7</v>
      </c>
      <c r="C137" s="871">
        <v>42582</v>
      </c>
      <c r="D137" s="871" t="s">
        <v>582</v>
      </c>
      <c r="E137" s="871">
        <f t="shared" si="17"/>
        <v>42582</v>
      </c>
      <c r="F137" s="73" t="s">
        <v>1332</v>
      </c>
      <c r="G137" s="976" t="s">
        <v>584</v>
      </c>
      <c r="H137" s="320"/>
      <c r="I137" s="439"/>
      <c r="J137" s="439"/>
      <c r="K137" s="430"/>
      <c r="L137" s="439"/>
      <c r="M137" s="877">
        <f>G133*$G137</f>
        <v>6726420</v>
      </c>
      <c r="N137" s="878" t="s">
        <v>591</v>
      </c>
      <c r="O137" s="878" t="s">
        <v>593</v>
      </c>
      <c r="P137" s="84" t="str">
        <f>IF(AND('331-CT'!$E$7=TH!H137,OR(N137="331",O137="331")),"x","")</f>
        <v/>
      </c>
      <c r="Q137" s="84" t="str">
        <f>IF(AND(B137='111'!$L$11,OR($N137=$Q$7,$O137=$Q$7)),"x","")</f>
        <v/>
      </c>
      <c r="R137" s="84" t="str">
        <f>IF(AND($N137=$Q$7,$B137&lt;'111'!$L$11),"x","")</f>
        <v/>
      </c>
      <c r="S137" s="84" t="str">
        <f>IF(AND($O137=$Q$7,$B137&lt;'111'!$L$11),"x","")</f>
        <v/>
      </c>
      <c r="T137" s="84" t="str">
        <f>IF(ISERROR(FIND('112'!$M$9,G137,1)),"",IF((AND(FIND('112'!$M$9,G137,1)&gt;=1,B137='112'!$K$9,OR($N137='112'!$I$6,$O137='112'!$I$6))),"x",""))</f>
        <v/>
      </c>
      <c r="U137" s="84" t="str">
        <f>IF(ISERROR(FIND('112'!$M$9,G137,1)),"",IF((AND(LEFT(G137,2)=LEFT('112'!$M$9,2),B137&lt;'112'!$K$9,$N137='112'!$I$6)),"x",""))</f>
        <v/>
      </c>
      <c r="V137" s="84" t="str">
        <f>IF(ISERROR(FIND('112'!$M$9,G137,1)),"",IF((AND(RIGHT(G137,2)=RIGHT('112'!$M$9,2),B137&lt;'112'!$K$9,$O137='112'!$I$6)),"x",""))</f>
        <v/>
      </c>
      <c r="W137" s="84" t="str">
        <f>IF(AND('341-CT'!$H$9=H137,OR(LEFT(N137,3)=$W$7,LEFT(O137,3)=$W$7)),"x","")</f>
        <v/>
      </c>
      <c r="X137" s="84" t="str">
        <f>IF(OR(TH!N137=TH!$X$7,O137=TH!$X$7),"x","")</f>
        <v/>
      </c>
      <c r="Y137" s="84" t="str">
        <f>IF(AND(OR(N137="131",O137="131"),H137='131-CT'!$H$9),"x","")</f>
        <v/>
      </c>
      <c r="Z137" s="84"/>
      <c r="AA137" s="84" t="str">
        <f>IF(AND(MONTH(E137)='IN-NX'!$J$5,'IN-NX'!$D$7=D137),"x","")</f>
        <v/>
      </c>
      <c r="AB137" s="84" t="str">
        <f>IF(AND(OR(LEFT(TH!N137,2)="15",LEFT(TH!O137,2)="15"),LEFT(TH!O137,3)&lt;&gt;"111",'152-CT'!$J$8=TH!F137),"x","")</f>
        <v/>
      </c>
      <c r="AC137" s="84" t="str">
        <f>IF(AND(OR(LEFT(TH!N137,2)="15",LEFT(TH!O137,2)="15"),TK!$E$7=TH!F137),"x","")</f>
        <v/>
      </c>
      <c r="AD137" s="84" t="str">
        <f>IF(AND(N137="1521",MONTH(C137)='BK-NL'!$M$11),"x","")</f>
        <v/>
      </c>
    </row>
    <row r="138" spans="1:30" s="341" customFormat="1" ht="15.75" hidden="1" customHeight="1">
      <c r="A138" s="336" t="str">
        <f>IF(B138&lt;&gt;"",IF(AND(B138='IN-TC'!$S$4,OR(TH!N138="1111",TH!O138="1111")),TH!D138,""),"")</f>
        <v/>
      </c>
      <c r="B138" s="63">
        <f t="shared" si="15"/>
        <v>7</v>
      </c>
      <c r="C138" s="871">
        <v>42582</v>
      </c>
      <c r="D138" s="871" t="s">
        <v>582</v>
      </c>
      <c r="E138" s="871">
        <f t="shared" si="17"/>
        <v>42582</v>
      </c>
      <c r="F138" s="73" t="s">
        <v>1333</v>
      </c>
      <c r="G138" s="276"/>
      <c r="H138" s="320"/>
      <c r="I138" s="439"/>
      <c r="J138" s="439"/>
      <c r="K138" s="430"/>
      <c r="L138" s="439"/>
      <c r="M138" s="877">
        <f>G134*$G137</f>
        <v>14132340</v>
      </c>
      <c r="N138" s="878" t="s">
        <v>282</v>
      </c>
      <c r="O138" s="878" t="s">
        <v>593</v>
      </c>
      <c r="P138" s="84" t="str">
        <f>IF(AND('331-CT'!$E$7=TH!H138,OR(N138="331",O138="331")),"x","")</f>
        <v/>
      </c>
      <c r="Q138" s="84" t="str">
        <f>IF(AND(B138='111'!$L$11,OR($N138=$Q$7,$O138=$Q$7)),"x","")</f>
        <v/>
      </c>
      <c r="R138" s="84" t="str">
        <f>IF(AND($N138=$Q$7,$B138&lt;'111'!$L$11),"x","")</f>
        <v/>
      </c>
      <c r="S138" s="84" t="str">
        <f>IF(AND($O138=$Q$7,$B138&lt;'111'!$L$11),"x","")</f>
        <v/>
      </c>
      <c r="T138" s="84" t="str">
        <f>IF(ISERROR(FIND('112'!$M$9,G138,1)),"",IF((AND(FIND('112'!$M$9,G138,1)&gt;=1,B138='112'!$K$9,OR($N138='112'!$I$6,$O138='112'!$I$6))),"x",""))</f>
        <v/>
      </c>
      <c r="U138" s="84" t="str">
        <f>IF(ISERROR(FIND('112'!$M$9,G138,1)),"",IF((AND(LEFT(G138,2)=LEFT('112'!$M$9,2),B138&lt;'112'!$K$9,$N138='112'!$I$6)),"x",""))</f>
        <v/>
      </c>
      <c r="V138" s="84" t="str">
        <f>IF(ISERROR(FIND('112'!$M$9,G138,1)),"",IF((AND(RIGHT(G138,2)=RIGHT('112'!$M$9,2),B138&lt;'112'!$K$9,$O138='112'!$I$6)),"x",""))</f>
        <v/>
      </c>
      <c r="W138" s="84" t="str">
        <f>IF(AND('341-CT'!$H$9=H138,OR(LEFT(N138,3)=$W$7,LEFT(O138,3)=$W$7)),"x","")</f>
        <v/>
      </c>
      <c r="X138" s="84" t="str">
        <f>IF(OR(TH!N138=TH!$X$7,O138=TH!$X$7),"x","")</f>
        <v/>
      </c>
      <c r="Y138" s="84" t="str">
        <f>IF(AND(OR(N138="131",O138="131"),H138='131-CT'!$H$9),"x","")</f>
        <v/>
      </c>
      <c r="Z138" s="84"/>
      <c r="AA138" s="84" t="str">
        <f>IF(AND(MONTH(E138)='IN-NX'!$J$5,'IN-NX'!$D$7=D138),"x","")</f>
        <v/>
      </c>
      <c r="AB138" s="84" t="str">
        <f>IF(AND(OR(LEFT(TH!N138,2)="15",LEFT(TH!O138,2)="15"),LEFT(TH!O138,3)&lt;&gt;"111",'152-CT'!$J$8=TH!F138),"x","")</f>
        <v/>
      </c>
      <c r="AC138" s="84" t="str">
        <f>IF(AND(OR(LEFT(TH!N138,2)="15",LEFT(TH!O138,2)="15"),TK!$E$7=TH!F138),"x","")</f>
        <v/>
      </c>
      <c r="AD138" s="84" t="str">
        <f>IF(AND(N138="1521",MONTH(C138)='BK-NL'!$M$11),"x","")</f>
        <v/>
      </c>
    </row>
    <row r="139" spans="1:30" s="341" customFormat="1" ht="15.75" hidden="1" customHeight="1">
      <c r="A139" s="336" t="str">
        <f>IF(B139&lt;&gt;"",IF(AND(B139='IN-TC'!$S$4,OR(TH!N139="1111",TH!O139="1111")),TH!D139,""),"")</f>
        <v/>
      </c>
      <c r="B139" s="63">
        <f t="shared" si="15"/>
        <v>7</v>
      </c>
      <c r="C139" s="871">
        <v>42582</v>
      </c>
      <c r="D139" s="871" t="s">
        <v>582</v>
      </c>
      <c r="E139" s="871">
        <f t="shared" si="17"/>
        <v>42582</v>
      </c>
      <c r="F139" s="73" t="s">
        <v>1334</v>
      </c>
      <c r="G139" s="976" t="s">
        <v>585</v>
      </c>
      <c r="H139" s="322"/>
      <c r="I139" s="437"/>
      <c r="J139" s="437"/>
      <c r="K139" s="428"/>
      <c r="L139" s="437"/>
      <c r="M139" s="877">
        <f>G133*$G139</f>
        <v>560535</v>
      </c>
      <c r="N139" s="878" t="s">
        <v>592</v>
      </c>
      <c r="O139" s="878" t="s">
        <v>594</v>
      </c>
      <c r="P139" s="84" t="str">
        <f>IF(AND('331-CT'!$E$7=TH!H139,OR(N139="331",O139="331")),"x","")</f>
        <v/>
      </c>
      <c r="Q139" s="84" t="str">
        <f>IF(AND(B139='111'!$L$11,OR($N139=$Q$7,$O139=$Q$7)),"x","")</f>
        <v/>
      </c>
      <c r="R139" s="84" t="str">
        <f>IF(AND($N139=$Q$7,$B139&lt;'111'!$L$11),"x","")</f>
        <v/>
      </c>
      <c r="S139" s="84" t="str">
        <f>IF(AND($O139=$Q$7,$B139&lt;'111'!$L$11),"x","")</f>
        <v/>
      </c>
      <c r="T139" s="84" t="str">
        <f>IF(ISERROR(FIND('112'!$M$9,G139,1)),"",IF((AND(FIND('112'!$M$9,G139,1)&gt;=1,B139='112'!$K$9,OR($N139='112'!$I$6,$O139='112'!$I$6))),"x",""))</f>
        <v/>
      </c>
      <c r="U139" s="84" t="str">
        <f>IF(ISERROR(FIND('112'!$M$9,G139,1)),"",IF((AND(LEFT(G139,2)=LEFT('112'!$M$9,2),B139&lt;'112'!$K$9,$N139='112'!$I$6)),"x",""))</f>
        <v/>
      </c>
      <c r="V139" s="84" t="str">
        <f>IF(ISERROR(FIND('112'!$M$9,G139,1)),"",IF((AND(RIGHT(G139,2)=RIGHT('112'!$M$9,2),B139&lt;'112'!$K$9,$O139='112'!$I$6)),"x",""))</f>
        <v/>
      </c>
      <c r="W139" s="84" t="str">
        <f>IF(AND('341-CT'!$H$9=H139,OR(LEFT(N139,3)=$W$7,LEFT(O139,3)=$W$7)),"x","")</f>
        <v/>
      </c>
      <c r="X139" s="84" t="str">
        <f>IF(OR(TH!N139=TH!$X$7,O139=TH!$X$7),"x","")</f>
        <v/>
      </c>
      <c r="Y139" s="84" t="str">
        <f>IF(AND(OR(N139="131",O139="131"),H139='131-CT'!$H$9),"x","")</f>
        <v/>
      </c>
      <c r="Z139" s="84"/>
      <c r="AA139" s="84" t="str">
        <f>IF(AND(MONTH(E139)='IN-NX'!$J$5,'IN-NX'!$D$7=D139),"x","")</f>
        <v/>
      </c>
      <c r="AB139" s="84" t="str">
        <f>IF(AND(OR(LEFT(TH!N139,2)="15",LEFT(TH!O139,2)="15"),LEFT(TH!O139,3)&lt;&gt;"111",'152-CT'!$J$8=TH!F139),"x","")</f>
        <v/>
      </c>
      <c r="AC139" s="84" t="str">
        <f>IF(AND(OR(LEFT(TH!N139,2)="15",LEFT(TH!O139,2)="15"),TK!$E$7=TH!F139),"x","")</f>
        <v/>
      </c>
      <c r="AD139" s="84" t="str">
        <f>IF(AND(N139="1521",MONTH(C139)='BK-NL'!$M$11),"x","")</f>
        <v/>
      </c>
    </row>
    <row r="140" spans="1:30" s="341" customFormat="1" ht="15.75" hidden="1" customHeight="1">
      <c r="A140" s="336" t="str">
        <f>IF(B140&lt;&gt;"",IF(AND(B140='IN-TC'!$S$4,OR(TH!N140="1111",TH!O140="1111")),TH!D140,""),"")</f>
        <v/>
      </c>
      <c r="B140" s="63">
        <f t="shared" si="15"/>
        <v>7</v>
      </c>
      <c r="C140" s="871">
        <v>42582</v>
      </c>
      <c r="D140" s="871" t="s">
        <v>582</v>
      </c>
      <c r="E140" s="871">
        <f t="shared" si="17"/>
        <v>42582</v>
      </c>
      <c r="F140" s="73" t="s">
        <v>1335</v>
      </c>
      <c r="G140" s="276"/>
      <c r="H140" s="322"/>
      <c r="I140" s="437"/>
      <c r="J140" s="437"/>
      <c r="K140" s="428"/>
      <c r="L140" s="437"/>
      <c r="M140" s="877">
        <f>G134*$G139</f>
        <v>1177695</v>
      </c>
      <c r="N140" s="878" t="s">
        <v>592</v>
      </c>
      <c r="O140" s="878" t="s">
        <v>594</v>
      </c>
      <c r="P140" s="84" t="str">
        <f>IF(AND('331-CT'!$E$7=TH!H140,OR(N140="331",O140="331")),"x","")</f>
        <v/>
      </c>
      <c r="Q140" s="84" t="str">
        <f>IF(AND(B140='111'!$L$11,OR($N140=$Q$7,$O140=$Q$7)),"x","")</f>
        <v/>
      </c>
      <c r="R140" s="84" t="str">
        <f>IF(AND($N140=$Q$7,$B140&lt;'111'!$L$11),"x","")</f>
        <v/>
      </c>
      <c r="S140" s="84" t="str">
        <f>IF(AND($O140=$Q$7,$B140&lt;'111'!$L$11),"x","")</f>
        <v/>
      </c>
      <c r="T140" s="84" t="str">
        <f>IF(ISERROR(FIND('112'!$M$9,G140,1)),"",IF((AND(FIND('112'!$M$9,G140,1)&gt;=1,B140='112'!$K$9,OR($N140='112'!$I$6,$O140='112'!$I$6))),"x",""))</f>
        <v/>
      </c>
      <c r="U140" s="84" t="str">
        <f>IF(ISERROR(FIND('112'!$M$9,G140,1)),"",IF((AND(LEFT(G140,2)=LEFT('112'!$M$9,2),B140&lt;'112'!$K$9,$N140='112'!$I$6)),"x",""))</f>
        <v/>
      </c>
      <c r="V140" s="84" t="str">
        <f>IF(ISERROR(FIND('112'!$M$9,G140,1)),"",IF((AND(RIGHT(G140,2)=RIGHT('112'!$M$9,2),B140&lt;'112'!$K$9,$O140='112'!$I$6)),"x",""))</f>
        <v/>
      </c>
      <c r="W140" s="84" t="str">
        <f>IF(AND('341-CT'!$H$9=H140,OR(LEFT(N140,3)=$W$7,LEFT(O140,3)=$W$7)),"x","")</f>
        <v/>
      </c>
      <c r="X140" s="84" t="str">
        <f>IF(OR(TH!N140=TH!$X$7,O140=TH!$X$7),"x","")</f>
        <v/>
      </c>
      <c r="Y140" s="84" t="str">
        <f>IF(AND(OR(N140="131",O140="131"),H140='131-CT'!$H$9),"x","")</f>
        <v/>
      </c>
      <c r="Z140" s="84"/>
      <c r="AA140" s="84" t="str">
        <f>IF(AND(MONTH(E140)='IN-NX'!$J$5,'IN-NX'!$D$7=D140),"x","")</f>
        <v/>
      </c>
      <c r="AB140" s="84" t="str">
        <f>IF(AND(OR(LEFT(TH!N140,2)="15",LEFT(TH!O140,2)="15"),LEFT(TH!O140,3)&lt;&gt;"111",'152-CT'!$J$8=TH!F140),"x","")</f>
        <v/>
      </c>
      <c r="AC140" s="84" t="str">
        <f>IF(AND(OR(LEFT(TH!N140,2)="15",LEFT(TH!O140,2)="15"),TK!$E$7=TH!F140),"x","")</f>
        <v/>
      </c>
      <c r="AD140" s="84" t="str">
        <f>IF(AND(N140="1521",MONTH(C140)='BK-NL'!$M$11),"x","")</f>
        <v/>
      </c>
    </row>
    <row r="141" spans="1:30" s="341" customFormat="1" ht="15.75" hidden="1" customHeight="1">
      <c r="A141" s="336" t="str">
        <f>IF(B141&lt;&gt;"",IF(AND(B141='IN-TC'!$S$4,OR(TH!N141="1111",TH!O141="1111")),TH!D141,""),"")</f>
        <v/>
      </c>
      <c r="B141" s="63">
        <f t="shared" si="15"/>
        <v>7</v>
      </c>
      <c r="C141" s="871">
        <v>42582</v>
      </c>
      <c r="D141" s="871" t="s">
        <v>582</v>
      </c>
      <c r="E141" s="871">
        <f t="shared" si="17"/>
        <v>42582</v>
      </c>
      <c r="F141" s="73" t="s">
        <v>1336</v>
      </c>
      <c r="G141" s="976" t="s">
        <v>586</v>
      </c>
      <c r="H141" s="320"/>
      <c r="I141" s="439"/>
      <c r="J141" s="439"/>
      <c r="K141" s="430"/>
      <c r="L141" s="439"/>
      <c r="M141" s="877">
        <f>G133*$G141</f>
        <v>1121070</v>
      </c>
      <c r="N141" s="878" t="s">
        <v>591</v>
      </c>
      <c r="O141" s="878" t="s">
        <v>594</v>
      </c>
      <c r="P141" s="84" t="str">
        <f>IF(AND('331-CT'!$E$7=TH!H141,OR(N141="331",O141="331")),"x","")</f>
        <v/>
      </c>
      <c r="Q141" s="84" t="str">
        <f>IF(AND(B141='111'!$L$11,OR($N141=$Q$7,$O141=$Q$7)),"x","")</f>
        <v/>
      </c>
      <c r="R141" s="84" t="str">
        <f>IF(AND($N141=$Q$7,$B141&lt;'111'!$L$11),"x","")</f>
        <v/>
      </c>
      <c r="S141" s="84" t="str">
        <f>IF(AND($O141=$Q$7,$B141&lt;'111'!$L$11),"x","")</f>
        <v/>
      </c>
      <c r="T141" s="84" t="str">
        <f>IF(ISERROR(FIND('112'!$M$9,G141,1)),"",IF((AND(FIND('112'!$M$9,G141,1)&gt;=1,B141='112'!$K$9,OR($N141='112'!$I$6,$O141='112'!$I$6))),"x",""))</f>
        <v/>
      </c>
      <c r="U141" s="84" t="str">
        <f>IF(ISERROR(FIND('112'!$M$9,G141,1)),"",IF((AND(LEFT(G141,2)=LEFT('112'!$M$9,2),B141&lt;'112'!$K$9,$N141='112'!$I$6)),"x",""))</f>
        <v/>
      </c>
      <c r="V141" s="84" t="str">
        <f>IF(ISERROR(FIND('112'!$M$9,G141,1)),"",IF((AND(RIGHT(G141,2)=RIGHT('112'!$M$9,2),B141&lt;'112'!$K$9,$O141='112'!$I$6)),"x",""))</f>
        <v/>
      </c>
      <c r="W141" s="84" t="str">
        <f>IF(AND('341-CT'!$H$9=H141,OR(LEFT(N141,3)=$W$7,LEFT(O141,3)=$W$7)),"x","")</f>
        <v/>
      </c>
      <c r="X141" s="84" t="str">
        <f>IF(OR(TH!N141=TH!$X$7,O141=TH!$X$7),"x","")</f>
        <v/>
      </c>
      <c r="Y141" s="84" t="str">
        <f>IF(AND(OR(N141="131",O141="131"),H141='131-CT'!$H$9),"x","")</f>
        <v/>
      </c>
      <c r="Z141" s="84"/>
      <c r="AA141" s="84" t="str">
        <f>IF(AND(MONTH(E141)='IN-NX'!$J$5,'IN-NX'!$D$7=D141),"x","")</f>
        <v/>
      </c>
      <c r="AB141" s="84" t="str">
        <f>IF(AND(OR(LEFT(TH!N141,2)="15",LEFT(TH!O141,2)="15"),LEFT(TH!O141,3)&lt;&gt;"111",'152-CT'!$J$8=TH!F141),"x","")</f>
        <v/>
      </c>
      <c r="AC141" s="84" t="str">
        <f>IF(AND(OR(LEFT(TH!N141,2)="15",LEFT(TH!O141,2)="15"),TK!$E$7=TH!F141),"x","")</f>
        <v/>
      </c>
      <c r="AD141" s="84" t="str">
        <f>IF(AND(N141="1521",MONTH(C141)='BK-NL'!$M$11),"x","")</f>
        <v/>
      </c>
    </row>
    <row r="142" spans="1:30" s="341" customFormat="1" ht="15.75" hidden="1" customHeight="1">
      <c r="A142" s="336" t="str">
        <f>IF(B142&lt;&gt;"",IF(AND(B142='IN-TC'!$S$4,OR(TH!N142="1111",TH!O142="1111")),TH!D142,""),"")</f>
        <v/>
      </c>
      <c r="B142" s="63">
        <f t="shared" si="15"/>
        <v>7</v>
      </c>
      <c r="C142" s="871">
        <v>42582</v>
      </c>
      <c r="D142" s="871" t="s">
        <v>582</v>
      </c>
      <c r="E142" s="871">
        <f t="shared" si="17"/>
        <v>42582</v>
      </c>
      <c r="F142" s="73" t="s">
        <v>1337</v>
      </c>
      <c r="G142" s="276"/>
      <c r="H142" s="320"/>
      <c r="I142" s="439"/>
      <c r="J142" s="439"/>
      <c r="K142" s="430"/>
      <c r="L142" s="439"/>
      <c r="M142" s="877">
        <f>G134*$G141</f>
        <v>2355390</v>
      </c>
      <c r="N142" s="878" t="s">
        <v>282</v>
      </c>
      <c r="O142" s="878" t="s">
        <v>594</v>
      </c>
      <c r="P142" s="84" t="str">
        <f>IF(AND('331-CT'!$E$7=TH!H142,OR(N142="331",O142="331")),"x","")</f>
        <v/>
      </c>
      <c r="Q142" s="84" t="str">
        <f>IF(AND(B142='111'!$L$11,OR($N142=$Q$7,$O142=$Q$7)),"x","")</f>
        <v/>
      </c>
      <c r="R142" s="84" t="str">
        <f>IF(AND($N142=$Q$7,$B142&lt;'111'!$L$11),"x","")</f>
        <v/>
      </c>
      <c r="S142" s="84" t="str">
        <f>IF(AND($O142=$Q$7,$B142&lt;'111'!$L$11),"x","")</f>
        <v/>
      </c>
      <c r="T142" s="84" t="str">
        <f>IF(ISERROR(FIND('112'!$M$9,G142,1)),"",IF((AND(FIND('112'!$M$9,G142,1)&gt;=1,B142='112'!$K$9,OR($N142='112'!$I$6,$O142='112'!$I$6))),"x",""))</f>
        <v/>
      </c>
      <c r="U142" s="84" t="str">
        <f>IF(ISERROR(FIND('112'!$M$9,G142,1)),"",IF((AND(LEFT(G142,2)=LEFT('112'!$M$9,2),B142&lt;'112'!$K$9,$N142='112'!$I$6)),"x",""))</f>
        <v/>
      </c>
      <c r="V142" s="84" t="str">
        <f>IF(ISERROR(FIND('112'!$M$9,G142,1)),"",IF((AND(RIGHT(G142,2)=RIGHT('112'!$M$9,2),B142&lt;'112'!$K$9,$O142='112'!$I$6)),"x",""))</f>
        <v/>
      </c>
      <c r="W142" s="84" t="str">
        <f>IF(AND('341-CT'!$H$9=H142,OR(LEFT(N142,3)=$W$7,LEFT(O142,3)=$W$7)),"x","")</f>
        <v/>
      </c>
      <c r="X142" s="84" t="str">
        <f>IF(OR(TH!N142=TH!$X$7,O142=TH!$X$7),"x","")</f>
        <v/>
      </c>
      <c r="Y142" s="84" t="str">
        <f>IF(AND(OR(N142="131",O142="131"),H142='131-CT'!$H$9),"x","")</f>
        <v/>
      </c>
      <c r="Z142" s="84"/>
      <c r="AA142" s="84" t="str">
        <f>IF(AND(MONTH(E142)='IN-NX'!$J$5,'IN-NX'!$D$7=D142),"x","")</f>
        <v/>
      </c>
      <c r="AB142" s="84" t="str">
        <f>IF(AND(OR(LEFT(TH!N142,2)="15",LEFT(TH!O142,2)="15"),LEFT(TH!O142,3)&lt;&gt;"111",'152-CT'!$J$8=TH!F142),"x","")</f>
        <v/>
      </c>
      <c r="AC142" s="84" t="str">
        <f>IF(AND(OR(LEFT(TH!N142,2)="15",LEFT(TH!O142,2)="15"),TK!$E$7=TH!F142),"x","")</f>
        <v/>
      </c>
      <c r="AD142" s="84" t="str">
        <f>IF(AND(N142="1521",MONTH(C142)='BK-NL'!$M$11),"x","")</f>
        <v/>
      </c>
    </row>
    <row r="143" spans="1:30" s="341" customFormat="1" ht="15.75" hidden="1" customHeight="1">
      <c r="A143" s="336" t="str">
        <f>IF(B143&lt;&gt;"",IF(AND(B143='IN-TC'!$S$4,OR(TH!N143="1111",TH!O143="1111")),TH!D143,""),"")</f>
        <v/>
      </c>
      <c r="B143" s="63">
        <f t="shared" si="15"/>
        <v>7</v>
      </c>
      <c r="C143" s="871">
        <v>42582</v>
      </c>
      <c r="D143" s="871" t="s">
        <v>582</v>
      </c>
      <c r="E143" s="871">
        <f t="shared" si="17"/>
        <v>42582</v>
      </c>
      <c r="F143" s="73" t="s">
        <v>1338</v>
      </c>
      <c r="G143" s="976" t="s">
        <v>587</v>
      </c>
      <c r="H143" s="320"/>
      <c r="I143" s="439"/>
      <c r="J143" s="439"/>
      <c r="K143" s="430"/>
      <c r="L143" s="439"/>
      <c r="M143" s="877">
        <f>G133*$G143</f>
        <v>373690</v>
      </c>
      <c r="N143" s="878" t="s">
        <v>592</v>
      </c>
      <c r="O143" s="878" t="s">
        <v>595</v>
      </c>
      <c r="P143" s="84" t="str">
        <f>IF(AND('331-CT'!$E$7=TH!H143,OR(N143="331",O143="331")),"x","")</f>
        <v/>
      </c>
      <c r="Q143" s="84" t="str">
        <f>IF(AND(B143='111'!$L$11,OR($N143=$Q$7,$O143=$Q$7)),"x","")</f>
        <v/>
      </c>
      <c r="R143" s="84" t="str">
        <f>IF(AND($N143=$Q$7,$B143&lt;'111'!$L$11),"x","")</f>
        <v/>
      </c>
      <c r="S143" s="84" t="str">
        <f>IF(AND($O143=$Q$7,$B143&lt;'111'!$L$11),"x","")</f>
        <v/>
      </c>
      <c r="T143" s="84" t="str">
        <f>IF(ISERROR(FIND('112'!$M$9,G143,1)),"",IF((AND(FIND('112'!$M$9,G143,1)&gt;=1,B143='112'!$K$9,OR($N143='112'!$I$6,$O143='112'!$I$6))),"x",""))</f>
        <v/>
      </c>
      <c r="U143" s="84" t="str">
        <f>IF(ISERROR(FIND('112'!$M$9,G143,1)),"",IF((AND(LEFT(G143,2)=LEFT('112'!$M$9,2),B143&lt;'112'!$K$9,$N143='112'!$I$6)),"x",""))</f>
        <v/>
      </c>
      <c r="V143" s="84" t="str">
        <f>IF(ISERROR(FIND('112'!$M$9,G143,1)),"",IF((AND(RIGHT(G143,2)=RIGHT('112'!$M$9,2),B143&lt;'112'!$K$9,$O143='112'!$I$6)),"x",""))</f>
        <v/>
      </c>
      <c r="W143" s="84" t="str">
        <f>IF(AND('341-CT'!$H$9=H143,OR(LEFT(N143,3)=$W$7,LEFT(O143,3)=$W$7)),"x","")</f>
        <v/>
      </c>
      <c r="X143" s="84" t="str">
        <f>IF(OR(TH!N143=TH!$X$7,O143=TH!$X$7),"x","")</f>
        <v/>
      </c>
      <c r="Y143" s="84" t="str">
        <f>IF(AND(OR(N143="131",O143="131"),H143='131-CT'!$H$9),"x","")</f>
        <v/>
      </c>
      <c r="Z143" s="84"/>
      <c r="AA143" s="84" t="str">
        <f>IF(AND(MONTH(E143)='IN-NX'!$J$5,'IN-NX'!$D$7=D143),"x","")</f>
        <v/>
      </c>
      <c r="AB143" s="84" t="str">
        <f>IF(AND(OR(LEFT(TH!N143,2)="15",LEFT(TH!O143,2)="15"),LEFT(TH!O143,3)&lt;&gt;"111",'152-CT'!$J$8=TH!F143),"x","")</f>
        <v/>
      </c>
      <c r="AC143" s="84" t="str">
        <f>IF(AND(OR(LEFT(TH!N143,2)="15",LEFT(TH!O143,2)="15"),TK!$E$7=TH!F143),"x","")</f>
        <v/>
      </c>
      <c r="AD143" s="84" t="str">
        <f>IF(AND(N143="1521",MONTH(C143)='BK-NL'!$M$11),"x","")</f>
        <v/>
      </c>
    </row>
    <row r="144" spans="1:30" s="341" customFormat="1" ht="15.75" hidden="1" customHeight="1">
      <c r="A144" s="336" t="str">
        <f>IF(B144&lt;&gt;"",IF(AND(B144='IN-TC'!$S$4,OR(TH!N144="1111",TH!O144="1111")),TH!D144,""),"")</f>
        <v/>
      </c>
      <c r="B144" s="63">
        <f t="shared" si="15"/>
        <v>7</v>
      </c>
      <c r="C144" s="871">
        <v>42582</v>
      </c>
      <c r="D144" s="871" t="s">
        <v>582</v>
      </c>
      <c r="E144" s="871">
        <f t="shared" si="17"/>
        <v>42582</v>
      </c>
      <c r="F144" s="73" t="s">
        <v>1339</v>
      </c>
      <c r="G144" s="276"/>
      <c r="H144" s="320"/>
      <c r="I144" s="439"/>
      <c r="J144" s="439"/>
      <c r="K144" s="430"/>
      <c r="L144" s="439"/>
      <c r="M144" s="877">
        <f>G134*$G143</f>
        <v>785130</v>
      </c>
      <c r="N144" s="878" t="s">
        <v>592</v>
      </c>
      <c r="O144" s="878" t="s">
        <v>595</v>
      </c>
      <c r="P144" s="84" t="str">
        <f>IF(AND('331-CT'!$E$7=TH!H144,OR(N144="331",O144="331")),"x","")</f>
        <v/>
      </c>
      <c r="Q144" s="84" t="str">
        <f>IF(AND(B144='111'!$L$11,OR($N144=$Q$7,$O144=$Q$7)),"x","")</f>
        <v/>
      </c>
      <c r="R144" s="84" t="str">
        <f>IF(AND($N144=$Q$7,$B144&lt;'111'!$L$11),"x","")</f>
        <v/>
      </c>
      <c r="S144" s="84" t="str">
        <f>IF(AND($O144=$Q$7,$B144&lt;'111'!$L$11),"x","")</f>
        <v/>
      </c>
      <c r="T144" s="84" t="str">
        <f>IF(ISERROR(FIND('112'!$M$9,G144,1)),"",IF((AND(FIND('112'!$M$9,G144,1)&gt;=1,B144='112'!$K$9,OR($N144='112'!$I$6,$O144='112'!$I$6))),"x",""))</f>
        <v/>
      </c>
      <c r="U144" s="84" t="str">
        <f>IF(ISERROR(FIND('112'!$M$9,G144,1)),"",IF((AND(LEFT(G144,2)=LEFT('112'!$M$9,2),B144&lt;'112'!$K$9,$N144='112'!$I$6)),"x",""))</f>
        <v/>
      </c>
      <c r="V144" s="84" t="str">
        <f>IF(ISERROR(FIND('112'!$M$9,G144,1)),"",IF((AND(RIGHT(G144,2)=RIGHT('112'!$M$9,2),B144&lt;'112'!$K$9,$O144='112'!$I$6)),"x",""))</f>
        <v/>
      </c>
      <c r="W144" s="84" t="str">
        <f>IF(AND('341-CT'!$H$9=H144,OR(LEFT(N144,3)=$W$7,LEFT(O144,3)=$W$7)),"x","")</f>
        <v/>
      </c>
      <c r="X144" s="84" t="str">
        <f>IF(OR(TH!N144=TH!$X$7,O144=TH!$X$7),"x","")</f>
        <v/>
      </c>
      <c r="Y144" s="84" t="str">
        <f>IF(AND(OR(N144="131",O144="131"),H144='131-CT'!$H$9),"x","")</f>
        <v/>
      </c>
      <c r="Z144" s="84"/>
      <c r="AA144" s="84" t="str">
        <f>IF(AND(MONTH(E144)='IN-NX'!$J$5,'IN-NX'!$D$7=D144),"x","")</f>
        <v/>
      </c>
      <c r="AB144" s="84" t="str">
        <f>IF(AND(OR(LEFT(TH!N144,2)="15",LEFT(TH!O144,2)="15"),LEFT(TH!O144,3)&lt;&gt;"111",'152-CT'!$J$8=TH!F144),"x","")</f>
        <v/>
      </c>
      <c r="AC144" s="84" t="str">
        <f>IF(AND(OR(LEFT(TH!N144,2)="15",LEFT(TH!O144,2)="15"),TK!$E$7=TH!F144),"x","")</f>
        <v/>
      </c>
      <c r="AD144" s="84" t="str">
        <f>IF(AND(N144="1521",MONTH(C144)='BK-NL'!$M$11),"x","")</f>
        <v/>
      </c>
    </row>
    <row r="145" spans="1:30" s="341" customFormat="1" ht="15.75" hidden="1" customHeight="1">
      <c r="A145" s="336" t="str">
        <f>IF(B145&lt;&gt;"",IF(AND(B145='IN-TC'!$S$4,OR(TH!N145="1111",TH!O145="1111")),TH!D145,""),"")</f>
        <v/>
      </c>
      <c r="B145" s="63">
        <f t="shared" si="15"/>
        <v>7</v>
      </c>
      <c r="C145" s="871">
        <v>42582</v>
      </c>
      <c r="D145" s="871" t="s">
        <v>582</v>
      </c>
      <c r="E145" s="871">
        <f t="shared" si="17"/>
        <v>42582</v>
      </c>
      <c r="F145" s="73" t="s">
        <v>1340</v>
      </c>
      <c r="G145" s="976" t="s">
        <v>587</v>
      </c>
      <c r="H145" s="1127"/>
      <c r="I145" s="440"/>
      <c r="J145" s="440"/>
      <c r="K145" s="431"/>
      <c r="L145" s="440"/>
      <c r="M145" s="877">
        <f>M143</f>
        <v>373690</v>
      </c>
      <c r="N145" s="878" t="s">
        <v>591</v>
      </c>
      <c r="O145" s="878" t="s">
        <v>595</v>
      </c>
      <c r="P145" s="84" t="str">
        <f>IF(AND('331-CT'!$E$7=TH!H145,OR(N145="331",O145="331")),"x","")</f>
        <v/>
      </c>
      <c r="Q145" s="84" t="str">
        <f>IF(AND(B145='111'!$L$11,OR($N145=$Q$7,$O145=$Q$7)),"x","")</f>
        <v/>
      </c>
      <c r="R145" s="84" t="str">
        <f>IF(AND($N145=$Q$7,$B145&lt;'111'!$L$11),"x","")</f>
        <v/>
      </c>
      <c r="S145" s="84" t="str">
        <f>IF(AND($O145=$Q$7,$B145&lt;'111'!$L$11),"x","")</f>
        <v/>
      </c>
      <c r="T145" s="84" t="str">
        <f>IF(ISERROR(FIND('112'!$M$9,G145,1)),"",IF((AND(FIND('112'!$M$9,G145,1)&gt;=1,B145='112'!$K$9,OR($N145='112'!$I$6,$O145='112'!$I$6))),"x",""))</f>
        <v/>
      </c>
      <c r="U145" s="84" t="str">
        <f>IF(ISERROR(FIND('112'!$M$9,G145,1)),"",IF((AND(LEFT(G145,2)=LEFT('112'!$M$9,2),B145&lt;'112'!$K$9,$N145='112'!$I$6)),"x",""))</f>
        <v/>
      </c>
      <c r="V145" s="84" t="str">
        <f>IF(ISERROR(FIND('112'!$M$9,G145,1)),"",IF((AND(RIGHT(G145,2)=RIGHT('112'!$M$9,2),B145&lt;'112'!$K$9,$O145='112'!$I$6)),"x",""))</f>
        <v/>
      </c>
      <c r="W145" s="84" t="str">
        <f>IF(AND('341-CT'!$H$9=H145,OR(LEFT(N145,3)=$W$7,LEFT(O145,3)=$W$7)),"x","")</f>
        <v/>
      </c>
      <c r="X145" s="84" t="str">
        <f>IF(OR(TH!N145=TH!$X$7,O145=TH!$X$7),"x","")</f>
        <v/>
      </c>
      <c r="Y145" s="84" t="str">
        <f>IF(AND(OR(N145="131",O145="131"),H145='131-CT'!$H$9),"x","")</f>
        <v/>
      </c>
      <c r="Z145" s="84"/>
      <c r="AA145" s="84" t="str">
        <f>IF(AND(MONTH(E145)='IN-NX'!$J$5,'IN-NX'!$D$7=D145),"x","")</f>
        <v/>
      </c>
      <c r="AB145" s="84" t="str">
        <f>IF(AND(OR(LEFT(TH!N145,2)="15",LEFT(TH!O145,2)="15"),LEFT(TH!O145,3)&lt;&gt;"111",'152-CT'!$J$8=TH!F145),"x","")</f>
        <v/>
      </c>
      <c r="AC145" s="84" t="str">
        <f>IF(AND(OR(LEFT(TH!N145,2)="15",LEFT(TH!O145,2)="15"),TK!$E$7=TH!F145),"x","")</f>
        <v/>
      </c>
      <c r="AD145" s="84" t="str">
        <f>IF(AND(N145="1521",MONTH(C145)='BK-NL'!$M$11),"x","")</f>
        <v/>
      </c>
    </row>
    <row r="146" spans="1:30" s="341" customFormat="1" ht="15.75" hidden="1" customHeight="1">
      <c r="A146" s="336" t="str">
        <f>IF(B146&lt;&gt;"",IF(AND(B146='IN-TC'!$S$4,OR(TH!N146="1111",TH!O146="1111")),TH!D146,""),"")</f>
        <v/>
      </c>
      <c r="B146" s="63">
        <f t="shared" si="15"/>
        <v>7</v>
      </c>
      <c r="C146" s="871">
        <v>42582</v>
      </c>
      <c r="D146" s="871" t="s">
        <v>582</v>
      </c>
      <c r="E146" s="871">
        <f t="shared" si="17"/>
        <v>42582</v>
      </c>
      <c r="F146" s="73" t="s">
        <v>1341</v>
      </c>
      <c r="G146" s="276"/>
      <c r="H146" s="320"/>
      <c r="I146" s="439"/>
      <c r="J146" s="439"/>
      <c r="K146" s="430"/>
      <c r="L146" s="439"/>
      <c r="M146" s="877">
        <f>M144</f>
        <v>785130</v>
      </c>
      <c r="N146" s="878" t="s">
        <v>282</v>
      </c>
      <c r="O146" s="878" t="s">
        <v>595</v>
      </c>
      <c r="P146" s="84" t="str">
        <f>IF(AND('331-CT'!$E$7=TH!H146,OR(N146="331",O146="331")),"x","")</f>
        <v/>
      </c>
      <c r="Q146" s="84" t="str">
        <f>IF(AND(B146='111'!$L$11,OR($N146=$Q$7,$O146=$Q$7)),"x","")</f>
        <v/>
      </c>
      <c r="R146" s="84" t="str">
        <f>IF(AND($N146=$Q$7,$B146&lt;'111'!$L$11),"x","")</f>
        <v/>
      </c>
      <c r="S146" s="84" t="str">
        <f>IF(AND($O146=$Q$7,$B146&lt;'111'!$L$11),"x","")</f>
        <v/>
      </c>
      <c r="T146" s="84" t="str">
        <f>IF(ISERROR(FIND('112'!$M$9,G146,1)),"",IF((AND(FIND('112'!$M$9,G146,1)&gt;=1,B146='112'!$K$9,OR($N146='112'!$I$6,$O146='112'!$I$6))),"x",""))</f>
        <v/>
      </c>
      <c r="U146" s="84" t="str">
        <f>IF(ISERROR(FIND('112'!$M$9,G146,1)),"",IF((AND(LEFT(G146,2)=LEFT('112'!$M$9,2),B146&lt;'112'!$K$9,$N146='112'!$I$6)),"x",""))</f>
        <v/>
      </c>
      <c r="V146" s="84" t="str">
        <f>IF(ISERROR(FIND('112'!$M$9,G146,1)),"",IF((AND(RIGHT(G146,2)=RIGHT('112'!$M$9,2),B146&lt;'112'!$K$9,$O146='112'!$I$6)),"x",""))</f>
        <v/>
      </c>
      <c r="W146" s="84" t="str">
        <f>IF(AND('341-CT'!$H$9=H146,OR(LEFT(N146,3)=$W$7,LEFT(O146,3)=$W$7)),"x","")</f>
        <v/>
      </c>
      <c r="X146" s="84" t="str">
        <f>IF(OR(TH!N146=TH!$X$7,O146=TH!$X$7),"x","")</f>
        <v/>
      </c>
      <c r="Y146" s="84" t="str">
        <f>IF(AND(OR(N146="131",O146="131"),H146='131-CT'!$H$9),"x","")</f>
        <v/>
      </c>
      <c r="Z146" s="84"/>
      <c r="AA146" s="84" t="str">
        <f>IF(AND(MONTH(E146)='IN-NX'!$J$5,'IN-NX'!$D$7=D146),"x","")</f>
        <v/>
      </c>
      <c r="AB146" s="84" t="str">
        <f>IF(AND(OR(LEFT(TH!N146,2)="15",LEFT(TH!O146,2)="15"),LEFT(TH!O146,3)&lt;&gt;"111",'152-CT'!$J$8=TH!F146),"x","")</f>
        <v/>
      </c>
      <c r="AC146" s="84" t="str">
        <f>IF(AND(OR(LEFT(TH!N146,2)="15",LEFT(TH!O146,2)="15"),TK!$E$7=TH!F146),"x","")</f>
        <v/>
      </c>
      <c r="AD146" s="84" t="str">
        <f>IF(AND(N146="1521",MONTH(C146)='BK-NL'!$M$11),"x","")</f>
        <v/>
      </c>
    </row>
    <row r="147" spans="1:30" s="341" customFormat="1" ht="15.75" hidden="1" customHeight="1">
      <c r="A147" s="336" t="str">
        <f>IF(B147&lt;&gt;"",IF(AND(B147='IN-TC'!$S$4,OR(TH!N147="1111",TH!O147="1111")),TH!D147,""),"")</f>
        <v/>
      </c>
      <c r="B147" s="63">
        <f t="shared" si="15"/>
        <v>8</v>
      </c>
      <c r="C147" s="871">
        <v>42613</v>
      </c>
      <c r="D147" s="871" t="s">
        <v>582</v>
      </c>
      <c r="E147" s="871">
        <f t="shared" si="17"/>
        <v>42613</v>
      </c>
      <c r="F147" s="73" t="s">
        <v>1328</v>
      </c>
      <c r="G147" s="276">
        <v>37369000</v>
      </c>
      <c r="H147" s="320"/>
      <c r="I147" s="439"/>
      <c r="J147" s="439"/>
      <c r="K147" s="430"/>
      <c r="L147" s="439"/>
      <c r="M147" s="877">
        <v>37047409</v>
      </c>
      <c r="N147" s="878" t="s">
        <v>591</v>
      </c>
      <c r="O147" s="878" t="s">
        <v>592</v>
      </c>
      <c r="P147" s="84" t="str">
        <f>IF(AND('331-CT'!$E$7=TH!H147,OR(N147="331",O147="331")),"x","")</f>
        <v/>
      </c>
      <c r="Q147" s="84" t="str">
        <f>IF(AND(B147='111'!$L$11,OR($N147=$Q$7,$O147=$Q$7)),"x","")</f>
        <v/>
      </c>
      <c r="R147" s="84" t="str">
        <f>IF(AND($N147=$Q$7,$B147&lt;'111'!$L$11),"x","")</f>
        <v/>
      </c>
      <c r="S147" s="84" t="str">
        <f>IF(AND($O147=$Q$7,$B147&lt;'111'!$L$11),"x","")</f>
        <v/>
      </c>
      <c r="T147" s="84" t="str">
        <f>IF(ISERROR(FIND('112'!$M$9,G147,1)),"",IF((AND(FIND('112'!$M$9,G147,1)&gt;=1,B147='112'!$K$9,OR($N147='112'!$I$6,$O147='112'!$I$6))),"x",""))</f>
        <v/>
      </c>
      <c r="U147" s="84" t="str">
        <f>IF(ISERROR(FIND('112'!$M$9,G147,1)),"",IF((AND(LEFT(G147,2)=LEFT('112'!$M$9,2),B147&lt;'112'!$K$9,$N147='112'!$I$6)),"x",""))</f>
        <v/>
      </c>
      <c r="V147" s="84" t="str">
        <f>IF(ISERROR(FIND('112'!$M$9,G147,1)),"",IF((AND(RIGHT(G147,2)=RIGHT('112'!$M$9,2),B147&lt;'112'!$K$9,$O147='112'!$I$6)),"x",""))</f>
        <v/>
      </c>
      <c r="W147" s="84" t="str">
        <f>IF(AND('341-CT'!$H$9=H147,OR(LEFT(N147,3)=$W$7,LEFT(O147,3)=$W$7)),"x","")</f>
        <v/>
      </c>
      <c r="X147" s="84" t="str">
        <f>IF(OR(TH!N147=TH!$X$7,O147=TH!$X$7),"x","")</f>
        <v/>
      </c>
      <c r="Y147" s="84" t="str">
        <f>IF(AND(OR(N147="131",O147="131"),H147='131-CT'!$H$9),"x","")</f>
        <v/>
      </c>
      <c r="Z147" s="84"/>
      <c r="AA147" s="84" t="str">
        <f>IF(AND(MONTH(E147)='IN-NX'!$J$5,'IN-NX'!$D$7=D147),"x","")</f>
        <v/>
      </c>
      <c r="AB147" s="84" t="str">
        <f>IF(AND(OR(LEFT(TH!N147,2)="15",LEFT(TH!O147,2)="15"),LEFT(TH!O147,3)&lt;&gt;"111",'152-CT'!$J$8=TH!F147),"x","")</f>
        <v/>
      </c>
      <c r="AC147" s="84" t="str">
        <f>IF(AND(OR(LEFT(TH!N147,2)="15",LEFT(TH!O147,2)="15"),TK!$E$7=TH!F147),"x","")</f>
        <v/>
      </c>
      <c r="AD147" s="84" t="str">
        <f>IF(AND(N147="1521",MONTH(C147)='BK-NL'!$M$11),"x","")</f>
        <v/>
      </c>
    </row>
    <row r="148" spans="1:30" s="341" customFormat="1" ht="15.75" hidden="1" customHeight="1">
      <c r="A148" s="336" t="str">
        <f>IF(B148&lt;&gt;"",IF(AND(B148='IN-TC'!$S$4,OR(TH!N148="1111",TH!O148="1111")),TH!D148,""),"")</f>
        <v/>
      </c>
      <c r="B148" s="63">
        <f t="shared" si="15"/>
        <v>8</v>
      </c>
      <c r="C148" s="871">
        <v>42613</v>
      </c>
      <c r="D148" s="871" t="s">
        <v>582</v>
      </c>
      <c r="E148" s="871">
        <f t="shared" si="17"/>
        <v>42613</v>
      </c>
      <c r="F148" s="73" t="s">
        <v>1329</v>
      </c>
      <c r="G148" s="276">
        <f>108366000-29853000</f>
        <v>78513000</v>
      </c>
      <c r="H148" s="320"/>
      <c r="I148" s="439"/>
      <c r="J148" s="439"/>
      <c r="K148" s="430"/>
      <c r="L148" s="439"/>
      <c r="M148" s="877">
        <v>118073109</v>
      </c>
      <c r="N148" s="878" t="s">
        <v>282</v>
      </c>
      <c r="O148" s="878" t="s">
        <v>592</v>
      </c>
      <c r="P148" s="84" t="str">
        <f>IF(AND('331-CT'!$E$7=TH!H148,OR(N148="331",O148="331")),"x","")</f>
        <v/>
      </c>
      <c r="Q148" s="84" t="str">
        <f>IF(AND(B148='111'!$L$11,OR($N148=$Q$7,$O148=$Q$7)),"x","")</f>
        <v/>
      </c>
      <c r="R148" s="84" t="str">
        <f>IF(AND($N148=$Q$7,$B148&lt;'111'!$L$11),"x","")</f>
        <v/>
      </c>
      <c r="S148" s="84" t="str">
        <f>IF(AND($O148=$Q$7,$B148&lt;'111'!$L$11),"x","")</f>
        <v/>
      </c>
      <c r="T148" s="84" t="str">
        <f>IF(ISERROR(FIND('112'!$M$9,G148,1)),"",IF((AND(FIND('112'!$M$9,G148,1)&gt;=1,B148='112'!$K$9,OR($N148='112'!$I$6,$O148='112'!$I$6))),"x",""))</f>
        <v/>
      </c>
      <c r="U148" s="84" t="str">
        <f>IF(ISERROR(FIND('112'!$M$9,G148,1)),"",IF((AND(LEFT(G148,2)=LEFT('112'!$M$9,2),B148&lt;'112'!$K$9,$N148='112'!$I$6)),"x",""))</f>
        <v/>
      </c>
      <c r="V148" s="84" t="str">
        <f>IF(ISERROR(FIND('112'!$M$9,G148,1)),"",IF((AND(RIGHT(G148,2)=RIGHT('112'!$M$9,2),B148&lt;'112'!$K$9,$O148='112'!$I$6)),"x",""))</f>
        <v/>
      </c>
      <c r="W148" s="84" t="str">
        <f>IF(AND('341-CT'!$H$9=H148,OR(LEFT(N148,3)=$W$7,LEFT(O148,3)=$W$7)),"x","")</f>
        <v/>
      </c>
      <c r="X148" s="84" t="str">
        <f>IF(OR(TH!N148=TH!$X$7,O148=TH!$X$7),"x","")</f>
        <v/>
      </c>
      <c r="Y148" s="84" t="str">
        <f>IF(AND(OR(N148="131",O148="131"),H148='131-CT'!$H$9),"x","")</f>
        <v/>
      </c>
      <c r="Z148" s="84"/>
      <c r="AA148" s="84" t="str">
        <f>IF(AND(MONTH(E148)='IN-NX'!$J$5,'IN-NX'!$D$7=D148),"x","")</f>
        <v/>
      </c>
      <c r="AB148" s="84" t="str">
        <f>IF(AND(OR(LEFT(TH!N148,2)="15",LEFT(TH!O148,2)="15"),LEFT(TH!O148,3)&lt;&gt;"111",'152-CT'!$J$8=TH!F148),"x","")</f>
        <v/>
      </c>
      <c r="AC148" s="84" t="str">
        <f>IF(AND(OR(LEFT(TH!N148,2)="15",LEFT(TH!O148,2)="15"),TK!$E$7=TH!F148),"x","")</f>
        <v/>
      </c>
      <c r="AD148" s="84" t="str">
        <f>IF(AND(N148="1521",MONTH(C148)='BK-NL'!$M$11),"x","")</f>
        <v/>
      </c>
    </row>
    <row r="149" spans="1:30" s="341" customFormat="1" ht="15.75" hidden="1" customHeight="1">
      <c r="A149" s="336" t="str">
        <f>IF(B149&lt;&gt;"",IF(AND(B149='IN-TC'!$S$4,OR(TH!N149="1111",TH!O149="1111")),TH!D149,""),"")</f>
        <v/>
      </c>
      <c r="B149" s="63">
        <f t="shared" si="15"/>
        <v>8</v>
      </c>
      <c r="C149" s="871">
        <v>42613</v>
      </c>
      <c r="D149" s="871" t="s">
        <v>582</v>
      </c>
      <c r="E149" s="871">
        <f t="shared" si="17"/>
        <v>42613</v>
      </c>
      <c r="F149" s="73" t="s">
        <v>1330</v>
      </c>
      <c r="G149" s="976" t="s">
        <v>583</v>
      </c>
      <c r="H149" s="320"/>
      <c r="I149" s="439"/>
      <c r="J149" s="439"/>
      <c r="K149" s="430"/>
      <c r="L149" s="439"/>
      <c r="M149" s="877">
        <f>G147*$G149</f>
        <v>2989520</v>
      </c>
      <c r="N149" s="878" t="s">
        <v>592</v>
      </c>
      <c r="O149" s="878" t="s">
        <v>593</v>
      </c>
      <c r="P149" s="84" t="str">
        <f>IF(AND('331-CT'!$E$7=TH!H149,OR(N149="331",O149="331")),"x","")</f>
        <v/>
      </c>
      <c r="Q149" s="84" t="str">
        <f>IF(AND(B149='111'!$L$11,OR($N149=$Q$7,$O149=$Q$7)),"x","")</f>
        <v/>
      </c>
      <c r="R149" s="84" t="str">
        <f>IF(AND($N149=$Q$7,$B149&lt;'111'!$L$11),"x","")</f>
        <v/>
      </c>
      <c r="S149" s="84" t="str">
        <f>IF(AND($O149=$Q$7,$B149&lt;'111'!$L$11),"x","")</f>
        <v/>
      </c>
      <c r="T149" s="84" t="str">
        <f>IF(ISERROR(FIND('112'!$M$9,G149,1)),"",IF((AND(FIND('112'!$M$9,G149,1)&gt;=1,B149='112'!$K$9,OR($N149='112'!$I$6,$O149='112'!$I$6))),"x",""))</f>
        <v/>
      </c>
      <c r="U149" s="84" t="str">
        <f>IF(ISERROR(FIND('112'!$M$9,G149,1)),"",IF((AND(LEFT(G149,2)=LEFT('112'!$M$9,2),B149&lt;'112'!$K$9,$N149='112'!$I$6)),"x",""))</f>
        <v/>
      </c>
      <c r="V149" s="84" t="str">
        <f>IF(ISERROR(FIND('112'!$M$9,G149,1)),"",IF((AND(RIGHT(G149,2)=RIGHT('112'!$M$9,2),B149&lt;'112'!$K$9,$O149='112'!$I$6)),"x",""))</f>
        <v/>
      </c>
      <c r="W149" s="84" t="str">
        <f>IF(AND('341-CT'!$H$9=H149,OR(LEFT(N149,3)=$W$7,LEFT(O149,3)=$W$7)),"x","")</f>
        <v/>
      </c>
      <c r="X149" s="84" t="str">
        <f>IF(OR(TH!N149=TH!$X$7,O149=TH!$X$7),"x","")</f>
        <v/>
      </c>
      <c r="Y149" s="84" t="str">
        <f>IF(AND(OR(N149="131",O149="131"),H149='131-CT'!$H$9),"x","")</f>
        <v/>
      </c>
      <c r="Z149" s="84"/>
      <c r="AA149" s="84" t="str">
        <f>IF(AND(MONTH(E149)='IN-NX'!$J$5,'IN-NX'!$D$7=D149),"x","")</f>
        <v/>
      </c>
      <c r="AB149" s="84" t="str">
        <f>IF(AND(OR(LEFT(TH!N149,2)="15",LEFT(TH!O149,2)="15"),LEFT(TH!O149,3)&lt;&gt;"111",'152-CT'!$J$8=TH!F149),"x","")</f>
        <v/>
      </c>
      <c r="AC149" s="84" t="str">
        <f>IF(AND(OR(LEFT(TH!N149,2)="15",LEFT(TH!O149,2)="15"),TK!$E$7=TH!F149),"x","")</f>
        <v/>
      </c>
      <c r="AD149" s="84" t="str">
        <f>IF(AND(N149="1521",MONTH(C149)='BK-NL'!$M$11),"x","")</f>
        <v/>
      </c>
    </row>
    <row r="150" spans="1:30" s="341" customFormat="1" ht="15.75" hidden="1" customHeight="1">
      <c r="A150" s="336" t="str">
        <f>IF(B150&lt;&gt;"",IF(AND(B150='IN-TC'!$S$4,OR(TH!N150="1111",TH!O150="1111")),TH!D150,""),"")</f>
        <v/>
      </c>
      <c r="B150" s="63">
        <f t="shared" si="15"/>
        <v>8</v>
      </c>
      <c r="C150" s="871">
        <v>42613</v>
      </c>
      <c r="D150" s="871" t="s">
        <v>582</v>
      </c>
      <c r="E150" s="871">
        <f t="shared" si="17"/>
        <v>42613</v>
      </c>
      <c r="F150" s="73" t="s">
        <v>1331</v>
      </c>
      <c r="G150" s="276"/>
      <c r="H150" s="320"/>
      <c r="I150" s="439"/>
      <c r="J150" s="439"/>
      <c r="K150" s="430"/>
      <c r="L150" s="439"/>
      <c r="M150" s="877">
        <f>G148*$G149</f>
        <v>6281040</v>
      </c>
      <c r="N150" s="879" t="s">
        <v>592</v>
      </c>
      <c r="O150" s="880" t="s">
        <v>593</v>
      </c>
      <c r="P150" s="84" t="str">
        <f>IF(AND('331-CT'!$E$7=TH!H150,OR(N150="331",O150="331")),"x","")</f>
        <v/>
      </c>
      <c r="Q150" s="84" t="str">
        <f>IF(AND(B150='111'!$L$11,OR($N150=$Q$7,$O150=$Q$7)),"x","")</f>
        <v/>
      </c>
      <c r="R150" s="84" t="str">
        <f>IF(AND($N150=$Q$7,$B150&lt;'111'!$L$11),"x","")</f>
        <v/>
      </c>
      <c r="S150" s="84" t="str">
        <f>IF(AND($O150=$Q$7,$B150&lt;'111'!$L$11),"x","")</f>
        <v/>
      </c>
      <c r="T150" s="84" t="str">
        <f>IF(ISERROR(FIND('112'!$M$9,G150,1)),"",IF((AND(FIND('112'!$M$9,G150,1)&gt;=1,B150='112'!$K$9,OR($N150='112'!$I$6,$O150='112'!$I$6))),"x",""))</f>
        <v/>
      </c>
      <c r="U150" s="84" t="str">
        <f>IF(ISERROR(FIND('112'!$M$9,G150,1)),"",IF((AND(LEFT(G150,2)=LEFT('112'!$M$9,2),B150&lt;'112'!$K$9,$N150='112'!$I$6)),"x",""))</f>
        <v/>
      </c>
      <c r="V150" s="84" t="str">
        <f>IF(ISERROR(FIND('112'!$M$9,G150,1)),"",IF((AND(RIGHT(G150,2)=RIGHT('112'!$M$9,2),B150&lt;'112'!$K$9,$O150='112'!$I$6)),"x",""))</f>
        <v/>
      </c>
      <c r="W150" s="84" t="str">
        <f>IF(AND('341-CT'!$H$9=H150,OR(LEFT(N150,3)=$W$7,LEFT(O150,3)=$W$7)),"x","")</f>
        <v/>
      </c>
      <c r="X150" s="84" t="str">
        <f>IF(OR(TH!N150=TH!$X$7,O150=TH!$X$7),"x","")</f>
        <v/>
      </c>
      <c r="Y150" s="84" t="str">
        <f>IF(AND(OR(N150="131",O150="131"),H150='131-CT'!$H$9),"x","")</f>
        <v/>
      </c>
      <c r="Z150" s="84"/>
      <c r="AA150" s="84" t="str">
        <f>IF(AND(MONTH(E150)='IN-NX'!$J$5,'IN-NX'!$D$7=D150),"x","")</f>
        <v/>
      </c>
      <c r="AB150" s="84" t="str">
        <f>IF(AND(OR(LEFT(TH!N150,2)="15",LEFT(TH!O150,2)="15"),LEFT(TH!O150,3)&lt;&gt;"111",'152-CT'!$J$8=TH!F150),"x","")</f>
        <v/>
      </c>
      <c r="AC150" s="84" t="str">
        <f>IF(AND(OR(LEFT(TH!N150,2)="15",LEFT(TH!O150,2)="15"),TK!$E$7=TH!F150),"x","")</f>
        <v/>
      </c>
      <c r="AD150" s="84" t="str">
        <f>IF(AND(N150="1521",MONTH(C150)='BK-NL'!$M$11),"x","")</f>
        <v/>
      </c>
    </row>
    <row r="151" spans="1:30" s="341" customFormat="1" ht="15.75" hidden="1" customHeight="1">
      <c r="A151" s="336" t="str">
        <f>IF(B151&lt;&gt;"",IF(AND(B151='IN-TC'!$S$4,OR(TH!N151="1111",TH!O151="1111")),TH!D151,""),"")</f>
        <v/>
      </c>
      <c r="B151" s="63">
        <f t="shared" si="15"/>
        <v>8</v>
      </c>
      <c r="C151" s="871">
        <v>42613</v>
      </c>
      <c r="D151" s="871" t="s">
        <v>582</v>
      </c>
      <c r="E151" s="871">
        <f t="shared" si="17"/>
        <v>42613</v>
      </c>
      <c r="F151" s="73" t="s">
        <v>1332</v>
      </c>
      <c r="G151" s="976" t="s">
        <v>584</v>
      </c>
      <c r="H151" s="320"/>
      <c r="I151" s="439"/>
      <c r="J151" s="439"/>
      <c r="K151" s="430"/>
      <c r="L151" s="439"/>
      <c r="M151" s="877">
        <f>G147*$G151</f>
        <v>6726420</v>
      </c>
      <c r="N151" s="878" t="s">
        <v>591</v>
      </c>
      <c r="O151" s="878" t="s">
        <v>593</v>
      </c>
      <c r="P151" s="84" t="str">
        <f>IF(AND('331-CT'!$E$7=TH!H151,OR(N151="331",O151="331")),"x","")</f>
        <v/>
      </c>
      <c r="Q151" s="84" t="str">
        <f>IF(AND(B151='111'!$L$11,OR($N151=$Q$7,$O151=$Q$7)),"x","")</f>
        <v/>
      </c>
      <c r="R151" s="84" t="str">
        <f>IF(AND($N151=$Q$7,$B151&lt;'111'!$L$11),"x","")</f>
        <v/>
      </c>
      <c r="S151" s="84" t="str">
        <f>IF(AND($O151=$Q$7,$B151&lt;'111'!$L$11),"x","")</f>
        <v/>
      </c>
      <c r="T151" s="84" t="str">
        <f>IF(ISERROR(FIND('112'!$M$9,G151,1)),"",IF((AND(FIND('112'!$M$9,G151,1)&gt;=1,B151='112'!$K$9,OR($N151='112'!$I$6,$O151='112'!$I$6))),"x",""))</f>
        <v/>
      </c>
      <c r="U151" s="84" t="str">
        <f>IF(ISERROR(FIND('112'!$M$9,G151,1)),"",IF((AND(LEFT(G151,2)=LEFT('112'!$M$9,2),B151&lt;'112'!$K$9,$N151='112'!$I$6)),"x",""))</f>
        <v/>
      </c>
      <c r="V151" s="84" t="str">
        <f>IF(ISERROR(FIND('112'!$M$9,G151,1)),"",IF((AND(RIGHT(G151,2)=RIGHT('112'!$M$9,2),B151&lt;'112'!$K$9,$O151='112'!$I$6)),"x",""))</f>
        <v/>
      </c>
      <c r="W151" s="84" t="str">
        <f>IF(AND('341-CT'!$H$9=H151,OR(LEFT(N151,3)=$W$7,LEFT(O151,3)=$W$7)),"x","")</f>
        <v/>
      </c>
      <c r="X151" s="84" t="str">
        <f>IF(OR(TH!N151=TH!$X$7,O151=TH!$X$7),"x","")</f>
        <v/>
      </c>
      <c r="Y151" s="84" t="str">
        <f>IF(AND(OR(N151="131",O151="131"),H151='131-CT'!$H$9),"x","")</f>
        <v/>
      </c>
      <c r="Z151" s="84"/>
      <c r="AA151" s="84" t="str">
        <f>IF(AND(MONTH(E151)='IN-NX'!$J$5,'IN-NX'!$D$7=D151),"x","")</f>
        <v/>
      </c>
      <c r="AB151" s="84" t="str">
        <f>IF(AND(OR(LEFT(TH!N151,2)="15",LEFT(TH!O151,2)="15"),LEFT(TH!O151,3)&lt;&gt;"111",'152-CT'!$J$8=TH!F151),"x","")</f>
        <v/>
      </c>
      <c r="AC151" s="84" t="str">
        <f>IF(AND(OR(LEFT(TH!N151,2)="15",LEFT(TH!O151,2)="15"),TK!$E$7=TH!F151),"x","")</f>
        <v/>
      </c>
      <c r="AD151" s="84" t="str">
        <f>IF(AND(N151="1521",MONTH(C151)='BK-NL'!$M$11),"x","")</f>
        <v/>
      </c>
    </row>
    <row r="152" spans="1:30" s="341" customFormat="1" ht="15.75" hidden="1" customHeight="1">
      <c r="A152" s="336" t="str">
        <f>IF(B152&lt;&gt;"",IF(AND(B152='IN-TC'!$S$4,OR(TH!N152="1111",TH!O152="1111")),TH!D152,""),"")</f>
        <v/>
      </c>
      <c r="B152" s="63">
        <f t="shared" si="15"/>
        <v>8</v>
      </c>
      <c r="C152" s="871">
        <v>42613</v>
      </c>
      <c r="D152" s="871" t="s">
        <v>582</v>
      </c>
      <c r="E152" s="871">
        <f t="shared" si="17"/>
        <v>42613</v>
      </c>
      <c r="F152" s="73" t="s">
        <v>1333</v>
      </c>
      <c r="G152" s="276"/>
      <c r="H152" s="320"/>
      <c r="I152" s="439"/>
      <c r="J152" s="439"/>
      <c r="K152" s="430"/>
      <c r="L152" s="439"/>
      <c r="M152" s="877">
        <f>G148*$G151</f>
        <v>14132340</v>
      </c>
      <c r="N152" s="878" t="s">
        <v>282</v>
      </c>
      <c r="O152" s="878" t="s">
        <v>593</v>
      </c>
      <c r="P152" s="84" t="str">
        <f>IF(AND('331-CT'!$E$7=TH!H152,OR(N152="331",O152="331")),"x","")</f>
        <v/>
      </c>
      <c r="Q152" s="84" t="str">
        <f>IF(AND(B152='111'!$L$11,OR($N152=$Q$7,$O152=$Q$7)),"x","")</f>
        <v/>
      </c>
      <c r="R152" s="84" t="str">
        <f>IF(AND($N152=$Q$7,$B152&lt;'111'!$L$11),"x","")</f>
        <v/>
      </c>
      <c r="S152" s="84" t="str">
        <f>IF(AND($O152=$Q$7,$B152&lt;'111'!$L$11),"x","")</f>
        <v/>
      </c>
      <c r="T152" s="84" t="str">
        <f>IF(ISERROR(FIND('112'!$M$9,G152,1)),"",IF((AND(FIND('112'!$M$9,G152,1)&gt;=1,B152='112'!$K$9,OR($N152='112'!$I$6,$O152='112'!$I$6))),"x",""))</f>
        <v/>
      </c>
      <c r="U152" s="84" t="str">
        <f>IF(ISERROR(FIND('112'!$M$9,G152,1)),"",IF((AND(LEFT(G152,2)=LEFT('112'!$M$9,2),B152&lt;'112'!$K$9,$N152='112'!$I$6)),"x",""))</f>
        <v/>
      </c>
      <c r="V152" s="84" t="str">
        <f>IF(ISERROR(FIND('112'!$M$9,G152,1)),"",IF((AND(RIGHT(G152,2)=RIGHT('112'!$M$9,2),B152&lt;'112'!$K$9,$O152='112'!$I$6)),"x",""))</f>
        <v/>
      </c>
      <c r="W152" s="84" t="str">
        <f>IF(AND('341-CT'!$H$9=H152,OR(LEFT(N152,3)=$W$7,LEFT(O152,3)=$W$7)),"x","")</f>
        <v/>
      </c>
      <c r="X152" s="84" t="str">
        <f>IF(OR(TH!N152=TH!$X$7,O152=TH!$X$7),"x","")</f>
        <v/>
      </c>
      <c r="Y152" s="84" t="str">
        <f>IF(AND(OR(N152="131",O152="131"),H152='131-CT'!$H$9),"x","")</f>
        <v/>
      </c>
      <c r="Z152" s="84"/>
      <c r="AA152" s="84" t="str">
        <f>IF(AND(MONTH(E152)='IN-NX'!$J$5,'IN-NX'!$D$7=D152),"x","")</f>
        <v/>
      </c>
      <c r="AB152" s="84" t="str">
        <f>IF(AND(OR(LEFT(TH!N152,2)="15",LEFT(TH!O152,2)="15"),LEFT(TH!O152,3)&lt;&gt;"111",'152-CT'!$J$8=TH!F152),"x","")</f>
        <v/>
      </c>
      <c r="AC152" s="84" t="str">
        <f>IF(AND(OR(LEFT(TH!N152,2)="15",LEFT(TH!O152,2)="15"),TK!$E$7=TH!F152),"x","")</f>
        <v/>
      </c>
      <c r="AD152" s="84" t="str">
        <f>IF(AND(N152="1521",MONTH(C152)='BK-NL'!$M$11),"x","")</f>
        <v/>
      </c>
    </row>
    <row r="153" spans="1:30" s="341" customFormat="1" ht="15.75" hidden="1" customHeight="1">
      <c r="A153" s="336" t="str">
        <f>IF(B153&lt;&gt;"",IF(AND(B153='IN-TC'!$S$4,OR(TH!N153="1111",TH!O153="1111")),TH!D153,""),"")</f>
        <v/>
      </c>
      <c r="B153" s="63">
        <f t="shared" si="15"/>
        <v>8</v>
      </c>
      <c r="C153" s="871">
        <v>42613</v>
      </c>
      <c r="D153" s="871" t="s">
        <v>582</v>
      </c>
      <c r="E153" s="871">
        <f t="shared" si="17"/>
        <v>42613</v>
      </c>
      <c r="F153" s="73" t="s">
        <v>1334</v>
      </c>
      <c r="G153" s="976" t="s">
        <v>585</v>
      </c>
      <c r="H153" s="322"/>
      <c r="I153" s="437"/>
      <c r="J153" s="437"/>
      <c r="K153" s="428"/>
      <c r="L153" s="437"/>
      <c r="M153" s="877">
        <f>G147*$G153</f>
        <v>560535</v>
      </c>
      <c r="N153" s="878" t="s">
        <v>592</v>
      </c>
      <c r="O153" s="878" t="s">
        <v>594</v>
      </c>
      <c r="P153" s="84" t="str">
        <f>IF(AND('331-CT'!$E$7=TH!H153,OR(N153="331",O153="331")),"x","")</f>
        <v/>
      </c>
      <c r="Q153" s="84" t="str">
        <f>IF(AND(B153='111'!$L$11,OR($N153=$Q$7,$O153=$Q$7)),"x","")</f>
        <v/>
      </c>
      <c r="R153" s="84" t="str">
        <f>IF(AND($N153=$Q$7,$B153&lt;'111'!$L$11),"x","")</f>
        <v/>
      </c>
      <c r="S153" s="84" t="str">
        <f>IF(AND($O153=$Q$7,$B153&lt;'111'!$L$11),"x","")</f>
        <v/>
      </c>
      <c r="T153" s="84" t="str">
        <f>IF(ISERROR(FIND('112'!$M$9,G153,1)),"",IF((AND(FIND('112'!$M$9,G153,1)&gt;=1,B153='112'!$K$9,OR($N153='112'!$I$6,$O153='112'!$I$6))),"x",""))</f>
        <v/>
      </c>
      <c r="U153" s="84" t="str">
        <f>IF(ISERROR(FIND('112'!$M$9,G153,1)),"",IF((AND(LEFT(G153,2)=LEFT('112'!$M$9,2),B153&lt;'112'!$K$9,$N153='112'!$I$6)),"x",""))</f>
        <v/>
      </c>
      <c r="V153" s="84" t="str">
        <f>IF(ISERROR(FIND('112'!$M$9,G153,1)),"",IF((AND(RIGHT(G153,2)=RIGHT('112'!$M$9,2),B153&lt;'112'!$K$9,$O153='112'!$I$6)),"x",""))</f>
        <v/>
      </c>
      <c r="W153" s="84" t="str">
        <f>IF(AND('341-CT'!$H$9=H153,OR(LEFT(N153,3)=$W$7,LEFT(O153,3)=$W$7)),"x","")</f>
        <v/>
      </c>
      <c r="X153" s="84" t="str">
        <f>IF(OR(TH!N153=TH!$X$7,O153=TH!$X$7),"x","")</f>
        <v/>
      </c>
      <c r="Y153" s="84" t="str">
        <f>IF(AND(OR(N153="131",O153="131"),H153='131-CT'!$H$9),"x","")</f>
        <v/>
      </c>
      <c r="Z153" s="84"/>
      <c r="AA153" s="84" t="str">
        <f>IF(AND(MONTH(E153)='IN-NX'!$J$5,'IN-NX'!$D$7=D153),"x","")</f>
        <v/>
      </c>
      <c r="AB153" s="84" t="str">
        <f>IF(AND(OR(LEFT(TH!N153,2)="15",LEFT(TH!O153,2)="15"),LEFT(TH!O153,3)&lt;&gt;"111",'152-CT'!$J$8=TH!F153),"x","")</f>
        <v/>
      </c>
      <c r="AC153" s="84" t="str">
        <f>IF(AND(OR(LEFT(TH!N153,2)="15",LEFT(TH!O153,2)="15"),TK!$E$7=TH!F153),"x","")</f>
        <v/>
      </c>
      <c r="AD153" s="84" t="str">
        <f>IF(AND(N153="1521",MONTH(C153)='BK-NL'!$M$11),"x","")</f>
        <v/>
      </c>
    </row>
    <row r="154" spans="1:30" s="341" customFormat="1" ht="15.75" hidden="1" customHeight="1">
      <c r="A154" s="336" t="str">
        <f>IF(B154&lt;&gt;"",IF(AND(B154='IN-TC'!$S$4,OR(TH!N154="1111",TH!O154="1111")),TH!D154,""),"")</f>
        <v/>
      </c>
      <c r="B154" s="63">
        <f t="shared" si="15"/>
        <v>8</v>
      </c>
      <c r="C154" s="871">
        <v>42613</v>
      </c>
      <c r="D154" s="871" t="s">
        <v>582</v>
      </c>
      <c r="E154" s="871">
        <f>C154</f>
        <v>42613</v>
      </c>
      <c r="F154" s="73" t="s">
        <v>1335</v>
      </c>
      <c r="G154" s="276"/>
      <c r="H154" s="322"/>
      <c r="I154" s="437"/>
      <c r="J154" s="437"/>
      <c r="K154" s="428"/>
      <c r="L154" s="437"/>
      <c r="M154" s="877">
        <f>G148*$G153</f>
        <v>1177695</v>
      </c>
      <c r="N154" s="878" t="s">
        <v>592</v>
      </c>
      <c r="O154" s="878" t="s">
        <v>594</v>
      </c>
      <c r="P154" s="84" t="str">
        <f>IF(AND('331-CT'!$E$7=TH!H154,OR(N154="331",O154="331")),"x","")</f>
        <v/>
      </c>
      <c r="Q154" s="84" t="str">
        <f>IF(AND(B154='111'!$L$11,OR($N154=$Q$7,$O154=$Q$7)),"x","")</f>
        <v/>
      </c>
      <c r="R154" s="84" t="str">
        <f>IF(AND($N154=$Q$7,$B154&lt;'111'!$L$11),"x","")</f>
        <v/>
      </c>
      <c r="S154" s="84" t="str">
        <f>IF(AND($O154=$Q$7,$B154&lt;'111'!$L$11),"x","")</f>
        <v/>
      </c>
      <c r="T154" s="84" t="str">
        <f>IF(ISERROR(FIND('112'!$M$9,G154,1)),"",IF((AND(FIND('112'!$M$9,G154,1)&gt;=1,B154='112'!$K$9,OR($N154='112'!$I$6,$O154='112'!$I$6))),"x",""))</f>
        <v/>
      </c>
      <c r="U154" s="84" t="str">
        <f>IF(ISERROR(FIND('112'!$M$9,G154,1)),"",IF((AND(LEFT(G154,2)=LEFT('112'!$M$9,2),B154&lt;'112'!$K$9,$N154='112'!$I$6)),"x",""))</f>
        <v/>
      </c>
      <c r="V154" s="84" t="str">
        <f>IF(ISERROR(FIND('112'!$M$9,G154,1)),"",IF((AND(RIGHT(G154,2)=RIGHT('112'!$M$9,2),B154&lt;'112'!$K$9,$O154='112'!$I$6)),"x",""))</f>
        <v/>
      </c>
      <c r="W154" s="84" t="str">
        <f>IF(AND('341-CT'!$H$9=H154,OR(LEFT(N154,3)=$W$7,LEFT(O154,3)=$W$7)),"x","")</f>
        <v/>
      </c>
      <c r="X154" s="84" t="str">
        <f>IF(OR(TH!N154=TH!$X$7,O154=TH!$X$7),"x","")</f>
        <v/>
      </c>
      <c r="Y154" s="84" t="str">
        <f>IF(AND(OR(N154="131",O154="131"),H154='131-CT'!$H$9),"x","")</f>
        <v/>
      </c>
      <c r="Z154" s="84"/>
      <c r="AA154" s="84" t="str">
        <f>IF(AND(MONTH(E154)='IN-NX'!$J$5,'IN-NX'!$D$7=D154),"x","")</f>
        <v/>
      </c>
      <c r="AB154" s="84" t="str">
        <f>IF(AND(OR(LEFT(TH!N154,2)="15",LEFT(TH!O154,2)="15"),LEFT(TH!O154,3)&lt;&gt;"111",'152-CT'!$J$8=TH!F154),"x","")</f>
        <v/>
      </c>
      <c r="AC154" s="84" t="str">
        <f>IF(AND(OR(LEFT(TH!N154,2)="15",LEFT(TH!O154,2)="15"),TK!$E$7=TH!F154),"x","")</f>
        <v/>
      </c>
      <c r="AD154" s="84" t="str">
        <f>IF(AND(N154="1521",MONTH(C154)='BK-NL'!$M$11),"x","")</f>
        <v/>
      </c>
    </row>
    <row r="155" spans="1:30" s="341" customFormat="1" ht="15.75" hidden="1" customHeight="1">
      <c r="A155" s="336" t="str">
        <f>IF(B155&lt;&gt;"",IF(AND(B155='IN-TC'!$S$4,OR(TH!N155="1111",TH!O155="1111")),TH!D155,""),"")</f>
        <v/>
      </c>
      <c r="B155" s="63">
        <f t="shared" ref="B155:B166" si="18">IF(C155&lt;&gt;"",MONTH(C155),"")</f>
        <v>8</v>
      </c>
      <c r="C155" s="871">
        <v>42613</v>
      </c>
      <c r="D155" s="871" t="s">
        <v>582</v>
      </c>
      <c r="E155" s="871">
        <f t="shared" ref="E155:E160" si="19">C155</f>
        <v>42613</v>
      </c>
      <c r="F155" s="73" t="s">
        <v>1336</v>
      </c>
      <c r="G155" s="976" t="s">
        <v>586</v>
      </c>
      <c r="H155" s="320"/>
      <c r="I155" s="439"/>
      <c r="J155" s="439"/>
      <c r="K155" s="430"/>
      <c r="L155" s="439"/>
      <c r="M155" s="877">
        <f>G147*$G155</f>
        <v>1121070</v>
      </c>
      <c r="N155" s="878" t="s">
        <v>591</v>
      </c>
      <c r="O155" s="878" t="s">
        <v>594</v>
      </c>
      <c r="P155" s="84" t="str">
        <f>IF(AND('331-CT'!$E$7=TH!H155,OR(N155="331",O155="331")),"x","")</f>
        <v/>
      </c>
      <c r="Q155" s="84" t="str">
        <f>IF(AND(B155='111'!$L$11,OR($N155=$Q$7,$O155=$Q$7)),"x","")</f>
        <v/>
      </c>
      <c r="R155" s="84" t="str">
        <f>IF(AND($N155=$Q$7,$B155&lt;'111'!$L$11),"x","")</f>
        <v/>
      </c>
      <c r="S155" s="84" t="str">
        <f>IF(AND($O155=$Q$7,$B155&lt;'111'!$L$11),"x","")</f>
        <v/>
      </c>
      <c r="T155" s="84" t="str">
        <f>IF(ISERROR(FIND('112'!$M$9,G155,1)),"",IF((AND(FIND('112'!$M$9,G155,1)&gt;=1,B155='112'!$K$9,OR($N155='112'!$I$6,$O155='112'!$I$6))),"x",""))</f>
        <v/>
      </c>
      <c r="U155" s="84" t="str">
        <f>IF(ISERROR(FIND('112'!$M$9,G155,1)),"",IF((AND(LEFT(G155,2)=LEFT('112'!$M$9,2),B155&lt;'112'!$K$9,$N155='112'!$I$6)),"x",""))</f>
        <v/>
      </c>
      <c r="V155" s="84" t="str">
        <f>IF(ISERROR(FIND('112'!$M$9,G155,1)),"",IF((AND(RIGHT(G155,2)=RIGHT('112'!$M$9,2),B155&lt;'112'!$K$9,$O155='112'!$I$6)),"x",""))</f>
        <v/>
      </c>
      <c r="W155" s="84" t="str">
        <f>IF(AND('341-CT'!$H$9=H155,OR(LEFT(N155,3)=$W$7,LEFT(O155,3)=$W$7)),"x","")</f>
        <v/>
      </c>
      <c r="X155" s="84" t="str">
        <f>IF(OR(TH!N155=TH!$X$7,O155=TH!$X$7),"x","")</f>
        <v/>
      </c>
      <c r="Y155" s="84" t="str">
        <f>IF(AND(OR(N155="131",O155="131"),H155='131-CT'!$H$9),"x","")</f>
        <v/>
      </c>
      <c r="Z155" s="84"/>
      <c r="AA155" s="84" t="str">
        <f>IF(AND(MONTH(E155)='IN-NX'!$J$5,'IN-NX'!$D$7=D155),"x","")</f>
        <v/>
      </c>
      <c r="AB155" s="84" t="str">
        <f>IF(AND(OR(LEFT(TH!N155,2)="15",LEFT(TH!O155,2)="15"),LEFT(TH!O155,3)&lt;&gt;"111",'152-CT'!$J$8=TH!F155),"x","")</f>
        <v/>
      </c>
      <c r="AC155" s="84" t="str">
        <f>IF(AND(OR(LEFT(TH!N155,2)="15",LEFT(TH!O155,2)="15"),TK!$E$7=TH!F155),"x","")</f>
        <v/>
      </c>
      <c r="AD155" s="84" t="str">
        <f>IF(AND(N155="1521",MONTH(C155)='BK-NL'!$M$11),"x","")</f>
        <v/>
      </c>
    </row>
    <row r="156" spans="1:30" s="341" customFormat="1" ht="15.75" hidden="1" customHeight="1">
      <c r="A156" s="336" t="str">
        <f>IF(B156&lt;&gt;"",IF(AND(B156='IN-TC'!$S$4,OR(TH!N156="1111",TH!O156="1111")),TH!D156,""),"")</f>
        <v/>
      </c>
      <c r="B156" s="63">
        <f t="shared" si="18"/>
        <v>8</v>
      </c>
      <c r="C156" s="871">
        <v>42613</v>
      </c>
      <c r="D156" s="871" t="s">
        <v>582</v>
      </c>
      <c r="E156" s="871">
        <f t="shared" si="19"/>
        <v>42613</v>
      </c>
      <c r="F156" s="73" t="s">
        <v>1337</v>
      </c>
      <c r="G156" s="276"/>
      <c r="H156" s="320"/>
      <c r="I156" s="439"/>
      <c r="J156" s="439"/>
      <c r="K156" s="430"/>
      <c r="L156" s="439"/>
      <c r="M156" s="877">
        <f>G148*$G155</f>
        <v>2355390</v>
      </c>
      <c r="N156" s="878" t="s">
        <v>282</v>
      </c>
      <c r="O156" s="878" t="s">
        <v>594</v>
      </c>
      <c r="P156" s="84" t="str">
        <f>IF(AND('331-CT'!$E$7=TH!H156,OR(N156="331",O156="331")),"x","")</f>
        <v/>
      </c>
      <c r="Q156" s="84" t="str">
        <f>IF(AND(B156='111'!$L$11,OR($N156=$Q$7,$O156=$Q$7)),"x","")</f>
        <v/>
      </c>
      <c r="R156" s="84" t="str">
        <f>IF(AND($N156=$Q$7,$B156&lt;'111'!$L$11),"x","")</f>
        <v/>
      </c>
      <c r="S156" s="84" t="str">
        <f>IF(AND($O156=$Q$7,$B156&lt;'111'!$L$11),"x","")</f>
        <v/>
      </c>
      <c r="T156" s="84" t="str">
        <f>IF(ISERROR(FIND('112'!$M$9,G156,1)),"",IF((AND(FIND('112'!$M$9,G156,1)&gt;=1,B156='112'!$K$9,OR($N156='112'!$I$6,$O156='112'!$I$6))),"x",""))</f>
        <v/>
      </c>
      <c r="U156" s="84" t="str">
        <f>IF(ISERROR(FIND('112'!$M$9,G156,1)),"",IF((AND(LEFT(G156,2)=LEFT('112'!$M$9,2),B156&lt;'112'!$K$9,$N156='112'!$I$6)),"x",""))</f>
        <v/>
      </c>
      <c r="V156" s="84" t="str">
        <f>IF(ISERROR(FIND('112'!$M$9,G156,1)),"",IF((AND(RIGHT(G156,2)=RIGHT('112'!$M$9,2),B156&lt;'112'!$K$9,$O156='112'!$I$6)),"x",""))</f>
        <v/>
      </c>
      <c r="W156" s="84" t="str">
        <f>IF(AND('341-CT'!$H$9=H156,OR(LEFT(N156,3)=$W$7,LEFT(O156,3)=$W$7)),"x","")</f>
        <v/>
      </c>
      <c r="X156" s="84" t="str">
        <f>IF(OR(TH!N156=TH!$X$7,O156=TH!$X$7),"x","")</f>
        <v/>
      </c>
      <c r="Y156" s="84" t="str">
        <f>IF(AND(OR(N156="131",O156="131"),H156='131-CT'!$H$9),"x","")</f>
        <v/>
      </c>
      <c r="Z156" s="84"/>
      <c r="AA156" s="84" t="str">
        <f>IF(AND(MONTH(E156)='IN-NX'!$J$5,'IN-NX'!$D$7=D156),"x","")</f>
        <v/>
      </c>
      <c r="AB156" s="84" t="str">
        <f>IF(AND(OR(LEFT(TH!N156,2)="15",LEFT(TH!O156,2)="15"),LEFT(TH!O156,3)&lt;&gt;"111",'152-CT'!$J$8=TH!F156),"x","")</f>
        <v/>
      </c>
      <c r="AC156" s="84" t="str">
        <f>IF(AND(OR(LEFT(TH!N156,2)="15",LEFT(TH!O156,2)="15"),TK!$E$7=TH!F156),"x","")</f>
        <v/>
      </c>
      <c r="AD156" s="84" t="str">
        <f>IF(AND(N156="1521",MONTH(C156)='BK-NL'!$M$11),"x","")</f>
        <v/>
      </c>
    </row>
    <row r="157" spans="1:30" s="341" customFormat="1" ht="15.75" hidden="1" customHeight="1">
      <c r="A157" s="336" t="str">
        <f>IF(B157&lt;&gt;"",IF(AND(B157='IN-TC'!$S$4,OR(TH!N157="1111",TH!O157="1111")),TH!D157,""),"")</f>
        <v/>
      </c>
      <c r="B157" s="63">
        <f t="shared" si="18"/>
        <v>8</v>
      </c>
      <c r="C157" s="871">
        <v>42613</v>
      </c>
      <c r="D157" s="871" t="s">
        <v>582</v>
      </c>
      <c r="E157" s="871">
        <f t="shared" si="19"/>
        <v>42613</v>
      </c>
      <c r="F157" s="73" t="s">
        <v>1338</v>
      </c>
      <c r="G157" s="976" t="s">
        <v>587</v>
      </c>
      <c r="H157" s="320"/>
      <c r="I157" s="439"/>
      <c r="J157" s="439"/>
      <c r="K157" s="430"/>
      <c r="L157" s="439"/>
      <c r="M157" s="877">
        <f>G147*$G157</f>
        <v>373690</v>
      </c>
      <c r="N157" s="878" t="s">
        <v>592</v>
      </c>
      <c r="O157" s="878" t="s">
        <v>595</v>
      </c>
      <c r="P157" s="84" t="str">
        <f>IF(AND('331-CT'!$E$7=TH!H157,OR(N157="331",O157="331")),"x","")</f>
        <v/>
      </c>
      <c r="Q157" s="84" t="str">
        <f>IF(AND(B157='111'!$L$11,OR($N157=$Q$7,$O157=$Q$7)),"x","")</f>
        <v/>
      </c>
      <c r="R157" s="84" t="str">
        <f>IF(AND($N157=$Q$7,$B157&lt;'111'!$L$11),"x","")</f>
        <v/>
      </c>
      <c r="S157" s="84" t="str">
        <f>IF(AND($O157=$Q$7,$B157&lt;'111'!$L$11),"x","")</f>
        <v/>
      </c>
      <c r="T157" s="84" t="str">
        <f>IF(ISERROR(FIND('112'!$M$9,G157,1)),"",IF((AND(FIND('112'!$M$9,G157,1)&gt;=1,B157='112'!$K$9,OR($N157='112'!$I$6,$O157='112'!$I$6))),"x",""))</f>
        <v/>
      </c>
      <c r="U157" s="84" t="str">
        <f>IF(ISERROR(FIND('112'!$M$9,G157,1)),"",IF((AND(LEFT(G157,2)=LEFT('112'!$M$9,2),B157&lt;'112'!$K$9,$N157='112'!$I$6)),"x",""))</f>
        <v/>
      </c>
      <c r="V157" s="84" t="str">
        <f>IF(ISERROR(FIND('112'!$M$9,G157,1)),"",IF((AND(RIGHT(G157,2)=RIGHT('112'!$M$9,2),B157&lt;'112'!$K$9,$O157='112'!$I$6)),"x",""))</f>
        <v/>
      </c>
      <c r="W157" s="84" t="str">
        <f>IF(AND('341-CT'!$H$9=H157,OR(LEFT(N157,3)=$W$7,LEFT(O157,3)=$W$7)),"x","")</f>
        <v/>
      </c>
      <c r="X157" s="84" t="str">
        <f>IF(OR(TH!N157=TH!$X$7,O157=TH!$X$7),"x","")</f>
        <v/>
      </c>
      <c r="Y157" s="84" t="str">
        <f>IF(AND(OR(N157="131",O157="131"),H157='131-CT'!$H$9),"x","")</f>
        <v/>
      </c>
      <c r="Z157" s="84"/>
      <c r="AA157" s="84" t="str">
        <f>IF(AND(MONTH(E157)='IN-NX'!$J$5,'IN-NX'!$D$7=D157),"x","")</f>
        <v/>
      </c>
      <c r="AB157" s="84" t="str">
        <f>IF(AND(OR(LEFT(TH!N157,2)="15",LEFT(TH!O157,2)="15"),LEFT(TH!O157,3)&lt;&gt;"111",'152-CT'!$J$8=TH!F157),"x","")</f>
        <v/>
      </c>
      <c r="AC157" s="84" t="str">
        <f>IF(AND(OR(LEFT(TH!N157,2)="15",LEFT(TH!O157,2)="15"),TK!$E$7=TH!F157),"x","")</f>
        <v/>
      </c>
      <c r="AD157" s="84" t="str">
        <f>IF(AND(N157="1521",MONTH(C157)='BK-NL'!$M$11),"x","")</f>
        <v/>
      </c>
    </row>
    <row r="158" spans="1:30" s="341" customFormat="1" ht="15.75" hidden="1" customHeight="1">
      <c r="A158" s="336" t="str">
        <f>IF(B158&lt;&gt;"",IF(AND(B158='IN-TC'!$S$4,OR(TH!N158="1111",TH!O158="1111")),TH!D158,""),"")</f>
        <v/>
      </c>
      <c r="B158" s="63">
        <f t="shared" si="18"/>
        <v>8</v>
      </c>
      <c r="C158" s="871">
        <v>42613</v>
      </c>
      <c r="D158" s="871" t="s">
        <v>582</v>
      </c>
      <c r="E158" s="871">
        <f t="shared" si="19"/>
        <v>42613</v>
      </c>
      <c r="F158" s="73" t="s">
        <v>1339</v>
      </c>
      <c r="G158" s="276"/>
      <c r="H158" s="320"/>
      <c r="I158" s="439"/>
      <c r="J158" s="439"/>
      <c r="K158" s="430"/>
      <c r="L158" s="439"/>
      <c r="M158" s="877">
        <f>G148*$G157</f>
        <v>785130</v>
      </c>
      <c r="N158" s="878" t="s">
        <v>592</v>
      </c>
      <c r="O158" s="878" t="s">
        <v>595</v>
      </c>
      <c r="P158" s="84" t="str">
        <f>IF(AND('331-CT'!$E$7=TH!H158,OR(N158="331",O158="331")),"x","")</f>
        <v/>
      </c>
      <c r="Q158" s="84" t="str">
        <f>IF(AND(B158='111'!$L$11,OR($N158=$Q$7,$O158=$Q$7)),"x","")</f>
        <v/>
      </c>
      <c r="R158" s="84" t="str">
        <f>IF(AND($N158=$Q$7,$B158&lt;'111'!$L$11),"x","")</f>
        <v/>
      </c>
      <c r="S158" s="84" t="str">
        <f>IF(AND($O158=$Q$7,$B158&lt;'111'!$L$11),"x","")</f>
        <v/>
      </c>
      <c r="T158" s="84" t="str">
        <f>IF(ISERROR(FIND('112'!$M$9,G158,1)),"",IF((AND(FIND('112'!$M$9,G158,1)&gt;=1,B158='112'!$K$9,OR($N158='112'!$I$6,$O158='112'!$I$6))),"x",""))</f>
        <v/>
      </c>
      <c r="U158" s="84" t="str">
        <f>IF(ISERROR(FIND('112'!$M$9,G158,1)),"",IF((AND(LEFT(G158,2)=LEFT('112'!$M$9,2),B158&lt;'112'!$K$9,$N158='112'!$I$6)),"x",""))</f>
        <v/>
      </c>
      <c r="V158" s="84" t="str">
        <f>IF(ISERROR(FIND('112'!$M$9,G158,1)),"",IF((AND(RIGHT(G158,2)=RIGHT('112'!$M$9,2),B158&lt;'112'!$K$9,$O158='112'!$I$6)),"x",""))</f>
        <v/>
      </c>
      <c r="W158" s="84" t="str">
        <f>IF(AND('341-CT'!$H$9=H158,OR(LEFT(N158,3)=$W$7,LEFT(O158,3)=$W$7)),"x","")</f>
        <v/>
      </c>
      <c r="X158" s="84" t="str">
        <f>IF(OR(TH!N158=TH!$X$7,O158=TH!$X$7),"x","")</f>
        <v/>
      </c>
      <c r="Y158" s="84" t="str">
        <f>IF(AND(OR(N158="131",O158="131"),H158='131-CT'!$H$9),"x","")</f>
        <v/>
      </c>
      <c r="Z158" s="84"/>
      <c r="AA158" s="84" t="str">
        <f>IF(AND(MONTH(E158)='IN-NX'!$J$5,'IN-NX'!$D$7=D158),"x","")</f>
        <v/>
      </c>
      <c r="AB158" s="84" t="str">
        <f>IF(AND(OR(LEFT(TH!N158,2)="15",LEFT(TH!O158,2)="15"),LEFT(TH!O158,3)&lt;&gt;"111",'152-CT'!$J$8=TH!F158),"x","")</f>
        <v/>
      </c>
      <c r="AC158" s="84" t="str">
        <f>IF(AND(OR(LEFT(TH!N158,2)="15",LEFT(TH!O158,2)="15"),TK!$E$7=TH!F158),"x","")</f>
        <v/>
      </c>
      <c r="AD158" s="84" t="str">
        <f>IF(AND(N158="1521",MONTH(C158)='BK-NL'!$M$11),"x","")</f>
        <v/>
      </c>
    </row>
    <row r="159" spans="1:30" s="341" customFormat="1" ht="15.75" hidden="1" customHeight="1">
      <c r="A159" s="336" t="str">
        <f>IF(B159&lt;&gt;"",IF(AND(B159='IN-TC'!$S$4,OR(TH!N159="1111",TH!O159="1111")),TH!D159,""),"")</f>
        <v/>
      </c>
      <c r="B159" s="63">
        <f t="shared" si="18"/>
        <v>8</v>
      </c>
      <c r="C159" s="871">
        <v>42613</v>
      </c>
      <c r="D159" s="871" t="s">
        <v>582</v>
      </c>
      <c r="E159" s="871">
        <f t="shared" si="19"/>
        <v>42613</v>
      </c>
      <c r="F159" s="73" t="s">
        <v>1340</v>
      </c>
      <c r="G159" s="976" t="s">
        <v>587</v>
      </c>
      <c r="H159" s="1127"/>
      <c r="I159" s="440"/>
      <c r="J159" s="440"/>
      <c r="K159" s="431"/>
      <c r="L159" s="440"/>
      <c r="M159" s="877">
        <f>M157</f>
        <v>373690</v>
      </c>
      <c r="N159" s="878" t="s">
        <v>591</v>
      </c>
      <c r="O159" s="878" t="s">
        <v>595</v>
      </c>
      <c r="P159" s="84" t="str">
        <f>IF(AND('331-CT'!$E$7=TH!H159,OR(N159="331",O159="331")),"x","")</f>
        <v/>
      </c>
      <c r="Q159" s="84" t="str">
        <f>IF(AND(B159='111'!$L$11,OR($N159=$Q$7,$O159=$Q$7)),"x","")</f>
        <v/>
      </c>
      <c r="R159" s="84" t="str">
        <f>IF(AND($N159=$Q$7,$B159&lt;'111'!$L$11),"x","")</f>
        <v/>
      </c>
      <c r="S159" s="84" t="str">
        <f>IF(AND($O159=$Q$7,$B159&lt;'111'!$L$11),"x","")</f>
        <v/>
      </c>
      <c r="T159" s="84" t="str">
        <f>IF(ISERROR(FIND('112'!$M$9,G159,1)),"",IF((AND(FIND('112'!$M$9,G159,1)&gt;=1,B159='112'!$K$9,OR($N159='112'!$I$6,$O159='112'!$I$6))),"x",""))</f>
        <v/>
      </c>
      <c r="U159" s="84" t="str">
        <f>IF(ISERROR(FIND('112'!$M$9,G159,1)),"",IF((AND(LEFT(G159,2)=LEFT('112'!$M$9,2),B159&lt;'112'!$K$9,$N159='112'!$I$6)),"x",""))</f>
        <v/>
      </c>
      <c r="V159" s="84" t="str">
        <f>IF(ISERROR(FIND('112'!$M$9,G159,1)),"",IF((AND(RIGHT(G159,2)=RIGHT('112'!$M$9,2),B159&lt;'112'!$K$9,$O159='112'!$I$6)),"x",""))</f>
        <v/>
      </c>
      <c r="W159" s="84" t="str">
        <f>IF(AND('341-CT'!$H$9=H159,OR(LEFT(N159,3)=$W$7,LEFT(O159,3)=$W$7)),"x","")</f>
        <v/>
      </c>
      <c r="X159" s="84" t="str">
        <f>IF(OR(TH!N159=TH!$X$7,O159=TH!$X$7),"x","")</f>
        <v/>
      </c>
      <c r="Y159" s="84" t="str">
        <f>IF(AND(OR(N159="131",O159="131"),H159='131-CT'!$H$9),"x","")</f>
        <v/>
      </c>
      <c r="Z159" s="84"/>
      <c r="AA159" s="84" t="str">
        <f>IF(AND(MONTH(E159)='IN-NX'!$J$5,'IN-NX'!$D$7=D159),"x","")</f>
        <v/>
      </c>
      <c r="AB159" s="84" t="str">
        <f>IF(AND(OR(LEFT(TH!N159,2)="15",LEFT(TH!O159,2)="15"),LEFT(TH!O159,3)&lt;&gt;"111",'152-CT'!$J$8=TH!F159),"x","")</f>
        <v/>
      </c>
      <c r="AC159" s="84" t="str">
        <f>IF(AND(OR(LEFT(TH!N159,2)="15",LEFT(TH!O159,2)="15"),TK!$E$7=TH!F159),"x","")</f>
        <v/>
      </c>
      <c r="AD159" s="84" t="str">
        <f>IF(AND(N159="1521",MONTH(C159)='BK-NL'!$M$11),"x","")</f>
        <v/>
      </c>
    </row>
    <row r="160" spans="1:30" s="341" customFormat="1" ht="15.75" hidden="1" customHeight="1">
      <c r="A160" s="336" t="str">
        <f>IF(B160&lt;&gt;"",IF(AND(B160='IN-TC'!$S$4,OR(TH!N160="1111",TH!O160="1111")),TH!D160,""),"")</f>
        <v/>
      </c>
      <c r="B160" s="63">
        <f t="shared" si="18"/>
        <v>8</v>
      </c>
      <c r="C160" s="871">
        <v>42613</v>
      </c>
      <c r="D160" s="871" t="s">
        <v>582</v>
      </c>
      <c r="E160" s="871">
        <f t="shared" si="19"/>
        <v>42613</v>
      </c>
      <c r="F160" s="73" t="s">
        <v>1341</v>
      </c>
      <c r="G160" s="276"/>
      <c r="H160" s="320"/>
      <c r="I160" s="439"/>
      <c r="J160" s="439"/>
      <c r="K160" s="430"/>
      <c r="L160" s="439"/>
      <c r="M160" s="877">
        <f>M158</f>
        <v>785130</v>
      </c>
      <c r="N160" s="878" t="s">
        <v>282</v>
      </c>
      <c r="O160" s="878" t="s">
        <v>595</v>
      </c>
      <c r="P160" s="84" t="str">
        <f>IF(AND('331-CT'!$E$7=TH!H160,OR(N160="331",O160="331")),"x","")</f>
        <v/>
      </c>
      <c r="Q160" s="84" t="str">
        <f>IF(AND(B160='111'!$L$11,OR($N160=$Q$7,$O160=$Q$7)),"x","")</f>
        <v/>
      </c>
      <c r="R160" s="84" t="str">
        <f>IF(AND($N160=$Q$7,$B160&lt;'111'!$L$11),"x","")</f>
        <v/>
      </c>
      <c r="S160" s="84" t="str">
        <f>IF(AND($O160=$Q$7,$B160&lt;'111'!$L$11),"x","")</f>
        <v/>
      </c>
      <c r="T160" s="84" t="str">
        <f>IF(ISERROR(FIND('112'!$M$9,G160,1)),"",IF((AND(FIND('112'!$M$9,G160,1)&gt;=1,B160='112'!$K$9,OR($N160='112'!$I$6,$O160='112'!$I$6))),"x",""))</f>
        <v/>
      </c>
      <c r="U160" s="84" t="str">
        <f>IF(ISERROR(FIND('112'!$M$9,G160,1)),"",IF((AND(LEFT(G160,2)=LEFT('112'!$M$9,2),B160&lt;'112'!$K$9,$N160='112'!$I$6)),"x",""))</f>
        <v/>
      </c>
      <c r="V160" s="84" t="str">
        <f>IF(ISERROR(FIND('112'!$M$9,G160,1)),"",IF((AND(RIGHT(G160,2)=RIGHT('112'!$M$9,2),B160&lt;'112'!$K$9,$O160='112'!$I$6)),"x",""))</f>
        <v/>
      </c>
      <c r="W160" s="84" t="str">
        <f>IF(AND('341-CT'!$H$9=H160,OR(LEFT(N160,3)=$W$7,LEFT(O160,3)=$W$7)),"x","")</f>
        <v/>
      </c>
      <c r="X160" s="84" t="str">
        <f>IF(OR(TH!N160=TH!$X$7,O160=TH!$X$7),"x","")</f>
        <v/>
      </c>
      <c r="Y160" s="84" t="str">
        <f>IF(AND(OR(N160="131",O160="131"),H160='131-CT'!$H$9),"x","")</f>
        <v/>
      </c>
      <c r="Z160" s="84"/>
      <c r="AA160" s="84" t="str">
        <f>IF(AND(MONTH(E160)='IN-NX'!$J$5,'IN-NX'!$D$7=D160),"x","")</f>
        <v/>
      </c>
      <c r="AB160" s="84" t="str">
        <f>IF(AND(OR(LEFT(TH!N160,2)="15",LEFT(TH!O160,2)="15"),LEFT(TH!O160,3)&lt;&gt;"111",'152-CT'!$J$8=TH!F160),"x","")</f>
        <v/>
      </c>
      <c r="AC160" s="84" t="str">
        <f>IF(AND(OR(LEFT(TH!N160,2)="15",LEFT(TH!O160,2)="15"),TK!$E$7=TH!F160),"x","")</f>
        <v/>
      </c>
      <c r="AD160" s="84" t="str">
        <f>IF(AND(N160="1521",MONTH(C160)='BK-NL'!$M$11),"x","")</f>
        <v/>
      </c>
    </row>
    <row r="161" spans="1:32" s="341" customFormat="1" ht="15.75" hidden="1" customHeight="1">
      <c r="A161" s="336" t="str">
        <f>IF(B161&lt;&gt;"",IF(AND(B161='IN-TC'!$S$4,OR(TH!N161="1111",TH!O161="1111")),TH!D161,""),"")</f>
        <v/>
      </c>
      <c r="B161" s="63">
        <f t="shared" si="18"/>
        <v>1</v>
      </c>
      <c r="C161" s="865">
        <v>42395</v>
      </c>
      <c r="D161" s="865" t="s">
        <v>596</v>
      </c>
      <c r="E161" s="865">
        <f>C161</f>
        <v>42395</v>
      </c>
      <c r="F161" s="866" t="s">
        <v>451</v>
      </c>
      <c r="G161" s="979" t="s">
        <v>617</v>
      </c>
      <c r="H161" s="971" t="s">
        <v>601</v>
      </c>
      <c r="I161" s="972">
        <v>7100</v>
      </c>
      <c r="J161" s="974">
        <v>11.2</v>
      </c>
      <c r="K161" s="973">
        <v>79520</v>
      </c>
      <c r="L161" s="972">
        <v>22365</v>
      </c>
      <c r="M161" s="867">
        <v>1778464800</v>
      </c>
      <c r="N161" s="873" t="s">
        <v>588</v>
      </c>
      <c r="O161" s="873" t="s">
        <v>298</v>
      </c>
      <c r="P161" s="84" t="str">
        <f>IF(AND('331-CT'!$E$7=TH!H161,OR(N161="331",O161="331")),"x","")</f>
        <v/>
      </c>
      <c r="Q161" s="84" t="str">
        <f>IF(AND(B161='111'!$L$11,OR($N161=$Q$7,$O161=$Q$7)),"x","")</f>
        <v/>
      </c>
      <c r="R161" s="84" t="str">
        <f>IF(AND($N161=$Q$7,$B161&lt;'111'!$L$11),"x","")</f>
        <v/>
      </c>
      <c r="S161" s="84" t="str">
        <f>IF(AND($O161=$Q$7,$B161&lt;'111'!$L$11),"x","")</f>
        <v/>
      </c>
      <c r="T161" s="84" t="str">
        <f>IF(ISERROR(FIND('112'!$M$9,G161,1)),"",IF((AND(FIND('112'!$M$9,G161,1)&gt;=1,B161='112'!$K$9,OR($N161='112'!$I$6,$O161='112'!$I$6))),"x",""))</f>
        <v/>
      </c>
      <c r="U161" s="84" t="str">
        <f>IF(ISERROR(FIND('112'!$M$9,G161,1)),"",IF((AND(LEFT(G161,2)=LEFT('112'!$M$9,2),B161&lt;'112'!$K$9,$N161='112'!$I$6)),"x",""))</f>
        <v/>
      </c>
      <c r="V161" s="84" t="str">
        <f>IF(ISERROR(FIND('112'!$M$9,G161,1)),"",IF((AND(RIGHT(G161,2)=RIGHT('112'!$M$9,2),B161&lt;'112'!$K$9,$O161='112'!$I$6)),"x",""))</f>
        <v/>
      </c>
      <c r="W161" s="84" t="str">
        <f>IF(AND('341-CT'!$H$9=H161,OR(LEFT(N161,3)=$W$7,LEFT(O161,3)=$W$7)),"x","")</f>
        <v/>
      </c>
      <c r="X161" s="84" t="str">
        <f>IF(OR(TH!N161=TH!$X$7,O161=TH!$X$7),"x","")</f>
        <v/>
      </c>
      <c r="Y161" s="84" t="str">
        <f>IF(AND(OR(N161="131",O161="131"),H161='131-CT'!$H$9),"x","")</f>
        <v>x</v>
      </c>
      <c r="Z161" s="84"/>
      <c r="AA161" s="84" t="str">
        <f>IF(AND(MONTH(E161)='IN-NX'!$J$5,'IN-NX'!$D$7=D161),"x","")</f>
        <v/>
      </c>
      <c r="AB161" s="84" t="str">
        <f>IF(AND(OR(LEFT(TH!N161,2)="15",LEFT(TH!O161,2)="15"),LEFT(TH!O161,3)&lt;&gt;"111",'152-CT'!$J$8=TH!F161),"x","")</f>
        <v/>
      </c>
      <c r="AC161" s="84" t="str">
        <f>IF(AND(OR(LEFT(TH!N161,2)="15",LEFT(TH!O161,2)="15"),TK!$E$7=TH!F161),"x","")</f>
        <v/>
      </c>
      <c r="AD161" s="84" t="str">
        <f>IF(AND(N161="1521",MONTH(C161)='BK-NL'!$M$11),"x","")</f>
        <v/>
      </c>
    </row>
    <row r="162" spans="1:32" s="341" customFormat="1" ht="15.75" hidden="1" customHeight="1">
      <c r="A162" s="336" t="str">
        <f>IF(B162&lt;&gt;"",IF(AND(B162='IN-TC'!$S$4,OR(TH!N162="1111",TH!O162="1111")),TH!D162,""),"")</f>
        <v/>
      </c>
      <c r="B162" s="63">
        <f t="shared" si="18"/>
        <v>1</v>
      </c>
      <c r="C162" s="865">
        <v>42395</v>
      </c>
      <c r="D162" s="865" t="s">
        <v>597</v>
      </c>
      <c r="E162" s="865">
        <f>C162</f>
        <v>42395</v>
      </c>
      <c r="F162" s="866" t="s">
        <v>453</v>
      </c>
      <c r="G162" s="979" t="s">
        <v>618</v>
      </c>
      <c r="H162" s="971" t="s">
        <v>598</v>
      </c>
      <c r="I162" s="972">
        <v>4800</v>
      </c>
      <c r="J162" s="974">
        <v>8.6999999999999993</v>
      </c>
      <c r="K162" s="973">
        <v>41760</v>
      </c>
      <c r="L162" s="972">
        <v>22365</v>
      </c>
      <c r="M162" s="867">
        <v>933962400</v>
      </c>
      <c r="N162" s="873" t="s">
        <v>588</v>
      </c>
      <c r="O162" s="873" t="s">
        <v>298</v>
      </c>
      <c r="P162" s="84" t="str">
        <f>IF(AND('331-CT'!$E$7=TH!H162,OR(N162="331",O162="331")),"x","")</f>
        <v/>
      </c>
      <c r="Q162" s="84" t="str">
        <f>IF(AND(B162='111'!$L$11,OR($N162=$Q$7,$O162=$Q$7)),"x","")</f>
        <v/>
      </c>
      <c r="R162" s="84" t="str">
        <f>IF(AND($N162=$Q$7,$B162&lt;'111'!$L$11),"x","")</f>
        <v/>
      </c>
      <c r="S162" s="84" t="str">
        <f>IF(AND($O162=$Q$7,$B162&lt;'111'!$L$11),"x","")</f>
        <v/>
      </c>
      <c r="T162" s="84" t="str">
        <f>IF(ISERROR(FIND('112'!$M$9,G162,1)),"",IF((AND(FIND('112'!$M$9,G162,1)&gt;=1,B162='112'!$K$9,OR($N162='112'!$I$6,$O162='112'!$I$6))),"x",""))</f>
        <v/>
      </c>
      <c r="U162" s="84" t="str">
        <f>IF(ISERROR(FIND('112'!$M$9,G162,1)),"",IF((AND(LEFT(G162,2)=LEFT('112'!$M$9,2),B162&lt;'112'!$K$9,$N162='112'!$I$6)),"x",""))</f>
        <v/>
      </c>
      <c r="V162" s="84" t="str">
        <f>IF(ISERROR(FIND('112'!$M$9,G162,1)),"",IF((AND(RIGHT(G162,2)=RIGHT('112'!$M$9,2),B162&lt;'112'!$K$9,$O162='112'!$I$6)),"x",""))</f>
        <v/>
      </c>
      <c r="W162" s="84" t="str">
        <f>IF(AND('341-CT'!$H$9=H162,OR(LEFT(N162,3)=$W$7,LEFT(O162,3)=$W$7)),"x","")</f>
        <v/>
      </c>
      <c r="X162" s="84" t="str">
        <f>IF(OR(TH!N162=TH!$X$7,O162=TH!$X$7),"x","")</f>
        <v/>
      </c>
      <c r="Y162" s="84" t="str">
        <f>IF(AND(OR(N162="131",O162="131"),H162='131-CT'!$H$9),"x","")</f>
        <v/>
      </c>
      <c r="Z162" s="84"/>
      <c r="AA162" s="84" t="str">
        <f>IF(AND(MONTH(E162)='IN-NX'!$J$5,'IN-NX'!$D$7=D162),"x","")</f>
        <v/>
      </c>
      <c r="AB162" s="84" t="str">
        <f>IF(AND(OR(LEFT(TH!N162,2)="15",LEFT(TH!O162,2)="15"),LEFT(TH!O162,3)&lt;&gt;"111",'152-CT'!$J$8=TH!F162),"x","")</f>
        <v/>
      </c>
      <c r="AC162" s="84" t="str">
        <f>IF(AND(OR(LEFT(TH!N162,2)="15",LEFT(TH!O162,2)="15"),TK!$E$7=TH!F162),"x","")</f>
        <v/>
      </c>
      <c r="AD162" s="84" t="str">
        <f>IF(AND(N162="1521",MONTH(C162)='BK-NL'!$M$11),"x","")</f>
        <v/>
      </c>
    </row>
    <row r="163" spans="1:32" ht="15.75" hidden="1" customHeight="1">
      <c r="A163" s="336" t="str">
        <f>IF(B163&lt;&gt;"",IF(AND(B163='IN-TC'!$S$4,OR(TH!N163="1111",TH!O163="1111")),TH!D163,""),"")</f>
        <v/>
      </c>
      <c r="B163" s="63">
        <f t="shared" si="18"/>
        <v>2</v>
      </c>
      <c r="C163" s="865">
        <v>42402</v>
      </c>
      <c r="D163" s="865" t="s">
        <v>996</v>
      </c>
      <c r="E163" s="865">
        <f>C163</f>
        <v>42402</v>
      </c>
      <c r="F163" s="866" t="s">
        <v>452</v>
      </c>
      <c r="G163" s="979" t="s">
        <v>997</v>
      </c>
      <c r="H163" s="971" t="s">
        <v>599</v>
      </c>
      <c r="I163" s="972">
        <v>12000</v>
      </c>
      <c r="J163" s="974">
        <v>8.58</v>
      </c>
      <c r="K163" s="973">
        <f t="shared" ref="K163:K173" si="20">I163*J163</f>
        <v>102960</v>
      </c>
      <c r="L163" s="972">
        <v>22215</v>
      </c>
      <c r="M163" s="867">
        <f t="shared" ref="M163:M173" si="21">ROUND(K163*L163,0)</f>
        <v>2287256400</v>
      </c>
      <c r="N163" s="873" t="s">
        <v>588</v>
      </c>
      <c r="O163" s="873" t="s">
        <v>298</v>
      </c>
      <c r="P163" s="84" t="str">
        <f>IF(AND('331-CT'!$E$7=TH!H163,OR(N163="331",O163="331")),"x","")</f>
        <v/>
      </c>
      <c r="Q163" s="84" t="str">
        <f>IF(AND(B163='111'!$L$11,OR($N163=$Q$7,$O163=$Q$7)),"x","")</f>
        <v/>
      </c>
      <c r="R163" s="84" t="str">
        <f>IF(AND($N163=$Q$7,$B163&lt;'111'!$L$11),"x","")</f>
        <v/>
      </c>
      <c r="S163" s="84" t="str">
        <f>IF(AND($O163=$Q$7,$B163&lt;'111'!$L$11),"x","")</f>
        <v/>
      </c>
      <c r="T163" s="84" t="str">
        <f>IF(ISERROR(FIND('112'!$M$9,G163,1)),"",IF((AND(FIND('112'!$M$9,G163,1)&gt;=1,B163='112'!$K$9,OR($N163='112'!$I$6,$O163='112'!$I$6))),"x",""))</f>
        <v/>
      </c>
      <c r="U163" s="84" t="str">
        <f>IF(ISERROR(FIND('112'!$M$9,G163,1)),"",IF((AND(LEFT(G163,2)=LEFT('112'!$M$9,2),B163&lt;'112'!$K$9,$N163='112'!$I$6)),"x",""))</f>
        <v/>
      </c>
      <c r="V163" s="84" t="str">
        <f>IF(ISERROR(FIND('112'!$M$9,G163,1)),"",IF((AND(RIGHT(G163,2)=RIGHT('112'!$M$9,2),B163&lt;'112'!$K$9,$O163='112'!$I$6)),"x",""))</f>
        <v/>
      </c>
      <c r="W163" s="84" t="str">
        <f>IF(AND('341-CT'!$H$9=H163,OR(LEFT(N163,3)=$W$7,LEFT(O163,3)=$W$7)),"x","")</f>
        <v/>
      </c>
      <c r="X163" s="84" t="str">
        <f>IF(OR(TH!N163=TH!$X$7,O163=TH!$X$7),"x","")</f>
        <v/>
      </c>
      <c r="Y163" s="84" t="str">
        <f>IF(AND(OR(N163="131",O163="131"),H163='131-CT'!$H$9),"x","")</f>
        <v/>
      </c>
      <c r="Z163" s="84"/>
      <c r="AA163" s="84" t="str">
        <f>IF(AND(MONTH(E163)='IN-NX'!$J$5,'IN-NX'!$D$7=D163),"x","")</f>
        <v/>
      </c>
      <c r="AB163" s="84" t="str">
        <f>IF(AND(OR(LEFT(TH!N163,2)="15",LEFT(TH!O163,2)="15"),LEFT(TH!O163,3)&lt;&gt;"111",'152-CT'!$J$8=TH!F163),"x","")</f>
        <v/>
      </c>
      <c r="AC163" s="84" t="str">
        <f>IF(AND(OR(LEFT(TH!N163,2)="15",LEFT(TH!O163,2)="15"),TK!$E$7=TH!F163),"x","")</f>
        <v/>
      </c>
      <c r="AD163" s="84" t="str">
        <f>IF(AND(N163="1521",MONTH(C163)='BK-NL'!$M$11),"x","")</f>
        <v/>
      </c>
      <c r="AE163" s="341"/>
    </row>
    <row r="164" spans="1:32" s="347" customFormat="1" ht="15.75" hidden="1" customHeight="1">
      <c r="A164" s="336" t="str">
        <f>IF(B164&lt;&gt;"",IF(AND(B164='IN-TC'!$S$4,OR(TH!N164="1111",TH!O164="1111")),TH!D164,""),"")</f>
        <v/>
      </c>
      <c r="B164" s="63">
        <f t="shared" si="18"/>
        <v>3</v>
      </c>
      <c r="C164" s="865">
        <v>42443</v>
      </c>
      <c r="D164" s="865" t="s">
        <v>996</v>
      </c>
      <c r="E164" s="865">
        <f>C164</f>
        <v>42443</v>
      </c>
      <c r="F164" s="866" t="s">
        <v>452</v>
      </c>
      <c r="G164" s="979" t="s">
        <v>998</v>
      </c>
      <c r="H164" s="971" t="s">
        <v>599</v>
      </c>
      <c r="I164" s="972">
        <v>12500</v>
      </c>
      <c r="J164" s="974">
        <v>8.43</v>
      </c>
      <c r="K164" s="973">
        <f t="shared" si="20"/>
        <v>105375</v>
      </c>
      <c r="L164" s="972">
        <v>22255</v>
      </c>
      <c r="M164" s="867">
        <f t="shared" si="21"/>
        <v>2345120625</v>
      </c>
      <c r="N164" s="873" t="s">
        <v>588</v>
      </c>
      <c r="O164" s="873" t="s">
        <v>298</v>
      </c>
      <c r="P164" s="84" t="str">
        <f>IF(AND('331-CT'!$E$7=TH!H164,OR(N164="331",O164="331")),"x","")</f>
        <v/>
      </c>
      <c r="Q164" s="84" t="str">
        <f>IF(AND(B164='111'!$L$11,OR($N164=$Q$7,$O164=$Q$7)),"x","")</f>
        <v/>
      </c>
      <c r="R164" s="84" t="str">
        <f>IF(AND($N164=$Q$7,$B164&lt;'111'!$L$11),"x","")</f>
        <v/>
      </c>
      <c r="S164" s="84" t="str">
        <f>IF(AND($O164=$Q$7,$B164&lt;'111'!$L$11),"x","")</f>
        <v/>
      </c>
      <c r="T164" s="84" t="str">
        <f>IF(ISERROR(FIND('112'!$M$9,G164,1)),"",IF((AND(FIND('112'!$M$9,G164,1)&gt;=1,B164='112'!$K$9,OR($N164='112'!$I$6,$O164='112'!$I$6))),"x",""))</f>
        <v/>
      </c>
      <c r="U164" s="84" t="str">
        <f>IF(ISERROR(FIND('112'!$M$9,G164,1)),"",IF((AND(LEFT(G164,2)=LEFT('112'!$M$9,2),B164&lt;'112'!$K$9,$N164='112'!$I$6)),"x",""))</f>
        <v/>
      </c>
      <c r="V164" s="84" t="str">
        <f>IF(ISERROR(FIND('112'!$M$9,G164,1)),"",IF((AND(RIGHT(G164,2)=RIGHT('112'!$M$9,2),B164&lt;'112'!$K$9,$O164='112'!$I$6)),"x",""))</f>
        <v/>
      </c>
      <c r="W164" s="84" t="str">
        <f>IF(AND('341-CT'!$H$9=H164,OR(LEFT(N164,3)=$W$7,LEFT(O164,3)=$W$7)),"x","")</f>
        <v/>
      </c>
      <c r="X164" s="84" t="str">
        <f>IF(OR(TH!N164=TH!$X$7,O164=TH!$X$7),"x","")</f>
        <v/>
      </c>
      <c r="Y164" s="84" t="str">
        <f>IF(AND(OR(N164="131",O164="131"),H164='131-CT'!$H$9),"x","")</f>
        <v/>
      </c>
      <c r="Z164" s="84"/>
      <c r="AA164" s="84" t="str">
        <f>IF(AND(MONTH(E164)='IN-NX'!$J$5,'IN-NX'!$D$7=D164),"x","")</f>
        <v/>
      </c>
      <c r="AB164" s="84" t="str">
        <f>IF(AND(OR(LEFT(TH!N164,2)="15",LEFT(TH!O164,2)="15"),LEFT(TH!O164,3)&lt;&gt;"111",'152-CT'!$J$8=TH!F164),"x","")</f>
        <v/>
      </c>
      <c r="AC164" s="84" t="str">
        <f>IF(AND(OR(LEFT(TH!N164,2)="15",LEFT(TH!O164,2)="15"),TK!$E$7=TH!F164),"x","")</f>
        <v/>
      </c>
      <c r="AD164" s="84" t="str">
        <f>IF(AND(N164="1521",MONTH(C164)='BK-NL'!$M$11),"x","")</f>
        <v/>
      </c>
      <c r="AE164" s="341"/>
    </row>
    <row r="165" spans="1:32" s="1156" customFormat="1" ht="15.75" hidden="1" customHeight="1">
      <c r="A165" s="336" t="str">
        <f>IF(B165&lt;&gt;"",IF(AND(B165='IN-TC'!$S$4,OR(TH!N165="1111",TH!O165="1111")),TH!D165,""),"")</f>
        <v/>
      </c>
      <c r="B165" s="63">
        <f t="shared" si="18"/>
        <v>4</v>
      </c>
      <c r="C165" s="865">
        <v>42473</v>
      </c>
      <c r="D165" s="865" t="s">
        <v>596</v>
      </c>
      <c r="E165" s="865">
        <f>C165</f>
        <v>42473</v>
      </c>
      <c r="F165" s="866" t="s">
        <v>453</v>
      </c>
      <c r="G165" s="979" t="s">
        <v>1369</v>
      </c>
      <c r="H165" s="971" t="s">
        <v>1370</v>
      </c>
      <c r="I165" s="972">
        <v>8800</v>
      </c>
      <c r="J165" s="974">
        <v>8.6999999999999993</v>
      </c>
      <c r="K165" s="973">
        <f t="shared" si="20"/>
        <v>76560</v>
      </c>
      <c r="L165" s="972">
        <v>22250</v>
      </c>
      <c r="M165" s="867">
        <f t="shared" si="21"/>
        <v>1703460000</v>
      </c>
      <c r="N165" s="873" t="s">
        <v>588</v>
      </c>
      <c r="O165" s="873" t="s">
        <v>298</v>
      </c>
      <c r="P165" s="84" t="str">
        <f>IF(AND('331-CT'!$E$7=TH!H165,OR(N165="331",O165="331")),"x","")</f>
        <v/>
      </c>
      <c r="Q165" s="84" t="str">
        <f>IF(AND(B165='111'!$L$11,OR($N165=$Q$7,$O165=$Q$7)),"x","")</f>
        <v/>
      </c>
      <c r="R165" s="84" t="str">
        <f>IF(AND($N165=$Q$7,$B165&lt;'111'!$L$11),"x","")</f>
        <v/>
      </c>
      <c r="S165" s="84" t="str">
        <f>IF(AND($O165=$Q$7,$B165&lt;'111'!$L$11),"x","")</f>
        <v/>
      </c>
      <c r="T165" s="84" t="str">
        <f>IF(ISERROR(FIND('112'!$M$9,G165,1)),"",IF((AND(FIND('112'!$M$9,G165,1)&gt;=1,B165='112'!$K$9,OR($N165='112'!$I$6,$O165='112'!$I$6))),"x",""))</f>
        <v/>
      </c>
      <c r="U165" s="84" t="str">
        <f>IF(ISERROR(FIND('112'!$M$9,G165,1)),"",IF((AND(LEFT(G165,2)=LEFT('112'!$M$9,2),B165&lt;'112'!$K$9,$N165='112'!$I$6)),"x",""))</f>
        <v/>
      </c>
      <c r="V165" s="84" t="str">
        <f>IF(ISERROR(FIND('112'!$M$9,G165,1)),"",IF((AND(RIGHT(G165,2)=RIGHT('112'!$M$9,2),B165&lt;'112'!$K$9,$O165='112'!$I$6)),"x",""))</f>
        <v/>
      </c>
      <c r="W165" s="84" t="str">
        <f>IF(AND('341-CT'!$H$9=H165,OR(LEFT(N165,3)=$W$7,LEFT(O165,3)=$W$7)),"x","")</f>
        <v/>
      </c>
      <c r="X165" s="84" t="str">
        <f>IF(OR(TH!N165=TH!$X$7,O165=TH!$X$7),"x","")</f>
        <v/>
      </c>
      <c r="Y165" s="84" t="str">
        <f>IF(AND(OR(N165="131",O165="131"),H165='131-CT'!$H$9),"x","")</f>
        <v/>
      </c>
      <c r="Z165" s="84"/>
      <c r="AA165" s="84" t="str">
        <f>IF(AND(MONTH(E165)='IN-NX'!$J$5,'IN-NX'!$D$7=D165),"x","")</f>
        <v/>
      </c>
      <c r="AB165" s="84" t="str">
        <f>IF(AND(OR(LEFT(TH!N165,2)="15",LEFT(TH!O165,2)="15"),LEFT(TH!O165,3)&lt;&gt;"111",'152-CT'!$J$8=TH!F165),"x","")</f>
        <v/>
      </c>
      <c r="AC165" s="84" t="str">
        <f>IF(AND(OR(LEFT(TH!N165,2)="15",LEFT(TH!O165,2)="15"),TK!$E$7=TH!F165),"x","")</f>
        <v/>
      </c>
      <c r="AD165" s="84" t="str">
        <f>IF(AND(N165="1521",MONTH(C165)='BK-NL'!$M$11),"x","")</f>
        <v/>
      </c>
      <c r="AE165" s="341"/>
    </row>
    <row r="166" spans="1:32" s="1156" customFormat="1" ht="15.75" hidden="1" customHeight="1">
      <c r="A166" s="336" t="str">
        <f>IF(B166&lt;&gt;"",IF(AND(B166='IN-TC'!$S$4,OR(TH!N166="1111",TH!O166="1111")),TH!D166,""),"")</f>
        <v/>
      </c>
      <c r="B166" s="63">
        <f t="shared" si="18"/>
        <v>5</v>
      </c>
      <c r="C166" s="865">
        <f>E166</f>
        <v>42496</v>
      </c>
      <c r="D166" s="865" t="s">
        <v>596</v>
      </c>
      <c r="E166" s="865">
        <v>42496</v>
      </c>
      <c r="F166" s="866" t="s">
        <v>451</v>
      </c>
      <c r="G166" s="979" t="s">
        <v>1521</v>
      </c>
      <c r="H166" s="971" t="s">
        <v>601</v>
      </c>
      <c r="I166" s="972">
        <v>4140</v>
      </c>
      <c r="J166" s="974">
        <v>11.5</v>
      </c>
      <c r="K166" s="973">
        <f t="shared" si="20"/>
        <v>47610</v>
      </c>
      <c r="L166" s="972">
        <v>22255</v>
      </c>
      <c r="M166" s="867">
        <f t="shared" si="21"/>
        <v>1059560550</v>
      </c>
      <c r="N166" s="873" t="s">
        <v>588</v>
      </c>
      <c r="O166" s="873" t="s">
        <v>298</v>
      </c>
      <c r="P166" s="84" t="str">
        <f>IF(AND('331-CT'!$E$7=TH!H166,OR(N166="331",O166="331")),"x","")</f>
        <v/>
      </c>
      <c r="Q166" s="84" t="str">
        <f>IF(AND(B166='111'!$L$11,OR($N166=$Q$7,$O166=$Q$7)),"x","")</f>
        <v/>
      </c>
      <c r="R166" s="84" t="str">
        <f>IF(AND($N166=$Q$7,$B166&lt;'111'!$L$11),"x","")</f>
        <v/>
      </c>
      <c r="S166" s="84" t="str">
        <f>IF(AND($O166=$Q$7,$B166&lt;'111'!$L$11),"x","")</f>
        <v/>
      </c>
      <c r="T166" s="84" t="str">
        <f>IF(ISERROR(FIND('112'!$M$9,G166,1)),"",IF((AND(FIND('112'!$M$9,G166,1)&gt;=1,B166='112'!$K$9,OR($N166='112'!$I$6,$O166='112'!$I$6))),"x",""))</f>
        <v/>
      </c>
      <c r="U166" s="84" t="str">
        <f>IF(ISERROR(FIND('112'!$M$9,G166,1)),"",IF((AND(LEFT(G166,2)=LEFT('112'!$M$9,2),B166&lt;'112'!$K$9,$N166='112'!$I$6)),"x",""))</f>
        <v/>
      </c>
      <c r="V166" s="84" t="str">
        <f>IF(ISERROR(FIND('112'!$M$9,G166,1)),"",IF((AND(RIGHT(G166,2)=RIGHT('112'!$M$9,2),B166&lt;'112'!$K$9,$O166='112'!$I$6)),"x",""))</f>
        <v/>
      </c>
      <c r="W166" s="84" t="str">
        <f>IF(AND('341-CT'!$H$9=H166,OR(LEFT(N166,3)=$W$7,LEFT(O166,3)=$W$7)),"x","")</f>
        <v/>
      </c>
      <c r="X166" s="84" t="str">
        <f>IF(OR(TH!N166=TH!$X$7,O166=TH!$X$7),"x","")</f>
        <v/>
      </c>
      <c r="Y166" s="84" t="str">
        <f>IF(AND(OR(N166="131",O166="131"),H166='131-CT'!$H$9),"x","")</f>
        <v>x</v>
      </c>
      <c r="Z166" s="84"/>
      <c r="AA166" s="84" t="str">
        <f>IF(AND(MONTH(E166)='IN-NX'!$J$5,'IN-NX'!$D$7=D166),"x","")</f>
        <v/>
      </c>
      <c r="AB166" s="84" t="str">
        <f>IF(AND(OR(LEFT(TH!N166,2)="15",LEFT(TH!O166,2)="15"),LEFT(TH!O166,3)&lt;&gt;"111",'152-CT'!$J$8=TH!F166),"x","")</f>
        <v/>
      </c>
      <c r="AC166" s="84" t="str">
        <f>IF(AND(OR(LEFT(TH!N166,2)="15",LEFT(TH!O166,2)="15"),TK!$E$7=TH!F166),"x","")</f>
        <v/>
      </c>
      <c r="AD166" s="84" t="str">
        <f>IF(AND(N166="1521",MONTH(C166)='BK-NL'!$M$11),"x","")</f>
        <v/>
      </c>
      <c r="AE166" s="341"/>
    </row>
    <row r="167" spans="1:32" s="1156" customFormat="1" ht="15.75" hidden="1" customHeight="1">
      <c r="A167" s="336" t="str">
        <f>IF(B167&lt;&gt;"",IF(AND(B167='IN-TC'!$S$4,OR(TH!N167="1111",TH!O167="1111")),TH!D167,""),"")</f>
        <v/>
      </c>
      <c r="B167" s="63">
        <f t="shared" ref="B167:B173" si="22">IF(C167&lt;&gt;"",MONTH(C167),"")</f>
        <v>5</v>
      </c>
      <c r="C167" s="865">
        <f>E167</f>
        <v>42496</v>
      </c>
      <c r="D167" s="865" t="s">
        <v>596</v>
      </c>
      <c r="E167" s="865">
        <v>42496</v>
      </c>
      <c r="F167" s="866" t="s">
        <v>1522</v>
      </c>
      <c r="G167" s="979" t="s">
        <v>1521</v>
      </c>
      <c r="H167" s="971" t="s">
        <v>601</v>
      </c>
      <c r="I167" s="972">
        <v>880</v>
      </c>
      <c r="J167" s="974">
        <v>8.4</v>
      </c>
      <c r="K167" s="973">
        <f t="shared" si="20"/>
        <v>7392</v>
      </c>
      <c r="L167" s="972">
        <v>22255</v>
      </c>
      <c r="M167" s="867">
        <f t="shared" si="21"/>
        <v>164508960</v>
      </c>
      <c r="N167" s="873" t="s">
        <v>588</v>
      </c>
      <c r="O167" s="873" t="s">
        <v>298</v>
      </c>
      <c r="P167" s="84" t="str">
        <f>IF(AND('331-CT'!$E$7=TH!H167,OR(N167="331",O167="331")),"x","")</f>
        <v/>
      </c>
      <c r="Q167" s="84" t="str">
        <f>IF(AND(B167='111'!$L$11,OR($N167=$Q$7,$O167=$Q$7)),"x","")</f>
        <v/>
      </c>
      <c r="R167" s="84" t="str">
        <f>IF(AND($N167=$Q$7,$B167&lt;'111'!$L$11),"x","")</f>
        <v/>
      </c>
      <c r="S167" s="84" t="str">
        <f>IF(AND($O167=$Q$7,$B167&lt;'111'!$L$11),"x","")</f>
        <v/>
      </c>
      <c r="T167" s="84" t="str">
        <f>IF(ISERROR(FIND('112'!$M$9,G167,1)),"",IF((AND(FIND('112'!$M$9,G167,1)&gt;=1,B167='112'!$K$9,OR($N167='112'!$I$6,$O167='112'!$I$6))),"x",""))</f>
        <v/>
      </c>
      <c r="U167" s="84" t="str">
        <f>IF(ISERROR(FIND('112'!$M$9,G167,1)),"",IF((AND(LEFT(G167,2)=LEFT('112'!$M$9,2),B167&lt;'112'!$K$9,$N167='112'!$I$6)),"x",""))</f>
        <v/>
      </c>
      <c r="V167" s="84" t="str">
        <f>IF(ISERROR(FIND('112'!$M$9,G167,1)),"",IF((AND(RIGHT(G167,2)=RIGHT('112'!$M$9,2),B167&lt;'112'!$K$9,$O167='112'!$I$6)),"x",""))</f>
        <v/>
      </c>
      <c r="W167" s="84" t="str">
        <f>IF(AND('341-CT'!$H$9=H167,OR(LEFT(N167,3)=$W$7,LEFT(O167,3)=$W$7)),"x","")</f>
        <v/>
      </c>
      <c r="X167" s="84" t="str">
        <f>IF(OR(TH!N167=TH!$X$7,O167=TH!$X$7),"x","")</f>
        <v/>
      </c>
      <c r="Y167" s="84" t="str">
        <f>IF(AND(OR(N167="131",O167="131"),H167='131-CT'!$H$9),"x","")</f>
        <v>x</v>
      </c>
      <c r="Z167" s="84"/>
      <c r="AA167" s="84" t="str">
        <f>IF(AND(MONTH(E167)='IN-NX'!$J$5,'IN-NX'!$D$7=D167),"x","")</f>
        <v/>
      </c>
      <c r="AB167" s="84" t="str">
        <f>IF(AND(OR(LEFT(TH!N167,2)="15",LEFT(TH!O167,2)="15"),LEFT(TH!O167,3)&lt;&gt;"111",'152-CT'!$J$8=TH!F167),"x","")</f>
        <v/>
      </c>
      <c r="AC167" s="84" t="str">
        <f>IF(AND(OR(LEFT(TH!N167,2)="15",LEFT(TH!O167,2)="15"),TK!$E$7=TH!F167),"x","")</f>
        <v/>
      </c>
      <c r="AD167" s="84" t="str">
        <f>IF(AND(N167="1521",MONTH(C167)='BK-NL'!$M$11),"x","")</f>
        <v/>
      </c>
      <c r="AE167" s="341"/>
    </row>
    <row r="168" spans="1:32" s="1156" customFormat="1" ht="15.75" hidden="1" customHeight="1">
      <c r="A168" s="336" t="str">
        <f>IF(B168&lt;&gt;"",IF(AND(B168='IN-TC'!$S$4,OR(TH!N168="1111",TH!O168="1111")),TH!D168,""),"")</f>
        <v/>
      </c>
      <c r="B168" s="63">
        <f t="shared" si="22"/>
        <v>5</v>
      </c>
      <c r="C168" s="865">
        <f>E168</f>
        <v>42496</v>
      </c>
      <c r="D168" s="865" t="s">
        <v>596</v>
      </c>
      <c r="E168" s="865">
        <v>42496</v>
      </c>
      <c r="F168" s="866" t="s">
        <v>1523</v>
      </c>
      <c r="G168" s="979" t="s">
        <v>1521</v>
      </c>
      <c r="H168" s="971" t="s">
        <v>601</v>
      </c>
      <c r="I168" s="972">
        <v>600</v>
      </c>
      <c r="J168" s="974">
        <v>12</v>
      </c>
      <c r="K168" s="973">
        <f t="shared" si="20"/>
        <v>7200</v>
      </c>
      <c r="L168" s="972">
        <v>22255</v>
      </c>
      <c r="M168" s="867">
        <f t="shared" si="21"/>
        <v>160236000</v>
      </c>
      <c r="N168" s="873" t="s">
        <v>588</v>
      </c>
      <c r="O168" s="873" t="s">
        <v>298</v>
      </c>
      <c r="P168" s="84" t="str">
        <f>IF(AND('331-CT'!$E$7=TH!H168,OR(N168="331",O168="331")),"x","")</f>
        <v/>
      </c>
      <c r="Q168" s="84" t="str">
        <f>IF(AND(B168='111'!$L$11,OR($N168=$Q$7,$O168=$Q$7)),"x","")</f>
        <v/>
      </c>
      <c r="R168" s="84" t="str">
        <f>IF(AND($N168=$Q$7,$B168&lt;'111'!$L$11),"x","")</f>
        <v/>
      </c>
      <c r="S168" s="84" t="str">
        <f>IF(AND($O168=$Q$7,$B168&lt;'111'!$L$11),"x","")</f>
        <v/>
      </c>
      <c r="T168" s="84" t="str">
        <f>IF(ISERROR(FIND('112'!$M$9,G168,1)),"",IF((AND(FIND('112'!$M$9,G168,1)&gt;=1,B168='112'!$K$9,OR($N168='112'!$I$6,$O168='112'!$I$6))),"x",""))</f>
        <v/>
      </c>
      <c r="U168" s="84" t="str">
        <f>IF(ISERROR(FIND('112'!$M$9,G168,1)),"",IF((AND(LEFT(G168,2)=LEFT('112'!$M$9,2),B168&lt;'112'!$K$9,$N168='112'!$I$6)),"x",""))</f>
        <v/>
      </c>
      <c r="V168" s="84" t="str">
        <f>IF(ISERROR(FIND('112'!$M$9,G168,1)),"",IF((AND(RIGHT(G168,2)=RIGHT('112'!$M$9,2),B168&lt;'112'!$K$9,$O168='112'!$I$6)),"x",""))</f>
        <v/>
      </c>
      <c r="W168" s="84" t="str">
        <f>IF(AND('341-CT'!$H$9=H168,OR(LEFT(N168,3)=$W$7,LEFT(O168,3)=$W$7)),"x","")</f>
        <v/>
      </c>
      <c r="X168" s="84" t="str">
        <f>IF(OR(TH!N168=TH!$X$7,O168=TH!$X$7),"x","")</f>
        <v/>
      </c>
      <c r="Y168" s="84" t="str">
        <f>IF(AND(OR(N168="131",O168="131"),H168='131-CT'!$H$9),"x","")</f>
        <v>x</v>
      </c>
      <c r="Z168" s="84"/>
      <c r="AA168" s="84" t="str">
        <f>IF(AND(MONTH(E168)='IN-NX'!$J$5,'IN-NX'!$D$7=D168),"x","")</f>
        <v/>
      </c>
      <c r="AB168" s="84" t="str">
        <f>IF(AND(OR(LEFT(TH!N168,2)="15",LEFT(TH!O168,2)="15"),LEFT(TH!O168,3)&lt;&gt;"111",'152-CT'!$J$8=TH!F168),"x","")</f>
        <v/>
      </c>
      <c r="AC168" s="84" t="str">
        <f>IF(AND(OR(LEFT(TH!N168,2)="15",LEFT(TH!O168,2)="15"),TK!$E$7=TH!F168),"x","")</f>
        <v/>
      </c>
      <c r="AD168" s="84" t="str">
        <f>IF(AND(N168="1521",MONTH(C168)='BK-NL'!$M$11),"x","")</f>
        <v/>
      </c>
      <c r="AE168" s="341"/>
    </row>
    <row r="169" spans="1:32" s="1156" customFormat="1" ht="15.75" hidden="1" customHeight="1">
      <c r="A169" s="336" t="str">
        <f>IF(B169&lt;&gt;"",IF(AND(B169='IN-TC'!$S$4,OR(TH!N169="1111",TH!O169="1111")),TH!D169,""),"")</f>
        <v/>
      </c>
      <c r="B169" s="63">
        <f t="shared" si="22"/>
        <v>5</v>
      </c>
      <c r="C169" s="865">
        <f>E169</f>
        <v>42496</v>
      </c>
      <c r="D169" s="865" t="s">
        <v>596</v>
      </c>
      <c r="E169" s="865">
        <v>42496</v>
      </c>
      <c r="F169" s="866" t="s">
        <v>1524</v>
      </c>
      <c r="G169" s="979" t="s">
        <v>1521</v>
      </c>
      <c r="H169" s="971" t="s">
        <v>601</v>
      </c>
      <c r="I169" s="972">
        <v>1000</v>
      </c>
      <c r="J169" s="974">
        <v>8.6</v>
      </c>
      <c r="K169" s="973">
        <f t="shared" si="20"/>
        <v>8600</v>
      </c>
      <c r="L169" s="972">
        <v>22255</v>
      </c>
      <c r="M169" s="867">
        <f t="shared" si="21"/>
        <v>191393000</v>
      </c>
      <c r="N169" s="873" t="s">
        <v>588</v>
      </c>
      <c r="O169" s="873" t="s">
        <v>298</v>
      </c>
      <c r="P169" s="84" t="str">
        <f>IF(AND('331-CT'!$E$7=TH!H169,OR(N169="331",O169="331")),"x","")</f>
        <v/>
      </c>
      <c r="Q169" s="84" t="str">
        <f>IF(AND(B169='111'!$L$11,OR($N169=$Q$7,$O169=$Q$7)),"x","")</f>
        <v/>
      </c>
      <c r="R169" s="84" t="str">
        <f>IF(AND($N169=$Q$7,$B169&lt;'111'!$L$11),"x","")</f>
        <v/>
      </c>
      <c r="S169" s="84" t="str">
        <f>IF(AND($O169=$Q$7,$B169&lt;'111'!$L$11),"x","")</f>
        <v/>
      </c>
      <c r="T169" s="84" t="str">
        <f>IF(ISERROR(FIND('112'!$M$9,G169,1)),"",IF((AND(FIND('112'!$M$9,G169,1)&gt;=1,B169='112'!$K$9,OR($N169='112'!$I$6,$O169='112'!$I$6))),"x",""))</f>
        <v/>
      </c>
      <c r="U169" s="84" t="str">
        <f>IF(ISERROR(FIND('112'!$M$9,G169,1)),"",IF((AND(LEFT(G169,2)=LEFT('112'!$M$9,2),B169&lt;'112'!$K$9,$N169='112'!$I$6)),"x",""))</f>
        <v/>
      </c>
      <c r="V169" s="84" t="str">
        <f>IF(ISERROR(FIND('112'!$M$9,G169,1)),"",IF((AND(RIGHT(G169,2)=RIGHT('112'!$M$9,2),B169&lt;'112'!$K$9,$O169='112'!$I$6)),"x",""))</f>
        <v/>
      </c>
      <c r="W169" s="84" t="str">
        <f>IF(AND('341-CT'!$H$9=H169,OR(LEFT(N169,3)=$W$7,LEFT(O169,3)=$W$7)),"x","")</f>
        <v/>
      </c>
      <c r="X169" s="84" t="str">
        <f>IF(OR(TH!N169=TH!$X$7,O169=TH!$X$7),"x","")</f>
        <v/>
      </c>
      <c r="Y169" s="84" t="str">
        <f>IF(AND(OR(N169="131",O169="131"),H169='131-CT'!$H$9),"x","")</f>
        <v>x</v>
      </c>
      <c r="Z169" s="84"/>
      <c r="AA169" s="84" t="str">
        <f>IF(AND(MONTH(E169)='IN-NX'!$J$5,'IN-NX'!$D$7=D169),"x","")</f>
        <v/>
      </c>
      <c r="AB169" s="84" t="str">
        <f>IF(AND(OR(LEFT(TH!N169,2)="15",LEFT(TH!O169,2)="15"),LEFT(TH!O169,3)&lt;&gt;"111",'152-CT'!$J$8=TH!F169),"x","")</f>
        <v/>
      </c>
      <c r="AC169" s="84" t="str">
        <f>IF(AND(OR(LEFT(TH!N169,2)="15",LEFT(TH!O169,2)="15"),TK!$E$7=TH!F169),"x","")</f>
        <v/>
      </c>
      <c r="AD169" s="84" t="str">
        <f>IF(AND(N169="1521",MONTH(C169)='BK-NL'!$M$11),"x","")</f>
        <v/>
      </c>
      <c r="AE169" s="341"/>
    </row>
    <row r="170" spans="1:32" s="1156" customFormat="1" ht="15.75" hidden="1" customHeight="1">
      <c r="A170" s="336" t="str">
        <f>IF(B170&lt;&gt;"",IF(AND(B170='IN-TC'!$S$4,OR(TH!N170="1111",TH!O170="1111")),TH!D170,""),"")</f>
        <v/>
      </c>
      <c r="B170" s="63">
        <f t="shared" si="22"/>
        <v>5</v>
      </c>
      <c r="C170" s="865">
        <f>E170</f>
        <v>42502</v>
      </c>
      <c r="D170" s="865" t="s">
        <v>597</v>
      </c>
      <c r="E170" s="865">
        <v>42502</v>
      </c>
      <c r="F170" s="866" t="s">
        <v>453</v>
      </c>
      <c r="G170" s="979" t="s">
        <v>1525</v>
      </c>
      <c r="H170" s="971" t="s">
        <v>598</v>
      </c>
      <c r="I170" s="972">
        <v>4800</v>
      </c>
      <c r="J170" s="974">
        <v>8.6999999999999993</v>
      </c>
      <c r="K170" s="973">
        <f t="shared" si="20"/>
        <v>41760</v>
      </c>
      <c r="L170" s="972">
        <v>22255</v>
      </c>
      <c r="M170" s="867">
        <f t="shared" si="21"/>
        <v>929368800</v>
      </c>
      <c r="N170" s="873" t="s">
        <v>588</v>
      </c>
      <c r="O170" s="873" t="s">
        <v>298</v>
      </c>
      <c r="P170" s="84" t="str">
        <f>IF(AND('331-CT'!$E$7=TH!H170,OR(N170="331",O170="331")),"x","")</f>
        <v/>
      </c>
      <c r="Q170" s="84" t="str">
        <f>IF(AND(B170='111'!$L$11,OR($N170=$Q$7,$O170=$Q$7)),"x","")</f>
        <v/>
      </c>
      <c r="R170" s="84" t="str">
        <f>IF(AND($N170=$Q$7,$B170&lt;'111'!$L$11),"x","")</f>
        <v/>
      </c>
      <c r="S170" s="84" t="str">
        <f>IF(AND($O170=$Q$7,$B170&lt;'111'!$L$11),"x","")</f>
        <v/>
      </c>
      <c r="T170" s="84" t="str">
        <f>IF(ISERROR(FIND('112'!$M$9,G170,1)),"",IF((AND(FIND('112'!$M$9,G170,1)&gt;=1,B170='112'!$K$9,OR($N170='112'!$I$6,$O170='112'!$I$6))),"x",""))</f>
        <v/>
      </c>
      <c r="U170" s="84" t="str">
        <f>IF(ISERROR(FIND('112'!$M$9,G170,1)),"",IF((AND(LEFT(G170,2)=LEFT('112'!$M$9,2),B170&lt;'112'!$K$9,$N170='112'!$I$6)),"x",""))</f>
        <v/>
      </c>
      <c r="V170" s="84" t="str">
        <f>IF(ISERROR(FIND('112'!$M$9,G170,1)),"",IF((AND(RIGHT(G170,2)=RIGHT('112'!$M$9,2),B170&lt;'112'!$K$9,$O170='112'!$I$6)),"x",""))</f>
        <v/>
      </c>
      <c r="W170" s="84" t="str">
        <f>IF(AND('341-CT'!$H$9=H170,OR(LEFT(N170,3)=$W$7,LEFT(O170,3)=$W$7)),"x","")</f>
        <v/>
      </c>
      <c r="X170" s="84" t="str">
        <f>IF(OR(TH!N170=TH!$X$7,O170=TH!$X$7),"x","")</f>
        <v/>
      </c>
      <c r="Y170" s="84" t="str">
        <f>IF(AND(OR(N170="131",O170="131"),H170='131-CT'!$H$9),"x","")</f>
        <v/>
      </c>
      <c r="Z170" s="84"/>
      <c r="AA170" s="84" t="str">
        <f>IF(AND(MONTH(E170)='IN-NX'!$J$5,'IN-NX'!$D$7=D170),"x","")</f>
        <v/>
      </c>
      <c r="AB170" s="84" t="str">
        <f>IF(AND(OR(LEFT(TH!N170,2)="15",LEFT(TH!O170,2)="15"),LEFT(TH!O170,3)&lt;&gt;"111",'152-CT'!$J$8=TH!F170),"x","")</f>
        <v/>
      </c>
      <c r="AC170" s="84" t="str">
        <f>IF(AND(OR(LEFT(TH!N170,2)="15",LEFT(TH!O170,2)="15"),TK!$E$7=TH!F170),"x","")</f>
        <v/>
      </c>
      <c r="AD170" s="84" t="str">
        <f>IF(AND(N170="1521",MONTH(C170)='BK-NL'!$M$11),"x","")</f>
        <v/>
      </c>
      <c r="AE170" s="341"/>
    </row>
    <row r="171" spans="1:32" s="1156" customFormat="1" ht="15.75" hidden="1" customHeight="1">
      <c r="A171" s="336" t="str">
        <f>IF(B171&lt;&gt;"",IF(AND(B171='IN-TC'!$S$4,OR(TH!N171="1111",TH!O171="1111")),TH!D171,""),"")</f>
        <v/>
      </c>
      <c r="B171" s="63">
        <f t="shared" si="22"/>
        <v>6</v>
      </c>
      <c r="C171" s="865">
        <v>42527</v>
      </c>
      <c r="D171" s="865" t="s">
        <v>596</v>
      </c>
      <c r="E171" s="865">
        <f>C171</f>
        <v>42527</v>
      </c>
      <c r="F171" s="866" t="s">
        <v>451</v>
      </c>
      <c r="G171" s="979" t="s">
        <v>1558</v>
      </c>
      <c r="H171" s="971" t="s">
        <v>1559</v>
      </c>
      <c r="I171" s="972">
        <v>10000</v>
      </c>
      <c r="J171" s="974">
        <v>8.4499999999999993</v>
      </c>
      <c r="K171" s="973">
        <f t="shared" si="20"/>
        <v>84500</v>
      </c>
      <c r="L171" s="972">
        <v>22405</v>
      </c>
      <c r="M171" s="867">
        <f t="shared" si="21"/>
        <v>1893222500</v>
      </c>
      <c r="N171" s="873" t="s">
        <v>588</v>
      </c>
      <c r="O171" s="873" t="s">
        <v>298</v>
      </c>
      <c r="P171" s="84" t="str">
        <f>IF(AND('331-CT'!$E$7=TH!H171,OR(N171="331",O171="331")),"x","")</f>
        <v/>
      </c>
      <c r="Q171" s="84" t="str">
        <f>IF(AND(B171='111'!$L$11,OR($N171=$Q$7,$O171=$Q$7)),"x","")</f>
        <v/>
      </c>
      <c r="R171" s="84" t="str">
        <f>IF(AND($N171=$Q$7,$B171&lt;'111'!$L$11),"x","")</f>
        <v/>
      </c>
      <c r="S171" s="84" t="str">
        <f>IF(AND($O171=$Q$7,$B171&lt;'111'!$L$11),"x","")</f>
        <v/>
      </c>
      <c r="T171" s="84" t="str">
        <f>IF(ISERROR(FIND('112'!$M$9,G171,1)),"",IF((AND(FIND('112'!$M$9,G171,1)&gt;=1,B171='112'!$K$9,OR($N171='112'!$I$6,$O171='112'!$I$6))),"x",""))</f>
        <v/>
      </c>
      <c r="U171" s="84" t="str">
        <f>IF(ISERROR(FIND('112'!$M$9,G171,1)),"",IF((AND(LEFT(G171,2)=LEFT('112'!$M$9,2),B171&lt;'112'!$K$9,$N171='112'!$I$6)),"x",""))</f>
        <v/>
      </c>
      <c r="V171" s="84" t="str">
        <f>IF(ISERROR(FIND('112'!$M$9,G171,1)),"",IF((AND(RIGHT(G171,2)=RIGHT('112'!$M$9,2),B171&lt;'112'!$K$9,$O171='112'!$I$6)),"x",""))</f>
        <v/>
      </c>
      <c r="W171" s="84" t="str">
        <f>IF(AND('341-CT'!$H$9=H171,OR(LEFT(N171,3)=$W$7,LEFT(O171,3)=$W$7)),"x","")</f>
        <v/>
      </c>
      <c r="X171" s="84" t="str">
        <f>IF(OR(TH!N171=TH!$X$7,O171=TH!$X$7),"x","")</f>
        <v/>
      </c>
      <c r="Y171" s="84" t="str">
        <f>IF(AND(OR(N171="131",O171="131"),H171='131-CT'!$H$9),"x","")</f>
        <v/>
      </c>
      <c r="Z171" s="84"/>
      <c r="AA171" s="84" t="str">
        <f>IF(AND(MONTH(E171)='IN-NX'!$J$5,'IN-NX'!$D$7=D171),"x","")</f>
        <v/>
      </c>
      <c r="AB171" s="84" t="str">
        <f>IF(AND(OR(LEFT(TH!N171,2)="15",LEFT(TH!O171,2)="15"),LEFT(TH!O171,3)&lt;&gt;"111",'152-CT'!$J$8=TH!F171),"x","")</f>
        <v/>
      </c>
      <c r="AC171" s="84" t="str">
        <f>IF(AND(OR(LEFT(TH!N171,2)="15",LEFT(TH!O171,2)="15"),TK!$E$7=TH!F171),"x","")</f>
        <v/>
      </c>
      <c r="AD171" s="84" t="str">
        <f>IF(AND(N171="1521",MONTH(C171)='BK-NL'!$M$11),"x","")</f>
        <v/>
      </c>
      <c r="AE171" s="341"/>
    </row>
    <row r="172" spans="1:32" s="1156" customFormat="1" ht="15.75" hidden="1" customHeight="1">
      <c r="A172" s="336" t="str">
        <f>IF(B172&lt;&gt;"",IF(AND(B172='IN-TC'!$S$4,OR(TH!N172="1111",TH!O172="1111")),TH!D172,""),"")</f>
        <v/>
      </c>
      <c r="B172" s="63">
        <f t="shared" si="22"/>
        <v>6</v>
      </c>
      <c r="C172" s="865">
        <v>42532</v>
      </c>
      <c r="D172" s="865" t="s">
        <v>597</v>
      </c>
      <c r="E172" s="865">
        <f t="shared" ref="E172:E189" si="23">C172</f>
        <v>42532</v>
      </c>
      <c r="F172" s="866" t="s">
        <v>451</v>
      </c>
      <c r="G172" s="979" t="s">
        <v>1557</v>
      </c>
      <c r="H172" s="971" t="s">
        <v>601</v>
      </c>
      <c r="I172" s="972">
        <v>1000</v>
      </c>
      <c r="J172" s="974">
        <v>11.5</v>
      </c>
      <c r="K172" s="973">
        <f t="shared" si="20"/>
        <v>11500</v>
      </c>
      <c r="L172" s="972">
        <v>22405</v>
      </c>
      <c r="M172" s="867">
        <f t="shared" si="21"/>
        <v>257657500</v>
      </c>
      <c r="N172" s="873" t="s">
        <v>588</v>
      </c>
      <c r="O172" s="873" t="s">
        <v>298</v>
      </c>
      <c r="P172" s="84" t="str">
        <f>IF(AND('331-CT'!$E$7=TH!H172,OR(N172="331",O172="331")),"x","")</f>
        <v/>
      </c>
      <c r="Q172" s="84" t="str">
        <f>IF(AND(B172='111'!$L$11,OR($N172=$Q$7,$O172=$Q$7)),"x","")</f>
        <v/>
      </c>
      <c r="R172" s="84" t="str">
        <f>IF(AND($N172=$Q$7,$B172&lt;'111'!$L$11),"x","")</f>
        <v/>
      </c>
      <c r="S172" s="84" t="str">
        <f>IF(AND($O172=$Q$7,$B172&lt;'111'!$L$11),"x","")</f>
        <v/>
      </c>
      <c r="T172" s="84" t="str">
        <f>IF(ISERROR(FIND('112'!$M$9,G172,1)),"",IF((AND(FIND('112'!$M$9,G172,1)&gt;=1,B172='112'!$K$9,OR($N172='112'!$I$6,$O172='112'!$I$6))),"x",""))</f>
        <v/>
      </c>
      <c r="U172" s="84" t="str">
        <f>IF(ISERROR(FIND('112'!$M$9,G172,1)),"",IF((AND(LEFT(G172,2)=LEFT('112'!$M$9,2),B172&lt;'112'!$K$9,$N172='112'!$I$6)),"x",""))</f>
        <v/>
      </c>
      <c r="V172" s="84" t="str">
        <f>IF(ISERROR(FIND('112'!$M$9,G172,1)),"",IF((AND(RIGHT(G172,2)=RIGHT('112'!$M$9,2),B172&lt;'112'!$K$9,$O172='112'!$I$6)),"x",""))</f>
        <v/>
      </c>
      <c r="W172" s="84" t="str">
        <f>IF(AND('341-CT'!$H$9=H172,OR(LEFT(N172,3)=$W$7,LEFT(O172,3)=$W$7)),"x","")</f>
        <v/>
      </c>
      <c r="X172" s="84" t="str">
        <f>IF(OR(TH!N172=TH!$X$7,O172=TH!$X$7),"x","")</f>
        <v/>
      </c>
      <c r="Y172" s="84" t="str">
        <f>IF(AND(OR(N172="131",O172="131"),H172='131-CT'!$H$9),"x","")</f>
        <v>x</v>
      </c>
      <c r="Z172" s="84"/>
      <c r="AA172" s="84" t="str">
        <f>IF(AND(MONTH(E172)='IN-NX'!$J$5,'IN-NX'!$D$7=D172),"x","")</f>
        <v/>
      </c>
      <c r="AB172" s="84" t="str">
        <f>IF(AND(OR(LEFT(TH!N172,2)="15",LEFT(TH!O172,2)="15"),LEFT(TH!O172,3)&lt;&gt;"111",'152-CT'!$J$8=TH!F172),"x","")</f>
        <v/>
      </c>
      <c r="AC172" s="84" t="str">
        <f>IF(AND(OR(LEFT(TH!N172,2)="15",LEFT(TH!O172,2)="15"),TK!$E$7=TH!F172),"x","")</f>
        <v/>
      </c>
      <c r="AD172" s="84" t="str">
        <f>IF(AND(N172="1521",MONTH(C172)='BK-NL'!$M$11),"x","")</f>
        <v/>
      </c>
      <c r="AE172" s="341"/>
    </row>
    <row r="173" spans="1:32" s="1156" customFormat="1" ht="15.75" hidden="1" customHeight="1">
      <c r="A173" s="336" t="str">
        <f>IF(B173&lt;&gt;"",IF(AND(B173='IN-TC'!$S$4,OR(TH!N173="1111",TH!O173="1111")),TH!D173,""),"")</f>
        <v/>
      </c>
      <c r="B173" s="63">
        <f t="shared" si="22"/>
        <v>6</v>
      </c>
      <c r="C173" s="865">
        <v>42532</v>
      </c>
      <c r="D173" s="865" t="s">
        <v>597</v>
      </c>
      <c r="E173" s="865">
        <f t="shared" si="23"/>
        <v>42532</v>
      </c>
      <c r="F173" s="866" t="s">
        <v>1524</v>
      </c>
      <c r="G173" s="979" t="s">
        <v>1557</v>
      </c>
      <c r="H173" s="971" t="s">
        <v>601</v>
      </c>
      <c r="I173" s="972">
        <v>2640</v>
      </c>
      <c r="J173" s="974">
        <v>8.6</v>
      </c>
      <c r="K173" s="973">
        <f t="shared" si="20"/>
        <v>22704</v>
      </c>
      <c r="L173" s="972">
        <v>22405</v>
      </c>
      <c r="M173" s="867">
        <f t="shared" si="21"/>
        <v>508683120</v>
      </c>
      <c r="N173" s="873" t="s">
        <v>588</v>
      </c>
      <c r="O173" s="873" t="s">
        <v>298</v>
      </c>
      <c r="P173" s="84" t="str">
        <f>IF(AND('331-CT'!$E$7=TH!H173,OR(N173="331",O173="331")),"x","")</f>
        <v/>
      </c>
      <c r="Q173" s="84" t="str">
        <f>IF(AND(B173='111'!$L$11,OR($N173=$Q$7,$O173=$Q$7)),"x","")</f>
        <v/>
      </c>
      <c r="R173" s="84" t="str">
        <f>IF(AND($N173=$Q$7,$B173&lt;'111'!$L$11),"x","")</f>
        <v/>
      </c>
      <c r="S173" s="84" t="str">
        <f>IF(AND($O173=$Q$7,$B173&lt;'111'!$L$11),"x","")</f>
        <v/>
      </c>
      <c r="T173" s="84" t="str">
        <f>IF(ISERROR(FIND('112'!$M$9,G173,1)),"",IF((AND(FIND('112'!$M$9,G173,1)&gt;=1,B173='112'!$K$9,OR($N173='112'!$I$6,$O173='112'!$I$6))),"x",""))</f>
        <v/>
      </c>
      <c r="U173" s="84" t="str">
        <f>IF(ISERROR(FIND('112'!$M$9,G173,1)),"",IF((AND(LEFT(G173,2)=LEFT('112'!$M$9,2),B173&lt;'112'!$K$9,$N173='112'!$I$6)),"x",""))</f>
        <v/>
      </c>
      <c r="V173" s="84" t="str">
        <f>IF(ISERROR(FIND('112'!$M$9,G173,1)),"",IF((AND(RIGHT(G173,2)=RIGHT('112'!$M$9,2),B173&lt;'112'!$K$9,$O173='112'!$I$6)),"x",""))</f>
        <v/>
      </c>
      <c r="W173" s="84" t="str">
        <f>IF(AND('341-CT'!$H$9=H173,OR(LEFT(N173,3)=$W$7,LEFT(O173,3)=$W$7)),"x","")</f>
        <v/>
      </c>
      <c r="X173" s="84" t="str">
        <f>IF(OR(TH!N173=TH!$X$7,O173=TH!$X$7),"x","")</f>
        <v/>
      </c>
      <c r="Y173" s="84" t="str">
        <f>IF(AND(OR(N173="131",O173="131"),H173='131-CT'!$H$9),"x","")</f>
        <v>x</v>
      </c>
      <c r="Z173" s="84"/>
      <c r="AA173" s="84" t="str">
        <f>IF(AND(MONTH(E173)='IN-NX'!$J$5,'IN-NX'!$D$7=D173),"x","")</f>
        <v/>
      </c>
      <c r="AB173" s="84" t="str">
        <f>IF(AND(OR(LEFT(TH!N173,2)="15",LEFT(TH!O173,2)="15"),LEFT(TH!O173,3)&lt;&gt;"111",'152-CT'!$J$8=TH!F173),"x","")</f>
        <v/>
      </c>
      <c r="AC173" s="84" t="str">
        <f>IF(AND(OR(LEFT(TH!N173,2)="15",LEFT(TH!O173,2)="15"),TK!$E$7=TH!F173),"x","")</f>
        <v/>
      </c>
      <c r="AD173" s="84" t="str">
        <f>IF(AND(N173="1521",MONTH(C173)='BK-NL'!$M$11),"x","")</f>
        <v/>
      </c>
      <c r="AE173" s="341"/>
    </row>
    <row r="174" spans="1:32" s="1156" customFormat="1" ht="15.75" hidden="1" customHeight="1">
      <c r="A174" s="336" t="str">
        <f>IF(B174&lt;&gt;"",IF(AND(B174='IN-TC'!$S$4,OR(TH!N174="1111",TH!O174="1111")),TH!D174,""),"")</f>
        <v/>
      </c>
      <c r="B174" s="63">
        <f t="shared" ref="B174:B184" si="24">IF(C174&lt;&gt;"",MONTH(C174),"")</f>
        <v>6</v>
      </c>
      <c r="C174" s="865">
        <v>42535</v>
      </c>
      <c r="D174" s="865" t="s">
        <v>1679</v>
      </c>
      <c r="E174" s="865">
        <f t="shared" si="23"/>
        <v>42535</v>
      </c>
      <c r="F174" s="866" t="s">
        <v>1681</v>
      </c>
      <c r="G174" s="979" t="s">
        <v>1683</v>
      </c>
      <c r="H174" s="971" t="s">
        <v>1546</v>
      </c>
      <c r="I174" s="972">
        <v>1750</v>
      </c>
      <c r="J174" s="974">
        <v>1</v>
      </c>
      <c r="K174" s="973">
        <f t="shared" ref="K174:K184" si="25">I174*J174</f>
        <v>1750</v>
      </c>
      <c r="L174" s="972">
        <v>22300</v>
      </c>
      <c r="M174" s="867">
        <f t="shared" ref="M174:M184" si="26">ROUND(K174*L174,0)</f>
        <v>39025000</v>
      </c>
      <c r="N174" s="873" t="s">
        <v>588</v>
      </c>
      <c r="O174" s="873" t="s">
        <v>298</v>
      </c>
      <c r="P174" s="84" t="str">
        <f>IF(AND('331-CT'!$E$7=TH!H174,OR(N174="331",O174="331")),"x","")</f>
        <v/>
      </c>
      <c r="Q174" s="84" t="str">
        <f>IF(AND(B174='111'!$L$11,OR($N174=$Q$7,$O174=$Q$7)),"x","")</f>
        <v/>
      </c>
      <c r="R174" s="84" t="str">
        <f>IF(AND($N174=$Q$7,$B174&lt;'111'!$L$11),"x","")</f>
        <v/>
      </c>
      <c r="S174" s="84" t="str">
        <f>IF(AND($O174=$Q$7,$B174&lt;'111'!$L$11),"x","")</f>
        <v/>
      </c>
      <c r="T174" s="84" t="str">
        <f>IF(ISERROR(FIND('112'!$M$9,G174,1)),"",IF((AND(FIND('112'!$M$9,G174,1)&gt;=1,B174='112'!$K$9,OR($N174='112'!$I$6,$O174='112'!$I$6))),"x",""))</f>
        <v/>
      </c>
      <c r="U174" s="84" t="str">
        <f>IF(ISERROR(FIND('112'!$M$9,G174,1)),"",IF((AND(LEFT(G174,2)=LEFT('112'!$M$9,2),B174&lt;'112'!$K$9,$N174='112'!$I$6)),"x",""))</f>
        <v/>
      </c>
      <c r="V174" s="84" t="str">
        <f>IF(ISERROR(FIND('112'!$M$9,G174,1)),"",IF((AND(RIGHT(G174,2)=RIGHT('112'!$M$9,2),B174&lt;'112'!$K$9,$O174='112'!$I$6)),"x",""))</f>
        <v/>
      </c>
      <c r="W174" s="84" t="str">
        <f>IF(AND('341-CT'!$H$9=H174,OR(LEFT(N174,3)=$W$7,LEFT(O174,3)=$W$7)),"x","")</f>
        <v/>
      </c>
      <c r="X174" s="84" t="str">
        <f>IF(OR(TH!N174=TH!$X$7,O174=TH!$X$7),"x","")</f>
        <v/>
      </c>
      <c r="Y174" s="84" t="str">
        <f>IF(AND(OR(N174="131",O174="131"),H174='131-CT'!$H$9),"x","")</f>
        <v/>
      </c>
      <c r="Z174" s="84"/>
      <c r="AA174" s="84" t="str">
        <f>IF(AND(MONTH(E174)='IN-NX'!$J$5,'IN-NX'!$D$7=D174),"x","")</f>
        <v/>
      </c>
      <c r="AB174" s="84" t="str">
        <f>IF(AND(OR(LEFT(TH!N174,2)="15",LEFT(TH!O174,2)="15"),LEFT(TH!O174,3)&lt;&gt;"111",'152-CT'!$J$8=TH!F174),"x","")</f>
        <v/>
      </c>
      <c r="AC174" s="84" t="str">
        <f>IF(AND(OR(LEFT(TH!N174,2)="15",LEFT(TH!O174,2)="15"),TK!$E$7=TH!F174),"x","")</f>
        <v/>
      </c>
      <c r="AD174" s="84" t="str">
        <f>IF(AND(N174="1521",MONTH(C174)='BK-NL'!$M$11),"x","")</f>
        <v/>
      </c>
      <c r="AE174" s="341"/>
    </row>
    <row r="175" spans="1:32" s="1156" customFormat="1" ht="15.75" hidden="1" customHeight="1">
      <c r="A175" s="336" t="str">
        <f>IF(B175&lt;&gt;"",IF(AND(B175='IN-TC'!$S$4,OR(TH!N175="1111",TH!O175="1111")),TH!D175,""),"")</f>
        <v/>
      </c>
      <c r="B175" s="63">
        <f t="shared" si="24"/>
        <v>6</v>
      </c>
      <c r="C175" s="865">
        <v>42535</v>
      </c>
      <c r="D175" s="865" t="s">
        <v>1679</v>
      </c>
      <c r="E175" s="865">
        <f t="shared" si="23"/>
        <v>42535</v>
      </c>
      <c r="F175" s="866" t="s">
        <v>1682</v>
      </c>
      <c r="G175" s="979" t="s">
        <v>1683</v>
      </c>
      <c r="H175" s="971" t="s">
        <v>1546</v>
      </c>
      <c r="I175" s="972">
        <v>5390</v>
      </c>
      <c r="J175" s="974">
        <v>0.75</v>
      </c>
      <c r="K175" s="973">
        <f t="shared" si="25"/>
        <v>4042.5</v>
      </c>
      <c r="L175" s="972">
        <v>22300</v>
      </c>
      <c r="M175" s="867">
        <f t="shared" si="26"/>
        <v>90147750</v>
      </c>
      <c r="N175" s="873" t="s">
        <v>588</v>
      </c>
      <c r="O175" s="873" t="s">
        <v>298</v>
      </c>
      <c r="P175" s="84" t="str">
        <f>IF(AND('331-CT'!$E$7=TH!H175,OR(N175="331",O175="331")),"x","")</f>
        <v/>
      </c>
      <c r="Q175" s="84" t="str">
        <f>IF(AND(B175='111'!$L$11,OR($N175=$Q$7,$O175=$Q$7)),"x","")</f>
        <v/>
      </c>
      <c r="R175" s="84" t="str">
        <f>IF(AND($N175=$Q$7,$B175&lt;'111'!$L$11),"x","")</f>
        <v/>
      </c>
      <c r="S175" s="84" t="str">
        <f>IF(AND($O175=$Q$7,$B175&lt;'111'!$L$11),"x","")</f>
        <v/>
      </c>
      <c r="T175" s="84" t="str">
        <f>IF(ISERROR(FIND('112'!$M$9,G175,1)),"",IF((AND(FIND('112'!$M$9,G175,1)&gt;=1,B175='112'!$K$9,OR($N175='112'!$I$6,$O175='112'!$I$6))),"x",""))</f>
        <v/>
      </c>
      <c r="U175" s="84" t="str">
        <f>IF(ISERROR(FIND('112'!$M$9,G175,1)),"",IF((AND(LEFT(G175,2)=LEFT('112'!$M$9,2),B175&lt;'112'!$K$9,$N175='112'!$I$6)),"x",""))</f>
        <v/>
      </c>
      <c r="V175" s="84" t="str">
        <f>IF(ISERROR(FIND('112'!$M$9,G175,1)),"",IF((AND(RIGHT(G175,2)=RIGHT('112'!$M$9,2),B175&lt;'112'!$K$9,$O175='112'!$I$6)),"x",""))</f>
        <v/>
      </c>
      <c r="W175" s="84" t="str">
        <f>IF(AND('341-CT'!$H$9=H175,OR(LEFT(N175,3)=$W$7,LEFT(O175,3)=$W$7)),"x","")</f>
        <v/>
      </c>
      <c r="X175" s="84" t="str">
        <f>IF(OR(TH!N175=TH!$X$7,O175=TH!$X$7),"x","")</f>
        <v/>
      </c>
      <c r="Y175" s="84" t="str">
        <f>IF(AND(OR(N175="131",O175="131"),H175='131-CT'!$H$9),"x","")</f>
        <v/>
      </c>
      <c r="Z175" s="84"/>
      <c r="AA175" s="84" t="str">
        <f>IF(AND(MONTH(E175)='IN-NX'!$J$5,'IN-NX'!$D$7=D175),"x","")</f>
        <v/>
      </c>
      <c r="AB175" s="84" t="str">
        <f>IF(AND(OR(LEFT(TH!N175,2)="15",LEFT(TH!O175,2)="15"),LEFT(TH!O175,3)&lt;&gt;"111",'152-CT'!$J$8=TH!F175),"x","")</f>
        <v/>
      </c>
      <c r="AC175" s="84" t="str">
        <f>IF(AND(OR(LEFT(TH!N175,2)="15",LEFT(TH!O175,2)="15"),TK!$E$7=TH!F175),"x","")</f>
        <v/>
      </c>
      <c r="AD175" s="84" t="str">
        <f>IF(AND(N175="1521",MONTH(C175)='BK-NL'!$M$11),"x","")</f>
        <v/>
      </c>
      <c r="AE175" s="341"/>
    </row>
    <row r="176" spans="1:32" s="1156" customFormat="1" ht="15.75" hidden="1" customHeight="1">
      <c r="A176" s="336" t="str">
        <f>IF(B176&lt;&gt;"",IF(AND(B176='IN-TC'!$S$4,OR(TH!N176="1111",TH!O176="1111")),TH!D176,""),"")</f>
        <v/>
      </c>
      <c r="B176" s="63">
        <f t="shared" si="24"/>
        <v>6</v>
      </c>
      <c r="C176" s="865">
        <v>42536</v>
      </c>
      <c r="D176" s="865" t="s">
        <v>1680</v>
      </c>
      <c r="E176" s="865">
        <f t="shared" si="23"/>
        <v>42536</v>
      </c>
      <c r="F176" s="866" t="s">
        <v>1684</v>
      </c>
      <c r="G176" s="979" t="s">
        <v>1694</v>
      </c>
      <c r="H176" s="971" t="s">
        <v>1695</v>
      </c>
      <c r="I176" s="972">
        <v>690</v>
      </c>
      <c r="J176" s="974">
        <v>29.1</v>
      </c>
      <c r="K176" s="973">
        <f t="shared" si="25"/>
        <v>20079</v>
      </c>
      <c r="L176" s="972">
        <v>22300</v>
      </c>
      <c r="M176" s="867">
        <f t="shared" si="26"/>
        <v>447761700</v>
      </c>
      <c r="N176" s="873" t="s">
        <v>588</v>
      </c>
      <c r="O176" s="873" t="s">
        <v>298</v>
      </c>
      <c r="P176" s="84" t="str">
        <f>IF(AND('331-CT'!$E$7=TH!H176,OR(N176="331",O176="331")),"x","")</f>
        <v/>
      </c>
      <c r="Q176" s="84" t="str">
        <f>IF(AND(B176='111'!$L$11,OR($N176=$Q$7,$O176=$Q$7)),"x","")</f>
        <v/>
      </c>
      <c r="R176" s="84" t="str">
        <f>IF(AND($N176=$Q$7,$B176&lt;'111'!$L$11),"x","")</f>
        <v/>
      </c>
      <c r="S176" s="84" t="str">
        <f>IF(AND($O176=$Q$7,$B176&lt;'111'!$L$11),"x","")</f>
        <v/>
      </c>
      <c r="T176" s="84" t="str">
        <f>IF(ISERROR(FIND('112'!$M$9,G176,1)),"",IF((AND(FIND('112'!$M$9,G176,1)&gt;=1,B176='112'!$K$9,OR($N176='112'!$I$6,$O176='112'!$I$6))),"x",""))</f>
        <v/>
      </c>
      <c r="U176" s="84" t="str">
        <f>IF(ISERROR(FIND('112'!$M$9,G176,1)),"",IF((AND(LEFT(G176,2)=LEFT('112'!$M$9,2),B176&lt;'112'!$K$9,$N176='112'!$I$6)),"x",""))</f>
        <v/>
      </c>
      <c r="V176" s="84" t="str">
        <f>IF(ISERROR(FIND('112'!$M$9,G176,1)),"",IF((AND(RIGHT(G176,2)=RIGHT('112'!$M$9,2),B176&lt;'112'!$K$9,$O176='112'!$I$6)),"x",""))</f>
        <v/>
      </c>
      <c r="W176" s="84" t="str">
        <f>IF(AND('341-CT'!$H$9=H176,OR(LEFT(N176,3)=$W$7,LEFT(O176,3)=$W$7)),"x","")</f>
        <v/>
      </c>
      <c r="X176" s="84" t="str">
        <f>IF(OR(TH!N176=TH!$X$7,O176=TH!$X$7),"x","")</f>
        <v/>
      </c>
      <c r="Y176" s="84" t="str">
        <f>IF(AND(OR(N176="131",O176="131"),H176='131-CT'!$H$9),"x","")</f>
        <v/>
      </c>
      <c r="Z176" s="84"/>
      <c r="AA176" s="84" t="str">
        <f>IF(AND(MONTH(E176)='IN-NX'!$J$5,'IN-NX'!$D$7=D176),"x","")</f>
        <v/>
      </c>
      <c r="AB176" s="84" t="str">
        <f>IF(AND(OR(LEFT(TH!N176,2)="15",LEFT(TH!O176,2)="15"),LEFT(TH!O176,3)&lt;&gt;"111",'152-CT'!$J$8=TH!F176),"x","")</f>
        <v/>
      </c>
      <c r="AC176" s="84" t="str">
        <f>IF(AND(OR(LEFT(TH!N176,2)="15",LEFT(TH!O176,2)="15"),TK!$E$7=TH!F176),"x","")</f>
        <v/>
      </c>
      <c r="AD176" s="84" t="str">
        <f>IF(AND(N176="1521",MONTH(C176)='BK-NL'!$M$11),"x","")</f>
        <v/>
      </c>
      <c r="AE176" s="341"/>
      <c r="AF176" s="1182">
        <f>J176*L176</f>
        <v>648930</v>
      </c>
    </row>
    <row r="177" spans="1:32" s="1156" customFormat="1" ht="15.75" hidden="1" customHeight="1">
      <c r="A177" s="336" t="str">
        <f>IF(B177&lt;&gt;"",IF(AND(B177='IN-TC'!$S$4,OR(TH!N177="1111",TH!O177="1111")),TH!D177,""),"")</f>
        <v/>
      </c>
      <c r="B177" s="63">
        <f t="shared" si="24"/>
        <v>6</v>
      </c>
      <c r="C177" s="865">
        <v>42536</v>
      </c>
      <c r="D177" s="865" t="s">
        <v>1680</v>
      </c>
      <c r="E177" s="865">
        <f t="shared" si="23"/>
        <v>42536</v>
      </c>
      <c r="F177" s="866" t="s">
        <v>1685</v>
      </c>
      <c r="G177" s="979" t="s">
        <v>1694</v>
      </c>
      <c r="H177" s="971" t="s">
        <v>1695</v>
      </c>
      <c r="I177" s="972">
        <v>500</v>
      </c>
      <c r="J177" s="974">
        <v>29.6</v>
      </c>
      <c r="K177" s="973">
        <f t="shared" si="25"/>
        <v>14800</v>
      </c>
      <c r="L177" s="972">
        <v>22300</v>
      </c>
      <c r="M177" s="867">
        <f t="shared" si="26"/>
        <v>330040000</v>
      </c>
      <c r="N177" s="873" t="s">
        <v>588</v>
      </c>
      <c r="O177" s="873" t="s">
        <v>298</v>
      </c>
      <c r="P177" s="84" t="str">
        <f>IF(AND('331-CT'!$E$7=TH!H177,OR(N177="331",O177="331")),"x","")</f>
        <v/>
      </c>
      <c r="Q177" s="84" t="str">
        <f>IF(AND(B177='111'!$L$11,OR($N177=$Q$7,$O177=$Q$7)),"x","")</f>
        <v/>
      </c>
      <c r="R177" s="84" t="str">
        <f>IF(AND($N177=$Q$7,$B177&lt;'111'!$L$11),"x","")</f>
        <v/>
      </c>
      <c r="S177" s="84" t="str">
        <f>IF(AND($O177=$Q$7,$B177&lt;'111'!$L$11),"x","")</f>
        <v/>
      </c>
      <c r="T177" s="84" t="str">
        <f>IF(ISERROR(FIND('112'!$M$9,G177,1)),"",IF((AND(FIND('112'!$M$9,G177,1)&gt;=1,B177='112'!$K$9,OR($N177='112'!$I$6,$O177='112'!$I$6))),"x",""))</f>
        <v/>
      </c>
      <c r="U177" s="84" t="str">
        <f>IF(ISERROR(FIND('112'!$M$9,G177,1)),"",IF((AND(LEFT(G177,2)=LEFT('112'!$M$9,2),B177&lt;'112'!$K$9,$N177='112'!$I$6)),"x",""))</f>
        <v/>
      </c>
      <c r="V177" s="84" t="str">
        <f>IF(ISERROR(FIND('112'!$M$9,G177,1)),"",IF((AND(RIGHT(G177,2)=RIGHT('112'!$M$9,2),B177&lt;'112'!$K$9,$O177='112'!$I$6)),"x",""))</f>
        <v/>
      </c>
      <c r="W177" s="84" t="str">
        <f>IF(AND('341-CT'!$H$9=H177,OR(LEFT(N177,3)=$W$7,LEFT(O177,3)=$W$7)),"x","")</f>
        <v/>
      </c>
      <c r="X177" s="84" t="str">
        <f>IF(OR(TH!N177=TH!$X$7,O177=TH!$X$7),"x","")</f>
        <v/>
      </c>
      <c r="Y177" s="84" t="str">
        <f>IF(AND(OR(N177="131",O177="131"),H177='131-CT'!$H$9),"x","")</f>
        <v/>
      </c>
      <c r="Z177" s="84"/>
      <c r="AA177" s="84" t="str">
        <f>IF(AND(MONTH(E177)='IN-NX'!$J$5,'IN-NX'!$D$7=D177),"x","")</f>
        <v/>
      </c>
      <c r="AB177" s="84" t="str">
        <f>IF(AND(OR(LEFT(TH!N177,2)="15",LEFT(TH!O177,2)="15"),LEFT(TH!O177,3)&lt;&gt;"111",'152-CT'!$J$8=TH!F177),"x","")</f>
        <v/>
      </c>
      <c r="AC177" s="84" t="str">
        <f>IF(AND(OR(LEFT(TH!N177,2)="15",LEFT(TH!O177,2)="15"),TK!$E$7=TH!F177),"x","")</f>
        <v/>
      </c>
      <c r="AD177" s="84" t="str">
        <f>IF(AND(N177="1521",MONTH(C177)='BK-NL'!$M$11),"x","")</f>
        <v/>
      </c>
      <c r="AE177" s="341"/>
      <c r="AF177" s="1182"/>
    </row>
    <row r="178" spans="1:32" s="1156" customFormat="1" ht="15.75" hidden="1" customHeight="1">
      <c r="A178" s="336" t="str">
        <f>IF(B178&lt;&gt;"",IF(AND(B178='IN-TC'!$S$4,OR(TH!N178="1111",TH!O178="1111")),TH!D178,""),"")</f>
        <v/>
      </c>
      <c r="B178" s="63">
        <f t="shared" si="24"/>
        <v>6</v>
      </c>
      <c r="C178" s="865">
        <v>42536</v>
      </c>
      <c r="D178" s="865" t="s">
        <v>1680</v>
      </c>
      <c r="E178" s="865">
        <f t="shared" si="23"/>
        <v>42536</v>
      </c>
      <c r="F178" s="866" t="s">
        <v>1686</v>
      </c>
      <c r="G178" s="979" t="s">
        <v>1694</v>
      </c>
      <c r="H178" s="971" t="s">
        <v>1695</v>
      </c>
      <c r="I178" s="972">
        <v>560</v>
      </c>
      <c r="J178" s="974">
        <v>29.6</v>
      </c>
      <c r="K178" s="973">
        <f t="shared" si="25"/>
        <v>16576</v>
      </c>
      <c r="L178" s="972">
        <v>22300</v>
      </c>
      <c r="M178" s="867">
        <f t="shared" si="26"/>
        <v>369644800</v>
      </c>
      <c r="N178" s="873" t="s">
        <v>588</v>
      </c>
      <c r="O178" s="873" t="s">
        <v>298</v>
      </c>
      <c r="P178" s="84" t="str">
        <f>IF(AND('331-CT'!$E$7=TH!H178,OR(N178="331",O178="331")),"x","")</f>
        <v/>
      </c>
      <c r="Q178" s="84" t="str">
        <f>IF(AND(B178='111'!$L$11,OR($N178=$Q$7,$O178=$Q$7)),"x","")</f>
        <v/>
      </c>
      <c r="R178" s="84" t="str">
        <f>IF(AND($N178=$Q$7,$B178&lt;'111'!$L$11),"x","")</f>
        <v/>
      </c>
      <c r="S178" s="84" t="str">
        <f>IF(AND($O178=$Q$7,$B178&lt;'111'!$L$11),"x","")</f>
        <v/>
      </c>
      <c r="T178" s="84" t="str">
        <f>IF(ISERROR(FIND('112'!$M$9,G178,1)),"",IF((AND(FIND('112'!$M$9,G178,1)&gt;=1,B178='112'!$K$9,OR($N178='112'!$I$6,$O178='112'!$I$6))),"x",""))</f>
        <v/>
      </c>
      <c r="U178" s="84" t="str">
        <f>IF(ISERROR(FIND('112'!$M$9,G178,1)),"",IF((AND(LEFT(G178,2)=LEFT('112'!$M$9,2),B178&lt;'112'!$K$9,$N178='112'!$I$6)),"x",""))</f>
        <v/>
      </c>
      <c r="V178" s="84" t="str">
        <f>IF(ISERROR(FIND('112'!$M$9,G178,1)),"",IF((AND(RIGHT(G178,2)=RIGHT('112'!$M$9,2),B178&lt;'112'!$K$9,$O178='112'!$I$6)),"x",""))</f>
        <v/>
      </c>
      <c r="W178" s="84" t="str">
        <f>IF(AND('341-CT'!$H$9=H178,OR(LEFT(N178,3)=$W$7,LEFT(O178,3)=$W$7)),"x","")</f>
        <v/>
      </c>
      <c r="X178" s="84" t="str">
        <f>IF(OR(TH!N178=TH!$X$7,O178=TH!$X$7),"x","")</f>
        <v/>
      </c>
      <c r="Y178" s="84" t="str">
        <f>IF(AND(OR(N178="131",O178="131"),H178='131-CT'!$H$9),"x","")</f>
        <v/>
      </c>
      <c r="Z178" s="84"/>
      <c r="AA178" s="84" t="str">
        <f>IF(AND(MONTH(E178)='IN-NX'!$J$5,'IN-NX'!$D$7=D178),"x","")</f>
        <v/>
      </c>
      <c r="AB178" s="84" t="str">
        <f>IF(AND(OR(LEFT(TH!N178,2)="15",LEFT(TH!O178,2)="15"),LEFT(TH!O178,3)&lt;&gt;"111",'152-CT'!$J$8=TH!F178),"x","")</f>
        <v/>
      </c>
      <c r="AC178" s="84" t="str">
        <f>IF(AND(OR(LEFT(TH!N178,2)="15",LEFT(TH!O178,2)="15"),TK!$E$7=TH!F178),"x","")</f>
        <v/>
      </c>
      <c r="AD178" s="84" t="str">
        <f>IF(AND(N178="1521",MONTH(C178)='BK-NL'!$M$11),"x","")</f>
        <v/>
      </c>
      <c r="AE178" s="341"/>
      <c r="AF178" s="1182"/>
    </row>
    <row r="179" spans="1:32" s="1156" customFormat="1" ht="15.75" hidden="1" customHeight="1">
      <c r="A179" s="336" t="str">
        <f>IF(B179&lt;&gt;"",IF(AND(B179='IN-TC'!$S$4,OR(TH!N179="1111",TH!O179="1111")),TH!D179,""),"")</f>
        <v/>
      </c>
      <c r="B179" s="63">
        <f t="shared" si="24"/>
        <v>6</v>
      </c>
      <c r="C179" s="865">
        <v>42536</v>
      </c>
      <c r="D179" s="865" t="s">
        <v>1680</v>
      </c>
      <c r="E179" s="865">
        <f t="shared" si="23"/>
        <v>42536</v>
      </c>
      <c r="F179" s="866" t="s">
        <v>1687</v>
      </c>
      <c r="G179" s="979" t="s">
        <v>1694</v>
      </c>
      <c r="H179" s="971" t="s">
        <v>1695</v>
      </c>
      <c r="I179" s="972">
        <v>580</v>
      </c>
      <c r="J179" s="974">
        <v>28.3</v>
      </c>
      <c r="K179" s="973">
        <f t="shared" si="25"/>
        <v>16414</v>
      </c>
      <c r="L179" s="972">
        <v>22300</v>
      </c>
      <c r="M179" s="867">
        <f t="shared" si="26"/>
        <v>366032200</v>
      </c>
      <c r="N179" s="873" t="s">
        <v>588</v>
      </c>
      <c r="O179" s="873" t="s">
        <v>298</v>
      </c>
      <c r="P179" s="84" t="str">
        <f>IF(AND('331-CT'!$E$7=TH!H179,OR(N179="331",O179="331")),"x","")</f>
        <v/>
      </c>
      <c r="Q179" s="84" t="str">
        <f>IF(AND(B179='111'!$L$11,OR($N179=$Q$7,$O179=$Q$7)),"x","")</f>
        <v/>
      </c>
      <c r="R179" s="84" t="str">
        <f>IF(AND($N179=$Q$7,$B179&lt;'111'!$L$11),"x","")</f>
        <v/>
      </c>
      <c r="S179" s="84" t="str">
        <f>IF(AND($O179=$Q$7,$B179&lt;'111'!$L$11),"x","")</f>
        <v/>
      </c>
      <c r="T179" s="84" t="str">
        <f>IF(ISERROR(FIND('112'!$M$9,G179,1)),"",IF((AND(FIND('112'!$M$9,G179,1)&gt;=1,B179='112'!$K$9,OR($N179='112'!$I$6,$O179='112'!$I$6))),"x",""))</f>
        <v/>
      </c>
      <c r="U179" s="84" t="str">
        <f>IF(ISERROR(FIND('112'!$M$9,G179,1)),"",IF((AND(LEFT(G179,2)=LEFT('112'!$M$9,2),B179&lt;'112'!$K$9,$N179='112'!$I$6)),"x",""))</f>
        <v/>
      </c>
      <c r="V179" s="84" t="str">
        <f>IF(ISERROR(FIND('112'!$M$9,G179,1)),"",IF((AND(RIGHT(G179,2)=RIGHT('112'!$M$9,2),B179&lt;'112'!$K$9,$O179='112'!$I$6)),"x",""))</f>
        <v/>
      </c>
      <c r="W179" s="84" t="str">
        <f>IF(AND('341-CT'!$H$9=H179,OR(LEFT(N179,3)=$W$7,LEFT(O179,3)=$W$7)),"x","")</f>
        <v/>
      </c>
      <c r="X179" s="84" t="str">
        <f>IF(OR(TH!N179=TH!$X$7,O179=TH!$X$7),"x","")</f>
        <v/>
      </c>
      <c r="Y179" s="84" t="str">
        <f>IF(AND(OR(N179="131",O179="131"),H179='131-CT'!$H$9),"x","")</f>
        <v/>
      </c>
      <c r="Z179" s="84"/>
      <c r="AA179" s="84" t="str">
        <f>IF(AND(MONTH(E179)='IN-NX'!$J$5,'IN-NX'!$D$7=D179),"x","")</f>
        <v/>
      </c>
      <c r="AB179" s="84" t="str">
        <f>IF(AND(OR(LEFT(TH!N179,2)="15",LEFT(TH!O179,2)="15"),LEFT(TH!O179,3)&lt;&gt;"111",'152-CT'!$J$8=TH!F179),"x","")</f>
        <v/>
      </c>
      <c r="AC179" s="84" t="str">
        <f>IF(AND(OR(LEFT(TH!N179,2)="15",LEFT(TH!O179,2)="15"),TK!$E$7=TH!F179),"x","")</f>
        <v/>
      </c>
      <c r="AD179" s="84" t="str">
        <f>IF(AND(N179="1521",MONTH(C179)='BK-NL'!$M$11),"x","")</f>
        <v/>
      </c>
      <c r="AE179" s="341"/>
      <c r="AF179" s="1182"/>
    </row>
    <row r="180" spans="1:32" s="1156" customFormat="1" ht="15.75" hidden="1" customHeight="1">
      <c r="A180" s="336" t="str">
        <f>IF(B180&lt;&gt;"",IF(AND(B180='IN-TC'!$S$4,OR(TH!N180="1111",TH!O180="1111")),TH!D180,""),"")</f>
        <v/>
      </c>
      <c r="B180" s="63">
        <f t="shared" si="24"/>
        <v>6</v>
      </c>
      <c r="C180" s="865">
        <v>42536</v>
      </c>
      <c r="D180" s="865" t="s">
        <v>1680</v>
      </c>
      <c r="E180" s="865">
        <f t="shared" si="23"/>
        <v>42536</v>
      </c>
      <c r="F180" s="866" t="s">
        <v>1688</v>
      </c>
      <c r="G180" s="979" t="s">
        <v>1694</v>
      </c>
      <c r="H180" s="971" t="s">
        <v>1695</v>
      </c>
      <c r="I180" s="972">
        <v>870</v>
      </c>
      <c r="J180" s="974">
        <v>24.7</v>
      </c>
      <c r="K180" s="973">
        <f t="shared" si="25"/>
        <v>21489</v>
      </c>
      <c r="L180" s="972">
        <v>22300</v>
      </c>
      <c r="M180" s="867">
        <f t="shared" si="26"/>
        <v>479204700</v>
      </c>
      <c r="N180" s="873" t="s">
        <v>588</v>
      </c>
      <c r="O180" s="873" t="s">
        <v>298</v>
      </c>
      <c r="P180" s="84" t="str">
        <f>IF(AND('331-CT'!$E$7=TH!H180,OR(N180="331",O180="331")),"x","")</f>
        <v/>
      </c>
      <c r="Q180" s="84" t="str">
        <f>IF(AND(B180='111'!$L$11,OR($N180=$Q$7,$O180=$Q$7)),"x","")</f>
        <v/>
      </c>
      <c r="R180" s="84" t="str">
        <f>IF(AND($N180=$Q$7,$B180&lt;'111'!$L$11),"x","")</f>
        <v/>
      </c>
      <c r="S180" s="84" t="str">
        <f>IF(AND($O180=$Q$7,$B180&lt;'111'!$L$11),"x","")</f>
        <v/>
      </c>
      <c r="T180" s="84" t="str">
        <f>IF(ISERROR(FIND('112'!$M$9,G180,1)),"",IF((AND(FIND('112'!$M$9,G180,1)&gt;=1,B180='112'!$K$9,OR($N180='112'!$I$6,$O180='112'!$I$6))),"x",""))</f>
        <v/>
      </c>
      <c r="U180" s="84" t="str">
        <f>IF(ISERROR(FIND('112'!$M$9,G180,1)),"",IF((AND(LEFT(G180,2)=LEFT('112'!$M$9,2),B180&lt;'112'!$K$9,$N180='112'!$I$6)),"x",""))</f>
        <v/>
      </c>
      <c r="V180" s="84" t="str">
        <f>IF(ISERROR(FIND('112'!$M$9,G180,1)),"",IF((AND(RIGHT(G180,2)=RIGHT('112'!$M$9,2),B180&lt;'112'!$K$9,$O180='112'!$I$6)),"x",""))</f>
        <v/>
      </c>
      <c r="W180" s="84" t="str">
        <f>IF(AND('341-CT'!$H$9=H180,OR(LEFT(N180,3)=$W$7,LEFT(O180,3)=$W$7)),"x","")</f>
        <v/>
      </c>
      <c r="X180" s="84" t="str">
        <f>IF(OR(TH!N180=TH!$X$7,O180=TH!$X$7),"x","")</f>
        <v/>
      </c>
      <c r="Y180" s="84" t="str">
        <f>IF(AND(OR(N180="131",O180="131"),H180='131-CT'!$H$9),"x","")</f>
        <v/>
      </c>
      <c r="Z180" s="84"/>
      <c r="AA180" s="84" t="str">
        <f>IF(AND(MONTH(E180)='IN-NX'!$J$5,'IN-NX'!$D$7=D180),"x","")</f>
        <v/>
      </c>
      <c r="AB180" s="84" t="str">
        <f>IF(AND(OR(LEFT(TH!N180,2)="15",LEFT(TH!O180,2)="15"),LEFT(TH!O180,3)&lt;&gt;"111",'152-CT'!$J$8=TH!F180),"x","")</f>
        <v/>
      </c>
      <c r="AC180" s="84" t="str">
        <f>IF(AND(OR(LEFT(TH!N180,2)="15",LEFT(TH!O180,2)="15"),TK!$E$7=TH!F180),"x","")</f>
        <v/>
      </c>
      <c r="AD180" s="84" t="str">
        <f>IF(AND(N180="1521",MONTH(C180)='BK-NL'!$M$11),"x","")</f>
        <v/>
      </c>
      <c r="AE180" s="341"/>
      <c r="AF180" s="1182"/>
    </row>
    <row r="181" spans="1:32" s="1156" customFormat="1" ht="15.75" hidden="1" customHeight="1">
      <c r="A181" s="336" t="str">
        <f>IF(B181&lt;&gt;"",IF(AND(B181='IN-TC'!$S$4,OR(TH!N181="1111",TH!O181="1111")),TH!D181,""),"")</f>
        <v/>
      </c>
      <c r="B181" s="63">
        <f t="shared" si="24"/>
        <v>6</v>
      </c>
      <c r="C181" s="865">
        <v>42536</v>
      </c>
      <c r="D181" s="865" t="s">
        <v>1680</v>
      </c>
      <c r="E181" s="865">
        <f t="shared" si="23"/>
        <v>42536</v>
      </c>
      <c r="F181" s="866" t="s">
        <v>1689</v>
      </c>
      <c r="G181" s="979" t="s">
        <v>1694</v>
      </c>
      <c r="H181" s="971" t="s">
        <v>1695</v>
      </c>
      <c r="I181" s="972">
        <v>130</v>
      </c>
      <c r="J181" s="974">
        <v>26.1</v>
      </c>
      <c r="K181" s="973">
        <f t="shared" si="25"/>
        <v>3393</v>
      </c>
      <c r="L181" s="972">
        <v>22300</v>
      </c>
      <c r="M181" s="867">
        <f t="shared" si="26"/>
        <v>75663900</v>
      </c>
      <c r="N181" s="873" t="s">
        <v>588</v>
      </c>
      <c r="O181" s="873" t="s">
        <v>298</v>
      </c>
      <c r="P181" s="84" t="str">
        <f>IF(AND('331-CT'!$E$7=TH!H181,OR(N181="331",O181="331")),"x","")</f>
        <v/>
      </c>
      <c r="Q181" s="84" t="str">
        <f>IF(AND(B181='111'!$L$11,OR($N181=$Q$7,$O181=$Q$7)),"x","")</f>
        <v/>
      </c>
      <c r="R181" s="84" t="str">
        <f>IF(AND($N181=$Q$7,$B181&lt;'111'!$L$11),"x","")</f>
        <v/>
      </c>
      <c r="S181" s="84" t="str">
        <f>IF(AND($O181=$Q$7,$B181&lt;'111'!$L$11),"x","")</f>
        <v/>
      </c>
      <c r="T181" s="84" t="str">
        <f>IF(ISERROR(FIND('112'!$M$9,G181,1)),"",IF((AND(FIND('112'!$M$9,G181,1)&gt;=1,B181='112'!$K$9,OR($N181='112'!$I$6,$O181='112'!$I$6))),"x",""))</f>
        <v/>
      </c>
      <c r="U181" s="84" t="str">
        <f>IF(ISERROR(FIND('112'!$M$9,G181,1)),"",IF((AND(LEFT(G181,2)=LEFT('112'!$M$9,2),B181&lt;'112'!$K$9,$N181='112'!$I$6)),"x",""))</f>
        <v/>
      </c>
      <c r="V181" s="84" t="str">
        <f>IF(ISERROR(FIND('112'!$M$9,G181,1)),"",IF((AND(RIGHT(G181,2)=RIGHT('112'!$M$9,2),B181&lt;'112'!$K$9,$O181='112'!$I$6)),"x",""))</f>
        <v/>
      </c>
      <c r="W181" s="84" t="str">
        <f>IF(AND('341-CT'!$H$9=H181,OR(LEFT(N181,3)=$W$7,LEFT(O181,3)=$W$7)),"x","")</f>
        <v/>
      </c>
      <c r="X181" s="84" t="str">
        <f>IF(OR(TH!N181=TH!$X$7,O181=TH!$X$7),"x","")</f>
        <v/>
      </c>
      <c r="Y181" s="84" t="str">
        <f>IF(AND(OR(N181="131",O181="131"),H181='131-CT'!$H$9),"x","")</f>
        <v/>
      </c>
      <c r="Z181" s="84"/>
      <c r="AA181" s="84" t="str">
        <f>IF(AND(MONTH(E181)='IN-NX'!$J$5,'IN-NX'!$D$7=D181),"x","")</f>
        <v/>
      </c>
      <c r="AB181" s="84" t="str">
        <f>IF(AND(OR(LEFT(TH!N181,2)="15",LEFT(TH!O181,2)="15"),LEFT(TH!O181,3)&lt;&gt;"111",'152-CT'!$J$8=TH!F181),"x","")</f>
        <v/>
      </c>
      <c r="AC181" s="84" t="str">
        <f>IF(AND(OR(LEFT(TH!N181,2)="15",LEFT(TH!O181,2)="15"),TK!$E$7=TH!F181),"x","")</f>
        <v/>
      </c>
      <c r="AD181" s="84" t="str">
        <f>IF(AND(N181="1521",MONTH(C181)='BK-NL'!$M$11),"x","")</f>
        <v/>
      </c>
      <c r="AE181" s="341"/>
      <c r="AF181" s="1182"/>
    </row>
    <row r="182" spans="1:32" s="1156" customFormat="1" ht="15.75" hidden="1" customHeight="1">
      <c r="A182" s="336" t="str">
        <f>IF(B182&lt;&gt;"",IF(AND(B182='IN-TC'!$S$4,OR(TH!N182="1111",TH!O182="1111")),TH!D182,""),"")</f>
        <v/>
      </c>
      <c r="B182" s="63">
        <f t="shared" si="24"/>
        <v>6</v>
      </c>
      <c r="C182" s="865">
        <v>42536</v>
      </c>
      <c r="D182" s="865" t="s">
        <v>1680</v>
      </c>
      <c r="E182" s="865">
        <f t="shared" si="23"/>
        <v>42536</v>
      </c>
      <c r="F182" s="866" t="s">
        <v>1690</v>
      </c>
      <c r="G182" s="979" t="s">
        <v>1694</v>
      </c>
      <c r="H182" s="971" t="s">
        <v>1695</v>
      </c>
      <c r="I182" s="972">
        <v>250</v>
      </c>
      <c r="J182" s="974">
        <v>26.7</v>
      </c>
      <c r="K182" s="973">
        <f t="shared" si="25"/>
        <v>6675</v>
      </c>
      <c r="L182" s="972">
        <v>22300</v>
      </c>
      <c r="M182" s="867">
        <f t="shared" si="26"/>
        <v>148852500</v>
      </c>
      <c r="N182" s="873" t="s">
        <v>588</v>
      </c>
      <c r="O182" s="873" t="s">
        <v>298</v>
      </c>
      <c r="P182" s="84" t="str">
        <f>IF(AND('331-CT'!$E$7=TH!H182,OR(N182="331",O182="331")),"x","")</f>
        <v/>
      </c>
      <c r="Q182" s="84" t="str">
        <f>IF(AND(B182='111'!$L$11,OR($N182=$Q$7,$O182=$Q$7)),"x","")</f>
        <v/>
      </c>
      <c r="R182" s="84" t="str">
        <f>IF(AND($N182=$Q$7,$B182&lt;'111'!$L$11),"x","")</f>
        <v/>
      </c>
      <c r="S182" s="84" t="str">
        <f>IF(AND($O182=$Q$7,$B182&lt;'111'!$L$11),"x","")</f>
        <v/>
      </c>
      <c r="T182" s="84" t="str">
        <f>IF(ISERROR(FIND('112'!$M$9,G182,1)),"",IF((AND(FIND('112'!$M$9,G182,1)&gt;=1,B182='112'!$K$9,OR($N182='112'!$I$6,$O182='112'!$I$6))),"x",""))</f>
        <v/>
      </c>
      <c r="U182" s="84" t="str">
        <f>IF(ISERROR(FIND('112'!$M$9,G182,1)),"",IF((AND(LEFT(G182,2)=LEFT('112'!$M$9,2),B182&lt;'112'!$K$9,$N182='112'!$I$6)),"x",""))</f>
        <v/>
      </c>
      <c r="V182" s="84" t="str">
        <f>IF(ISERROR(FIND('112'!$M$9,G182,1)),"",IF((AND(RIGHT(G182,2)=RIGHT('112'!$M$9,2),B182&lt;'112'!$K$9,$O182='112'!$I$6)),"x",""))</f>
        <v/>
      </c>
      <c r="W182" s="84" t="str">
        <f>IF(AND('341-CT'!$H$9=H182,OR(LEFT(N182,3)=$W$7,LEFT(O182,3)=$W$7)),"x","")</f>
        <v/>
      </c>
      <c r="X182" s="84" t="str">
        <f>IF(OR(TH!N182=TH!$X$7,O182=TH!$X$7),"x","")</f>
        <v/>
      </c>
      <c r="Y182" s="84" t="str">
        <f>IF(AND(OR(N182="131",O182="131"),H182='131-CT'!$H$9),"x","")</f>
        <v/>
      </c>
      <c r="Z182" s="84"/>
      <c r="AA182" s="84" t="str">
        <f>IF(AND(MONTH(E182)='IN-NX'!$J$5,'IN-NX'!$D$7=D182),"x","")</f>
        <v/>
      </c>
      <c r="AB182" s="84" t="str">
        <f>IF(AND(OR(LEFT(TH!N182,2)="15",LEFT(TH!O182,2)="15"),LEFT(TH!O182,3)&lt;&gt;"111",'152-CT'!$J$8=TH!F182),"x","")</f>
        <v/>
      </c>
      <c r="AC182" s="84" t="str">
        <f>IF(AND(OR(LEFT(TH!N182,2)="15",LEFT(TH!O182,2)="15"),TK!$E$7=TH!F182),"x","")</f>
        <v/>
      </c>
      <c r="AD182" s="84" t="str">
        <f>IF(AND(N182="1521",MONTH(C182)='BK-NL'!$M$11),"x","")</f>
        <v/>
      </c>
      <c r="AE182" s="341"/>
      <c r="AF182" s="1182"/>
    </row>
    <row r="183" spans="1:32" s="1156" customFormat="1" ht="15.75" hidden="1" customHeight="1">
      <c r="A183" s="336" t="str">
        <f>IF(B183&lt;&gt;"",IF(AND(B183='IN-TC'!$S$4,OR(TH!N183="1111",TH!O183="1111")),TH!D183,""),"")</f>
        <v/>
      </c>
      <c r="B183" s="63">
        <f t="shared" si="24"/>
        <v>6</v>
      </c>
      <c r="C183" s="865">
        <v>42536</v>
      </c>
      <c r="D183" s="865" t="s">
        <v>1680</v>
      </c>
      <c r="E183" s="865">
        <f t="shared" si="23"/>
        <v>42536</v>
      </c>
      <c r="F183" s="866" t="s">
        <v>1691</v>
      </c>
      <c r="G183" s="979" t="s">
        <v>1694</v>
      </c>
      <c r="H183" s="971" t="s">
        <v>1695</v>
      </c>
      <c r="I183" s="972">
        <v>660</v>
      </c>
      <c r="J183" s="974">
        <v>25.3</v>
      </c>
      <c r="K183" s="973">
        <f t="shared" si="25"/>
        <v>16698</v>
      </c>
      <c r="L183" s="972">
        <v>22300</v>
      </c>
      <c r="M183" s="867">
        <f t="shared" si="26"/>
        <v>372365400</v>
      </c>
      <c r="N183" s="873" t="s">
        <v>588</v>
      </c>
      <c r="O183" s="873" t="s">
        <v>298</v>
      </c>
      <c r="P183" s="84" t="str">
        <f>IF(AND('331-CT'!$E$7=TH!H183,OR(N183="331",O183="331")),"x","")</f>
        <v/>
      </c>
      <c r="Q183" s="84" t="str">
        <f>IF(AND(B183='111'!$L$11,OR($N183=$Q$7,$O183=$Q$7)),"x","")</f>
        <v/>
      </c>
      <c r="R183" s="84" t="str">
        <f>IF(AND($N183=$Q$7,$B183&lt;'111'!$L$11),"x","")</f>
        <v/>
      </c>
      <c r="S183" s="84" t="str">
        <f>IF(AND($O183=$Q$7,$B183&lt;'111'!$L$11),"x","")</f>
        <v/>
      </c>
      <c r="T183" s="84" t="str">
        <f>IF(ISERROR(FIND('112'!$M$9,G183,1)),"",IF((AND(FIND('112'!$M$9,G183,1)&gt;=1,B183='112'!$K$9,OR($N183='112'!$I$6,$O183='112'!$I$6))),"x",""))</f>
        <v/>
      </c>
      <c r="U183" s="84" t="str">
        <f>IF(ISERROR(FIND('112'!$M$9,G183,1)),"",IF((AND(LEFT(G183,2)=LEFT('112'!$M$9,2),B183&lt;'112'!$K$9,$N183='112'!$I$6)),"x",""))</f>
        <v/>
      </c>
      <c r="V183" s="84" t="str">
        <f>IF(ISERROR(FIND('112'!$M$9,G183,1)),"",IF((AND(RIGHT(G183,2)=RIGHT('112'!$M$9,2),B183&lt;'112'!$K$9,$O183='112'!$I$6)),"x",""))</f>
        <v/>
      </c>
      <c r="W183" s="84" t="str">
        <f>IF(AND('341-CT'!$H$9=H183,OR(LEFT(N183,3)=$W$7,LEFT(O183,3)=$W$7)),"x","")</f>
        <v/>
      </c>
      <c r="X183" s="84" t="str">
        <f>IF(OR(TH!N183=TH!$X$7,O183=TH!$X$7),"x","")</f>
        <v/>
      </c>
      <c r="Y183" s="84" t="str">
        <f>IF(AND(OR(N183="131",O183="131"),H183='131-CT'!$H$9),"x","")</f>
        <v/>
      </c>
      <c r="Z183" s="84"/>
      <c r="AA183" s="84" t="str">
        <f>IF(AND(MONTH(E183)='IN-NX'!$J$5,'IN-NX'!$D$7=D183),"x","")</f>
        <v/>
      </c>
      <c r="AB183" s="84" t="str">
        <f>IF(AND(OR(LEFT(TH!N183,2)="15",LEFT(TH!O183,2)="15"),LEFT(TH!O183,3)&lt;&gt;"111",'152-CT'!$J$8=TH!F183),"x","")</f>
        <v/>
      </c>
      <c r="AC183" s="84" t="str">
        <f>IF(AND(OR(LEFT(TH!N183,2)="15",LEFT(TH!O183,2)="15"),TK!$E$7=TH!F183),"x","")</f>
        <v/>
      </c>
      <c r="AD183" s="84" t="str">
        <f>IF(AND(N183="1521",MONTH(C183)='BK-NL'!$M$11),"x","")</f>
        <v/>
      </c>
      <c r="AE183" s="341"/>
      <c r="AF183" s="1182"/>
    </row>
    <row r="184" spans="1:32" s="1156" customFormat="1" ht="15.75" hidden="1" customHeight="1">
      <c r="A184" s="336" t="str">
        <f>IF(B184&lt;&gt;"",IF(AND(B184='IN-TC'!$S$4,OR(TH!N184="1111",TH!O184="1111")),TH!D184,""),"")</f>
        <v/>
      </c>
      <c r="B184" s="63">
        <f t="shared" si="24"/>
        <v>6</v>
      </c>
      <c r="C184" s="865">
        <v>42536</v>
      </c>
      <c r="D184" s="865" t="s">
        <v>1680</v>
      </c>
      <c r="E184" s="865">
        <f t="shared" si="23"/>
        <v>42536</v>
      </c>
      <c r="F184" s="866" t="s">
        <v>1692</v>
      </c>
      <c r="G184" s="979" t="s">
        <v>1694</v>
      </c>
      <c r="H184" s="971" t="s">
        <v>1695</v>
      </c>
      <c r="I184" s="972">
        <v>320</v>
      </c>
      <c r="J184" s="974">
        <v>21.8</v>
      </c>
      <c r="K184" s="973">
        <f t="shared" si="25"/>
        <v>6976</v>
      </c>
      <c r="L184" s="972">
        <v>22300</v>
      </c>
      <c r="M184" s="867">
        <f t="shared" si="26"/>
        <v>155564800</v>
      </c>
      <c r="N184" s="873" t="s">
        <v>588</v>
      </c>
      <c r="O184" s="873" t="s">
        <v>298</v>
      </c>
      <c r="P184" s="84" t="str">
        <f>IF(AND('331-CT'!$E$7=TH!H184,OR(N184="331",O184="331")),"x","")</f>
        <v/>
      </c>
      <c r="Q184" s="84" t="str">
        <f>IF(AND(B184='111'!$L$11,OR($N184=$Q$7,$O184=$Q$7)),"x","")</f>
        <v/>
      </c>
      <c r="R184" s="84" t="str">
        <f>IF(AND($N184=$Q$7,$B184&lt;'111'!$L$11),"x","")</f>
        <v/>
      </c>
      <c r="S184" s="84" t="str">
        <f>IF(AND($O184=$Q$7,$B184&lt;'111'!$L$11),"x","")</f>
        <v/>
      </c>
      <c r="T184" s="84" t="str">
        <f>IF(ISERROR(FIND('112'!$M$9,G184,1)),"",IF((AND(FIND('112'!$M$9,G184,1)&gt;=1,B184='112'!$K$9,OR($N184='112'!$I$6,$O184='112'!$I$6))),"x",""))</f>
        <v/>
      </c>
      <c r="U184" s="84" t="str">
        <f>IF(ISERROR(FIND('112'!$M$9,G184,1)),"",IF((AND(LEFT(G184,2)=LEFT('112'!$M$9,2),B184&lt;'112'!$K$9,$N184='112'!$I$6)),"x",""))</f>
        <v/>
      </c>
      <c r="V184" s="84" t="str">
        <f>IF(ISERROR(FIND('112'!$M$9,G184,1)),"",IF((AND(RIGHT(G184,2)=RIGHT('112'!$M$9,2),B184&lt;'112'!$K$9,$O184='112'!$I$6)),"x",""))</f>
        <v/>
      </c>
      <c r="W184" s="84" t="str">
        <f>IF(AND('341-CT'!$H$9=H184,OR(LEFT(N184,3)=$W$7,LEFT(O184,3)=$W$7)),"x","")</f>
        <v/>
      </c>
      <c r="X184" s="84" t="str">
        <f>IF(OR(TH!N184=TH!$X$7,O184=TH!$X$7),"x","")</f>
        <v/>
      </c>
      <c r="Y184" s="84" t="str">
        <f>IF(AND(OR(N184="131",O184="131"),H184='131-CT'!$H$9),"x","")</f>
        <v/>
      </c>
      <c r="Z184" s="84"/>
      <c r="AA184" s="84" t="str">
        <f>IF(AND(MONTH(E184)='IN-NX'!$J$5,'IN-NX'!$D$7=D184),"x","")</f>
        <v/>
      </c>
      <c r="AB184" s="84" t="str">
        <f>IF(AND(OR(LEFT(TH!N184,2)="15",LEFT(TH!O184,2)="15"),LEFT(TH!O184,3)&lt;&gt;"111",'152-CT'!$J$8=TH!F184),"x","")</f>
        <v/>
      </c>
      <c r="AC184" s="84" t="str">
        <f>IF(AND(OR(LEFT(TH!N184,2)="15",LEFT(TH!O184,2)="15"),TK!$E$7=TH!F184),"x","")</f>
        <v/>
      </c>
      <c r="AD184" s="84" t="str">
        <f>IF(AND(N184="1521",MONTH(C184)='BK-NL'!$M$11),"x","")</f>
        <v/>
      </c>
      <c r="AE184" s="341"/>
      <c r="AF184" s="1182"/>
    </row>
    <row r="185" spans="1:32" s="1156" customFormat="1" ht="15.75" hidden="1" customHeight="1">
      <c r="A185" s="336" t="str">
        <f>IF(B185&lt;&gt;"",IF(AND(B185='IN-TC'!$S$4,OR(TH!N185="1111",TH!O185="1111")),TH!D185,""),"")</f>
        <v/>
      </c>
      <c r="B185" s="63">
        <f t="shared" ref="B185:B212" si="27">IF(C185&lt;&gt;"",MONTH(C185),"")</f>
        <v>6</v>
      </c>
      <c r="C185" s="865">
        <v>42536</v>
      </c>
      <c r="D185" s="865" t="s">
        <v>1680</v>
      </c>
      <c r="E185" s="865">
        <f t="shared" si="23"/>
        <v>42536</v>
      </c>
      <c r="F185" s="866" t="s">
        <v>1693</v>
      </c>
      <c r="G185" s="979" t="s">
        <v>1694</v>
      </c>
      <c r="H185" s="971" t="s">
        <v>1695</v>
      </c>
      <c r="I185" s="972">
        <v>2000</v>
      </c>
      <c r="J185" s="974">
        <v>25.9</v>
      </c>
      <c r="K185" s="973">
        <f>I185*J185</f>
        <v>51800</v>
      </c>
      <c r="L185" s="972">
        <v>22300</v>
      </c>
      <c r="M185" s="867">
        <f>ROUND(K185*L185,0)</f>
        <v>1155140000</v>
      </c>
      <c r="N185" s="873" t="s">
        <v>588</v>
      </c>
      <c r="O185" s="873" t="s">
        <v>298</v>
      </c>
      <c r="P185" s="84" t="str">
        <f>IF(AND('331-CT'!$E$7=TH!H185,OR(N185="331",O185="331")),"x","")</f>
        <v/>
      </c>
      <c r="Q185" s="84" t="str">
        <f>IF(AND(B185='111'!$L$11,OR($N185=$Q$7,$O185=$Q$7)),"x","")</f>
        <v/>
      </c>
      <c r="R185" s="84" t="str">
        <f>IF(AND($N185=$Q$7,$B185&lt;'111'!$L$11),"x","")</f>
        <v/>
      </c>
      <c r="S185" s="84" t="str">
        <f>IF(AND($O185=$Q$7,$B185&lt;'111'!$L$11),"x","")</f>
        <v/>
      </c>
      <c r="T185" s="84" t="str">
        <f>IF(ISERROR(FIND('112'!$M$9,G185,1)),"",IF((AND(FIND('112'!$M$9,G185,1)&gt;=1,B185='112'!$K$9,OR($N185='112'!$I$6,$O185='112'!$I$6))),"x",""))</f>
        <v/>
      </c>
      <c r="U185" s="84" t="str">
        <f>IF(ISERROR(FIND('112'!$M$9,G185,1)),"",IF((AND(LEFT(G185,2)=LEFT('112'!$M$9,2),B185&lt;'112'!$K$9,$N185='112'!$I$6)),"x",""))</f>
        <v/>
      </c>
      <c r="V185" s="84" t="str">
        <f>IF(ISERROR(FIND('112'!$M$9,G185,1)),"",IF((AND(RIGHT(G185,2)=RIGHT('112'!$M$9,2),B185&lt;'112'!$K$9,$O185='112'!$I$6)),"x",""))</f>
        <v/>
      </c>
      <c r="W185" s="84" t="str">
        <f>IF(AND('341-CT'!$H$9=H185,OR(LEFT(N185,3)=$W$7,LEFT(O185,3)=$W$7)),"x","")</f>
        <v/>
      </c>
      <c r="X185" s="84" t="str">
        <f>IF(OR(TH!N185=TH!$X$7,O185=TH!$X$7),"x","")</f>
        <v/>
      </c>
      <c r="Y185" s="84" t="str">
        <f>IF(AND(OR(N185="131",O185="131"),H185='131-CT'!$H$9),"x","")</f>
        <v/>
      </c>
      <c r="Z185" s="84"/>
      <c r="AA185" s="84" t="str">
        <f>IF(AND(MONTH(E185)='IN-NX'!$J$5,'IN-NX'!$D$7=D185),"x","")</f>
        <v/>
      </c>
      <c r="AB185" s="84" t="str">
        <f>IF(AND(OR(LEFT(TH!N185,2)="15",LEFT(TH!O185,2)="15"),LEFT(TH!O185,3)&lt;&gt;"111",'152-CT'!$J$8=TH!F185),"x","")</f>
        <v/>
      </c>
      <c r="AC185" s="84" t="str">
        <f>IF(AND(OR(LEFT(TH!N185,2)="15",LEFT(TH!O185,2)="15"),TK!$E$7=TH!F185),"x","")</f>
        <v/>
      </c>
      <c r="AD185" s="84" t="str">
        <f>IF(AND(N185="1521",MONTH(C185)='BK-NL'!$M$11),"x","")</f>
        <v/>
      </c>
      <c r="AE185" s="341"/>
      <c r="AF185" s="1182"/>
    </row>
    <row r="186" spans="1:32" ht="15.75" hidden="1" customHeight="1">
      <c r="A186" s="336" t="str">
        <f>IF(B186&lt;&gt;"",IF(AND(B186='IN-TC'!$S$4,OR(TH!N186="1111",TH!O186="1111")),TH!D186,""),"")</f>
        <v/>
      </c>
      <c r="B186" s="63">
        <f t="shared" si="27"/>
        <v>7</v>
      </c>
      <c r="C186" s="865">
        <v>42557</v>
      </c>
      <c r="D186" s="865" t="s">
        <v>596</v>
      </c>
      <c r="E186" s="865">
        <f t="shared" si="23"/>
        <v>42557</v>
      </c>
      <c r="F186" s="866" t="s">
        <v>453</v>
      </c>
      <c r="G186" s="979" t="s">
        <v>1796</v>
      </c>
      <c r="H186" s="971" t="s">
        <v>598</v>
      </c>
      <c r="I186" s="972">
        <v>4800</v>
      </c>
      <c r="J186" s="974">
        <v>8.6999999999999993</v>
      </c>
      <c r="K186" s="973">
        <f>I186*J186</f>
        <v>41760</v>
      </c>
      <c r="L186" s="972">
        <v>22270</v>
      </c>
      <c r="M186" s="867">
        <f>ROUND(K186*L186,0)</f>
        <v>929995200</v>
      </c>
      <c r="N186" s="873" t="s">
        <v>588</v>
      </c>
      <c r="O186" s="873" t="s">
        <v>298</v>
      </c>
      <c r="P186" s="84" t="str">
        <f>IF(AND('331-CT'!$E$7=TH!H186,OR(N186="331",O186="331")),"x","")</f>
        <v/>
      </c>
      <c r="Q186" s="84" t="str">
        <f>IF(AND(B186='111'!$L$11,OR($N186=$Q$7,$O186=$Q$7)),"x","")</f>
        <v/>
      </c>
      <c r="R186" s="84" t="str">
        <f>IF(AND($N186=$Q$7,$B186&lt;'111'!$L$11),"x","")</f>
        <v/>
      </c>
      <c r="S186" s="84" t="str">
        <f>IF(AND($O186=$Q$7,$B186&lt;'111'!$L$11),"x","")</f>
        <v/>
      </c>
      <c r="T186" s="84" t="str">
        <f>IF(ISERROR(FIND('112'!$M$9,G186,1)),"",IF((AND(FIND('112'!$M$9,G186,1)&gt;=1,B186='112'!$K$9,OR($N186='112'!$I$6,$O186='112'!$I$6))),"x",""))</f>
        <v/>
      </c>
      <c r="U186" s="84" t="str">
        <f>IF(ISERROR(FIND('112'!$M$9,G186,1)),"",IF((AND(LEFT(G186,2)=LEFT('112'!$M$9,2),B186&lt;'112'!$K$9,$N186='112'!$I$6)),"x",""))</f>
        <v/>
      </c>
      <c r="V186" s="84" t="str">
        <f>IF(ISERROR(FIND('112'!$M$9,G186,1)),"",IF((AND(RIGHT(G186,2)=RIGHT('112'!$M$9,2),B186&lt;'112'!$K$9,$O186='112'!$I$6)),"x",""))</f>
        <v/>
      </c>
      <c r="W186" s="84" t="str">
        <f>IF(AND('341-CT'!$H$9=H186,OR(LEFT(N186,3)=$W$7,LEFT(O186,3)=$W$7)),"x","")</f>
        <v/>
      </c>
      <c r="X186" s="84" t="str">
        <f>IF(OR(TH!N186=TH!$X$7,O186=TH!$X$7),"x","")</f>
        <v/>
      </c>
      <c r="Y186" s="84" t="str">
        <f>IF(AND(OR(N186="131",O186="131"),H186='131-CT'!$H$9),"x","")</f>
        <v/>
      </c>
      <c r="Z186" s="84"/>
      <c r="AA186" s="84" t="str">
        <f>IF(AND(MONTH(E186)='IN-NX'!$J$5,'IN-NX'!$D$7=D186),"x","")</f>
        <v/>
      </c>
      <c r="AB186" s="84" t="str">
        <f>IF(AND(OR(LEFT(TH!N186,2)="15",LEFT(TH!O186,2)="15"),LEFT(TH!O186,3)&lt;&gt;"111",'152-CT'!$J$8=TH!F186),"x","")</f>
        <v/>
      </c>
      <c r="AC186" s="84" t="str">
        <f>IF(AND(OR(LEFT(TH!N186,2)="15",LEFT(TH!O186,2)="15"),TK!$E$7=TH!F186),"x","")</f>
        <v/>
      </c>
      <c r="AD186" s="84" t="str">
        <f>IF(AND(N186="1521",MONTH(C186)='BK-NL'!$M$11),"x","")</f>
        <v/>
      </c>
      <c r="AE186" s="341"/>
      <c r="AF186" s="1167"/>
    </row>
    <row r="187" spans="1:32" ht="15.75" hidden="1" customHeight="1">
      <c r="A187" s="336" t="str">
        <f>IF(B187&lt;&gt;"",IF(AND(B187='IN-TC'!$S$4,OR(TH!N187="1111",TH!O187="1111")),TH!D187,""),"")</f>
        <v/>
      </c>
      <c r="B187" s="63">
        <f t="shared" si="27"/>
        <v>7</v>
      </c>
      <c r="C187" s="865">
        <v>42563</v>
      </c>
      <c r="D187" s="865" t="s">
        <v>597</v>
      </c>
      <c r="E187" s="865">
        <f t="shared" si="23"/>
        <v>42563</v>
      </c>
      <c r="F187" s="866" t="s">
        <v>1795</v>
      </c>
      <c r="G187" s="979" t="s">
        <v>1797</v>
      </c>
      <c r="H187" s="971" t="s">
        <v>1775</v>
      </c>
      <c r="I187" s="972">
        <v>2270</v>
      </c>
      <c r="J187" s="972">
        <v>252103</v>
      </c>
      <c r="K187" s="973"/>
      <c r="L187" s="972"/>
      <c r="M187" s="867">
        <f>ROUND(I187*J187,0)</f>
        <v>572273810</v>
      </c>
      <c r="N187" s="873" t="s">
        <v>588</v>
      </c>
      <c r="O187" s="873" t="s">
        <v>296</v>
      </c>
      <c r="P187" s="84" t="str">
        <f>IF(AND('331-CT'!$E$7=TH!H187,OR(N187="331",O187="331")),"x","")</f>
        <v/>
      </c>
      <c r="Q187" s="84" t="str">
        <f>IF(AND(B187='111'!$L$11,OR($N187=$Q$7,$O187=$Q$7)),"x","")</f>
        <v/>
      </c>
      <c r="R187" s="84" t="str">
        <f>IF(AND($N187=$Q$7,$B187&lt;'111'!$L$11),"x","")</f>
        <v/>
      </c>
      <c r="S187" s="84" t="str">
        <f>IF(AND($O187=$Q$7,$B187&lt;'111'!$L$11),"x","")</f>
        <v/>
      </c>
      <c r="T187" s="84" t="str">
        <f>IF(ISERROR(FIND('112'!$M$9,G187,1)),"",IF((AND(FIND('112'!$M$9,G187,1)&gt;=1,B187='112'!$K$9,OR($N187='112'!$I$6,$O187='112'!$I$6))),"x",""))</f>
        <v/>
      </c>
      <c r="U187" s="84" t="str">
        <f>IF(ISERROR(FIND('112'!$M$9,G187,1)),"",IF((AND(LEFT(G187,2)=LEFT('112'!$M$9,2),B187&lt;'112'!$K$9,$N187='112'!$I$6)),"x",""))</f>
        <v/>
      </c>
      <c r="V187" s="84" t="str">
        <f>IF(ISERROR(FIND('112'!$M$9,G187,1)),"",IF((AND(RIGHT(G187,2)=RIGHT('112'!$M$9,2),B187&lt;'112'!$K$9,$O187='112'!$I$6)),"x",""))</f>
        <v/>
      </c>
      <c r="W187" s="84" t="str">
        <f>IF(AND('341-CT'!$H$9=H187,OR(LEFT(N187,3)=$W$7,LEFT(O187,3)=$W$7)),"x","")</f>
        <v/>
      </c>
      <c r="X187" s="84" t="str">
        <f>IF(OR(TH!N187=TH!$X$7,O187=TH!$X$7),"x","")</f>
        <v/>
      </c>
      <c r="Y187" s="84" t="str">
        <f>IF(AND(OR(N187="131",O187="131"),H187='131-CT'!$H$9),"x","")</f>
        <v/>
      </c>
      <c r="Z187" s="84"/>
      <c r="AA187" s="84" t="str">
        <f>IF(AND(MONTH(E187)='IN-NX'!$J$5,'IN-NX'!$D$7=D187),"x","")</f>
        <v/>
      </c>
      <c r="AB187" s="84" t="str">
        <f>IF(AND(OR(LEFT(TH!N187,2)="15",LEFT(TH!O187,2)="15"),LEFT(TH!O187,3)&lt;&gt;"111",'152-CT'!$J$8=TH!F187),"x","")</f>
        <v/>
      </c>
      <c r="AC187" s="84" t="str">
        <f>IF(AND(OR(LEFT(TH!N187,2)="15",LEFT(TH!O187,2)="15"),TK!$E$7=TH!F187),"x","")</f>
        <v/>
      </c>
      <c r="AD187" s="84" t="str">
        <f>IF(AND(N187="1521",MONTH(C187)='BK-NL'!$M$11),"x","")</f>
        <v/>
      </c>
      <c r="AE187" s="341"/>
      <c r="AF187" s="350"/>
    </row>
    <row r="188" spans="1:32" ht="15.75" hidden="1" customHeight="1">
      <c r="A188" s="336" t="str">
        <f>IF(B188&lt;&gt;"",IF(AND(B188='IN-TC'!$S$4,OR(TH!N188="1111",TH!O188="1111")),TH!D188,""),"")</f>
        <v/>
      </c>
      <c r="B188" s="63">
        <f t="shared" si="27"/>
        <v>7</v>
      </c>
      <c r="C188" s="865">
        <v>42563</v>
      </c>
      <c r="D188" s="865" t="s">
        <v>597</v>
      </c>
      <c r="E188" s="865">
        <f t="shared" si="23"/>
        <v>42563</v>
      </c>
      <c r="F188" s="866" t="s">
        <v>1799</v>
      </c>
      <c r="G188" s="979" t="s">
        <v>1797</v>
      </c>
      <c r="H188" s="971" t="s">
        <v>1775</v>
      </c>
      <c r="I188" s="972"/>
      <c r="J188" s="974"/>
      <c r="K188" s="973"/>
      <c r="L188" s="972"/>
      <c r="M188" s="867">
        <v>57227381</v>
      </c>
      <c r="N188" s="873" t="s">
        <v>588</v>
      </c>
      <c r="O188" s="873" t="s">
        <v>932</v>
      </c>
      <c r="P188" s="84" t="str">
        <f>IF(AND('331-CT'!$E$7=TH!H188,OR(N188="331",O188="331")),"x","")</f>
        <v/>
      </c>
      <c r="Q188" s="84" t="str">
        <f>IF(AND(B188='111'!$L$11,OR($N188=$Q$7,$O188=$Q$7)),"x","")</f>
        <v/>
      </c>
      <c r="R188" s="84" t="str">
        <f>IF(AND($N188=$Q$7,$B188&lt;'111'!$L$11),"x","")</f>
        <v/>
      </c>
      <c r="S188" s="84" t="str">
        <f>IF(AND($O188=$Q$7,$B188&lt;'111'!$L$11),"x","")</f>
        <v/>
      </c>
      <c r="T188" s="84" t="str">
        <f>IF(ISERROR(FIND('112'!$M$9,G188,1)),"",IF((AND(FIND('112'!$M$9,G188,1)&gt;=1,B188='112'!$K$9,OR($N188='112'!$I$6,$O188='112'!$I$6))),"x",""))</f>
        <v/>
      </c>
      <c r="U188" s="84" t="str">
        <f>IF(ISERROR(FIND('112'!$M$9,G188,1)),"",IF((AND(LEFT(G188,2)=LEFT('112'!$M$9,2),B188&lt;'112'!$K$9,$N188='112'!$I$6)),"x",""))</f>
        <v/>
      </c>
      <c r="V188" s="84" t="str">
        <f>IF(ISERROR(FIND('112'!$M$9,G188,1)),"",IF((AND(RIGHT(G188,2)=RIGHT('112'!$M$9,2),B188&lt;'112'!$K$9,$O188='112'!$I$6)),"x",""))</f>
        <v/>
      </c>
      <c r="W188" s="84" t="str">
        <f>IF(AND('341-CT'!$H$9=H188,OR(LEFT(N188,3)=$W$7,LEFT(O188,3)=$W$7)),"x","")</f>
        <v/>
      </c>
      <c r="X188" s="84" t="str">
        <f>IF(OR(TH!N188=TH!$X$7,O188=TH!$X$7),"x","")</f>
        <v/>
      </c>
      <c r="Y188" s="84" t="str">
        <f>IF(AND(OR(N188="131",O188="131"),H188='131-CT'!$H$9),"x","")</f>
        <v/>
      </c>
      <c r="Z188" s="84"/>
      <c r="AA188" s="84" t="str">
        <f>IF(AND(MONTH(E188)='IN-NX'!$J$5,'IN-NX'!$D$7=D188),"x","")</f>
        <v/>
      </c>
      <c r="AB188" s="84" t="str">
        <f>IF(AND(OR(LEFT(TH!N188,2)="15",LEFT(TH!O188,2)="15"),LEFT(TH!O188,3)&lt;&gt;"111",'152-CT'!$J$8=TH!F188),"x","")</f>
        <v/>
      </c>
      <c r="AC188" s="84" t="str">
        <f>IF(AND(OR(LEFT(TH!N188,2)="15",LEFT(TH!O188,2)="15"),TK!$E$7=TH!F188),"x","")</f>
        <v/>
      </c>
      <c r="AD188" s="84" t="str">
        <f>IF(AND(N188="1521",MONTH(C188)='BK-NL'!$M$11),"x","")</f>
        <v/>
      </c>
      <c r="AE188" s="341"/>
      <c r="AF188" s="350"/>
    </row>
    <row r="189" spans="1:32" s="1166" customFormat="1" ht="15.75" hidden="1" customHeight="1">
      <c r="A189" s="336" t="str">
        <f>IF(B189&lt;&gt;"",IF(AND(B189='IN-TC'!$S$4,OR(TH!N189="1111",TH!O189="1111")),TH!D189,""),"")</f>
        <v/>
      </c>
      <c r="B189" s="63">
        <f t="shared" si="27"/>
        <v>7</v>
      </c>
      <c r="C189" s="865">
        <v>42577</v>
      </c>
      <c r="D189" s="865" t="s">
        <v>1679</v>
      </c>
      <c r="E189" s="865">
        <f t="shared" si="23"/>
        <v>42577</v>
      </c>
      <c r="F189" s="866" t="s">
        <v>1681</v>
      </c>
      <c r="G189" s="979" t="s">
        <v>1798</v>
      </c>
      <c r="H189" s="971" t="s">
        <v>1546</v>
      </c>
      <c r="I189" s="972">
        <v>900</v>
      </c>
      <c r="J189" s="974">
        <v>1</v>
      </c>
      <c r="K189" s="973">
        <f t="shared" ref="K189:K199" si="28">I189*J189</f>
        <v>900</v>
      </c>
      <c r="L189" s="972">
        <v>22265</v>
      </c>
      <c r="M189" s="867">
        <f t="shared" ref="M189:M199" si="29">ROUND(K189*L189,0)</f>
        <v>20038500</v>
      </c>
      <c r="N189" s="873" t="s">
        <v>588</v>
      </c>
      <c r="O189" s="873" t="s">
        <v>298</v>
      </c>
      <c r="P189" s="84" t="str">
        <f>IF(AND('331-CT'!$E$7=TH!H189,OR(N189="331",O189="331")),"x","")</f>
        <v/>
      </c>
      <c r="Q189" s="84" t="str">
        <f>IF(AND(B189='111'!$L$11,OR($N189=$Q$7,$O189=$Q$7)),"x","")</f>
        <v/>
      </c>
      <c r="R189" s="84" t="str">
        <f>IF(AND($N189=$Q$7,$B189&lt;'111'!$L$11),"x","")</f>
        <v/>
      </c>
      <c r="S189" s="84" t="str">
        <f>IF(AND($O189=$Q$7,$B189&lt;'111'!$L$11),"x","")</f>
        <v/>
      </c>
      <c r="T189" s="84" t="str">
        <f>IF(ISERROR(FIND('112'!$M$9,G189,1)),"",IF((AND(FIND('112'!$M$9,G189,1)&gt;=1,B189='112'!$K$9,OR($N189='112'!$I$6,$O189='112'!$I$6))),"x",""))</f>
        <v/>
      </c>
      <c r="U189" s="84" t="str">
        <f>IF(ISERROR(FIND('112'!$M$9,G189,1)),"",IF((AND(LEFT(G189,2)=LEFT('112'!$M$9,2),B189&lt;'112'!$K$9,$N189='112'!$I$6)),"x",""))</f>
        <v/>
      </c>
      <c r="V189" s="84" t="str">
        <f>IF(ISERROR(FIND('112'!$M$9,G189,1)),"",IF((AND(RIGHT(G189,2)=RIGHT('112'!$M$9,2),B189&lt;'112'!$K$9,$O189='112'!$I$6)),"x",""))</f>
        <v/>
      </c>
      <c r="W189" s="84" t="str">
        <f>IF(AND('341-CT'!$H$9=H189,OR(LEFT(N189,3)=$W$7,LEFT(O189,3)=$W$7)),"x","")</f>
        <v/>
      </c>
      <c r="X189" s="84" t="str">
        <f>IF(OR(TH!N189=TH!$X$7,O189=TH!$X$7),"x","")</f>
        <v/>
      </c>
      <c r="Y189" s="84" t="str">
        <f>IF(AND(OR(N189="131",O189="131"),H189='131-CT'!$H$9),"x","")</f>
        <v/>
      </c>
      <c r="Z189" s="84"/>
      <c r="AA189" s="84" t="str">
        <f>IF(AND(MONTH(E189)='IN-NX'!$J$5,'IN-NX'!$D$7=D189),"x","")</f>
        <v/>
      </c>
      <c r="AB189" s="84" t="str">
        <f>IF(AND(OR(LEFT(TH!N189,2)="15",LEFT(TH!O189,2)="15"),LEFT(TH!O189,3)&lt;&gt;"111",'152-CT'!$J$8=TH!F189),"x","")</f>
        <v/>
      </c>
      <c r="AC189" s="84" t="str">
        <f>IF(AND(OR(LEFT(TH!N189,2)="15",LEFT(TH!O189,2)="15"),TK!$E$7=TH!F189),"x","")</f>
        <v/>
      </c>
      <c r="AD189" s="84" t="str">
        <f>IF(AND(N189="1521",MONTH(C189)='BK-NL'!$M$11),"x","")</f>
        <v/>
      </c>
      <c r="AE189" s="341"/>
      <c r="AF189" s="350"/>
    </row>
    <row r="190" spans="1:32" s="347" customFormat="1" ht="15.75" hidden="1" customHeight="1">
      <c r="A190" s="1176" t="str">
        <f>IF(B190&lt;&gt;"",IF(AND(B190='IN-TC'!$S$4,OR(TH!N190="1111",TH!O190="1111")),TH!D190,""),"")</f>
        <v/>
      </c>
      <c r="B190" s="63">
        <f t="shared" si="27"/>
        <v>8</v>
      </c>
      <c r="C190" s="865">
        <v>42583</v>
      </c>
      <c r="D190" s="865" t="s">
        <v>596</v>
      </c>
      <c r="E190" s="865">
        <f t="shared" ref="E190:E199" si="30">C190</f>
        <v>42583</v>
      </c>
      <c r="F190" s="866" t="s">
        <v>1906</v>
      </c>
      <c r="G190" s="979" t="s">
        <v>1907</v>
      </c>
      <c r="H190" s="971" t="s">
        <v>601</v>
      </c>
      <c r="I190" s="972">
        <v>1760</v>
      </c>
      <c r="J190" s="974">
        <v>8.6</v>
      </c>
      <c r="K190" s="973">
        <f t="shared" si="28"/>
        <v>15136</v>
      </c>
      <c r="L190" s="972">
        <v>22260</v>
      </c>
      <c r="M190" s="867">
        <f t="shared" si="29"/>
        <v>336927360</v>
      </c>
      <c r="N190" s="873" t="s">
        <v>588</v>
      </c>
      <c r="O190" s="873" t="s">
        <v>298</v>
      </c>
      <c r="P190" s="84" t="str">
        <f>IF(AND('331-CT'!$E$7=TH!H190,OR(N190="331",O190="331")),"x","")</f>
        <v/>
      </c>
      <c r="Q190" s="84" t="str">
        <f>IF(AND(B190='111'!$L$11,OR($N190=$Q$7,$O190=$Q$7)),"x","")</f>
        <v/>
      </c>
      <c r="R190" s="84" t="str">
        <f>IF(AND($N190=$Q$7,$B190&lt;'111'!$L$11),"x","")</f>
        <v/>
      </c>
      <c r="S190" s="84" t="str">
        <f>IF(AND($O190=$Q$7,$B190&lt;'111'!$L$11),"x","")</f>
        <v/>
      </c>
      <c r="T190" s="84" t="str">
        <f>IF(ISERROR(FIND('112'!$M$9,G190,1)),"",IF((AND(FIND('112'!$M$9,G190,1)&gt;=1,B190='112'!$K$9,OR($N190='112'!$I$6,$O190='112'!$I$6))),"x",""))</f>
        <v/>
      </c>
      <c r="U190" s="84" t="str">
        <f>IF(ISERROR(FIND('112'!$M$9,G190,1)),"",IF((AND(LEFT(G190,2)=LEFT('112'!$M$9,2),B190&lt;'112'!$K$9,$N190='112'!$I$6)),"x",""))</f>
        <v/>
      </c>
      <c r="V190" s="84" t="str">
        <f>IF(ISERROR(FIND('112'!$M$9,G190,1)),"",IF((AND(RIGHT(G190,2)=RIGHT('112'!$M$9,2),B190&lt;'112'!$K$9,$O190='112'!$I$6)),"x",""))</f>
        <v/>
      </c>
      <c r="W190" s="84" t="str">
        <f>IF(AND('341-CT'!$H$9=H190,OR(LEFT(N190,3)=$W$7,LEFT(O190,3)=$W$7)),"x","")</f>
        <v/>
      </c>
      <c r="X190" s="84" t="str">
        <f>IF(OR(TH!N190=TH!$X$7,O190=TH!$X$7),"x","")</f>
        <v/>
      </c>
      <c r="Y190" s="84" t="str">
        <f>IF(AND(OR(N190="131",O190="131"),H190='131-CT'!$H$9),"x","")</f>
        <v>x</v>
      </c>
      <c r="Z190" s="84"/>
      <c r="AA190" s="84" t="str">
        <f>IF(AND(MONTH(E190)='IN-NX'!$J$5,'IN-NX'!$D$7=D190),"x","")</f>
        <v/>
      </c>
      <c r="AB190" s="84" t="str">
        <f>IF(AND(OR(LEFT(TH!N190,2)="15",LEFT(TH!O190,2)="15"),LEFT(TH!O190,3)&lt;&gt;"111",'152-CT'!$J$8=TH!F190),"x","")</f>
        <v/>
      </c>
      <c r="AC190" s="84" t="str">
        <f>IF(AND(OR(LEFT(TH!N190,2)="15",LEFT(TH!O190,2)="15"),TK!$E$7=TH!F190),"x","")</f>
        <v/>
      </c>
      <c r="AD190" s="84" t="str">
        <f>IF(AND(N190="1521",MONTH(C190)='BK-NL'!$M$11),"x","")</f>
        <v/>
      </c>
      <c r="AE190" s="341"/>
    </row>
    <row r="191" spans="1:32" s="347" customFormat="1" ht="15.75" hidden="1" customHeight="1">
      <c r="A191" s="1176" t="str">
        <f>IF(B191&lt;&gt;"",IF(AND(B191='IN-TC'!$S$4,OR(TH!N191="1111",TH!O191="1111")),TH!D191,""),"")</f>
        <v/>
      </c>
      <c r="B191" s="63">
        <f t="shared" si="27"/>
        <v>8</v>
      </c>
      <c r="C191" s="865">
        <v>42583</v>
      </c>
      <c r="D191" s="865" t="s">
        <v>596</v>
      </c>
      <c r="E191" s="865">
        <f t="shared" si="30"/>
        <v>42583</v>
      </c>
      <c r="F191" s="866" t="s">
        <v>1908</v>
      </c>
      <c r="G191" s="979" t="s">
        <v>1907</v>
      </c>
      <c r="H191" s="971" t="s">
        <v>601</v>
      </c>
      <c r="I191" s="972">
        <v>1700</v>
      </c>
      <c r="J191" s="974">
        <v>11.5</v>
      </c>
      <c r="K191" s="973">
        <f t="shared" si="28"/>
        <v>19550</v>
      </c>
      <c r="L191" s="972">
        <v>22260</v>
      </c>
      <c r="M191" s="867">
        <f t="shared" si="29"/>
        <v>435183000</v>
      </c>
      <c r="N191" s="873" t="s">
        <v>588</v>
      </c>
      <c r="O191" s="873" t="s">
        <v>298</v>
      </c>
      <c r="P191" s="84" t="str">
        <f>IF(AND('331-CT'!$E$7=TH!H191,OR(N191="331",O191="331")),"x","")</f>
        <v/>
      </c>
      <c r="Q191" s="84" t="str">
        <f>IF(AND(B191='111'!$L$11,OR($N191=$Q$7,$O191=$Q$7)),"x","")</f>
        <v/>
      </c>
      <c r="R191" s="84" t="str">
        <f>IF(AND($N191=$Q$7,$B191&lt;'111'!$L$11),"x","")</f>
        <v/>
      </c>
      <c r="S191" s="84" t="str">
        <f>IF(AND($O191=$Q$7,$B191&lt;'111'!$L$11),"x","")</f>
        <v/>
      </c>
      <c r="T191" s="84" t="str">
        <f>IF(ISERROR(FIND('112'!$M$9,G191,1)),"",IF((AND(FIND('112'!$M$9,G191,1)&gt;=1,B191='112'!$K$9,OR($N191='112'!$I$6,$O191='112'!$I$6))),"x",""))</f>
        <v/>
      </c>
      <c r="U191" s="84" t="str">
        <f>IF(ISERROR(FIND('112'!$M$9,G191,1)),"",IF((AND(LEFT(G191,2)=LEFT('112'!$M$9,2),B191&lt;'112'!$K$9,$N191='112'!$I$6)),"x",""))</f>
        <v/>
      </c>
      <c r="V191" s="84" t="str">
        <f>IF(ISERROR(FIND('112'!$M$9,G191,1)),"",IF((AND(RIGHT(G191,2)=RIGHT('112'!$M$9,2),B191&lt;'112'!$K$9,$O191='112'!$I$6)),"x",""))</f>
        <v/>
      </c>
      <c r="W191" s="84" t="str">
        <f>IF(AND('341-CT'!$H$9=H191,OR(LEFT(N191,3)=$W$7,LEFT(O191,3)=$W$7)),"x","")</f>
        <v/>
      </c>
      <c r="X191" s="84" t="str">
        <f>IF(OR(TH!N191=TH!$X$7,O191=TH!$X$7),"x","")</f>
        <v/>
      </c>
      <c r="Y191" s="84" t="str">
        <f>IF(AND(OR(N191="131",O191="131"),H191='131-CT'!$H$9),"x","")</f>
        <v>x</v>
      </c>
      <c r="Z191" s="84"/>
      <c r="AA191" s="84" t="str">
        <f>IF(AND(MONTH(E191)='IN-NX'!$J$5,'IN-NX'!$D$7=D191),"x","")</f>
        <v/>
      </c>
      <c r="AB191" s="84" t="str">
        <f>IF(AND(OR(LEFT(TH!N191,2)="15",LEFT(TH!O191,2)="15"),LEFT(TH!O191,3)&lt;&gt;"111",'152-CT'!$J$8=TH!F191),"x","")</f>
        <v/>
      </c>
      <c r="AC191" s="84" t="str">
        <f>IF(AND(OR(LEFT(TH!N191,2)="15",LEFT(TH!O191,2)="15"),TK!$E$7=TH!F191),"x","")</f>
        <v/>
      </c>
      <c r="AD191" s="84" t="str">
        <f>IF(AND(N191="1521",MONTH(C191)='BK-NL'!$M$11),"x","")</f>
        <v/>
      </c>
      <c r="AE191" s="341"/>
    </row>
    <row r="192" spans="1:32" s="347" customFormat="1" ht="15.75" hidden="1" customHeight="1">
      <c r="A192" s="1176" t="str">
        <f>IF(B192&lt;&gt;"",IF(AND(B192='IN-TC'!$S$4,OR(TH!N192="1111",TH!O192="1111")),TH!D192,""),"")</f>
        <v/>
      </c>
      <c r="B192" s="63">
        <f t="shared" si="27"/>
        <v>8</v>
      </c>
      <c r="C192" s="865">
        <v>42583</v>
      </c>
      <c r="D192" s="865" t="s">
        <v>596</v>
      </c>
      <c r="E192" s="865">
        <f t="shared" si="30"/>
        <v>42583</v>
      </c>
      <c r="F192" s="866" t="s">
        <v>1909</v>
      </c>
      <c r="G192" s="979" t="s">
        <v>1907</v>
      </c>
      <c r="H192" s="971" t="s">
        <v>601</v>
      </c>
      <c r="I192" s="972">
        <v>1090</v>
      </c>
      <c r="J192" s="974">
        <v>8.4</v>
      </c>
      <c r="K192" s="973">
        <f t="shared" si="28"/>
        <v>9156</v>
      </c>
      <c r="L192" s="972">
        <v>22260</v>
      </c>
      <c r="M192" s="867">
        <f t="shared" si="29"/>
        <v>203812560</v>
      </c>
      <c r="N192" s="873" t="s">
        <v>588</v>
      </c>
      <c r="O192" s="873" t="s">
        <v>298</v>
      </c>
      <c r="P192" s="84" t="str">
        <f>IF(AND('331-CT'!$E$7=TH!H192,OR(N192="331",O192="331")),"x","")</f>
        <v/>
      </c>
      <c r="Q192" s="84" t="str">
        <f>IF(AND(B192='111'!$L$11,OR($N192=$Q$7,$O192=$Q$7)),"x","")</f>
        <v/>
      </c>
      <c r="R192" s="84" t="str">
        <f>IF(AND($N192=$Q$7,$B192&lt;'111'!$L$11),"x","")</f>
        <v/>
      </c>
      <c r="S192" s="84" t="str">
        <f>IF(AND($O192=$Q$7,$B192&lt;'111'!$L$11),"x","")</f>
        <v/>
      </c>
      <c r="T192" s="84" t="str">
        <f>IF(ISERROR(FIND('112'!$M$9,G192,1)),"",IF((AND(FIND('112'!$M$9,G192,1)&gt;=1,B192='112'!$K$9,OR($N192='112'!$I$6,$O192='112'!$I$6))),"x",""))</f>
        <v/>
      </c>
      <c r="U192" s="84" t="str">
        <f>IF(ISERROR(FIND('112'!$M$9,G192,1)),"",IF((AND(LEFT(G192,2)=LEFT('112'!$M$9,2),B192&lt;'112'!$K$9,$N192='112'!$I$6)),"x",""))</f>
        <v/>
      </c>
      <c r="V192" s="84" t="str">
        <f>IF(ISERROR(FIND('112'!$M$9,G192,1)),"",IF((AND(RIGHT(G192,2)=RIGHT('112'!$M$9,2),B192&lt;'112'!$K$9,$O192='112'!$I$6)),"x",""))</f>
        <v/>
      </c>
      <c r="W192" s="84" t="str">
        <f>IF(AND('341-CT'!$H$9=H192,OR(LEFT(N192,3)=$W$7,LEFT(O192,3)=$W$7)),"x","")</f>
        <v/>
      </c>
      <c r="X192" s="84" t="str">
        <f>IF(OR(TH!N192=TH!$X$7,O192=TH!$X$7),"x","")</f>
        <v/>
      </c>
      <c r="Y192" s="84" t="str">
        <f>IF(AND(OR(N192="131",O192="131"),H192='131-CT'!$H$9),"x","")</f>
        <v>x</v>
      </c>
      <c r="Z192" s="84"/>
      <c r="AA192" s="84" t="str">
        <f>IF(AND(MONTH(E192)='IN-NX'!$J$5,'IN-NX'!$D$7=D192),"x","")</f>
        <v/>
      </c>
      <c r="AB192" s="84" t="str">
        <f>IF(AND(OR(LEFT(TH!N192,2)="15",LEFT(TH!O192,2)="15"),LEFT(TH!O192,3)&lt;&gt;"111",'152-CT'!$J$8=TH!F192),"x","")</f>
        <v/>
      </c>
      <c r="AC192" s="84" t="str">
        <f>IF(AND(OR(LEFT(TH!N192,2)="15",LEFT(TH!O192,2)="15"),TK!$E$7=TH!F192),"x","")</f>
        <v/>
      </c>
      <c r="AD192" s="84" t="str">
        <f>IF(AND(N192="1521",MONTH(C192)='BK-NL'!$M$11),"x","")</f>
        <v/>
      </c>
      <c r="AE192" s="341"/>
    </row>
    <row r="193" spans="1:31" s="347" customFormat="1" ht="15.75" hidden="1" customHeight="1">
      <c r="A193" s="1176" t="str">
        <f>IF(B193&lt;&gt;"",IF(AND(B193='IN-TC'!$S$4,OR(TH!N193="1111",TH!O193="1111")),TH!D193,""),"")</f>
        <v/>
      </c>
      <c r="B193" s="63">
        <f t="shared" si="27"/>
        <v>8</v>
      </c>
      <c r="C193" s="865">
        <v>42583</v>
      </c>
      <c r="D193" s="865" t="s">
        <v>596</v>
      </c>
      <c r="E193" s="865">
        <f t="shared" si="30"/>
        <v>42583</v>
      </c>
      <c r="F193" s="866" t="s">
        <v>1910</v>
      </c>
      <c r="G193" s="979" t="s">
        <v>1907</v>
      </c>
      <c r="H193" s="971" t="s">
        <v>601</v>
      </c>
      <c r="I193" s="972">
        <v>390</v>
      </c>
      <c r="J193" s="974">
        <v>9.5</v>
      </c>
      <c r="K193" s="973">
        <f t="shared" si="28"/>
        <v>3705</v>
      </c>
      <c r="L193" s="972">
        <v>22260</v>
      </c>
      <c r="M193" s="867">
        <f t="shared" si="29"/>
        <v>82473300</v>
      </c>
      <c r="N193" s="873" t="s">
        <v>588</v>
      </c>
      <c r="O193" s="873" t="s">
        <v>298</v>
      </c>
      <c r="P193" s="84" t="str">
        <f>IF(AND('331-CT'!$E$7=TH!H193,OR(N193="331",O193="331")),"x","")</f>
        <v/>
      </c>
      <c r="Q193" s="84" t="str">
        <f>IF(AND(B193='111'!$L$11,OR($N193=$Q$7,$O193=$Q$7)),"x","")</f>
        <v/>
      </c>
      <c r="R193" s="84" t="str">
        <f>IF(AND($N193=$Q$7,$B193&lt;'111'!$L$11),"x","")</f>
        <v/>
      </c>
      <c r="S193" s="84" t="str">
        <f>IF(AND($O193=$Q$7,$B193&lt;'111'!$L$11),"x","")</f>
        <v/>
      </c>
      <c r="T193" s="84" t="str">
        <f>IF(ISERROR(FIND('112'!$M$9,G193,1)),"",IF((AND(FIND('112'!$M$9,G193,1)&gt;=1,B193='112'!$K$9,OR($N193='112'!$I$6,$O193='112'!$I$6))),"x",""))</f>
        <v/>
      </c>
      <c r="U193" s="84" t="str">
        <f>IF(ISERROR(FIND('112'!$M$9,G193,1)),"",IF((AND(LEFT(G193,2)=LEFT('112'!$M$9,2),B193&lt;'112'!$K$9,$N193='112'!$I$6)),"x",""))</f>
        <v/>
      </c>
      <c r="V193" s="84" t="str">
        <f>IF(ISERROR(FIND('112'!$M$9,G193,1)),"",IF((AND(RIGHT(G193,2)=RIGHT('112'!$M$9,2),B193&lt;'112'!$K$9,$O193='112'!$I$6)),"x",""))</f>
        <v/>
      </c>
      <c r="W193" s="84" t="str">
        <f>IF(AND('341-CT'!$H$9=H193,OR(LEFT(N193,3)=$W$7,LEFT(O193,3)=$W$7)),"x","")</f>
        <v/>
      </c>
      <c r="X193" s="84" t="str">
        <f>IF(OR(TH!N193=TH!$X$7,O193=TH!$X$7),"x","")</f>
        <v/>
      </c>
      <c r="Y193" s="84" t="str">
        <f>IF(AND(OR(N193="131",O193="131"),H193='131-CT'!$H$9),"x","")</f>
        <v>x</v>
      </c>
      <c r="Z193" s="84"/>
      <c r="AA193" s="84" t="str">
        <f>IF(AND(MONTH(E193)='IN-NX'!$J$5,'IN-NX'!$D$7=D193),"x","")</f>
        <v/>
      </c>
      <c r="AB193" s="84" t="str">
        <f>IF(AND(OR(LEFT(TH!N193,2)="15",LEFT(TH!O193,2)="15"),LEFT(TH!O193,3)&lt;&gt;"111",'152-CT'!$J$8=TH!F193),"x","")</f>
        <v/>
      </c>
      <c r="AC193" s="84" t="str">
        <f>IF(AND(OR(LEFT(TH!N193,2)="15",LEFT(TH!O193,2)="15"),TK!$E$7=TH!F193),"x","")</f>
        <v/>
      </c>
      <c r="AD193" s="84" t="str">
        <f>IF(AND(N193="1521",MONTH(C193)='BK-NL'!$M$11),"x","")</f>
        <v/>
      </c>
      <c r="AE193" s="341"/>
    </row>
    <row r="194" spans="1:31" s="347" customFormat="1" ht="15.75" hidden="1" customHeight="1">
      <c r="A194" s="1176" t="str">
        <f>IF(B194&lt;&gt;"",IF(AND(B194='IN-TC'!$S$4,OR(TH!N194="1111",TH!O194="1111")),TH!D194,""),"")</f>
        <v/>
      </c>
      <c r="B194" s="63">
        <f t="shared" si="27"/>
        <v>8</v>
      </c>
      <c r="C194" s="865">
        <v>42587</v>
      </c>
      <c r="D194" s="865" t="s">
        <v>597</v>
      </c>
      <c r="E194" s="865">
        <f t="shared" si="30"/>
        <v>42587</v>
      </c>
      <c r="F194" s="866" t="s">
        <v>1911</v>
      </c>
      <c r="G194" s="979" t="s">
        <v>1912</v>
      </c>
      <c r="H194" s="971" t="s">
        <v>1913</v>
      </c>
      <c r="I194" s="972">
        <v>52000</v>
      </c>
      <c r="J194" s="974">
        <v>2.85</v>
      </c>
      <c r="K194" s="973">
        <f t="shared" si="28"/>
        <v>148200</v>
      </c>
      <c r="L194" s="972">
        <v>22260</v>
      </c>
      <c r="M194" s="867">
        <f t="shared" si="29"/>
        <v>3298932000</v>
      </c>
      <c r="N194" s="873" t="s">
        <v>588</v>
      </c>
      <c r="O194" s="873" t="s">
        <v>298</v>
      </c>
      <c r="P194" s="84" t="str">
        <f>IF(AND('331-CT'!$E$7=TH!H194,OR(N194="331",O194="331")),"x","")</f>
        <v/>
      </c>
      <c r="Q194" s="84" t="str">
        <f>IF(AND(B194='111'!$L$11,OR($N194=$Q$7,$O194=$Q$7)),"x","")</f>
        <v/>
      </c>
      <c r="R194" s="84" t="str">
        <f>IF(AND($N194=$Q$7,$B194&lt;'111'!$L$11),"x","")</f>
        <v/>
      </c>
      <c r="S194" s="84" t="str">
        <f>IF(AND($O194=$Q$7,$B194&lt;'111'!$L$11),"x","")</f>
        <v/>
      </c>
      <c r="T194" s="84" t="str">
        <f>IF(ISERROR(FIND('112'!$M$9,G194,1)),"",IF((AND(FIND('112'!$M$9,G194,1)&gt;=1,B194='112'!$K$9,OR($N194='112'!$I$6,$O194='112'!$I$6))),"x",""))</f>
        <v/>
      </c>
      <c r="U194" s="84" t="str">
        <f>IF(ISERROR(FIND('112'!$M$9,G194,1)),"",IF((AND(LEFT(G194,2)=LEFT('112'!$M$9,2),B194&lt;'112'!$K$9,$N194='112'!$I$6)),"x",""))</f>
        <v/>
      </c>
      <c r="V194" s="84" t="str">
        <f>IF(ISERROR(FIND('112'!$M$9,G194,1)),"",IF((AND(RIGHT(G194,2)=RIGHT('112'!$M$9,2),B194&lt;'112'!$K$9,$O194='112'!$I$6)),"x",""))</f>
        <v/>
      </c>
      <c r="W194" s="84" t="str">
        <f>IF(AND('341-CT'!$H$9=H194,OR(LEFT(N194,3)=$W$7,LEFT(O194,3)=$W$7)),"x","")</f>
        <v/>
      </c>
      <c r="X194" s="84" t="str">
        <f>IF(OR(TH!N194=TH!$X$7,O194=TH!$X$7),"x","")</f>
        <v/>
      </c>
      <c r="Y194" s="84" t="str">
        <f>IF(AND(OR(N194="131",O194="131"),H194='131-CT'!$H$9),"x","")</f>
        <v/>
      </c>
      <c r="Z194" s="84"/>
      <c r="AA194" s="84" t="str">
        <f>IF(AND(MONTH(E194)='IN-NX'!$J$5,'IN-NX'!$D$7=D194),"x","")</f>
        <v/>
      </c>
      <c r="AB194" s="84" t="str">
        <f>IF(AND(OR(LEFT(TH!N194,2)="15",LEFT(TH!O194,2)="15"),LEFT(TH!O194,3)&lt;&gt;"111",'152-CT'!$J$8=TH!F194),"x","")</f>
        <v/>
      </c>
      <c r="AC194" s="84" t="str">
        <f>IF(AND(OR(LEFT(TH!N194,2)="15",LEFT(TH!O194,2)="15"),TK!$E$7=TH!F194),"x","")</f>
        <v/>
      </c>
      <c r="AD194" s="84" t="str">
        <f>IF(AND(N194="1521",MONTH(C194)='BK-NL'!$M$11),"x","")</f>
        <v/>
      </c>
      <c r="AE194" s="341"/>
    </row>
    <row r="195" spans="1:31" s="347" customFormat="1" ht="15.75" hidden="1" customHeight="1">
      <c r="A195" s="1176" t="str">
        <f>IF(B195&lt;&gt;"",IF(AND(B195='IN-TC'!$S$4,OR(TH!N195="1111",TH!O195="1111")),TH!D195,""),"")</f>
        <v/>
      </c>
      <c r="B195" s="63">
        <f t="shared" si="27"/>
        <v>8</v>
      </c>
      <c r="C195" s="865">
        <v>42594</v>
      </c>
      <c r="D195" s="865" t="s">
        <v>1679</v>
      </c>
      <c r="E195" s="865">
        <f t="shared" si="30"/>
        <v>42594</v>
      </c>
      <c r="F195" s="866" t="s">
        <v>1911</v>
      </c>
      <c r="G195" s="979" t="s">
        <v>1914</v>
      </c>
      <c r="H195" s="971" t="s">
        <v>1913</v>
      </c>
      <c r="I195" s="972">
        <v>52000</v>
      </c>
      <c r="J195" s="974">
        <v>2.85</v>
      </c>
      <c r="K195" s="973">
        <f t="shared" si="28"/>
        <v>148200</v>
      </c>
      <c r="L195" s="972">
        <v>22260</v>
      </c>
      <c r="M195" s="867">
        <f t="shared" si="29"/>
        <v>3298932000</v>
      </c>
      <c r="N195" s="873" t="s">
        <v>588</v>
      </c>
      <c r="O195" s="873" t="s">
        <v>298</v>
      </c>
      <c r="P195" s="84" t="str">
        <f>IF(AND('331-CT'!$E$7=TH!H195,OR(N195="331",O195="331")),"x","")</f>
        <v/>
      </c>
      <c r="Q195" s="84" t="str">
        <f>IF(AND(B195='111'!$L$11,OR($N195=$Q$7,$O195=$Q$7)),"x","")</f>
        <v/>
      </c>
      <c r="R195" s="84" t="str">
        <f>IF(AND($N195=$Q$7,$B195&lt;'111'!$L$11),"x","")</f>
        <v/>
      </c>
      <c r="S195" s="84" t="str">
        <f>IF(AND($O195=$Q$7,$B195&lt;'111'!$L$11),"x","")</f>
        <v/>
      </c>
      <c r="T195" s="84" t="str">
        <f>IF(ISERROR(FIND('112'!$M$9,G195,1)),"",IF((AND(FIND('112'!$M$9,G195,1)&gt;=1,B195='112'!$K$9,OR($N195='112'!$I$6,$O195='112'!$I$6))),"x",""))</f>
        <v/>
      </c>
      <c r="U195" s="84" t="str">
        <f>IF(ISERROR(FIND('112'!$M$9,G195,1)),"",IF((AND(LEFT(G195,2)=LEFT('112'!$M$9,2),B195&lt;'112'!$K$9,$N195='112'!$I$6)),"x",""))</f>
        <v/>
      </c>
      <c r="V195" s="84" t="str">
        <f>IF(ISERROR(FIND('112'!$M$9,G195,1)),"",IF((AND(RIGHT(G195,2)=RIGHT('112'!$M$9,2),B195&lt;'112'!$K$9,$O195='112'!$I$6)),"x",""))</f>
        <v/>
      </c>
      <c r="W195" s="84" t="str">
        <f>IF(AND('341-CT'!$H$9=H195,OR(LEFT(N195,3)=$W$7,LEFT(O195,3)=$W$7)),"x","")</f>
        <v/>
      </c>
      <c r="X195" s="84" t="str">
        <f>IF(OR(TH!N195=TH!$X$7,O195=TH!$X$7),"x","")</f>
        <v/>
      </c>
      <c r="Y195" s="84" t="str">
        <f>IF(AND(OR(N195="131",O195="131"),H195='131-CT'!$H$9),"x","")</f>
        <v/>
      </c>
      <c r="Z195" s="84"/>
      <c r="AA195" s="84" t="str">
        <f>IF(AND(MONTH(E195)='IN-NX'!$J$5,'IN-NX'!$D$7=D195),"x","")</f>
        <v/>
      </c>
      <c r="AB195" s="84" t="str">
        <f>IF(AND(OR(LEFT(TH!N195,2)="15",LEFT(TH!O195,2)="15"),LEFT(TH!O195,3)&lt;&gt;"111",'152-CT'!$J$8=TH!F195),"x","")</f>
        <v/>
      </c>
      <c r="AC195" s="84" t="str">
        <f>IF(AND(OR(LEFT(TH!N195,2)="15",LEFT(TH!O195,2)="15"),TK!$E$7=TH!F195),"x","")</f>
        <v/>
      </c>
      <c r="AD195" s="84" t="str">
        <f>IF(AND(N195="1521",MONTH(C195)='BK-NL'!$M$11),"x","")</f>
        <v/>
      </c>
      <c r="AE195" s="341"/>
    </row>
    <row r="196" spans="1:31" s="347" customFormat="1" ht="15.75" hidden="1" customHeight="1">
      <c r="A196" s="1176" t="str">
        <f>IF(B196&lt;&gt;"",IF(AND(B196='IN-TC'!$S$4,OR(TH!N196="1111",TH!O196="1111")),TH!D196,""),"")</f>
        <v/>
      </c>
      <c r="B196" s="63">
        <f t="shared" si="27"/>
        <v>8</v>
      </c>
      <c r="C196" s="865">
        <v>42599</v>
      </c>
      <c r="D196" s="865" t="s">
        <v>1680</v>
      </c>
      <c r="E196" s="865">
        <f t="shared" si="30"/>
        <v>42599</v>
      </c>
      <c r="F196" s="866" t="s">
        <v>1915</v>
      </c>
      <c r="G196" s="979" t="s">
        <v>1916</v>
      </c>
      <c r="H196" s="971" t="s">
        <v>1559</v>
      </c>
      <c r="I196" s="972">
        <v>10000</v>
      </c>
      <c r="J196" s="974">
        <v>7</v>
      </c>
      <c r="K196" s="973">
        <f t="shared" si="28"/>
        <v>70000</v>
      </c>
      <c r="L196" s="972">
        <v>22260</v>
      </c>
      <c r="M196" s="867">
        <f t="shared" si="29"/>
        <v>1558200000</v>
      </c>
      <c r="N196" s="873" t="s">
        <v>588</v>
      </c>
      <c r="O196" s="873" t="s">
        <v>298</v>
      </c>
      <c r="P196" s="84" t="str">
        <f>IF(AND('331-CT'!$E$7=TH!H196,OR(N196="331",O196="331")),"x","")</f>
        <v/>
      </c>
      <c r="Q196" s="84" t="str">
        <f>IF(AND(B196='111'!$L$11,OR($N196=$Q$7,$O196=$Q$7)),"x","")</f>
        <v/>
      </c>
      <c r="R196" s="84" t="str">
        <f>IF(AND($N196=$Q$7,$B196&lt;'111'!$L$11),"x","")</f>
        <v/>
      </c>
      <c r="S196" s="84" t="str">
        <f>IF(AND($O196=$Q$7,$B196&lt;'111'!$L$11),"x","")</f>
        <v/>
      </c>
      <c r="T196" s="84" t="str">
        <f>IF(ISERROR(FIND('112'!$M$9,G196,1)),"",IF((AND(FIND('112'!$M$9,G196,1)&gt;=1,B196='112'!$K$9,OR($N196='112'!$I$6,$O196='112'!$I$6))),"x",""))</f>
        <v/>
      </c>
      <c r="U196" s="84" t="str">
        <f>IF(ISERROR(FIND('112'!$M$9,G196,1)),"",IF((AND(LEFT(G196,2)=LEFT('112'!$M$9,2),B196&lt;'112'!$K$9,$N196='112'!$I$6)),"x",""))</f>
        <v/>
      </c>
      <c r="V196" s="84" t="str">
        <f>IF(ISERROR(FIND('112'!$M$9,G196,1)),"",IF((AND(RIGHT(G196,2)=RIGHT('112'!$M$9,2),B196&lt;'112'!$K$9,$O196='112'!$I$6)),"x",""))</f>
        <v/>
      </c>
      <c r="W196" s="84" t="str">
        <f>IF(AND('341-CT'!$H$9=H196,OR(LEFT(N196,3)=$W$7,LEFT(O196,3)=$W$7)),"x","")</f>
        <v/>
      </c>
      <c r="X196" s="84" t="str">
        <f>IF(OR(TH!N196=TH!$X$7,O196=TH!$X$7),"x","")</f>
        <v/>
      </c>
      <c r="Y196" s="84" t="str">
        <f>IF(AND(OR(N196="131",O196="131"),H196='131-CT'!$H$9),"x","")</f>
        <v/>
      </c>
      <c r="Z196" s="84"/>
      <c r="AA196" s="84" t="str">
        <f>IF(AND(MONTH(E196)='IN-NX'!$J$5,'IN-NX'!$D$7=D196),"x","")</f>
        <v/>
      </c>
      <c r="AB196" s="84" t="str">
        <f>IF(AND(OR(LEFT(TH!N196,2)="15",LEFT(TH!O196,2)="15"),LEFT(TH!O196,3)&lt;&gt;"111",'152-CT'!$J$8=TH!F196),"x","")</f>
        <v/>
      </c>
      <c r="AC196" s="84" t="str">
        <f>IF(AND(OR(LEFT(TH!N196,2)="15",LEFT(TH!O196,2)="15"),TK!$E$7=TH!F196),"x","")</f>
        <v/>
      </c>
      <c r="AD196" s="84" t="str">
        <f>IF(AND(N196="1521",MONTH(C196)='BK-NL'!$M$11),"x","")</f>
        <v/>
      </c>
      <c r="AE196" s="341"/>
    </row>
    <row r="197" spans="1:31" s="347" customFormat="1" ht="15.75" hidden="1" customHeight="1">
      <c r="A197" s="1176" t="str">
        <f>IF(B197&lt;&gt;"",IF(AND(B197='IN-TC'!$S$4,OR(TH!N197="1111",TH!O197="1111")),TH!D197,""),"")</f>
        <v/>
      </c>
      <c r="B197" s="63">
        <f t="shared" si="27"/>
        <v>8</v>
      </c>
      <c r="C197" s="865">
        <v>42606</v>
      </c>
      <c r="D197" s="865" t="s">
        <v>1917</v>
      </c>
      <c r="E197" s="865">
        <f t="shared" si="30"/>
        <v>42606</v>
      </c>
      <c r="F197" s="866" t="s">
        <v>1918</v>
      </c>
      <c r="G197" s="979" t="s">
        <v>1920</v>
      </c>
      <c r="H197" s="971" t="s">
        <v>1546</v>
      </c>
      <c r="I197" s="972">
        <v>8100</v>
      </c>
      <c r="J197" s="974">
        <v>1</v>
      </c>
      <c r="K197" s="973">
        <f t="shared" si="28"/>
        <v>8100</v>
      </c>
      <c r="L197" s="972">
        <v>22260</v>
      </c>
      <c r="M197" s="867">
        <f t="shared" si="29"/>
        <v>180306000</v>
      </c>
      <c r="N197" s="873" t="s">
        <v>588</v>
      </c>
      <c r="O197" s="873" t="s">
        <v>298</v>
      </c>
      <c r="P197" s="84" t="str">
        <f>IF(AND('331-CT'!$E$7=TH!H197,OR(N197="331",O197="331")),"x","")</f>
        <v/>
      </c>
      <c r="Q197" s="84" t="str">
        <f>IF(AND(B197='111'!$L$11,OR($N197=$Q$7,$O197=$Q$7)),"x","")</f>
        <v/>
      </c>
      <c r="R197" s="84" t="str">
        <f>IF(AND($N197=$Q$7,$B197&lt;'111'!$L$11),"x","")</f>
        <v/>
      </c>
      <c r="S197" s="84" t="str">
        <f>IF(AND($O197=$Q$7,$B197&lt;'111'!$L$11),"x","")</f>
        <v/>
      </c>
      <c r="T197" s="84" t="str">
        <f>IF(ISERROR(FIND('112'!$M$9,G197,1)),"",IF((AND(FIND('112'!$M$9,G197,1)&gt;=1,B197='112'!$K$9,OR($N197='112'!$I$6,$O197='112'!$I$6))),"x",""))</f>
        <v/>
      </c>
      <c r="U197" s="84" t="str">
        <f>IF(ISERROR(FIND('112'!$M$9,G197,1)),"",IF((AND(LEFT(G197,2)=LEFT('112'!$M$9,2),B197&lt;'112'!$K$9,$N197='112'!$I$6)),"x",""))</f>
        <v/>
      </c>
      <c r="V197" s="84" t="str">
        <f>IF(ISERROR(FIND('112'!$M$9,G197,1)),"",IF((AND(RIGHT(G197,2)=RIGHT('112'!$M$9,2),B197&lt;'112'!$K$9,$O197='112'!$I$6)),"x",""))</f>
        <v/>
      </c>
      <c r="W197" s="84" t="str">
        <f>IF(AND('341-CT'!$H$9=H197,OR(LEFT(N197,3)=$W$7,LEFT(O197,3)=$W$7)),"x","")</f>
        <v/>
      </c>
      <c r="X197" s="84" t="str">
        <f>IF(OR(TH!N197=TH!$X$7,O197=TH!$X$7),"x","")</f>
        <v/>
      </c>
      <c r="Y197" s="84" t="str">
        <f>IF(AND(OR(N197="131",O197="131"),H197='131-CT'!$H$9),"x","")</f>
        <v/>
      </c>
      <c r="Z197" s="84"/>
      <c r="AA197" s="84" t="str">
        <f>IF(AND(MONTH(E197)='IN-NX'!$J$5,'IN-NX'!$D$7=D197),"x","")</f>
        <v/>
      </c>
      <c r="AB197" s="84" t="str">
        <f>IF(AND(OR(LEFT(TH!N197,2)="15",LEFT(TH!O197,2)="15"),LEFT(TH!O197,3)&lt;&gt;"111",'152-CT'!$J$8=TH!F197),"x","")</f>
        <v/>
      </c>
      <c r="AC197" s="84" t="str">
        <f>IF(AND(OR(LEFT(TH!N197,2)="15",LEFT(TH!O197,2)="15"),TK!$E$7=TH!F197),"x","")</f>
        <v/>
      </c>
      <c r="AD197" s="84" t="str">
        <f>IF(AND(N197="1521",MONTH(C197)='BK-NL'!$M$11),"x","")</f>
        <v/>
      </c>
      <c r="AE197" s="341"/>
    </row>
    <row r="198" spans="1:31" s="347" customFormat="1" ht="15.75" hidden="1" customHeight="1">
      <c r="A198" s="1176" t="str">
        <f>IF(B198&lt;&gt;"",IF(AND(B198='IN-TC'!$S$4,OR(TH!N198="1111",TH!O198="1111")),TH!D198,""),"")</f>
        <v/>
      </c>
      <c r="B198" s="63">
        <f t="shared" si="27"/>
        <v>8</v>
      </c>
      <c r="C198" s="865">
        <v>42606</v>
      </c>
      <c r="D198" s="865" t="s">
        <v>1917</v>
      </c>
      <c r="E198" s="865">
        <f t="shared" si="30"/>
        <v>42606</v>
      </c>
      <c r="F198" s="866" t="s">
        <v>1919</v>
      </c>
      <c r="G198" s="979" t="s">
        <v>1920</v>
      </c>
      <c r="H198" s="971" t="s">
        <v>1546</v>
      </c>
      <c r="I198" s="972">
        <v>3150</v>
      </c>
      <c r="J198" s="974">
        <v>1</v>
      </c>
      <c r="K198" s="973">
        <f t="shared" si="28"/>
        <v>3150</v>
      </c>
      <c r="L198" s="972">
        <v>22260</v>
      </c>
      <c r="M198" s="867">
        <f t="shared" si="29"/>
        <v>70119000</v>
      </c>
      <c r="N198" s="873" t="s">
        <v>588</v>
      </c>
      <c r="O198" s="873" t="s">
        <v>298</v>
      </c>
      <c r="P198" s="84" t="str">
        <f>IF(AND('331-CT'!$E$7=TH!H198,OR(N198="331",O198="331")),"x","")</f>
        <v/>
      </c>
      <c r="Q198" s="84" t="str">
        <f>IF(AND(B198='111'!$L$11,OR($N198=$Q$7,$O198=$Q$7)),"x","")</f>
        <v/>
      </c>
      <c r="R198" s="84" t="str">
        <f>IF(AND($N198=$Q$7,$B198&lt;'111'!$L$11),"x","")</f>
        <v/>
      </c>
      <c r="S198" s="84" t="str">
        <f>IF(AND($O198=$Q$7,$B198&lt;'111'!$L$11),"x","")</f>
        <v/>
      </c>
      <c r="T198" s="84" t="str">
        <f>IF(ISERROR(FIND('112'!$M$9,G198,1)),"",IF((AND(FIND('112'!$M$9,G198,1)&gt;=1,B198='112'!$K$9,OR($N198='112'!$I$6,$O198='112'!$I$6))),"x",""))</f>
        <v/>
      </c>
      <c r="U198" s="84" t="str">
        <f>IF(ISERROR(FIND('112'!$M$9,G198,1)),"",IF((AND(LEFT(G198,2)=LEFT('112'!$M$9,2),B198&lt;'112'!$K$9,$N198='112'!$I$6)),"x",""))</f>
        <v/>
      </c>
      <c r="V198" s="84" t="str">
        <f>IF(ISERROR(FIND('112'!$M$9,G198,1)),"",IF((AND(RIGHT(G198,2)=RIGHT('112'!$M$9,2),B198&lt;'112'!$K$9,$O198='112'!$I$6)),"x",""))</f>
        <v/>
      </c>
      <c r="W198" s="84" t="str">
        <f>IF(AND('341-CT'!$H$9=H198,OR(LEFT(N198,3)=$W$7,LEFT(O198,3)=$W$7)),"x","")</f>
        <v/>
      </c>
      <c r="X198" s="84" t="str">
        <f>IF(OR(TH!N198=TH!$X$7,O198=TH!$X$7),"x","")</f>
        <v/>
      </c>
      <c r="Y198" s="84" t="str">
        <f>IF(AND(OR(N198="131",O198="131"),H198='131-CT'!$H$9),"x","")</f>
        <v/>
      </c>
      <c r="Z198" s="84"/>
      <c r="AA198" s="84" t="str">
        <f>IF(AND(MONTH(E198)='IN-NX'!$J$5,'IN-NX'!$D$7=D198),"x","")</f>
        <v/>
      </c>
      <c r="AB198" s="84" t="str">
        <f>IF(AND(OR(LEFT(TH!N198,2)="15",LEFT(TH!O198,2)="15"),LEFT(TH!O198,3)&lt;&gt;"111",'152-CT'!$J$8=TH!F198),"x","")</f>
        <v/>
      </c>
      <c r="AC198" s="84" t="str">
        <f>IF(AND(OR(LEFT(TH!N198,2)="15",LEFT(TH!O198,2)="15"),TK!$E$7=TH!F198),"x","")</f>
        <v/>
      </c>
      <c r="AD198" s="84" t="str">
        <f>IF(AND(N198="1521",MONTH(C198)='BK-NL'!$M$11),"x","")</f>
        <v/>
      </c>
      <c r="AE198" s="341"/>
    </row>
    <row r="199" spans="1:31" s="347" customFormat="1" ht="15.75" hidden="1" customHeight="1">
      <c r="A199" s="1176" t="str">
        <f>IF(B199&lt;&gt;"",IF(AND(B199='IN-TC'!$S$4,OR(TH!N199="1111",TH!O199="1111")),TH!D199,""),"")</f>
        <v/>
      </c>
      <c r="B199" s="63">
        <f t="shared" si="27"/>
        <v>8</v>
      </c>
      <c r="C199" s="865">
        <v>42608</v>
      </c>
      <c r="D199" s="865" t="s">
        <v>1921</v>
      </c>
      <c r="E199" s="865">
        <f t="shared" si="30"/>
        <v>42608</v>
      </c>
      <c r="F199" s="866" t="s">
        <v>1922</v>
      </c>
      <c r="G199" s="979" t="s">
        <v>1923</v>
      </c>
      <c r="H199" s="971" t="s">
        <v>1887</v>
      </c>
      <c r="I199" s="972">
        <v>500</v>
      </c>
      <c r="J199" s="974">
        <v>12</v>
      </c>
      <c r="K199" s="973">
        <f t="shared" si="28"/>
        <v>6000</v>
      </c>
      <c r="L199" s="972">
        <v>22260</v>
      </c>
      <c r="M199" s="867">
        <f t="shared" si="29"/>
        <v>133560000</v>
      </c>
      <c r="N199" s="873" t="s">
        <v>588</v>
      </c>
      <c r="O199" s="873" t="s">
        <v>298</v>
      </c>
      <c r="P199" s="84" t="str">
        <f>IF(AND('331-CT'!$E$7=TH!H199,OR(N199="331",O199="331")),"x","")</f>
        <v/>
      </c>
      <c r="Q199" s="84" t="str">
        <f>IF(AND(B199='111'!$L$11,OR($N199=$Q$7,$O199=$Q$7)),"x","")</f>
        <v/>
      </c>
      <c r="R199" s="84" t="str">
        <f>IF(AND($N199=$Q$7,$B199&lt;'111'!$L$11),"x","")</f>
        <v/>
      </c>
      <c r="S199" s="84" t="str">
        <f>IF(AND($O199=$Q$7,$B199&lt;'111'!$L$11),"x","")</f>
        <v/>
      </c>
      <c r="T199" s="84" t="str">
        <f>IF(ISERROR(FIND('112'!$M$9,G199,1)),"",IF((AND(FIND('112'!$M$9,G199,1)&gt;=1,B199='112'!$K$9,OR($N199='112'!$I$6,$O199='112'!$I$6))),"x",""))</f>
        <v/>
      </c>
      <c r="U199" s="84" t="str">
        <f>IF(ISERROR(FIND('112'!$M$9,G199,1)),"",IF((AND(LEFT(G199,2)=LEFT('112'!$M$9,2),B199&lt;'112'!$K$9,$N199='112'!$I$6)),"x",""))</f>
        <v/>
      </c>
      <c r="V199" s="84" t="str">
        <f>IF(ISERROR(FIND('112'!$M$9,G199,1)),"",IF((AND(RIGHT(G199,2)=RIGHT('112'!$M$9,2),B199&lt;'112'!$K$9,$O199='112'!$I$6)),"x",""))</f>
        <v/>
      </c>
      <c r="W199" s="84" t="str">
        <f>IF(AND('341-CT'!$H$9=H199,OR(LEFT(N199,3)=$W$7,LEFT(O199,3)=$W$7)),"x","")</f>
        <v/>
      </c>
      <c r="X199" s="84" t="str">
        <f>IF(OR(TH!N199=TH!$X$7,O199=TH!$X$7),"x","")</f>
        <v/>
      </c>
      <c r="Y199" s="84" t="str">
        <f>IF(AND(OR(N199="131",O199="131"),H199='131-CT'!$H$9),"x","")</f>
        <v/>
      </c>
      <c r="Z199" s="84"/>
      <c r="AA199" s="84" t="str">
        <f>IF(AND(MONTH(E199)='IN-NX'!$J$5,'IN-NX'!$D$7=D199),"x","")</f>
        <v/>
      </c>
      <c r="AB199" s="84" t="str">
        <f>IF(AND(OR(LEFT(TH!N199,2)="15",LEFT(TH!O199,2)="15"),LEFT(TH!O199,3)&lt;&gt;"111",'152-CT'!$J$8=TH!F199),"x","")</f>
        <v/>
      </c>
      <c r="AC199" s="84" t="str">
        <f>IF(AND(OR(LEFT(TH!N199,2)="15",LEFT(TH!O199,2)="15"),TK!$E$7=TH!F199),"x","")</f>
        <v/>
      </c>
      <c r="AD199" s="84" t="str">
        <f>IF(AND(N199="1521",MONTH(C199)='BK-NL'!$M$11),"x","")</f>
        <v/>
      </c>
      <c r="AE199" s="341"/>
    </row>
    <row r="200" spans="1:31" s="341" customFormat="1" ht="15.75" hidden="1" customHeight="1">
      <c r="A200" s="336" t="str">
        <f>IF(B200&lt;&gt;"",IF(AND(B200='IN-TC'!$S$4,OR(TH!N200="1111",TH!O200="1111")),TH!D200,""),"")</f>
        <v/>
      </c>
      <c r="B200" s="63">
        <f t="shared" si="27"/>
        <v>1</v>
      </c>
      <c r="C200" s="80">
        <f t="shared" ref="C200:C212" si="31">E200</f>
        <v>42389</v>
      </c>
      <c r="D200" s="80" t="s">
        <v>699</v>
      </c>
      <c r="E200" s="80">
        <v>42389</v>
      </c>
      <c r="F200" s="81" t="s">
        <v>451</v>
      </c>
      <c r="G200" s="81"/>
      <c r="H200" s="82" t="s">
        <v>697</v>
      </c>
      <c r="I200" s="437">
        <v>7100</v>
      </c>
      <c r="J200" s="437">
        <v>192019.31991146883</v>
      </c>
      <c r="K200" s="428"/>
      <c r="L200" s="437"/>
      <c r="M200" s="83">
        <f>ROUND(I200*J200,0)</f>
        <v>1363337171</v>
      </c>
      <c r="N200" s="84" t="s">
        <v>284</v>
      </c>
      <c r="O200" s="84" t="s">
        <v>282</v>
      </c>
      <c r="P200" s="84" t="str">
        <f>IF(AND('331-CT'!$E$7=TH!H200,OR(N200="331",O200="331")),"x","")</f>
        <v/>
      </c>
      <c r="Q200" s="84" t="str">
        <f>IF(AND(B200='111'!$L$11,OR($N200=$Q$7,$O200=$Q$7)),"x","")</f>
        <v/>
      </c>
      <c r="R200" s="84" t="str">
        <f>IF(AND($N200=$Q$7,$B200&lt;'111'!$L$11),"x","")</f>
        <v/>
      </c>
      <c r="S200" s="84" t="str">
        <f>IF(AND($O200=$Q$7,$B200&lt;'111'!$L$11),"x","")</f>
        <v/>
      </c>
      <c r="T200" s="84" t="str">
        <f>IF(ISERROR(FIND('112'!$M$9,G200,1)),"",IF((AND(FIND('112'!$M$9,G200,1)&gt;=1,B200='112'!$K$9,OR($N200='112'!$I$6,$O200='112'!$I$6))),"x",""))</f>
        <v/>
      </c>
      <c r="U200" s="84" t="str">
        <f>IF(ISERROR(FIND('112'!$M$9,G200,1)),"",IF((AND(LEFT(G200,2)=LEFT('112'!$M$9,2),B200&lt;'112'!$K$9,$N200='112'!$I$6)),"x",""))</f>
        <v/>
      </c>
      <c r="V200" s="84" t="str">
        <f>IF(ISERROR(FIND('112'!$M$9,G200,1)),"",IF((AND(RIGHT(G200,2)=RIGHT('112'!$M$9,2),B200&lt;'112'!$K$9,$O200='112'!$I$6)),"x",""))</f>
        <v/>
      </c>
      <c r="W200" s="84" t="str">
        <f>IF(AND('341-CT'!$H$9=H200,OR(LEFT(N200,3)=$W$7,LEFT(O200,3)=$W$7)),"x","")</f>
        <v/>
      </c>
      <c r="X200" s="84" t="str">
        <f>IF(OR(TH!N200=TH!$X$7,O200=TH!$X$7),"x","")</f>
        <v/>
      </c>
      <c r="Y200" s="84" t="str">
        <f>IF(AND(OR(N200="131",O200="131"),H200='131-CT'!$H$9),"x","")</f>
        <v/>
      </c>
      <c r="Z200" s="84"/>
      <c r="AA200" s="84" t="str">
        <f>IF(AND(MONTH(E200)='IN-NX'!$J$5,'IN-NX'!$D$7=D200),"x","")</f>
        <v/>
      </c>
      <c r="AB200" s="84" t="str">
        <f>IF(AND(OR(LEFT(TH!N200,2)="15",LEFT(TH!O200,2)="15"),LEFT(TH!O200,3)&lt;&gt;"111",'152-CT'!$J$8=TH!F200),"x","")</f>
        <v/>
      </c>
      <c r="AC200" s="84" t="str">
        <f>IF(AND(OR(LEFT(TH!N200,2)="15",LEFT(TH!O200,2)="15"),TK!$E$7=TH!F200),"x","")</f>
        <v/>
      </c>
      <c r="AD200" s="84" t="str">
        <f>IF(AND(N200="1521",MONTH(C200)='BK-NL'!$M$11),"x","")</f>
        <v/>
      </c>
    </row>
    <row r="201" spans="1:31" s="341" customFormat="1" ht="15.75" hidden="1" customHeight="1">
      <c r="A201" s="336" t="str">
        <f>IF(B201&lt;&gt;"",IF(AND(B201='IN-TC'!$S$4,OR(TH!N201="1111",TH!O201="1111")),TH!D201,""),"")</f>
        <v/>
      </c>
      <c r="B201" s="63">
        <f t="shared" si="27"/>
        <v>1</v>
      </c>
      <c r="C201" s="80">
        <f t="shared" si="31"/>
        <v>42393</v>
      </c>
      <c r="D201" s="80" t="s">
        <v>700</v>
      </c>
      <c r="E201" s="80">
        <v>42393</v>
      </c>
      <c r="F201" s="81" t="s">
        <v>453</v>
      </c>
      <c r="G201" s="81"/>
      <c r="H201" s="82" t="s">
        <v>697</v>
      </c>
      <c r="I201" s="437">
        <v>4800</v>
      </c>
      <c r="J201" s="437">
        <v>168215.18880885313</v>
      </c>
      <c r="K201" s="428"/>
      <c r="L201" s="437"/>
      <c r="M201" s="83">
        <f t="shared" ref="M201:M206" si="32">ROUND(I201*J201,0)</f>
        <v>807432906</v>
      </c>
      <c r="N201" s="84" t="s">
        <v>284</v>
      </c>
      <c r="O201" s="84" t="s">
        <v>282</v>
      </c>
      <c r="P201" s="84" t="str">
        <f>IF(AND('331-CT'!$E$7=TH!H201,OR(N201="331",O201="331")),"x","")</f>
        <v/>
      </c>
      <c r="Q201" s="84" t="str">
        <f>IF(AND(B201='111'!$L$11,OR($N201=$Q$7,$O201=$Q$7)),"x","")</f>
        <v/>
      </c>
      <c r="R201" s="84" t="str">
        <f>IF(AND($N201=$Q$7,$B201&lt;'111'!$L$11),"x","")</f>
        <v/>
      </c>
      <c r="S201" s="84" t="str">
        <f>IF(AND($O201=$Q$7,$B201&lt;'111'!$L$11),"x","")</f>
        <v/>
      </c>
      <c r="T201" s="84" t="str">
        <f>IF(ISERROR(FIND('112'!$M$9,G201,1)),"",IF((AND(FIND('112'!$M$9,G201,1)&gt;=1,B201='112'!$K$9,OR($N201='112'!$I$6,$O201='112'!$I$6))),"x",""))</f>
        <v/>
      </c>
      <c r="U201" s="84" t="str">
        <f>IF(ISERROR(FIND('112'!$M$9,G201,1)),"",IF((AND(LEFT(G201,2)=LEFT('112'!$M$9,2),B201&lt;'112'!$K$9,$N201='112'!$I$6)),"x",""))</f>
        <v/>
      </c>
      <c r="V201" s="84" t="str">
        <f>IF(ISERROR(FIND('112'!$M$9,G201,1)),"",IF((AND(RIGHT(G201,2)=RIGHT('112'!$M$9,2),B201&lt;'112'!$K$9,$O201='112'!$I$6)),"x",""))</f>
        <v/>
      </c>
      <c r="W201" s="84" t="str">
        <f>IF(AND('341-CT'!$H$9=H201,OR(LEFT(N201,3)=$W$7,LEFT(O201,3)=$W$7)),"x","")</f>
        <v/>
      </c>
      <c r="X201" s="84" t="str">
        <f>IF(OR(TH!N201=TH!$X$7,O201=TH!$X$7),"x","")</f>
        <v/>
      </c>
      <c r="Y201" s="84" t="str">
        <f>IF(AND(OR(N201="131",O201="131"),H201='131-CT'!$H$9),"x","")</f>
        <v/>
      </c>
      <c r="Z201" s="84"/>
      <c r="AA201" s="84" t="str">
        <f>IF(AND(MONTH(E201)='IN-NX'!$J$5,'IN-NX'!$D$7=D201),"x","")</f>
        <v/>
      </c>
      <c r="AB201" s="84" t="str">
        <f>IF(AND(OR(LEFT(TH!N201,2)="15",LEFT(TH!O201,2)="15"),LEFT(TH!O201,3)&lt;&gt;"111",'152-CT'!$J$8=TH!F201),"x","")</f>
        <v/>
      </c>
      <c r="AC201" s="84" t="str">
        <f>IF(AND(OR(LEFT(TH!N201,2)="15",LEFT(TH!O201,2)="15"),TK!$E$7=TH!F201),"x","")</f>
        <v/>
      </c>
      <c r="AD201" s="84" t="str">
        <f>IF(AND(N201="1521",MONTH(C201)='BK-NL'!$M$11),"x","")</f>
        <v/>
      </c>
    </row>
    <row r="202" spans="1:31" s="341" customFormat="1" ht="15.75" hidden="1" customHeight="1">
      <c r="A202" s="336" t="str">
        <f>IF(B202&lt;&gt;"",IF(AND(B202='IN-TC'!$S$4,OR(TH!N202="1111",TH!O202="1111")),TH!D202,""),"")</f>
        <v/>
      </c>
      <c r="B202" s="63">
        <f t="shared" si="27"/>
        <v>1</v>
      </c>
      <c r="C202" s="80">
        <f t="shared" si="31"/>
        <v>42400</v>
      </c>
      <c r="D202" s="80" t="s">
        <v>701</v>
      </c>
      <c r="E202" s="80">
        <v>42400</v>
      </c>
      <c r="F202" s="81" t="s">
        <v>452</v>
      </c>
      <c r="G202" s="81"/>
      <c r="H202" s="82" t="s">
        <v>697</v>
      </c>
      <c r="I202" s="437">
        <v>12000</v>
      </c>
      <c r="J202" s="437">
        <v>175689.47836217305</v>
      </c>
      <c r="K202" s="428"/>
      <c r="L202" s="437"/>
      <c r="M202" s="83">
        <f t="shared" si="32"/>
        <v>2108273740</v>
      </c>
      <c r="N202" s="84" t="s">
        <v>284</v>
      </c>
      <c r="O202" s="84" t="s">
        <v>282</v>
      </c>
      <c r="P202" s="84" t="str">
        <f>IF(AND('331-CT'!$E$7=TH!H202,OR(N202="331",O202="331")),"x","")</f>
        <v/>
      </c>
      <c r="Q202" s="84" t="str">
        <f>IF(AND(B202='111'!$L$11,OR($N202=$Q$7,$O202=$Q$7)),"x","")</f>
        <v/>
      </c>
      <c r="R202" s="84" t="str">
        <f>IF(AND($N202=$Q$7,$B202&lt;'111'!$L$11),"x","")</f>
        <v/>
      </c>
      <c r="S202" s="84" t="str">
        <f>IF(AND($O202=$Q$7,$B202&lt;'111'!$L$11),"x","")</f>
        <v/>
      </c>
      <c r="T202" s="84" t="str">
        <f>IF(ISERROR(FIND('112'!$M$9,G202,1)),"",IF((AND(FIND('112'!$M$9,G202,1)&gt;=1,B202='112'!$K$9,OR($N202='112'!$I$6,$O202='112'!$I$6))),"x",""))</f>
        <v/>
      </c>
      <c r="U202" s="84" t="str">
        <f>IF(ISERROR(FIND('112'!$M$9,G202,1)),"",IF((AND(LEFT(G202,2)=LEFT('112'!$M$9,2),B202&lt;'112'!$K$9,$N202='112'!$I$6)),"x",""))</f>
        <v/>
      </c>
      <c r="V202" s="84" t="str">
        <f>IF(ISERROR(FIND('112'!$M$9,G202,1)),"",IF((AND(RIGHT(G202,2)=RIGHT('112'!$M$9,2),B202&lt;'112'!$K$9,$O202='112'!$I$6)),"x",""))</f>
        <v/>
      </c>
      <c r="W202" s="84" t="str">
        <f>IF(AND('341-CT'!$H$9=H202,OR(LEFT(N202,3)=$W$7,LEFT(O202,3)=$W$7)),"x","")</f>
        <v/>
      </c>
      <c r="X202" s="84" t="str">
        <f>IF(OR(TH!N202=TH!$X$7,O202=TH!$X$7),"x","")</f>
        <v/>
      </c>
      <c r="Y202" s="84" t="str">
        <f>IF(AND(OR(N202="131",O202="131"),H202='131-CT'!$H$9),"x","")</f>
        <v/>
      </c>
      <c r="Z202" s="84"/>
      <c r="AA202" s="84" t="str">
        <f>IF(AND(MONTH(E202)='IN-NX'!$J$5,'IN-NX'!$D$7=D202),"x","")</f>
        <v/>
      </c>
      <c r="AB202" s="84" t="str">
        <f>IF(AND(OR(LEFT(TH!N202,2)="15",LEFT(TH!O202,2)="15"),LEFT(TH!O202,3)&lt;&gt;"111",'152-CT'!$J$8=TH!F202),"x","")</f>
        <v/>
      </c>
      <c r="AC202" s="84" t="str">
        <f>IF(AND(OR(LEFT(TH!N202,2)="15",LEFT(TH!O202,2)="15"),TK!$E$7=TH!F202),"x","")</f>
        <v/>
      </c>
      <c r="AD202" s="84" t="str">
        <f>IF(AND(N202="1521",MONTH(C202)='BK-NL'!$M$11),"x","")</f>
        <v/>
      </c>
    </row>
    <row r="203" spans="1:31" s="341" customFormat="1" ht="15.75" hidden="1" customHeight="1">
      <c r="A203" s="336" t="str">
        <f>IF(B203&lt;&gt;"",IF(AND(B203='IN-TC'!$S$4,OR(TH!N203="1111",TH!O203="1111")),TH!D203,""),"")</f>
        <v/>
      </c>
      <c r="B203" s="63">
        <f t="shared" si="27"/>
        <v>1</v>
      </c>
      <c r="C203" s="94">
        <f t="shared" si="31"/>
        <v>42395</v>
      </c>
      <c r="D203" s="94" t="s">
        <v>596</v>
      </c>
      <c r="E203" s="94">
        <v>42395</v>
      </c>
      <c r="F203" s="95" t="s">
        <v>451</v>
      </c>
      <c r="G203" s="95"/>
      <c r="H203" s="96" t="s">
        <v>601</v>
      </c>
      <c r="I203" s="445">
        <v>7100</v>
      </c>
      <c r="J203" s="445">
        <v>192019.31991146883</v>
      </c>
      <c r="K203" s="436"/>
      <c r="L203" s="445"/>
      <c r="M203" s="97">
        <f t="shared" si="32"/>
        <v>1363337171</v>
      </c>
      <c r="N203" s="85" t="s">
        <v>294</v>
      </c>
      <c r="O203" s="85" t="s">
        <v>284</v>
      </c>
      <c r="P203" s="84" t="str">
        <f>IF(AND('331-CT'!$E$7=TH!H203,OR(N203="331",O203="331")),"x","")</f>
        <v/>
      </c>
      <c r="Q203" s="84" t="str">
        <f>IF(AND(B203='111'!$L$11,OR($N203=$Q$7,$O203=$Q$7)),"x","")</f>
        <v/>
      </c>
      <c r="R203" s="84" t="str">
        <f>IF(AND($N203=$Q$7,$B203&lt;'111'!$L$11),"x","")</f>
        <v/>
      </c>
      <c r="S203" s="84" t="str">
        <f>IF(AND($O203=$Q$7,$B203&lt;'111'!$L$11),"x","")</f>
        <v/>
      </c>
      <c r="T203" s="84" t="str">
        <f>IF(ISERROR(FIND('112'!$M$9,G203,1)),"",IF((AND(FIND('112'!$M$9,G203,1)&gt;=1,B203='112'!$K$9,OR($N203='112'!$I$6,$O203='112'!$I$6))),"x",""))</f>
        <v/>
      </c>
      <c r="U203" s="84" t="str">
        <f>IF(ISERROR(FIND('112'!$M$9,G203,1)),"",IF((AND(LEFT(G203,2)=LEFT('112'!$M$9,2),B203&lt;'112'!$K$9,$N203='112'!$I$6)),"x",""))</f>
        <v/>
      </c>
      <c r="V203" s="84" t="str">
        <f>IF(ISERROR(FIND('112'!$M$9,G203,1)),"",IF((AND(RIGHT(G203,2)=RIGHT('112'!$M$9,2),B203&lt;'112'!$K$9,$O203='112'!$I$6)),"x",""))</f>
        <v/>
      </c>
      <c r="W203" s="84" t="str">
        <f>IF(AND('341-CT'!$H$9=H203,OR(LEFT(N203,3)=$W$7,LEFT(O203,3)=$W$7)),"x","")</f>
        <v/>
      </c>
      <c r="X203" s="84" t="str">
        <f>IF(OR(TH!N203=TH!$X$7,O203=TH!$X$7),"x","")</f>
        <v/>
      </c>
      <c r="Y203" s="84" t="str">
        <f>IF(AND(OR(N203="131",O203="131"),H203='131-CT'!$H$9),"x","")</f>
        <v/>
      </c>
      <c r="Z203" s="84"/>
      <c r="AA203" s="84" t="str">
        <f>IF(AND(MONTH(E203)='IN-NX'!$J$5,'IN-NX'!$D$7=D203),"x","")</f>
        <v/>
      </c>
      <c r="AB203" s="84" t="str">
        <f>IF(AND(OR(LEFT(TH!N203,2)="15",LEFT(TH!O203,2)="15"),LEFT(TH!O203,3)&lt;&gt;"111",'152-CT'!$J$8=TH!F203),"x","")</f>
        <v/>
      </c>
      <c r="AC203" s="84" t="str">
        <f>IF(AND(OR(LEFT(TH!N203,2)="15",LEFT(TH!O203,2)="15"),TK!$E$7=TH!F203),"x","")</f>
        <v/>
      </c>
      <c r="AD203" s="84" t="str">
        <f>IF(AND(N203="1521",MONTH(C203)='BK-NL'!$M$11),"x","")</f>
        <v/>
      </c>
    </row>
    <row r="204" spans="1:31" s="341" customFormat="1" ht="15.75" hidden="1" customHeight="1">
      <c r="A204" s="336" t="str">
        <f>IF(B204&lt;&gt;"",IF(AND(B204='IN-TC'!$S$4,OR(TH!N204="1111",TH!O204="1111")),TH!D204,""),"")</f>
        <v/>
      </c>
      <c r="B204" s="63">
        <f t="shared" si="27"/>
        <v>1</v>
      </c>
      <c r="C204" s="94">
        <f t="shared" si="31"/>
        <v>42395</v>
      </c>
      <c r="D204" s="94" t="s">
        <v>597</v>
      </c>
      <c r="E204" s="94">
        <v>42395</v>
      </c>
      <c r="F204" s="95" t="s">
        <v>453</v>
      </c>
      <c r="G204" s="95"/>
      <c r="H204" s="96" t="s">
        <v>598</v>
      </c>
      <c r="I204" s="445">
        <v>4800</v>
      </c>
      <c r="J204" s="445">
        <v>168215.18880885313</v>
      </c>
      <c r="K204" s="436"/>
      <c r="L204" s="445"/>
      <c r="M204" s="97">
        <f t="shared" si="32"/>
        <v>807432906</v>
      </c>
      <c r="N204" s="85" t="s">
        <v>294</v>
      </c>
      <c r="O204" s="85" t="s">
        <v>284</v>
      </c>
      <c r="P204" s="84" t="str">
        <f>IF(AND('331-CT'!$E$7=TH!H204,OR(N204="331",O204="331")),"x","")</f>
        <v/>
      </c>
      <c r="Q204" s="84" t="str">
        <f>IF(AND(B204='111'!$L$11,OR($N204=$Q$7,$O204=$Q$7)),"x","")</f>
        <v/>
      </c>
      <c r="R204" s="84" t="str">
        <f>IF(AND($N204=$Q$7,$B204&lt;'111'!$L$11),"x","")</f>
        <v/>
      </c>
      <c r="S204" s="84" t="str">
        <f>IF(AND($O204=$Q$7,$B204&lt;'111'!$L$11),"x","")</f>
        <v/>
      </c>
      <c r="T204" s="84" t="str">
        <f>IF(ISERROR(FIND('112'!$M$9,G204,1)),"",IF((AND(FIND('112'!$M$9,G204,1)&gt;=1,B204='112'!$K$9,OR($N204='112'!$I$6,$O204='112'!$I$6))),"x",""))</f>
        <v/>
      </c>
      <c r="U204" s="84" t="str">
        <f>IF(ISERROR(FIND('112'!$M$9,G204,1)),"",IF((AND(LEFT(G204,2)=LEFT('112'!$M$9,2),B204&lt;'112'!$K$9,$N204='112'!$I$6)),"x",""))</f>
        <v/>
      </c>
      <c r="V204" s="84" t="str">
        <f>IF(ISERROR(FIND('112'!$M$9,G204,1)),"",IF((AND(RIGHT(G204,2)=RIGHT('112'!$M$9,2),B204&lt;'112'!$K$9,$O204='112'!$I$6)),"x",""))</f>
        <v/>
      </c>
      <c r="W204" s="84" t="str">
        <f>IF(AND('341-CT'!$H$9=H204,OR(LEFT(N204,3)=$W$7,LEFT(O204,3)=$W$7)),"x","")</f>
        <v/>
      </c>
      <c r="X204" s="84" t="str">
        <f>IF(OR(TH!N204=TH!$X$7,O204=TH!$X$7),"x","")</f>
        <v/>
      </c>
      <c r="Y204" s="84" t="str">
        <f>IF(AND(OR(N204="131",O204="131"),H204='131-CT'!$H$9),"x","")</f>
        <v/>
      </c>
      <c r="Z204" s="84"/>
      <c r="AA204" s="84" t="str">
        <f>IF(AND(MONTH(E204)='IN-NX'!$J$5,'IN-NX'!$D$7=D204),"x","")</f>
        <v/>
      </c>
      <c r="AB204" s="84" t="str">
        <f>IF(AND(OR(LEFT(TH!N204,2)="15",LEFT(TH!O204,2)="15"),LEFT(TH!O204,3)&lt;&gt;"111",'152-CT'!$J$8=TH!F204),"x","")</f>
        <v/>
      </c>
      <c r="AC204" s="84" t="str">
        <f>IF(AND(OR(LEFT(TH!N204,2)="15",LEFT(TH!O204,2)="15"),TK!$E$7=TH!F204),"x","")</f>
        <v/>
      </c>
      <c r="AD204" s="84" t="str">
        <f>IF(AND(N204="1521",MONTH(C204)='BK-NL'!$M$11),"x","")</f>
        <v/>
      </c>
    </row>
    <row r="205" spans="1:31" s="341" customFormat="1" ht="15.75" hidden="1" customHeight="1">
      <c r="A205" s="336" t="str">
        <f>IF(B205&lt;&gt;"",IF(AND(B205='IN-TC'!$S$4,OR(TH!N205="1111",TH!O205="1111")),TH!D205,""),"")</f>
        <v/>
      </c>
      <c r="B205" s="63">
        <f t="shared" si="27"/>
        <v>2</v>
      </c>
      <c r="C205" s="94">
        <f t="shared" si="31"/>
        <v>42402</v>
      </c>
      <c r="D205" s="94" t="s">
        <v>596</v>
      </c>
      <c r="E205" s="94">
        <v>42402</v>
      </c>
      <c r="F205" s="95" t="s">
        <v>452</v>
      </c>
      <c r="G205" s="95"/>
      <c r="H205" s="988" t="s">
        <v>599</v>
      </c>
      <c r="I205" s="445">
        <v>12000</v>
      </c>
      <c r="J205" s="445">
        <v>175689.47836217305</v>
      </c>
      <c r="K205" s="436"/>
      <c r="L205" s="445"/>
      <c r="M205" s="97">
        <f t="shared" si="32"/>
        <v>2108273740</v>
      </c>
      <c r="N205" s="85" t="s">
        <v>294</v>
      </c>
      <c r="O205" s="85" t="s">
        <v>284</v>
      </c>
      <c r="P205" s="84" t="str">
        <f>IF(AND('331-CT'!$E$7=TH!H205,OR(N205="331",O205="331")),"x","")</f>
        <v/>
      </c>
      <c r="Q205" s="84" t="str">
        <f>IF(AND(B205='111'!$L$11,OR($N205=$Q$7,$O205=$Q$7)),"x","")</f>
        <v/>
      </c>
      <c r="R205" s="84" t="str">
        <f>IF(AND($N205=$Q$7,$B205&lt;'111'!$L$11),"x","")</f>
        <v/>
      </c>
      <c r="S205" s="84" t="str">
        <f>IF(AND($O205=$Q$7,$B205&lt;'111'!$L$11),"x","")</f>
        <v/>
      </c>
      <c r="T205" s="84" t="str">
        <f>IF(ISERROR(FIND('112'!$M$9,G205,1)),"",IF((AND(FIND('112'!$M$9,G205,1)&gt;=1,B205='112'!$K$9,OR($N205='112'!$I$6,$O205='112'!$I$6))),"x",""))</f>
        <v/>
      </c>
      <c r="U205" s="84" t="str">
        <f>IF(ISERROR(FIND('112'!$M$9,G205,1)),"",IF((AND(LEFT(G205,2)=LEFT('112'!$M$9,2),B205&lt;'112'!$K$9,$N205='112'!$I$6)),"x",""))</f>
        <v/>
      </c>
      <c r="V205" s="84" t="str">
        <f>IF(ISERROR(FIND('112'!$M$9,G205,1)),"",IF((AND(RIGHT(G205,2)=RIGHT('112'!$M$9,2),B205&lt;'112'!$K$9,$O205='112'!$I$6)),"x",""))</f>
        <v/>
      </c>
      <c r="W205" s="84" t="str">
        <f>IF(AND('341-CT'!$H$9=H205,OR(LEFT(N205,3)=$W$7,LEFT(O205,3)=$W$7)),"x","")</f>
        <v/>
      </c>
      <c r="X205" s="84" t="str">
        <f>IF(OR(TH!N205=TH!$X$7,O205=TH!$X$7),"x","")</f>
        <v/>
      </c>
      <c r="Y205" s="84" t="str">
        <f>IF(AND(OR(N205="131",O205="131"),H205='131-CT'!$H$9),"x","")</f>
        <v/>
      </c>
      <c r="Z205" s="84"/>
      <c r="AA205" s="84" t="str">
        <f>IF(AND(MONTH(E205)='IN-NX'!$J$5,'IN-NX'!$D$7=D205),"x","")</f>
        <v/>
      </c>
      <c r="AB205" s="84" t="str">
        <f>IF(AND(OR(LEFT(TH!N205,2)="15",LEFT(TH!O205,2)="15"),LEFT(TH!O205,3)&lt;&gt;"111",'152-CT'!$J$8=TH!F205),"x","")</f>
        <v/>
      </c>
      <c r="AC205" s="84" t="str">
        <f>IF(AND(OR(LEFT(TH!N205,2)="15",LEFT(TH!O205,2)="15"),TK!$E$7=TH!F205),"x","")</f>
        <v/>
      </c>
      <c r="AD205" s="84" t="str">
        <f>IF(AND(N205="1521",MONTH(C205)='BK-NL'!$M$11),"x","")</f>
        <v/>
      </c>
    </row>
    <row r="206" spans="1:31" s="341" customFormat="1" ht="15.75" hidden="1" customHeight="1">
      <c r="A206" s="336" t="str">
        <f>IF(B206&lt;&gt;"",IF(AND(B206='IN-TC'!$S$4,OR(TH!N206="1111",TH!O206="1111")),TH!D206,""),"")</f>
        <v/>
      </c>
      <c r="B206" s="63">
        <f t="shared" si="27"/>
        <v>2</v>
      </c>
      <c r="C206" s="80">
        <f t="shared" si="31"/>
        <v>42429</v>
      </c>
      <c r="D206" s="80" t="s">
        <v>699</v>
      </c>
      <c r="E206" s="80">
        <v>42429</v>
      </c>
      <c r="F206" s="81" t="s">
        <v>452</v>
      </c>
      <c r="G206" s="81"/>
      <c r="H206" s="82" t="s">
        <v>698</v>
      </c>
      <c r="I206" s="437">
        <v>8000</v>
      </c>
      <c r="J206" s="437">
        <v>179600.94</v>
      </c>
      <c r="K206" s="428"/>
      <c r="L206" s="437"/>
      <c r="M206" s="83">
        <f t="shared" si="32"/>
        <v>1436807520</v>
      </c>
      <c r="N206" s="88" t="s">
        <v>284</v>
      </c>
      <c r="O206" s="84" t="s">
        <v>282</v>
      </c>
      <c r="P206" s="84" t="str">
        <f>IF(AND('331-CT'!$E$7=TH!H206,OR(N206="331",O206="331")),"x","")</f>
        <v/>
      </c>
      <c r="Q206" s="84" t="str">
        <f>IF(AND(B206='111'!$L$11,OR($N206=$Q$7,$O206=$Q$7)),"x","")</f>
        <v/>
      </c>
      <c r="R206" s="84" t="str">
        <f>IF(AND($N206=$Q$7,$B206&lt;'111'!$L$11),"x","")</f>
        <v/>
      </c>
      <c r="S206" s="84" t="str">
        <f>IF(AND($O206=$Q$7,$B206&lt;'111'!$L$11),"x","")</f>
        <v/>
      </c>
      <c r="T206" s="84" t="str">
        <f>IF(ISERROR(FIND('112'!$M$9,G206,1)),"",IF((AND(FIND('112'!$M$9,G206,1)&gt;=1,B206='112'!$K$9,OR($N206='112'!$I$6,$O206='112'!$I$6))),"x",""))</f>
        <v/>
      </c>
      <c r="U206" s="84" t="str">
        <f>IF(ISERROR(FIND('112'!$M$9,G206,1)),"",IF((AND(LEFT(G206,2)=LEFT('112'!$M$9,2),B206&lt;'112'!$K$9,$N206='112'!$I$6)),"x",""))</f>
        <v/>
      </c>
      <c r="V206" s="84" t="str">
        <f>IF(ISERROR(FIND('112'!$M$9,G206,1)),"",IF((AND(RIGHT(G206,2)=RIGHT('112'!$M$9,2),B206&lt;'112'!$K$9,$O206='112'!$I$6)),"x",""))</f>
        <v/>
      </c>
      <c r="W206" s="84" t="str">
        <f>IF(AND('341-CT'!$H$9=H206,OR(LEFT(N206,3)=$W$7,LEFT(O206,3)=$W$7)),"x","")</f>
        <v/>
      </c>
      <c r="X206" s="84" t="str">
        <f>IF(OR(TH!N206=TH!$X$7,O206=TH!$X$7),"x","")</f>
        <v/>
      </c>
      <c r="Y206" s="84" t="str">
        <f>IF(AND(OR(N206="131",O206="131"),H206='131-CT'!$H$9),"x","")</f>
        <v/>
      </c>
      <c r="Z206" s="84"/>
      <c r="AA206" s="84" t="str">
        <f>IF(AND(MONTH(E206)='IN-NX'!$J$5,'IN-NX'!$D$7=D206),"x","")</f>
        <v/>
      </c>
      <c r="AB206" s="84" t="str">
        <f>IF(AND(OR(LEFT(TH!N206,2)="15",LEFT(TH!O206,2)="15"),LEFT(TH!O206,3)&lt;&gt;"111",'152-CT'!$J$8=TH!F206),"x","")</f>
        <v/>
      </c>
      <c r="AC206" s="84" t="str">
        <f>IF(AND(OR(LEFT(TH!N206,2)="15",LEFT(TH!O206,2)="15"),TK!$E$7=TH!F206),"x","")</f>
        <v/>
      </c>
      <c r="AD206" s="84" t="str">
        <f>IF(AND(N206="1521",MONTH(C206)='BK-NL'!$M$11),"x","")</f>
        <v/>
      </c>
    </row>
    <row r="207" spans="1:31" s="341" customFormat="1" ht="15.75" hidden="1" customHeight="1">
      <c r="A207" s="336" t="str">
        <f>IF(B207&lt;&gt;"",IF(AND(B207='IN-TC'!$S$4,OR(TH!N207="1111",TH!O207="1111")),TH!D207,""),"")</f>
        <v/>
      </c>
      <c r="B207" s="63">
        <f t="shared" si="27"/>
        <v>3</v>
      </c>
      <c r="C207" s="94">
        <f t="shared" si="31"/>
        <v>42430</v>
      </c>
      <c r="D207" s="94" t="s">
        <v>596</v>
      </c>
      <c r="E207" s="94">
        <v>42430</v>
      </c>
      <c r="F207" s="95" t="s">
        <v>452</v>
      </c>
      <c r="G207" s="95"/>
      <c r="H207" s="96" t="s">
        <v>697</v>
      </c>
      <c r="I207" s="445">
        <v>8000</v>
      </c>
      <c r="J207" s="445">
        <v>179600.94</v>
      </c>
      <c r="K207" s="436"/>
      <c r="L207" s="445"/>
      <c r="M207" s="97">
        <f t="shared" ref="M207:M212" si="33">ROUND(I207*J207,0)</f>
        <v>1436807520</v>
      </c>
      <c r="N207" s="1190" t="s">
        <v>282</v>
      </c>
      <c r="O207" s="85" t="s">
        <v>284</v>
      </c>
      <c r="P207" s="84" t="str">
        <f>IF(AND('331-CT'!$E$7=TH!H207,OR(N207="331",O207="331")),"x","")</f>
        <v/>
      </c>
      <c r="Q207" s="84" t="str">
        <f>IF(AND(B207='111'!$L$11,OR($N207=$Q$7,$O207=$Q$7)),"x","")</f>
        <v/>
      </c>
      <c r="R207" s="84" t="str">
        <f>IF(AND($N207=$Q$7,$B207&lt;'111'!$L$11),"x","")</f>
        <v/>
      </c>
      <c r="S207" s="84" t="str">
        <f>IF(AND($O207=$Q$7,$B207&lt;'111'!$L$11),"x","")</f>
        <v/>
      </c>
      <c r="T207" s="84" t="str">
        <f>IF(ISERROR(FIND('112'!$M$9,G207,1)),"",IF((AND(FIND('112'!$M$9,G207,1)&gt;=1,B207='112'!$K$9,OR($N207='112'!$I$6,$O207='112'!$I$6))),"x",""))</f>
        <v/>
      </c>
      <c r="U207" s="84" t="str">
        <f>IF(ISERROR(FIND('112'!$M$9,G207,1)),"",IF((AND(LEFT(G207,2)=LEFT('112'!$M$9,2),B207&lt;'112'!$K$9,$N207='112'!$I$6)),"x",""))</f>
        <v/>
      </c>
      <c r="V207" s="84" t="str">
        <f>IF(ISERROR(FIND('112'!$M$9,G207,1)),"",IF((AND(RIGHT(G207,2)=RIGHT('112'!$M$9,2),B207&lt;'112'!$K$9,$O207='112'!$I$6)),"x",""))</f>
        <v/>
      </c>
      <c r="W207" s="84" t="str">
        <f>IF(AND('341-CT'!$H$9=H207,OR(LEFT(N207,3)=$W$7,LEFT(O207,3)=$W$7)),"x","")</f>
        <v/>
      </c>
      <c r="X207" s="84" t="str">
        <f>IF(OR(TH!N207=TH!$X$7,O207=TH!$X$7),"x","")</f>
        <v/>
      </c>
      <c r="Y207" s="84" t="str">
        <f>IF(AND(OR(N207="131",O207="131"),H207='131-CT'!$H$9),"x","")</f>
        <v/>
      </c>
      <c r="Z207" s="84"/>
      <c r="AA207" s="84" t="str">
        <f>IF(AND(MONTH(E207)='IN-NX'!$J$5,'IN-NX'!$D$7=D207),"x","")</f>
        <v/>
      </c>
      <c r="AB207" s="84" t="str">
        <f>IF(AND(OR(LEFT(TH!N207,2)="15",LEFT(TH!O207,2)="15"),LEFT(TH!O207,3)&lt;&gt;"111",'152-CT'!$J$8=TH!F207),"x","")</f>
        <v/>
      </c>
      <c r="AC207" s="84" t="str">
        <f>IF(AND(OR(LEFT(TH!N207,2)="15",LEFT(TH!O207,2)="15"),TK!$E$7=TH!F207),"x","")</f>
        <v/>
      </c>
      <c r="AD207" s="84" t="str">
        <f>IF(AND(N207="1521",MONTH(C207)='BK-NL'!$M$11),"x","")</f>
        <v/>
      </c>
    </row>
    <row r="208" spans="1:31" s="341" customFormat="1" ht="15.75" hidden="1" customHeight="1">
      <c r="A208" s="336" t="str">
        <f>IF(B208&lt;&gt;"",IF(AND(B208='IN-TC'!$S$4,OR(TH!N208="1111",TH!O208="1111")),TH!D208,""),"")</f>
        <v/>
      </c>
      <c r="B208" s="63">
        <f t="shared" si="27"/>
        <v>3</v>
      </c>
      <c r="C208" s="80">
        <f t="shared" si="31"/>
        <v>42441</v>
      </c>
      <c r="D208" s="80" t="s">
        <v>699</v>
      </c>
      <c r="E208" s="80">
        <v>42441</v>
      </c>
      <c r="F208" s="81" t="s">
        <v>452</v>
      </c>
      <c r="G208" s="81"/>
      <c r="H208" s="82" t="s">
        <v>697</v>
      </c>
      <c r="I208" s="437">
        <v>8000</v>
      </c>
      <c r="J208" s="437">
        <v>181083.19863227222</v>
      </c>
      <c r="K208" s="428"/>
      <c r="L208" s="437"/>
      <c r="M208" s="83">
        <f t="shared" si="33"/>
        <v>1448665589</v>
      </c>
      <c r="N208" s="84" t="s">
        <v>284</v>
      </c>
      <c r="O208" s="84" t="s">
        <v>282</v>
      </c>
      <c r="P208" s="84" t="str">
        <f>IF(AND('331-CT'!$E$7=TH!H208,OR(N208="331",O208="331")),"x","")</f>
        <v/>
      </c>
      <c r="Q208" s="84" t="str">
        <f>IF(AND(B208='111'!$L$11,OR($N208=$Q$7,$O208=$Q$7)),"x","")</f>
        <v/>
      </c>
      <c r="R208" s="84" t="str">
        <f>IF(AND($N208=$Q$7,$B208&lt;'111'!$L$11),"x","")</f>
        <v/>
      </c>
      <c r="S208" s="84" t="str">
        <f>IF(AND($O208=$Q$7,$B208&lt;'111'!$L$11),"x","")</f>
        <v/>
      </c>
      <c r="T208" s="84" t="str">
        <f>IF(ISERROR(FIND('112'!$M$9,G208,1)),"",IF((AND(FIND('112'!$M$9,G208,1)&gt;=1,B208='112'!$K$9,OR($N208='112'!$I$6,$O208='112'!$I$6))),"x",""))</f>
        <v/>
      </c>
      <c r="U208" s="84" t="str">
        <f>IF(ISERROR(FIND('112'!$M$9,G208,1)),"",IF((AND(LEFT(G208,2)=LEFT('112'!$M$9,2),B208&lt;'112'!$K$9,$N208='112'!$I$6)),"x",""))</f>
        <v/>
      </c>
      <c r="V208" s="84" t="str">
        <f>IF(ISERROR(FIND('112'!$M$9,G208,1)),"",IF((AND(RIGHT(G208,2)=RIGHT('112'!$M$9,2),B208&lt;'112'!$K$9,$O208='112'!$I$6)),"x",""))</f>
        <v/>
      </c>
      <c r="W208" s="84" t="str">
        <f>IF(AND('341-CT'!$H$9=H208,OR(LEFT(N208,3)=$W$7,LEFT(O208,3)=$W$7)),"x","")</f>
        <v/>
      </c>
      <c r="X208" s="84" t="str">
        <f>IF(OR(TH!N208=TH!$X$7,O208=TH!$X$7),"x","")</f>
        <v/>
      </c>
      <c r="Y208" s="84" t="str">
        <f>IF(AND(OR(N208="131",O208="131"),H208='131-CT'!$H$9),"x","")</f>
        <v/>
      </c>
      <c r="Z208" s="84"/>
      <c r="AA208" s="84" t="str">
        <f>IF(AND(MONTH(E208)='IN-NX'!$J$5,'IN-NX'!$D$7=D208),"x","")</f>
        <v/>
      </c>
      <c r="AB208" s="84" t="str">
        <f>IF(AND(OR(LEFT(TH!N208,2)="15",LEFT(TH!O208,2)="15"),LEFT(TH!O208,3)&lt;&gt;"111",'152-CT'!$J$8=TH!F208),"x","")</f>
        <v/>
      </c>
      <c r="AC208" s="84" t="str">
        <f>IF(AND(OR(LEFT(TH!N208,2)="15",LEFT(TH!O208,2)="15"),TK!$E$7=TH!F208),"x","")</f>
        <v/>
      </c>
      <c r="AD208" s="84" t="str">
        <f>IF(AND(N208="1521",MONTH(C208)='BK-NL'!$M$11),"x","")</f>
        <v/>
      </c>
    </row>
    <row r="209" spans="1:30" s="341" customFormat="1" ht="15.75" hidden="1" customHeight="1">
      <c r="A209" s="336" t="str">
        <f>IF(B209&lt;&gt;"",IF(AND(B209='IN-TC'!$S$4,OR(TH!N209="1111",TH!O209="1111")),TH!D209,""),"")</f>
        <v/>
      </c>
      <c r="B209" s="63">
        <f t="shared" si="27"/>
        <v>3</v>
      </c>
      <c r="C209" s="80">
        <f t="shared" si="31"/>
        <v>42441</v>
      </c>
      <c r="D209" s="80" t="s">
        <v>699</v>
      </c>
      <c r="E209" s="80">
        <v>42441</v>
      </c>
      <c r="F209" s="81" t="s">
        <v>452</v>
      </c>
      <c r="G209" s="81"/>
      <c r="H209" s="82" t="s">
        <v>697</v>
      </c>
      <c r="I209" s="437">
        <v>4500</v>
      </c>
      <c r="J209" s="437">
        <v>184165.09985752995</v>
      </c>
      <c r="K209" s="428"/>
      <c r="L209" s="437"/>
      <c r="M209" s="83">
        <f t="shared" si="33"/>
        <v>828742949</v>
      </c>
      <c r="N209" s="84" t="s">
        <v>284</v>
      </c>
      <c r="O209" s="84" t="s">
        <v>282</v>
      </c>
      <c r="P209" s="84" t="str">
        <f>IF(AND('331-CT'!$E$7=TH!H209,OR(N209="331",O209="331")),"x","")</f>
        <v/>
      </c>
      <c r="Q209" s="84" t="str">
        <f>IF(AND(B209='111'!$L$11,OR($N209=$Q$7,$O209=$Q$7)),"x","")</f>
        <v/>
      </c>
      <c r="R209" s="84" t="str">
        <f>IF(AND($N209=$Q$7,$B209&lt;'111'!$L$11),"x","")</f>
        <v/>
      </c>
      <c r="S209" s="84" t="str">
        <f>IF(AND($O209=$Q$7,$B209&lt;'111'!$L$11),"x","")</f>
        <v/>
      </c>
      <c r="T209" s="84" t="str">
        <f>IF(ISERROR(FIND('112'!$M$9,G209,1)),"",IF((AND(FIND('112'!$M$9,G209,1)&gt;=1,B209='112'!$K$9,OR($N209='112'!$I$6,$O209='112'!$I$6))),"x",""))</f>
        <v/>
      </c>
      <c r="U209" s="84" t="str">
        <f>IF(ISERROR(FIND('112'!$M$9,G209,1)),"",IF((AND(LEFT(G209,2)=LEFT('112'!$M$9,2),B209&lt;'112'!$K$9,$N209='112'!$I$6)),"x",""))</f>
        <v/>
      </c>
      <c r="V209" s="84" t="str">
        <f>IF(ISERROR(FIND('112'!$M$9,G209,1)),"",IF((AND(RIGHT(G209,2)=RIGHT('112'!$M$9,2),B209&lt;'112'!$K$9,$O209='112'!$I$6)),"x",""))</f>
        <v/>
      </c>
      <c r="W209" s="84" t="str">
        <f>IF(AND('341-CT'!$H$9=H209,OR(LEFT(N209,3)=$W$7,LEFT(O209,3)=$W$7)),"x","")</f>
        <v/>
      </c>
      <c r="X209" s="84" t="str">
        <f>IF(OR(TH!N209=TH!$X$7,O209=TH!$X$7),"x","")</f>
        <v/>
      </c>
      <c r="Y209" s="84" t="str">
        <f>IF(AND(OR(N209="131",O209="131"),H209='131-CT'!$H$9),"x","")</f>
        <v/>
      </c>
      <c r="Z209" s="84"/>
      <c r="AA209" s="84" t="str">
        <f>IF(AND(MONTH(E209)='IN-NX'!$J$5,'IN-NX'!$D$7=D209),"x","")</f>
        <v/>
      </c>
      <c r="AB209" s="84" t="str">
        <f>IF(AND(OR(LEFT(TH!N209,2)="15",LEFT(TH!O209,2)="15"),LEFT(TH!O209,3)&lt;&gt;"111",'152-CT'!$J$8=TH!F209),"x","")</f>
        <v/>
      </c>
      <c r="AC209" s="84" t="str">
        <f>IF(AND(OR(LEFT(TH!N209,2)="15",LEFT(TH!O209,2)="15"),TK!$E$7=TH!F209),"x","")</f>
        <v/>
      </c>
      <c r="AD209" s="84" t="str">
        <f>IF(AND(N209="1521",MONTH(C209)='BK-NL'!$M$11),"x","")</f>
        <v/>
      </c>
    </row>
    <row r="210" spans="1:30" s="341" customFormat="1" ht="15.75" hidden="1" customHeight="1">
      <c r="A210" s="336" t="str">
        <f>IF(B210&lt;&gt;"",IF(AND(B210='IN-TC'!$S$4,OR(TH!N210="1111",TH!O210="1111")),TH!D210,""),"")</f>
        <v/>
      </c>
      <c r="B210" s="63">
        <f t="shared" si="27"/>
        <v>3</v>
      </c>
      <c r="C210" s="80">
        <v>42459</v>
      </c>
      <c r="D210" s="80" t="s">
        <v>700</v>
      </c>
      <c r="E210" s="80">
        <f>C210</f>
        <v>42459</v>
      </c>
      <c r="F210" s="81" t="s">
        <v>453</v>
      </c>
      <c r="G210" s="81"/>
      <c r="H210" s="82" t="s">
        <v>698</v>
      </c>
      <c r="I210" s="437">
        <v>5000</v>
      </c>
      <c r="J210" s="437">
        <v>177899.07191658748</v>
      </c>
      <c r="K210" s="428"/>
      <c r="L210" s="437"/>
      <c r="M210" s="83">
        <f t="shared" si="33"/>
        <v>889495360</v>
      </c>
      <c r="N210" s="84" t="s">
        <v>284</v>
      </c>
      <c r="O210" s="84" t="s">
        <v>282</v>
      </c>
      <c r="P210" s="84" t="str">
        <f>IF(AND('331-CT'!$E$7=TH!H210,OR(N210="331",O210="331")),"x","")</f>
        <v/>
      </c>
      <c r="Q210" s="84" t="str">
        <f>IF(AND(B210='111'!$L$11,OR($N210=$Q$7,$O210=$Q$7)),"x","")</f>
        <v/>
      </c>
      <c r="R210" s="84" t="str">
        <f>IF(AND($N210=$Q$7,$B210&lt;'111'!$L$11),"x","")</f>
        <v/>
      </c>
      <c r="S210" s="84" t="str">
        <f>IF(AND($O210=$Q$7,$B210&lt;'111'!$L$11),"x","")</f>
        <v/>
      </c>
      <c r="T210" s="84" t="str">
        <f>IF(ISERROR(FIND('112'!$M$9,G210,1)),"",IF((AND(FIND('112'!$M$9,G210,1)&gt;=1,B210='112'!$K$9,OR($N210='112'!$I$6,$O210='112'!$I$6))),"x",""))</f>
        <v/>
      </c>
      <c r="U210" s="84" t="str">
        <f>IF(ISERROR(FIND('112'!$M$9,G210,1)),"",IF((AND(LEFT(G210,2)=LEFT('112'!$M$9,2),B210&lt;'112'!$K$9,$N210='112'!$I$6)),"x",""))</f>
        <v/>
      </c>
      <c r="V210" s="84" t="str">
        <f>IF(ISERROR(FIND('112'!$M$9,G210,1)),"",IF((AND(RIGHT(G210,2)=RIGHT('112'!$M$9,2),B210&lt;'112'!$K$9,$O210='112'!$I$6)),"x",""))</f>
        <v/>
      </c>
      <c r="W210" s="84" t="str">
        <f>IF(AND('341-CT'!$H$9=H210,OR(LEFT(N210,3)=$W$7,LEFT(O210,3)=$W$7)),"x","")</f>
        <v/>
      </c>
      <c r="X210" s="84" t="str">
        <f>IF(OR(TH!N210=TH!$X$7,O210=TH!$X$7),"x","")</f>
        <v/>
      </c>
      <c r="Y210" s="84" t="str">
        <f>IF(AND(OR(N210="131",O210="131"),H210='131-CT'!$H$9),"x","")</f>
        <v/>
      </c>
      <c r="Z210" s="84"/>
      <c r="AA210" s="84" t="str">
        <f>IF(AND(MONTH(E210)='IN-NX'!$J$5,'IN-NX'!$D$7=D210),"x","")</f>
        <v/>
      </c>
      <c r="AB210" s="84" t="str">
        <f>IF(AND(OR(LEFT(TH!N210,2)="15",LEFT(TH!O210,2)="15"),LEFT(TH!O210,3)&lt;&gt;"111",'152-CT'!$J$8=TH!F210),"x","")</f>
        <v/>
      </c>
      <c r="AC210" s="84" t="str">
        <f>IF(AND(OR(LEFT(TH!N210,2)="15",LEFT(TH!O210,2)="15"),TK!$E$7=TH!F210),"x","")</f>
        <v/>
      </c>
      <c r="AD210" s="84" t="str">
        <f>IF(AND(N210="1521",MONTH(C210)='BK-NL'!$M$11),"x","")</f>
        <v/>
      </c>
    </row>
    <row r="211" spans="1:30" s="341" customFormat="1" ht="15.75" hidden="1" customHeight="1">
      <c r="A211" s="336" t="str">
        <f>IF(B211&lt;&gt;"",IF(AND(B211='IN-TC'!$S$4,OR(TH!N211="1111",TH!O211="1111")),TH!D211,""),"")</f>
        <v/>
      </c>
      <c r="B211" s="63">
        <f t="shared" si="27"/>
        <v>3</v>
      </c>
      <c r="C211" s="94">
        <f>E211</f>
        <v>42443</v>
      </c>
      <c r="D211" s="94" t="s">
        <v>597</v>
      </c>
      <c r="E211" s="94">
        <v>42443</v>
      </c>
      <c r="F211" s="95" t="s">
        <v>452</v>
      </c>
      <c r="G211" s="95"/>
      <c r="H211" s="988" t="s">
        <v>599</v>
      </c>
      <c r="I211" s="445">
        <v>8000</v>
      </c>
      <c r="J211" s="445">
        <v>181083.19863227222</v>
      </c>
      <c r="K211" s="436"/>
      <c r="L211" s="445"/>
      <c r="M211" s="97">
        <f t="shared" si="33"/>
        <v>1448665589</v>
      </c>
      <c r="N211" s="85" t="s">
        <v>294</v>
      </c>
      <c r="O211" s="85" t="s">
        <v>284</v>
      </c>
      <c r="P211" s="84" t="str">
        <f>IF(AND('331-CT'!$E$7=TH!H211,OR(N211="331",O211="331")),"x","")</f>
        <v/>
      </c>
      <c r="Q211" s="84" t="str">
        <f>IF(AND(B211='111'!$L$11,OR($N211=$Q$7,$O211=$Q$7)),"x","")</f>
        <v/>
      </c>
      <c r="R211" s="84" t="str">
        <f>IF(AND($N211=$Q$7,$B211&lt;'111'!$L$11),"x","")</f>
        <v/>
      </c>
      <c r="S211" s="84" t="str">
        <f>IF(AND($O211=$Q$7,$B211&lt;'111'!$L$11),"x","")</f>
        <v/>
      </c>
      <c r="T211" s="84" t="str">
        <f>IF(ISERROR(FIND('112'!$M$9,G211,1)),"",IF((AND(FIND('112'!$M$9,G211,1)&gt;=1,B211='112'!$K$9,OR($N211='112'!$I$6,$O211='112'!$I$6))),"x",""))</f>
        <v/>
      </c>
      <c r="U211" s="84" t="str">
        <f>IF(ISERROR(FIND('112'!$M$9,G211,1)),"",IF((AND(LEFT(G211,2)=LEFT('112'!$M$9,2),B211&lt;'112'!$K$9,$N211='112'!$I$6)),"x",""))</f>
        <v/>
      </c>
      <c r="V211" s="84" t="str">
        <f>IF(ISERROR(FIND('112'!$M$9,G211,1)),"",IF((AND(RIGHT(G211,2)=RIGHT('112'!$M$9,2),B211&lt;'112'!$K$9,$O211='112'!$I$6)),"x",""))</f>
        <v/>
      </c>
      <c r="W211" s="84" t="str">
        <f>IF(AND('341-CT'!$H$9=H211,OR(LEFT(N211,3)=$W$7,LEFT(O211,3)=$W$7)),"x","")</f>
        <v/>
      </c>
      <c r="X211" s="84" t="str">
        <f>IF(OR(TH!N211=TH!$X$7,O211=TH!$X$7),"x","")</f>
        <v/>
      </c>
      <c r="Y211" s="84" t="str">
        <f>IF(AND(OR(N211="131",O211="131"),H211='131-CT'!$H$9),"x","")</f>
        <v/>
      </c>
      <c r="Z211" s="84"/>
      <c r="AA211" s="84" t="str">
        <f>IF(AND(MONTH(E211)='IN-NX'!$J$5,'IN-NX'!$D$7=D211),"x","")</f>
        <v/>
      </c>
      <c r="AB211" s="84" t="str">
        <f>IF(AND(OR(LEFT(TH!N211,2)="15",LEFT(TH!O211,2)="15"),LEFT(TH!O211,3)&lt;&gt;"111",'152-CT'!$J$8=TH!F211),"x","")</f>
        <v/>
      </c>
      <c r="AC211" s="84" t="str">
        <f>IF(AND(OR(LEFT(TH!N211,2)="15",LEFT(TH!O211,2)="15"),TK!$E$7=TH!F211),"x","")</f>
        <v/>
      </c>
      <c r="AD211" s="84" t="str">
        <f>IF(AND(N211="1521",MONTH(C211)='BK-NL'!$M$11),"x","")</f>
        <v/>
      </c>
    </row>
    <row r="212" spans="1:30" s="341" customFormat="1" ht="15.75" hidden="1" customHeight="1">
      <c r="A212" s="336" t="str">
        <f>IF(B212&lt;&gt;"",IF(AND(B212='IN-TC'!$S$4,OR(TH!N212="1111",TH!O212="1111")),TH!D212,""),"")</f>
        <v/>
      </c>
      <c r="B212" s="63">
        <f t="shared" si="27"/>
        <v>3</v>
      </c>
      <c r="C212" s="94">
        <f t="shared" si="31"/>
        <v>42443</v>
      </c>
      <c r="D212" s="94" t="s">
        <v>597</v>
      </c>
      <c r="E212" s="94">
        <v>42443</v>
      </c>
      <c r="F212" s="95" t="s">
        <v>452</v>
      </c>
      <c r="G212" s="95"/>
      <c r="H212" s="988" t="s">
        <v>599</v>
      </c>
      <c r="I212" s="445">
        <v>4500</v>
      </c>
      <c r="J212" s="445">
        <v>184165.09985752995</v>
      </c>
      <c r="K212" s="436"/>
      <c r="L212" s="445"/>
      <c r="M212" s="97">
        <f t="shared" si="33"/>
        <v>828742949</v>
      </c>
      <c r="N212" s="85" t="s">
        <v>294</v>
      </c>
      <c r="O212" s="85" t="s">
        <v>284</v>
      </c>
      <c r="P212" s="84" t="str">
        <f>IF(AND('331-CT'!$E$7=TH!H212,OR(N212="331",O212="331")),"x","")</f>
        <v/>
      </c>
      <c r="Q212" s="84" t="str">
        <f>IF(AND(B212='111'!$L$11,OR($N212=$Q$7,$O212=$Q$7)),"x","")</f>
        <v/>
      </c>
      <c r="R212" s="84" t="str">
        <f>IF(AND($N212=$Q$7,$B212&lt;'111'!$L$11),"x","")</f>
        <v/>
      </c>
      <c r="S212" s="84" t="str">
        <f>IF(AND($O212=$Q$7,$B212&lt;'111'!$L$11),"x","")</f>
        <v/>
      </c>
      <c r="T212" s="84" t="str">
        <f>IF(ISERROR(FIND('112'!$M$9,G212,1)),"",IF((AND(FIND('112'!$M$9,G212,1)&gt;=1,B212='112'!$K$9,OR($N212='112'!$I$6,$O212='112'!$I$6))),"x",""))</f>
        <v/>
      </c>
      <c r="U212" s="84" t="str">
        <f>IF(ISERROR(FIND('112'!$M$9,G212,1)),"",IF((AND(LEFT(G212,2)=LEFT('112'!$M$9,2),B212&lt;'112'!$K$9,$N212='112'!$I$6)),"x",""))</f>
        <v/>
      </c>
      <c r="V212" s="84" t="str">
        <f>IF(ISERROR(FIND('112'!$M$9,G212,1)),"",IF((AND(RIGHT(G212,2)=RIGHT('112'!$M$9,2),B212&lt;'112'!$K$9,$O212='112'!$I$6)),"x",""))</f>
        <v/>
      </c>
      <c r="W212" s="84" t="str">
        <f>IF(AND('341-CT'!$H$9=H212,OR(LEFT(N212,3)=$W$7,LEFT(O212,3)=$W$7)),"x","")</f>
        <v/>
      </c>
      <c r="X212" s="84" t="str">
        <f>IF(OR(TH!N212=TH!$X$7,O212=TH!$X$7),"x","")</f>
        <v/>
      </c>
      <c r="Y212" s="84" t="str">
        <f>IF(AND(OR(N212="131",O212="131"),H212='131-CT'!$H$9),"x","")</f>
        <v/>
      </c>
      <c r="Z212" s="84"/>
      <c r="AA212" s="84" t="str">
        <f>IF(AND(MONTH(E212)='IN-NX'!$J$5,'IN-NX'!$D$7=D212),"x","")</f>
        <v/>
      </c>
      <c r="AB212" s="84" t="str">
        <f>IF(AND(OR(LEFT(TH!N212,2)="15",LEFT(TH!O212,2)="15"),LEFT(TH!O212,3)&lt;&gt;"111",'152-CT'!$J$8=TH!F212),"x","")</f>
        <v/>
      </c>
      <c r="AC212" s="84" t="str">
        <f>IF(AND(OR(LEFT(TH!N212,2)="15",LEFT(TH!O212,2)="15"),TK!$E$7=TH!F212),"x","")</f>
        <v/>
      </c>
      <c r="AD212" s="84" t="str">
        <f>IF(AND(N212="1521",MONTH(C212)='BK-NL'!$M$11),"x","")</f>
        <v/>
      </c>
    </row>
    <row r="213" spans="1:30" s="341" customFormat="1" ht="15.75" hidden="1" customHeight="1">
      <c r="A213" s="336" t="str">
        <f>IF(B213&lt;&gt;"",IF(AND(B213='IN-TC'!$S$4,OR(TH!N213="1111",TH!O213="1111")),TH!D213,""),"")</f>
        <v/>
      </c>
      <c r="B213" s="63">
        <f t="shared" ref="B213:B218" si="34">IF(C213&lt;&gt;"",MONTH(C213),"")</f>
        <v>4</v>
      </c>
      <c r="C213" s="94">
        <v>42465</v>
      </c>
      <c r="D213" s="94" t="s">
        <v>596</v>
      </c>
      <c r="E213" s="94">
        <f>C213</f>
        <v>42465</v>
      </c>
      <c r="F213" s="95" t="s">
        <v>453</v>
      </c>
      <c r="G213" s="95"/>
      <c r="H213" s="96" t="s">
        <v>697</v>
      </c>
      <c r="I213" s="445">
        <v>5000</v>
      </c>
      <c r="J213" s="445">
        <v>177899.07191658748</v>
      </c>
      <c r="K213" s="436"/>
      <c r="L213" s="445"/>
      <c r="M213" s="97">
        <f>ROUND(I213*J213,0)</f>
        <v>889495360</v>
      </c>
      <c r="N213" s="1190" t="s">
        <v>282</v>
      </c>
      <c r="O213" s="85" t="s">
        <v>284</v>
      </c>
      <c r="P213" s="84" t="str">
        <f>IF(AND('331-CT'!$E$7=TH!H213,OR(N213="331",O213="331")),"x","")</f>
        <v/>
      </c>
      <c r="Q213" s="84" t="str">
        <f>IF(AND(B213='111'!$L$11,OR($N213=$Q$7,$O213=$Q$7)),"x","")</f>
        <v/>
      </c>
      <c r="R213" s="84" t="str">
        <f>IF(AND($N213=$Q$7,$B213&lt;'111'!$L$11),"x","")</f>
        <v/>
      </c>
      <c r="S213" s="84" t="str">
        <f>IF(AND($O213=$Q$7,$B213&lt;'111'!$L$11),"x","")</f>
        <v/>
      </c>
      <c r="T213" s="84" t="str">
        <f>IF(ISERROR(FIND('112'!$M$9,G213,1)),"",IF((AND(FIND('112'!$M$9,G213,1)&gt;=1,B213='112'!$K$9,OR($N213='112'!$I$6,$O213='112'!$I$6))),"x",""))</f>
        <v/>
      </c>
      <c r="U213" s="84" t="str">
        <f>IF(ISERROR(FIND('112'!$M$9,G213,1)),"",IF((AND(LEFT(G213,2)=LEFT('112'!$M$9,2),B213&lt;'112'!$K$9,$N213='112'!$I$6)),"x",""))</f>
        <v/>
      </c>
      <c r="V213" s="84" t="str">
        <f>IF(ISERROR(FIND('112'!$M$9,G213,1)),"",IF((AND(RIGHT(G213,2)=RIGHT('112'!$M$9,2),B213&lt;'112'!$K$9,$O213='112'!$I$6)),"x",""))</f>
        <v/>
      </c>
      <c r="W213" s="84" t="str">
        <f>IF(AND('341-CT'!$H$9=H213,OR(LEFT(N213,3)=$W$7,LEFT(O213,3)=$W$7)),"x","")</f>
        <v/>
      </c>
      <c r="X213" s="84" t="str">
        <f>IF(OR(TH!N213=TH!$X$7,O213=TH!$X$7),"x","")</f>
        <v/>
      </c>
      <c r="Y213" s="84" t="str">
        <f>IF(AND(OR(N213="131",O213="131"),H213='131-CT'!$H$9),"x","")</f>
        <v/>
      </c>
      <c r="Z213" s="84"/>
      <c r="AA213" s="84" t="str">
        <f>IF(AND(MONTH(E213)='IN-NX'!$J$5,'IN-NX'!$D$7=D213),"x","")</f>
        <v/>
      </c>
      <c r="AB213" s="84" t="str">
        <f>IF(AND(OR(LEFT(TH!N213,2)="15",LEFT(TH!O213,2)="15"),LEFT(TH!O213,3)&lt;&gt;"111",'152-CT'!$J$8=TH!F213),"x","")</f>
        <v/>
      </c>
      <c r="AC213" s="84" t="str">
        <f>IF(AND(OR(LEFT(TH!N213,2)="15",LEFT(TH!O213,2)="15"),TK!$E$7=TH!F213),"x","")</f>
        <v/>
      </c>
      <c r="AD213" s="84" t="str">
        <f>IF(AND(N213="1521",MONTH(C213)='BK-NL'!$M$11),"x","")</f>
        <v/>
      </c>
    </row>
    <row r="214" spans="1:30" s="341" customFormat="1" ht="15.75" hidden="1" customHeight="1">
      <c r="A214" s="336" t="str">
        <f>IF(B214&lt;&gt;"",IF(AND(B214='IN-TC'!$S$4,OR(TH!N214="1111",TH!O214="1111")),TH!D214,""),"")</f>
        <v/>
      </c>
      <c r="B214" s="63">
        <f t="shared" si="34"/>
        <v>4</v>
      </c>
      <c r="C214" s="80">
        <v>42473</v>
      </c>
      <c r="D214" s="80" t="s">
        <v>699</v>
      </c>
      <c r="E214" s="80">
        <f>C214</f>
        <v>42473</v>
      </c>
      <c r="F214" s="81" t="s">
        <v>453</v>
      </c>
      <c r="G214" s="81"/>
      <c r="H214" s="82" t="s">
        <v>697</v>
      </c>
      <c r="I214" s="437">
        <v>5000</v>
      </c>
      <c r="J214" s="437">
        <v>188312.4362</v>
      </c>
      <c r="K214" s="428"/>
      <c r="L214" s="437"/>
      <c r="M214" s="83">
        <f>ROUND(I214*J214,0)</f>
        <v>941562181</v>
      </c>
      <c r="N214" s="84" t="s">
        <v>284</v>
      </c>
      <c r="O214" s="84" t="s">
        <v>282</v>
      </c>
      <c r="P214" s="84" t="str">
        <f>IF(AND('331-CT'!$E$7=TH!H214,OR(N214="331",O214="331")),"x","")</f>
        <v/>
      </c>
      <c r="Q214" s="84" t="str">
        <f>IF(AND(B214='111'!$L$11,OR($N214=$Q$7,$O214=$Q$7)),"x","")</f>
        <v/>
      </c>
      <c r="R214" s="84" t="str">
        <f>IF(AND($N214=$Q$7,$B214&lt;'111'!$L$11),"x","")</f>
        <v/>
      </c>
      <c r="S214" s="84" t="str">
        <f>IF(AND($O214=$Q$7,$B214&lt;'111'!$L$11),"x","")</f>
        <v/>
      </c>
      <c r="T214" s="84" t="str">
        <f>IF(ISERROR(FIND('112'!$M$9,G214,1)),"",IF((AND(FIND('112'!$M$9,G214,1)&gt;=1,B214='112'!$K$9,OR($N214='112'!$I$6,$O214='112'!$I$6))),"x",""))</f>
        <v/>
      </c>
      <c r="U214" s="84" t="str">
        <f>IF(ISERROR(FIND('112'!$M$9,G214,1)),"",IF((AND(LEFT(G214,2)=LEFT('112'!$M$9,2),B214&lt;'112'!$K$9,$N214='112'!$I$6)),"x",""))</f>
        <v/>
      </c>
      <c r="V214" s="84" t="str">
        <f>IF(ISERROR(FIND('112'!$M$9,G214,1)),"",IF((AND(RIGHT(G214,2)=RIGHT('112'!$M$9,2),B214&lt;'112'!$K$9,$O214='112'!$I$6)),"x",""))</f>
        <v/>
      </c>
      <c r="W214" s="84" t="str">
        <f>IF(AND('341-CT'!$H$9=H214,OR(LEFT(N214,3)=$W$7,LEFT(O214,3)=$W$7)),"x","")</f>
        <v/>
      </c>
      <c r="X214" s="84" t="str">
        <f>IF(OR(TH!N214=TH!$X$7,O214=TH!$X$7),"x","")</f>
        <v/>
      </c>
      <c r="Y214" s="84" t="str">
        <f>IF(AND(OR(N214="131",O214="131"),H214='131-CT'!$H$9),"x","")</f>
        <v/>
      </c>
      <c r="Z214" s="84"/>
      <c r="AA214" s="84" t="str">
        <f>IF(AND(MONTH(E214)='IN-NX'!$J$5,'IN-NX'!$D$7=D214),"x","")</f>
        <v/>
      </c>
      <c r="AB214" s="84" t="str">
        <f>IF(AND(OR(LEFT(TH!N214,2)="15",LEFT(TH!O214,2)="15"),LEFT(TH!O214,3)&lt;&gt;"111",'152-CT'!$J$8=TH!F214),"x","")</f>
        <v/>
      </c>
      <c r="AC214" s="84" t="str">
        <f>IF(AND(OR(LEFT(TH!N214,2)="15",LEFT(TH!O214,2)="15"),TK!$E$7=TH!F214),"x","")</f>
        <v/>
      </c>
      <c r="AD214" s="84" t="str">
        <f>IF(AND(N214="1521",MONTH(C214)='BK-NL'!$M$11),"x","")</f>
        <v/>
      </c>
    </row>
    <row r="215" spans="1:30" s="341" customFormat="1" ht="15.75" hidden="1" customHeight="1">
      <c r="A215" s="336" t="str">
        <f>IF(B215&lt;&gt;"",IF(AND(B215='IN-TC'!$S$4,OR(TH!N215="1111",TH!O215="1111")),TH!D215,""),"")</f>
        <v/>
      </c>
      <c r="B215" s="63">
        <f t="shared" si="34"/>
        <v>4</v>
      </c>
      <c r="C215" s="80">
        <v>42473</v>
      </c>
      <c r="D215" s="80" t="s">
        <v>699</v>
      </c>
      <c r="E215" s="80">
        <f>C215</f>
        <v>42473</v>
      </c>
      <c r="F215" s="81" t="s">
        <v>453</v>
      </c>
      <c r="G215" s="81"/>
      <c r="H215" s="82" t="s">
        <v>697</v>
      </c>
      <c r="I215" s="437">
        <v>3800</v>
      </c>
      <c r="J215" s="437">
        <v>207064.56368421053</v>
      </c>
      <c r="K215" s="428"/>
      <c r="L215" s="437"/>
      <c r="M215" s="83">
        <f>ROUND(I215*J215,0)</f>
        <v>786845342</v>
      </c>
      <c r="N215" s="84" t="s">
        <v>284</v>
      </c>
      <c r="O215" s="84" t="s">
        <v>282</v>
      </c>
      <c r="P215" s="84" t="str">
        <f>IF(AND('331-CT'!$E$7=TH!H215,OR(N215="331",O215="331")),"x","")</f>
        <v/>
      </c>
      <c r="Q215" s="84" t="str">
        <f>IF(AND(B215='111'!$L$11,OR($N215=$Q$7,$O215=$Q$7)),"x","")</f>
        <v/>
      </c>
      <c r="R215" s="84" t="str">
        <f>IF(AND($N215=$Q$7,$B215&lt;'111'!$L$11),"x","")</f>
        <v/>
      </c>
      <c r="S215" s="84" t="str">
        <f>IF(AND($O215=$Q$7,$B215&lt;'111'!$L$11),"x","")</f>
        <v/>
      </c>
      <c r="T215" s="84" t="str">
        <f>IF(ISERROR(FIND('112'!$M$9,G215,1)),"",IF((AND(FIND('112'!$M$9,G215,1)&gt;=1,B215='112'!$K$9,OR($N215='112'!$I$6,$O215='112'!$I$6))),"x",""))</f>
        <v/>
      </c>
      <c r="U215" s="84" t="str">
        <f>IF(ISERROR(FIND('112'!$M$9,G215,1)),"",IF((AND(LEFT(G215,2)=LEFT('112'!$M$9,2),B215&lt;'112'!$K$9,$N215='112'!$I$6)),"x",""))</f>
        <v/>
      </c>
      <c r="V215" s="84" t="str">
        <f>IF(ISERROR(FIND('112'!$M$9,G215,1)),"",IF((AND(RIGHT(G215,2)=RIGHT('112'!$M$9,2),B215&lt;'112'!$K$9,$O215='112'!$I$6)),"x",""))</f>
        <v/>
      </c>
      <c r="W215" s="84" t="str">
        <f>IF(AND('341-CT'!$H$9=H215,OR(LEFT(N215,3)=$W$7,LEFT(O215,3)=$W$7)),"x","")</f>
        <v/>
      </c>
      <c r="X215" s="84" t="str">
        <f>IF(OR(TH!N215=TH!$X$7,O215=TH!$X$7),"x","")</f>
        <v/>
      </c>
      <c r="Y215" s="84" t="str">
        <f>IF(AND(OR(N215="131",O215="131"),H215='131-CT'!$H$9),"x","")</f>
        <v/>
      </c>
      <c r="Z215" s="84"/>
      <c r="AA215" s="84" t="str">
        <f>IF(AND(MONTH(E215)='IN-NX'!$J$5,'IN-NX'!$D$7=D215),"x","")</f>
        <v/>
      </c>
      <c r="AB215" s="84" t="str">
        <f>IF(AND(OR(LEFT(TH!N215,2)="15",LEFT(TH!O215,2)="15"),LEFT(TH!O215,3)&lt;&gt;"111",'152-CT'!$J$8=TH!F215),"x","")</f>
        <v/>
      </c>
      <c r="AC215" s="84" t="str">
        <f>IF(AND(OR(LEFT(TH!N215,2)="15",LEFT(TH!O215,2)="15"),TK!$E$7=TH!F215),"x","")</f>
        <v/>
      </c>
      <c r="AD215" s="84" t="str">
        <f>IF(AND(N215="1521",MONTH(C215)='BK-NL'!$M$11),"x","")</f>
        <v/>
      </c>
    </row>
    <row r="216" spans="1:30" s="1156" customFormat="1" ht="15.75" hidden="1" customHeight="1">
      <c r="A216" s="336" t="str">
        <f>IF(B216&lt;&gt;"",IF(AND(B216='IN-TC'!$S$4,OR(TH!N216="1111",TH!O216="1111")),TH!D216,""),"")</f>
        <v/>
      </c>
      <c r="B216" s="63">
        <f t="shared" si="34"/>
        <v>4</v>
      </c>
      <c r="C216" s="94">
        <v>42473</v>
      </c>
      <c r="D216" s="94" t="s">
        <v>597</v>
      </c>
      <c r="E216" s="94">
        <f>C216</f>
        <v>42473</v>
      </c>
      <c r="F216" s="95" t="s">
        <v>453</v>
      </c>
      <c r="G216" s="95" t="s">
        <v>1369</v>
      </c>
      <c r="H216" s="988" t="s">
        <v>1370</v>
      </c>
      <c r="I216" s="445">
        <v>5000</v>
      </c>
      <c r="J216" s="445">
        <v>188312.4362</v>
      </c>
      <c r="K216" s="436"/>
      <c r="L216" s="445"/>
      <c r="M216" s="97">
        <f>ROUND(I216*J216,0)</f>
        <v>941562181</v>
      </c>
      <c r="N216" s="85" t="s">
        <v>294</v>
      </c>
      <c r="O216" s="85" t="s">
        <v>284</v>
      </c>
      <c r="P216" s="84" t="str">
        <f>IF(AND('331-CT'!$E$7=TH!H216,OR(N216="331",O216="331")),"x","")</f>
        <v/>
      </c>
      <c r="Q216" s="84" t="str">
        <f>IF(AND(B216='111'!$L$11,OR($N216=$Q$7,$O216=$Q$7)),"x","")</f>
        <v/>
      </c>
      <c r="R216" s="84" t="str">
        <f>IF(AND($N216=$Q$7,$B216&lt;'111'!$L$11),"x","")</f>
        <v/>
      </c>
      <c r="S216" s="84" t="str">
        <f>IF(AND($O216=$Q$7,$B216&lt;'111'!$L$11),"x","")</f>
        <v/>
      </c>
      <c r="T216" s="84" t="str">
        <f>IF(ISERROR(FIND('112'!$M$9,G216,1)),"",IF((AND(FIND('112'!$M$9,G216,1)&gt;=1,B216='112'!$K$9,OR($N216='112'!$I$6,$O216='112'!$I$6))),"x",""))</f>
        <v/>
      </c>
      <c r="U216" s="84" t="str">
        <f>IF(ISERROR(FIND('112'!$M$9,G216,1)),"",IF((AND(LEFT(G216,2)=LEFT('112'!$M$9,2),B216&lt;'112'!$K$9,$N216='112'!$I$6)),"x",""))</f>
        <v/>
      </c>
      <c r="V216" s="84" t="str">
        <f>IF(ISERROR(FIND('112'!$M$9,G216,1)),"",IF((AND(RIGHT(G216,2)=RIGHT('112'!$M$9,2),B216&lt;'112'!$K$9,$O216='112'!$I$6)),"x",""))</f>
        <v/>
      </c>
      <c r="W216" s="84" t="str">
        <f>IF(AND('341-CT'!$H$9=H216,OR(LEFT(N216,3)=$W$7,LEFT(O216,3)=$W$7)),"x","")</f>
        <v/>
      </c>
      <c r="X216" s="84" t="str">
        <f>IF(OR(TH!N216=TH!$X$7,O216=TH!$X$7),"x","")</f>
        <v/>
      </c>
      <c r="Y216" s="84" t="str">
        <f>IF(AND(OR(N216="131",O216="131"),H216='131-CT'!$H$9),"x","")</f>
        <v/>
      </c>
      <c r="Z216" s="84"/>
      <c r="AA216" s="84" t="str">
        <f>IF(AND(MONTH(E216)='IN-NX'!$J$5,'IN-NX'!$D$7=D216),"x","")</f>
        <v/>
      </c>
      <c r="AB216" s="84" t="str">
        <f>IF(AND(OR(LEFT(TH!N216,2)="15",LEFT(TH!O216,2)="15"),LEFT(TH!O216,3)&lt;&gt;"111",'152-CT'!$J$8=TH!F216),"x","")</f>
        <v/>
      </c>
      <c r="AC216" s="84" t="str">
        <f>IF(AND(OR(LEFT(TH!N216,2)="15",LEFT(TH!O216,2)="15"),TK!$E$7=TH!F216),"x","")</f>
        <v/>
      </c>
      <c r="AD216" s="84" t="str">
        <f>IF(AND(N216="1521",MONTH(C216)='BK-NL'!$M$11),"x","")</f>
        <v/>
      </c>
    </row>
    <row r="217" spans="1:30" s="1156" customFormat="1" ht="15.75" hidden="1" customHeight="1">
      <c r="A217" s="336" t="str">
        <f>IF(B217&lt;&gt;"",IF(AND(B217='IN-TC'!$S$4,OR(TH!N217="1111",TH!O217="1111")),TH!D217,""),"")</f>
        <v/>
      </c>
      <c r="B217" s="63">
        <f t="shared" si="34"/>
        <v>4</v>
      </c>
      <c r="C217" s="94">
        <v>42473</v>
      </c>
      <c r="D217" s="94" t="s">
        <v>597</v>
      </c>
      <c r="E217" s="94">
        <f>C217</f>
        <v>42473</v>
      </c>
      <c r="F217" s="95" t="s">
        <v>453</v>
      </c>
      <c r="G217" s="95" t="s">
        <v>1369</v>
      </c>
      <c r="H217" s="988" t="s">
        <v>1370</v>
      </c>
      <c r="I217" s="445">
        <v>3800</v>
      </c>
      <c r="J217" s="445">
        <v>207064.56368421053</v>
      </c>
      <c r="K217" s="436"/>
      <c r="L217" s="445"/>
      <c r="M217" s="97">
        <f>ROUND(I217*J217,0)</f>
        <v>786845342</v>
      </c>
      <c r="N217" s="85" t="s">
        <v>294</v>
      </c>
      <c r="O217" s="85" t="s">
        <v>284</v>
      </c>
      <c r="P217" s="84" t="str">
        <f>IF(AND('331-CT'!$E$7=TH!H217,OR(N217="331",O217="331")),"x","")</f>
        <v/>
      </c>
      <c r="Q217" s="84" t="str">
        <f>IF(AND(B217='111'!$L$11,OR($N217=$Q$7,$O217=$Q$7)),"x","")</f>
        <v/>
      </c>
      <c r="R217" s="84" t="str">
        <f>IF(AND($N217=$Q$7,$B217&lt;'111'!$L$11),"x","")</f>
        <v/>
      </c>
      <c r="S217" s="84" t="str">
        <f>IF(AND($O217=$Q$7,$B217&lt;'111'!$L$11),"x","")</f>
        <v/>
      </c>
      <c r="T217" s="84" t="str">
        <f>IF(ISERROR(FIND('112'!$M$9,G217,1)),"",IF((AND(FIND('112'!$M$9,G217,1)&gt;=1,B217='112'!$K$9,OR($N217='112'!$I$6,$O217='112'!$I$6))),"x",""))</f>
        <v/>
      </c>
      <c r="U217" s="84" t="str">
        <f>IF(ISERROR(FIND('112'!$M$9,G217,1)),"",IF((AND(LEFT(G217,2)=LEFT('112'!$M$9,2),B217&lt;'112'!$K$9,$N217='112'!$I$6)),"x",""))</f>
        <v/>
      </c>
      <c r="V217" s="84" t="str">
        <f>IF(ISERROR(FIND('112'!$M$9,G217,1)),"",IF((AND(RIGHT(G217,2)=RIGHT('112'!$M$9,2),B217&lt;'112'!$K$9,$O217='112'!$I$6)),"x",""))</f>
        <v/>
      </c>
      <c r="W217" s="84" t="str">
        <f>IF(AND('341-CT'!$H$9=H217,OR(LEFT(N217,3)=$W$7,LEFT(O217,3)=$W$7)),"x","")</f>
        <v/>
      </c>
      <c r="X217" s="84" t="str">
        <f>IF(OR(TH!N217=TH!$X$7,O217=TH!$X$7),"x","")</f>
        <v/>
      </c>
      <c r="Y217" s="84" t="str">
        <f>IF(AND(OR(N217="131",O217="131"),H217='131-CT'!$H$9),"x","")</f>
        <v/>
      </c>
      <c r="Z217" s="84"/>
      <c r="AA217" s="84" t="str">
        <f>IF(AND(MONTH(E217)='IN-NX'!$J$5,'IN-NX'!$D$7=D217),"x","")</f>
        <v/>
      </c>
      <c r="AB217" s="84" t="str">
        <f>IF(AND(OR(LEFT(TH!N217,2)="15",LEFT(TH!O217,2)="15"),LEFT(TH!O217,3)&lt;&gt;"111",'152-CT'!$J$8=TH!F217),"x","")</f>
        <v/>
      </c>
      <c r="AC217" s="84" t="str">
        <f>IF(AND(OR(LEFT(TH!N217,2)="15",LEFT(TH!O217,2)="15"),TK!$E$7=TH!F217),"x","")</f>
        <v/>
      </c>
      <c r="AD217" s="84" t="str">
        <f>IF(AND(N217="1521",MONTH(C217)='BK-NL'!$M$11),"x","")</f>
        <v/>
      </c>
    </row>
    <row r="218" spans="1:30" s="1156" customFormat="1" ht="15.75" hidden="1" customHeight="1">
      <c r="A218" s="336" t="str">
        <f>IF(B218&lt;&gt;"",IF(AND(B218='IN-TC'!$S$4,OR(TH!N218="1111",TH!O218="1111")),TH!D218,""),"")</f>
        <v/>
      </c>
      <c r="B218" s="63">
        <f t="shared" si="34"/>
        <v>5</v>
      </c>
      <c r="C218" s="80">
        <f t="shared" ref="C218:C227" si="35">E218</f>
        <v>42496</v>
      </c>
      <c r="D218" s="80" t="s">
        <v>699</v>
      </c>
      <c r="E218" s="80">
        <v>42496</v>
      </c>
      <c r="F218" s="81" t="s">
        <v>451</v>
      </c>
      <c r="G218" s="81"/>
      <c r="H218" s="82" t="s">
        <v>697</v>
      </c>
      <c r="I218" s="437">
        <v>4140</v>
      </c>
      <c r="J218" s="437">
        <v>182710.53019323671</v>
      </c>
      <c r="K218" s="428"/>
      <c r="L218" s="437"/>
      <c r="M218" s="83">
        <v>756088739</v>
      </c>
      <c r="N218" s="88" t="s">
        <v>284</v>
      </c>
      <c r="O218" s="84" t="s">
        <v>282</v>
      </c>
      <c r="P218" s="84" t="str">
        <f>IF(AND('331-CT'!$E$7=TH!H218,OR(N218="331",O218="331")),"x","")</f>
        <v/>
      </c>
      <c r="Q218" s="84" t="str">
        <f>IF(AND(B218='111'!$L$11,OR($N218=$Q$7,$O218=$Q$7)),"x","")</f>
        <v/>
      </c>
      <c r="R218" s="84" t="str">
        <f>IF(AND($N218=$Q$7,$B218&lt;'111'!$L$11),"x","")</f>
        <v/>
      </c>
      <c r="S218" s="84" t="str">
        <f>IF(AND($O218=$Q$7,$B218&lt;'111'!$L$11),"x","")</f>
        <v/>
      </c>
      <c r="T218" s="84" t="str">
        <f>IF(ISERROR(FIND('112'!$M$9,G218,1)),"",IF((AND(FIND('112'!$M$9,G218,1)&gt;=1,B218='112'!$K$9,OR($N218='112'!$I$6,$O218='112'!$I$6))),"x",""))</f>
        <v/>
      </c>
      <c r="U218" s="84" t="str">
        <f>IF(ISERROR(FIND('112'!$M$9,G218,1)),"",IF((AND(LEFT(G218,2)=LEFT('112'!$M$9,2),B218&lt;'112'!$K$9,$N218='112'!$I$6)),"x",""))</f>
        <v/>
      </c>
      <c r="V218" s="84" t="str">
        <f>IF(ISERROR(FIND('112'!$M$9,G218,1)),"",IF((AND(RIGHT(G218,2)=RIGHT('112'!$M$9,2),B218&lt;'112'!$K$9,$O218='112'!$I$6)),"x",""))</f>
        <v/>
      </c>
      <c r="W218" s="84" t="str">
        <f>IF(AND('341-CT'!$H$9=H218,OR(LEFT(N218,3)=$W$7,LEFT(O218,3)=$W$7)),"x","")</f>
        <v/>
      </c>
      <c r="X218" s="84" t="str">
        <f>IF(OR(TH!N218=TH!$X$7,O218=TH!$X$7),"x","")</f>
        <v/>
      </c>
      <c r="Y218" s="84" t="str">
        <f>IF(AND(OR(N218="131",O218="131"),H218='131-CT'!$H$9),"x","")</f>
        <v/>
      </c>
      <c r="Z218" s="84"/>
      <c r="AA218" s="84" t="str">
        <f>IF(AND(MONTH(E218)='IN-NX'!$J$5,'IN-NX'!$D$7=D218),"x","")</f>
        <v/>
      </c>
      <c r="AB218" s="84" t="str">
        <f>IF(AND(OR(LEFT(TH!N218,2)="15",LEFT(TH!O218,2)="15"),LEFT(TH!O218,3)&lt;&gt;"111",'152-CT'!$J$8=TH!F218),"x","")</f>
        <v/>
      </c>
      <c r="AC218" s="84" t="str">
        <f>IF(AND(OR(LEFT(TH!N218,2)="15",LEFT(TH!O218,2)="15"),TK!$E$7=TH!F218),"x","")</f>
        <v/>
      </c>
      <c r="AD218" s="84" t="str">
        <f>IF(AND(N218="1521",MONTH(C218)='BK-NL'!$M$11),"x","")</f>
        <v/>
      </c>
    </row>
    <row r="219" spans="1:30" s="1156" customFormat="1" ht="15.75" hidden="1" customHeight="1">
      <c r="A219" s="336" t="str">
        <f>IF(B219&lt;&gt;"",IF(AND(B219='IN-TC'!$S$4,OR(TH!N219="1111",TH!O219="1111")),TH!D219,""),"")</f>
        <v/>
      </c>
      <c r="B219" s="63">
        <f t="shared" ref="B219:B238" si="36">IF(C219&lt;&gt;"",MONTH(C219),"")</f>
        <v>5</v>
      </c>
      <c r="C219" s="80">
        <f t="shared" si="35"/>
        <v>42496</v>
      </c>
      <c r="D219" s="80" t="s">
        <v>699</v>
      </c>
      <c r="E219" s="80">
        <v>42496</v>
      </c>
      <c r="F219" s="81" t="s">
        <v>1522</v>
      </c>
      <c r="G219" s="81"/>
      <c r="H219" s="82" t="s">
        <v>697</v>
      </c>
      <c r="I219" s="437">
        <v>880</v>
      </c>
      <c r="J219" s="437">
        <v>93929.193181818177</v>
      </c>
      <c r="K219" s="428"/>
      <c r="L219" s="437"/>
      <c r="M219" s="83">
        <v>82625530</v>
      </c>
      <c r="N219" s="88" t="s">
        <v>284</v>
      </c>
      <c r="O219" s="84" t="s">
        <v>282</v>
      </c>
      <c r="P219" s="84" t="str">
        <f>IF(AND('331-CT'!$E$7=TH!H219,OR(N219="331",O219="331")),"x","")</f>
        <v/>
      </c>
      <c r="Q219" s="84" t="str">
        <f>IF(AND(B219='111'!$L$11,OR($N219=$Q$7,$O219=$Q$7)),"x","")</f>
        <v/>
      </c>
      <c r="R219" s="84" t="str">
        <f>IF(AND($N219=$Q$7,$B219&lt;'111'!$L$11),"x","")</f>
        <v/>
      </c>
      <c r="S219" s="84" t="str">
        <f>IF(AND($O219=$Q$7,$B219&lt;'111'!$L$11),"x","")</f>
        <v/>
      </c>
      <c r="T219" s="84" t="str">
        <f>IF(ISERROR(FIND('112'!$M$9,G219,1)),"",IF((AND(FIND('112'!$M$9,G219,1)&gt;=1,B219='112'!$K$9,OR($N219='112'!$I$6,$O219='112'!$I$6))),"x",""))</f>
        <v/>
      </c>
      <c r="U219" s="84" t="str">
        <f>IF(ISERROR(FIND('112'!$M$9,G219,1)),"",IF((AND(LEFT(G219,2)=LEFT('112'!$M$9,2),B219&lt;'112'!$K$9,$N219='112'!$I$6)),"x",""))</f>
        <v/>
      </c>
      <c r="V219" s="84" t="str">
        <f>IF(ISERROR(FIND('112'!$M$9,G219,1)),"",IF((AND(RIGHT(G219,2)=RIGHT('112'!$M$9,2),B219&lt;'112'!$K$9,$O219='112'!$I$6)),"x",""))</f>
        <v/>
      </c>
      <c r="W219" s="84" t="str">
        <f>IF(AND('341-CT'!$H$9=H219,OR(LEFT(N219,3)=$W$7,LEFT(O219,3)=$W$7)),"x","")</f>
        <v/>
      </c>
      <c r="X219" s="84" t="str">
        <f>IF(OR(TH!N219=TH!$X$7,O219=TH!$X$7),"x","")</f>
        <v/>
      </c>
      <c r="Y219" s="84" t="str">
        <f>IF(AND(OR(N219="131",O219="131"),H219='131-CT'!$H$9),"x","")</f>
        <v/>
      </c>
      <c r="Z219" s="84"/>
      <c r="AA219" s="84" t="str">
        <f>IF(AND(MONTH(E219)='IN-NX'!$J$5,'IN-NX'!$D$7=D219),"x","")</f>
        <v/>
      </c>
      <c r="AB219" s="84" t="str">
        <f>IF(AND(OR(LEFT(TH!N219,2)="15",LEFT(TH!O219,2)="15"),LEFT(TH!O219,3)&lt;&gt;"111",'152-CT'!$J$8=TH!F219),"x","")</f>
        <v/>
      </c>
      <c r="AC219" s="84" t="str">
        <f>IF(AND(OR(LEFT(TH!N219,2)="15",LEFT(TH!O219,2)="15"),TK!$E$7=TH!F219),"x","")</f>
        <v/>
      </c>
      <c r="AD219" s="84" t="str">
        <f>IF(AND(N219="1521",MONTH(C219)='BK-NL'!$M$11),"x","")</f>
        <v/>
      </c>
    </row>
    <row r="220" spans="1:30" s="1156" customFormat="1" ht="15.75" hidden="1" customHeight="1">
      <c r="A220" s="336" t="str">
        <f>IF(B220&lt;&gt;"",IF(AND(B220='IN-TC'!$S$4,OR(TH!N220="1111",TH!O220="1111")),TH!D220,""),"")</f>
        <v/>
      </c>
      <c r="B220" s="63">
        <f t="shared" si="36"/>
        <v>5</v>
      </c>
      <c r="C220" s="80">
        <f t="shared" si="35"/>
        <v>42496</v>
      </c>
      <c r="D220" s="80" t="s">
        <v>699</v>
      </c>
      <c r="E220" s="80">
        <v>42496</v>
      </c>
      <c r="F220" s="81" t="s">
        <v>1523</v>
      </c>
      <c r="G220" s="81"/>
      <c r="H220" s="82" t="s">
        <v>697</v>
      </c>
      <c r="I220" s="437">
        <v>600</v>
      </c>
      <c r="J220" s="437">
        <v>101295.255</v>
      </c>
      <c r="K220" s="428"/>
      <c r="L220" s="437"/>
      <c r="M220" s="83">
        <v>60755225</v>
      </c>
      <c r="N220" s="88" t="s">
        <v>284</v>
      </c>
      <c r="O220" s="84" t="s">
        <v>282</v>
      </c>
      <c r="P220" s="84" t="str">
        <f>IF(AND('331-CT'!$E$7=TH!H220,OR(N220="331",O220="331")),"x","")</f>
        <v/>
      </c>
      <c r="Q220" s="84" t="str">
        <f>IF(AND(B220='111'!$L$11,OR($N220=$Q$7,$O220=$Q$7)),"x","")</f>
        <v/>
      </c>
      <c r="R220" s="84" t="str">
        <f>IF(AND($N220=$Q$7,$B220&lt;'111'!$L$11),"x","")</f>
        <v/>
      </c>
      <c r="S220" s="84" t="str">
        <f>IF(AND($O220=$Q$7,$B220&lt;'111'!$L$11),"x","")</f>
        <v/>
      </c>
      <c r="T220" s="84" t="str">
        <f>IF(ISERROR(FIND('112'!$M$9,G220,1)),"",IF((AND(FIND('112'!$M$9,G220,1)&gt;=1,B220='112'!$K$9,OR($N220='112'!$I$6,$O220='112'!$I$6))),"x",""))</f>
        <v/>
      </c>
      <c r="U220" s="84" t="str">
        <f>IF(ISERROR(FIND('112'!$M$9,G220,1)),"",IF((AND(LEFT(G220,2)=LEFT('112'!$M$9,2),B220&lt;'112'!$K$9,$N220='112'!$I$6)),"x",""))</f>
        <v/>
      </c>
      <c r="V220" s="84" t="str">
        <f>IF(ISERROR(FIND('112'!$M$9,G220,1)),"",IF((AND(RIGHT(G220,2)=RIGHT('112'!$M$9,2),B220&lt;'112'!$K$9,$O220='112'!$I$6)),"x",""))</f>
        <v/>
      </c>
      <c r="W220" s="84" t="str">
        <f>IF(AND('341-CT'!$H$9=H220,OR(LEFT(N220,3)=$W$7,LEFT(O220,3)=$W$7)),"x","")</f>
        <v/>
      </c>
      <c r="X220" s="84" t="str">
        <f>IF(OR(TH!N220=TH!$X$7,O220=TH!$X$7),"x","")</f>
        <v/>
      </c>
      <c r="Y220" s="84" t="str">
        <f>IF(AND(OR(N220="131",O220="131"),H220='131-CT'!$H$9),"x","")</f>
        <v/>
      </c>
      <c r="Z220" s="84"/>
      <c r="AA220" s="84" t="str">
        <f>IF(AND(MONTH(E220)='IN-NX'!$J$5,'IN-NX'!$D$7=D220),"x","")</f>
        <v/>
      </c>
      <c r="AB220" s="84" t="str">
        <f>IF(AND(OR(LEFT(TH!N220,2)="15",LEFT(TH!O220,2)="15"),LEFT(TH!O220,3)&lt;&gt;"111",'152-CT'!$J$8=TH!F220),"x","")</f>
        <v/>
      </c>
      <c r="AC220" s="84" t="str">
        <f>IF(AND(OR(LEFT(TH!N220,2)="15",LEFT(TH!O220,2)="15"),TK!$E$7=TH!F220),"x","")</f>
        <v/>
      </c>
      <c r="AD220" s="84" t="str">
        <f>IF(AND(N220="1521",MONTH(C220)='BK-NL'!$M$11),"x","")</f>
        <v/>
      </c>
    </row>
    <row r="221" spans="1:30" s="1156" customFormat="1" ht="15.75" hidden="1" customHeight="1">
      <c r="A221" s="336" t="str">
        <f>IF(B221&lt;&gt;"",IF(AND(B221='IN-TC'!$S$4,OR(TH!N221="1111",TH!O221="1111")),TH!D221,""),"")</f>
        <v/>
      </c>
      <c r="B221" s="63">
        <f t="shared" si="36"/>
        <v>5</v>
      </c>
      <c r="C221" s="80">
        <f t="shared" si="35"/>
        <v>42496</v>
      </c>
      <c r="D221" s="80" t="s">
        <v>699</v>
      </c>
      <c r="E221" s="80">
        <v>42496</v>
      </c>
      <c r="F221" s="81" t="s">
        <v>1524</v>
      </c>
      <c r="G221" s="81"/>
      <c r="H221" s="82" t="s">
        <v>697</v>
      </c>
      <c r="I221" s="437">
        <v>1000</v>
      </c>
      <c r="J221" s="437">
        <v>154598.26500000001</v>
      </c>
      <c r="K221" s="428"/>
      <c r="L221" s="437"/>
      <c r="M221" s="83">
        <v>154536138</v>
      </c>
      <c r="N221" s="88" t="s">
        <v>284</v>
      </c>
      <c r="O221" s="84" t="s">
        <v>282</v>
      </c>
      <c r="P221" s="84" t="str">
        <f>IF(AND('331-CT'!$E$7=TH!H221,OR(N221="331",O221="331")),"x","")</f>
        <v/>
      </c>
      <c r="Q221" s="84" t="str">
        <f>IF(AND(B221='111'!$L$11,OR($N221=$Q$7,$O221=$Q$7)),"x","")</f>
        <v/>
      </c>
      <c r="R221" s="84" t="str">
        <f>IF(AND($N221=$Q$7,$B221&lt;'111'!$L$11),"x","")</f>
        <v/>
      </c>
      <c r="S221" s="84" t="str">
        <f>IF(AND($O221=$Q$7,$B221&lt;'111'!$L$11),"x","")</f>
        <v/>
      </c>
      <c r="T221" s="84" t="str">
        <f>IF(ISERROR(FIND('112'!$M$9,G221,1)),"",IF((AND(FIND('112'!$M$9,G221,1)&gt;=1,B221='112'!$K$9,OR($N221='112'!$I$6,$O221='112'!$I$6))),"x",""))</f>
        <v/>
      </c>
      <c r="U221" s="84" t="str">
        <f>IF(ISERROR(FIND('112'!$M$9,G221,1)),"",IF((AND(LEFT(G221,2)=LEFT('112'!$M$9,2),B221&lt;'112'!$K$9,$N221='112'!$I$6)),"x",""))</f>
        <v/>
      </c>
      <c r="V221" s="84" t="str">
        <f>IF(ISERROR(FIND('112'!$M$9,G221,1)),"",IF((AND(RIGHT(G221,2)=RIGHT('112'!$M$9,2),B221&lt;'112'!$K$9,$O221='112'!$I$6)),"x",""))</f>
        <v/>
      </c>
      <c r="W221" s="84" t="str">
        <f>IF(AND('341-CT'!$H$9=H221,OR(LEFT(N221,3)=$W$7,LEFT(O221,3)=$W$7)),"x","")</f>
        <v/>
      </c>
      <c r="X221" s="84" t="str">
        <f>IF(OR(TH!N221=TH!$X$7,O221=TH!$X$7),"x","")</f>
        <v/>
      </c>
      <c r="Y221" s="84" t="str">
        <f>IF(AND(OR(N221="131",O221="131"),H221='131-CT'!$H$9),"x","")</f>
        <v/>
      </c>
      <c r="Z221" s="84"/>
      <c r="AA221" s="84" t="str">
        <f>IF(AND(MONTH(E221)='IN-NX'!$J$5,'IN-NX'!$D$7=D221),"x","")</f>
        <v/>
      </c>
      <c r="AB221" s="84" t="str">
        <f>IF(AND(OR(LEFT(TH!N221,2)="15",LEFT(TH!O221,2)="15"),LEFT(TH!O221,3)&lt;&gt;"111",'152-CT'!$J$8=TH!F221),"x","")</f>
        <v/>
      </c>
      <c r="AC221" s="84" t="str">
        <f>IF(AND(OR(LEFT(TH!N221,2)="15",LEFT(TH!O221,2)="15"),TK!$E$7=TH!F221),"x","")</f>
        <v/>
      </c>
      <c r="AD221" s="84" t="str">
        <f>IF(AND(N221="1521",MONTH(C221)='BK-NL'!$M$11),"x","")</f>
        <v/>
      </c>
    </row>
    <row r="222" spans="1:30" s="1156" customFormat="1" ht="15.75" hidden="1" customHeight="1">
      <c r="A222" s="336" t="str">
        <f>IF(B222&lt;&gt;"",IF(AND(B222='IN-TC'!$S$4,OR(TH!N222="1111",TH!O222="1111")),TH!D222,""),"")</f>
        <v/>
      </c>
      <c r="B222" s="63">
        <f t="shared" si="36"/>
        <v>5</v>
      </c>
      <c r="C222" s="80">
        <f t="shared" si="35"/>
        <v>42502</v>
      </c>
      <c r="D222" s="80" t="s">
        <v>700</v>
      </c>
      <c r="E222" s="80">
        <v>42502</v>
      </c>
      <c r="F222" s="81" t="s">
        <v>453</v>
      </c>
      <c r="G222" s="81"/>
      <c r="H222" s="82" t="s">
        <v>697</v>
      </c>
      <c r="I222" s="437">
        <v>4800</v>
      </c>
      <c r="J222" s="437">
        <v>152507.24</v>
      </c>
      <c r="K222" s="428"/>
      <c r="L222" s="437"/>
      <c r="M222" s="83">
        <v>731754083</v>
      </c>
      <c r="N222" s="88" t="s">
        <v>284</v>
      </c>
      <c r="O222" s="84" t="s">
        <v>282</v>
      </c>
      <c r="P222" s="84" t="str">
        <f>IF(AND('331-CT'!$E$7=TH!H222,OR(N222="331",O222="331")),"x","")</f>
        <v/>
      </c>
      <c r="Q222" s="84" t="str">
        <f>IF(AND(B222='111'!$L$11,OR($N222=$Q$7,$O222=$Q$7)),"x","")</f>
        <v/>
      </c>
      <c r="R222" s="84" t="str">
        <f>IF(AND($N222=$Q$7,$B222&lt;'111'!$L$11),"x","")</f>
        <v/>
      </c>
      <c r="S222" s="84" t="str">
        <f>IF(AND($O222=$Q$7,$B222&lt;'111'!$L$11),"x","")</f>
        <v/>
      </c>
      <c r="T222" s="84" t="str">
        <f>IF(ISERROR(FIND('112'!$M$9,G222,1)),"",IF((AND(FIND('112'!$M$9,G222,1)&gt;=1,B222='112'!$K$9,OR($N222='112'!$I$6,$O222='112'!$I$6))),"x",""))</f>
        <v/>
      </c>
      <c r="U222" s="84" t="str">
        <f>IF(ISERROR(FIND('112'!$M$9,G222,1)),"",IF((AND(LEFT(G222,2)=LEFT('112'!$M$9,2),B222&lt;'112'!$K$9,$N222='112'!$I$6)),"x",""))</f>
        <v/>
      </c>
      <c r="V222" s="84" t="str">
        <f>IF(ISERROR(FIND('112'!$M$9,G222,1)),"",IF((AND(RIGHT(G222,2)=RIGHT('112'!$M$9,2),B222&lt;'112'!$K$9,$O222='112'!$I$6)),"x",""))</f>
        <v/>
      </c>
      <c r="W222" s="84" t="str">
        <f>IF(AND('341-CT'!$H$9=H222,OR(LEFT(N222,3)=$W$7,LEFT(O222,3)=$W$7)),"x","")</f>
        <v/>
      </c>
      <c r="X222" s="84" t="str">
        <f>IF(OR(TH!N222=TH!$X$7,O222=TH!$X$7),"x","")</f>
        <v/>
      </c>
      <c r="Y222" s="84" t="str">
        <f>IF(AND(OR(N222="131",O222="131"),H222='131-CT'!$H$9),"x","")</f>
        <v/>
      </c>
      <c r="Z222" s="84"/>
      <c r="AA222" s="84" t="str">
        <f>IF(AND(MONTH(E222)='IN-NX'!$J$5,'IN-NX'!$D$7=D222),"x","")</f>
        <v/>
      </c>
      <c r="AB222" s="84" t="str">
        <f>IF(AND(OR(LEFT(TH!N222,2)="15",LEFT(TH!O222,2)="15"),LEFT(TH!O222,3)&lt;&gt;"111",'152-CT'!$J$8=TH!F222),"x","")</f>
        <v/>
      </c>
      <c r="AC222" s="84" t="str">
        <f>IF(AND(OR(LEFT(TH!N222,2)="15",LEFT(TH!O222,2)="15"),TK!$E$7=TH!F222),"x","")</f>
        <v/>
      </c>
      <c r="AD222" s="84" t="str">
        <f>IF(AND(N222="1521",MONTH(C222)='BK-NL'!$M$11),"x","")</f>
        <v/>
      </c>
    </row>
    <row r="223" spans="1:30" s="1156" customFormat="1" ht="15.75" hidden="1" customHeight="1">
      <c r="A223" s="336" t="str">
        <f>IF(B223&lt;&gt;"",IF(AND(B223='IN-TC'!$S$4,OR(TH!N223="1111",TH!O223="1111")),TH!D223,""),"")</f>
        <v/>
      </c>
      <c r="B223" s="63">
        <f t="shared" si="36"/>
        <v>5</v>
      </c>
      <c r="C223" s="94">
        <f t="shared" si="35"/>
        <v>42496</v>
      </c>
      <c r="D223" s="94" t="s">
        <v>596</v>
      </c>
      <c r="E223" s="94">
        <v>42496</v>
      </c>
      <c r="F223" s="95" t="s">
        <v>451</v>
      </c>
      <c r="G223" s="95" t="s">
        <v>1521</v>
      </c>
      <c r="H223" s="988" t="s">
        <v>601</v>
      </c>
      <c r="I223" s="445">
        <v>4140</v>
      </c>
      <c r="J223" s="445">
        <v>182710.53019323671</v>
      </c>
      <c r="K223" s="436"/>
      <c r="L223" s="445"/>
      <c r="M223" s="97">
        <f>ROUND(I223*J223,0)</f>
        <v>756421595</v>
      </c>
      <c r="N223" s="85" t="s">
        <v>294</v>
      </c>
      <c r="O223" s="85" t="s">
        <v>284</v>
      </c>
      <c r="P223" s="84" t="str">
        <f>IF(AND('331-CT'!$E$7=TH!H223,OR(N223="331",O223="331")),"x","")</f>
        <v/>
      </c>
      <c r="Q223" s="84" t="str">
        <f>IF(AND(B223='111'!$L$11,OR($N223=$Q$7,$O223=$Q$7)),"x","")</f>
        <v/>
      </c>
      <c r="R223" s="84" t="str">
        <f>IF(AND($N223=$Q$7,$B223&lt;'111'!$L$11),"x","")</f>
        <v/>
      </c>
      <c r="S223" s="84" t="str">
        <f>IF(AND($O223=$Q$7,$B223&lt;'111'!$L$11),"x","")</f>
        <v/>
      </c>
      <c r="T223" s="84" t="str">
        <f>IF(ISERROR(FIND('112'!$M$9,G223,1)),"",IF((AND(FIND('112'!$M$9,G223,1)&gt;=1,B223='112'!$K$9,OR($N223='112'!$I$6,$O223='112'!$I$6))),"x",""))</f>
        <v/>
      </c>
      <c r="U223" s="84" t="str">
        <f>IF(ISERROR(FIND('112'!$M$9,G223,1)),"",IF((AND(LEFT(G223,2)=LEFT('112'!$M$9,2),B223&lt;'112'!$K$9,$N223='112'!$I$6)),"x",""))</f>
        <v/>
      </c>
      <c r="V223" s="84" t="str">
        <f>IF(ISERROR(FIND('112'!$M$9,G223,1)),"",IF((AND(RIGHT(G223,2)=RIGHT('112'!$M$9,2),B223&lt;'112'!$K$9,$O223='112'!$I$6)),"x",""))</f>
        <v/>
      </c>
      <c r="W223" s="84" t="str">
        <f>IF(AND('341-CT'!$H$9=H223,OR(LEFT(N223,3)=$W$7,LEFT(O223,3)=$W$7)),"x","")</f>
        <v/>
      </c>
      <c r="X223" s="84" t="str">
        <f>IF(OR(TH!N223=TH!$X$7,O223=TH!$X$7),"x","")</f>
        <v/>
      </c>
      <c r="Y223" s="84" t="str">
        <f>IF(AND(OR(N223="131",O223="131"),H223='131-CT'!$H$9),"x","")</f>
        <v/>
      </c>
      <c r="Z223" s="84"/>
      <c r="AA223" s="84" t="str">
        <f>IF(AND(MONTH(E223)='IN-NX'!$J$5,'IN-NX'!$D$7=D223),"x","")</f>
        <v/>
      </c>
      <c r="AB223" s="84" t="str">
        <f>IF(AND(OR(LEFT(TH!N223,2)="15",LEFT(TH!O223,2)="15"),LEFT(TH!O223,3)&lt;&gt;"111",'152-CT'!$J$8=TH!F223),"x","")</f>
        <v/>
      </c>
      <c r="AC223" s="84" t="str">
        <f>IF(AND(OR(LEFT(TH!N223,2)="15",LEFT(TH!O223,2)="15"),TK!$E$7=TH!F223),"x","")</f>
        <v/>
      </c>
      <c r="AD223" s="84" t="str">
        <f>IF(AND(N223="1521",MONTH(C223)='BK-NL'!$M$11),"x","")</f>
        <v/>
      </c>
    </row>
    <row r="224" spans="1:30" s="1156" customFormat="1" ht="15.75" hidden="1" customHeight="1">
      <c r="A224" s="336" t="str">
        <f>IF(B224&lt;&gt;"",IF(AND(B224='IN-TC'!$S$4,OR(TH!N224="1111",TH!O224="1111")),TH!D224,""),"")</f>
        <v/>
      </c>
      <c r="B224" s="63">
        <f t="shared" si="36"/>
        <v>5</v>
      </c>
      <c r="C224" s="94">
        <f t="shared" si="35"/>
        <v>42496</v>
      </c>
      <c r="D224" s="94" t="s">
        <v>596</v>
      </c>
      <c r="E224" s="94">
        <v>42496</v>
      </c>
      <c r="F224" s="95" t="s">
        <v>1522</v>
      </c>
      <c r="G224" s="95" t="s">
        <v>1521</v>
      </c>
      <c r="H224" s="988" t="s">
        <v>601</v>
      </c>
      <c r="I224" s="445">
        <v>880</v>
      </c>
      <c r="J224" s="445">
        <v>93929.193181818177</v>
      </c>
      <c r="K224" s="436"/>
      <c r="L224" s="445"/>
      <c r="M224" s="97">
        <f>ROUND(I224*J224,0)</f>
        <v>82657690</v>
      </c>
      <c r="N224" s="85" t="s">
        <v>294</v>
      </c>
      <c r="O224" s="85" t="s">
        <v>284</v>
      </c>
      <c r="P224" s="84" t="str">
        <f>IF(AND('331-CT'!$E$7=TH!H224,OR(N224="331",O224="331")),"x","")</f>
        <v/>
      </c>
      <c r="Q224" s="84" t="str">
        <f>IF(AND(B224='111'!$L$11,OR($N224=$Q$7,$O224=$Q$7)),"x","")</f>
        <v/>
      </c>
      <c r="R224" s="84" t="str">
        <f>IF(AND($N224=$Q$7,$B224&lt;'111'!$L$11),"x","")</f>
        <v/>
      </c>
      <c r="S224" s="84" t="str">
        <f>IF(AND($O224=$Q$7,$B224&lt;'111'!$L$11),"x","")</f>
        <v/>
      </c>
      <c r="T224" s="84" t="str">
        <f>IF(ISERROR(FIND('112'!$M$9,G224,1)),"",IF((AND(FIND('112'!$M$9,G224,1)&gt;=1,B224='112'!$K$9,OR($N224='112'!$I$6,$O224='112'!$I$6))),"x",""))</f>
        <v/>
      </c>
      <c r="U224" s="84" t="str">
        <f>IF(ISERROR(FIND('112'!$M$9,G224,1)),"",IF((AND(LEFT(G224,2)=LEFT('112'!$M$9,2),B224&lt;'112'!$K$9,$N224='112'!$I$6)),"x",""))</f>
        <v/>
      </c>
      <c r="V224" s="84" t="str">
        <f>IF(ISERROR(FIND('112'!$M$9,G224,1)),"",IF((AND(RIGHT(G224,2)=RIGHT('112'!$M$9,2),B224&lt;'112'!$K$9,$O224='112'!$I$6)),"x",""))</f>
        <v/>
      </c>
      <c r="W224" s="84" t="str">
        <f>IF(AND('341-CT'!$H$9=H224,OR(LEFT(N224,3)=$W$7,LEFT(O224,3)=$W$7)),"x","")</f>
        <v/>
      </c>
      <c r="X224" s="84" t="str">
        <f>IF(OR(TH!N224=TH!$X$7,O224=TH!$X$7),"x","")</f>
        <v/>
      </c>
      <c r="Y224" s="84" t="str">
        <f>IF(AND(OR(N224="131",O224="131"),H224='131-CT'!$H$9),"x","")</f>
        <v/>
      </c>
      <c r="Z224" s="84"/>
      <c r="AA224" s="84" t="str">
        <f>IF(AND(MONTH(E224)='IN-NX'!$J$5,'IN-NX'!$D$7=D224),"x","")</f>
        <v/>
      </c>
      <c r="AB224" s="84" t="str">
        <f>IF(AND(OR(LEFT(TH!N224,2)="15",LEFT(TH!O224,2)="15"),LEFT(TH!O224,3)&lt;&gt;"111",'152-CT'!$J$8=TH!F224),"x","")</f>
        <v/>
      </c>
      <c r="AC224" s="84" t="str">
        <f>IF(AND(OR(LEFT(TH!N224,2)="15",LEFT(TH!O224,2)="15"),TK!$E$7=TH!F224),"x","")</f>
        <v/>
      </c>
      <c r="AD224" s="84" t="str">
        <f>IF(AND(N224="1521",MONTH(C224)='BK-NL'!$M$11),"x","")</f>
        <v/>
      </c>
    </row>
    <row r="225" spans="1:30" s="1156" customFormat="1" ht="15.75" hidden="1" customHeight="1">
      <c r="A225" s="336" t="str">
        <f>IF(B225&lt;&gt;"",IF(AND(B225='IN-TC'!$S$4,OR(TH!N225="1111",TH!O225="1111")),TH!D225,""),"")</f>
        <v/>
      </c>
      <c r="B225" s="63">
        <f t="shared" si="36"/>
        <v>5</v>
      </c>
      <c r="C225" s="94">
        <f t="shared" si="35"/>
        <v>42496</v>
      </c>
      <c r="D225" s="94" t="s">
        <v>596</v>
      </c>
      <c r="E225" s="94">
        <v>42496</v>
      </c>
      <c r="F225" s="95" t="s">
        <v>1523</v>
      </c>
      <c r="G225" s="95" t="s">
        <v>1521</v>
      </c>
      <c r="H225" s="988" t="s">
        <v>601</v>
      </c>
      <c r="I225" s="445">
        <v>600</v>
      </c>
      <c r="J225" s="445">
        <v>101295.255</v>
      </c>
      <c r="K225" s="436"/>
      <c r="L225" s="445"/>
      <c r="M225" s="97">
        <f>ROUND(I225*J225,0)</f>
        <v>60777153</v>
      </c>
      <c r="N225" s="85" t="s">
        <v>294</v>
      </c>
      <c r="O225" s="85" t="s">
        <v>284</v>
      </c>
      <c r="P225" s="84" t="str">
        <f>IF(AND('331-CT'!$E$7=TH!H225,OR(N225="331",O225="331")),"x","")</f>
        <v/>
      </c>
      <c r="Q225" s="84" t="str">
        <f>IF(AND(B225='111'!$L$11,OR($N225=$Q$7,$O225=$Q$7)),"x","")</f>
        <v/>
      </c>
      <c r="R225" s="84" t="str">
        <f>IF(AND($N225=$Q$7,$B225&lt;'111'!$L$11),"x","")</f>
        <v/>
      </c>
      <c r="S225" s="84" t="str">
        <f>IF(AND($O225=$Q$7,$B225&lt;'111'!$L$11),"x","")</f>
        <v/>
      </c>
      <c r="T225" s="84" t="str">
        <f>IF(ISERROR(FIND('112'!$M$9,G225,1)),"",IF((AND(FIND('112'!$M$9,G225,1)&gt;=1,B225='112'!$K$9,OR($N225='112'!$I$6,$O225='112'!$I$6))),"x",""))</f>
        <v/>
      </c>
      <c r="U225" s="84" t="str">
        <f>IF(ISERROR(FIND('112'!$M$9,G225,1)),"",IF((AND(LEFT(G225,2)=LEFT('112'!$M$9,2),B225&lt;'112'!$K$9,$N225='112'!$I$6)),"x",""))</f>
        <v/>
      </c>
      <c r="V225" s="84" t="str">
        <f>IF(ISERROR(FIND('112'!$M$9,G225,1)),"",IF((AND(RIGHT(G225,2)=RIGHT('112'!$M$9,2),B225&lt;'112'!$K$9,$O225='112'!$I$6)),"x",""))</f>
        <v/>
      </c>
      <c r="W225" s="84" t="str">
        <f>IF(AND('341-CT'!$H$9=H225,OR(LEFT(N225,3)=$W$7,LEFT(O225,3)=$W$7)),"x","")</f>
        <v/>
      </c>
      <c r="X225" s="84" t="str">
        <f>IF(OR(TH!N225=TH!$X$7,O225=TH!$X$7),"x","")</f>
        <v/>
      </c>
      <c r="Y225" s="84" t="str">
        <f>IF(AND(OR(N225="131",O225="131"),H225='131-CT'!$H$9),"x","")</f>
        <v/>
      </c>
      <c r="Z225" s="84"/>
      <c r="AA225" s="84" t="str">
        <f>IF(AND(MONTH(E225)='IN-NX'!$J$5,'IN-NX'!$D$7=D225),"x","")</f>
        <v/>
      </c>
      <c r="AB225" s="84" t="str">
        <f>IF(AND(OR(LEFT(TH!N225,2)="15",LEFT(TH!O225,2)="15"),LEFT(TH!O225,3)&lt;&gt;"111",'152-CT'!$J$8=TH!F225),"x","")</f>
        <v/>
      </c>
      <c r="AC225" s="84" t="str">
        <f>IF(AND(OR(LEFT(TH!N225,2)="15",LEFT(TH!O225,2)="15"),TK!$E$7=TH!F225),"x","")</f>
        <v/>
      </c>
      <c r="AD225" s="84" t="str">
        <f>IF(AND(N225="1521",MONTH(C225)='BK-NL'!$M$11),"x","")</f>
        <v/>
      </c>
    </row>
    <row r="226" spans="1:30" s="1156" customFormat="1" ht="15.75" hidden="1" customHeight="1">
      <c r="A226" s="336" t="str">
        <f>IF(B226&lt;&gt;"",IF(AND(B226='IN-TC'!$S$4,OR(TH!N226="1111",TH!O226="1111")),TH!D226,""),"")</f>
        <v/>
      </c>
      <c r="B226" s="63">
        <f t="shared" si="36"/>
        <v>5</v>
      </c>
      <c r="C226" s="94">
        <f t="shared" si="35"/>
        <v>42496</v>
      </c>
      <c r="D226" s="94" t="s">
        <v>596</v>
      </c>
      <c r="E226" s="94">
        <v>42496</v>
      </c>
      <c r="F226" s="95" t="s">
        <v>1524</v>
      </c>
      <c r="G226" s="95" t="s">
        <v>1521</v>
      </c>
      <c r="H226" s="988" t="s">
        <v>601</v>
      </c>
      <c r="I226" s="445">
        <v>1000</v>
      </c>
      <c r="J226" s="445">
        <v>154598.26500000001</v>
      </c>
      <c r="K226" s="436"/>
      <c r="L226" s="445"/>
      <c r="M226" s="97">
        <f>ROUND(I226*J226,0)</f>
        <v>154598265</v>
      </c>
      <c r="N226" s="85" t="s">
        <v>294</v>
      </c>
      <c r="O226" s="85" t="s">
        <v>284</v>
      </c>
      <c r="P226" s="84" t="str">
        <f>IF(AND('331-CT'!$E$7=TH!H226,OR(N226="331",O226="331")),"x","")</f>
        <v/>
      </c>
      <c r="Q226" s="84" t="str">
        <f>IF(AND(B226='111'!$L$11,OR($N226=$Q$7,$O226=$Q$7)),"x","")</f>
        <v/>
      </c>
      <c r="R226" s="84" t="str">
        <f>IF(AND($N226=$Q$7,$B226&lt;'111'!$L$11),"x","")</f>
        <v/>
      </c>
      <c r="S226" s="84" t="str">
        <f>IF(AND($O226=$Q$7,$B226&lt;'111'!$L$11),"x","")</f>
        <v/>
      </c>
      <c r="T226" s="84" t="str">
        <f>IF(ISERROR(FIND('112'!$M$9,G226,1)),"",IF((AND(FIND('112'!$M$9,G226,1)&gt;=1,B226='112'!$K$9,OR($N226='112'!$I$6,$O226='112'!$I$6))),"x",""))</f>
        <v/>
      </c>
      <c r="U226" s="84" t="str">
        <f>IF(ISERROR(FIND('112'!$M$9,G226,1)),"",IF((AND(LEFT(G226,2)=LEFT('112'!$M$9,2),B226&lt;'112'!$K$9,$N226='112'!$I$6)),"x",""))</f>
        <v/>
      </c>
      <c r="V226" s="84" t="str">
        <f>IF(ISERROR(FIND('112'!$M$9,G226,1)),"",IF((AND(RIGHT(G226,2)=RIGHT('112'!$M$9,2),B226&lt;'112'!$K$9,$O226='112'!$I$6)),"x",""))</f>
        <v/>
      </c>
      <c r="W226" s="84" t="str">
        <f>IF(AND('341-CT'!$H$9=H226,OR(LEFT(N226,3)=$W$7,LEFT(O226,3)=$W$7)),"x","")</f>
        <v/>
      </c>
      <c r="X226" s="84" t="str">
        <f>IF(OR(TH!N226=TH!$X$7,O226=TH!$X$7),"x","")</f>
        <v/>
      </c>
      <c r="Y226" s="84" t="str">
        <f>IF(AND(OR(N226="131",O226="131"),H226='131-CT'!$H$9),"x","")</f>
        <v/>
      </c>
      <c r="Z226" s="84"/>
      <c r="AA226" s="84" t="str">
        <f>IF(AND(MONTH(E226)='IN-NX'!$J$5,'IN-NX'!$D$7=D226),"x","")</f>
        <v/>
      </c>
      <c r="AB226" s="84" t="str">
        <f>IF(AND(OR(LEFT(TH!N226,2)="15",LEFT(TH!O226,2)="15"),LEFT(TH!O226,3)&lt;&gt;"111",'152-CT'!$J$8=TH!F226),"x","")</f>
        <v/>
      </c>
      <c r="AC226" s="84" t="str">
        <f>IF(AND(OR(LEFT(TH!N226,2)="15",LEFT(TH!O226,2)="15"),TK!$E$7=TH!F226),"x","")</f>
        <v/>
      </c>
      <c r="AD226" s="84" t="str">
        <f>IF(AND(N226="1521",MONTH(C226)='BK-NL'!$M$11),"x","")</f>
        <v/>
      </c>
    </row>
    <row r="227" spans="1:30" s="1156" customFormat="1" ht="15.75" hidden="1" customHeight="1">
      <c r="A227" s="336" t="str">
        <f>IF(B227&lt;&gt;"",IF(AND(B227='IN-TC'!$S$4,OR(TH!N227="1111",TH!O227="1111")),TH!D227,""),"")</f>
        <v/>
      </c>
      <c r="B227" s="63">
        <f t="shared" si="36"/>
        <v>5</v>
      </c>
      <c r="C227" s="94">
        <f t="shared" si="35"/>
        <v>42502</v>
      </c>
      <c r="D227" s="94" t="s">
        <v>597</v>
      </c>
      <c r="E227" s="94">
        <v>42502</v>
      </c>
      <c r="F227" s="95" t="s">
        <v>453</v>
      </c>
      <c r="G227" s="95" t="s">
        <v>1525</v>
      </c>
      <c r="H227" s="988" t="s">
        <v>598</v>
      </c>
      <c r="I227" s="445">
        <v>4800</v>
      </c>
      <c r="J227" s="445">
        <v>152507.24</v>
      </c>
      <c r="K227" s="436"/>
      <c r="L227" s="445"/>
      <c r="M227" s="97">
        <f>ROUND(I227*J227,0)</f>
        <v>732034752</v>
      </c>
      <c r="N227" s="85" t="s">
        <v>294</v>
      </c>
      <c r="O227" s="85" t="s">
        <v>284</v>
      </c>
      <c r="P227" s="84" t="str">
        <f>IF(AND('331-CT'!$E$7=TH!H227,OR(N227="331",O227="331")),"x","")</f>
        <v/>
      </c>
      <c r="Q227" s="84" t="str">
        <f>IF(AND(B227='111'!$L$11,OR($N227=$Q$7,$O227=$Q$7)),"x","")</f>
        <v/>
      </c>
      <c r="R227" s="84" t="str">
        <f>IF(AND($N227=$Q$7,$B227&lt;'111'!$L$11),"x","")</f>
        <v/>
      </c>
      <c r="S227" s="84" t="str">
        <f>IF(AND($O227=$Q$7,$B227&lt;'111'!$L$11),"x","")</f>
        <v/>
      </c>
      <c r="T227" s="84" t="str">
        <f>IF(ISERROR(FIND('112'!$M$9,G227,1)),"",IF((AND(FIND('112'!$M$9,G227,1)&gt;=1,B227='112'!$K$9,OR($N227='112'!$I$6,$O227='112'!$I$6))),"x",""))</f>
        <v/>
      </c>
      <c r="U227" s="84" t="str">
        <f>IF(ISERROR(FIND('112'!$M$9,G227,1)),"",IF((AND(LEFT(G227,2)=LEFT('112'!$M$9,2),B227&lt;'112'!$K$9,$N227='112'!$I$6)),"x",""))</f>
        <v/>
      </c>
      <c r="V227" s="84" t="str">
        <f>IF(ISERROR(FIND('112'!$M$9,G227,1)),"",IF((AND(RIGHT(G227,2)=RIGHT('112'!$M$9,2),B227&lt;'112'!$K$9,$O227='112'!$I$6)),"x",""))</f>
        <v/>
      </c>
      <c r="W227" s="84" t="str">
        <f>IF(AND('341-CT'!$H$9=H227,OR(LEFT(N227,3)=$W$7,LEFT(O227,3)=$W$7)),"x","")</f>
        <v/>
      </c>
      <c r="X227" s="84" t="str">
        <f>IF(OR(TH!N227=TH!$X$7,O227=TH!$X$7),"x","")</f>
        <v/>
      </c>
      <c r="Y227" s="84" t="str">
        <f>IF(AND(OR(N227="131",O227="131"),H227='131-CT'!$H$9),"x","")</f>
        <v/>
      </c>
      <c r="Z227" s="84"/>
      <c r="AA227" s="84" t="str">
        <f>IF(AND(MONTH(E227)='IN-NX'!$J$5,'IN-NX'!$D$7=D227),"x","")</f>
        <v/>
      </c>
      <c r="AB227" s="84" t="str">
        <f>IF(AND(OR(LEFT(TH!N227,2)="15",LEFT(TH!O227,2)="15"),LEFT(TH!O227,3)&lt;&gt;"111",'152-CT'!$J$8=TH!F227),"x","")</f>
        <v/>
      </c>
      <c r="AC227" s="84" t="str">
        <f>IF(AND(OR(LEFT(TH!N227,2)="15",LEFT(TH!O227,2)="15"),TK!$E$7=TH!F227),"x","")</f>
        <v/>
      </c>
      <c r="AD227" s="84" t="str">
        <f>IF(AND(N227="1521",MONTH(C227)='BK-NL'!$M$11),"x","")</f>
        <v/>
      </c>
    </row>
    <row r="228" spans="1:30" s="1156" customFormat="1" ht="15.75" hidden="1" customHeight="1">
      <c r="A228" s="336" t="str">
        <f>IF(B228&lt;&gt;"",IF(AND(B228='IN-TC'!$S$4,OR(TH!N228="1111",TH!O228="1111")),TH!D228,""),"")</f>
        <v/>
      </c>
      <c r="B228" s="63">
        <f t="shared" si="36"/>
        <v>6</v>
      </c>
      <c r="C228" s="80">
        <v>42527</v>
      </c>
      <c r="D228" s="80" t="s">
        <v>699</v>
      </c>
      <c r="E228" s="80">
        <f>C228</f>
        <v>42527</v>
      </c>
      <c r="F228" s="81" t="s">
        <v>452</v>
      </c>
      <c r="G228" s="81"/>
      <c r="H228" s="82" t="s">
        <v>697</v>
      </c>
      <c r="I228" s="437">
        <v>10000</v>
      </c>
      <c r="J228" s="437">
        <v>171096.5238</v>
      </c>
      <c r="K228" s="428"/>
      <c r="L228" s="437"/>
      <c r="M228" s="83">
        <v>1708890076</v>
      </c>
      <c r="N228" s="88" t="s">
        <v>284</v>
      </c>
      <c r="O228" s="84" t="s">
        <v>282</v>
      </c>
      <c r="P228" s="84" t="str">
        <f>IF(AND('331-CT'!$E$7=TH!H228,OR(N228="331",O228="331")),"x","")</f>
        <v/>
      </c>
      <c r="Q228" s="84" t="str">
        <f>IF(AND(B228='111'!$L$11,OR($N228=$Q$7,$O228=$Q$7)),"x","")</f>
        <v/>
      </c>
      <c r="R228" s="84" t="str">
        <f>IF(AND($N228=$Q$7,$B228&lt;'111'!$L$11),"x","")</f>
        <v/>
      </c>
      <c r="S228" s="84" t="str">
        <f>IF(AND($O228=$Q$7,$B228&lt;'111'!$L$11),"x","")</f>
        <v/>
      </c>
      <c r="T228" s="84" t="str">
        <f>IF(ISERROR(FIND('112'!$M$9,G228,1)),"",IF((AND(FIND('112'!$M$9,G228,1)&gt;=1,B228='112'!$K$9,OR($N228='112'!$I$6,$O228='112'!$I$6))),"x",""))</f>
        <v/>
      </c>
      <c r="U228" s="84" t="str">
        <f>IF(ISERROR(FIND('112'!$M$9,G228,1)),"",IF((AND(LEFT(G228,2)=LEFT('112'!$M$9,2),B228&lt;'112'!$K$9,$N228='112'!$I$6)),"x",""))</f>
        <v/>
      </c>
      <c r="V228" s="84" t="str">
        <f>IF(ISERROR(FIND('112'!$M$9,G228,1)),"",IF((AND(RIGHT(G228,2)=RIGHT('112'!$M$9,2),B228&lt;'112'!$K$9,$O228='112'!$I$6)),"x",""))</f>
        <v/>
      </c>
      <c r="W228" s="84" t="str">
        <f>IF(AND('341-CT'!$H$9=H228,OR(LEFT(N228,3)=$W$7,LEFT(O228,3)=$W$7)),"x","")</f>
        <v/>
      </c>
      <c r="X228" s="84" t="str">
        <f>IF(OR(TH!N228=TH!$X$7,O228=TH!$X$7),"x","")</f>
        <v/>
      </c>
      <c r="Y228" s="84" t="str">
        <f>IF(AND(OR(N228="131",O228="131"),H228='131-CT'!$H$9),"x","")</f>
        <v/>
      </c>
      <c r="Z228" s="84"/>
      <c r="AA228" s="84" t="str">
        <f>IF(AND(MONTH(E228)='IN-NX'!$J$5,'IN-NX'!$D$7=D228),"x","")</f>
        <v/>
      </c>
      <c r="AB228" s="84" t="str">
        <f>IF(AND(OR(LEFT(TH!N228,2)="15",LEFT(TH!O228,2)="15"),LEFT(TH!O228,3)&lt;&gt;"111",'152-CT'!$J$8=TH!F228),"x","")</f>
        <v/>
      </c>
      <c r="AC228" s="84" t="str">
        <f>IF(AND(OR(LEFT(TH!N228,2)="15",LEFT(TH!O228,2)="15"),TK!$E$7=TH!F228),"x","")</f>
        <v/>
      </c>
      <c r="AD228" s="84" t="str">
        <f>IF(AND(N228="1521",MONTH(C228)='BK-NL'!$M$11),"x","")</f>
        <v/>
      </c>
    </row>
    <row r="229" spans="1:30" s="1156" customFormat="1" ht="15.75" hidden="1" customHeight="1">
      <c r="A229" s="336" t="str">
        <f>IF(B229&lt;&gt;"",IF(AND(B229='IN-TC'!$S$4,OR(TH!N229="1111",TH!O229="1111")),TH!D229,""),"")</f>
        <v/>
      </c>
      <c r="B229" s="63">
        <f t="shared" si="36"/>
        <v>6</v>
      </c>
      <c r="C229" s="80">
        <v>42532</v>
      </c>
      <c r="D229" s="80" t="s">
        <v>700</v>
      </c>
      <c r="E229" s="80">
        <f>C229</f>
        <v>42532</v>
      </c>
      <c r="F229" s="81" t="s">
        <v>451</v>
      </c>
      <c r="G229" s="81"/>
      <c r="H229" s="82" t="s">
        <v>697</v>
      </c>
      <c r="I229" s="437">
        <v>1000</v>
      </c>
      <c r="J229" s="437">
        <v>181351.27600000001</v>
      </c>
      <c r="K229" s="428"/>
      <c r="L229" s="437"/>
      <c r="M229" s="83">
        <v>181143760</v>
      </c>
      <c r="N229" s="88" t="s">
        <v>284</v>
      </c>
      <c r="O229" s="84" t="s">
        <v>282</v>
      </c>
      <c r="P229" s="84" t="str">
        <f>IF(AND('331-CT'!$E$7=TH!H229,OR(N229="331",O229="331")),"x","")</f>
        <v/>
      </c>
      <c r="Q229" s="84" t="str">
        <f>IF(AND(B229='111'!$L$11,OR($N229=$Q$7,$O229=$Q$7)),"x","")</f>
        <v/>
      </c>
      <c r="R229" s="84" t="str">
        <f>IF(AND($N229=$Q$7,$B229&lt;'111'!$L$11),"x","")</f>
        <v/>
      </c>
      <c r="S229" s="84" t="str">
        <f>IF(AND($O229=$Q$7,$B229&lt;'111'!$L$11),"x","")</f>
        <v/>
      </c>
      <c r="T229" s="84" t="str">
        <f>IF(ISERROR(FIND('112'!$M$9,G229,1)),"",IF((AND(FIND('112'!$M$9,G229,1)&gt;=1,B229='112'!$K$9,OR($N229='112'!$I$6,$O229='112'!$I$6))),"x",""))</f>
        <v/>
      </c>
      <c r="U229" s="84" t="str">
        <f>IF(ISERROR(FIND('112'!$M$9,G229,1)),"",IF((AND(LEFT(G229,2)=LEFT('112'!$M$9,2),B229&lt;'112'!$K$9,$N229='112'!$I$6)),"x",""))</f>
        <v/>
      </c>
      <c r="V229" s="84" t="str">
        <f>IF(ISERROR(FIND('112'!$M$9,G229,1)),"",IF((AND(RIGHT(G229,2)=RIGHT('112'!$M$9,2),B229&lt;'112'!$K$9,$O229='112'!$I$6)),"x",""))</f>
        <v/>
      </c>
      <c r="W229" s="84" t="str">
        <f>IF(AND('341-CT'!$H$9=H229,OR(LEFT(N229,3)=$W$7,LEFT(O229,3)=$W$7)),"x","")</f>
        <v/>
      </c>
      <c r="X229" s="84" t="str">
        <f>IF(OR(TH!N229=TH!$X$7,O229=TH!$X$7),"x","")</f>
        <v/>
      </c>
      <c r="Y229" s="84" t="str">
        <f>IF(AND(OR(N229="131",O229="131"),H229='131-CT'!$H$9),"x","")</f>
        <v/>
      </c>
      <c r="Z229" s="84"/>
      <c r="AA229" s="84" t="str">
        <f>IF(AND(MONTH(E229)='IN-NX'!$J$5,'IN-NX'!$D$7=D229),"x","")</f>
        <v/>
      </c>
      <c r="AB229" s="84" t="str">
        <f>IF(AND(OR(LEFT(TH!N229,2)="15",LEFT(TH!O229,2)="15"),LEFT(TH!O229,3)&lt;&gt;"111",'152-CT'!$J$8=TH!F229),"x","")</f>
        <v/>
      </c>
      <c r="AC229" s="84" t="str">
        <f>IF(AND(OR(LEFT(TH!N229,2)="15",LEFT(TH!O229,2)="15"),TK!$E$7=TH!F229),"x","")</f>
        <v/>
      </c>
      <c r="AD229" s="84" t="str">
        <f>IF(AND(N229="1521",MONTH(C229)='BK-NL'!$M$11),"x","")</f>
        <v/>
      </c>
    </row>
    <row r="230" spans="1:30" s="1156" customFormat="1" ht="15.75" hidden="1" customHeight="1">
      <c r="A230" s="336" t="str">
        <f>IF(B230&lt;&gt;"",IF(AND(B230='IN-TC'!$S$4,OR(TH!N230="1111",TH!O230="1111")),TH!D230,""),"")</f>
        <v/>
      </c>
      <c r="B230" s="63">
        <f t="shared" si="36"/>
        <v>6</v>
      </c>
      <c r="C230" s="80">
        <v>42532</v>
      </c>
      <c r="D230" s="80" t="s">
        <v>700</v>
      </c>
      <c r="E230" s="80">
        <f>C230</f>
        <v>42532</v>
      </c>
      <c r="F230" s="81" t="s">
        <v>1524</v>
      </c>
      <c r="G230" s="81"/>
      <c r="H230" s="82" t="s">
        <v>697</v>
      </c>
      <c r="I230" s="437">
        <v>2640</v>
      </c>
      <c r="J230" s="437">
        <v>150165.0768939394</v>
      </c>
      <c r="K230" s="428"/>
      <c r="L230" s="437"/>
      <c r="M230" s="83">
        <v>396012470</v>
      </c>
      <c r="N230" s="88" t="s">
        <v>284</v>
      </c>
      <c r="O230" s="84" t="s">
        <v>282</v>
      </c>
      <c r="P230" s="84" t="str">
        <f>IF(AND('331-CT'!$E$7=TH!H230,OR(N230="331",O230="331")),"x","")</f>
        <v/>
      </c>
      <c r="Q230" s="84" t="str">
        <f>IF(AND(B230='111'!$L$11,OR($N230=$Q$7,$O230=$Q$7)),"x","")</f>
        <v/>
      </c>
      <c r="R230" s="84" t="str">
        <f>IF(AND($N230=$Q$7,$B230&lt;'111'!$L$11),"x","")</f>
        <v/>
      </c>
      <c r="S230" s="84" t="str">
        <f>IF(AND($O230=$Q$7,$B230&lt;'111'!$L$11),"x","")</f>
        <v/>
      </c>
      <c r="T230" s="84" t="str">
        <f>IF(ISERROR(FIND('112'!$M$9,G230,1)),"",IF((AND(FIND('112'!$M$9,G230,1)&gt;=1,B230='112'!$K$9,OR($N230='112'!$I$6,$O230='112'!$I$6))),"x",""))</f>
        <v/>
      </c>
      <c r="U230" s="84" t="str">
        <f>IF(ISERROR(FIND('112'!$M$9,G230,1)),"",IF((AND(LEFT(G230,2)=LEFT('112'!$M$9,2),B230&lt;'112'!$K$9,$N230='112'!$I$6)),"x",""))</f>
        <v/>
      </c>
      <c r="V230" s="84" t="str">
        <f>IF(ISERROR(FIND('112'!$M$9,G230,1)),"",IF((AND(RIGHT(G230,2)=RIGHT('112'!$M$9,2),B230&lt;'112'!$K$9,$O230='112'!$I$6)),"x",""))</f>
        <v/>
      </c>
      <c r="W230" s="84" t="str">
        <f>IF(AND('341-CT'!$H$9=H230,OR(LEFT(N230,3)=$W$7,LEFT(O230,3)=$W$7)),"x","")</f>
        <v/>
      </c>
      <c r="X230" s="84" t="str">
        <f>IF(OR(TH!N230=TH!$X$7,O230=TH!$X$7),"x","")</f>
        <v/>
      </c>
      <c r="Y230" s="84" t="str">
        <f>IF(AND(OR(N230="131",O230="131"),H230='131-CT'!$H$9),"x","")</f>
        <v/>
      </c>
      <c r="Z230" s="84"/>
      <c r="AA230" s="84" t="str">
        <f>IF(AND(MONTH(E230)='IN-NX'!$J$5,'IN-NX'!$D$7=D230),"x","")</f>
        <v/>
      </c>
      <c r="AB230" s="84" t="str">
        <f>IF(AND(OR(LEFT(TH!N230,2)="15",LEFT(TH!O230,2)="15"),LEFT(TH!O230,3)&lt;&gt;"111",'152-CT'!$J$8=TH!F230),"x","")</f>
        <v/>
      </c>
      <c r="AC230" s="84" t="str">
        <f>IF(AND(OR(LEFT(TH!N230,2)="15",LEFT(TH!O230,2)="15"),TK!$E$7=TH!F230),"x","")</f>
        <v/>
      </c>
      <c r="AD230" s="84" t="str">
        <f>IF(AND(N230="1521",MONTH(C230)='BK-NL'!$M$11),"x","")</f>
        <v/>
      </c>
    </row>
    <row r="231" spans="1:30" s="1156" customFormat="1" ht="15.75" hidden="1" customHeight="1">
      <c r="A231" s="336" t="str">
        <f>IF(B231&lt;&gt;"",IF(AND(B231='IN-TC'!$S$4,OR(TH!N231="1111",TH!O231="1111")),TH!D231,""),"")</f>
        <v/>
      </c>
      <c r="B231" s="63">
        <f t="shared" si="36"/>
        <v>6</v>
      </c>
      <c r="C231" s="80">
        <v>42535</v>
      </c>
      <c r="D231" s="80" t="s">
        <v>701</v>
      </c>
      <c r="E231" s="80">
        <f>C231</f>
        <v>42535</v>
      </c>
      <c r="F231" s="81" t="s">
        <v>1681</v>
      </c>
      <c r="G231" s="81"/>
      <c r="H231" s="82" t="s">
        <v>697</v>
      </c>
      <c r="I231" s="437">
        <v>1750</v>
      </c>
      <c r="J231" s="437">
        <v>15462.586857142856</v>
      </c>
      <c r="K231" s="428"/>
      <c r="L231" s="437"/>
      <c r="M231" s="83">
        <v>27021288</v>
      </c>
      <c r="N231" s="88" t="s">
        <v>284</v>
      </c>
      <c r="O231" s="84" t="s">
        <v>282</v>
      </c>
      <c r="P231" s="84" t="str">
        <f>IF(AND('331-CT'!$E$7=TH!H231,OR(N231="331",O231="331")),"x","")</f>
        <v/>
      </c>
      <c r="Q231" s="84" t="str">
        <f>IF(AND(B231='111'!$L$11,OR($N231=$Q$7,$O231=$Q$7)),"x","")</f>
        <v/>
      </c>
      <c r="R231" s="84" t="str">
        <f>IF(AND($N231=$Q$7,$B231&lt;'111'!$L$11),"x","")</f>
        <v/>
      </c>
      <c r="S231" s="84" t="str">
        <f>IF(AND($O231=$Q$7,$B231&lt;'111'!$L$11),"x","")</f>
        <v/>
      </c>
      <c r="T231" s="84" t="str">
        <f>IF(ISERROR(FIND('112'!$M$9,G231,1)),"",IF((AND(FIND('112'!$M$9,G231,1)&gt;=1,B231='112'!$K$9,OR($N231='112'!$I$6,$O231='112'!$I$6))),"x",""))</f>
        <v/>
      </c>
      <c r="U231" s="84" t="str">
        <f>IF(ISERROR(FIND('112'!$M$9,G231,1)),"",IF((AND(LEFT(G231,2)=LEFT('112'!$M$9,2),B231&lt;'112'!$K$9,$N231='112'!$I$6)),"x",""))</f>
        <v/>
      </c>
      <c r="V231" s="84" t="str">
        <f>IF(ISERROR(FIND('112'!$M$9,G231,1)),"",IF((AND(RIGHT(G231,2)=RIGHT('112'!$M$9,2),B231&lt;'112'!$K$9,$O231='112'!$I$6)),"x",""))</f>
        <v/>
      </c>
      <c r="W231" s="84" t="str">
        <f>IF(AND('341-CT'!$H$9=H231,OR(LEFT(N231,3)=$W$7,LEFT(O231,3)=$W$7)),"x","")</f>
        <v/>
      </c>
      <c r="X231" s="84" t="str">
        <f>IF(OR(TH!N231=TH!$X$7,O231=TH!$X$7),"x","")</f>
        <v/>
      </c>
      <c r="Y231" s="84" t="str">
        <f>IF(AND(OR(N231="131",O231="131"),H231='131-CT'!$H$9),"x","")</f>
        <v/>
      </c>
      <c r="Z231" s="84"/>
      <c r="AA231" s="84" t="str">
        <f>IF(AND(MONTH(E231)='IN-NX'!$J$5,'IN-NX'!$D$7=D231),"x","")</f>
        <v/>
      </c>
      <c r="AB231" s="84" t="str">
        <f>IF(AND(OR(LEFT(TH!N231,2)="15",LEFT(TH!O231,2)="15"),LEFT(TH!O231,3)&lt;&gt;"111",'152-CT'!$J$8=TH!F231),"x","")</f>
        <v/>
      </c>
      <c r="AC231" s="84" t="str">
        <f>IF(AND(OR(LEFT(TH!N231,2)="15",LEFT(TH!O231,2)="15"),TK!$E$7=TH!F231),"x","")</f>
        <v/>
      </c>
      <c r="AD231" s="84" t="str">
        <f>IF(AND(N231="1521",MONTH(C231)='BK-NL'!$M$11),"x","")</f>
        <v/>
      </c>
    </row>
    <row r="232" spans="1:30" s="1156" customFormat="1" ht="15.75" hidden="1" customHeight="1">
      <c r="A232" s="336" t="str">
        <f>IF(B232&lt;&gt;"",IF(AND(B232='IN-TC'!$S$4,OR(TH!N232="1111",TH!O232="1111")),TH!D232,""),"")</f>
        <v/>
      </c>
      <c r="B232" s="63">
        <f t="shared" si="36"/>
        <v>6</v>
      </c>
      <c r="C232" s="80">
        <v>42535</v>
      </c>
      <c r="D232" s="80" t="s">
        <v>701</v>
      </c>
      <c r="E232" s="80">
        <f>C232</f>
        <v>42535</v>
      </c>
      <c r="F232" s="81" t="s">
        <v>1682</v>
      </c>
      <c r="G232" s="81"/>
      <c r="H232" s="82" t="s">
        <v>697</v>
      </c>
      <c r="I232" s="437">
        <v>5390</v>
      </c>
      <c r="J232" s="437">
        <v>18976.325231910945</v>
      </c>
      <c r="K232" s="428"/>
      <c r="L232" s="437"/>
      <c r="M232" s="83">
        <v>102137132</v>
      </c>
      <c r="N232" s="88" t="s">
        <v>284</v>
      </c>
      <c r="O232" s="84" t="s">
        <v>282</v>
      </c>
      <c r="P232" s="84" t="str">
        <f>IF(AND('331-CT'!$E$7=TH!H232,OR(N232="331",O232="331")),"x","")</f>
        <v/>
      </c>
      <c r="Q232" s="84" t="str">
        <f>IF(AND(B232='111'!$L$11,OR($N232=$Q$7,$O232=$Q$7)),"x","")</f>
        <v/>
      </c>
      <c r="R232" s="84" t="str">
        <f>IF(AND($N232=$Q$7,$B232&lt;'111'!$L$11),"x","")</f>
        <v/>
      </c>
      <c r="S232" s="84" t="str">
        <f>IF(AND($O232=$Q$7,$B232&lt;'111'!$L$11),"x","")</f>
        <v/>
      </c>
      <c r="T232" s="84" t="str">
        <f>IF(ISERROR(FIND('112'!$M$9,G232,1)),"",IF((AND(FIND('112'!$M$9,G232,1)&gt;=1,B232='112'!$K$9,OR($N232='112'!$I$6,$O232='112'!$I$6))),"x",""))</f>
        <v/>
      </c>
      <c r="U232" s="84" t="str">
        <f>IF(ISERROR(FIND('112'!$M$9,G232,1)),"",IF((AND(LEFT(G232,2)=LEFT('112'!$M$9,2),B232&lt;'112'!$K$9,$N232='112'!$I$6)),"x",""))</f>
        <v/>
      </c>
      <c r="V232" s="84" t="str">
        <f>IF(ISERROR(FIND('112'!$M$9,G232,1)),"",IF((AND(RIGHT(G232,2)=RIGHT('112'!$M$9,2),B232&lt;'112'!$K$9,$O232='112'!$I$6)),"x",""))</f>
        <v/>
      </c>
      <c r="W232" s="84" t="str">
        <f>IF(AND('341-CT'!$H$9=H232,OR(LEFT(N232,3)=$W$7,LEFT(O232,3)=$W$7)),"x","")</f>
        <v/>
      </c>
      <c r="X232" s="84" t="str">
        <f>IF(OR(TH!N232=TH!$X$7,O232=TH!$X$7),"x","")</f>
        <v/>
      </c>
      <c r="Y232" s="84" t="str">
        <f>IF(AND(OR(N232="131",O232="131"),H232='131-CT'!$H$9),"x","")</f>
        <v/>
      </c>
      <c r="Z232" s="84"/>
      <c r="AA232" s="84" t="str">
        <f>IF(AND(MONTH(E232)='IN-NX'!$J$5,'IN-NX'!$D$7=D232),"x","")</f>
        <v/>
      </c>
      <c r="AB232" s="84" t="str">
        <f>IF(AND(OR(LEFT(TH!N232,2)="15",LEFT(TH!O232,2)="15"),LEFT(TH!O232,3)&lt;&gt;"111",'152-CT'!$J$8=TH!F232),"x","")</f>
        <v/>
      </c>
      <c r="AC232" s="84" t="str">
        <f>IF(AND(OR(LEFT(TH!N232,2)="15",LEFT(TH!O232,2)="15"),TK!$E$7=TH!F232),"x","")</f>
        <v/>
      </c>
      <c r="AD232" s="84" t="str">
        <f>IF(AND(N232="1521",MONTH(C232)='BK-NL'!$M$11),"x","")</f>
        <v/>
      </c>
    </row>
    <row r="233" spans="1:30" s="1156" customFormat="1" ht="15.75" hidden="1" customHeight="1">
      <c r="A233" s="336" t="str">
        <f>IF(B233&lt;&gt;"",IF(AND(B233='IN-TC'!$S$4,OR(TH!N233="1111",TH!O233="1111")),TH!D233,""),"")</f>
        <v/>
      </c>
      <c r="B233" s="63">
        <f t="shared" si="36"/>
        <v>6</v>
      </c>
      <c r="C233" s="94">
        <v>42527</v>
      </c>
      <c r="D233" s="94" t="s">
        <v>596</v>
      </c>
      <c r="E233" s="94">
        <f t="shared" ref="E233:E238" si="37">C233</f>
        <v>42527</v>
      </c>
      <c r="F233" s="95" t="s">
        <v>452</v>
      </c>
      <c r="G233" s="95" t="s">
        <v>1558</v>
      </c>
      <c r="H233" s="988" t="s">
        <v>1559</v>
      </c>
      <c r="I233" s="445">
        <v>10000</v>
      </c>
      <c r="J233" s="445">
        <v>170889</v>
      </c>
      <c r="K233" s="436"/>
      <c r="L233" s="445"/>
      <c r="M233" s="97">
        <f t="shared" ref="M233:M238" si="38">ROUND(I233*J233,0)</f>
        <v>1708890000</v>
      </c>
      <c r="N233" s="85" t="s">
        <v>294</v>
      </c>
      <c r="O233" s="85" t="s">
        <v>284</v>
      </c>
      <c r="P233" s="84" t="str">
        <f>IF(AND('331-CT'!$E$7=TH!H233,OR(N233="331",O233="331")),"x","")</f>
        <v/>
      </c>
      <c r="Q233" s="84" t="str">
        <f>IF(AND(B233='111'!$L$11,OR($N233=$Q$7,$O233=$Q$7)),"x","")</f>
        <v/>
      </c>
      <c r="R233" s="84" t="str">
        <f>IF(AND($N233=$Q$7,$B233&lt;'111'!$L$11),"x","")</f>
        <v/>
      </c>
      <c r="S233" s="84" t="str">
        <f>IF(AND($O233=$Q$7,$B233&lt;'111'!$L$11),"x","")</f>
        <v/>
      </c>
      <c r="T233" s="84" t="str">
        <f>IF(ISERROR(FIND('112'!$M$9,G233,1)),"",IF((AND(FIND('112'!$M$9,G233,1)&gt;=1,B233='112'!$K$9,OR($N233='112'!$I$6,$O233='112'!$I$6))),"x",""))</f>
        <v/>
      </c>
      <c r="U233" s="84" t="str">
        <f>IF(ISERROR(FIND('112'!$M$9,G233,1)),"",IF((AND(LEFT(G233,2)=LEFT('112'!$M$9,2),B233&lt;'112'!$K$9,$N233='112'!$I$6)),"x",""))</f>
        <v/>
      </c>
      <c r="V233" s="84" t="str">
        <f>IF(ISERROR(FIND('112'!$M$9,G233,1)),"",IF((AND(RIGHT(G233,2)=RIGHT('112'!$M$9,2),B233&lt;'112'!$K$9,$O233='112'!$I$6)),"x",""))</f>
        <v/>
      </c>
      <c r="W233" s="84" t="str">
        <f>IF(AND('341-CT'!$H$9=H233,OR(LEFT(N233,3)=$W$7,LEFT(O233,3)=$W$7)),"x","")</f>
        <v/>
      </c>
      <c r="X233" s="84" t="str">
        <f>IF(OR(TH!N233=TH!$X$7,O233=TH!$X$7),"x","")</f>
        <v/>
      </c>
      <c r="Y233" s="84" t="str">
        <f>IF(AND(OR(N233="131",O233="131"),H233='131-CT'!$H$9),"x","")</f>
        <v/>
      </c>
      <c r="Z233" s="84"/>
      <c r="AA233" s="84" t="str">
        <f>IF(AND(MONTH(E233)='IN-NX'!$J$5,'IN-NX'!$D$7=D233),"x","")</f>
        <v/>
      </c>
      <c r="AB233" s="84" t="str">
        <f>IF(AND(OR(LEFT(TH!N233,2)="15",LEFT(TH!O233,2)="15"),LEFT(TH!O233,3)&lt;&gt;"111",'152-CT'!$J$8=TH!F233),"x","")</f>
        <v/>
      </c>
      <c r="AC233" s="84" t="str">
        <f>IF(AND(OR(LEFT(TH!N233,2)="15",LEFT(TH!O233,2)="15"),TK!$E$7=TH!F233),"x","")</f>
        <v/>
      </c>
      <c r="AD233" s="84" t="str">
        <f>IF(AND(N233="1521",MONTH(C233)='BK-NL'!$M$11),"x","")</f>
        <v/>
      </c>
    </row>
    <row r="234" spans="1:30" s="1156" customFormat="1" ht="15.75" hidden="1" customHeight="1">
      <c r="A234" s="336" t="str">
        <f>IF(B234&lt;&gt;"",IF(AND(B234='IN-TC'!$S$4,OR(TH!N234="1111",TH!O234="1111")),TH!D234,""),"")</f>
        <v/>
      </c>
      <c r="B234" s="63">
        <f t="shared" si="36"/>
        <v>6</v>
      </c>
      <c r="C234" s="94">
        <v>42532</v>
      </c>
      <c r="D234" s="94" t="s">
        <v>597</v>
      </c>
      <c r="E234" s="94">
        <f t="shared" si="37"/>
        <v>42532</v>
      </c>
      <c r="F234" s="95" t="s">
        <v>451</v>
      </c>
      <c r="G234" s="95" t="s">
        <v>1557</v>
      </c>
      <c r="H234" s="988" t="s">
        <v>601</v>
      </c>
      <c r="I234" s="445">
        <v>1000</v>
      </c>
      <c r="J234" s="445">
        <v>181144</v>
      </c>
      <c r="K234" s="436"/>
      <c r="L234" s="445"/>
      <c r="M234" s="97">
        <f t="shared" si="38"/>
        <v>181144000</v>
      </c>
      <c r="N234" s="85" t="s">
        <v>294</v>
      </c>
      <c r="O234" s="85" t="s">
        <v>284</v>
      </c>
      <c r="P234" s="84" t="str">
        <f>IF(AND('331-CT'!$E$7=TH!H234,OR(N234="331",O234="331")),"x","")</f>
        <v/>
      </c>
      <c r="Q234" s="84" t="str">
        <f>IF(AND(B234='111'!$L$11,OR($N234=$Q$7,$O234=$Q$7)),"x","")</f>
        <v/>
      </c>
      <c r="R234" s="84" t="str">
        <f>IF(AND($N234=$Q$7,$B234&lt;'111'!$L$11),"x","")</f>
        <v/>
      </c>
      <c r="S234" s="84" t="str">
        <f>IF(AND($O234=$Q$7,$B234&lt;'111'!$L$11),"x","")</f>
        <v/>
      </c>
      <c r="T234" s="84" t="str">
        <f>IF(ISERROR(FIND('112'!$M$9,G234,1)),"",IF((AND(FIND('112'!$M$9,G234,1)&gt;=1,B234='112'!$K$9,OR($N234='112'!$I$6,$O234='112'!$I$6))),"x",""))</f>
        <v/>
      </c>
      <c r="U234" s="84" t="str">
        <f>IF(ISERROR(FIND('112'!$M$9,G234,1)),"",IF((AND(LEFT(G234,2)=LEFT('112'!$M$9,2),B234&lt;'112'!$K$9,$N234='112'!$I$6)),"x",""))</f>
        <v/>
      </c>
      <c r="V234" s="84" t="str">
        <f>IF(ISERROR(FIND('112'!$M$9,G234,1)),"",IF((AND(RIGHT(G234,2)=RIGHT('112'!$M$9,2),B234&lt;'112'!$K$9,$O234='112'!$I$6)),"x",""))</f>
        <v/>
      </c>
      <c r="W234" s="84" t="str">
        <f>IF(AND('341-CT'!$H$9=H234,OR(LEFT(N234,3)=$W$7,LEFT(O234,3)=$W$7)),"x","")</f>
        <v/>
      </c>
      <c r="X234" s="84" t="str">
        <f>IF(OR(TH!N234=TH!$X$7,O234=TH!$X$7),"x","")</f>
        <v/>
      </c>
      <c r="Y234" s="84" t="str">
        <f>IF(AND(OR(N234="131",O234="131"),H234='131-CT'!$H$9),"x","")</f>
        <v/>
      </c>
      <c r="Z234" s="84"/>
      <c r="AA234" s="84" t="str">
        <f>IF(AND(MONTH(E234)='IN-NX'!$J$5,'IN-NX'!$D$7=D234),"x","")</f>
        <v/>
      </c>
      <c r="AB234" s="84" t="str">
        <f>IF(AND(OR(LEFT(TH!N234,2)="15",LEFT(TH!O234,2)="15"),LEFT(TH!O234,3)&lt;&gt;"111",'152-CT'!$J$8=TH!F234),"x","")</f>
        <v/>
      </c>
      <c r="AC234" s="84" t="str">
        <f>IF(AND(OR(LEFT(TH!N234,2)="15",LEFT(TH!O234,2)="15"),TK!$E$7=TH!F234),"x","")</f>
        <v/>
      </c>
      <c r="AD234" s="84" t="str">
        <f>IF(AND(N234="1521",MONTH(C234)='BK-NL'!$M$11),"x","")</f>
        <v/>
      </c>
    </row>
    <row r="235" spans="1:30" s="1156" customFormat="1" ht="15.75" hidden="1" customHeight="1">
      <c r="A235" s="336" t="str">
        <f>IF(B235&lt;&gt;"",IF(AND(B235='IN-TC'!$S$4,OR(TH!N235="1111",TH!O235="1111")),TH!D235,""),"")</f>
        <v/>
      </c>
      <c r="B235" s="63">
        <f t="shared" si="36"/>
        <v>6</v>
      </c>
      <c r="C235" s="94">
        <v>42532</v>
      </c>
      <c r="D235" s="94" t="s">
        <v>597</v>
      </c>
      <c r="E235" s="94">
        <f t="shared" si="37"/>
        <v>42532</v>
      </c>
      <c r="F235" s="95" t="s">
        <v>1524</v>
      </c>
      <c r="G235" s="95" t="s">
        <v>1557</v>
      </c>
      <c r="H235" s="988" t="s">
        <v>601</v>
      </c>
      <c r="I235" s="445">
        <v>2640</v>
      </c>
      <c r="J235" s="445">
        <v>150005</v>
      </c>
      <c r="K235" s="436"/>
      <c r="L235" s="445"/>
      <c r="M235" s="97">
        <f t="shared" si="38"/>
        <v>396013200</v>
      </c>
      <c r="N235" s="85" t="s">
        <v>294</v>
      </c>
      <c r="O235" s="85" t="s">
        <v>284</v>
      </c>
      <c r="P235" s="84" t="str">
        <f>IF(AND('331-CT'!$E$7=TH!H235,OR(N235="331",O235="331")),"x","")</f>
        <v/>
      </c>
      <c r="Q235" s="84" t="str">
        <f>IF(AND(B235='111'!$L$11,OR($N235=$Q$7,$O235=$Q$7)),"x","")</f>
        <v/>
      </c>
      <c r="R235" s="84" t="str">
        <f>IF(AND($N235=$Q$7,$B235&lt;'111'!$L$11),"x","")</f>
        <v/>
      </c>
      <c r="S235" s="84" t="str">
        <f>IF(AND($O235=$Q$7,$B235&lt;'111'!$L$11),"x","")</f>
        <v/>
      </c>
      <c r="T235" s="84" t="str">
        <f>IF(ISERROR(FIND('112'!$M$9,G235,1)),"",IF((AND(FIND('112'!$M$9,G235,1)&gt;=1,B235='112'!$K$9,OR($N235='112'!$I$6,$O235='112'!$I$6))),"x",""))</f>
        <v/>
      </c>
      <c r="U235" s="84" t="str">
        <f>IF(ISERROR(FIND('112'!$M$9,G235,1)),"",IF((AND(LEFT(G235,2)=LEFT('112'!$M$9,2),B235&lt;'112'!$K$9,$N235='112'!$I$6)),"x",""))</f>
        <v/>
      </c>
      <c r="V235" s="84" t="str">
        <f>IF(ISERROR(FIND('112'!$M$9,G235,1)),"",IF((AND(RIGHT(G235,2)=RIGHT('112'!$M$9,2),B235&lt;'112'!$K$9,$O235='112'!$I$6)),"x",""))</f>
        <v/>
      </c>
      <c r="W235" s="84" t="str">
        <f>IF(AND('341-CT'!$H$9=H235,OR(LEFT(N235,3)=$W$7,LEFT(O235,3)=$W$7)),"x","")</f>
        <v/>
      </c>
      <c r="X235" s="84" t="str">
        <f>IF(OR(TH!N235=TH!$X$7,O235=TH!$X$7),"x","")</f>
        <v/>
      </c>
      <c r="Y235" s="84" t="str">
        <f>IF(AND(OR(N235="131",O235="131"),H235='131-CT'!$H$9),"x","")</f>
        <v/>
      </c>
      <c r="Z235" s="84"/>
      <c r="AA235" s="84" t="str">
        <f>IF(AND(MONTH(E235)='IN-NX'!$J$5,'IN-NX'!$D$7=D235),"x","")</f>
        <v/>
      </c>
      <c r="AB235" s="84" t="str">
        <f>IF(AND(OR(LEFT(TH!N235,2)="15",LEFT(TH!O235,2)="15"),LEFT(TH!O235,3)&lt;&gt;"111",'152-CT'!$J$8=TH!F235),"x","")</f>
        <v/>
      </c>
      <c r="AC235" s="84" t="str">
        <f>IF(AND(OR(LEFT(TH!N235,2)="15",LEFT(TH!O235,2)="15"),TK!$E$7=TH!F235),"x","")</f>
        <v/>
      </c>
      <c r="AD235" s="84" t="str">
        <f>IF(AND(N235="1521",MONTH(C235)='BK-NL'!$M$11),"x","")</f>
        <v/>
      </c>
    </row>
    <row r="236" spans="1:30" s="1156" customFormat="1" ht="15.75" hidden="1" customHeight="1">
      <c r="A236" s="336" t="str">
        <f>IF(B236&lt;&gt;"",IF(AND(B236='IN-TC'!$S$4,OR(TH!N236="1111",TH!O236="1111")),TH!D236,""),"")</f>
        <v/>
      </c>
      <c r="B236" s="63">
        <f t="shared" si="36"/>
        <v>6</v>
      </c>
      <c r="C236" s="94">
        <v>42535</v>
      </c>
      <c r="D236" s="94" t="s">
        <v>1680</v>
      </c>
      <c r="E236" s="94">
        <f t="shared" si="37"/>
        <v>42535</v>
      </c>
      <c r="F236" s="95" t="s">
        <v>1681</v>
      </c>
      <c r="G236" s="95" t="s">
        <v>1683</v>
      </c>
      <c r="H236" s="988" t="s">
        <v>1546</v>
      </c>
      <c r="I236" s="445">
        <v>1750</v>
      </c>
      <c r="J236" s="445">
        <v>15441</v>
      </c>
      <c r="K236" s="436"/>
      <c r="L236" s="445"/>
      <c r="M236" s="97">
        <f t="shared" si="38"/>
        <v>27021750</v>
      </c>
      <c r="N236" s="85" t="s">
        <v>294</v>
      </c>
      <c r="O236" s="85" t="s">
        <v>284</v>
      </c>
      <c r="P236" s="84" t="str">
        <f>IF(AND('331-CT'!$E$7=TH!H236,OR(N236="331",O236="331")),"x","")</f>
        <v/>
      </c>
      <c r="Q236" s="84" t="str">
        <f>IF(AND(B236='111'!$L$11,OR($N236=$Q$7,$O236=$Q$7)),"x","")</f>
        <v/>
      </c>
      <c r="R236" s="84" t="str">
        <f>IF(AND($N236=$Q$7,$B236&lt;'111'!$L$11),"x","")</f>
        <v/>
      </c>
      <c r="S236" s="84" t="str">
        <f>IF(AND($O236=$Q$7,$B236&lt;'111'!$L$11),"x","")</f>
        <v/>
      </c>
      <c r="T236" s="84" t="str">
        <f>IF(ISERROR(FIND('112'!$M$9,G236,1)),"",IF((AND(FIND('112'!$M$9,G236,1)&gt;=1,B236='112'!$K$9,OR($N236='112'!$I$6,$O236='112'!$I$6))),"x",""))</f>
        <v/>
      </c>
      <c r="U236" s="84" t="str">
        <f>IF(ISERROR(FIND('112'!$M$9,G236,1)),"",IF((AND(LEFT(G236,2)=LEFT('112'!$M$9,2),B236&lt;'112'!$K$9,$N236='112'!$I$6)),"x",""))</f>
        <v/>
      </c>
      <c r="V236" s="84" t="str">
        <f>IF(ISERROR(FIND('112'!$M$9,G236,1)),"",IF((AND(RIGHT(G236,2)=RIGHT('112'!$M$9,2),B236&lt;'112'!$K$9,$O236='112'!$I$6)),"x",""))</f>
        <v/>
      </c>
      <c r="W236" s="84" t="str">
        <f>IF(AND('341-CT'!$H$9=H236,OR(LEFT(N236,3)=$W$7,LEFT(O236,3)=$W$7)),"x","")</f>
        <v/>
      </c>
      <c r="X236" s="84" t="str">
        <f>IF(OR(TH!N236=TH!$X$7,O236=TH!$X$7),"x","")</f>
        <v/>
      </c>
      <c r="Y236" s="84" t="str">
        <f>IF(AND(OR(N236="131",O236="131"),H236='131-CT'!$H$9),"x","")</f>
        <v/>
      </c>
      <c r="Z236" s="84"/>
      <c r="AA236" s="84" t="str">
        <f>IF(AND(MONTH(E236)='IN-NX'!$J$5,'IN-NX'!$D$7=D236),"x","")</f>
        <v/>
      </c>
      <c r="AB236" s="84" t="str">
        <f>IF(AND(OR(LEFT(TH!N236,2)="15",LEFT(TH!O236,2)="15"),LEFT(TH!O236,3)&lt;&gt;"111",'152-CT'!$J$8=TH!F236),"x","")</f>
        <v/>
      </c>
      <c r="AC236" s="84" t="str">
        <f>IF(AND(OR(LEFT(TH!N236,2)="15",LEFT(TH!O236,2)="15"),TK!$E$7=TH!F236),"x","")</f>
        <v/>
      </c>
      <c r="AD236" s="84" t="str">
        <f>IF(AND(N236="1521",MONTH(C236)='BK-NL'!$M$11),"x","")</f>
        <v/>
      </c>
    </row>
    <row r="237" spans="1:30" s="1156" customFormat="1" ht="15.75" hidden="1" customHeight="1">
      <c r="A237" s="336" t="str">
        <f>IF(B237&lt;&gt;"",IF(AND(B237='IN-TC'!$S$4,OR(TH!N237="1111",TH!O237="1111")),TH!D237,""),"")</f>
        <v/>
      </c>
      <c r="B237" s="63">
        <f t="shared" si="36"/>
        <v>6</v>
      </c>
      <c r="C237" s="94">
        <v>42535</v>
      </c>
      <c r="D237" s="94" t="s">
        <v>1680</v>
      </c>
      <c r="E237" s="94">
        <f t="shared" si="37"/>
        <v>42535</v>
      </c>
      <c r="F237" s="95" t="s">
        <v>1682</v>
      </c>
      <c r="G237" s="95" t="s">
        <v>1683</v>
      </c>
      <c r="H237" s="988" t="s">
        <v>1546</v>
      </c>
      <c r="I237" s="445">
        <v>5390</v>
      </c>
      <c r="J237" s="445">
        <v>18949</v>
      </c>
      <c r="K237" s="436"/>
      <c r="L237" s="445"/>
      <c r="M237" s="97">
        <f t="shared" si="38"/>
        <v>102135110</v>
      </c>
      <c r="N237" s="85" t="s">
        <v>294</v>
      </c>
      <c r="O237" s="85" t="s">
        <v>284</v>
      </c>
      <c r="P237" s="84" t="str">
        <f>IF(AND('331-CT'!$E$7=TH!H237,OR(N237="331",O237="331")),"x","")</f>
        <v/>
      </c>
      <c r="Q237" s="84" t="str">
        <f>IF(AND(B237='111'!$L$11,OR($N237=$Q$7,$O237=$Q$7)),"x","")</f>
        <v/>
      </c>
      <c r="R237" s="84" t="str">
        <f>IF(AND($N237=$Q$7,$B237&lt;'111'!$L$11),"x","")</f>
        <v/>
      </c>
      <c r="S237" s="84" t="str">
        <f>IF(AND($O237=$Q$7,$B237&lt;'111'!$L$11),"x","")</f>
        <v/>
      </c>
      <c r="T237" s="84" t="str">
        <f>IF(ISERROR(FIND('112'!$M$9,G237,1)),"",IF((AND(FIND('112'!$M$9,G237,1)&gt;=1,B237='112'!$K$9,OR($N237='112'!$I$6,$O237='112'!$I$6))),"x",""))</f>
        <v/>
      </c>
      <c r="U237" s="84" t="str">
        <f>IF(ISERROR(FIND('112'!$M$9,G237,1)),"",IF((AND(LEFT(G237,2)=LEFT('112'!$M$9,2),B237&lt;'112'!$K$9,$N237='112'!$I$6)),"x",""))</f>
        <v/>
      </c>
      <c r="V237" s="84" t="str">
        <f>IF(ISERROR(FIND('112'!$M$9,G237,1)),"",IF((AND(RIGHT(G237,2)=RIGHT('112'!$M$9,2),B237&lt;'112'!$K$9,$O237='112'!$I$6)),"x",""))</f>
        <v/>
      </c>
      <c r="W237" s="84" t="str">
        <f>IF(AND('341-CT'!$H$9=H237,OR(LEFT(N237,3)=$W$7,LEFT(O237,3)=$W$7)),"x","")</f>
        <v/>
      </c>
      <c r="X237" s="84" t="str">
        <f>IF(OR(TH!N237=TH!$X$7,O237=TH!$X$7),"x","")</f>
        <v/>
      </c>
      <c r="Y237" s="84" t="str">
        <f>IF(AND(OR(N237="131",O237="131"),H237='131-CT'!$H$9),"x","")</f>
        <v/>
      </c>
      <c r="Z237" s="84"/>
      <c r="AA237" s="84" t="str">
        <f>IF(AND(MONTH(E237)='IN-NX'!$J$5,'IN-NX'!$D$7=D237),"x","")</f>
        <v/>
      </c>
      <c r="AB237" s="84" t="str">
        <f>IF(AND(OR(LEFT(TH!N237,2)="15",LEFT(TH!O237,2)="15"),LEFT(TH!O237,3)&lt;&gt;"111",'152-CT'!$J$8=TH!F237),"x","")</f>
        <v/>
      </c>
      <c r="AC237" s="84" t="str">
        <f>IF(AND(OR(LEFT(TH!N237,2)="15",LEFT(TH!O237,2)="15"),TK!$E$7=TH!F237),"x","")</f>
        <v/>
      </c>
      <c r="AD237" s="84" t="str">
        <f>IF(AND(N237="1521",MONTH(C237)='BK-NL'!$M$11),"x","")</f>
        <v/>
      </c>
    </row>
    <row r="238" spans="1:30" s="1156" customFormat="1" ht="15.75" hidden="1" customHeight="1">
      <c r="A238" s="336" t="str">
        <f>IF(B238&lt;&gt;"",IF(AND(B238='IN-TC'!$S$4,OR(TH!N238="1111",TH!O238="1111")),TH!D238,""),"")</f>
        <v/>
      </c>
      <c r="B238" s="63">
        <f t="shared" si="36"/>
        <v>6</v>
      </c>
      <c r="C238" s="94">
        <v>42531</v>
      </c>
      <c r="D238" s="94" t="s">
        <v>1679</v>
      </c>
      <c r="E238" s="94">
        <f t="shared" si="37"/>
        <v>42531</v>
      </c>
      <c r="F238" s="95" t="s">
        <v>450</v>
      </c>
      <c r="G238" s="95"/>
      <c r="H238" s="96" t="s">
        <v>697</v>
      </c>
      <c r="I238" s="445">
        <v>16075</v>
      </c>
      <c r="J238" s="445">
        <v>68876.211819595643</v>
      </c>
      <c r="K238" s="436"/>
      <c r="L238" s="445"/>
      <c r="M238" s="97">
        <f t="shared" si="38"/>
        <v>1107185105</v>
      </c>
      <c r="N238" s="1190" t="s">
        <v>282</v>
      </c>
      <c r="O238" s="85" t="s">
        <v>284</v>
      </c>
      <c r="P238" s="84" t="str">
        <f>IF(AND('331-CT'!$E$7=TH!H238,OR(N238="331",O238="331")),"x","")</f>
        <v/>
      </c>
      <c r="Q238" s="84" t="str">
        <f>IF(AND(B238='111'!$L$11,OR($N238=$Q$7,$O238=$Q$7)),"x","")</f>
        <v/>
      </c>
      <c r="R238" s="84" t="str">
        <f>IF(AND($N238=$Q$7,$B238&lt;'111'!$L$11),"x","")</f>
        <v/>
      </c>
      <c r="S238" s="84" t="str">
        <f>IF(AND($O238=$Q$7,$B238&lt;'111'!$L$11),"x","")</f>
        <v/>
      </c>
      <c r="T238" s="84" t="str">
        <f>IF(ISERROR(FIND('112'!$M$9,G238,1)),"",IF((AND(FIND('112'!$M$9,G238,1)&gt;=1,B238='112'!$K$9,OR($N238='112'!$I$6,$O238='112'!$I$6))),"x",""))</f>
        <v/>
      </c>
      <c r="U238" s="84" t="str">
        <f>IF(ISERROR(FIND('112'!$M$9,G238,1)),"",IF((AND(LEFT(G238,2)=LEFT('112'!$M$9,2),B238&lt;'112'!$K$9,$N238='112'!$I$6)),"x",""))</f>
        <v/>
      </c>
      <c r="V238" s="84" t="str">
        <f>IF(ISERROR(FIND('112'!$M$9,G238,1)),"",IF((AND(RIGHT(G238,2)=RIGHT('112'!$M$9,2),B238&lt;'112'!$K$9,$O238='112'!$I$6)),"x",""))</f>
        <v/>
      </c>
      <c r="W238" s="84" t="str">
        <f>IF(AND('341-CT'!$H$9=H238,OR(LEFT(N238,3)=$W$7,LEFT(O238,3)=$W$7)),"x","")</f>
        <v/>
      </c>
      <c r="X238" s="84" t="str">
        <f>IF(OR(TH!N238=TH!$X$7,O238=TH!$X$7),"x","")</f>
        <v/>
      </c>
      <c r="Y238" s="84" t="str">
        <f>IF(AND(OR(N238="131",O238="131"),H238='131-CT'!$H$9),"x","")</f>
        <v/>
      </c>
      <c r="Z238" s="84"/>
      <c r="AA238" s="84" t="str">
        <f>IF(AND(MONTH(E238)='IN-NX'!$J$5,'IN-NX'!$D$7=D238),"x","")</f>
        <v/>
      </c>
      <c r="AB238" s="84" t="str">
        <f>IF(AND(OR(LEFT(TH!N238,2)="15",LEFT(TH!O238,2)="15"),LEFT(TH!O238,3)&lt;&gt;"111",'152-CT'!$J$8=TH!F238),"x","")</f>
        <v/>
      </c>
      <c r="AC238" s="84" t="str">
        <f>IF(AND(OR(LEFT(TH!N238,2)="15",LEFT(TH!O238,2)="15"),TK!$E$7=TH!F238),"x","")</f>
        <v/>
      </c>
      <c r="AD238" s="84" t="str">
        <f>IF(AND(N238="1521",MONTH(C238)='BK-NL'!$M$11),"x","")</f>
        <v/>
      </c>
    </row>
    <row r="239" spans="1:30" s="1156" customFormat="1" ht="15.75" hidden="1" customHeight="1">
      <c r="A239" s="336" t="str">
        <f>IF(B239&lt;&gt;"",IF(AND(B239='IN-TC'!$S$4,OR(TH!N239="1111",TH!O239="1111")),TH!D239,""),"")</f>
        <v/>
      </c>
      <c r="B239" s="63">
        <f t="shared" ref="B239:B248" si="39">IF(C239&lt;&gt;"",MONTH(C239),"")</f>
        <v>6</v>
      </c>
      <c r="C239" s="80">
        <v>42536</v>
      </c>
      <c r="D239" s="80" t="s">
        <v>1953</v>
      </c>
      <c r="E239" s="80">
        <f t="shared" ref="E239:E248" si="40">C239</f>
        <v>42536</v>
      </c>
      <c r="F239" s="81" t="s">
        <v>1684</v>
      </c>
      <c r="G239" s="81"/>
      <c r="H239" s="82" t="s">
        <v>697</v>
      </c>
      <c r="I239" s="437">
        <v>690</v>
      </c>
      <c r="J239" s="437">
        <v>589750.14202898555</v>
      </c>
      <c r="K239" s="428"/>
      <c r="L239" s="437"/>
      <c r="M239" s="83">
        <v>406858608</v>
      </c>
      <c r="N239" s="88" t="s">
        <v>284</v>
      </c>
      <c r="O239" s="84" t="s">
        <v>282</v>
      </c>
      <c r="P239" s="84" t="str">
        <f>IF(AND('331-CT'!$E$7=TH!H239,OR(N239="331",O239="331")),"x","")</f>
        <v/>
      </c>
      <c r="Q239" s="84" t="str">
        <f>IF(AND(B239='111'!$L$11,OR($N239=$Q$7,$O239=$Q$7)),"x","")</f>
        <v/>
      </c>
      <c r="R239" s="84" t="str">
        <f>IF(AND($N239=$Q$7,$B239&lt;'111'!$L$11),"x","")</f>
        <v/>
      </c>
      <c r="S239" s="84" t="str">
        <f>IF(AND($O239=$Q$7,$B239&lt;'111'!$L$11),"x","")</f>
        <v/>
      </c>
      <c r="T239" s="84" t="str">
        <f>IF(ISERROR(FIND('112'!$M$9,G239,1)),"",IF((AND(FIND('112'!$M$9,G239,1)&gt;=1,B239='112'!$K$9,OR($N239='112'!$I$6,$O239='112'!$I$6))),"x",""))</f>
        <v/>
      </c>
      <c r="U239" s="84" t="str">
        <f>IF(ISERROR(FIND('112'!$M$9,G239,1)),"",IF((AND(LEFT(G239,2)=LEFT('112'!$M$9,2),B239&lt;'112'!$K$9,$N239='112'!$I$6)),"x",""))</f>
        <v/>
      </c>
      <c r="V239" s="84" t="str">
        <f>IF(ISERROR(FIND('112'!$M$9,G239,1)),"",IF((AND(RIGHT(G239,2)=RIGHT('112'!$M$9,2),B239&lt;'112'!$K$9,$O239='112'!$I$6)),"x",""))</f>
        <v/>
      </c>
      <c r="W239" s="84" t="str">
        <f>IF(AND('341-CT'!$H$9=H239,OR(LEFT(N239,3)=$W$7,LEFT(O239,3)=$W$7)),"x","")</f>
        <v/>
      </c>
      <c r="X239" s="84" t="str">
        <f>IF(OR(TH!N239=TH!$X$7,O239=TH!$X$7),"x","")</f>
        <v/>
      </c>
      <c r="Y239" s="84" t="str">
        <f>IF(AND(OR(N239="131",O239="131"),H239='131-CT'!$H$9),"x","")</f>
        <v/>
      </c>
      <c r="Z239" s="84"/>
      <c r="AA239" s="84" t="str">
        <f>IF(AND(MONTH(E239)='IN-NX'!$J$5,'IN-NX'!$D$7=D239),"x","")</f>
        <v/>
      </c>
      <c r="AB239" s="84" t="str">
        <f>IF(AND(OR(LEFT(TH!N239,2)="15",LEFT(TH!O239,2)="15"),LEFT(TH!O239,3)&lt;&gt;"111",'152-CT'!$J$8=TH!F239),"x","")</f>
        <v/>
      </c>
      <c r="AC239" s="84" t="str">
        <f>IF(AND(OR(LEFT(TH!N239,2)="15",LEFT(TH!O239,2)="15"),TK!$E$7=TH!F239),"x","")</f>
        <v/>
      </c>
      <c r="AD239" s="84" t="str">
        <f>IF(AND(N239="1521",MONTH(C239)='BK-NL'!$M$11),"x","")</f>
        <v/>
      </c>
    </row>
    <row r="240" spans="1:30" s="1156" customFormat="1" ht="15.75" hidden="1" customHeight="1">
      <c r="A240" s="336" t="str">
        <f>IF(B240&lt;&gt;"",IF(AND(B240='IN-TC'!$S$4,OR(TH!N240="1111",TH!O240="1111")),TH!D240,""),"")</f>
        <v/>
      </c>
      <c r="B240" s="63">
        <f t="shared" si="39"/>
        <v>6</v>
      </c>
      <c r="C240" s="80">
        <v>42536</v>
      </c>
      <c r="D240" s="80" t="s">
        <v>1953</v>
      </c>
      <c r="E240" s="80">
        <f t="shared" si="40"/>
        <v>42536</v>
      </c>
      <c r="F240" s="81" t="s">
        <v>1685</v>
      </c>
      <c r="G240" s="81"/>
      <c r="H240" s="82" t="s">
        <v>697</v>
      </c>
      <c r="I240" s="437">
        <v>500</v>
      </c>
      <c r="J240" s="437">
        <v>589750.14</v>
      </c>
      <c r="K240" s="428"/>
      <c r="L240" s="437"/>
      <c r="M240" s="83">
        <v>294825078</v>
      </c>
      <c r="N240" s="88" t="s">
        <v>284</v>
      </c>
      <c r="O240" s="84" t="s">
        <v>282</v>
      </c>
      <c r="P240" s="84" t="str">
        <f>IF(AND('331-CT'!$E$7=TH!H240,OR(N240="331",O240="331")),"x","")</f>
        <v/>
      </c>
      <c r="Q240" s="84" t="str">
        <f>IF(AND(B240='111'!$L$11,OR($N240=$Q$7,$O240=$Q$7)),"x","")</f>
        <v/>
      </c>
      <c r="R240" s="84" t="str">
        <f>IF(AND($N240=$Q$7,$B240&lt;'111'!$L$11),"x","")</f>
        <v/>
      </c>
      <c r="S240" s="84" t="str">
        <f>IF(AND($O240=$Q$7,$B240&lt;'111'!$L$11),"x","")</f>
        <v/>
      </c>
      <c r="T240" s="84" t="str">
        <f>IF(ISERROR(FIND('112'!$M$9,G240,1)),"",IF((AND(FIND('112'!$M$9,G240,1)&gt;=1,B240='112'!$K$9,OR($N240='112'!$I$6,$O240='112'!$I$6))),"x",""))</f>
        <v/>
      </c>
      <c r="U240" s="84" t="str">
        <f>IF(ISERROR(FIND('112'!$M$9,G240,1)),"",IF((AND(LEFT(G240,2)=LEFT('112'!$M$9,2),B240&lt;'112'!$K$9,$N240='112'!$I$6)),"x",""))</f>
        <v/>
      </c>
      <c r="V240" s="84" t="str">
        <f>IF(ISERROR(FIND('112'!$M$9,G240,1)),"",IF((AND(RIGHT(G240,2)=RIGHT('112'!$M$9,2),B240&lt;'112'!$K$9,$O240='112'!$I$6)),"x",""))</f>
        <v/>
      </c>
      <c r="W240" s="84" t="str">
        <f>IF(AND('341-CT'!$H$9=H240,OR(LEFT(N240,3)=$W$7,LEFT(O240,3)=$W$7)),"x","")</f>
        <v/>
      </c>
      <c r="X240" s="84" t="str">
        <f>IF(OR(TH!N240=TH!$X$7,O240=TH!$X$7),"x","")</f>
        <v/>
      </c>
      <c r="Y240" s="84" t="str">
        <f>IF(AND(OR(N240="131",O240="131"),H240='131-CT'!$H$9),"x","")</f>
        <v/>
      </c>
      <c r="Z240" s="84"/>
      <c r="AA240" s="84" t="str">
        <f>IF(AND(MONTH(E240)='IN-NX'!$J$5,'IN-NX'!$D$7=D240),"x","")</f>
        <v/>
      </c>
      <c r="AB240" s="84" t="str">
        <f>IF(AND(OR(LEFT(TH!N240,2)="15",LEFT(TH!O240,2)="15"),LEFT(TH!O240,3)&lt;&gt;"111",'152-CT'!$J$8=TH!F240),"x","")</f>
        <v/>
      </c>
      <c r="AC240" s="84" t="str">
        <f>IF(AND(OR(LEFT(TH!N240,2)="15",LEFT(TH!O240,2)="15"),TK!$E$7=TH!F240),"x","")</f>
        <v/>
      </c>
      <c r="AD240" s="84" t="str">
        <f>IF(AND(N240="1521",MONTH(C240)='BK-NL'!$M$11),"x","")</f>
        <v/>
      </c>
    </row>
    <row r="241" spans="1:30" s="1156" customFormat="1" ht="15.75" hidden="1" customHeight="1">
      <c r="A241" s="336" t="str">
        <f>IF(B241&lt;&gt;"",IF(AND(B241='IN-TC'!$S$4,OR(TH!N241="1111",TH!O241="1111")),TH!D241,""),"")</f>
        <v/>
      </c>
      <c r="B241" s="63">
        <f t="shared" si="39"/>
        <v>6</v>
      </c>
      <c r="C241" s="80">
        <v>42536</v>
      </c>
      <c r="D241" s="80" t="s">
        <v>1953</v>
      </c>
      <c r="E241" s="80">
        <f t="shared" si="40"/>
        <v>42536</v>
      </c>
      <c r="F241" s="81" t="s">
        <v>1686</v>
      </c>
      <c r="G241" s="81"/>
      <c r="H241" s="82" t="s">
        <v>697</v>
      </c>
      <c r="I241" s="437">
        <v>560</v>
      </c>
      <c r="J241" s="437">
        <v>589750.14107142854</v>
      </c>
      <c r="K241" s="428"/>
      <c r="L241" s="437"/>
      <c r="M241" s="83">
        <v>330204088</v>
      </c>
      <c r="N241" s="88" t="s">
        <v>284</v>
      </c>
      <c r="O241" s="84" t="s">
        <v>282</v>
      </c>
      <c r="P241" s="84" t="str">
        <f>IF(AND('331-CT'!$E$7=TH!H241,OR(N241="331",O241="331")),"x","")</f>
        <v/>
      </c>
      <c r="Q241" s="84" t="str">
        <f>IF(AND(B241='111'!$L$11,OR($N241=$Q$7,$O241=$Q$7)),"x","")</f>
        <v/>
      </c>
      <c r="R241" s="84" t="str">
        <f>IF(AND($N241=$Q$7,$B241&lt;'111'!$L$11),"x","")</f>
        <v/>
      </c>
      <c r="S241" s="84" t="str">
        <f>IF(AND($O241=$Q$7,$B241&lt;'111'!$L$11),"x","")</f>
        <v/>
      </c>
      <c r="T241" s="84" t="str">
        <f>IF(ISERROR(FIND('112'!$M$9,G241,1)),"",IF((AND(FIND('112'!$M$9,G241,1)&gt;=1,B241='112'!$K$9,OR($N241='112'!$I$6,$O241='112'!$I$6))),"x",""))</f>
        <v/>
      </c>
      <c r="U241" s="84" t="str">
        <f>IF(ISERROR(FIND('112'!$M$9,G241,1)),"",IF((AND(LEFT(G241,2)=LEFT('112'!$M$9,2),B241&lt;'112'!$K$9,$N241='112'!$I$6)),"x",""))</f>
        <v/>
      </c>
      <c r="V241" s="84" t="str">
        <f>IF(ISERROR(FIND('112'!$M$9,G241,1)),"",IF((AND(RIGHT(G241,2)=RIGHT('112'!$M$9,2),B241&lt;'112'!$K$9,$O241='112'!$I$6)),"x",""))</f>
        <v/>
      </c>
      <c r="W241" s="84" t="str">
        <f>IF(AND('341-CT'!$H$9=H241,OR(LEFT(N241,3)=$W$7,LEFT(O241,3)=$W$7)),"x","")</f>
        <v/>
      </c>
      <c r="X241" s="84" t="str">
        <f>IF(OR(TH!N241=TH!$X$7,O241=TH!$X$7),"x","")</f>
        <v/>
      </c>
      <c r="Y241" s="84" t="str">
        <f>IF(AND(OR(N241="131",O241="131"),H241='131-CT'!$H$9),"x","")</f>
        <v/>
      </c>
      <c r="Z241" s="84"/>
      <c r="AA241" s="84" t="str">
        <f>IF(AND(MONTH(E241)='IN-NX'!$J$5,'IN-NX'!$D$7=D241),"x","")</f>
        <v/>
      </c>
      <c r="AB241" s="84" t="str">
        <f>IF(AND(OR(LEFT(TH!N241,2)="15",LEFT(TH!O241,2)="15"),LEFT(TH!O241,3)&lt;&gt;"111",'152-CT'!$J$8=TH!F241),"x","")</f>
        <v/>
      </c>
      <c r="AC241" s="84" t="str">
        <f>IF(AND(OR(LEFT(TH!N241,2)="15",LEFT(TH!O241,2)="15"),TK!$E$7=TH!F241),"x","")</f>
        <v/>
      </c>
      <c r="AD241" s="84" t="str">
        <f>IF(AND(N241="1521",MONTH(C241)='BK-NL'!$M$11),"x","")</f>
        <v/>
      </c>
    </row>
    <row r="242" spans="1:30" s="1156" customFormat="1" ht="15.75" hidden="1" customHeight="1">
      <c r="A242" s="336" t="str">
        <f>IF(B242&lt;&gt;"",IF(AND(B242='IN-TC'!$S$4,OR(TH!N242="1111",TH!O242="1111")),TH!D242,""),"")</f>
        <v/>
      </c>
      <c r="B242" s="63">
        <f t="shared" si="39"/>
        <v>6</v>
      </c>
      <c r="C242" s="80">
        <v>42536</v>
      </c>
      <c r="D242" s="80" t="s">
        <v>1953</v>
      </c>
      <c r="E242" s="80">
        <f t="shared" si="40"/>
        <v>42536</v>
      </c>
      <c r="F242" s="81" t="s">
        <v>1687</v>
      </c>
      <c r="G242" s="81"/>
      <c r="H242" s="82" t="s">
        <v>697</v>
      </c>
      <c r="I242" s="437">
        <v>580</v>
      </c>
      <c r="J242" s="437">
        <v>589750.1413793104</v>
      </c>
      <c r="K242" s="428"/>
      <c r="L242" s="437"/>
      <c r="M242" s="83">
        <v>341997091</v>
      </c>
      <c r="N242" s="88" t="s">
        <v>284</v>
      </c>
      <c r="O242" s="84" t="s">
        <v>282</v>
      </c>
      <c r="P242" s="84" t="str">
        <f>IF(AND('331-CT'!$E$7=TH!H242,OR(N242="331",O242="331")),"x","")</f>
        <v/>
      </c>
      <c r="Q242" s="84" t="str">
        <f>IF(AND(B242='111'!$L$11,OR($N242=$Q$7,$O242=$Q$7)),"x","")</f>
        <v/>
      </c>
      <c r="R242" s="84" t="str">
        <f>IF(AND($N242=$Q$7,$B242&lt;'111'!$L$11),"x","")</f>
        <v/>
      </c>
      <c r="S242" s="84" t="str">
        <f>IF(AND($O242=$Q$7,$B242&lt;'111'!$L$11),"x","")</f>
        <v/>
      </c>
      <c r="T242" s="84" t="str">
        <f>IF(ISERROR(FIND('112'!$M$9,G242,1)),"",IF((AND(FIND('112'!$M$9,G242,1)&gt;=1,B242='112'!$K$9,OR($N242='112'!$I$6,$O242='112'!$I$6))),"x",""))</f>
        <v/>
      </c>
      <c r="U242" s="84" t="str">
        <f>IF(ISERROR(FIND('112'!$M$9,G242,1)),"",IF((AND(LEFT(G242,2)=LEFT('112'!$M$9,2),B242&lt;'112'!$K$9,$N242='112'!$I$6)),"x",""))</f>
        <v/>
      </c>
      <c r="V242" s="84" t="str">
        <f>IF(ISERROR(FIND('112'!$M$9,G242,1)),"",IF((AND(RIGHT(G242,2)=RIGHT('112'!$M$9,2),B242&lt;'112'!$K$9,$O242='112'!$I$6)),"x",""))</f>
        <v/>
      </c>
      <c r="W242" s="84" t="str">
        <f>IF(AND('341-CT'!$H$9=H242,OR(LEFT(N242,3)=$W$7,LEFT(O242,3)=$W$7)),"x","")</f>
        <v/>
      </c>
      <c r="X242" s="84" t="str">
        <f>IF(OR(TH!N242=TH!$X$7,O242=TH!$X$7),"x","")</f>
        <v/>
      </c>
      <c r="Y242" s="84" t="str">
        <f>IF(AND(OR(N242="131",O242="131"),H242='131-CT'!$H$9),"x","")</f>
        <v/>
      </c>
      <c r="Z242" s="84"/>
      <c r="AA242" s="84" t="str">
        <f>IF(AND(MONTH(E242)='IN-NX'!$J$5,'IN-NX'!$D$7=D242),"x","")</f>
        <v/>
      </c>
      <c r="AB242" s="84" t="str">
        <f>IF(AND(OR(LEFT(TH!N242,2)="15",LEFT(TH!O242,2)="15"),LEFT(TH!O242,3)&lt;&gt;"111",'152-CT'!$J$8=TH!F242),"x","")</f>
        <v/>
      </c>
      <c r="AC242" s="84" t="str">
        <f>IF(AND(OR(LEFT(TH!N242,2)="15",LEFT(TH!O242,2)="15"),TK!$E$7=TH!F242),"x","")</f>
        <v/>
      </c>
      <c r="AD242" s="84" t="str">
        <f>IF(AND(N242="1521",MONTH(C242)='BK-NL'!$M$11),"x","")</f>
        <v/>
      </c>
    </row>
    <row r="243" spans="1:30" s="1156" customFormat="1" ht="15.75" hidden="1" customHeight="1">
      <c r="A243" s="336" t="str">
        <f>IF(B243&lt;&gt;"",IF(AND(B243='IN-TC'!$S$4,OR(TH!N243="1111",TH!O243="1111")),TH!D243,""),"")</f>
        <v/>
      </c>
      <c r="B243" s="63">
        <f t="shared" si="39"/>
        <v>6</v>
      </c>
      <c r="C243" s="80">
        <v>42536</v>
      </c>
      <c r="D243" s="80" t="s">
        <v>1953</v>
      </c>
      <c r="E243" s="80">
        <f t="shared" si="40"/>
        <v>42536</v>
      </c>
      <c r="F243" s="81" t="s">
        <v>1688</v>
      </c>
      <c r="G243" s="81"/>
      <c r="H243" s="82" t="s">
        <v>697</v>
      </c>
      <c r="I243" s="437">
        <v>870</v>
      </c>
      <c r="J243" s="437">
        <v>589750.1413793104</v>
      </c>
      <c r="K243" s="428"/>
      <c r="L243" s="437"/>
      <c r="M243" s="83">
        <v>512995636</v>
      </c>
      <c r="N243" s="88" t="s">
        <v>284</v>
      </c>
      <c r="O243" s="84" t="s">
        <v>282</v>
      </c>
      <c r="P243" s="84" t="str">
        <f>IF(AND('331-CT'!$E$7=TH!H243,OR(N243="331",O243="331")),"x","")</f>
        <v/>
      </c>
      <c r="Q243" s="84" t="str">
        <f>IF(AND(B243='111'!$L$11,OR($N243=$Q$7,$O243=$Q$7)),"x","")</f>
        <v/>
      </c>
      <c r="R243" s="84" t="str">
        <f>IF(AND($N243=$Q$7,$B243&lt;'111'!$L$11),"x","")</f>
        <v/>
      </c>
      <c r="S243" s="84" t="str">
        <f>IF(AND($O243=$Q$7,$B243&lt;'111'!$L$11),"x","")</f>
        <v/>
      </c>
      <c r="T243" s="84" t="str">
        <f>IF(ISERROR(FIND('112'!$M$9,G243,1)),"",IF((AND(FIND('112'!$M$9,G243,1)&gt;=1,B243='112'!$K$9,OR($N243='112'!$I$6,$O243='112'!$I$6))),"x",""))</f>
        <v/>
      </c>
      <c r="U243" s="84" t="str">
        <f>IF(ISERROR(FIND('112'!$M$9,G243,1)),"",IF((AND(LEFT(G243,2)=LEFT('112'!$M$9,2),B243&lt;'112'!$K$9,$N243='112'!$I$6)),"x",""))</f>
        <v/>
      </c>
      <c r="V243" s="84" t="str">
        <f>IF(ISERROR(FIND('112'!$M$9,G243,1)),"",IF((AND(RIGHT(G243,2)=RIGHT('112'!$M$9,2),B243&lt;'112'!$K$9,$O243='112'!$I$6)),"x",""))</f>
        <v/>
      </c>
      <c r="W243" s="84" t="str">
        <f>IF(AND('341-CT'!$H$9=H243,OR(LEFT(N243,3)=$W$7,LEFT(O243,3)=$W$7)),"x","")</f>
        <v/>
      </c>
      <c r="X243" s="84" t="str">
        <f>IF(OR(TH!N243=TH!$X$7,O243=TH!$X$7),"x","")</f>
        <v/>
      </c>
      <c r="Y243" s="84" t="str">
        <f>IF(AND(OR(N243="131",O243="131"),H243='131-CT'!$H$9),"x","")</f>
        <v/>
      </c>
      <c r="Z243" s="84"/>
      <c r="AA243" s="84" t="str">
        <f>IF(AND(MONTH(E243)='IN-NX'!$J$5,'IN-NX'!$D$7=D243),"x","")</f>
        <v/>
      </c>
      <c r="AB243" s="84" t="str">
        <f>IF(AND(OR(LEFT(TH!N243,2)="15",LEFT(TH!O243,2)="15"),LEFT(TH!O243,3)&lt;&gt;"111",'152-CT'!$J$8=TH!F243),"x","")</f>
        <v/>
      </c>
      <c r="AC243" s="84" t="str">
        <f>IF(AND(OR(LEFT(TH!N243,2)="15",LEFT(TH!O243,2)="15"),TK!$E$7=TH!F243),"x","")</f>
        <v/>
      </c>
      <c r="AD243" s="84" t="str">
        <f>IF(AND(N243="1521",MONTH(C243)='BK-NL'!$M$11),"x","")</f>
        <v/>
      </c>
    </row>
    <row r="244" spans="1:30" s="1156" customFormat="1" ht="15.75" hidden="1" customHeight="1">
      <c r="A244" s="336" t="str">
        <f>IF(B244&lt;&gt;"",IF(AND(B244='IN-TC'!$S$4,OR(TH!N244="1111",TH!O244="1111")),TH!D244,""),"")</f>
        <v/>
      </c>
      <c r="B244" s="63">
        <f t="shared" si="39"/>
        <v>6</v>
      </c>
      <c r="C244" s="80">
        <v>42536</v>
      </c>
      <c r="D244" s="80" t="s">
        <v>1953</v>
      </c>
      <c r="E244" s="80">
        <f t="shared" si="40"/>
        <v>42536</v>
      </c>
      <c r="F244" s="81" t="s">
        <v>1689</v>
      </c>
      <c r="G244" s="81"/>
      <c r="H244" s="82" t="s">
        <v>697</v>
      </c>
      <c r="I244" s="437">
        <v>130</v>
      </c>
      <c r="J244" s="437">
        <v>589750.14615384617</v>
      </c>
      <c r="K244" s="428"/>
      <c r="L244" s="437"/>
      <c r="M244" s="83">
        <v>76654521</v>
      </c>
      <c r="N244" s="88" t="s">
        <v>284</v>
      </c>
      <c r="O244" s="84" t="s">
        <v>282</v>
      </c>
      <c r="P244" s="84" t="str">
        <f>IF(AND('331-CT'!$E$7=TH!H244,OR(N244="331",O244="331")),"x","")</f>
        <v/>
      </c>
      <c r="Q244" s="84" t="str">
        <f>IF(AND(B244='111'!$L$11,OR($N244=$Q$7,$O244=$Q$7)),"x","")</f>
        <v/>
      </c>
      <c r="R244" s="84" t="str">
        <f>IF(AND($N244=$Q$7,$B244&lt;'111'!$L$11),"x","")</f>
        <v/>
      </c>
      <c r="S244" s="84" t="str">
        <f>IF(AND($O244=$Q$7,$B244&lt;'111'!$L$11),"x","")</f>
        <v/>
      </c>
      <c r="T244" s="84" t="str">
        <f>IF(ISERROR(FIND('112'!$M$9,G244,1)),"",IF((AND(FIND('112'!$M$9,G244,1)&gt;=1,B244='112'!$K$9,OR($N244='112'!$I$6,$O244='112'!$I$6))),"x",""))</f>
        <v/>
      </c>
      <c r="U244" s="84" t="str">
        <f>IF(ISERROR(FIND('112'!$M$9,G244,1)),"",IF((AND(LEFT(G244,2)=LEFT('112'!$M$9,2),B244&lt;'112'!$K$9,$N244='112'!$I$6)),"x",""))</f>
        <v/>
      </c>
      <c r="V244" s="84" t="str">
        <f>IF(ISERROR(FIND('112'!$M$9,G244,1)),"",IF((AND(RIGHT(G244,2)=RIGHT('112'!$M$9,2),B244&lt;'112'!$K$9,$O244='112'!$I$6)),"x",""))</f>
        <v/>
      </c>
      <c r="W244" s="84" t="str">
        <f>IF(AND('341-CT'!$H$9=H244,OR(LEFT(N244,3)=$W$7,LEFT(O244,3)=$W$7)),"x","")</f>
        <v/>
      </c>
      <c r="X244" s="84" t="str">
        <f>IF(OR(TH!N244=TH!$X$7,O244=TH!$X$7),"x","")</f>
        <v/>
      </c>
      <c r="Y244" s="84" t="str">
        <f>IF(AND(OR(N244="131",O244="131"),H244='131-CT'!$H$9),"x","")</f>
        <v/>
      </c>
      <c r="Z244" s="84"/>
      <c r="AA244" s="84" t="str">
        <f>IF(AND(MONTH(E244)='IN-NX'!$J$5,'IN-NX'!$D$7=D244),"x","")</f>
        <v/>
      </c>
      <c r="AB244" s="84" t="str">
        <f>IF(AND(OR(LEFT(TH!N244,2)="15",LEFT(TH!O244,2)="15"),LEFT(TH!O244,3)&lt;&gt;"111",'152-CT'!$J$8=TH!F244),"x","")</f>
        <v/>
      </c>
      <c r="AC244" s="84" t="str">
        <f>IF(AND(OR(LEFT(TH!N244,2)="15",LEFT(TH!O244,2)="15"),TK!$E$7=TH!F244),"x","")</f>
        <v/>
      </c>
      <c r="AD244" s="84" t="str">
        <f>IF(AND(N244="1521",MONTH(C244)='BK-NL'!$M$11),"x","")</f>
        <v/>
      </c>
    </row>
    <row r="245" spans="1:30" s="1156" customFormat="1" ht="15.75" hidden="1" customHeight="1">
      <c r="A245" s="336" t="str">
        <f>IF(B245&lt;&gt;"",IF(AND(B245='IN-TC'!$S$4,OR(TH!N245="1111",TH!O245="1111")),TH!D245,""),"")</f>
        <v/>
      </c>
      <c r="B245" s="63">
        <f t="shared" si="39"/>
        <v>6</v>
      </c>
      <c r="C245" s="80">
        <v>42536</v>
      </c>
      <c r="D245" s="80" t="s">
        <v>1953</v>
      </c>
      <c r="E245" s="80">
        <f t="shared" si="40"/>
        <v>42536</v>
      </c>
      <c r="F245" s="81" t="s">
        <v>1690</v>
      </c>
      <c r="G245" s="81"/>
      <c r="H245" s="82" t="s">
        <v>697</v>
      </c>
      <c r="I245" s="437">
        <v>250</v>
      </c>
      <c r="J245" s="437">
        <v>589750.14</v>
      </c>
      <c r="K245" s="428"/>
      <c r="L245" s="437"/>
      <c r="M245" s="83">
        <v>147412539</v>
      </c>
      <c r="N245" s="88" t="s">
        <v>284</v>
      </c>
      <c r="O245" s="84" t="s">
        <v>282</v>
      </c>
      <c r="P245" s="84" t="str">
        <f>IF(AND('331-CT'!$E$7=TH!H245,OR(N245="331",O245="331")),"x","")</f>
        <v/>
      </c>
      <c r="Q245" s="84" t="str">
        <f>IF(AND(B245='111'!$L$11,OR($N245=$Q$7,$O245=$Q$7)),"x","")</f>
        <v/>
      </c>
      <c r="R245" s="84" t="str">
        <f>IF(AND($N245=$Q$7,$B245&lt;'111'!$L$11),"x","")</f>
        <v/>
      </c>
      <c r="S245" s="84" t="str">
        <f>IF(AND($O245=$Q$7,$B245&lt;'111'!$L$11),"x","")</f>
        <v/>
      </c>
      <c r="T245" s="84" t="str">
        <f>IF(ISERROR(FIND('112'!$M$9,G245,1)),"",IF((AND(FIND('112'!$M$9,G245,1)&gt;=1,B245='112'!$K$9,OR($N245='112'!$I$6,$O245='112'!$I$6))),"x",""))</f>
        <v/>
      </c>
      <c r="U245" s="84" t="str">
        <f>IF(ISERROR(FIND('112'!$M$9,G245,1)),"",IF((AND(LEFT(G245,2)=LEFT('112'!$M$9,2),B245&lt;'112'!$K$9,$N245='112'!$I$6)),"x",""))</f>
        <v/>
      </c>
      <c r="V245" s="84" t="str">
        <f>IF(ISERROR(FIND('112'!$M$9,G245,1)),"",IF((AND(RIGHT(G245,2)=RIGHT('112'!$M$9,2),B245&lt;'112'!$K$9,$O245='112'!$I$6)),"x",""))</f>
        <v/>
      </c>
      <c r="W245" s="84" t="str">
        <f>IF(AND('341-CT'!$H$9=H245,OR(LEFT(N245,3)=$W$7,LEFT(O245,3)=$W$7)),"x","")</f>
        <v/>
      </c>
      <c r="X245" s="84" t="str">
        <f>IF(OR(TH!N245=TH!$X$7,O245=TH!$X$7),"x","")</f>
        <v/>
      </c>
      <c r="Y245" s="84" t="str">
        <f>IF(AND(OR(N245="131",O245="131"),H245='131-CT'!$H$9),"x","")</f>
        <v/>
      </c>
      <c r="Z245" s="84"/>
      <c r="AA245" s="84" t="str">
        <f>IF(AND(MONTH(E245)='IN-NX'!$J$5,'IN-NX'!$D$7=D245),"x","")</f>
        <v/>
      </c>
      <c r="AB245" s="84" t="str">
        <f>IF(AND(OR(LEFT(TH!N245,2)="15",LEFT(TH!O245,2)="15"),LEFT(TH!O245,3)&lt;&gt;"111",'152-CT'!$J$8=TH!F245),"x","")</f>
        <v/>
      </c>
      <c r="AC245" s="84" t="str">
        <f>IF(AND(OR(LEFT(TH!N245,2)="15",LEFT(TH!O245,2)="15"),TK!$E$7=TH!F245),"x","")</f>
        <v/>
      </c>
      <c r="AD245" s="84" t="str">
        <f>IF(AND(N245="1521",MONTH(C245)='BK-NL'!$M$11),"x","")</f>
        <v/>
      </c>
    </row>
    <row r="246" spans="1:30" s="1156" customFormat="1" ht="15.75" hidden="1" customHeight="1">
      <c r="A246" s="336" t="str">
        <f>IF(B246&lt;&gt;"",IF(AND(B246='IN-TC'!$S$4,OR(TH!N246="1111",TH!O246="1111")),TH!D246,""),"")</f>
        <v/>
      </c>
      <c r="B246" s="63">
        <f t="shared" si="39"/>
        <v>6</v>
      </c>
      <c r="C246" s="80">
        <v>42536</v>
      </c>
      <c r="D246" s="80" t="s">
        <v>1953</v>
      </c>
      <c r="E246" s="80">
        <f t="shared" si="40"/>
        <v>42536</v>
      </c>
      <c r="F246" s="81" t="s">
        <v>1691</v>
      </c>
      <c r="G246" s="81"/>
      <c r="H246" s="82" t="s">
        <v>697</v>
      </c>
      <c r="I246" s="437">
        <v>660</v>
      </c>
      <c r="J246" s="437">
        <v>589750.14090909087</v>
      </c>
      <c r="K246" s="428"/>
      <c r="L246" s="437"/>
      <c r="M246" s="83">
        <v>389169103</v>
      </c>
      <c r="N246" s="88" t="s">
        <v>284</v>
      </c>
      <c r="O246" s="84" t="s">
        <v>282</v>
      </c>
      <c r="P246" s="84" t="str">
        <f>IF(AND('331-CT'!$E$7=TH!H246,OR(N246="331",O246="331")),"x","")</f>
        <v/>
      </c>
      <c r="Q246" s="84" t="str">
        <f>IF(AND(B246='111'!$L$11,OR($N246=$Q$7,$O246=$Q$7)),"x","")</f>
        <v/>
      </c>
      <c r="R246" s="84" t="str">
        <f>IF(AND($N246=$Q$7,$B246&lt;'111'!$L$11),"x","")</f>
        <v/>
      </c>
      <c r="S246" s="84" t="str">
        <f>IF(AND($O246=$Q$7,$B246&lt;'111'!$L$11),"x","")</f>
        <v/>
      </c>
      <c r="T246" s="84" t="str">
        <f>IF(ISERROR(FIND('112'!$M$9,G246,1)),"",IF((AND(FIND('112'!$M$9,G246,1)&gt;=1,B246='112'!$K$9,OR($N246='112'!$I$6,$O246='112'!$I$6))),"x",""))</f>
        <v/>
      </c>
      <c r="U246" s="84" t="str">
        <f>IF(ISERROR(FIND('112'!$M$9,G246,1)),"",IF((AND(LEFT(G246,2)=LEFT('112'!$M$9,2),B246&lt;'112'!$K$9,$N246='112'!$I$6)),"x",""))</f>
        <v/>
      </c>
      <c r="V246" s="84" t="str">
        <f>IF(ISERROR(FIND('112'!$M$9,G246,1)),"",IF((AND(RIGHT(G246,2)=RIGHT('112'!$M$9,2),B246&lt;'112'!$K$9,$O246='112'!$I$6)),"x",""))</f>
        <v/>
      </c>
      <c r="W246" s="84" t="str">
        <f>IF(AND('341-CT'!$H$9=H246,OR(LEFT(N246,3)=$W$7,LEFT(O246,3)=$W$7)),"x","")</f>
        <v/>
      </c>
      <c r="X246" s="84" t="str">
        <f>IF(OR(TH!N246=TH!$X$7,O246=TH!$X$7),"x","")</f>
        <v/>
      </c>
      <c r="Y246" s="84" t="str">
        <f>IF(AND(OR(N246="131",O246="131"),H246='131-CT'!$H$9),"x","")</f>
        <v/>
      </c>
      <c r="Z246" s="84"/>
      <c r="AA246" s="84" t="str">
        <f>IF(AND(MONTH(E246)='IN-NX'!$J$5,'IN-NX'!$D$7=D246),"x","")</f>
        <v/>
      </c>
      <c r="AB246" s="84" t="str">
        <f>IF(AND(OR(LEFT(TH!N246,2)="15",LEFT(TH!O246,2)="15"),LEFT(TH!O246,3)&lt;&gt;"111",'152-CT'!$J$8=TH!F246),"x","")</f>
        <v/>
      </c>
      <c r="AC246" s="84" t="str">
        <f>IF(AND(OR(LEFT(TH!N246,2)="15",LEFT(TH!O246,2)="15"),TK!$E$7=TH!F246),"x","")</f>
        <v/>
      </c>
      <c r="AD246" s="84" t="str">
        <f>IF(AND(N246="1521",MONTH(C246)='BK-NL'!$M$11),"x","")</f>
        <v/>
      </c>
    </row>
    <row r="247" spans="1:30" s="1156" customFormat="1" ht="15.75" hidden="1" customHeight="1">
      <c r="A247" s="336" t="str">
        <f>IF(B247&lt;&gt;"",IF(AND(B247='IN-TC'!$S$4,OR(TH!N247="1111",TH!O247="1111")),TH!D247,""),"")</f>
        <v/>
      </c>
      <c r="B247" s="63">
        <f t="shared" si="39"/>
        <v>6</v>
      </c>
      <c r="C247" s="80">
        <v>42536</v>
      </c>
      <c r="D247" s="80" t="s">
        <v>1953</v>
      </c>
      <c r="E247" s="80">
        <f t="shared" si="40"/>
        <v>42536</v>
      </c>
      <c r="F247" s="81" t="s">
        <v>1692</v>
      </c>
      <c r="G247" s="81"/>
      <c r="H247" s="82" t="s">
        <v>697</v>
      </c>
      <c r="I247" s="437">
        <v>320</v>
      </c>
      <c r="J247" s="437">
        <v>589750.140625</v>
      </c>
      <c r="K247" s="428"/>
      <c r="L247" s="437"/>
      <c r="M247" s="83">
        <v>188688050</v>
      </c>
      <c r="N247" s="88" t="s">
        <v>284</v>
      </c>
      <c r="O247" s="84" t="s">
        <v>282</v>
      </c>
      <c r="P247" s="84" t="str">
        <f>IF(AND('331-CT'!$E$7=TH!H247,OR(N247="331",O247="331")),"x","")</f>
        <v/>
      </c>
      <c r="Q247" s="84" t="str">
        <f>IF(AND(B247='111'!$L$11,OR($N247=$Q$7,$O247=$Q$7)),"x","")</f>
        <v/>
      </c>
      <c r="R247" s="84" t="str">
        <f>IF(AND($N247=$Q$7,$B247&lt;'111'!$L$11),"x","")</f>
        <v/>
      </c>
      <c r="S247" s="84" t="str">
        <f>IF(AND($O247=$Q$7,$B247&lt;'111'!$L$11),"x","")</f>
        <v/>
      </c>
      <c r="T247" s="84" t="str">
        <f>IF(ISERROR(FIND('112'!$M$9,G247,1)),"",IF((AND(FIND('112'!$M$9,G247,1)&gt;=1,B247='112'!$K$9,OR($N247='112'!$I$6,$O247='112'!$I$6))),"x",""))</f>
        <v/>
      </c>
      <c r="U247" s="84" t="str">
        <f>IF(ISERROR(FIND('112'!$M$9,G247,1)),"",IF((AND(LEFT(G247,2)=LEFT('112'!$M$9,2),B247&lt;'112'!$K$9,$N247='112'!$I$6)),"x",""))</f>
        <v/>
      </c>
      <c r="V247" s="84" t="str">
        <f>IF(ISERROR(FIND('112'!$M$9,G247,1)),"",IF((AND(RIGHT(G247,2)=RIGHT('112'!$M$9,2),B247&lt;'112'!$K$9,$O247='112'!$I$6)),"x",""))</f>
        <v/>
      </c>
      <c r="W247" s="84" t="str">
        <f>IF(AND('341-CT'!$H$9=H247,OR(LEFT(N247,3)=$W$7,LEFT(O247,3)=$W$7)),"x","")</f>
        <v/>
      </c>
      <c r="X247" s="84" t="str">
        <f>IF(OR(TH!N247=TH!$X$7,O247=TH!$X$7),"x","")</f>
        <v/>
      </c>
      <c r="Y247" s="84" t="str">
        <f>IF(AND(OR(N247="131",O247="131"),H247='131-CT'!$H$9),"x","")</f>
        <v/>
      </c>
      <c r="Z247" s="84"/>
      <c r="AA247" s="84" t="str">
        <f>IF(AND(MONTH(E247)='IN-NX'!$J$5,'IN-NX'!$D$7=D247),"x","")</f>
        <v/>
      </c>
      <c r="AB247" s="84" t="str">
        <f>IF(AND(OR(LEFT(TH!N247,2)="15",LEFT(TH!O247,2)="15"),LEFT(TH!O247,3)&lt;&gt;"111",'152-CT'!$J$8=TH!F247),"x","")</f>
        <v/>
      </c>
      <c r="AC247" s="84" t="str">
        <f>IF(AND(OR(LEFT(TH!N247,2)="15",LEFT(TH!O247,2)="15"),TK!$E$7=TH!F247),"x","")</f>
        <v/>
      </c>
      <c r="AD247" s="84" t="str">
        <f>IF(AND(N247="1521",MONTH(C247)='BK-NL'!$M$11),"x","")</f>
        <v/>
      </c>
    </row>
    <row r="248" spans="1:30" s="1156" customFormat="1" ht="15.75" hidden="1" customHeight="1">
      <c r="A248" s="336" t="str">
        <f>IF(B248&lt;&gt;"",IF(AND(B248='IN-TC'!$S$4,OR(TH!N248="1111",TH!O248="1111")),TH!D248,""),"")</f>
        <v/>
      </c>
      <c r="B248" s="63">
        <f t="shared" si="39"/>
        <v>6</v>
      </c>
      <c r="C248" s="80">
        <v>42536</v>
      </c>
      <c r="D248" s="80" t="s">
        <v>1953</v>
      </c>
      <c r="E248" s="80">
        <f t="shared" si="40"/>
        <v>42536</v>
      </c>
      <c r="F248" s="81" t="s">
        <v>1693</v>
      </c>
      <c r="G248" s="81"/>
      <c r="H248" s="82" t="s">
        <v>697</v>
      </c>
      <c r="I248" s="437">
        <v>2000</v>
      </c>
      <c r="J248" s="437">
        <v>591877.52249999996</v>
      </c>
      <c r="K248" s="428"/>
      <c r="L248" s="437"/>
      <c r="M248" s="83">
        <v>1183451789</v>
      </c>
      <c r="N248" s="88" t="s">
        <v>284</v>
      </c>
      <c r="O248" s="84" t="s">
        <v>282</v>
      </c>
      <c r="P248" s="84" t="str">
        <f>IF(AND('331-CT'!$E$7=TH!H248,OR(N248="331",O248="331")),"x","")</f>
        <v/>
      </c>
      <c r="Q248" s="84" t="str">
        <f>IF(AND(B248='111'!$L$11,OR($N248=$Q$7,$O248=$Q$7)),"x","")</f>
        <v/>
      </c>
      <c r="R248" s="84" t="str">
        <f>IF(AND($N248=$Q$7,$B248&lt;'111'!$L$11),"x","")</f>
        <v/>
      </c>
      <c r="S248" s="84" t="str">
        <f>IF(AND($O248=$Q$7,$B248&lt;'111'!$L$11),"x","")</f>
        <v/>
      </c>
      <c r="T248" s="84" t="str">
        <f>IF(ISERROR(FIND('112'!$M$9,G248,1)),"",IF((AND(FIND('112'!$M$9,G248,1)&gt;=1,B248='112'!$K$9,OR($N248='112'!$I$6,$O248='112'!$I$6))),"x",""))</f>
        <v/>
      </c>
      <c r="U248" s="84" t="str">
        <f>IF(ISERROR(FIND('112'!$M$9,G248,1)),"",IF((AND(LEFT(G248,2)=LEFT('112'!$M$9,2),B248&lt;'112'!$K$9,$N248='112'!$I$6)),"x",""))</f>
        <v/>
      </c>
      <c r="V248" s="84" t="str">
        <f>IF(ISERROR(FIND('112'!$M$9,G248,1)),"",IF((AND(RIGHT(G248,2)=RIGHT('112'!$M$9,2),B248&lt;'112'!$K$9,$O248='112'!$I$6)),"x",""))</f>
        <v/>
      </c>
      <c r="W248" s="84" t="str">
        <f>IF(AND('341-CT'!$H$9=H248,OR(LEFT(N248,3)=$W$7,LEFT(O248,3)=$W$7)),"x","")</f>
        <v/>
      </c>
      <c r="X248" s="84" t="str">
        <f>IF(OR(TH!N248=TH!$X$7,O248=TH!$X$7),"x","")</f>
        <v/>
      </c>
      <c r="Y248" s="84" t="str">
        <f>IF(AND(OR(N248="131",O248="131"),H248='131-CT'!$H$9),"x","")</f>
        <v/>
      </c>
      <c r="Z248" s="84"/>
      <c r="AA248" s="84" t="str">
        <f>IF(AND(MONTH(E248)='IN-NX'!$J$5,'IN-NX'!$D$7=D248),"x","")</f>
        <v/>
      </c>
      <c r="AB248" s="84" t="str">
        <f>IF(AND(OR(LEFT(TH!N248,2)="15",LEFT(TH!O248,2)="15"),LEFT(TH!O248,3)&lt;&gt;"111",'152-CT'!$J$8=TH!F248),"x","")</f>
        <v/>
      </c>
      <c r="AC248" s="84" t="str">
        <f>IF(AND(OR(LEFT(TH!N248,2)="15",LEFT(TH!O248,2)="15"),TK!$E$7=TH!F248),"x","")</f>
        <v/>
      </c>
      <c r="AD248" s="84" t="str">
        <f>IF(AND(N248="1521",MONTH(C248)='BK-NL'!$M$11),"x","")</f>
        <v/>
      </c>
    </row>
    <row r="249" spans="1:30" s="1156" customFormat="1" ht="15.75" hidden="1" customHeight="1">
      <c r="A249" s="336" t="str">
        <f>IF(B249&lt;&gt;"",IF(AND(B249='IN-TC'!$S$4,OR(TH!N249="1111",TH!O249="1111")),TH!D249,""),"")</f>
        <v/>
      </c>
      <c r="B249" s="63">
        <f t="shared" ref="B249:B276" si="41">IF(C249&lt;&gt;"",MONTH(C249),"")</f>
        <v>6</v>
      </c>
      <c r="C249" s="94">
        <v>42536</v>
      </c>
      <c r="D249" s="94" t="s">
        <v>1917</v>
      </c>
      <c r="E249" s="94">
        <f t="shared" ref="E249:E266" si="42">C249</f>
        <v>42536</v>
      </c>
      <c r="F249" s="95" t="s">
        <v>1684</v>
      </c>
      <c r="G249" s="95" t="s">
        <v>1694</v>
      </c>
      <c r="H249" s="988" t="s">
        <v>1695</v>
      </c>
      <c r="I249" s="445">
        <v>690</v>
      </c>
      <c r="J249" s="445">
        <v>589650</v>
      </c>
      <c r="K249" s="436"/>
      <c r="L249" s="445"/>
      <c r="M249" s="97">
        <f t="shared" ref="M249:M285" si="43">ROUND(I249*J249,0)</f>
        <v>406858500</v>
      </c>
      <c r="N249" s="85" t="s">
        <v>294</v>
      </c>
      <c r="O249" s="85" t="s">
        <v>284</v>
      </c>
      <c r="P249" s="84" t="str">
        <f>IF(AND('331-CT'!$E$7=TH!H249,OR(N249="331",O249="331")),"x","")</f>
        <v/>
      </c>
      <c r="Q249" s="84" t="str">
        <f>IF(AND(B249='111'!$L$11,OR($N249=$Q$7,$O249=$Q$7)),"x","")</f>
        <v/>
      </c>
      <c r="R249" s="84" t="str">
        <f>IF(AND($N249=$Q$7,$B249&lt;'111'!$L$11),"x","")</f>
        <v/>
      </c>
      <c r="S249" s="84" t="str">
        <f>IF(AND($O249=$Q$7,$B249&lt;'111'!$L$11),"x","")</f>
        <v/>
      </c>
      <c r="T249" s="84" t="str">
        <f>IF(ISERROR(FIND('112'!$M$9,G249,1)),"",IF((AND(FIND('112'!$M$9,G249,1)&gt;=1,B249='112'!$K$9,OR($N249='112'!$I$6,$O249='112'!$I$6))),"x",""))</f>
        <v/>
      </c>
      <c r="U249" s="84" t="str">
        <f>IF(ISERROR(FIND('112'!$M$9,G249,1)),"",IF((AND(LEFT(G249,2)=LEFT('112'!$M$9,2),B249&lt;'112'!$K$9,$N249='112'!$I$6)),"x",""))</f>
        <v/>
      </c>
      <c r="V249" s="84" t="str">
        <f>IF(ISERROR(FIND('112'!$M$9,G249,1)),"",IF((AND(RIGHT(G249,2)=RIGHT('112'!$M$9,2),B249&lt;'112'!$K$9,$O249='112'!$I$6)),"x",""))</f>
        <v/>
      </c>
      <c r="W249" s="84" t="str">
        <f>IF(AND('341-CT'!$H$9=H249,OR(LEFT(N249,3)=$W$7,LEFT(O249,3)=$W$7)),"x","")</f>
        <v/>
      </c>
      <c r="X249" s="84" t="str">
        <f>IF(OR(TH!N249=TH!$X$7,O249=TH!$X$7),"x","")</f>
        <v/>
      </c>
      <c r="Y249" s="84" t="str">
        <f>IF(AND(OR(N249="131",O249="131"),H249='131-CT'!$H$9),"x","")</f>
        <v/>
      </c>
      <c r="Z249" s="84"/>
      <c r="AA249" s="84" t="str">
        <f>IF(AND(MONTH(E249)='IN-NX'!$J$5,'IN-NX'!$D$7=D249),"x","")</f>
        <v/>
      </c>
      <c r="AB249" s="84" t="str">
        <f>IF(AND(OR(LEFT(TH!N249,2)="15",LEFT(TH!O249,2)="15"),LEFT(TH!O249,3)&lt;&gt;"111",'152-CT'!$J$8=TH!F249),"x","")</f>
        <v/>
      </c>
      <c r="AC249" s="84" t="str">
        <f>IF(AND(OR(LEFT(TH!N249,2)="15",LEFT(TH!O249,2)="15"),TK!$E$7=TH!F249),"x","")</f>
        <v/>
      </c>
      <c r="AD249" s="84" t="str">
        <f>IF(AND(N249="1521",MONTH(C249)='BK-NL'!$M$11),"x","")</f>
        <v/>
      </c>
    </row>
    <row r="250" spans="1:30" s="1156" customFormat="1" ht="15.75" hidden="1" customHeight="1">
      <c r="A250" s="336" t="str">
        <f>IF(B250&lt;&gt;"",IF(AND(B250='IN-TC'!$S$4,OR(TH!N250="1111",TH!O250="1111")),TH!D250,""),"")</f>
        <v/>
      </c>
      <c r="B250" s="63">
        <f t="shared" si="41"/>
        <v>6</v>
      </c>
      <c r="C250" s="94">
        <v>42536</v>
      </c>
      <c r="D250" s="94" t="s">
        <v>1917</v>
      </c>
      <c r="E250" s="94">
        <f t="shared" si="42"/>
        <v>42536</v>
      </c>
      <c r="F250" s="95" t="s">
        <v>1685</v>
      </c>
      <c r="G250" s="95" t="s">
        <v>1694</v>
      </c>
      <c r="H250" s="988" t="s">
        <v>1695</v>
      </c>
      <c r="I250" s="445">
        <v>500</v>
      </c>
      <c r="J250" s="445">
        <v>589650</v>
      </c>
      <c r="K250" s="436"/>
      <c r="L250" s="445"/>
      <c r="M250" s="97">
        <f t="shared" si="43"/>
        <v>294825000</v>
      </c>
      <c r="N250" s="85" t="s">
        <v>294</v>
      </c>
      <c r="O250" s="85" t="s">
        <v>284</v>
      </c>
      <c r="P250" s="84" t="str">
        <f>IF(AND('331-CT'!$E$7=TH!H250,OR(N250="331",O250="331")),"x","")</f>
        <v/>
      </c>
      <c r="Q250" s="84" t="str">
        <f>IF(AND(B250='111'!$L$11,OR($N250=$Q$7,$O250=$Q$7)),"x","")</f>
        <v/>
      </c>
      <c r="R250" s="84" t="str">
        <f>IF(AND($N250=$Q$7,$B250&lt;'111'!$L$11),"x","")</f>
        <v/>
      </c>
      <c r="S250" s="84" t="str">
        <f>IF(AND($O250=$Q$7,$B250&lt;'111'!$L$11),"x","")</f>
        <v/>
      </c>
      <c r="T250" s="84" t="str">
        <f>IF(ISERROR(FIND('112'!$M$9,G250,1)),"",IF((AND(FIND('112'!$M$9,G250,1)&gt;=1,B250='112'!$K$9,OR($N250='112'!$I$6,$O250='112'!$I$6))),"x",""))</f>
        <v/>
      </c>
      <c r="U250" s="84" t="str">
        <f>IF(ISERROR(FIND('112'!$M$9,G250,1)),"",IF((AND(LEFT(G250,2)=LEFT('112'!$M$9,2),B250&lt;'112'!$K$9,$N250='112'!$I$6)),"x",""))</f>
        <v/>
      </c>
      <c r="V250" s="84" t="str">
        <f>IF(ISERROR(FIND('112'!$M$9,G250,1)),"",IF((AND(RIGHT(G250,2)=RIGHT('112'!$M$9,2),B250&lt;'112'!$K$9,$O250='112'!$I$6)),"x",""))</f>
        <v/>
      </c>
      <c r="W250" s="84" t="str">
        <f>IF(AND('341-CT'!$H$9=H250,OR(LEFT(N250,3)=$W$7,LEFT(O250,3)=$W$7)),"x","")</f>
        <v/>
      </c>
      <c r="X250" s="84" t="str">
        <f>IF(OR(TH!N250=TH!$X$7,O250=TH!$X$7),"x","")</f>
        <v/>
      </c>
      <c r="Y250" s="84" t="str">
        <f>IF(AND(OR(N250="131",O250="131"),H250='131-CT'!$H$9),"x","")</f>
        <v/>
      </c>
      <c r="Z250" s="84"/>
      <c r="AA250" s="84" t="str">
        <f>IF(AND(MONTH(E250)='IN-NX'!$J$5,'IN-NX'!$D$7=D250),"x","")</f>
        <v/>
      </c>
      <c r="AB250" s="84" t="str">
        <f>IF(AND(OR(LEFT(TH!N250,2)="15",LEFT(TH!O250,2)="15"),LEFT(TH!O250,3)&lt;&gt;"111",'152-CT'!$J$8=TH!F250),"x","")</f>
        <v/>
      </c>
      <c r="AC250" s="84" t="str">
        <f>IF(AND(OR(LEFT(TH!N250,2)="15",LEFT(TH!O250,2)="15"),TK!$E$7=TH!F250),"x","")</f>
        <v/>
      </c>
      <c r="AD250" s="84" t="str">
        <f>IF(AND(N250="1521",MONTH(C250)='BK-NL'!$M$11),"x","")</f>
        <v/>
      </c>
    </row>
    <row r="251" spans="1:30" s="1156" customFormat="1" ht="15.75" hidden="1" customHeight="1">
      <c r="A251" s="336" t="str">
        <f>IF(B251&lt;&gt;"",IF(AND(B251='IN-TC'!$S$4,OR(TH!N251="1111",TH!O251="1111")),TH!D251,""),"")</f>
        <v/>
      </c>
      <c r="B251" s="63">
        <f t="shared" si="41"/>
        <v>6</v>
      </c>
      <c r="C251" s="94">
        <v>42536</v>
      </c>
      <c r="D251" s="94" t="s">
        <v>1917</v>
      </c>
      <c r="E251" s="94">
        <f t="shared" si="42"/>
        <v>42536</v>
      </c>
      <c r="F251" s="95" t="s">
        <v>1686</v>
      </c>
      <c r="G251" s="95" t="s">
        <v>1694</v>
      </c>
      <c r="H251" s="988" t="s">
        <v>1695</v>
      </c>
      <c r="I251" s="445">
        <v>560</v>
      </c>
      <c r="J251" s="445">
        <v>589650</v>
      </c>
      <c r="K251" s="436"/>
      <c r="L251" s="445"/>
      <c r="M251" s="97">
        <f t="shared" si="43"/>
        <v>330204000</v>
      </c>
      <c r="N251" s="85" t="s">
        <v>294</v>
      </c>
      <c r="O251" s="85" t="s">
        <v>284</v>
      </c>
      <c r="P251" s="84" t="str">
        <f>IF(AND('331-CT'!$E$7=TH!H251,OR(N251="331",O251="331")),"x","")</f>
        <v/>
      </c>
      <c r="Q251" s="84" t="str">
        <f>IF(AND(B251='111'!$L$11,OR($N251=$Q$7,$O251=$Q$7)),"x","")</f>
        <v/>
      </c>
      <c r="R251" s="84" t="str">
        <f>IF(AND($N251=$Q$7,$B251&lt;'111'!$L$11),"x","")</f>
        <v/>
      </c>
      <c r="S251" s="84" t="str">
        <f>IF(AND($O251=$Q$7,$B251&lt;'111'!$L$11),"x","")</f>
        <v/>
      </c>
      <c r="T251" s="84" t="str">
        <f>IF(ISERROR(FIND('112'!$M$9,G251,1)),"",IF((AND(FIND('112'!$M$9,G251,1)&gt;=1,B251='112'!$K$9,OR($N251='112'!$I$6,$O251='112'!$I$6))),"x",""))</f>
        <v/>
      </c>
      <c r="U251" s="84" t="str">
        <f>IF(ISERROR(FIND('112'!$M$9,G251,1)),"",IF((AND(LEFT(G251,2)=LEFT('112'!$M$9,2),B251&lt;'112'!$K$9,$N251='112'!$I$6)),"x",""))</f>
        <v/>
      </c>
      <c r="V251" s="84" t="str">
        <f>IF(ISERROR(FIND('112'!$M$9,G251,1)),"",IF((AND(RIGHT(G251,2)=RIGHT('112'!$M$9,2),B251&lt;'112'!$K$9,$O251='112'!$I$6)),"x",""))</f>
        <v/>
      </c>
      <c r="W251" s="84" t="str">
        <f>IF(AND('341-CT'!$H$9=H251,OR(LEFT(N251,3)=$W$7,LEFT(O251,3)=$W$7)),"x","")</f>
        <v/>
      </c>
      <c r="X251" s="84" t="str">
        <f>IF(OR(TH!N251=TH!$X$7,O251=TH!$X$7),"x","")</f>
        <v/>
      </c>
      <c r="Y251" s="84" t="str">
        <f>IF(AND(OR(N251="131",O251="131"),H251='131-CT'!$H$9),"x","")</f>
        <v/>
      </c>
      <c r="Z251" s="84"/>
      <c r="AA251" s="84" t="str">
        <f>IF(AND(MONTH(E251)='IN-NX'!$J$5,'IN-NX'!$D$7=D251),"x","")</f>
        <v/>
      </c>
      <c r="AB251" s="84" t="str">
        <f>IF(AND(OR(LEFT(TH!N251,2)="15",LEFT(TH!O251,2)="15"),LEFT(TH!O251,3)&lt;&gt;"111",'152-CT'!$J$8=TH!F251),"x","")</f>
        <v/>
      </c>
      <c r="AC251" s="84" t="str">
        <f>IF(AND(OR(LEFT(TH!N251,2)="15",LEFT(TH!O251,2)="15"),TK!$E$7=TH!F251),"x","")</f>
        <v/>
      </c>
      <c r="AD251" s="84" t="str">
        <f>IF(AND(N251="1521",MONTH(C251)='BK-NL'!$M$11),"x","")</f>
        <v/>
      </c>
    </row>
    <row r="252" spans="1:30" s="1156" customFormat="1" ht="15.75" hidden="1" customHeight="1">
      <c r="A252" s="336" t="str">
        <f>IF(B252&lt;&gt;"",IF(AND(B252='IN-TC'!$S$4,OR(TH!N252="1111",TH!O252="1111")),TH!D252,""),"")</f>
        <v/>
      </c>
      <c r="B252" s="63">
        <f t="shared" si="41"/>
        <v>6</v>
      </c>
      <c r="C252" s="94">
        <v>42536</v>
      </c>
      <c r="D252" s="94" t="s">
        <v>1917</v>
      </c>
      <c r="E252" s="94">
        <f t="shared" si="42"/>
        <v>42536</v>
      </c>
      <c r="F252" s="95" t="s">
        <v>1687</v>
      </c>
      <c r="G252" s="95" t="s">
        <v>1694</v>
      </c>
      <c r="H252" s="988" t="s">
        <v>1695</v>
      </c>
      <c r="I252" s="445">
        <v>580</v>
      </c>
      <c r="J252" s="445">
        <v>589650</v>
      </c>
      <c r="K252" s="436"/>
      <c r="L252" s="445"/>
      <c r="M252" s="97">
        <f t="shared" si="43"/>
        <v>341997000</v>
      </c>
      <c r="N252" s="85" t="s">
        <v>294</v>
      </c>
      <c r="O252" s="85" t="s">
        <v>284</v>
      </c>
      <c r="P252" s="84" t="str">
        <f>IF(AND('331-CT'!$E$7=TH!H252,OR(N252="331",O252="331")),"x","")</f>
        <v/>
      </c>
      <c r="Q252" s="84" t="str">
        <f>IF(AND(B252='111'!$L$11,OR($N252=$Q$7,$O252=$Q$7)),"x","")</f>
        <v/>
      </c>
      <c r="R252" s="84" t="str">
        <f>IF(AND($N252=$Q$7,$B252&lt;'111'!$L$11),"x","")</f>
        <v/>
      </c>
      <c r="S252" s="84" t="str">
        <f>IF(AND($O252=$Q$7,$B252&lt;'111'!$L$11),"x","")</f>
        <v/>
      </c>
      <c r="T252" s="84" t="str">
        <f>IF(ISERROR(FIND('112'!$M$9,G252,1)),"",IF((AND(FIND('112'!$M$9,G252,1)&gt;=1,B252='112'!$K$9,OR($N252='112'!$I$6,$O252='112'!$I$6))),"x",""))</f>
        <v/>
      </c>
      <c r="U252" s="84" t="str">
        <f>IF(ISERROR(FIND('112'!$M$9,G252,1)),"",IF((AND(LEFT(G252,2)=LEFT('112'!$M$9,2),B252&lt;'112'!$K$9,$N252='112'!$I$6)),"x",""))</f>
        <v/>
      </c>
      <c r="V252" s="84" t="str">
        <f>IF(ISERROR(FIND('112'!$M$9,G252,1)),"",IF((AND(RIGHT(G252,2)=RIGHT('112'!$M$9,2),B252&lt;'112'!$K$9,$O252='112'!$I$6)),"x",""))</f>
        <v/>
      </c>
      <c r="W252" s="84" t="str">
        <f>IF(AND('341-CT'!$H$9=H252,OR(LEFT(N252,3)=$W$7,LEFT(O252,3)=$W$7)),"x","")</f>
        <v/>
      </c>
      <c r="X252" s="84" t="str">
        <f>IF(OR(TH!N252=TH!$X$7,O252=TH!$X$7),"x","")</f>
        <v/>
      </c>
      <c r="Y252" s="84" t="str">
        <f>IF(AND(OR(N252="131",O252="131"),H252='131-CT'!$H$9),"x","")</f>
        <v/>
      </c>
      <c r="Z252" s="84"/>
      <c r="AA252" s="84" t="str">
        <f>IF(AND(MONTH(E252)='IN-NX'!$J$5,'IN-NX'!$D$7=D252),"x","")</f>
        <v/>
      </c>
      <c r="AB252" s="84" t="str">
        <f>IF(AND(OR(LEFT(TH!N252,2)="15",LEFT(TH!O252,2)="15"),LEFT(TH!O252,3)&lt;&gt;"111",'152-CT'!$J$8=TH!F252),"x","")</f>
        <v/>
      </c>
      <c r="AC252" s="84" t="str">
        <f>IF(AND(OR(LEFT(TH!N252,2)="15",LEFT(TH!O252,2)="15"),TK!$E$7=TH!F252),"x","")</f>
        <v/>
      </c>
      <c r="AD252" s="84" t="str">
        <f>IF(AND(N252="1521",MONTH(C252)='BK-NL'!$M$11),"x","")</f>
        <v/>
      </c>
    </row>
    <row r="253" spans="1:30" s="1156" customFormat="1" ht="15.75" hidden="1" customHeight="1">
      <c r="A253" s="336" t="str">
        <f>IF(B253&lt;&gt;"",IF(AND(B253='IN-TC'!$S$4,OR(TH!N253="1111",TH!O253="1111")),TH!D253,""),"")</f>
        <v/>
      </c>
      <c r="B253" s="63">
        <f t="shared" si="41"/>
        <v>6</v>
      </c>
      <c r="C253" s="94">
        <v>42536</v>
      </c>
      <c r="D253" s="94" t="s">
        <v>1917</v>
      </c>
      <c r="E253" s="94">
        <f t="shared" si="42"/>
        <v>42536</v>
      </c>
      <c r="F253" s="95" t="s">
        <v>1688</v>
      </c>
      <c r="G253" s="95" t="s">
        <v>1694</v>
      </c>
      <c r="H253" s="988" t="s">
        <v>1695</v>
      </c>
      <c r="I253" s="445">
        <v>870</v>
      </c>
      <c r="J253" s="445">
        <v>589650</v>
      </c>
      <c r="K253" s="436"/>
      <c r="L253" s="445"/>
      <c r="M253" s="97">
        <f t="shared" si="43"/>
        <v>512995500</v>
      </c>
      <c r="N253" s="85" t="s">
        <v>294</v>
      </c>
      <c r="O253" s="85" t="s">
        <v>284</v>
      </c>
      <c r="P253" s="84" t="str">
        <f>IF(AND('331-CT'!$E$7=TH!H253,OR(N253="331",O253="331")),"x","")</f>
        <v/>
      </c>
      <c r="Q253" s="84" t="str">
        <f>IF(AND(B253='111'!$L$11,OR($N253=$Q$7,$O253=$Q$7)),"x","")</f>
        <v/>
      </c>
      <c r="R253" s="84" t="str">
        <f>IF(AND($N253=$Q$7,$B253&lt;'111'!$L$11),"x","")</f>
        <v/>
      </c>
      <c r="S253" s="84" t="str">
        <f>IF(AND($O253=$Q$7,$B253&lt;'111'!$L$11),"x","")</f>
        <v/>
      </c>
      <c r="T253" s="84" t="str">
        <f>IF(ISERROR(FIND('112'!$M$9,G253,1)),"",IF((AND(FIND('112'!$M$9,G253,1)&gt;=1,B253='112'!$K$9,OR($N253='112'!$I$6,$O253='112'!$I$6))),"x",""))</f>
        <v/>
      </c>
      <c r="U253" s="84" t="str">
        <f>IF(ISERROR(FIND('112'!$M$9,G253,1)),"",IF((AND(LEFT(G253,2)=LEFT('112'!$M$9,2),B253&lt;'112'!$K$9,$N253='112'!$I$6)),"x",""))</f>
        <v/>
      </c>
      <c r="V253" s="84" t="str">
        <f>IF(ISERROR(FIND('112'!$M$9,G253,1)),"",IF((AND(RIGHT(G253,2)=RIGHT('112'!$M$9,2),B253&lt;'112'!$K$9,$O253='112'!$I$6)),"x",""))</f>
        <v/>
      </c>
      <c r="W253" s="84" t="str">
        <f>IF(AND('341-CT'!$H$9=H253,OR(LEFT(N253,3)=$W$7,LEFT(O253,3)=$W$7)),"x","")</f>
        <v/>
      </c>
      <c r="X253" s="84" t="str">
        <f>IF(OR(TH!N253=TH!$X$7,O253=TH!$X$7),"x","")</f>
        <v/>
      </c>
      <c r="Y253" s="84" t="str">
        <f>IF(AND(OR(N253="131",O253="131"),H253='131-CT'!$H$9),"x","")</f>
        <v/>
      </c>
      <c r="Z253" s="84"/>
      <c r="AA253" s="84" t="str">
        <f>IF(AND(MONTH(E253)='IN-NX'!$J$5,'IN-NX'!$D$7=D253),"x","")</f>
        <v/>
      </c>
      <c r="AB253" s="84" t="str">
        <f>IF(AND(OR(LEFT(TH!N253,2)="15",LEFT(TH!O253,2)="15"),LEFT(TH!O253,3)&lt;&gt;"111",'152-CT'!$J$8=TH!F253),"x","")</f>
        <v/>
      </c>
      <c r="AC253" s="84" t="str">
        <f>IF(AND(OR(LEFT(TH!N253,2)="15",LEFT(TH!O253,2)="15"),TK!$E$7=TH!F253),"x","")</f>
        <v/>
      </c>
      <c r="AD253" s="84" t="str">
        <f>IF(AND(N253="1521",MONTH(C253)='BK-NL'!$M$11),"x","")</f>
        <v/>
      </c>
    </row>
    <row r="254" spans="1:30" s="1156" customFormat="1" ht="15.75" hidden="1" customHeight="1">
      <c r="A254" s="336" t="str">
        <f>IF(B254&lt;&gt;"",IF(AND(B254='IN-TC'!$S$4,OR(TH!N254="1111",TH!O254="1111")),TH!D254,""),"")</f>
        <v/>
      </c>
      <c r="B254" s="63">
        <f t="shared" si="41"/>
        <v>6</v>
      </c>
      <c r="C254" s="94">
        <v>42536</v>
      </c>
      <c r="D254" s="94" t="s">
        <v>1917</v>
      </c>
      <c r="E254" s="94">
        <f t="shared" si="42"/>
        <v>42536</v>
      </c>
      <c r="F254" s="95" t="s">
        <v>1689</v>
      </c>
      <c r="G254" s="95" t="s">
        <v>1694</v>
      </c>
      <c r="H254" s="988" t="s">
        <v>1695</v>
      </c>
      <c r="I254" s="445">
        <v>130</v>
      </c>
      <c r="J254" s="445">
        <v>589650</v>
      </c>
      <c r="K254" s="436"/>
      <c r="L254" s="445"/>
      <c r="M254" s="97">
        <f t="shared" si="43"/>
        <v>76654500</v>
      </c>
      <c r="N254" s="85" t="s">
        <v>294</v>
      </c>
      <c r="O254" s="85" t="s">
        <v>284</v>
      </c>
      <c r="P254" s="84" t="str">
        <f>IF(AND('331-CT'!$E$7=TH!H254,OR(N254="331",O254="331")),"x","")</f>
        <v/>
      </c>
      <c r="Q254" s="84" t="str">
        <f>IF(AND(B254='111'!$L$11,OR($N254=$Q$7,$O254=$Q$7)),"x","")</f>
        <v/>
      </c>
      <c r="R254" s="84" t="str">
        <f>IF(AND($N254=$Q$7,$B254&lt;'111'!$L$11),"x","")</f>
        <v/>
      </c>
      <c r="S254" s="84" t="str">
        <f>IF(AND($O254=$Q$7,$B254&lt;'111'!$L$11),"x","")</f>
        <v/>
      </c>
      <c r="T254" s="84" t="str">
        <f>IF(ISERROR(FIND('112'!$M$9,G254,1)),"",IF((AND(FIND('112'!$M$9,G254,1)&gt;=1,B254='112'!$K$9,OR($N254='112'!$I$6,$O254='112'!$I$6))),"x",""))</f>
        <v/>
      </c>
      <c r="U254" s="84" t="str">
        <f>IF(ISERROR(FIND('112'!$M$9,G254,1)),"",IF((AND(LEFT(G254,2)=LEFT('112'!$M$9,2),B254&lt;'112'!$K$9,$N254='112'!$I$6)),"x",""))</f>
        <v/>
      </c>
      <c r="V254" s="84" t="str">
        <f>IF(ISERROR(FIND('112'!$M$9,G254,1)),"",IF((AND(RIGHT(G254,2)=RIGHT('112'!$M$9,2),B254&lt;'112'!$K$9,$O254='112'!$I$6)),"x",""))</f>
        <v/>
      </c>
      <c r="W254" s="84" t="str">
        <f>IF(AND('341-CT'!$H$9=H254,OR(LEFT(N254,3)=$W$7,LEFT(O254,3)=$W$7)),"x","")</f>
        <v/>
      </c>
      <c r="X254" s="84" t="str">
        <f>IF(OR(TH!N254=TH!$X$7,O254=TH!$X$7),"x","")</f>
        <v/>
      </c>
      <c r="Y254" s="84" t="str">
        <f>IF(AND(OR(N254="131",O254="131"),H254='131-CT'!$H$9),"x","")</f>
        <v/>
      </c>
      <c r="Z254" s="84"/>
      <c r="AA254" s="84" t="str">
        <f>IF(AND(MONTH(E254)='IN-NX'!$J$5,'IN-NX'!$D$7=D254),"x","")</f>
        <v/>
      </c>
      <c r="AB254" s="84" t="str">
        <f>IF(AND(OR(LEFT(TH!N254,2)="15",LEFT(TH!O254,2)="15"),LEFT(TH!O254,3)&lt;&gt;"111",'152-CT'!$J$8=TH!F254),"x","")</f>
        <v/>
      </c>
      <c r="AC254" s="84" t="str">
        <f>IF(AND(OR(LEFT(TH!N254,2)="15",LEFT(TH!O254,2)="15"),TK!$E$7=TH!F254),"x","")</f>
        <v/>
      </c>
      <c r="AD254" s="84" t="str">
        <f>IF(AND(N254="1521",MONTH(C254)='BK-NL'!$M$11),"x","")</f>
        <v/>
      </c>
    </row>
    <row r="255" spans="1:30" s="1156" customFormat="1" ht="15.75" hidden="1" customHeight="1">
      <c r="A255" s="336" t="str">
        <f>IF(B255&lt;&gt;"",IF(AND(B255='IN-TC'!$S$4,OR(TH!N255="1111",TH!O255="1111")),TH!D255,""),"")</f>
        <v/>
      </c>
      <c r="B255" s="63">
        <f t="shared" si="41"/>
        <v>6</v>
      </c>
      <c r="C255" s="94">
        <v>42536</v>
      </c>
      <c r="D255" s="94" t="s">
        <v>1917</v>
      </c>
      <c r="E255" s="94">
        <f t="shared" si="42"/>
        <v>42536</v>
      </c>
      <c r="F255" s="95" t="s">
        <v>1690</v>
      </c>
      <c r="G255" s="95" t="s">
        <v>1694</v>
      </c>
      <c r="H255" s="988" t="s">
        <v>1695</v>
      </c>
      <c r="I255" s="445">
        <v>250</v>
      </c>
      <c r="J255" s="445">
        <v>589650</v>
      </c>
      <c r="K255" s="436"/>
      <c r="L255" s="445"/>
      <c r="M255" s="97">
        <f t="shared" si="43"/>
        <v>147412500</v>
      </c>
      <c r="N255" s="85" t="s">
        <v>294</v>
      </c>
      <c r="O255" s="85" t="s">
        <v>284</v>
      </c>
      <c r="P255" s="84" t="str">
        <f>IF(AND('331-CT'!$E$7=TH!H255,OR(N255="331",O255="331")),"x","")</f>
        <v/>
      </c>
      <c r="Q255" s="84" t="str">
        <f>IF(AND(B255='111'!$L$11,OR($N255=$Q$7,$O255=$Q$7)),"x","")</f>
        <v/>
      </c>
      <c r="R255" s="84" t="str">
        <f>IF(AND($N255=$Q$7,$B255&lt;'111'!$L$11),"x","")</f>
        <v/>
      </c>
      <c r="S255" s="84" t="str">
        <f>IF(AND($O255=$Q$7,$B255&lt;'111'!$L$11),"x","")</f>
        <v/>
      </c>
      <c r="T255" s="84" t="str">
        <f>IF(ISERROR(FIND('112'!$M$9,G255,1)),"",IF((AND(FIND('112'!$M$9,G255,1)&gt;=1,B255='112'!$K$9,OR($N255='112'!$I$6,$O255='112'!$I$6))),"x",""))</f>
        <v/>
      </c>
      <c r="U255" s="84" t="str">
        <f>IF(ISERROR(FIND('112'!$M$9,G255,1)),"",IF((AND(LEFT(G255,2)=LEFT('112'!$M$9,2),B255&lt;'112'!$K$9,$N255='112'!$I$6)),"x",""))</f>
        <v/>
      </c>
      <c r="V255" s="84" t="str">
        <f>IF(ISERROR(FIND('112'!$M$9,G255,1)),"",IF((AND(RIGHT(G255,2)=RIGHT('112'!$M$9,2),B255&lt;'112'!$K$9,$O255='112'!$I$6)),"x",""))</f>
        <v/>
      </c>
      <c r="W255" s="84" t="str">
        <f>IF(AND('341-CT'!$H$9=H255,OR(LEFT(N255,3)=$W$7,LEFT(O255,3)=$W$7)),"x","")</f>
        <v/>
      </c>
      <c r="X255" s="84" t="str">
        <f>IF(OR(TH!N255=TH!$X$7,O255=TH!$X$7),"x","")</f>
        <v/>
      </c>
      <c r="Y255" s="84" t="str">
        <f>IF(AND(OR(N255="131",O255="131"),H255='131-CT'!$H$9),"x","")</f>
        <v/>
      </c>
      <c r="Z255" s="84"/>
      <c r="AA255" s="84" t="str">
        <f>IF(AND(MONTH(E255)='IN-NX'!$J$5,'IN-NX'!$D$7=D255),"x","")</f>
        <v/>
      </c>
      <c r="AB255" s="84" t="str">
        <f>IF(AND(OR(LEFT(TH!N255,2)="15",LEFT(TH!O255,2)="15"),LEFT(TH!O255,3)&lt;&gt;"111",'152-CT'!$J$8=TH!F255),"x","")</f>
        <v/>
      </c>
      <c r="AC255" s="84" t="str">
        <f>IF(AND(OR(LEFT(TH!N255,2)="15",LEFT(TH!O255,2)="15"),TK!$E$7=TH!F255),"x","")</f>
        <v/>
      </c>
      <c r="AD255" s="84" t="str">
        <f>IF(AND(N255="1521",MONTH(C255)='BK-NL'!$M$11),"x","")</f>
        <v/>
      </c>
    </row>
    <row r="256" spans="1:30" s="1156" customFormat="1" ht="15.75" hidden="1" customHeight="1">
      <c r="A256" s="336" t="str">
        <f>IF(B256&lt;&gt;"",IF(AND(B256='IN-TC'!$S$4,OR(TH!N256="1111",TH!O256="1111")),TH!D256,""),"")</f>
        <v/>
      </c>
      <c r="B256" s="63">
        <f t="shared" si="41"/>
        <v>6</v>
      </c>
      <c r="C256" s="94">
        <v>42536</v>
      </c>
      <c r="D256" s="94" t="s">
        <v>1917</v>
      </c>
      <c r="E256" s="94">
        <f t="shared" si="42"/>
        <v>42536</v>
      </c>
      <c r="F256" s="95" t="s">
        <v>1691</v>
      </c>
      <c r="G256" s="95" t="s">
        <v>1694</v>
      </c>
      <c r="H256" s="988" t="s">
        <v>1695</v>
      </c>
      <c r="I256" s="445">
        <v>660</v>
      </c>
      <c r="J256" s="445">
        <v>589650</v>
      </c>
      <c r="K256" s="436"/>
      <c r="L256" s="445"/>
      <c r="M256" s="97">
        <f t="shared" si="43"/>
        <v>389169000</v>
      </c>
      <c r="N256" s="85" t="s">
        <v>294</v>
      </c>
      <c r="O256" s="85" t="s">
        <v>284</v>
      </c>
      <c r="P256" s="84" t="str">
        <f>IF(AND('331-CT'!$E$7=TH!H256,OR(N256="331",O256="331")),"x","")</f>
        <v/>
      </c>
      <c r="Q256" s="84" t="str">
        <f>IF(AND(B256='111'!$L$11,OR($N256=$Q$7,$O256=$Q$7)),"x","")</f>
        <v/>
      </c>
      <c r="R256" s="84" t="str">
        <f>IF(AND($N256=$Q$7,$B256&lt;'111'!$L$11),"x","")</f>
        <v/>
      </c>
      <c r="S256" s="84" t="str">
        <f>IF(AND($O256=$Q$7,$B256&lt;'111'!$L$11),"x","")</f>
        <v/>
      </c>
      <c r="T256" s="84" t="str">
        <f>IF(ISERROR(FIND('112'!$M$9,G256,1)),"",IF((AND(FIND('112'!$M$9,G256,1)&gt;=1,B256='112'!$K$9,OR($N256='112'!$I$6,$O256='112'!$I$6))),"x",""))</f>
        <v/>
      </c>
      <c r="U256" s="84" t="str">
        <f>IF(ISERROR(FIND('112'!$M$9,G256,1)),"",IF((AND(LEFT(G256,2)=LEFT('112'!$M$9,2),B256&lt;'112'!$K$9,$N256='112'!$I$6)),"x",""))</f>
        <v/>
      </c>
      <c r="V256" s="84" t="str">
        <f>IF(ISERROR(FIND('112'!$M$9,G256,1)),"",IF((AND(RIGHT(G256,2)=RIGHT('112'!$M$9,2),B256&lt;'112'!$K$9,$O256='112'!$I$6)),"x",""))</f>
        <v/>
      </c>
      <c r="W256" s="84" t="str">
        <f>IF(AND('341-CT'!$H$9=H256,OR(LEFT(N256,3)=$W$7,LEFT(O256,3)=$W$7)),"x","")</f>
        <v/>
      </c>
      <c r="X256" s="84" t="str">
        <f>IF(OR(TH!N256=TH!$X$7,O256=TH!$X$7),"x","")</f>
        <v/>
      </c>
      <c r="Y256" s="84" t="str">
        <f>IF(AND(OR(N256="131",O256="131"),H256='131-CT'!$H$9),"x","")</f>
        <v/>
      </c>
      <c r="Z256" s="84"/>
      <c r="AA256" s="84" t="str">
        <f>IF(AND(MONTH(E256)='IN-NX'!$J$5,'IN-NX'!$D$7=D256),"x","")</f>
        <v/>
      </c>
      <c r="AB256" s="84" t="str">
        <f>IF(AND(OR(LEFT(TH!N256,2)="15",LEFT(TH!O256,2)="15"),LEFT(TH!O256,3)&lt;&gt;"111",'152-CT'!$J$8=TH!F256),"x","")</f>
        <v/>
      </c>
      <c r="AC256" s="84" t="str">
        <f>IF(AND(OR(LEFT(TH!N256,2)="15",LEFT(TH!O256,2)="15"),TK!$E$7=TH!F256),"x","")</f>
        <v/>
      </c>
      <c r="AD256" s="84" t="str">
        <f>IF(AND(N256="1521",MONTH(C256)='BK-NL'!$M$11),"x","")</f>
        <v/>
      </c>
    </row>
    <row r="257" spans="1:32" s="1156" customFormat="1" ht="15.75" hidden="1" customHeight="1">
      <c r="A257" s="336" t="str">
        <f>IF(B257&lt;&gt;"",IF(AND(B257='IN-TC'!$S$4,OR(TH!N257="1111",TH!O257="1111")),TH!D257,""),"")</f>
        <v/>
      </c>
      <c r="B257" s="63">
        <f t="shared" si="41"/>
        <v>6</v>
      </c>
      <c r="C257" s="94">
        <v>42536</v>
      </c>
      <c r="D257" s="94" t="s">
        <v>1917</v>
      </c>
      <c r="E257" s="94">
        <f t="shared" si="42"/>
        <v>42536</v>
      </c>
      <c r="F257" s="95" t="s">
        <v>1692</v>
      </c>
      <c r="G257" s="95" t="s">
        <v>1694</v>
      </c>
      <c r="H257" s="988" t="s">
        <v>1695</v>
      </c>
      <c r="I257" s="445">
        <v>320</v>
      </c>
      <c r="J257" s="445">
        <v>589650</v>
      </c>
      <c r="K257" s="436"/>
      <c r="L257" s="445"/>
      <c r="M257" s="97">
        <f t="shared" si="43"/>
        <v>188688000</v>
      </c>
      <c r="N257" s="85" t="s">
        <v>294</v>
      </c>
      <c r="O257" s="85" t="s">
        <v>284</v>
      </c>
      <c r="P257" s="84" t="str">
        <f>IF(AND('331-CT'!$E$7=TH!H257,OR(N257="331",O257="331")),"x","")</f>
        <v/>
      </c>
      <c r="Q257" s="84" t="str">
        <f>IF(AND(B257='111'!$L$11,OR($N257=$Q$7,$O257=$Q$7)),"x","")</f>
        <v/>
      </c>
      <c r="R257" s="84" t="str">
        <f>IF(AND($N257=$Q$7,$B257&lt;'111'!$L$11),"x","")</f>
        <v/>
      </c>
      <c r="S257" s="84" t="str">
        <f>IF(AND($O257=$Q$7,$B257&lt;'111'!$L$11),"x","")</f>
        <v/>
      </c>
      <c r="T257" s="84" t="str">
        <f>IF(ISERROR(FIND('112'!$M$9,G257,1)),"",IF((AND(FIND('112'!$M$9,G257,1)&gt;=1,B257='112'!$K$9,OR($N257='112'!$I$6,$O257='112'!$I$6))),"x",""))</f>
        <v/>
      </c>
      <c r="U257" s="84" t="str">
        <f>IF(ISERROR(FIND('112'!$M$9,G257,1)),"",IF((AND(LEFT(G257,2)=LEFT('112'!$M$9,2),B257&lt;'112'!$K$9,$N257='112'!$I$6)),"x",""))</f>
        <v/>
      </c>
      <c r="V257" s="84" t="str">
        <f>IF(ISERROR(FIND('112'!$M$9,G257,1)),"",IF((AND(RIGHT(G257,2)=RIGHT('112'!$M$9,2),B257&lt;'112'!$K$9,$O257='112'!$I$6)),"x",""))</f>
        <v/>
      </c>
      <c r="W257" s="84" t="str">
        <f>IF(AND('341-CT'!$H$9=H257,OR(LEFT(N257,3)=$W$7,LEFT(O257,3)=$W$7)),"x","")</f>
        <v/>
      </c>
      <c r="X257" s="84" t="str">
        <f>IF(OR(TH!N257=TH!$X$7,O257=TH!$X$7),"x","")</f>
        <v/>
      </c>
      <c r="Y257" s="84" t="str">
        <f>IF(AND(OR(N257="131",O257="131"),H257='131-CT'!$H$9),"x","")</f>
        <v/>
      </c>
      <c r="Z257" s="84"/>
      <c r="AA257" s="84" t="str">
        <f>IF(AND(MONTH(E257)='IN-NX'!$J$5,'IN-NX'!$D$7=D257),"x","")</f>
        <v/>
      </c>
      <c r="AB257" s="84" t="str">
        <f>IF(AND(OR(LEFT(TH!N257,2)="15",LEFT(TH!O257,2)="15"),LEFT(TH!O257,3)&lt;&gt;"111",'152-CT'!$J$8=TH!F257),"x","")</f>
        <v/>
      </c>
      <c r="AC257" s="84" t="str">
        <f>IF(AND(OR(LEFT(TH!N257,2)="15",LEFT(TH!O257,2)="15"),TK!$E$7=TH!F257),"x","")</f>
        <v/>
      </c>
      <c r="AD257" s="84" t="str">
        <f>IF(AND(N257="1521",MONTH(C257)='BK-NL'!$M$11),"x","")</f>
        <v/>
      </c>
    </row>
    <row r="258" spans="1:32" s="1156" customFormat="1" ht="15.75" hidden="1" customHeight="1">
      <c r="A258" s="336" t="str">
        <f>IF(B258&lt;&gt;"",IF(AND(B258='IN-TC'!$S$4,OR(TH!N258="1111",TH!O258="1111")),TH!D258,""),"")</f>
        <v/>
      </c>
      <c r="B258" s="63">
        <f t="shared" si="41"/>
        <v>6</v>
      </c>
      <c r="C258" s="94">
        <v>42536</v>
      </c>
      <c r="D258" s="94" t="s">
        <v>1917</v>
      </c>
      <c r="E258" s="94">
        <f t="shared" si="42"/>
        <v>42536</v>
      </c>
      <c r="F258" s="95" t="s">
        <v>1693</v>
      </c>
      <c r="G258" s="95" t="s">
        <v>1694</v>
      </c>
      <c r="H258" s="988" t="s">
        <v>1695</v>
      </c>
      <c r="I258" s="445">
        <v>2000</v>
      </c>
      <c r="J258" s="445">
        <v>591726</v>
      </c>
      <c r="K258" s="436"/>
      <c r="L258" s="445"/>
      <c r="M258" s="97">
        <f t="shared" si="43"/>
        <v>1183452000</v>
      </c>
      <c r="N258" s="85" t="s">
        <v>294</v>
      </c>
      <c r="O258" s="85" t="s">
        <v>284</v>
      </c>
      <c r="P258" s="84" t="str">
        <f>IF(AND('331-CT'!$E$7=TH!H258,OR(N258="331",O258="331")),"x","")</f>
        <v/>
      </c>
      <c r="Q258" s="84" t="str">
        <f>IF(AND(B258='111'!$L$11,OR($N258=$Q$7,$O258=$Q$7)),"x","")</f>
        <v/>
      </c>
      <c r="R258" s="84" t="str">
        <f>IF(AND($N258=$Q$7,$B258&lt;'111'!$L$11),"x","")</f>
        <v/>
      </c>
      <c r="S258" s="84" t="str">
        <f>IF(AND($O258=$Q$7,$B258&lt;'111'!$L$11),"x","")</f>
        <v/>
      </c>
      <c r="T258" s="84" t="str">
        <f>IF(ISERROR(FIND('112'!$M$9,G258,1)),"",IF((AND(FIND('112'!$M$9,G258,1)&gt;=1,B258='112'!$K$9,OR($N258='112'!$I$6,$O258='112'!$I$6))),"x",""))</f>
        <v/>
      </c>
      <c r="U258" s="84" t="str">
        <f>IF(ISERROR(FIND('112'!$M$9,G258,1)),"",IF((AND(LEFT(G258,2)=LEFT('112'!$M$9,2),B258&lt;'112'!$K$9,$N258='112'!$I$6)),"x",""))</f>
        <v/>
      </c>
      <c r="V258" s="84" t="str">
        <f>IF(ISERROR(FIND('112'!$M$9,G258,1)),"",IF((AND(RIGHT(G258,2)=RIGHT('112'!$M$9,2),B258&lt;'112'!$K$9,$O258='112'!$I$6)),"x",""))</f>
        <v/>
      </c>
      <c r="W258" s="84" t="str">
        <f>IF(AND('341-CT'!$H$9=H258,OR(LEFT(N258,3)=$W$7,LEFT(O258,3)=$W$7)),"x","")</f>
        <v/>
      </c>
      <c r="X258" s="84" t="str">
        <f>IF(OR(TH!N258=TH!$X$7,O258=TH!$X$7),"x","")</f>
        <v/>
      </c>
      <c r="Y258" s="84" t="str">
        <f>IF(AND(OR(N258="131",O258="131"),H258='131-CT'!$H$9),"x","")</f>
        <v/>
      </c>
      <c r="Z258" s="84"/>
      <c r="AA258" s="84" t="str">
        <f>IF(AND(MONTH(E258)='IN-NX'!$J$5,'IN-NX'!$D$7=D258),"x","")</f>
        <v/>
      </c>
      <c r="AB258" s="84" t="str">
        <f>IF(AND(OR(LEFT(TH!N258,2)="15",LEFT(TH!O258,2)="15"),LEFT(TH!O258,3)&lt;&gt;"111",'152-CT'!$J$8=TH!F258),"x","")</f>
        <v/>
      </c>
      <c r="AC258" s="84" t="str">
        <f>IF(AND(OR(LEFT(TH!N258,2)="15",LEFT(TH!O258,2)="15"),TK!$E$7=TH!F258),"x","")</f>
        <v/>
      </c>
      <c r="AD258" s="84" t="str">
        <f>IF(AND(N258="1521",MONTH(C258)='BK-NL'!$M$11),"x","")</f>
        <v/>
      </c>
    </row>
    <row r="259" spans="1:32" ht="15.75" hidden="1" customHeight="1">
      <c r="A259" s="336" t="str">
        <f>IF(B259&lt;&gt;"",IF(AND(B259='IN-TC'!$S$4,OR(TH!N259="1111",TH!O259="1111")),TH!D259,""),"")</f>
        <v/>
      </c>
      <c r="B259" s="63">
        <f t="shared" si="41"/>
        <v>7</v>
      </c>
      <c r="C259" s="80">
        <v>42557</v>
      </c>
      <c r="D259" s="80" t="s">
        <v>699</v>
      </c>
      <c r="E259" s="80">
        <f t="shared" si="42"/>
        <v>42557</v>
      </c>
      <c r="F259" s="81" t="s">
        <v>453</v>
      </c>
      <c r="G259" s="81"/>
      <c r="H259" s="82" t="s">
        <v>697</v>
      </c>
      <c r="I259" s="437">
        <v>4800</v>
      </c>
      <c r="J259" s="437">
        <v>141497.31333333332</v>
      </c>
      <c r="K259" s="428"/>
      <c r="L259" s="437"/>
      <c r="M259" s="83">
        <v>678095015</v>
      </c>
      <c r="N259" s="88" t="s">
        <v>284</v>
      </c>
      <c r="O259" s="84" t="s">
        <v>282</v>
      </c>
      <c r="P259" s="84" t="str">
        <f>IF(AND('331-CT'!$E$7=TH!H259,OR(N259="331",O259="331")),"x","")</f>
        <v/>
      </c>
      <c r="Q259" s="84" t="str">
        <f>IF(AND(B259='111'!$L$11,OR($N259=$Q$7,$O259=$Q$7)),"x","")</f>
        <v/>
      </c>
      <c r="R259" s="84" t="str">
        <f>IF(AND($N259=$Q$7,$B259&lt;'111'!$L$11),"x","")</f>
        <v/>
      </c>
      <c r="S259" s="84" t="str">
        <f>IF(AND($O259=$Q$7,$B259&lt;'111'!$L$11),"x","")</f>
        <v/>
      </c>
      <c r="T259" s="84" t="str">
        <f>IF(ISERROR(FIND('112'!$M$9,G259,1)),"",IF((AND(FIND('112'!$M$9,G259,1)&gt;=1,B259='112'!$K$9,OR($N259='112'!$I$6,$O259='112'!$I$6))),"x",""))</f>
        <v/>
      </c>
      <c r="U259" s="84" t="str">
        <f>IF(ISERROR(FIND('112'!$M$9,G259,1)),"",IF((AND(LEFT(G259,2)=LEFT('112'!$M$9,2),B259&lt;'112'!$K$9,$N259='112'!$I$6)),"x",""))</f>
        <v/>
      </c>
      <c r="V259" s="84" t="str">
        <f>IF(ISERROR(FIND('112'!$M$9,G259,1)),"",IF((AND(RIGHT(G259,2)=RIGHT('112'!$M$9,2),B259&lt;'112'!$K$9,$O259='112'!$I$6)),"x",""))</f>
        <v/>
      </c>
      <c r="W259" s="84" t="str">
        <f>IF(AND('341-CT'!$H$9=H259,OR(LEFT(N259,3)=$W$7,LEFT(O259,3)=$W$7)),"x","")</f>
        <v/>
      </c>
      <c r="X259" s="84" t="str">
        <f>IF(OR(TH!N259=TH!$X$7,O259=TH!$X$7),"x","")</f>
        <v/>
      </c>
      <c r="Y259" s="84" t="str">
        <f>IF(AND(OR(N259="131",O259="131"),H259='131-CT'!$H$9),"x","")</f>
        <v/>
      </c>
      <c r="Z259" s="84"/>
      <c r="AA259" s="84" t="str">
        <f>IF(AND(MONTH(E259)='IN-NX'!$J$5,'IN-NX'!$D$7=D259),"x","")</f>
        <v/>
      </c>
      <c r="AB259" s="84" t="str">
        <f>IF(AND(OR(LEFT(TH!N259,2)="15",LEFT(TH!O259,2)="15"),LEFT(TH!O259,3)&lt;&gt;"111",'152-CT'!$J$8=TH!F259),"x","")</f>
        <v/>
      </c>
      <c r="AC259" s="84" t="str">
        <f>IF(AND(OR(LEFT(TH!N259,2)="15",LEFT(TH!O259,2)="15"),TK!$E$7=TH!F259),"x","")</f>
        <v/>
      </c>
      <c r="AD259" s="84" t="str">
        <f>IF(AND(N259="1521",MONTH(C259)='BK-NL'!$M$11),"x","")</f>
        <v/>
      </c>
      <c r="AE259" s="1167"/>
      <c r="AF259" s="1167"/>
    </row>
    <row r="260" spans="1:32" ht="15.75" hidden="1" customHeight="1">
      <c r="A260" s="336" t="str">
        <f>IF(B260&lt;&gt;"",IF(AND(B260='IN-TC'!$S$4,OR(TH!N260="1111",TH!O260="1111")),TH!D260,""),"")</f>
        <v/>
      </c>
      <c r="B260" s="63">
        <f t="shared" si="41"/>
        <v>7</v>
      </c>
      <c r="C260" s="80">
        <v>42563</v>
      </c>
      <c r="D260" s="80" t="s">
        <v>700</v>
      </c>
      <c r="E260" s="80">
        <f t="shared" si="42"/>
        <v>42563</v>
      </c>
      <c r="F260" s="81" t="s">
        <v>1795</v>
      </c>
      <c r="G260" s="81"/>
      <c r="H260" s="82" t="s">
        <v>697</v>
      </c>
      <c r="I260" s="437">
        <v>2270</v>
      </c>
      <c r="J260" s="437">
        <v>170192.13348017621</v>
      </c>
      <c r="K260" s="428"/>
      <c r="L260" s="437"/>
      <c r="M260" s="83">
        <v>385755118</v>
      </c>
      <c r="N260" s="88" t="s">
        <v>284</v>
      </c>
      <c r="O260" s="84" t="s">
        <v>282</v>
      </c>
      <c r="P260" s="84" t="str">
        <f>IF(AND('331-CT'!$E$7=TH!H260,OR(N260="331",O260="331")),"x","")</f>
        <v/>
      </c>
      <c r="Q260" s="84" t="str">
        <f>IF(AND(B260='111'!$L$11,OR($N260=$Q$7,$O260=$Q$7)),"x","")</f>
        <v/>
      </c>
      <c r="R260" s="84" t="str">
        <f>IF(AND($N260=$Q$7,$B260&lt;'111'!$L$11),"x","")</f>
        <v/>
      </c>
      <c r="S260" s="84" t="str">
        <f>IF(AND($O260=$Q$7,$B260&lt;'111'!$L$11),"x","")</f>
        <v/>
      </c>
      <c r="T260" s="84" t="str">
        <f>IF(ISERROR(FIND('112'!$M$9,G260,1)),"",IF((AND(FIND('112'!$M$9,G260,1)&gt;=1,B260='112'!$K$9,OR($N260='112'!$I$6,$O260='112'!$I$6))),"x",""))</f>
        <v/>
      </c>
      <c r="U260" s="84" t="str">
        <f>IF(ISERROR(FIND('112'!$M$9,G260,1)),"",IF((AND(LEFT(G260,2)=LEFT('112'!$M$9,2),B260&lt;'112'!$K$9,$N260='112'!$I$6)),"x",""))</f>
        <v/>
      </c>
      <c r="V260" s="84" t="str">
        <f>IF(ISERROR(FIND('112'!$M$9,G260,1)),"",IF((AND(RIGHT(G260,2)=RIGHT('112'!$M$9,2),B260&lt;'112'!$K$9,$O260='112'!$I$6)),"x",""))</f>
        <v/>
      </c>
      <c r="W260" s="84" t="str">
        <f>IF(AND('341-CT'!$H$9=H260,OR(LEFT(N260,3)=$W$7,LEFT(O260,3)=$W$7)),"x","")</f>
        <v/>
      </c>
      <c r="X260" s="84" t="str">
        <f>IF(OR(TH!N260=TH!$X$7,O260=TH!$X$7),"x","")</f>
        <v/>
      </c>
      <c r="Y260" s="84" t="str">
        <f>IF(AND(OR(N260="131",O260="131"),H260='131-CT'!$H$9),"x","")</f>
        <v/>
      </c>
      <c r="Z260" s="84"/>
      <c r="AA260" s="84" t="str">
        <f>IF(AND(MONTH(E260)='IN-NX'!$J$5,'IN-NX'!$D$7=D260),"x","")</f>
        <v/>
      </c>
      <c r="AB260" s="84" t="str">
        <f>IF(AND(OR(LEFT(TH!N260,2)="15",LEFT(TH!O260,2)="15"),LEFT(TH!O260,3)&lt;&gt;"111",'152-CT'!$J$8=TH!F260),"x","")</f>
        <v/>
      </c>
      <c r="AC260" s="84" t="str">
        <f>IF(AND(OR(LEFT(TH!N260,2)="15",LEFT(TH!O260,2)="15"),TK!$E$7=TH!F260),"x","")</f>
        <v/>
      </c>
      <c r="AD260" s="84" t="str">
        <f>IF(AND(N260="1521",MONTH(C260)='BK-NL'!$M$11),"x","")</f>
        <v/>
      </c>
      <c r="AE260" s="350"/>
      <c r="AF260" s="350"/>
    </row>
    <row r="261" spans="1:32" s="1166" customFormat="1" ht="15.75" hidden="1" customHeight="1">
      <c r="A261" s="336" t="str">
        <f>IF(B261&lt;&gt;"",IF(AND(B261='IN-TC'!$S$4,OR(TH!N261="1111",TH!O261="1111")),TH!D261,""),"")</f>
        <v/>
      </c>
      <c r="B261" s="63">
        <f t="shared" si="41"/>
        <v>7</v>
      </c>
      <c r="C261" s="80">
        <v>42577</v>
      </c>
      <c r="D261" s="80" t="s">
        <v>701</v>
      </c>
      <c r="E261" s="80">
        <f t="shared" si="42"/>
        <v>42577</v>
      </c>
      <c r="F261" s="81" t="s">
        <v>1681</v>
      </c>
      <c r="G261" s="81"/>
      <c r="H261" s="82" t="s">
        <v>697</v>
      </c>
      <c r="I261" s="437">
        <v>900</v>
      </c>
      <c r="J261" s="437">
        <v>14676.544444444444</v>
      </c>
      <c r="K261" s="428"/>
      <c r="L261" s="437"/>
      <c r="M261" s="83">
        <v>13179256</v>
      </c>
      <c r="N261" s="88" t="s">
        <v>284</v>
      </c>
      <c r="O261" s="84" t="s">
        <v>282</v>
      </c>
      <c r="P261" s="84" t="str">
        <f>IF(AND('331-CT'!$E$7=TH!H261,OR(N261="331",O261="331")),"x","")</f>
        <v/>
      </c>
      <c r="Q261" s="84" t="str">
        <f>IF(AND(B261='111'!$L$11,OR($N261=$Q$7,$O261=$Q$7)),"x","")</f>
        <v/>
      </c>
      <c r="R261" s="84" t="str">
        <f>IF(AND($N261=$Q$7,$B261&lt;'111'!$L$11),"x","")</f>
        <v/>
      </c>
      <c r="S261" s="84" t="str">
        <f>IF(AND($O261=$Q$7,$B261&lt;'111'!$L$11),"x","")</f>
        <v/>
      </c>
      <c r="T261" s="84" t="str">
        <f>IF(ISERROR(FIND('112'!$M$9,G261,1)),"",IF((AND(FIND('112'!$M$9,G261,1)&gt;=1,B261='112'!$K$9,OR($N261='112'!$I$6,$O261='112'!$I$6))),"x",""))</f>
        <v/>
      </c>
      <c r="U261" s="84" t="str">
        <f>IF(ISERROR(FIND('112'!$M$9,G261,1)),"",IF((AND(LEFT(G261,2)=LEFT('112'!$M$9,2),B261&lt;'112'!$K$9,$N261='112'!$I$6)),"x",""))</f>
        <v/>
      </c>
      <c r="V261" s="84" t="str">
        <f>IF(ISERROR(FIND('112'!$M$9,G261,1)),"",IF((AND(RIGHT(G261,2)=RIGHT('112'!$M$9,2),B261&lt;'112'!$K$9,$O261='112'!$I$6)),"x",""))</f>
        <v/>
      </c>
      <c r="W261" s="84" t="str">
        <f>IF(AND('341-CT'!$H$9=H261,OR(LEFT(N261,3)=$W$7,LEFT(O261,3)=$W$7)),"x","")</f>
        <v/>
      </c>
      <c r="X261" s="84" t="str">
        <f>IF(OR(TH!N261=TH!$X$7,O261=TH!$X$7),"x","")</f>
        <v/>
      </c>
      <c r="Y261" s="84" t="str">
        <f>IF(AND(OR(N261="131",O261="131"),H261='131-CT'!$H$9),"x","")</f>
        <v/>
      </c>
      <c r="Z261" s="84"/>
      <c r="AA261" s="84" t="str">
        <f>IF(AND(MONTH(E261)='IN-NX'!$J$5,'IN-NX'!$D$7=D261),"x","")</f>
        <v/>
      </c>
      <c r="AB261" s="84" t="str">
        <f>IF(AND(OR(LEFT(TH!N261,2)="15",LEFT(TH!O261,2)="15"),LEFT(TH!O261,3)&lt;&gt;"111",'152-CT'!$J$8=TH!F261),"x","")</f>
        <v/>
      </c>
      <c r="AC261" s="84" t="str">
        <f>IF(AND(OR(LEFT(TH!N261,2)="15",LEFT(TH!O261,2)="15"),TK!$E$7=TH!F261),"x","")</f>
        <v/>
      </c>
      <c r="AD261" s="84" t="str">
        <f>IF(AND(N261="1521",MONTH(C261)='BK-NL'!$M$11),"x","")</f>
        <v/>
      </c>
      <c r="AE261" s="350"/>
      <c r="AF261" s="350"/>
    </row>
    <row r="262" spans="1:32" s="347" customFormat="1" ht="15.75" hidden="1" customHeight="1">
      <c r="A262" s="336" t="str">
        <f>IF(B262&lt;&gt;"",IF(AND(B262='IN-TC'!$S$4,OR(TH!N262="1111",TH!O262="1111")),TH!D262,""),"")</f>
        <v/>
      </c>
      <c r="B262" s="63">
        <f t="shared" si="41"/>
        <v>7</v>
      </c>
      <c r="C262" s="80">
        <v>42582</v>
      </c>
      <c r="D262" s="80" t="s">
        <v>1953</v>
      </c>
      <c r="E262" s="80">
        <f t="shared" si="42"/>
        <v>42582</v>
      </c>
      <c r="F262" s="81" t="s">
        <v>1524</v>
      </c>
      <c r="G262" s="81"/>
      <c r="H262" s="82" t="s">
        <v>697</v>
      </c>
      <c r="I262" s="437">
        <v>1760</v>
      </c>
      <c r="J262" s="437">
        <v>144932.16647727272</v>
      </c>
      <c r="K262" s="428"/>
      <c r="L262" s="437"/>
      <c r="M262" s="83">
        <v>254655154</v>
      </c>
      <c r="N262" s="88" t="s">
        <v>284</v>
      </c>
      <c r="O262" s="84" t="s">
        <v>282</v>
      </c>
      <c r="P262" s="84" t="str">
        <f>IF(AND('331-CT'!$E$7=TH!H262,OR(N262="331",O262="331")),"x","")</f>
        <v/>
      </c>
      <c r="Q262" s="84" t="str">
        <f>IF(AND(B262='111'!$L$11,OR($N262=$Q$7,$O262=$Q$7)),"x","")</f>
        <v/>
      </c>
      <c r="R262" s="84" t="str">
        <f>IF(AND($N262=$Q$7,$B262&lt;'111'!$L$11),"x","")</f>
        <v/>
      </c>
      <c r="S262" s="84" t="str">
        <f>IF(AND($O262=$Q$7,$B262&lt;'111'!$L$11),"x","")</f>
        <v/>
      </c>
      <c r="T262" s="84" t="str">
        <f>IF(ISERROR(FIND('112'!$M$9,G262,1)),"",IF((AND(FIND('112'!$M$9,G262,1)&gt;=1,B262='112'!$K$9,OR($N262='112'!$I$6,$O262='112'!$I$6))),"x",""))</f>
        <v/>
      </c>
      <c r="U262" s="84" t="str">
        <f>IF(ISERROR(FIND('112'!$M$9,G262,1)),"",IF((AND(LEFT(G262,2)=LEFT('112'!$M$9,2),B262&lt;'112'!$K$9,$N262='112'!$I$6)),"x",""))</f>
        <v/>
      </c>
      <c r="V262" s="84" t="str">
        <f>IF(ISERROR(FIND('112'!$M$9,G262,1)),"",IF((AND(RIGHT(G262,2)=RIGHT('112'!$M$9,2),B262&lt;'112'!$K$9,$O262='112'!$I$6)),"x",""))</f>
        <v/>
      </c>
      <c r="W262" s="84" t="str">
        <f>IF(AND('341-CT'!$H$9=H262,OR(LEFT(N262,3)=$W$7,LEFT(O262,3)=$W$7)),"x","")</f>
        <v/>
      </c>
      <c r="X262" s="84" t="str">
        <f>IF(OR(TH!N262=TH!$X$7,O262=TH!$X$7),"x","")</f>
        <v/>
      </c>
      <c r="Y262" s="84" t="str">
        <f>IF(AND(OR(N262="131",O262="131"),H262='131-CT'!$H$9),"x","")</f>
        <v/>
      </c>
      <c r="Z262" s="84"/>
      <c r="AA262" s="84" t="str">
        <f>IF(AND(MONTH(E262)='IN-NX'!$J$5,'IN-NX'!$D$7=D262),"x","")</f>
        <v/>
      </c>
      <c r="AB262" s="84" t="str">
        <f>IF(AND(OR(LEFT(TH!N262,2)="15",LEFT(TH!O262,2)="15"),LEFT(TH!O262,3)&lt;&gt;"111",'152-CT'!$J$8=TH!F262),"x","")</f>
        <v/>
      </c>
      <c r="AC262" s="84" t="str">
        <f>IF(AND(OR(LEFT(TH!N262,2)="15",LEFT(TH!O262,2)="15"),TK!$E$7=TH!F262),"x","")</f>
        <v/>
      </c>
      <c r="AD262" s="84" t="str">
        <f>IF(AND(N262="1521",MONTH(C262)='BK-NL'!$M$11),"x","")</f>
        <v/>
      </c>
    </row>
    <row r="263" spans="1:32" s="347" customFormat="1" ht="15.75" hidden="1" customHeight="1">
      <c r="A263" s="336" t="str">
        <f>IF(B263&lt;&gt;"",IF(AND(B263='IN-TC'!$S$4,OR(TH!N263="1111",TH!O263="1111")),TH!D263,""),"")</f>
        <v/>
      </c>
      <c r="B263" s="63">
        <f t="shared" si="41"/>
        <v>7</v>
      </c>
      <c r="C263" s="80">
        <v>42582</v>
      </c>
      <c r="D263" s="80" t="s">
        <v>1953</v>
      </c>
      <c r="E263" s="80">
        <f t="shared" si="42"/>
        <v>42582</v>
      </c>
      <c r="F263" s="81" t="s">
        <v>451</v>
      </c>
      <c r="G263" s="81"/>
      <c r="H263" s="82" t="s">
        <v>697</v>
      </c>
      <c r="I263" s="437">
        <v>1700</v>
      </c>
      <c r="J263" s="437">
        <v>163483.98058823528</v>
      </c>
      <c r="K263" s="428"/>
      <c r="L263" s="437"/>
      <c r="M263" s="83">
        <v>277390942</v>
      </c>
      <c r="N263" s="88" t="s">
        <v>284</v>
      </c>
      <c r="O263" s="84" t="s">
        <v>282</v>
      </c>
      <c r="P263" s="84" t="str">
        <f>IF(AND('331-CT'!$E$7=TH!H263,OR(N263="331",O263="331")),"x","")</f>
        <v/>
      </c>
      <c r="Q263" s="84" t="str">
        <f>IF(AND(B263='111'!$L$11,OR($N263=$Q$7,$O263=$Q$7)),"x","")</f>
        <v/>
      </c>
      <c r="R263" s="84" t="str">
        <f>IF(AND($N263=$Q$7,$B263&lt;'111'!$L$11),"x","")</f>
        <v/>
      </c>
      <c r="S263" s="84" t="str">
        <f>IF(AND($O263=$Q$7,$B263&lt;'111'!$L$11),"x","")</f>
        <v/>
      </c>
      <c r="T263" s="84" t="str">
        <f>IF(ISERROR(FIND('112'!$M$9,G263,1)),"",IF((AND(FIND('112'!$M$9,G263,1)&gt;=1,B263='112'!$K$9,OR($N263='112'!$I$6,$O263='112'!$I$6))),"x",""))</f>
        <v/>
      </c>
      <c r="U263" s="84" t="str">
        <f>IF(ISERROR(FIND('112'!$M$9,G263,1)),"",IF((AND(LEFT(G263,2)=LEFT('112'!$M$9,2),B263&lt;'112'!$K$9,$N263='112'!$I$6)),"x",""))</f>
        <v/>
      </c>
      <c r="V263" s="84" t="str">
        <f>IF(ISERROR(FIND('112'!$M$9,G263,1)),"",IF((AND(RIGHT(G263,2)=RIGHT('112'!$M$9,2),B263&lt;'112'!$K$9,$O263='112'!$I$6)),"x",""))</f>
        <v/>
      </c>
      <c r="W263" s="84" t="str">
        <f>IF(AND('341-CT'!$H$9=H263,OR(LEFT(N263,3)=$W$7,LEFT(O263,3)=$W$7)),"x","")</f>
        <v/>
      </c>
      <c r="X263" s="84" t="str">
        <f>IF(OR(TH!N263=TH!$X$7,O263=TH!$X$7),"x","")</f>
        <v/>
      </c>
      <c r="Y263" s="84" t="str">
        <f>IF(AND(OR(N263="131",O263="131"),H263='131-CT'!$H$9),"x","")</f>
        <v/>
      </c>
      <c r="Z263" s="84"/>
      <c r="AA263" s="84" t="str">
        <f>IF(AND(MONTH(E263)='IN-NX'!$J$5,'IN-NX'!$D$7=D263),"x","")</f>
        <v/>
      </c>
      <c r="AB263" s="84" t="str">
        <f>IF(AND(OR(LEFT(TH!N263,2)="15",LEFT(TH!O263,2)="15"),LEFT(TH!O263,3)&lt;&gt;"111",'152-CT'!$J$8=TH!F263),"x","")</f>
        <v/>
      </c>
      <c r="AC263" s="84" t="str">
        <f>IF(AND(OR(LEFT(TH!N263,2)="15",LEFT(TH!O263,2)="15"),TK!$E$7=TH!F263),"x","")</f>
        <v/>
      </c>
      <c r="AD263" s="84" t="str">
        <f>IF(AND(N263="1521",MONTH(C263)='BK-NL'!$M$11),"x","")</f>
        <v/>
      </c>
    </row>
    <row r="264" spans="1:32" s="347" customFormat="1" ht="15.75" hidden="1" customHeight="1">
      <c r="A264" s="336" t="str">
        <f>IF(B264&lt;&gt;"",IF(AND(B264='IN-TC'!$S$4,OR(TH!N264="1111",TH!O264="1111")),TH!D264,""),"")</f>
        <v/>
      </c>
      <c r="B264" s="63">
        <f t="shared" si="41"/>
        <v>7</v>
      </c>
      <c r="C264" s="80">
        <v>42582</v>
      </c>
      <c r="D264" s="80" t="s">
        <v>1953</v>
      </c>
      <c r="E264" s="80">
        <f t="shared" si="42"/>
        <v>42582</v>
      </c>
      <c r="F264" s="81" t="s">
        <v>1522</v>
      </c>
      <c r="G264" s="81"/>
      <c r="H264" s="82" t="s">
        <v>697</v>
      </c>
      <c r="I264" s="437">
        <v>1090</v>
      </c>
      <c r="J264" s="437">
        <v>83896.751376146785</v>
      </c>
      <c r="K264" s="428"/>
      <c r="L264" s="437"/>
      <c r="M264" s="83">
        <v>91292462</v>
      </c>
      <c r="N264" s="88" t="s">
        <v>284</v>
      </c>
      <c r="O264" s="84" t="s">
        <v>282</v>
      </c>
      <c r="P264" s="84" t="str">
        <f>IF(AND('331-CT'!$E$7=TH!H264,OR(N264="331",O264="331")),"x","")</f>
        <v/>
      </c>
      <c r="Q264" s="84" t="str">
        <f>IF(AND(B264='111'!$L$11,OR($N264=$Q$7,$O264=$Q$7)),"x","")</f>
        <v/>
      </c>
      <c r="R264" s="84" t="str">
        <f>IF(AND($N264=$Q$7,$B264&lt;'111'!$L$11),"x","")</f>
        <v/>
      </c>
      <c r="S264" s="84" t="str">
        <f>IF(AND($O264=$Q$7,$B264&lt;'111'!$L$11),"x","")</f>
        <v/>
      </c>
      <c r="T264" s="84" t="str">
        <f>IF(ISERROR(FIND('112'!$M$9,G264,1)),"",IF((AND(FIND('112'!$M$9,G264,1)&gt;=1,B264='112'!$K$9,OR($N264='112'!$I$6,$O264='112'!$I$6))),"x",""))</f>
        <v/>
      </c>
      <c r="U264" s="84" t="str">
        <f>IF(ISERROR(FIND('112'!$M$9,G264,1)),"",IF((AND(LEFT(G264,2)=LEFT('112'!$M$9,2),B264&lt;'112'!$K$9,$N264='112'!$I$6)),"x",""))</f>
        <v/>
      </c>
      <c r="V264" s="84" t="str">
        <f>IF(ISERROR(FIND('112'!$M$9,G264,1)),"",IF((AND(RIGHT(G264,2)=RIGHT('112'!$M$9,2),B264&lt;'112'!$K$9,$O264='112'!$I$6)),"x",""))</f>
        <v/>
      </c>
      <c r="W264" s="84" t="str">
        <f>IF(AND('341-CT'!$H$9=H264,OR(LEFT(N264,3)=$W$7,LEFT(O264,3)=$W$7)),"x","")</f>
        <v/>
      </c>
      <c r="X264" s="84" t="str">
        <f>IF(OR(TH!N264=TH!$X$7,O264=TH!$X$7),"x","")</f>
        <v/>
      </c>
      <c r="Y264" s="84" t="str">
        <f>IF(AND(OR(N264="131",O264="131"),H264='131-CT'!$H$9),"x","")</f>
        <v/>
      </c>
      <c r="Z264" s="84"/>
      <c r="AA264" s="84" t="str">
        <f>IF(AND(MONTH(E264)='IN-NX'!$J$5,'IN-NX'!$D$7=D264),"x","")</f>
        <v/>
      </c>
      <c r="AB264" s="84" t="str">
        <f>IF(AND(OR(LEFT(TH!N264,2)="15",LEFT(TH!O264,2)="15"),LEFT(TH!O264,3)&lt;&gt;"111",'152-CT'!$J$8=TH!F264),"x","")</f>
        <v/>
      </c>
      <c r="AC264" s="84" t="str">
        <f>IF(AND(OR(LEFT(TH!N264,2)="15",LEFT(TH!O264,2)="15"),TK!$E$7=TH!F264),"x","")</f>
        <v/>
      </c>
      <c r="AD264" s="84" t="str">
        <f>IF(AND(N264="1521",MONTH(C264)='BK-NL'!$M$11),"x","")</f>
        <v/>
      </c>
    </row>
    <row r="265" spans="1:32" s="347" customFormat="1" ht="15.75" hidden="1" customHeight="1">
      <c r="A265" s="336" t="str">
        <f>IF(B265&lt;&gt;"",IF(AND(B265='IN-TC'!$S$4,OR(TH!N265="1111",TH!O265="1111")),TH!D265,""),"")</f>
        <v/>
      </c>
      <c r="B265" s="63">
        <f t="shared" si="41"/>
        <v>7</v>
      </c>
      <c r="C265" s="80">
        <v>42582</v>
      </c>
      <c r="D265" s="80" t="s">
        <v>1953</v>
      </c>
      <c r="E265" s="80">
        <f t="shared" si="42"/>
        <v>42582</v>
      </c>
      <c r="F265" s="81" t="s">
        <v>1957</v>
      </c>
      <c r="G265" s="81"/>
      <c r="H265" s="82" t="s">
        <v>697</v>
      </c>
      <c r="I265" s="437">
        <v>390</v>
      </c>
      <c r="J265" s="437">
        <v>102784.51794871796</v>
      </c>
      <c r="K265" s="428"/>
      <c r="L265" s="437"/>
      <c r="M265" s="83">
        <v>40030505</v>
      </c>
      <c r="N265" s="88" t="s">
        <v>284</v>
      </c>
      <c r="O265" s="84" t="s">
        <v>282</v>
      </c>
      <c r="P265" s="84" t="str">
        <f>IF(AND('331-CT'!$E$7=TH!H265,OR(N265="331",O265="331")),"x","")</f>
        <v/>
      </c>
      <c r="Q265" s="84" t="str">
        <f>IF(AND(B265='111'!$L$11,OR($N265=$Q$7,$O265=$Q$7)),"x","")</f>
        <v/>
      </c>
      <c r="R265" s="84" t="str">
        <f>IF(AND($N265=$Q$7,$B265&lt;'111'!$L$11),"x","")</f>
        <v/>
      </c>
      <c r="S265" s="84" t="str">
        <f>IF(AND($O265=$Q$7,$B265&lt;'111'!$L$11),"x","")</f>
        <v/>
      </c>
      <c r="T265" s="84" t="str">
        <f>IF(ISERROR(FIND('112'!$M$9,G265,1)),"",IF((AND(FIND('112'!$M$9,G265,1)&gt;=1,B265='112'!$K$9,OR($N265='112'!$I$6,$O265='112'!$I$6))),"x",""))</f>
        <v/>
      </c>
      <c r="U265" s="84" t="str">
        <f>IF(ISERROR(FIND('112'!$M$9,G265,1)),"",IF((AND(LEFT(G265,2)=LEFT('112'!$M$9,2),B265&lt;'112'!$K$9,$N265='112'!$I$6)),"x",""))</f>
        <v/>
      </c>
      <c r="V265" s="84" t="str">
        <f>IF(ISERROR(FIND('112'!$M$9,G265,1)),"",IF((AND(RIGHT(G265,2)=RIGHT('112'!$M$9,2),B265&lt;'112'!$K$9,$O265='112'!$I$6)),"x",""))</f>
        <v/>
      </c>
      <c r="W265" s="84" t="str">
        <f>IF(AND('341-CT'!$H$9=H265,OR(LEFT(N265,3)=$W$7,LEFT(O265,3)=$W$7)),"x","")</f>
        <v/>
      </c>
      <c r="X265" s="84" t="str">
        <f>IF(OR(TH!N265=TH!$X$7,O265=TH!$X$7),"x","")</f>
        <v/>
      </c>
      <c r="Y265" s="84" t="str">
        <f>IF(AND(OR(N265="131",O265="131"),H265='131-CT'!$H$9),"x","")</f>
        <v/>
      </c>
      <c r="Z265" s="84"/>
      <c r="AA265" s="84" t="str">
        <f>IF(AND(MONTH(E265)='IN-NX'!$J$5,'IN-NX'!$D$7=D265),"x","")</f>
        <v/>
      </c>
      <c r="AB265" s="84" t="str">
        <f>IF(AND(OR(LEFT(TH!N265,2)="15",LEFT(TH!O265,2)="15"),LEFT(TH!O265,3)&lt;&gt;"111",'152-CT'!$J$8=TH!F265),"x","")</f>
        <v/>
      </c>
      <c r="AC265" s="84" t="str">
        <f>IF(AND(OR(LEFT(TH!N265,2)="15",LEFT(TH!O265,2)="15"),TK!$E$7=TH!F265),"x","")</f>
        <v/>
      </c>
      <c r="AD265" s="84" t="str">
        <f>IF(AND(N265="1521",MONTH(C265)='BK-NL'!$M$11),"x","")</f>
        <v/>
      </c>
    </row>
    <row r="266" spans="1:32" s="347" customFormat="1" ht="15.75" hidden="1" customHeight="1">
      <c r="A266" s="336" t="str">
        <f>IF(B266&lt;&gt;"",IF(AND(B266='IN-TC'!$S$4,OR(TH!N266="1111",TH!O266="1111")),TH!D266,""),"")</f>
        <v/>
      </c>
      <c r="B266" s="63">
        <f t="shared" si="41"/>
        <v>7</v>
      </c>
      <c r="C266" s="80">
        <v>42582</v>
      </c>
      <c r="D266" s="80" t="s">
        <v>1954</v>
      </c>
      <c r="E266" s="80">
        <f t="shared" si="42"/>
        <v>42582</v>
      </c>
      <c r="F266" s="81" t="s">
        <v>441</v>
      </c>
      <c r="G266" s="81"/>
      <c r="H266" s="82" t="s">
        <v>697</v>
      </c>
      <c r="I266" s="437">
        <v>52000</v>
      </c>
      <c r="J266" s="437">
        <v>54262.700346153848</v>
      </c>
      <c r="K266" s="428"/>
      <c r="L266" s="437"/>
      <c r="M266" s="83">
        <v>2817963244</v>
      </c>
      <c r="N266" s="88" t="s">
        <v>284</v>
      </c>
      <c r="O266" s="84" t="s">
        <v>282</v>
      </c>
      <c r="P266" s="84" t="str">
        <f>IF(AND('331-CT'!$E$7=TH!H266,OR(N266="331",O266="331")),"x","")</f>
        <v/>
      </c>
      <c r="Q266" s="84" t="str">
        <f>IF(AND(B266='111'!$L$11,OR($N266=$Q$7,$O266=$Q$7)),"x","")</f>
        <v/>
      </c>
      <c r="R266" s="84" t="str">
        <f>IF(AND($N266=$Q$7,$B266&lt;'111'!$L$11),"x","")</f>
        <v/>
      </c>
      <c r="S266" s="84" t="str">
        <f>IF(AND($O266=$Q$7,$B266&lt;'111'!$L$11),"x","")</f>
        <v/>
      </c>
      <c r="T266" s="84" t="str">
        <f>IF(ISERROR(FIND('112'!$M$9,G266,1)),"",IF((AND(FIND('112'!$M$9,G266,1)&gt;=1,B266='112'!$K$9,OR($N266='112'!$I$6,$O266='112'!$I$6))),"x",""))</f>
        <v/>
      </c>
      <c r="U266" s="84" t="str">
        <f>IF(ISERROR(FIND('112'!$M$9,G266,1)),"",IF((AND(LEFT(G266,2)=LEFT('112'!$M$9,2),B266&lt;'112'!$K$9,$N266='112'!$I$6)),"x",""))</f>
        <v/>
      </c>
      <c r="V266" s="84" t="str">
        <f>IF(ISERROR(FIND('112'!$M$9,G266,1)),"",IF((AND(RIGHT(G266,2)=RIGHT('112'!$M$9,2),B266&lt;'112'!$K$9,$O266='112'!$I$6)),"x",""))</f>
        <v/>
      </c>
      <c r="W266" s="84" t="str">
        <f>IF(AND('341-CT'!$H$9=H266,OR(LEFT(N266,3)=$W$7,LEFT(O266,3)=$W$7)),"x","")</f>
        <v/>
      </c>
      <c r="X266" s="84" t="str">
        <f>IF(OR(TH!N266=TH!$X$7,O266=TH!$X$7),"x","")</f>
        <v/>
      </c>
      <c r="Y266" s="84" t="str">
        <f>IF(AND(OR(N266="131",O266="131"),H266='131-CT'!$H$9),"x","")</f>
        <v/>
      </c>
      <c r="Z266" s="84"/>
      <c r="AA266" s="84" t="str">
        <f>IF(AND(MONTH(E266)='IN-NX'!$J$5,'IN-NX'!$D$7=D266),"x","")</f>
        <v/>
      </c>
      <c r="AB266" s="84" t="str">
        <f>IF(AND(OR(LEFT(TH!N266,2)="15",LEFT(TH!O266,2)="15"),LEFT(TH!O266,3)&lt;&gt;"111",'152-CT'!$J$8=TH!F266),"x","")</f>
        <v/>
      </c>
      <c r="AC266" s="84" t="str">
        <f>IF(AND(OR(LEFT(TH!N266,2)="15",LEFT(TH!O266,2)="15"),TK!$E$7=TH!F266),"x","")</f>
        <v/>
      </c>
      <c r="AD266" s="84" t="str">
        <f>IF(AND(N266="1521",MONTH(C266)='BK-NL'!$M$11),"x","")</f>
        <v/>
      </c>
    </row>
    <row r="267" spans="1:32" ht="15.75" hidden="1" customHeight="1">
      <c r="A267" s="336" t="str">
        <f>IF(B267&lt;&gt;"",IF(AND(B267='IN-TC'!$S$4,OR(TH!N267="1111",TH!O267="1111")),TH!D267,""),"")</f>
        <v/>
      </c>
      <c r="B267" s="63">
        <f t="shared" si="41"/>
        <v>7</v>
      </c>
      <c r="C267" s="94">
        <v>42557</v>
      </c>
      <c r="D267" s="94" t="s">
        <v>596</v>
      </c>
      <c r="E267" s="94">
        <f>C267</f>
        <v>42557</v>
      </c>
      <c r="F267" s="95" t="s">
        <v>453</v>
      </c>
      <c r="G267" s="95" t="s">
        <v>1796</v>
      </c>
      <c r="H267" s="988" t="s">
        <v>598</v>
      </c>
      <c r="I267" s="445">
        <v>4800</v>
      </c>
      <c r="J267" s="445">
        <v>141270</v>
      </c>
      <c r="K267" s="436"/>
      <c r="L267" s="445"/>
      <c r="M267" s="97">
        <f t="shared" si="43"/>
        <v>678096000</v>
      </c>
      <c r="N267" s="85" t="s">
        <v>294</v>
      </c>
      <c r="O267" s="85" t="s">
        <v>284</v>
      </c>
      <c r="P267" s="84" t="str">
        <f>IF(AND('331-CT'!$E$7=TH!H267,OR(N267="331",O267="331")),"x","")</f>
        <v/>
      </c>
      <c r="Q267" s="84" t="str">
        <f>IF(AND(B267='111'!$L$11,OR($N267=$Q$7,$O267=$Q$7)),"x","")</f>
        <v/>
      </c>
      <c r="R267" s="84" t="str">
        <f>IF(AND($N267=$Q$7,$B267&lt;'111'!$L$11),"x","")</f>
        <v/>
      </c>
      <c r="S267" s="84" t="str">
        <f>IF(AND($O267=$Q$7,$B267&lt;'111'!$L$11),"x","")</f>
        <v/>
      </c>
      <c r="T267" s="84" t="str">
        <f>IF(ISERROR(FIND('112'!$M$9,G267,1)),"",IF((AND(FIND('112'!$M$9,G267,1)&gt;=1,B267='112'!$K$9,OR($N267='112'!$I$6,$O267='112'!$I$6))),"x",""))</f>
        <v/>
      </c>
      <c r="U267" s="84" t="str">
        <f>IF(ISERROR(FIND('112'!$M$9,G267,1)),"",IF((AND(LEFT(G267,2)=LEFT('112'!$M$9,2),B267&lt;'112'!$K$9,$N267='112'!$I$6)),"x",""))</f>
        <v/>
      </c>
      <c r="V267" s="84" t="str">
        <f>IF(ISERROR(FIND('112'!$M$9,G267,1)),"",IF((AND(RIGHT(G267,2)=RIGHT('112'!$M$9,2),B267&lt;'112'!$K$9,$O267='112'!$I$6)),"x",""))</f>
        <v/>
      </c>
      <c r="W267" s="84" t="str">
        <f>IF(AND('341-CT'!$H$9=H267,OR(LEFT(N267,3)=$W$7,LEFT(O267,3)=$W$7)),"x","")</f>
        <v/>
      </c>
      <c r="X267" s="84" t="str">
        <f>IF(OR(TH!N267=TH!$X$7,O267=TH!$X$7),"x","")</f>
        <v/>
      </c>
      <c r="Y267" s="84" t="str">
        <f>IF(AND(OR(N267="131",O267="131"),H267='131-CT'!$H$9),"x","")</f>
        <v/>
      </c>
      <c r="Z267" s="84"/>
      <c r="AA267" s="84" t="str">
        <f>IF(AND(MONTH(E267)='IN-NX'!$J$5,'IN-NX'!$D$7=D267),"x","")</f>
        <v/>
      </c>
      <c r="AB267" s="84" t="str">
        <f>IF(AND(OR(LEFT(TH!N267,2)="15",LEFT(TH!O267,2)="15"),LEFT(TH!O267,3)&lt;&gt;"111",'152-CT'!$J$8=TH!F267),"x","")</f>
        <v/>
      </c>
      <c r="AC267" s="84" t="str">
        <f>IF(AND(OR(LEFT(TH!N267,2)="15",LEFT(TH!O267,2)="15"),TK!$E$7=TH!F267),"x","")</f>
        <v/>
      </c>
      <c r="AD267" s="84" t="str">
        <f>IF(AND(N267="1521",MONTH(C267)='BK-NL'!$M$11),"x","")</f>
        <v/>
      </c>
      <c r="AE267" s="1167"/>
      <c r="AF267" s="1167"/>
    </row>
    <row r="268" spans="1:32" ht="15.75" hidden="1" customHeight="1">
      <c r="A268" s="336" t="str">
        <f>IF(B268&lt;&gt;"",IF(AND(B268='IN-TC'!$S$4,OR(TH!N268="1111",TH!O268="1111")),TH!D268,""),"")</f>
        <v/>
      </c>
      <c r="B268" s="63">
        <f t="shared" si="41"/>
        <v>7</v>
      </c>
      <c r="C268" s="94">
        <v>42563</v>
      </c>
      <c r="D268" s="94" t="s">
        <v>597</v>
      </c>
      <c r="E268" s="94">
        <f>C268</f>
        <v>42563</v>
      </c>
      <c r="F268" s="95" t="s">
        <v>1795</v>
      </c>
      <c r="G268" s="95" t="s">
        <v>1797</v>
      </c>
      <c r="H268" s="988" t="s">
        <v>1775</v>
      </c>
      <c r="I268" s="445">
        <v>2270</v>
      </c>
      <c r="J268" s="445">
        <v>169936</v>
      </c>
      <c r="K268" s="436"/>
      <c r="L268" s="445"/>
      <c r="M268" s="97">
        <f t="shared" si="43"/>
        <v>385754720</v>
      </c>
      <c r="N268" s="85" t="s">
        <v>294</v>
      </c>
      <c r="O268" s="85" t="s">
        <v>284</v>
      </c>
      <c r="P268" s="84" t="str">
        <f>IF(AND('331-CT'!$E$7=TH!H268,OR(N268="331",O268="331")),"x","")</f>
        <v/>
      </c>
      <c r="Q268" s="84" t="str">
        <f>IF(AND(B268='111'!$L$11,OR($N268=$Q$7,$O268=$Q$7)),"x","")</f>
        <v/>
      </c>
      <c r="R268" s="84" t="str">
        <f>IF(AND($N268=$Q$7,$B268&lt;'111'!$L$11),"x","")</f>
        <v/>
      </c>
      <c r="S268" s="84" t="str">
        <f>IF(AND($O268=$Q$7,$B268&lt;'111'!$L$11),"x","")</f>
        <v/>
      </c>
      <c r="T268" s="84" t="str">
        <f>IF(ISERROR(FIND('112'!$M$9,G268,1)),"",IF((AND(FIND('112'!$M$9,G268,1)&gt;=1,B268='112'!$K$9,OR($N268='112'!$I$6,$O268='112'!$I$6))),"x",""))</f>
        <v/>
      </c>
      <c r="U268" s="84" t="str">
        <f>IF(ISERROR(FIND('112'!$M$9,G268,1)),"",IF((AND(LEFT(G268,2)=LEFT('112'!$M$9,2),B268&lt;'112'!$K$9,$N268='112'!$I$6)),"x",""))</f>
        <v/>
      </c>
      <c r="V268" s="84" t="str">
        <f>IF(ISERROR(FIND('112'!$M$9,G268,1)),"",IF((AND(RIGHT(G268,2)=RIGHT('112'!$M$9,2),B268&lt;'112'!$K$9,$O268='112'!$I$6)),"x",""))</f>
        <v/>
      </c>
      <c r="W268" s="84" t="str">
        <f>IF(AND('341-CT'!$H$9=H268,OR(LEFT(N268,3)=$W$7,LEFT(O268,3)=$W$7)),"x","")</f>
        <v/>
      </c>
      <c r="X268" s="84" t="str">
        <f>IF(OR(TH!N268=TH!$X$7,O268=TH!$X$7),"x","")</f>
        <v/>
      </c>
      <c r="Y268" s="84" t="str">
        <f>IF(AND(OR(N268="131",O268="131"),H268='131-CT'!$H$9),"x","")</f>
        <v/>
      </c>
      <c r="Z268" s="84"/>
      <c r="AA268" s="84" t="str">
        <f>IF(AND(MONTH(E268)='IN-NX'!$J$5,'IN-NX'!$D$7=D268),"x","")</f>
        <v/>
      </c>
      <c r="AB268" s="84" t="str">
        <f>IF(AND(OR(LEFT(TH!N268,2)="15",LEFT(TH!O268,2)="15"),LEFT(TH!O268,3)&lt;&gt;"111",'152-CT'!$J$8=TH!F268),"x","")</f>
        <v/>
      </c>
      <c r="AC268" s="84" t="str">
        <f>IF(AND(OR(LEFT(TH!N268,2)="15",LEFT(TH!O268,2)="15"),TK!$E$7=TH!F268),"x","")</f>
        <v/>
      </c>
      <c r="AD268" s="84" t="str">
        <f>IF(AND(N268="1521",MONTH(C268)='BK-NL'!$M$11),"x","")</f>
        <v/>
      </c>
      <c r="AE268" s="350"/>
      <c r="AF268" s="350"/>
    </row>
    <row r="269" spans="1:32" s="1166" customFormat="1" ht="15.75" hidden="1" customHeight="1">
      <c r="A269" s="336" t="str">
        <f>IF(B269&lt;&gt;"",IF(AND(B269='IN-TC'!$S$4,OR(TH!N269="1111",TH!O269="1111")),TH!D269,""),"")</f>
        <v/>
      </c>
      <c r="B269" s="63">
        <f t="shared" si="41"/>
        <v>7</v>
      </c>
      <c r="C269" s="94">
        <v>42577</v>
      </c>
      <c r="D269" s="94" t="s">
        <v>1679</v>
      </c>
      <c r="E269" s="94">
        <f>C269</f>
        <v>42577</v>
      </c>
      <c r="F269" s="95" t="s">
        <v>1681</v>
      </c>
      <c r="G269" s="95" t="s">
        <v>1798</v>
      </c>
      <c r="H269" s="988" t="s">
        <v>1546</v>
      </c>
      <c r="I269" s="445">
        <v>900</v>
      </c>
      <c r="J269" s="445">
        <v>14644</v>
      </c>
      <c r="K269" s="436"/>
      <c r="L269" s="445"/>
      <c r="M269" s="97">
        <f t="shared" si="43"/>
        <v>13179600</v>
      </c>
      <c r="N269" s="85" t="s">
        <v>294</v>
      </c>
      <c r="O269" s="85" t="s">
        <v>284</v>
      </c>
      <c r="P269" s="84" t="str">
        <f>IF(AND('331-CT'!$E$7=TH!H269,OR(N269="331",O269="331")),"x","")</f>
        <v/>
      </c>
      <c r="Q269" s="84" t="str">
        <f>IF(AND(B269='111'!$L$11,OR($N269=$Q$7,$O269=$Q$7)),"x","")</f>
        <v/>
      </c>
      <c r="R269" s="84" t="str">
        <f>IF(AND($N269=$Q$7,$B269&lt;'111'!$L$11),"x","")</f>
        <v/>
      </c>
      <c r="S269" s="84" t="str">
        <f>IF(AND($O269=$Q$7,$B269&lt;'111'!$L$11),"x","")</f>
        <v/>
      </c>
      <c r="T269" s="84" t="str">
        <f>IF(ISERROR(FIND('112'!$M$9,G269,1)),"",IF((AND(FIND('112'!$M$9,G269,1)&gt;=1,B269='112'!$K$9,OR($N269='112'!$I$6,$O269='112'!$I$6))),"x",""))</f>
        <v/>
      </c>
      <c r="U269" s="84" t="str">
        <f>IF(ISERROR(FIND('112'!$M$9,G269,1)),"",IF((AND(LEFT(G269,2)=LEFT('112'!$M$9,2),B269&lt;'112'!$K$9,$N269='112'!$I$6)),"x",""))</f>
        <v/>
      </c>
      <c r="V269" s="84" t="str">
        <f>IF(ISERROR(FIND('112'!$M$9,G269,1)),"",IF((AND(RIGHT(G269,2)=RIGHT('112'!$M$9,2),B269&lt;'112'!$K$9,$O269='112'!$I$6)),"x",""))</f>
        <v/>
      </c>
      <c r="W269" s="84" t="str">
        <f>IF(AND('341-CT'!$H$9=H269,OR(LEFT(N269,3)=$W$7,LEFT(O269,3)=$W$7)),"x","")</f>
        <v/>
      </c>
      <c r="X269" s="84" t="str">
        <f>IF(OR(TH!N269=TH!$X$7,O269=TH!$X$7),"x","")</f>
        <v/>
      </c>
      <c r="Y269" s="84" t="str">
        <f>IF(AND(OR(N269="131",O269="131"),H269='131-CT'!$H$9),"x","")</f>
        <v/>
      </c>
      <c r="Z269" s="84"/>
      <c r="AA269" s="84" t="str">
        <f>IF(AND(MONTH(E269)='IN-NX'!$J$5,'IN-NX'!$D$7=D269),"x","")</f>
        <v/>
      </c>
      <c r="AB269" s="84" t="str">
        <f>IF(AND(OR(LEFT(TH!N269,2)="15",LEFT(TH!O269,2)="15"),LEFT(TH!O269,3)&lt;&gt;"111",'152-CT'!$J$8=TH!F269),"x","")</f>
        <v/>
      </c>
      <c r="AC269" s="84" t="str">
        <f>IF(AND(OR(LEFT(TH!N269,2)="15",LEFT(TH!O269,2)="15"),TK!$E$7=TH!F269),"x","")</f>
        <v/>
      </c>
      <c r="AD269" s="84" t="str">
        <f>IF(AND(N269="1521",MONTH(C269)='BK-NL'!$M$11),"x","")</f>
        <v/>
      </c>
      <c r="AE269" s="350"/>
      <c r="AF269" s="350"/>
    </row>
    <row r="270" spans="1:32" s="347" customFormat="1" ht="15.75" hidden="1" customHeight="1">
      <c r="A270" s="336" t="str">
        <f>IF(B270&lt;&gt;"",IF(AND(B270='IN-TC'!$S$4,OR(TH!N270="1111",TH!O270="1111")),TH!D270,""),"")</f>
        <v/>
      </c>
      <c r="B270" s="63">
        <f t="shared" si="41"/>
        <v>8</v>
      </c>
      <c r="C270" s="80">
        <v>42594</v>
      </c>
      <c r="D270" s="80" t="s">
        <v>699</v>
      </c>
      <c r="E270" s="80">
        <f t="shared" ref="E270:E276" si="44">C270</f>
        <v>42594</v>
      </c>
      <c r="F270" s="81" t="s">
        <v>441</v>
      </c>
      <c r="G270" s="81"/>
      <c r="H270" s="82" t="s">
        <v>697</v>
      </c>
      <c r="I270" s="437">
        <v>52000</v>
      </c>
      <c r="J270" s="437">
        <v>54449.068749999999</v>
      </c>
      <c r="K270" s="428"/>
      <c r="L270" s="437"/>
      <c r="M270" s="83">
        <v>2828252846</v>
      </c>
      <c r="N270" s="88" t="s">
        <v>284</v>
      </c>
      <c r="O270" s="84" t="s">
        <v>282</v>
      </c>
      <c r="P270" s="84" t="str">
        <f>IF(AND('331-CT'!$E$7=TH!H270,OR(N270="331",O270="331")),"x","")</f>
        <v/>
      </c>
      <c r="Q270" s="84" t="str">
        <f>IF(AND(B270='111'!$L$11,OR($N270=$Q$7,$O270=$Q$7)),"x","")</f>
        <v/>
      </c>
      <c r="R270" s="84" t="str">
        <f>IF(AND($N270=$Q$7,$B270&lt;'111'!$L$11),"x","")</f>
        <v/>
      </c>
      <c r="S270" s="84" t="str">
        <f>IF(AND($O270=$Q$7,$B270&lt;'111'!$L$11),"x","")</f>
        <v/>
      </c>
      <c r="T270" s="84" t="str">
        <f>IF(ISERROR(FIND('112'!$M$9,G270,1)),"",IF((AND(FIND('112'!$M$9,G270,1)&gt;=1,B270='112'!$K$9,OR($N270='112'!$I$6,$O270='112'!$I$6))),"x",""))</f>
        <v/>
      </c>
      <c r="U270" s="84" t="str">
        <f>IF(ISERROR(FIND('112'!$M$9,G270,1)),"",IF((AND(LEFT(G270,2)=LEFT('112'!$M$9,2),B270&lt;'112'!$K$9,$N270='112'!$I$6)),"x",""))</f>
        <v/>
      </c>
      <c r="V270" s="84" t="str">
        <f>IF(ISERROR(FIND('112'!$M$9,G270,1)),"",IF((AND(RIGHT(G270,2)=RIGHT('112'!$M$9,2),B270&lt;'112'!$K$9,$O270='112'!$I$6)),"x",""))</f>
        <v/>
      </c>
      <c r="W270" s="84" t="str">
        <f>IF(AND('341-CT'!$H$9=H270,OR(LEFT(N270,3)=$W$7,LEFT(O270,3)=$W$7)),"x","")</f>
        <v/>
      </c>
      <c r="X270" s="84" t="str">
        <f>IF(OR(TH!N270=TH!$X$7,O270=TH!$X$7),"x","")</f>
        <v/>
      </c>
      <c r="Y270" s="84" t="str">
        <f>IF(AND(OR(N270="131",O270="131"),H270='131-CT'!$H$9),"x","")</f>
        <v/>
      </c>
      <c r="Z270" s="84"/>
      <c r="AA270" s="84" t="str">
        <f>IF(AND(MONTH(E270)='IN-NX'!$J$5,'IN-NX'!$D$7=D270),"x","")</f>
        <v/>
      </c>
      <c r="AB270" s="84" t="str">
        <f>IF(AND(OR(LEFT(TH!N270,2)="15",LEFT(TH!O270,2)="15"),LEFT(TH!O270,3)&lt;&gt;"111",'152-CT'!$J$8=TH!F270),"x","")</f>
        <v/>
      </c>
      <c r="AC270" s="84" t="str">
        <f>IF(AND(OR(LEFT(TH!N270,2)="15",LEFT(TH!O270,2)="15"),TK!$E$7=TH!F270),"x","")</f>
        <v/>
      </c>
      <c r="AD270" s="84" t="str">
        <f>IF(AND(N270="1521",MONTH(C270)='BK-NL'!$M$11),"x","")</f>
        <v/>
      </c>
    </row>
    <row r="271" spans="1:32" s="347" customFormat="1" ht="15.75" hidden="1" customHeight="1">
      <c r="A271" s="336" t="str">
        <f>IF(B271&lt;&gt;"",IF(AND(B271='IN-TC'!$S$4,OR(TH!N271="1111",TH!O271="1111")),TH!D271,""),"")</f>
        <v/>
      </c>
      <c r="B271" s="63">
        <f t="shared" si="41"/>
        <v>8</v>
      </c>
      <c r="C271" s="80">
        <v>42599</v>
      </c>
      <c r="D271" s="80" t="s">
        <v>700</v>
      </c>
      <c r="E271" s="80">
        <f t="shared" si="44"/>
        <v>42599</v>
      </c>
      <c r="F271" s="81" t="s">
        <v>1915</v>
      </c>
      <c r="G271" s="81"/>
      <c r="H271" s="82" t="s">
        <v>697</v>
      </c>
      <c r="I271" s="437">
        <v>10000</v>
      </c>
      <c r="J271" s="437">
        <v>146013.5001</v>
      </c>
      <c r="K271" s="428"/>
      <c r="L271" s="437"/>
      <c r="M271" s="83">
        <v>1460135000</v>
      </c>
      <c r="N271" s="88" t="s">
        <v>284</v>
      </c>
      <c r="O271" s="84" t="s">
        <v>282</v>
      </c>
      <c r="P271" s="84" t="str">
        <f>IF(AND('331-CT'!$E$7=TH!H271,OR(N271="331",O271="331")),"x","")</f>
        <v/>
      </c>
      <c r="Q271" s="84" t="str">
        <f>IF(AND(B271='111'!$L$11,OR($N271=$Q$7,$O271=$Q$7)),"x","")</f>
        <v/>
      </c>
      <c r="R271" s="84" t="str">
        <f>IF(AND($N271=$Q$7,$B271&lt;'111'!$L$11),"x","")</f>
        <v/>
      </c>
      <c r="S271" s="84" t="str">
        <f>IF(AND($O271=$Q$7,$B271&lt;'111'!$L$11),"x","")</f>
        <v/>
      </c>
      <c r="T271" s="84" t="str">
        <f>IF(ISERROR(FIND('112'!$M$9,G271,1)),"",IF((AND(FIND('112'!$M$9,G271,1)&gt;=1,B271='112'!$K$9,OR($N271='112'!$I$6,$O271='112'!$I$6))),"x",""))</f>
        <v/>
      </c>
      <c r="U271" s="84" t="str">
        <f>IF(ISERROR(FIND('112'!$M$9,G271,1)),"",IF((AND(LEFT(G271,2)=LEFT('112'!$M$9,2),B271&lt;'112'!$K$9,$N271='112'!$I$6)),"x",""))</f>
        <v/>
      </c>
      <c r="V271" s="84" t="str">
        <f>IF(ISERROR(FIND('112'!$M$9,G271,1)),"",IF((AND(RIGHT(G271,2)=RIGHT('112'!$M$9,2),B271&lt;'112'!$K$9,$O271='112'!$I$6)),"x",""))</f>
        <v/>
      </c>
      <c r="W271" s="84" t="str">
        <f>IF(AND('341-CT'!$H$9=H271,OR(LEFT(N271,3)=$W$7,LEFT(O271,3)=$W$7)),"x","")</f>
        <v/>
      </c>
      <c r="X271" s="84" t="str">
        <f>IF(OR(TH!N271=TH!$X$7,O271=TH!$X$7),"x","")</f>
        <v/>
      </c>
      <c r="Y271" s="84" t="str">
        <f>IF(AND(OR(N271="131",O271="131"),H271='131-CT'!$H$9),"x","")</f>
        <v/>
      </c>
      <c r="Z271" s="84"/>
      <c r="AA271" s="84" t="str">
        <f>IF(AND(MONTH(E271)='IN-NX'!$J$5,'IN-NX'!$D$7=D271),"x","")</f>
        <v/>
      </c>
      <c r="AB271" s="84" t="str">
        <f>IF(AND(OR(LEFT(TH!N271,2)="15",LEFT(TH!O271,2)="15"),LEFT(TH!O271,3)&lt;&gt;"111",'152-CT'!$J$8=TH!F271),"x","")</f>
        <v/>
      </c>
      <c r="AC271" s="84" t="str">
        <f>IF(AND(OR(LEFT(TH!N271,2)="15",LEFT(TH!O271,2)="15"),TK!$E$7=TH!F271),"x","")</f>
        <v/>
      </c>
      <c r="AD271" s="84" t="str">
        <f>IF(AND(N271="1521",MONTH(C271)='BK-NL'!$M$11),"x","")</f>
        <v/>
      </c>
    </row>
    <row r="272" spans="1:32" s="347" customFormat="1" ht="15.75" hidden="1" customHeight="1">
      <c r="A272" s="336" t="str">
        <f>IF(B272&lt;&gt;"",IF(AND(B272='IN-TC'!$S$4,OR(TH!N272="1111",TH!O272="1111")),TH!D272,""),"")</f>
        <v/>
      </c>
      <c r="B272" s="63">
        <f t="shared" si="41"/>
        <v>8</v>
      </c>
      <c r="C272" s="80">
        <v>42606</v>
      </c>
      <c r="D272" s="80" t="s">
        <v>701</v>
      </c>
      <c r="E272" s="80">
        <f t="shared" si="44"/>
        <v>42606</v>
      </c>
      <c r="F272" s="81" t="s">
        <v>1918</v>
      </c>
      <c r="G272" s="81"/>
      <c r="H272" s="82" t="s">
        <v>697</v>
      </c>
      <c r="I272" s="437">
        <v>8100</v>
      </c>
      <c r="J272" s="437">
        <v>14769.008888888889</v>
      </c>
      <c r="K272" s="428"/>
      <c r="L272" s="437"/>
      <c r="M272" s="83">
        <v>119405338</v>
      </c>
      <c r="N272" s="88" t="s">
        <v>284</v>
      </c>
      <c r="O272" s="84" t="s">
        <v>282</v>
      </c>
      <c r="P272" s="84" t="str">
        <f>IF(AND('331-CT'!$E$7=TH!H272,OR(N272="331",O272="331")),"x","")</f>
        <v/>
      </c>
      <c r="Q272" s="84" t="str">
        <f>IF(AND(B272='111'!$L$11,OR($N272=$Q$7,$O272=$Q$7)),"x","")</f>
        <v/>
      </c>
      <c r="R272" s="84" t="str">
        <f>IF(AND($N272=$Q$7,$B272&lt;'111'!$L$11),"x","")</f>
        <v/>
      </c>
      <c r="S272" s="84" t="str">
        <f>IF(AND($O272=$Q$7,$B272&lt;'111'!$L$11),"x","")</f>
        <v/>
      </c>
      <c r="T272" s="84" t="str">
        <f>IF(ISERROR(FIND('112'!$M$9,G272,1)),"",IF((AND(FIND('112'!$M$9,G272,1)&gt;=1,B272='112'!$K$9,OR($N272='112'!$I$6,$O272='112'!$I$6))),"x",""))</f>
        <v/>
      </c>
      <c r="U272" s="84" t="str">
        <f>IF(ISERROR(FIND('112'!$M$9,G272,1)),"",IF((AND(LEFT(G272,2)=LEFT('112'!$M$9,2),B272&lt;'112'!$K$9,$N272='112'!$I$6)),"x",""))</f>
        <v/>
      </c>
      <c r="V272" s="84" t="str">
        <f>IF(ISERROR(FIND('112'!$M$9,G272,1)),"",IF((AND(RIGHT(G272,2)=RIGHT('112'!$M$9,2),B272&lt;'112'!$K$9,$O272='112'!$I$6)),"x",""))</f>
        <v/>
      </c>
      <c r="W272" s="84" t="str">
        <f>IF(AND('341-CT'!$H$9=H272,OR(LEFT(N272,3)=$W$7,LEFT(O272,3)=$W$7)),"x","")</f>
        <v/>
      </c>
      <c r="X272" s="84" t="str">
        <f>IF(OR(TH!N272=TH!$X$7,O272=TH!$X$7),"x","")</f>
        <v/>
      </c>
      <c r="Y272" s="84" t="str">
        <f>IF(AND(OR(N272="131",O272="131"),H272='131-CT'!$H$9),"x","")</f>
        <v/>
      </c>
      <c r="Z272" s="84"/>
      <c r="AA272" s="84" t="str">
        <f>IF(AND(MONTH(E272)='IN-NX'!$J$5,'IN-NX'!$D$7=D272),"x","")</f>
        <v/>
      </c>
      <c r="AB272" s="84" t="str">
        <f>IF(AND(OR(LEFT(TH!N272,2)="15",LEFT(TH!O272,2)="15"),LEFT(TH!O272,3)&lt;&gt;"111",'152-CT'!$J$8=TH!F272),"x","")</f>
        <v/>
      </c>
      <c r="AC272" s="84" t="str">
        <f>IF(AND(OR(LEFT(TH!N272,2)="15",LEFT(TH!O272,2)="15"),TK!$E$7=TH!F272),"x","")</f>
        <v/>
      </c>
      <c r="AD272" s="84" t="str">
        <f>IF(AND(N272="1521",MONTH(C272)='BK-NL'!$M$11),"x","")</f>
        <v/>
      </c>
    </row>
    <row r="273" spans="1:31" s="347" customFormat="1" ht="15.75" hidden="1" customHeight="1">
      <c r="A273" s="336" t="str">
        <f>IF(B273&lt;&gt;"",IF(AND(B273='IN-TC'!$S$4,OR(TH!N273="1111",TH!O273="1111")),TH!D273,""),"")</f>
        <v/>
      </c>
      <c r="B273" s="63">
        <f t="shared" si="41"/>
        <v>8</v>
      </c>
      <c r="C273" s="80">
        <v>42606</v>
      </c>
      <c r="D273" s="80" t="s">
        <v>701</v>
      </c>
      <c r="E273" s="80">
        <f t="shared" si="44"/>
        <v>42606</v>
      </c>
      <c r="F273" s="81" t="s">
        <v>1919</v>
      </c>
      <c r="G273" s="81"/>
      <c r="H273" s="82" t="s">
        <v>697</v>
      </c>
      <c r="I273" s="437">
        <v>3150</v>
      </c>
      <c r="J273" s="437">
        <v>14469.18</v>
      </c>
      <c r="K273" s="428"/>
      <c r="L273" s="437"/>
      <c r="M273" s="83">
        <v>45490937</v>
      </c>
      <c r="N273" s="88" t="s">
        <v>284</v>
      </c>
      <c r="O273" s="84" t="s">
        <v>282</v>
      </c>
      <c r="P273" s="84" t="str">
        <f>IF(AND('331-CT'!$E$7=TH!H273,OR(N273="331",O273="331")),"x","")</f>
        <v/>
      </c>
      <c r="Q273" s="84" t="str">
        <f>IF(AND(B273='111'!$L$11,OR($N273=$Q$7,$O273=$Q$7)),"x","")</f>
        <v/>
      </c>
      <c r="R273" s="84" t="str">
        <f>IF(AND($N273=$Q$7,$B273&lt;'111'!$L$11),"x","")</f>
        <v/>
      </c>
      <c r="S273" s="84" t="str">
        <f>IF(AND($O273=$Q$7,$B273&lt;'111'!$L$11),"x","")</f>
        <v/>
      </c>
      <c r="T273" s="84" t="str">
        <f>IF(ISERROR(FIND('112'!$M$9,G273,1)),"",IF((AND(FIND('112'!$M$9,G273,1)&gt;=1,B273='112'!$K$9,OR($N273='112'!$I$6,$O273='112'!$I$6))),"x",""))</f>
        <v/>
      </c>
      <c r="U273" s="84" t="str">
        <f>IF(ISERROR(FIND('112'!$M$9,G273,1)),"",IF((AND(LEFT(G273,2)=LEFT('112'!$M$9,2),B273&lt;'112'!$K$9,$N273='112'!$I$6)),"x",""))</f>
        <v/>
      </c>
      <c r="V273" s="84" t="str">
        <f>IF(ISERROR(FIND('112'!$M$9,G273,1)),"",IF((AND(RIGHT(G273,2)=RIGHT('112'!$M$9,2),B273&lt;'112'!$K$9,$O273='112'!$I$6)),"x",""))</f>
        <v/>
      </c>
      <c r="W273" s="84" t="str">
        <f>IF(AND('341-CT'!$H$9=H273,OR(LEFT(N273,3)=$W$7,LEFT(O273,3)=$W$7)),"x","")</f>
        <v/>
      </c>
      <c r="X273" s="84" t="str">
        <f>IF(OR(TH!N273=TH!$X$7,O273=TH!$X$7),"x","")</f>
        <v/>
      </c>
      <c r="Y273" s="84" t="str">
        <f>IF(AND(OR(N273="131",O273="131"),H273='131-CT'!$H$9),"x","")</f>
        <v/>
      </c>
      <c r="Z273" s="84"/>
      <c r="AA273" s="84" t="str">
        <f>IF(AND(MONTH(E273)='IN-NX'!$J$5,'IN-NX'!$D$7=D273),"x","")</f>
        <v/>
      </c>
      <c r="AB273" s="84" t="str">
        <f>IF(AND(OR(LEFT(TH!N273,2)="15",LEFT(TH!O273,2)="15"),LEFT(TH!O273,3)&lt;&gt;"111",'152-CT'!$J$8=TH!F273),"x","")</f>
        <v/>
      </c>
      <c r="AC273" s="84" t="str">
        <f>IF(AND(OR(LEFT(TH!N273,2)="15",LEFT(TH!O273,2)="15"),TK!$E$7=TH!F273),"x","")</f>
        <v/>
      </c>
      <c r="AD273" s="84" t="str">
        <f>IF(AND(N273="1521",MONTH(C273)='BK-NL'!$M$11),"x","")</f>
        <v/>
      </c>
    </row>
    <row r="274" spans="1:31" s="347" customFormat="1" ht="15.75" hidden="1" customHeight="1">
      <c r="A274" s="336" t="str">
        <f>IF(B274&lt;&gt;"",IF(AND(B274='IN-TC'!$S$4,OR(TH!N274="1111",TH!O274="1111")),TH!D274,""),"")</f>
        <v/>
      </c>
      <c r="B274" s="63">
        <f t="shared" si="41"/>
        <v>8</v>
      </c>
      <c r="C274" s="80">
        <v>42608</v>
      </c>
      <c r="D274" s="80" t="s">
        <v>1953</v>
      </c>
      <c r="E274" s="80">
        <f t="shared" si="44"/>
        <v>42608</v>
      </c>
      <c r="F274" s="81" t="s">
        <v>1922</v>
      </c>
      <c r="G274" s="81"/>
      <c r="H274" s="82" t="s">
        <v>697</v>
      </c>
      <c r="I274" s="437">
        <v>500</v>
      </c>
      <c r="J274" s="437">
        <v>234130.58799999999</v>
      </c>
      <c r="K274" s="428"/>
      <c r="L274" s="437"/>
      <c r="M274" s="83">
        <v>117005703</v>
      </c>
      <c r="N274" s="88" t="s">
        <v>284</v>
      </c>
      <c r="O274" s="84" t="s">
        <v>282</v>
      </c>
      <c r="P274" s="84" t="str">
        <f>IF(AND('331-CT'!$E$7=TH!H274,OR(N274="331",O274="331")),"x","")</f>
        <v/>
      </c>
      <c r="Q274" s="84" t="str">
        <f>IF(AND(B274='111'!$L$11,OR($N274=$Q$7,$O274=$Q$7)),"x","")</f>
        <v/>
      </c>
      <c r="R274" s="84" t="str">
        <f>IF(AND($N274=$Q$7,$B274&lt;'111'!$L$11),"x","")</f>
        <v/>
      </c>
      <c r="S274" s="84" t="str">
        <f>IF(AND($O274=$Q$7,$B274&lt;'111'!$L$11),"x","")</f>
        <v/>
      </c>
      <c r="T274" s="84" t="str">
        <f>IF(ISERROR(FIND('112'!$M$9,G274,1)),"",IF((AND(FIND('112'!$M$9,G274,1)&gt;=1,B274='112'!$K$9,OR($N274='112'!$I$6,$O274='112'!$I$6))),"x",""))</f>
        <v/>
      </c>
      <c r="U274" s="84" t="str">
        <f>IF(ISERROR(FIND('112'!$M$9,G274,1)),"",IF((AND(LEFT(G274,2)=LEFT('112'!$M$9,2),B274&lt;'112'!$K$9,$N274='112'!$I$6)),"x",""))</f>
        <v/>
      </c>
      <c r="V274" s="84" t="str">
        <f>IF(ISERROR(FIND('112'!$M$9,G274,1)),"",IF((AND(RIGHT(G274,2)=RIGHT('112'!$M$9,2),B274&lt;'112'!$K$9,$O274='112'!$I$6)),"x",""))</f>
        <v/>
      </c>
      <c r="W274" s="84" t="str">
        <f>IF(AND('341-CT'!$H$9=H274,OR(LEFT(N274,3)=$W$7,LEFT(O274,3)=$W$7)),"x","")</f>
        <v/>
      </c>
      <c r="X274" s="84" t="str">
        <f>IF(OR(TH!N274=TH!$X$7,O274=TH!$X$7),"x","")</f>
        <v/>
      </c>
      <c r="Y274" s="84" t="str">
        <f>IF(AND(OR(N274="131",O274="131"),H274='131-CT'!$H$9),"x","")</f>
        <v/>
      </c>
      <c r="Z274" s="84"/>
      <c r="AA274" s="84" t="str">
        <f>IF(AND(MONTH(E274)='IN-NX'!$J$5,'IN-NX'!$D$7=D274),"x","")</f>
        <v/>
      </c>
      <c r="AB274" s="84" t="str">
        <f>IF(AND(OR(LEFT(TH!N274,2)="15",LEFT(TH!O274,2)="15"),LEFT(TH!O274,3)&lt;&gt;"111",'152-CT'!$J$8=TH!F274),"x","")</f>
        <v/>
      </c>
      <c r="AC274" s="84" t="str">
        <f>IF(AND(OR(LEFT(TH!N274,2)="15",LEFT(TH!O274,2)="15"),TK!$E$7=TH!F274),"x","")</f>
        <v/>
      </c>
      <c r="AD274" s="84" t="str">
        <f>IF(AND(N274="1521",MONTH(C274)='BK-NL'!$M$11),"x","")</f>
        <v/>
      </c>
    </row>
    <row r="275" spans="1:31" s="347" customFormat="1" ht="15.75" hidden="1" customHeight="1">
      <c r="A275" s="336" t="str">
        <f>IF(B275&lt;&gt;"",IF(AND(B275='IN-TC'!$S$4,OR(TH!N275="1111",TH!O275="1111")),TH!D275,""),"")</f>
        <v/>
      </c>
      <c r="B275" s="63">
        <f>IF(C275&lt;&gt;"",MONTH(C275),"")</f>
        <v>8</v>
      </c>
      <c r="C275" s="80">
        <v>42594</v>
      </c>
      <c r="D275" s="80" t="s">
        <v>699</v>
      </c>
      <c r="E275" s="80">
        <v>42613</v>
      </c>
      <c r="F275" s="81" t="s">
        <v>441</v>
      </c>
      <c r="G275" s="81"/>
      <c r="H275" s="82" t="s">
        <v>697</v>
      </c>
      <c r="I275" s="437">
        <v>52000</v>
      </c>
      <c r="J275" s="437">
        <v>90745.294403846157</v>
      </c>
      <c r="K275" s="428"/>
      <c r="L275" s="437"/>
      <c r="M275" s="83">
        <v>4715656581</v>
      </c>
      <c r="N275" s="88" t="s">
        <v>284</v>
      </c>
      <c r="O275" s="84" t="s">
        <v>282</v>
      </c>
      <c r="P275" s="84" t="str">
        <f>IF(AND('331-CT'!$E$7=TH!H275,OR(N275="331",O275="331")),"x","")</f>
        <v/>
      </c>
      <c r="Q275" s="84" t="str">
        <f>IF(AND(B275='111'!$L$11,OR($N275=$Q$7,$O275=$Q$7)),"x","")</f>
        <v/>
      </c>
      <c r="R275" s="84" t="str">
        <f>IF(AND($N275=$Q$7,$B275&lt;'111'!$L$11),"x","")</f>
        <v/>
      </c>
      <c r="S275" s="84" t="str">
        <f>IF(AND($O275=$Q$7,$B275&lt;'111'!$L$11),"x","")</f>
        <v/>
      </c>
      <c r="T275" s="84" t="str">
        <f>IF(ISERROR(FIND('112'!$M$9,G275,1)),"",IF((AND(FIND('112'!$M$9,G275,1)&gt;=1,B275='112'!$K$9,OR($N275='112'!$I$6,$O275='112'!$I$6))),"x",""))</f>
        <v/>
      </c>
      <c r="U275" s="84" t="str">
        <f>IF(ISERROR(FIND('112'!$M$9,G275,1)),"",IF((AND(LEFT(G275,2)=LEFT('112'!$M$9,2),B275&lt;'112'!$K$9,$N275='112'!$I$6)),"x",""))</f>
        <v/>
      </c>
      <c r="V275" s="84" t="str">
        <f>IF(ISERROR(FIND('112'!$M$9,G275,1)),"",IF((AND(RIGHT(G275,2)=RIGHT('112'!$M$9,2),B275&lt;'112'!$K$9,$O275='112'!$I$6)),"x",""))</f>
        <v/>
      </c>
      <c r="W275" s="84" t="str">
        <f>IF(AND('341-CT'!$H$9=H275,OR(LEFT(N275,3)=$W$7,LEFT(O275,3)=$W$7)),"x","")</f>
        <v/>
      </c>
      <c r="X275" s="84" t="str">
        <f>IF(OR(TH!N275=TH!$X$7,O275=TH!$X$7),"x","")</f>
        <v/>
      </c>
      <c r="Y275" s="84" t="str">
        <f>IF(AND(OR(N275="131",O275="131"),H275='131-CT'!$H$9),"x","")</f>
        <v/>
      </c>
      <c r="Z275" s="84"/>
      <c r="AA275" s="84" t="str">
        <f>IF(AND(MONTH(E275)='IN-NX'!$J$5,'IN-NX'!$D$7=D275),"x","")</f>
        <v/>
      </c>
      <c r="AB275" s="84" t="str">
        <f>IF(AND(OR(LEFT(TH!N275,2)="15",LEFT(TH!O275,2)="15"),LEFT(TH!O275,3)&lt;&gt;"111",'152-CT'!$J$8=TH!F275),"x","")</f>
        <v/>
      </c>
      <c r="AC275" s="84" t="str">
        <f>IF(AND(OR(LEFT(TH!N275,2)="15",LEFT(TH!O275,2)="15"),TK!$E$7=TH!F275),"x","")</f>
        <v/>
      </c>
      <c r="AD275" s="84" t="str">
        <f>IF(AND(N275="1521",MONTH(C275)='BK-NL'!$M$11),"x","")</f>
        <v/>
      </c>
    </row>
    <row r="276" spans="1:31" s="347" customFormat="1" ht="15.75" hidden="1" customHeight="1">
      <c r="A276" s="336" t="str">
        <f>IF(B276&lt;&gt;"",IF(AND(B276='IN-TC'!$S$4,OR(TH!N276="1111",TH!O276="1111")),TH!D276,""),"")</f>
        <v/>
      </c>
      <c r="B276" s="63">
        <f t="shared" si="41"/>
        <v>8</v>
      </c>
      <c r="C276" s="94">
        <v>42583</v>
      </c>
      <c r="D276" s="94" t="s">
        <v>596</v>
      </c>
      <c r="E276" s="94">
        <f t="shared" si="44"/>
        <v>42583</v>
      </c>
      <c r="F276" s="95" t="s">
        <v>1524</v>
      </c>
      <c r="G276" s="95" t="s">
        <v>1907</v>
      </c>
      <c r="H276" s="988" t="s">
        <v>601</v>
      </c>
      <c r="I276" s="445">
        <v>1760</v>
      </c>
      <c r="J276" s="445">
        <v>144690</v>
      </c>
      <c r="K276" s="436"/>
      <c r="L276" s="445"/>
      <c r="M276" s="97">
        <f t="shared" si="43"/>
        <v>254654400</v>
      </c>
      <c r="N276" s="85" t="s">
        <v>294</v>
      </c>
      <c r="O276" s="85" t="s">
        <v>284</v>
      </c>
      <c r="P276" s="84" t="str">
        <f>IF(AND('331-CT'!$E$7=TH!H276,OR(N276="331",O276="331")),"x","")</f>
        <v/>
      </c>
      <c r="Q276" s="84" t="str">
        <f>IF(AND(B276='111'!$L$11,OR($N276=$Q$7,$O276=$Q$7)),"x","")</f>
        <v/>
      </c>
      <c r="R276" s="84" t="str">
        <f>IF(AND($N276=$Q$7,$B276&lt;'111'!$L$11),"x","")</f>
        <v/>
      </c>
      <c r="S276" s="84" t="str">
        <f>IF(AND($O276=$Q$7,$B276&lt;'111'!$L$11),"x","")</f>
        <v/>
      </c>
      <c r="T276" s="84" t="str">
        <f>IF(ISERROR(FIND('112'!$M$9,G276,1)),"",IF((AND(FIND('112'!$M$9,G276,1)&gt;=1,B276='112'!$K$9,OR($N276='112'!$I$6,$O276='112'!$I$6))),"x",""))</f>
        <v/>
      </c>
      <c r="U276" s="84" t="str">
        <f>IF(ISERROR(FIND('112'!$M$9,G276,1)),"",IF((AND(LEFT(G276,2)=LEFT('112'!$M$9,2),B276&lt;'112'!$K$9,$N276='112'!$I$6)),"x",""))</f>
        <v/>
      </c>
      <c r="V276" s="84" t="str">
        <f>IF(ISERROR(FIND('112'!$M$9,G276,1)),"",IF((AND(RIGHT(G276,2)=RIGHT('112'!$M$9,2),B276&lt;'112'!$K$9,$O276='112'!$I$6)),"x",""))</f>
        <v/>
      </c>
      <c r="W276" s="84" t="str">
        <f>IF(AND('341-CT'!$H$9=H276,OR(LEFT(N276,3)=$W$7,LEFT(O276,3)=$W$7)),"x","")</f>
        <v/>
      </c>
      <c r="X276" s="84" t="str">
        <f>IF(OR(TH!N276=TH!$X$7,O276=TH!$X$7),"x","")</f>
        <v/>
      </c>
      <c r="Y276" s="84" t="str">
        <f>IF(AND(OR(N276="131",O276="131"),H276='131-CT'!$H$9),"x","")</f>
        <v/>
      </c>
      <c r="Z276" s="84"/>
      <c r="AA276" s="84" t="str">
        <f>IF(AND(MONTH(E276)='IN-NX'!$J$5,'IN-NX'!$D$7=D276),"x","")</f>
        <v/>
      </c>
      <c r="AB276" s="84" t="str">
        <f>IF(AND(OR(LEFT(TH!N276,2)="15",LEFT(TH!O276,2)="15"),LEFT(TH!O276,3)&lt;&gt;"111",'152-CT'!$J$8=TH!F276),"x","")</f>
        <v/>
      </c>
      <c r="AC276" s="84" t="str">
        <f>IF(AND(OR(LEFT(TH!N276,2)="15",LEFT(TH!O276,2)="15"),TK!$E$7=TH!F276),"x","")</f>
        <v/>
      </c>
      <c r="AD276" s="84" t="str">
        <f>IF(AND(N276="1521",MONTH(C276)='BK-NL'!$M$11),"x","")</f>
        <v/>
      </c>
    </row>
    <row r="277" spans="1:31" s="347" customFormat="1" ht="15.75" hidden="1" customHeight="1">
      <c r="A277" s="336" t="str">
        <f>IF(B277&lt;&gt;"",IF(AND(B277='IN-TC'!$S$4,OR(TH!N277="1111",TH!O277="1111")),TH!D277,""),"")</f>
        <v/>
      </c>
      <c r="B277" s="63">
        <f t="shared" ref="B277:B283" si="45">IF(C277&lt;&gt;"",MONTH(C277),"")</f>
        <v>8</v>
      </c>
      <c r="C277" s="94">
        <v>42583</v>
      </c>
      <c r="D277" s="94" t="s">
        <v>596</v>
      </c>
      <c r="E277" s="94">
        <f t="shared" ref="E277:E283" si="46">C277</f>
        <v>42583</v>
      </c>
      <c r="F277" s="95" t="s">
        <v>451</v>
      </c>
      <c r="G277" s="95" t="s">
        <v>1907</v>
      </c>
      <c r="H277" s="988" t="s">
        <v>601</v>
      </c>
      <c r="I277" s="445">
        <v>1700</v>
      </c>
      <c r="J277" s="445">
        <v>163171</v>
      </c>
      <c r="K277" s="436"/>
      <c r="L277" s="445"/>
      <c r="M277" s="97">
        <f t="shared" si="43"/>
        <v>277390700</v>
      </c>
      <c r="N277" s="85" t="s">
        <v>294</v>
      </c>
      <c r="O277" s="85" t="s">
        <v>284</v>
      </c>
      <c r="P277" s="84" t="str">
        <f>IF(AND('331-CT'!$E$7=TH!H277,OR(N277="331",O277="331")),"x","")</f>
        <v/>
      </c>
      <c r="Q277" s="84" t="str">
        <f>IF(AND(B277='111'!$L$11,OR($N277=$Q$7,$O277=$Q$7)),"x","")</f>
        <v/>
      </c>
      <c r="R277" s="84" t="str">
        <f>IF(AND($N277=$Q$7,$B277&lt;'111'!$L$11),"x","")</f>
        <v/>
      </c>
      <c r="S277" s="84" t="str">
        <f>IF(AND($O277=$Q$7,$B277&lt;'111'!$L$11),"x","")</f>
        <v/>
      </c>
      <c r="T277" s="84" t="str">
        <f>IF(ISERROR(FIND('112'!$M$9,G277,1)),"",IF((AND(FIND('112'!$M$9,G277,1)&gt;=1,B277='112'!$K$9,OR($N277='112'!$I$6,$O277='112'!$I$6))),"x",""))</f>
        <v/>
      </c>
      <c r="U277" s="84" t="str">
        <f>IF(ISERROR(FIND('112'!$M$9,G277,1)),"",IF((AND(LEFT(G277,2)=LEFT('112'!$M$9,2),B277&lt;'112'!$K$9,$N277='112'!$I$6)),"x",""))</f>
        <v/>
      </c>
      <c r="V277" s="84" t="str">
        <f>IF(ISERROR(FIND('112'!$M$9,G277,1)),"",IF((AND(RIGHT(G277,2)=RIGHT('112'!$M$9,2),B277&lt;'112'!$K$9,$O277='112'!$I$6)),"x",""))</f>
        <v/>
      </c>
      <c r="W277" s="84" t="str">
        <f>IF(AND('341-CT'!$H$9=H277,OR(LEFT(N277,3)=$W$7,LEFT(O277,3)=$W$7)),"x","")</f>
        <v/>
      </c>
      <c r="X277" s="84" t="str">
        <f>IF(OR(TH!N277=TH!$X$7,O277=TH!$X$7),"x","")</f>
        <v/>
      </c>
      <c r="Y277" s="84" t="str">
        <f>IF(AND(OR(N277="131",O277="131"),H277='131-CT'!$H$9),"x","")</f>
        <v/>
      </c>
      <c r="Z277" s="84"/>
      <c r="AA277" s="84" t="str">
        <f>IF(AND(MONTH(E277)='IN-NX'!$J$5,'IN-NX'!$D$7=D277),"x","")</f>
        <v/>
      </c>
      <c r="AB277" s="84" t="str">
        <f>IF(AND(OR(LEFT(TH!N277,2)="15",LEFT(TH!O277,2)="15"),LEFT(TH!O277,3)&lt;&gt;"111",'152-CT'!$J$8=TH!F277),"x","")</f>
        <v/>
      </c>
      <c r="AC277" s="84" t="str">
        <f>IF(AND(OR(LEFT(TH!N277,2)="15",LEFT(TH!O277,2)="15"),TK!$E$7=TH!F277),"x","")</f>
        <v/>
      </c>
      <c r="AD277" s="84" t="str">
        <f>IF(AND(N277="1521",MONTH(C277)='BK-NL'!$M$11),"x","")</f>
        <v/>
      </c>
    </row>
    <row r="278" spans="1:31" s="347" customFormat="1" ht="15.75" hidden="1" customHeight="1">
      <c r="A278" s="336" t="str">
        <f>IF(B278&lt;&gt;"",IF(AND(B278='IN-TC'!$S$4,OR(TH!N278="1111",TH!O278="1111")),TH!D278,""),"")</f>
        <v/>
      </c>
      <c r="B278" s="63">
        <f t="shared" si="45"/>
        <v>8</v>
      </c>
      <c r="C278" s="94">
        <v>42583</v>
      </c>
      <c r="D278" s="94" t="s">
        <v>596</v>
      </c>
      <c r="E278" s="94">
        <f t="shared" si="46"/>
        <v>42583</v>
      </c>
      <c r="F278" s="95" t="s">
        <v>1522</v>
      </c>
      <c r="G278" s="95" t="s">
        <v>1907</v>
      </c>
      <c r="H278" s="988" t="s">
        <v>601</v>
      </c>
      <c r="I278" s="445">
        <v>1090</v>
      </c>
      <c r="J278" s="445">
        <v>83755</v>
      </c>
      <c r="K278" s="436"/>
      <c r="L278" s="445"/>
      <c r="M278" s="97">
        <f t="shared" si="43"/>
        <v>91292950</v>
      </c>
      <c r="N278" s="85" t="s">
        <v>294</v>
      </c>
      <c r="O278" s="85" t="s">
        <v>284</v>
      </c>
      <c r="P278" s="84" t="str">
        <f>IF(AND('331-CT'!$E$7=TH!H278,OR(N278="331",O278="331")),"x","")</f>
        <v/>
      </c>
      <c r="Q278" s="84" t="str">
        <f>IF(AND(B278='111'!$L$11,OR($N278=$Q$7,$O278=$Q$7)),"x","")</f>
        <v/>
      </c>
      <c r="R278" s="84" t="str">
        <f>IF(AND($N278=$Q$7,$B278&lt;'111'!$L$11),"x","")</f>
        <v/>
      </c>
      <c r="S278" s="84" t="str">
        <f>IF(AND($O278=$Q$7,$B278&lt;'111'!$L$11),"x","")</f>
        <v/>
      </c>
      <c r="T278" s="84" t="str">
        <f>IF(ISERROR(FIND('112'!$M$9,G278,1)),"",IF((AND(FIND('112'!$M$9,G278,1)&gt;=1,B278='112'!$K$9,OR($N278='112'!$I$6,$O278='112'!$I$6))),"x",""))</f>
        <v/>
      </c>
      <c r="U278" s="84" t="str">
        <f>IF(ISERROR(FIND('112'!$M$9,G278,1)),"",IF((AND(LEFT(G278,2)=LEFT('112'!$M$9,2),B278&lt;'112'!$K$9,$N278='112'!$I$6)),"x",""))</f>
        <v/>
      </c>
      <c r="V278" s="84" t="str">
        <f>IF(ISERROR(FIND('112'!$M$9,G278,1)),"",IF((AND(RIGHT(G278,2)=RIGHT('112'!$M$9,2),B278&lt;'112'!$K$9,$O278='112'!$I$6)),"x",""))</f>
        <v/>
      </c>
      <c r="W278" s="84" t="str">
        <f>IF(AND('341-CT'!$H$9=H278,OR(LEFT(N278,3)=$W$7,LEFT(O278,3)=$W$7)),"x","")</f>
        <v/>
      </c>
      <c r="X278" s="84" t="str">
        <f>IF(OR(TH!N278=TH!$X$7,O278=TH!$X$7),"x","")</f>
        <v/>
      </c>
      <c r="Y278" s="84" t="str">
        <f>IF(AND(OR(N278="131",O278="131"),H278='131-CT'!$H$9),"x","")</f>
        <v/>
      </c>
      <c r="Z278" s="84"/>
      <c r="AA278" s="84" t="str">
        <f>IF(AND(MONTH(E278)='IN-NX'!$J$5,'IN-NX'!$D$7=D278),"x","")</f>
        <v/>
      </c>
      <c r="AB278" s="84" t="str">
        <f>IF(AND(OR(LEFT(TH!N278,2)="15",LEFT(TH!O278,2)="15"),LEFT(TH!O278,3)&lt;&gt;"111",'152-CT'!$J$8=TH!F278),"x","")</f>
        <v/>
      </c>
      <c r="AC278" s="84" t="str">
        <f>IF(AND(OR(LEFT(TH!N278,2)="15",LEFT(TH!O278,2)="15"),TK!$E$7=TH!F278),"x","")</f>
        <v/>
      </c>
      <c r="AD278" s="84" t="str">
        <f>IF(AND(N278="1521",MONTH(C278)='BK-NL'!$M$11),"x","")</f>
        <v/>
      </c>
    </row>
    <row r="279" spans="1:31" s="347" customFormat="1" ht="15.75" hidden="1" customHeight="1">
      <c r="A279" s="336" t="str">
        <f>IF(B279&lt;&gt;"",IF(AND(B279='IN-TC'!$S$4,OR(TH!N279="1111",TH!O279="1111")),TH!D279,""),"")</f>
        <v/>
      </c>
      <c r="B279" s="63">
        <f t="shared" si="45"/>
        <v>8</v>
      </c>
      <c r="C279" s="94">
        <v>42583</v>
      </c>
      <c r="D279" s="94" t="s">
        <v>596</v>
      </c>
      <c r="E279" s="94">
        <f t="shared" si="46"/>
        <v>42583</v>
      </c>
      <c r="F279" s="95" t="s">
        <v>1957</v>
      </c>
      <c r="G279" s="95" t="s">
        <v>1907</v>
      </c>
      <c r="H279" s="988" t="s">
        <v>601</v>
      </c>
      <c r="I279" s="445">
        <v>390</v>
      </c>
      <c r="J279" s="445">
        <v>102642</v>
      </c>
      <c r="K279" s="436"/>
      <c r="L279" s="445"/>
      <c r="M279" s="97">
        <f t="shared" si="43"/>
        <v>40030380</v>
      </c>
      <c r="N279" s="85" t="s">
        <v>294</v>
      </c>
      <c r="O279" s="85" t="s">
        <v>284</v>
      </c>
      <c r="P279" s="84" t="str">
        <f>IF(AND('331-CT'!$E$7=TH!H279,OR(N279="331",O279="331")),"x","")</f>
        <v/>
      </c>
      <c r="Q279" s="84" t="str">
        <f>IF(AND(B279='111'!$L$11,OR($N279=$Q$7,$O279=$Q$7)),"x","")</f>
        <v/>
      </c>
      <c r="R279" s="84" t="str">
        <f>IF(AND($N279=$Q$7,$B279&lt;'111'!$L$11),"x","")</f>
        <v/>
      </c>
      <c r="S279" s="84" t="str">
        <f>IF(AND($O279=$Q$7,$B279&lt;'111'!$L$11),"x","")</f>
        <v/>
      </c>
      <c r="T279" s="84" t="str">
        <f>IF(ISERROR(FIND('112'!$M$9,G279,1)),"",IF((AND(FIND('112'!$M$9,G279,1)&gt;=1,B279='112'!$K$9,OR($N279='112'!$I$6,$O279='112'!$I$6))),"x",""))</f>
        <v/>
      </c>
      <c r="U279" s="84" t="str">
        <f>IF(ISERROR(FIND('112'!$M$9,G279,1)),"",IF((AND(LEFT(G279,2)=LEFT('112'!$M$9,2),B279&lt;'112'!$K$9,$N279='112'!$I$6)),"x",""))</f>
        <v/>
      </c>
      <c r="V279" s="84" t="str">
        <f>IF(ISERROR(FIND('112'!$M$9,G279,1)),"",IF((AND(RIGHT(G279,2)=RIGHT('112'!$M$9,2),B279&lt;'112'!$K$9,$O279='112'!$I$6)),"x",""))</f>
        <v/>
      </c>
      <c r="W279" s="84" t="str">
        <f>IF(AND('341-CT'!$H$9=H279,OR(LEFT(N279,3)=$W$7,LEFT(O279,3)=$W$7)),"x","")</f>
        <v/>
      </c>
      <c r="X279" s="84" t="str">
        <f>IF(OR(TH!N279=TH!$X$7,O279=TH!$X$7),"x","")</f>
        <v/>
      </c>
      <c r="Y279" s="84" t="str">
        <f>IF(AND(OR(N279="131",O279="131"),H279='131-CT'!$H$9),"x","")</f>
        <v/>
      </c>
      <c r="Z279" s="84"/>
      <c r="AA279" s="84" t="str">
        <f>IF(AND(MONTH(E279)='IN-NX'!$J$5,'IN-NX'!$D$7=D279),"x","")</f>
        <v/>
      </c>
      <c r="AB279" s="84" t="str">
        <f>IF(AND(OR(LEFT(TH!N279,2)="15",LEFT(TH!O279,2)="15"),LEFT(TH!O279,3)&lt;&gt;"111",'152-CT'!$J$8=TH!F279),"x","")</f>
        <v/>
      </c>
      <c r="AC279" s="84" t="str">
        <f>IF(AND(OR(LEFT(TH!N279,2)="15",LEFT(TH!O279,2)="15"),TK!$E$7=TH!F279),"x","")</f>
        <v/>
      </c>
      <c r="AD279" s="84" t="str">
        <f>IF(AND(N279="1521",MONTH(C279)='BK-NL'!$M$11),"x","")</f>
        <v/>
      </c>
    </row>
    <row r="280" spans="1:31" s="347" customFormat="1" ht="15.75" hidden="1" customHeight="1">
      <c r="A280" s="336" t="str">
        <f>IF(B280&lt;&gt;"",IF(AND(B280='IN-TC'!$S$4,OR(TH!N280="1111",TH!O280="1111")),TH!D280,""),"")</f>
        <v/>
      </c>
      <c r="B280" s="63">
        <f t="shared" si="45"/>
        <v>8</v>
      </c>
      <c r="C280" s="94">
        <v>42587</v>
      </c>
      <c r="D280" s="94" t="s">
        <v>597</v>
      </c>
      <c r="E280" s="94">
        <f t="shared" si="46"/>
        <v>42587</v>
      </c>
      <c r="F280" s="95" t="s">
        <v>441</v>
      </c>
      <c r="G280" s="95" t="s">
        <v>1912</v>
      </c>
      <c r="H280" s="988" t="s">
        <v>1913</v>
      </c>
      <c r="I280" s="445">
        <v>52000</v>
      </c>
      <c r="J280" s="445">
        <v>54192</v>
      </c>
      <c r="K280" s="436"/>
      <c r="L280" s="445"/>
      <c r="M280" s="97">
        <f t="shared" si="43"/>
        <v>2817984000</v>
      </c>
      <c r="N280" s="85" t="s">
        <v>294</v>
      </c>
      <c r="O280" s="85" t="s">
        <v>284</v>
      </c>
      <c r="P280" s="84" t="str">
        <f>IF(AND('331-CT'!$E$7=TH!H280,OR(N280="331",O280="331")),"x","")</f>
        <v/>
      </c>
      <c r="Q280" s="84" t="str">
        <f>IF(AND(B280='111'!$L$11,OR($N280=$Q$7,$O280=$Q$7)),"x","")</f>
        <v/>
      </c>
      <c r="R280" s="84" t="str">
        <f>IF(AND($N280=$Q$7,$B280&lt;'111'!$L$11),"x","")</f>
        <v/>
      </c>
      <c r="S280" s="84" t="str">
        <f>IF(AND($O280=$Q$7,$B280&lt;'111'!$L$11),"x","")</f>
        <v/>
      </c>
      <c r="T280" s="84" t="str">
        <f>IF(ISERROR(FIND('112'!$M$9,G280,1)),"",IF((AND(FIND('112'!$M$9,G280,1)&gt;=1,B280='112'!$K$9,OR($N280='112'!$I$6,$O280='112'!$I$6))),"x",""))</f>
        <v/>
      </c>
      <c r="U280" s="84" t="str">
        <f>IF(ISERROR(FIND('112'!$M$9,G280,1)),"",IF((AND(LEFT(G280,2)=LEFT('112'!$M$9,2),B280&lt;'112'!$K$9,$N280='112'!$I$6)),"x",""))</f>
        <v/>
      </c>
      <c r="V280" s="84" t="str">
        <f>IF(ISERROR(FIND('112'!$M$9,G280,1)),"",IF((AND(RIGHT(G280,2)=RIGHT('112'!$M$9,2),B280&lt;'112'!$K$9,$O280='112'!$I$6)),"x",""))</f>
        <v/>
      </c>
      <c r="W280" s="84" t="str">
        <f>IF(AND('341-CT'!$H$9=H280,OR(LEFT(N280,3)=$W$7,LEFT(O280,3)=$W$7)),"x","")</f>
        <v/>
      </c>
      <c r="X280" s="84" t="str">
        <f>IF(OR(TH!N280=TH!$X$7,O280=TH!$X$7),"x","")</f>
        <v/>
      </c>
      <c r="Y280" s="84" t="str">
        <f>IF(AND(OR(N280="131",O280="131"),H280='131-CT'!$H$9),"x","")</f>
        <v/>
      </c>
      <c r="Z280" s="84"/>
      <c r="AA280" s="84" t="str">
        <f>IF(AND(MONTH(E280)='IN-NX'!$J$5,'IN-NX'!$D$7=D280),"x","")</f>
        <v/>
      </c>
      <c r="AB280" s="84" t="str">
        <f>IF(AND(OR(LEFT(TH!N280,2)="15",LEFT(TH!O280,2)="15"),LEFT(TH!O280,3)&lt;&gt;"111",'152-CT'!$J$8=TH!F280),"x","")</f>
        <v/>
      </c>
      <c r="AC280" s="84" t="str">
        <f>IF(AND(OR(LEFT(TH!N280,2)="15",LEFT(TH!O280,2)="15"),TK!$E$7=TH!F280),"x","")</f>
        <v/>
      </c>
      <c r="AD280" s="84" t="str">
        <f>IF(AND(N280="1521",MONTH(C280)='BK-NL'!$M$11),"x","")</f>
        <v/>
      </c>
    </row>
    <row r="281" spans="1:31" s="347" customFormat="1" ht="15.75" hidden="1" customHeight="1">
      <c r="A281" s="336" t="str">
        <f>IF(B281&lt;&gt;"",IF(AND(B281='IN-TC'!$S$4,OR(TH!N281="1111",TH!O281="1111")),TH!D281,""),"")</f>
        <v/>
      </c>
      <c r="B281" s="63">
        <f t="shared" si="45"/>
        <v>8</v>
      </c>
      <c r="C281" s="94">
        <v>42594</v>
      </c>
      <c r="D281" s="94" t="s">
        <v>1679</v>
      </c>
      <c r="E281" s="94">
        <f t="shared" si="46"/>
        <v>42594</v>
      </c>
      <c r="F281" s="95" t="s">
        <v>441</v>
      </c>
      <c r="G281" s="95" t="s">
        <v>1914</v>
      </c>
      <c r="H281" s="988" t="s">
        <v>1913</v>
      </c>
      <c r="I281" s="445">
        <v>52000</v>
      </c>
      <c r="J281" s="445">
        <v>54389</v>
      </c>
      <c r="K281" s="436"/>
      <c r="L281" s="445"/>
      <c r="M281" s="97">
        <f t="shared" si="43"/>
        <v>2828228000</v>
      </c>
      <c r="N281" s="85" t="s">
        <v>294</v>
      </c>
      <c r="O281" s="85" t="s">
        <v>284</v>
      </c>
      <c r="P281" s="84" t="str">
        <f>IF(AND('331-CT'!$E$7=TH!H281,OR(N281="331",O281="331")),"x","")</f>
        <v/>
      </c>
      <c r="Q281" s="84" t="str">
        <f>IF(AND(B281='111'!$L$11,OR($N281=$Q$7,$O281=$Q$7)),"x","")</f>
        <v/>
      </c>
      <c r="R281" s="84" t="str">
        <f>IF(AND($N281=$Q$7,$B281&lt;'111'!$L$11),"x","")</f>
        <v/>
      </c>
      <c r="S281" s="84" t="str">
        <f>IF(AND($O281=$Q$7,$B281&lt;'111'!$L$11),"x","")</f>
        <v/>
      </c>
      <c r="T281" s="84" t="str">
        <f>IF(ISERROR(FIND('112'!$M$9,G281,1)),"",IF((AND(FIND('112'!$M$9,G281,1)&gt;=1,B281='112'!$K$9,OR($N281='112'!$I$6,$O281='112'!$I$6))),"x",""))</f>
        <v/>
      </c>
      <c r="U281" s="84" t="str">
        <f>IF(ISERROR(FIND('112'!$M$9,G281,1)),"",IF((AND(LEFT(G281,2)=LEFT('112'!$M$9,2),B281&lt;'112'!$K$9,$N281='112'!$I$6)),"x",""))</f>
        <v/>
      </c>
      <c r="V281" s="84" t="str">
        <f>IF(ISERROR(FIND('112'!$M$9,G281,1)),"",IF((AND(RIGHT(G281,2)=RIGHT('112'!$M$9,2),B281&lt;'112'!$K$9,$O281='112'!$I$6)),"x",""))</f>
        <v/>
      </c>
      <c r="W281" s="84" t="str">
        <f>IF(AND('341-CT'!$H$9=H281,OR(LEFT(N281,3)=$W$7,LEFT(O281,3)=$W$7)),"x","")</f>
        <v/>
      </c>
      <c r="X281" s="84" t="str">
        <f>IF(OR(TH!N281=TH!$X$7,O281=TH!$X$7),"x","")</f>
        <v/>
      </c>
      <c r="Y281" s="84" t="str">
        <f>IF(AND(OR(N281="131",O281="131"),H281='131-CT'!$H$9),"x","")</f>
        <v/>
      </c>
      <c r="Z281" s="84"/>
      <c r="AA281" s="84" t="str">
        <f>IF(AND(MONTH(E281)='IN-NX'!$J$5,'IN-NX'!$D$7=D281),"x","")</f>
        <v/>
      </c>
      <c r="AB281" s="84" t="str">
        <f>IF(AND(OR(LEFT(TH!N281,2)="15",LEFT(TH!O281,2)="15"),LEFT(TH!O281,3)&lt;&gt;"111",'152-CT'!$J$8=TH!F281),"x","")</f>
        <v/>
      </c>
      <c r="AC281" s="84" t="str">
        <f>IF(AND(OR(LEFT(TH!N281,2)="15",LEFT(TH!O281,2)="15"),TK!$E$7=TH!F281),"x","")</f>
        <v/>
      </c>
      <c r="AD281" s="84" t="str">
        <f>IF(AND(N281="1521",MONTH(C281)='BK-NL'!$M$11),"x","")</f>
        <v/>
      </c>
    </row>
    <row r="282" spans="1:31" s="347" customFormat="1" ht="15.75" hidden="1" customHeight="1">
      <c r="A282" s="336" t="str">
        <f>IF(B282&lt;&gt;"",IF(AND(B282='IN-TC'!$S$4,OR(TH!N282="1111",TH!O282="1111")),TH!D282,""),"")</f>
        <v/>
      </c>
      <c r="B282" s="63">
        <f t="shared" si="45"/>
        <v>8</v>
      </c>
      <c r="C282" s="94">
        <v>42599</v>
      </c>
      <c r="D282" s="94" t="s">
        <v>1680</v>
      </c>
      <c r="E282" s="94">
        <f t="shared" si="46"/>
        <v>42599</v>
      </c>
      <c r="F282" s="95" t="s">
        <v>1915</v>
      </c>
      <c r="G282" s="95" t="s">
        <v>1916</v>
      </c>
      <c r="H282" s="988" t="s">
        <v>1559</v>
      </c>
      <c r="I282" s="445">
        <v>10000</v>
      </c>
      <c r="J282" s="445">
        <v>146014</v>
      </c>
      <c r="K282" s="436"/>
      <c r="L282" s="445"/>
      <c r="M282" s="97">
        <f t="shared" si="43"/>
        <v>1460140000</v>
      </c>
      <c r="N282" s="85" t="s">
        <v>294</v>
      </c>
      <c r="O282" s="85" t="s">
        <v>284</v>
      </c>
      <c r="P282" s="84" t="str">
        <f>IF(AND('331-CT'!$E$7=TH!H282,OR(N282="331",O282="331")),"x","")</f>
        <v/>
      </c>
      <c r="Q282" s="84" t="str">
        <f>IF(AND(B282='111'!$L$11,OR($N282=$Q$7,$O282=$Q$7)),"x","")</f>
        <v/>
      </c>
      <c r="R282" s="84" t="str">
        <f>IF(AND($N282=$Q$7,$B282&lt;'111'!$L$11),"x","")</f>
        <v/>
      </c>
      <c r="S282" s="84" t="str">
        <f>IF(AND($O282=$Q$7,$B282&lt;'111'!$L$11),"x","")</f>
        <v/>
      </c>
      <c r="T282" s="84" t="str">
        <f>IF(ISERROR(FIND('112'!$M$9,G282,1)),"",IF((AND(FIND('112'!$M$9,G282,1)&gt;=1,B282='112'!$K$9,OR($N282='112'!$I$6,$O282='112'!$I$6))),"x",""))</f>
        <v/>
      </c>
      <c r="U282" s="84" t="str">
        <f>IF(ISERROR(FIND('112'!$M$9,G282,1)),"",IF((AND(LEFT(G282,2)=LEFT('112'!$M$9,2),B282&lt;'112'!$K$9,$N282='112'!$I$6)),"x",""))</f>
        <v/>
      </c>
      <c r="V282" s="84" t="str">
        <f>IF(ISERROR(FIND('112'!$M$9,G282,1)),"",IF((AND(RIGHT(G282,2)=RIGHT('112'!$M$9,2),B282&lt;'112'!$K$9,$O282='112'!$I$6)),"x",""))</f>
        <v/>
      </c>
      <c r="W282" s="84" t="str">
        <f>IF(AND('341-CT'!$H$9=H282,OR(LEFT(N282,3)=$W$7,LEFT(O282,3)=$W$7)),"x","")</f>
        <v/>
      </c>
      <c r="X282" s="84" t="str">
        <f>IF(OR(TH!N282=TH!$X$7,O282=TH!$X$7),"x","")</f>
        <v/>
      </c>
      <c r="Y282" s="84" t="str">
        <f>IF(AND(OR(N282="131",O282="131"),H282='131-CT'!$H$9),"x","")</f>
        <v/>
      </c>
      <c r="Z282" s="84"/>
      <c r="AA282" s="84" t="str">
        <f>IF(AND(MONTH(E282)='IN-NX'!$J$5,'IN-NX'!$D$7=D282),"x","")</f>
        <v/>
      </c>
      <c r="AB282" s="84" t="str">
        <f>IF(AND(OR(LEFT(TH!N282,2)="15",LEFT(TH!O282,2)="15"),LEFT(TH!O282,3)&lt;&gt;"111",'152-CT'!$J$8=TH!F282),"x","")</f>
        <v/>
      </c>
      <c r="AC282" s="84" t="str">
        <f>IF(AND(OR(LEFT(TH!N282,2)="15",LEFT(TH!O282,2)="15"),TK!$E$7=TH!F282),"x","")</f>
        <v/>
      </c>
      <c r="AD282" s="84" t="str">
        <f>IF(AND(N282="1521",MONTH(C282)='BK-NL'!$M$11),"x","")</f>
        <v/>
      </c>
    </row>
    <row r="283" spans="1:31" s="347" customFormat="1" ht="15.75" hidden="1" customHeight="1">
      <c r="A283" s="336" t="str">
        <f>IF(B283&lt;&gt;"",IF(AND(B283='IN-TC'!$S$4,OR(TH!N283="1111",TH!O283="1111")),TH!D283,""),"")</f>
        <v/>
      </c>
      <c r="B283" s="63">
        <f t="shared" si="45"/>
        <v>8</v>
      </c>
      <c r="C283" s="94">
        <v>42606</v>
      </c>
      <c r="D283" s="94" t="s">
        <v>1917</v>
      </c>
      <c r="E283" s="94">
        <f t="shared" si="46"/>
        <v>42606</v>
      </c>
      <c r="F283" s="95" t="s">
        <v>1918</v>
      </c>
      <c r="G283" s="95" t="s">
        <v>1920</v>
      </c>
      <c r="H283" s="988" t="s">
        <v>1546</v>
      </c>
      <c r="I283" s="445">
        <v>8100</v>
      </c>
      <c r="J283" s="445">
        <v>14741</v>
      </c>
      <c r="K283" s="436"/>
      <c r="L283" s="445"/>
      <c r="M283" s="97">
        <f t="shared" si="43"/>
        <v>119402100</v>
      </c>
      <c r="N283" s="85" t="s">
        <v>294</v>
      </c>
      <c r="O283" s="85" t="s">
        <v>284</v>
      </c>
      <c r="P283" s="84" t="str">
        <f>IF(AND('331-CT'!$E$7=TH!H283,OR(N283="331",O283="331")),"x","")</f>
        <v/>
      </c>
      <c r="Q283" s="84" t="str">
        <f>IF(AND(B283='111'!$L$11,OR($N283=$Q$7,$O283=$Q$7)),"x","")</f>
        <v/>
      </c>
      <c r="R283" s="84" t="str">
        <f>IF(AND($N283=$Q$7,$B283&lt;'111'!$L$11),"x","")</f>
        <v/>
      </c>
      <c r="S283" s="84" t="str">
        <f>IF(AND($O283=$Q$7,$B283&lt;'111'!$L$11),"x","")</f>
        <v/>
      </c>
      <c r="T283" s="84" t="str">
        <f>IF(ISERROR(FIND('112'!$M$9,G283,1)),"",IF((AND(FIND('112'!$M$9,G283,1)&gt;=1,B283='112'!$K$9,OR($N283='112'!$I$6,$O283='112'!$I$6))),"x",""))</f>
        <v/>
      </c>
      <c r="U283" s="84" t="str">
        <f>IF(ISERROR(FIND('112'!$M$9,G283,1)),"",IF((AND(LEFT(G283,2)=LEFT('112'!$M$9,2),B283&lt;'112'!$K$9,$N283='112'!$I$6)),"x",""))</f>
        <v/>
      </c>
      <c r="V283" s="84" t="str">
        <f>IF(ISERROR(FIND('112'!$M$9,G283,1)),"",IF((AND(RIGHT(G283,2)=RIGHT('112'!$M$9,2),B283&lt;'112'!$K$9,$O283='112'!$I$6)),"x",""))</f>
        <v/>
      </c>
      <c r="W283" s="84" t="str">
        <f>IF(AND('341-CT'!$H$9=H283,OR(LEFT(N283,3)=$W$7,LEFT(O283,3)=$W$7)),"x","")</f>
        <v/>
      </c>
      <c r="X283" s="84" t="str">
        <f>IF(OR(TH!N283=TH!$X$7,O283=TH!$X$7),"x","")</f>
        <v/>
      </c>
      <c r="Y283" s="84" t="str">
        <f>IF(AND(OR(N283="131",O283="131"),H283='131-CT'!$H$9),"x","")</f>
        <v/>
      </c>
      <c r="Z283" s="84"/>
      <c r="AA283" s="84" t="str">
        <f>IF(AND(MONTH(E283)='IN-NX'!$J$5,'IN-NX'!$D$7=D283),"x","")</f>
        <v/>
      </c>
      <c r="AB283" s="84" t="str">
        <f>IF(AND(OR(LEFT(TH!N283,2)="15",LEFT(TH!O283,2)="15"),LEFT(TH!O283,3)&lt;&gt;"111",'152-CT'!$J$8=TH!F283),"x","")</f>
        <v/>
      </c>
      <c r="AC283" s="84" t="str">
        <f>IF(AND(OR(LEFT(TH!N283,2)="15",LEFT(TH!O283,2)="15"),TK!$E$7=TH!F283),"x","")</f>
        <v/>
      </c>
      <c r="AD283" s="84" t="str">
        <f>IF(AND(N283="1521",MONTH(C283)='BK-NL'!$M$11),"x","")</f>
        <v/>
      </c>
    </row>
    <row r="284" spans="1:31" s="347" customFormat="1" ht="15.75" hidden="1" customHeight="1">
      <c r="A284" s="336" t="str">
        <f>IF(B284&lt;&gt;"",IF(AND(B284='IN-TC'!$S$4,OR(TH!N284="1111",TH!O284="1111")),TH!D284,""),"")</f>
        <v/>
      </c>
      <c r="B284" s="63">
        <f t="shared" ref="B284:B322" si="47">IF(C284&lt;&gt;"",MONTH(C284),"")</f>
        <v>8</v>
      </c>
      <c r="C284" s="94">
        <v>42606</v>
      </c>
      <c r="D284" s="94" t="s">
        <v>1917</v>
      </c>
      <c r="E284" s="94">
        <f>C284</f>
        <v>42606</v>
      </c>
      <c r="F284" s="95" t="s">
        <v>1919</v>
      </c>
      <c r="G284" s="95" t="s">
        <v>1920</v>
      </c>
      <c r="H284" s="988" t="s">
        <v>1546</v>
      </c>
      <c r="I284" s="445">
        <v>3150</v>
      </c>
      <c r="J284" s="445">
        <v>14442</v>
      </c>
      <c r="K284" s="436"/>
      <c r="L284" s="445"/>
      <c r="M284" s="97">
        <f t="shared" si="43"/>
        <v>45492300</v>
      </c>
      <c r="N284" s="85" t="s">
        <v>294</v>
      </c>
      <c r="O284" s="85" t="s">
        <v>284</v>
      </c>
      <c r="P284" s="84" t="str">
        <f>IF(AND('331-CT'!$E$7=TH!H284,OR(N284="331",O284="331")),"x","")</f>
        <v/>
      </c>
      <c r="Q284" s="84" t="str">
        <f>IF(AND(B284='111'!$L$11,OR($N284=$Q$7,$O284=$Q$7)),"x","")</f>
        <v/>
      </c>
      <c r="R284" s="84" t="str">
        <f>IF(AND($N284=$Q$7,$B284&lt;'111'!$L$11),"x","")</f>
        <v/>
      </c>
      <c r="S284" s="84" t="str">
        <f>IF(AND($O284=$Q$7,$B284&lt;'111'!$L$11),"x","")</f>
        <v/>
      </c>
      <c r="T284" s="84" t="str">
        <f>IF(ISERROR(FIND('112'!$M$9,G284,1)),"",IF((AND(FIND('112'!$M$9,G284,1)&gt;=1,B284='112'!$K$9,OR($N284='112'!$I$6,$O284='112'!$I$6))),"x",""))</f>
        <v/>
      </c>
      <c r="U284" s="84" t="str">
        <f>IF(ISERROR(FIND('112'!$M$9,G284,1)),"",IF((AND(LEFT(G284,2)=LEFT('112'!$M$9,2),B284&lt;'112'!$K$9,$N284='112'!$I$6)),"x",""))</f>
        <v/>
      </c>
      <c r="V284" s="84" t="str">
        <f>IF(ISERROR(FIND('112'!$M$9,G284,1)),"",IF((AND(RIGHT(G284,2)=RIGHT('112'!$M$9,2),B284&lt;'112'!$K$9,$O284='112'!$I$6)),"x",""))</f>
        <v/>
      </c>
      <c r="W284" s="84" t="str">
        <f>IF(AND('341-CT'!$H$9=H284,OR(LEFT(N284,3)=$W$7,LEFT(O284,3)=$W$7)),"x","")</f>
        <v/>
      </c>
      <c r="X284" s="84" t="str">
        <f>IF(OR(TH!N284=TH!$X$7,O284=TH!$X$7),"x","")</f>
        <v/>
      </c>
      <c r="Y284" s="84" t="str">
        <f>IF(AND(OR(N284="131",O284="131"),H284='131-CT'!$H$9),"x","")</f>
        <v/>
      </c>
      <c r="Z284" s="84"/>
      <c r="AA284" s="84" t="str">
        <f>IF(AND(MONTH(E284)='IN-NX'!$J$5,'IN-NX'!$D$7=D284),"x","")</f>
        <v/>
      </c>
      <c r="AB284" s="84" t="str">
        <f>IF(AND(OR(LEFT(TH!N284,2)="15",LEFT(TH!O284,2)="15"),LEFT(TH!O284,3)&lt;&gt;"111",'152-CT'!$J$8=TH!F284),"x","")</f>
        <v/>
      </c>
      <c r="AC284" s="84" t="str">
        <f>IF(AND(OR(LEFT(TH!N284,2)="15",LEFT(TH!O284,2)="15"),TK!$E$7=TH!F284),"x","")</f>
        <v/>
      </c>
      <c r="AD284" s="84" t="str">
        <f>IF(AND(N284="1521",MONTH(C284)='BK-NL'!$M$11),"x","")</f>
        <v/>
      </c>
    </row>
    <row r="285" spans="1:31" s="347" customFormat="1" ht="15.75" hidden="1" customHeight="1">
      <c r="A285" s="336" t="str">
        <f>IF(B285&lt;&gt;"",IF(AND(B285='IN-TC'!$S$4,OR(TH!N285="1111",TH!O285="1111")),TH!D285,""),"")</f>
        <v/>
      </c>
      <c r="B285" s="63">
        <f t="shared" si="47"/>
        <v>8</v>
      </c>
      <c r="C285" s="94">
        <v>42608</v>
      </c>
      <c r="D285" s="94" t="s">
        <v>1921</v>
      </c>
      <c r="E285" s="94">
        <f>C285</f>
        <v>42608</v>
      </c>
      <c r="F285" s="95" t="s">
        <v>1922</v>
      </c>
      <c r="G285" s="95" t="s">
        <v>1923</v>
      </c>
      <c r="H285" s="988" t="s">
        <v>1887</v>
      </c>
      <c r="I285" s="445">
        <v>500</v>
      </c>
      <c r="J285" s="445">
        <v>234011</v>
      </c>
      <c r="K285" s="436"/>
      <c r="L285" s="445"/>
      <c r="M285" s="97">
        <f t="shared" si="43"/>
        <v>117005500</v>
      </c>
      <c r="N285" s="85" t="s">
        <v>294</v>
      </c>
      <c r="O285" s="85" t="s">
        <v>284</v>
      </c>
      <c r="P285" s="84" t="str">
        <f>IF(AND('331-CT'!$E$7=TH!H285,OR(N285="331",O285="331")),"x","")</f>
        <v/>
      </c>
      <c r="Q285" s="84" t="str">
        <f>IF(AND(B285='111'!$L$11,OR($N285=$Q$7,$O285=$Q$7)),"x","")</f>
        <v/>
      </c>
      <c r="R285" s="84" t="str">
        <f>IF(AND($N285=$Q$7,$B285&lt;'111'!$L$11),"x","")</f>
        <v/>
      </c>
      <c r="S285" s="84" t="str">
        <f>IF(AND($O285=$Q$7,$B285&lt;'111'!$L$11),"x","")</f>
        <v/>
      </c>
      <c r="T285" s="84" t="str">
        <f>IF(ISERROR(FIND('112'!$M$9,G285,1)),"",IF((AND(FIND('112'!$M$9,G285,1)&gt;=1,B285='112'!$K$9,OR($N285='112'!$I$6,$O285='112'!$I$6))),"x",""))</f>
        <v/>
      </c>
      <c r="U285" s="84" t="str">
        <f>IF(ISERROR(FIND('112'!$M$9,G285,1)),"",IF((AND(LEFT(G285,2)=LEFT('112'!$M$9,2),B285&lt;'112'!$K$9,$N285='112'!$I$6)),"x",""))</f>
        <v/>
      </c>
      <c r="V285" s="84" t="str">
        <f>IF(ISERROR(FIND('112'!$M$9,G285,1)),"",IF((AND(RIGHT(G285,2)=RIGHT('112'!$M$9,2),B285&lt;'112'!$K$9,$O285='112'!$I$6)),"x",""))</f>
        <v/>
      </c>
      <c r="W285" s="84" t="str">
        <f>IF(AND('341-CT'!$H$9=H285,OR(LEFT(N285,3)=$W$7,LEFT(O285,3)=$W$7)),"x","")</f>
        <v/>
      </c>
      <c r="X285" s="84" t="str">
        <f>IF(OR(TH!N285=TH!$X$7,O285=TH!$X$7),"x","")</f>
        <v/>
      </c>
      <c r="Y285" s="84" t="str">
        <f>IF(AND(OR(N285="131",O285="131"),H285='131-CT'!$H$9),"x","")</f>
        <v/>
      </c>
      <c r="Z285" s="84"/>
      <c r="AA285" s="84" t="str">
        <f>IF(AND(MONTH(E285)='IN-NX'!$J$5,'IN-NX'!$D$7=D285),"x","")</f>
        <v/>
      </c>
      <c r="AB285" s="84" t="str">
        <f>IF(AND(OR(LEFT(TH!N285,2)="15",LEFT(TH!O285,2)="15"),LEFT(TH!O285,3)&lt;&gt;"111",'152-CT'!$J$8=TH!F285),"x","")</f>
        <v/>
      </c>
      <c r="AC285" s="84" t="str">
        <f>IF(AND(OR(LEFT(TH!N285,2)="15",LEFT(TH!O285,2)="15"),TK!$E$7=TH!F285),"x","")</f>
        <v/>
      </c>
      <c r="AD285" s="84" t="str">
        <f>IF(AND(N285="1521",MONTH(C285)='BK-NL'!$M$11),"x","")</f>
        <v/>
      </c>
    </row>
    <row r="286" spans="1:31" s="341" customFormat="1" ht="15.75" hidden="1" customHeight="1">
      <c r="A286" s="336" t="str">
        <f>IF(B286&lt;&gt;"",IF(AND(B286='IN-TC'!$S$4,OR(TH!N286="1111",TH!O286="1111")),TH!D286,""),"")</f>
        <v/>
      </c>
      <c r="B286" s="63">
        <f t="shared" si="47"/>
        <v>1</v>
      </c>
      <c r="C286" s="80">
        <f t="shared" ref="C286:C301" si="48">E286</f>
        <v>42374</v>
      </c>
      <c r="D286" s="80" t="s">
        <v>677</v>
      </c>
      <c r="E286" s="80">
        <v>42374</v>
      </c>
      <c r="F286" s="81" t="s">
        <v>348</v>
      </c>
      <c r="G286" s="985" t="s">
        <v>670</v>
      </c>
      <c r="H286" s="82" t="s">
        <v>675</v>
      </c>
      <c r="I286" s="437">
        <v>1000</v>
      </c>
      <c r="J286" s="437">
        <v>13571.429</v>
      </c>
      <c r="K286" s="428"/>
      <c r="L286" s="437"/>
      <c r="M286" s="83">
        <v>13571429</v>
      </c>
      <c r="N286" s="84" t="s">
        <v>276</v>
      </c>
      <c r="O286" s="84" t="s">
        <v>8</v>
      </c>
      <c r="P286" s="84" t="str">
        <f>IF(AND('331-CT'!$E$7=TH!H286,OR(N286="331",O286="331")),"x","")</f>
        <v/>
      </c>
      <c r="Q286" s="84" t="str">
        <f>IF(AND(B286='111'!$L$11,OR($N286=$Q$7,$O286=$Q$7)),"x","")</f>
        <v/>
      </c>
      <c r="R286" s="84" t="str">
        <f>IF(AND($N286=$Q$7,$B286&lt;'111'!$L$11),"x","")</f>
        <v/>
      </c>
      <c r="S286" s="84" t="str">
        <f>IF(AND($O286=$Q$7,$B286&lt;'111'!$L$11),"x","")</f>
        <v/>
      </c>
      <c r="T286" s="84" t="str">
        <f>IF(ISERROR(FIND('112'!$M$9,G286,1)),"",IF((AND(FIND('112'!$M$9,G286,1)&gt;=1,B286='112'!$K$9,OR($N286='112'!$I$6,$O286='112'!$I$6))),"x",""))</f>
        <v/>
      </c>
      <c r="U286" s="84" t="str">
        <f>IF(ISERROR(FIND('112'!$M$9,G286,1)),"",IF((AND(LEFT(G286,2)=LEFT('112'!$M$9,2),B286&lt;'112'!$K$9,$N286='112'!$I$6)),"x",""))</f>
        <v/>
      </c>
      <c r="V286" s="84" t="str">
        <f>IF(ISERROR(FIND('112'!$M$9,G286,1)),"",IF((AND(RIGHT(G286,2)=RIGHT('112'!$M$9,2),B286&lt;'112'!$K$9,$O286='112'!$I$6)),"x",""))</f>
        <v/>
      </c>
      <c r="W286" s="84" t="str">
        <f>IF(AND('341-CT'!$H$9=H286,OR(LEFT(N286,3)=$W$7,LEFT(O286,3)=$W$7)),"x","")</f>
        <v/>
      </c>
      <c r="X286" s="84" t="str">
        <f>IF(OR(TH!N286=TH!$X$7,O286=TH!$X$7),"x","")</f>
        <v/>
      </c>
      <c r="Y286" s="84" t="str">
        <f>IF(AND(OR(N286="131",O286="131"),H286='131-CT'!$H$9),"x","")</f>
        <v/>
      </c>
      <c r="Z286" s="84"/>
      <c r="AA286" s="84" t="str">
        <f>IF(AND(MONTH(E286)='IN-NX'!$J$5,'IN-NX'!$D$7=D286),"x","")</f>
        <v/>
      </c>
      <c r="AB286" s="84" t="str">
        <f>IF(AND(OR(LEFT(TH!N286,2)="15",LEFT(TH!O286,2)="15"),LEFT(TH!O286,3)&lt;&gt;"111",'152-CT'!$J$8=TH!F286),"x","")</f>
        <v/>
      </c>
      <c r="AC286" s="84" t="str">
        <f>IF(AND(OR(LEFT(TH!N286,2)="15",LEFT(TH!O286,2)="15"),TK!$E$7=TH!F286),"x","")</f>
        <v>x</v>
      </c>
      <c r="AD286" s="84" t="str">
        <f>IF(AND(N286="1521",MONTH(C286)='BK-NL'!$M$11),"x","")</f>
        <v/>
      </c>
      <c r="AE286" s="1146" t="str">
        <f t="shared" ref="AE286:AE301" si="49">IF(H286&lt;&gt;VLOOKUP(H286,DSKH,1,0),"","x")</f>
        <v>x</v>
      </c>
    </row>
    <row r="287" spans="1:31" s="341" customFormat="1" ht="15.75" hidden="1" customHeight="1">
      <c r="A287" s="336" t="str">
        <f>IF(B287&lt;&gt;"",IF(AND(B287='IN-TC'!$S$4,OR(TH!N287="1111",TH!O287="1111")),TH!D287,""),"")</f>
        <v/>
      </c>
      <c r="B287" s="63">
        <f t="shared" si="47"/>
        <v>1</v>
      </c>
      <c r="C287" s="80">
        <f t="shared" si="48"/>
        <v>42374</v>
      </c>
      <c r="D287" s="80" t="s">
        <v>677</v>
      </c>
      <c r="E287" s="80">
        <v>42374</v>
      </c>
      <c r="F287" s="81" t="s">
        <v>649</v>
      </c>
      <c r="G287" s="985" t="s">
        <v>670</v>
      </c>
      <c r="H287" s="82" t="s">
        <v>675</v>
      </c>
      <c r="I287" s="437"/>
      <c r="J287" s="437"/>
      <c r="K287" s="428"/>
      <c r="L287" s="437"/>
      <c r="M287" s="83">
        <v>678571</v>
      </c>
      <c r="N287" s="84" t="s">
        <v>9</v>
      </c>
      <c r="O287" s="84" t="s">
        <v>8</v>
      </c>
      <c r="P287" s="84" t="str">
        <f>IF(AND('331-CT'!$E$7=TH!H287,OR(N287="331",O287="331")),"x","")</f>
        <v/>
      </c>
      <c r="Q287" s="84" t="str">
        <f>IF(AND(B287='111'!$L$11,OR($N287=$Q$7,$O287=$Q$7)),"x","")</f>
        <v/>
      </c>
      <c r="R287" s="84" t="str">
        <f>IF(AND($N287=$Q$7,$B287&lt;'111'!$L$11),"x","")</f>
        <v/>
      </c>
      <c r="S287" s="84" t="str">
        <f>IF(AND($O287=$Q$7,$B287&lt;'111'!$L$11),"x","")</f>
        <v/>
      </c>
      <c r="T287" s="84" t="str">
        <f>IF(ISERROR(FIND('112'!$M$9,G287,1)),"",IF((AND(FIND('112'!$M$9,G287,1)&gt;=1,B287='112'!$K$9,OR($N287='112'!$I$6,$O287='112'!$I$6))),"x",""))</f>
        <v/>
      </c>
      <c r="U287" s="84" t="str">
        <f>IF(ISERROR(FIND('112'!$M$9,G287,1)),"",IF((AND(LEFT(G287,2)=LEFT('112'!$M$9,2),B287&lt;'112'!$K$9,$N287='112'!$I$6)),"x",""))</f>
        <v/>
      </c>
      <c r="V287" s="84" t="str">
        <f>IF(ISERROR(FIND('112'!$M$9,G287,1)),"",IF((AND(RIGHT(G287,2)=RIGHT('112'!$M$9,2),B287&lt;'112'!$K$9,$O287='112'!$I$6)),"x",""))</f>
        <v/>
      </c>
      <c r="W287" s="84" t="str">
        <f>IF(AND('341-CT'!$H$9=H287,OR(LEFT(N287,3)=$W$7,LEFT(O287,3)=$W$7)),"x","")</f>
        <v/>
      </c>
      <c r="X287" s="84" t="str">
        <f>IF(OR(TH!N287=TH!$X$7,O287=TH!$X$7),"x","")</f>
        <v/>
      </c>
      <c r="Y287" s="84" t="str">
        <f>IF(AND(OR(N287="131",O287="131"),H287='131-CT'!$H$9),"x","")</f>
        <v/>
      </c>
      <c r="Z287" s="84"/>
      <c r="AA287" s="84" t="str">
        <f>IF(AND(MONTH(E287)='IN-NX'!$J$5,'IN-NX'!$D$7=D287),"x","")</f>
        <v/>
      </c>
      <c r="AB287" s="84" t="str">
        <f>IF(AND(OR(LEFT(TH!N287,2)="15",LEFT(TH!O287,2)="15"),LEFT(TH!O287,3)&lt;&gt;"111",'152-CT'!$J$8=TH!F287),"x","")</f>
        <v/>
      </c>
      <c r="AC287" s="84" t="str">
        <f>IF(AND(OR(LEFT(TH!N287,2)="15",LEFT(TH!O287,2)="15"),TK!$E$7=TH!F287),"x","")</f>
        <v/>
      </c>
      <c r="AD287" s="84" t="str">
        <f>IF(AND(N287="1521",MONTH(C287)='BK-NL'!$M$11),"x","")</f>
        <v/>
      </c>
      <c r="AE287" s="1146" t="str">
        <f t="shared" si="49"/>
        <v>x</v>
      </c>
    </row>
    <row r="288" spans="1:31" s="341" customFormat="1" ht="15.75" hidden="1" customHeight="1">
      <c r="A288" s="336" t="str">
        <f>IF(B288&lt;&gt;"",IF(AND(B288='IN-TC'!$S$4,OR(TH!N288="1111",TH!O288="1111")),TH!D288,""),"")</f>
        <v/>
      </c>
      <c r="B288" s="63">
        <f t="shared" si="47"/>
        <v>1</v>
      </c>
      <c r="C288" s="80">
        <f t="shared" si="48"/>
        <v>42374</v>
      </c>
      <c r="D288" s="80" t="s">
        <v>678</v>
      </c>
      <c r="E288" s="80">
        <v>42374</v>
      </c>
      <c r="F288" s="81" t="s">
        <v>363</v>
      </c>
      <c r="G288" s="81" t="s">
        <v>672</v>
      </c>
      <c r="H288" s="82" t="s">
        <v>676</v>
      </c>
      <c r="I288" s="437">
        <v>1000</v>
      </c>
      <c r="J288" s="437">
        <v>33000</v>
      </c>
      <c r="K288" s="428"/>
      <c r="L288" s="437"/>
      <c r="M288" s="83">
        <v>33000000</v>
      </c>
      <c r="N288" s="84" t="s">
        <v>276</v>
      </c>
      <c r="O288" s="84" t="s">
        <v>8</v>
      </c>
      <c r="P288" s="84" t="str">
        <f>IF(AND('331-CT'!$E$7=TH!H288,OR(N288="331",O288="331")),"x","")</f>
        <v/>
      </c>
      <c r="Q288" s="84" t="str">
        <f>IF(AND(B288='111'!$L$11,OR($N288=$Q$7,$O288=$Q$7)),"x","")</f>
        <v/>
      </c>
      <c r="R288" s="84" t="str">
        <f>IF(AND($N288=$Q$7,$B288&lt;'111'!$L$11),"x","")</f>
        <v/>
      </c>
      <c r="S288" s="84" t="str">
        <f>IF(AND($O288=$Q$7,$B288&lt;'111'!$L$11),"x","")</f>
        <v/>
      </c>
      <c r="T288" s="84" t="str">
        <f>IF(ISERROR(FIND('112'!$M$9,G288,1)),"",IF((AND(FIND('112'!$M$9,G288,1)&gt;=1,B288='112'!$K$9,OR($N288='112'!$I$6,$O288='112'!$I$6))),"x",""))</f>
        <v/>
      </c>
      <c r="U288" s="84" t="str">
        <f>IF(ISERROR(FIND('112'!$M$9,G288,1)),"",IF((AND(LEFT(G288,2)=LEFT('112'!$M$9,2),B288&lt;'112'!$K$9,$N288='112'!$I$6)),"x",""))</f>
        <v/>
      </c>
      <c r="V288" s="84" t="str">
        <f>IF(ISERROR(FIND('112'!$M$9,G288,1)),"",IF((AND(RIGHT(G288,2)=RIGHT('112'!$M$9,2),B288&lt;'112'!$K$9,$O288='112'!$I$6)),"x",""))</f>
        <v/>
      </c>
      <c r="W288" s="84" t="str">
        <f>IF(AND('341-CT'!$H$9=H288,OR(LEFT(N288,3)=$W$7,LEFT(O288,3)=$W$7)),"x","")</f>
        <v/>
      </c>
      <c r="X288" s="84" t="str">
        <f>IF(OR(TH!N288=TH!$X$7,O288=TH!$X$7),"x","")</f>
        <v/>
      </c>
      <c r="Y288" s="84" t="str">
        <f>IF(AND(OR(N288="131",O288="131"),H288='131-CT'!$H$9),"x","")</f>
        <v/>
      </c>
      <c r="Z288" s="84"/>
      <c r="AA288" s="84" t="str">
        <f>IF(AND(MONTH(E288)='IN-NX'!$J$5,'IN-NX'!$D$7=D288),"x","")</f>
        <v/>
      </c>
      <c r="AB288" s="84" t="str">
        <f>IF(AND(OR(LEFT(TH!N288,2)="15",LEFT(TH!O288,2)="15"),LEFT(TH!O288,3)&lt;&gt;"111",'152-CT'!$J$8=TH!F288),"x","")</f>
        <v>x</v>
      </c>
      <c r="AC288" s="84" t="str">
        <f>IF(AND(OR(LEFT(TH!N288,2)="15",LEFT(TH!O288,2)="15"),TK!$E$7=TH!F288),"x","")</f>
        <v/>
      </c>
      <c r="AD288" s="84" t="str">
        <f>IF(AND(N288="1521",MONTH(C288)='BK-NL'!$M$11),"x","")</f>
        <v/>
      </c>
      <c r="AE288" s="1146" t="str">
        <f t="shared" si="49"/>
        <v>x</v>
      </c>
    </row>
    <row r="289" spans="1:31" s="341" customFormat="1" ht="15.75" hidden="1" customHeight="1">
      <c r="A289" s="336" t="str">
        <f>IF(B289&lt;&gt;"",IF(AND(B289='IN-TC'!$S$4,OR(TH!N289="1111",TH!O289="1111")),TH!D289,""),"")</f>
        <v/>
      </c>
      <c r="B289" s="63">
        <f t="shared" si="47"/>
        <v>1</v>
      </c>
      <c r="C289" s="80">
        <f t="shared" si="48"/>
        <v>42374</v>
      </c>
      <c r="D289" s="80" t="s">
        <v>678</v>
      </c>
      <c r="E289" s="80">
        <v>42374</v>
      </c>
      <c r="F289" s="81" t="s">
        <v>650</v>
      </c>
      <c r="G289" s="81" t="s">
        <v>672</v>
      </c>
      <c r="H289" s="82" t="s">
        <v>676</v>
      </c>
      <c r="I289" s="437"/>
      <c r="J289" s="437"/>
      <c r="K289" s="428"/>
      <c r="L289" s="437"/>
      <c r="M289" s="83">
        <v>3300000</v>
      </c>
      <c r="N289" s="84" t="s">
        <v>9</v>
      </c>
      <c r="O289" s="84" t="s">
        <v>8</v>
      </c>
      <c r="P289" s="84" t="str">
        <f>IF(AND('331-CT'!$E$7=TH!H289,OR(N289="331",O289="331")),"x","")</f>
        <v/>
      </c>
      <c r="Q289" s="84" t="str">
        <f>IF(AND(B289='111'!$L$11,OR($N289=$Q$7,$O289=$Q$7)),"x","")</f>
        <v/>
      </c>
      <c r="R289" s="84" t="str">
        <f>IF(AND($N289=$Q$7,$B289&lt;'111'!$L$11),"x","")</f>
        <v/>
      </c>
      <c r="S289" s="84" t="str">
        <f>IF(AND($O289=$Q$7,$B289&lt;'111'!$L$11),"x","")</f>
        <v/>
      </c>
      <c r="T289" s="84" t="str">
        <f>IF(ISERROR(FIND('112'!$M$9,G289,1)),"",IF((AND(FIND('112'!$M$9,G289,1)&gt;=1,B289='112'!$K$9,OR($N289='112'!$I$6,$O289='112'!$I$6))),"x",""))</f>
        <v/>
      </c>
      <c r="U289" s="84" t="str">
        <f>IF(ISERROR(FIND('112'!$M$9,G289,1)),"",IF((AND(LEFT(G289,2)=LEFT('112'!$M$9,2),B289&lt;'112'!$K$9,$N289='112'!$I$6)),"x",""))</f>
        <v/>
      </c>
      <c r="V289" s="84" t="str">
        <f>IF(ISERROR(FIND('112'!$M$9,G289,1)),"",IF((AND(RIGHT(G289,2)=RIGHT('112'!$M$9,2),B289&lt;'112'!$K$9,$O289='112'!$I$6)),"x",""))</f>
        <v/>
      </c>
      <c r="W289" s="84" t="str">
        <f>IF(AND('341-CT'!$H$9=H289,OR(LEFT(N289,3)=$W$7,LEFT(O289,3)=$W$7)),"x","")</f>
        <v/>
      </c>
      <c r="X289" s="84" t="str">
        <f>IF(OR(TH!N289=TH!$X$7,O289=TH!$X$7),"x","")</f>
        <v/>
      </c>
      <c r="Y289" s="84" t="str">
        <f>IF(AND(OR(N289="131",O289="131"),H289='131-CT'!$H$9),"x","")</f>
        <v/>
      </c>
      <c r="Z289" s="84"/>
      <c r="AA289" s="84" t="str">
        <f>IF(AND(MONTH(E289)='IN-NX'!$J$5,'IN-NX'!$D$7=D289),"x","")</f>
        <v/>
      </c>
      <c r="AB289" s="84" t="str">
        <f>IF(AND(OR(LEFT(TH!N289,2)="15",LEFT(TH!O289,2)="15"),LEFT(TH!O289,3)&lt;&gt;"111",'152-CT'!$J$8=TH!F289),"x","")</f>
        <v/>
      </c>
      <c r="AC289" s="84" t="str">
        <f>IF(AND(OR(LEFT(TH!N289,2)="15",LEFT(TH!O289,2)="15"),TK!$E$7=TH!F289),"x","")</f>
        <v/>
      </c>
      <c r="AD289" s="84" t="str">
        <f>IF(AND(N289="1521",MONTH(C289)='BK-NL'!$M$11),"x","")</f>
        <v/>
      </c>
      <c r="AE289" s="1146" t="str">
        <f t="shared" si="49"/>
        <v>x</v>
      </c>
    </row>
    <row r="290" spans="1:31" s="341" customFormat="1" ht="15.75" hidden="1" customHeight="1">
      <c r="A290" s="336" t="str">
        <f>IF(B290&lt;&gt;"",IF(AND(B290='IN-TC'!$S$4,OR(TH!N290="1111",TH!O290="1111")),TH!D290,""),"")</f>
        <v/>
      </c>
      <c r="B290" s="63">
        <f t="shared" si="47"/>
        <v>1</v>
      </c>
      <c r="C290" s="80">
        <f t="shared" si="48"/>
        <v>42375</v>
      </c>
      <c r="D290" s="80" t="s">
        <v>679</v>
      </c>
      <c r="E290" s="80">
        <v>42375</v>
      </c>
      <c r="F290" s="81" t="s">
        <v>356</v>
      </c>
      <c r="G290" s="985" t="s">
        <v>672</v>
      </c>
      <c r="H290" s="82" t="s">
        <v>626</v>
      </c>
      <c r="I290" s="437">
        <v>5400</v>
      </c>
      <c r="J290" s="437">
        <v>14400</v>
      </c>
      <c r="K290" s="428"/>
      <c r="L290" s="437"/>
      <c r="M290" s="83">
        <v>77760000</v>
      </c>
      <c r="N290" s="84" t="s">
        <v>276</v>
      </c>
      <c r="O290" s="84" t="s">
        <v>8</v>
      </c>
      <c r="P290" s="84" t="str">
        <f>IF(AND('331-CT'!$E$7=TH!H290,OR(N290="331",O290="331")),"x","")</f>
        <v/>
      </c>
      <c r="Q290" s="84" t="str">
        <f>IF(AND(B290='111'!$L$11,OR($N290=$Q$7,$O290=$Q$7)),"x","")</f>
        <v/>
      </c>
      <c r="R290" s="84" t="str">
        <f>IF(AND($N290=$Q$7,$B290&lt;'111'!$L$11),"x","")</f>
        <v/>
      </c>
      <c r="S290" s="84" t="str">
        <f>IF(AND($O290=$Q$7,$B290&lt;'111'!$L$11),"x","")</f>
        <v/>
      </c>
      <c r="T290" s="84" t="str">
        <f>IF(ISERROR(FIND('112'!$M$9,G290,1)),"",IF((AND(FIND('112'!$M$9,G290,1)&gt;=1,B290='112'!$K$9,OR($N290='112'!$I$6,$O290='112'!$I$6))),"x",""))</f>
        <v/>
      </c>
      <c r="U290" s="84" t="str">
        <f>IF(ISERROR(FIND('112'!$M$9,G290,1)),"",IF((AND(LEFT(G290,2)=LEFT('112'!$M$9,2),B290&lt;'112'!$K$9,$N290='112'!$I$6)),"x",""))</f>
        <v/>
      </c>
      <c r="V290" s="84" t="str">
        <f>IF(ISERROR(FIND('112'!$M$9,G290,1)),"",IF((AND(RIGHT(G290,2)=RIGHT('112'!$M$9,2),B290&lt;'112'!$K$9,$O290='112'!$I$6)),"x",""))</f>
        <v/>
      </c>
      <c r="W290" s="84" t="str">
        <f>IF(AND('341-CT'!$H$9=H290,OR(LEFT(N290,3)=$W$7,LEFT(O290,3)=$W$7)),"x","")</f>
        <v/>
      </c>
      <c r="X290" s="84" t="str">
        <f>IF(OR(TH!N290=TH!$X$7,O290=TH!$X$7),"x","")</f>
        <v/>
      </c>
      <c r="Y290" s="84" t="str">
        <f>IF(AND(OR(N290="131",O290="131"),H290='131-CT'!$H$9),"x","")</f>
        <v/>
      </c>
      <c r="Z290" s="84"/>
      <c r="AA290" s="84" t="str">
        <f>IF(AND(MONTH(E290)='IN-NX'!$J$5,'IN-NX'!$D$7=D290),"x","")</f>
        <v/>
      </c>
      <c r="AB290" s="84" t="str">
        <f>IF(AND(OR(LEFT(TH!N290,2)="15",LEFT(TH!O290,2)="15"),LEFT(TH!O290,3)&lt;&gt;"111",'152-CT'!$J$8=TH!F290),"x","")</f>
        <v/>
      </c>
      <c r="AC290" s="84" t="str">
        <f>IF(AND(OR(LEFT(TH!N290,2)="15",LEFT(TH!O290,2)="15"),TK!$E$7=TH!F290),"x","")</f>
        <v/>
      </c>
      <c r="AD290" s="84" t="str">
        <f>IF(AND(N290="1521",MONTH(C290)='BK-NL'!$M$11),"x","")</f>
        <v/>
      </c>
      <c r="AE290" s="1146" t="str">
        <f t="shared" si="49"/>
        <v>x</v>
      </c>
    </row>
    <row r="291" spans="1:31" s="341" customFormat="1" ht="15.75" hidden="1" customHeight="1">
      <c r="A291" s="336" t="str">
        <f>IF(B291&lt;&gt;"",IF(AND(B291='IN-TC'!$S$4,OR(TH!N291="1111",TH!O291="1111")),TH!D291,""),"")</f>
        <v/>
      </c>
      <c r="B291" s="63">
        <f t="shared" si="47"/>
        <v>1</v>
      </c>
      <c r="C291" s="80">
        <f t="shared" si="48"/>
        <v>42375</v>
      </c>
      <c r="D291" s="80" t="s">
        <v>679</v>
      </c>
      <c r="E291" s="80">
        <v>42375</v>
      </c>
      <c r="F291" s="81" t="s">
        <v>651</v>
      </c>
      <c r="G291" s="985" t="s">
        <v>672</v>
      </c>
      <c r="H291" s="82" t="s">
        <v>626</v>
      </c>
      <c r="I291" s="437"/>
      <c r="J291" s="437"/>
      <c r="K291" s="428"/>
      <c r="L291" s="437"/>
      <c r="M291" s="83">
        <v>7776000</v>
      </c>
      <c r="N291" s="84" t="s">
        <v>9</v>
      </c>
      <c r="O291" s="84" t="s">
        <v>8</v>
      </c>
      <c r="P291" s="84" t="str">
        <f>IF(AND('331-CT'!$E$7=TH!H291,OR(N291="331",O291="331")),"x","")</f>
        <v/>
      </c>
      <c r="Q291" s="84" t="str">
        <f>IF(AND(B291='111'!$L$11,OR($N291=$Q$7,$O291=$Q$7)),"x","")</f>
        <v/>
      </c>
      <c r="R291" s="84" t="str">
        <f>IF(AND($N291=$Q$7,$B291&lt;'111'!$L$11),"x","")</f>
        <v/>
      </c>
      <c r="S291" s="84" t="str">
        <f>IF(AND($O291=$Q$7,$B291&lt;'111'!$L$11),"x","")</f>
        <v/>
      </c>
      <c r="T291" s="84" t="str">
        <f>IF(ISERROR(FIND('112'!$M$9,G291,1)),"",IF((AND(FIND('112'!$M$9,G291,1)&gt;=1,B291='112'!$K$9,OR($N291='112'!$I$6,$O291='112'!$I$6))),"x",""))</f>
        <v/>
      </c>
      <c r="U291" s="84" t="str">
        <f>IF(ISERROR(FIND('112'!$M$9,G291,1)),"",IF((AND(LEFT(G291,2)=LEFT('112'!$M$9,2),B291&lt;'112'!$K$9,$N291='112'!$I$6)),"x",""))</f>
        <v/>
      </c>
      <c r="V291" s="84" t="str">
        <f>IF(ISERROR(FIND('112'!$M$9,G291,1)),"",IF((AND(RIGHT(G291,2)=RIGHT('112'!$M$9,2),B291&lt;'112'!$K$9,$O291='112'!$I$6)),"x",""))</f>
        <v/>
      </c>
      <c r="W291" s="84" t="str">
        <f>IF(AND('341-CT'!$H$9=H291,OR(LEFT(N291,3)=$W$7,LEFT(O291,3)=$W$7)),"x","")</f>
        <v/>
      </c>
      <c r="X291" s="84" t="str">
        <f>IF(OR(TH!N291=TH!$X$7,O291=TH!$X$7),"x","")</f>
        <v/>
      </c>
      <c r="Y291" s="84" t="str">
        <f>IF(AND(OR(N291="131",O291="131"),H291='131-CT'!$H$9),"x","")</f>
        <v/>
      </c>
      <c r="Z291" s="84"/>
      <c r="AA291" s="84" t="str">
        <f>IF(AND(MONTH(E291)='IN-NX'!$J$5,'IN-NX'!$D$7=D291),"x","")</f>
        <v/>
      </c>
      <c r="AB291" s="84" t="str">
        <f>IF(AND(OR(LEFT(TH!N291,2)="15",LEFT(TH!O291,2)="15"),LEFT(TH!O291,3)&lt;&gt;"111",'152-CT'!$J$8=TH!F291),"x","")</f>
        <v/>
      </c>
      <c r="AC291" s="84" t="str">
        <f>IF(AND(OR(LEFT(TH!N291,2)="15",LEFT(TH!O291,2)="15"),TK!$E$7=TH!F291),"x","")</f>
        <v/>
      </c>
      <c r="AD291" s="84" t="str">
        <f>IF(AND(N291="1521",MONTH(C291)='BK-NL'!$M$11),"x","")</f>
        <v/>
      </c>
      <c r="AE291" s="1146" t="str">
        <f t="shared" si="49"/>
        <v>x</v>
      </c>
    </row>
    <row r="292" spans="1:31" s="341" customFormat="1" ht="15.75" hidden="1" customHeight="1">
      <c r="A292" s="336" t="str">
        <f>IF(B292&lt;&gt;"",IF(AND(B292='IN-TC'!$S$4,OR(TH!N292="1111",TH!O292="1111")),TH!D292,""),"")</f>
        <v/>
      </c>
      <c r="B292" s="63">
        <f t="shared" si="47"/>
        <v>1</v>
      </c>
      <c r="C292" s="80">
        <f t="shared" si="48"/>
        <v>42383</v>
      </c>
      <c r="D292" s="80" t="s">
        <v>680</v>
      </c>
      <c r="E292" s="80">
        <v>42383</v>
      </c>
      <c r="F292" s="81" t="s">
        <v>390</v>
      </c>
      <c r="G292" s="81" t="s">
        <v>673</v>
      </c>
      <c r="H292" s="82" t="s">
        <v>624</v>
      </c>
      <c r="I292" s="437">
        <v>1150</v>
      </c>
      <c r="J292" s="437">
        <v>12000</v>
      </c>
      <c r="K292" s="428"/>
      <c r="L292" s="437"/>
      <c r="M292" s="83">
        <f>ROUND(I292*J292,0)</f>
        <v>13800000</v>
      </c>
      <c r="N292" s="84" t="s">
        <v>276</v>
      </c>
      <c r="O292" s="84" t="s">
        <v>8</v>
      </c>
      <c r="P292" s="84" t="str">
        <f>IF(AND('331-CT'!$E$7=TH!H292,OR(N292="331",O292="331")),"x","")</f>
        <v/>
      </c>
      <c r="Q292" s="84" t="str">
        <f>IF(AND(B292='111'!$L$11,OR($N292=$Q$7,$O292=$Q$7)),"x","")</f>
        <v/>
      </c>
      <c r="R292" s="84" t="str">
        <f>IF(AND($N292=$Q$7,$B292&lt;'111'!$L$11),"x","")</f>
        <v/>
      </c>
      <c r="S292" s="84" t="str">
        <f>IF(AND($O292=$Q$7,$B292&lt;'111'!$L$11),"x","")</f>
        <v/>
      </c>
      <c r="T292" s="84" t="str">
        <f>IF(ISERROR(FIND('112'!$M$9,G292,1)),"",IF((AND(FIND('112'!$M$9,G292,1)&gt;=1,B292='112'!$K$9,OR($N292='112'!$I$6,$O292='112'!$I$6))),"x",""))</f>
        <v/>
      </c>
      <c r="U292" s="84" t="str">
        <f>IF(ISERROR(FIND('112'!$M$9,G292,1)),"",IF((AND(LEFT(G292,2)=LEFT('112'!$M$9,2),B292&lt;'112'!$K$9,$N292='112'!$I$6)),"x",""))</f>
        <v/>
      </c>
      <c r="V292" s="84" t="str">
        <f>IF(ISERROR(FIND('112'!$M$9,G292,1)),"",IF((AND(RIGHT(G292,2)=RIGHT('112'!$M$9,2),B292&lt;'112'!$K$9,$O292='112'!$I$6)),"x",""))</f>
        <v/>
      </c>
      <c r="W292" s="84" t="str">
        <f>IF(AND('341-CT'!$H$9=H292,OR(LEFT(N292,3)=$W$7,LEFT(O292,3)=$W$7)),"x","")</f>
        <v/>
      </c>
      <c r="X292" s="84" t="str">
        <f>IF(OR(TH!N292=TH!$X$7,O292=TH!$X$7),"x","")</f>
        <v/>
      </c>
      <c r="Y292" s="84" t="str">
        <f>IF(AND(OR(N292="131",O292="131"),H292='131-CT'!$H$9),"x","")</f>
        <v/>
      </c>
      <c r="Z292" s="84"/>
      <c r="AA292" s="84" t="str">
        <f>IF(AND(MONTH(E292)='IN-NX'!$J$5,'IN-NX'!$D$7=D292),"x","")</f>
        <v/>
      </c>
      <c r="AB292" s="84" t="str">
        <f>IF(AND(OR(LEFT(TH!N292,2)="15",LEFT(TH!O292,2)="15"),LEFT(TH!O292,3)&lt;&gt;"111",'152-CT'!$J$8=TH!F292),"x","")</f>
        <v/>
      </c>
      <c r="AC292" s="84" t="str">
        <f>IF(AND(OR(LEFT(TH!N292,2)="15",LEFT(TH!O292,2)="15"),TK!$E$7=TH!F292),"x","")</f>
        <v/>
      </c>
      <c r="AD292" s="84" t="str">
        <f>IF(AND(N292="1521",MONTH(C292)='BK-NL'!$M$11),"x","")</f>
        <v/>
      </c>
      <c r="AE292" s="1146" t="str">
        <f t="shared" si="49"/>
        <v>x</v>
      </c>
    </row>
    <row r="293" spans="1:31" s="341" customFormat="1" ht="15.75" hidden="1" customHeight="1">
      <c r="A293" s="336" t="str">
        <f>IF(B293&lt;&gt;"",IF(AND(B293='IN-TC'!$S$4,OR(TH!N293="1111",TH!O293="1111")),TH!D293,""),"")</f>
        <v/>
      </c>
      <c r="B293" s="63">
        <f t="shared" si="47"/>
        <v>1</v>
      </c>
      <c r="C293" s="80">
        <f t="shared" si="48"/>
        <v>42383</v>
      </c>
      <c r="D293" s="80" t="s">
        <v>680</v>
      </c>
      <c r="E293" s="80">
        <v>42383</v>
      </c>
      <c r="F293" s="81" t="s">
        <v>392</v>
      </c>
      <c r="G293" s="81" t="s">
        <v>673</v>
      </c>
      <c r="H293" s="82" t="s">
        <v>624</v>
      </c>
      <c r="I293" s="437">
        <v>150</v>
      </c>
      <c r="J293" s="437">
        <v>9500</v>
      </c>
      <c r="K293" s="428"/>
      <c r="L293" s="437"/>
      <c r="M293" s="83">
        <f>ROUND(I293*J293,0)</f>
        <v>1425000</v>
      </c>
      <c r="N293" s="84" t="s">
        <v>276</v>
      </c>
      <c r="O293" s="84" t="s">
        <v>8</v>
      </c>
      <c r="P293" s="84" t="str">
        <f>IF(AND('331-CT'!$E$7=TH!H293,OR(N293="331",O293="331")),"x","")</f>
        <v/>
      </c>
      <c r="Q293" s="84" t="str">
        <f>IF(AND(B293='111'!$L$11,OR($N293=$Q$7,$O293=$Q$7)),"x","")</f>
        <v/>
      </c>
      <c r="R293" s="84" t="str">
        <f>IF(AND($N293=$Q$7,$B293&lt;'111'!$L$11),"x","")</f>
        <v/>
      </c>
      <c r="S293" s="84" t="str">
        <f>IF(AND($O293=$Q$7,$B293&lt;'111'!$L$11),"x","")</f>
        <v/>
      </c>
      <c r="T293" s="84" t="str">
        <f>IF(ISERROR(FIND('112'!$M$9,G293,1)),"",IF((AND(FIND('112'!$M$9,G293,1)&gt;=1,B293='112'!$K$9,OR($N293='112'!$I$6,$O293='112'!$I$6))),"x",""))</f>
        <v/>
      </c>
      <c r="U293" s="84" t="str">
        <f>IF(ISERROR(FIND('112'!$M$9,G293,1)),"",IF((AND(LEFT(G293,2)=LEFT('112'!$M$9,2),B293&lt;'112'!$K$9,$N293='112'!$I$6)),"x",""))</f>
        <v/>
      </c>
      <c r="V293" s="84" t="str">
        <f>IF(ISERROR(FIND('112'!$M$9,G293,1)),"",IF((AND(RIGHT(G293,2)=RIGHT('112'!$M$9,2),B293&lt;'112'!$K$9,$O293='112'!$I$6)),"x",""))</f>
        <v/>
      </c>
      <c r="W293" s="84" t="str">
        <f>IF(AND('341-CT'!$H$9=H293,OR(LEFT(N293,3)=$W$7,LEFT(O293,3)=$W$7)),"x","")</f>
        <v/>
      </c>
      <c r="X293" s="84" t="str">
        <f>IF(OR(TH!N293=TH!$X$7,O293=TH!$X$7),"x","")</f>
        <v/>
      </c>
      <c r="Y293" s="84" t="str">
        <f>IF(AND(OR(N293="131",O293="131"),H293='131-CT'!$H$9),"x","")</f>
        <v/>
      </c>
      <c r="Z293" s="84"/>
      <c r="AA293" s="84" t="str">
        <f>IF(AND(MONTH(E293)='IN-NX'!$J$5,'IN-NX'!$D$7=D293),"x","")</f>
        <v/>
      </c>
      <c r="AB293" s="84" t="str">
        <f>IF(AND(OR(LEFT(TH!N293,2)="15",LEFT(TH!O293,2)="15"),LEFT(TH!O293,3)&lt;&gt;"111",'152-CT'!$J$8=TH!F293),"x","")</f>
        <v/>
      </c>
      <c r="AC293" s="84" t="str">
        <f>IF(AND(OR(LEFT(TH!N293,2)="15",LEFT(TH!O293,2)="15"),TK!$E$7=TH!F293),"x","")</f>
        <v/>
      </c>
      <c r="AD293" s="84" t="str">
        <f>IF(AND(N293="1521",MONTH(C293)='BK-NL'!$M$11),"x","")</f>
        <v/>
      </c>
      <c r="AE293" s="1146" t="str">
        <f t="shared" si="49"/>
        <v>x</v>
      </c>
    </row>
    <row r="294" spans="1:31" s="341" customFormat="1" ht="15.75" hidden="1" customHeight="1">
      <c r="A294" s="336" t="str">
        <f>IF(B294&lt;&gt;"",IF(AND(B294='IN-TC'!$S$4,OR(TH!N294="1111",TH!O294="1111")),TH!D294,""),"")</f>
        <v/>
      </c>
      <c r="B294" s="63">
        <f t="shared" si="47"/>
        <v>1</v>
      </c>
      <c r="C294" s="80">
        <f t="shared" si="48"/>
        <v>42383</v>
      </c>
      <c r="D294" s="80" t="s">
        <v>680</v>
      </c>
      <c r="E294" s="80">
        <v>42383</v>
      </c>
      <c r="F294" s="81" t="s">
        <v>394</v>
      </c>
      <c r="G294" s="81" t="s">
        <v>673</v>
      </c>
      <c r="H294" s="82" t="s">
        <v>624</v>
      </c>
      <c r="I294" s="437">
        <v>400</v>
      </c>
      <c r="J294" s="437">
        <v>17000</v>
      </c>
      <c r="K294" s="428"/>
      <c r="L294" s="437"/>
      <c r="M294" s="83">
        <f>ROUND(I294*J294,0)</f>
        <v>6800000</v>
      </c>
      <c r="N294" s="84" t="s">
        <v>276</v>
      </c>
      <c r="O294" s="84" t="s">
        <v>8</v>
      </c>
      <c r="P294" s="84" t="str">
        <f>IF(AND('331-CT'!$E$7=TH!H294,OR(N294="331",O294="331")),"x","")</f>
        <v/>
      </c>
      <c r="Q294" s="84" t="str">
        <f>IF(AND(B294='111'!$L$11,OR($N294=$Q$7,$O294=$Q$7)),"x","")</f>
        <v/>
      </c>
      <c r="R294" s="84" t="str">
        <f>IF(AND($N294=$Q$7,$B294&lt;'111'!$L$11),"x","")</f>
        <v/>
      </c>
      <c r="S294" s="84" t="str">
        <f>IF(AND($O294=$Q$7,$B294&lt;'111'!$L$11),"x","")</f>
        <v/>
      </c>
      <c r="T294" s="84" t="str">
        <f>IF(ISERROR(FIND('112'!$M$9,G294,1)),"",IF((AND(FIND('112'!$M$9,G294,1)&gt;=1,B294='112'!$K$9,OR($N294='112'!$I$6,$O294='112'!$I$6))),"x",""))</f>
        <v/>
      </c>
      <c r="U294" s="84" t="str">
        <f>IF(ISERROR(FIND('112'!$M$9,G294,1)),"",IF((AND(LEFT(G294,2)=LEFT('112'!$M$9,2),B294&lt;'112'!$K$9,$N294='112'!$I$6)),"x",""))</f>
        <v/>
      </c>
      <c r="V294" s="84" t="str">
        <f>IF(ISERROR(FIND('112'!$M$9,G294,1)),"",IF((AND(RIGHT(G294,2)=RIGHT('112'!$M$9,2),B294&lt;'112'!$K$9,$O294='112'!$I$6)),"x",""))</f>
        <v/>
      </c>
      <c r="W294" s="84" t="str">
        <f>IF(AND('341-CT'!$H$9=H294,OR(LEFT(N294,3)=$W$7,LEFT(O294,3)=$W$7)),"x","")</f>
        <v/>
      </c>
      <c r="X294" s="84" t="str">
        <f>IF(OR(TH!N294=TH!$X$7,O294=TH!$X$7),"x","")</f>
        <v/>
      </c>
      <c r="Y294" s="84" t="str">
        <f>IF(AND(OR(N294="131",O294="131"),H294='131-CT'!$H$9),"x","")</f>
        <v/>
      </c>
      <c r="Z294" s="84"/>
      <c r="AA294" s="84" t="str">
        <f>IF(AND(MONTH(E294)='IN-NX'!$J$5,'IN-NX'!$D$7=D294),"x","")</f>
        <v/>
      </c>
      <c r="AB294" s="84" t="str">
        <f>IF(AND(OR(LEFT(TH!N294,2)="15",LEFT(TH!O294,2)="15"),LEFT(TH!O294,3)&lt;&gt;"111",'152-CT'!$J$8=TH!F294),"x","")</f>
        <v/>
      </c>
      <c r="AC294" s="84" t="str">
        <f>IF(AND(OR(LEFT(TH!N294,2)="15",LEFT(TH!O294,2)="15"),TK!$E$7=TH!F294),"x","")</f>
        <v/>
      </c>
      <c r="AD294" s="84" t="str">
        <f>IF(AND(N294="1521",MONTH(C294)='BK-NL'!$M$11),"x","")</f>
        <v/>
      </c>
      <c r="AE294" s="1146" t="str">
        <f t="shared" si="49"/>
        <v>x</v>
      </c>
    </row>
    <row r="295" spans="1:31" s="343" customFormat="1" ht="15.75" hidden="1" customHeight="1">
      <c r="A295" s="336" t="str">
        <f>IF(B295&lt;&gt;"",IF(AND(B295='IN-TC'!$S$4,OR(TH!N295="1111",TH!O295="1111")),TH!D295,""),"")</f>
        <v/>
      </c>
      <c r="B295" s="63">
        <f t="shared" si="47"/>
        <v>1</v>
      </c>
      <c r="C295" s="80">
        <f t="shared" si="48"/>
        <v>42383</v>
      </c>
      <c r="D295" s="80" t="s">
        <v>680</v>
      </c>
      <c r="E295" s="80">
        <v>42383</v>
      </c>
      <c r="F295" s="81" t="s">
        <v>1091</v>
      </c>
      <c r="G295" s="81" t="s">
        <v>673</v>
      </c>
      <c r="H295" s="82" t="s">
        <v>624</v>
      </c>
      <c r="I295" s="437">
        <v>400</v>
      </c>
      <c r="J295" s="437">
        <v>2500</v>
      </c>
      <c r="K295" s="428"/>
      <c r="L295" s="437"/>
      <c r="M295" s="83">
        <f>ROUND(I295*J295,0)</f>
        <v>1000000</v>
      </c>
      <c r="N295" s="84" t="s">
        <v>276</v>
      </c>
      <c r="O295" s="84" t="s">
        <v>8</v>
      </c>
      <c r="P295" s="84" t="str">
        <f>IF(AND('331-CT'!$E$7=TH!H295,OR(N295="331",O295="331")),"x","")</f>
        <v/>
      </c>
      <c r="Q295" s="84" t="str">
        <f>IF(AND(B295='111'!$L$11,OR($N295=$Q$7,$O295=$Q$7)),"x","")</f>
        <v/>
      </c>
      <c r="R295" s="84" t="str">
        <f>IF(AND($N295=$Q$7,$B295&lt;'111'!$L$11),"x","")</f>
        <v/>
      </c>
      <c r="S295" s="84" t="str">
        <f>IF(AND($O295=$Q$7,$B295&lt;'111'!$L$11),"x","")</f>
        <v/>
      </c>
      <c r="T295" s="84" t="str">
        <f>IF(ISERROR(FIND('112'!$M$9,G295,1)),"",IF((AND(FIND('112'!$M$9,G295,1)&gt;=1,B295='112'!$K$9,OR($N295='112'!$I$6,$O295='112'!$I$6))),"x",""))</f>
        <v/>
      </c>
      <c r="U295" s="84" t="str">
        <f>IF(ISERROR(FIND('112'!$M$9,G295,1)),"",IF((AND(LEFT(G295,2)=LEFT('112'!$M$9,2),B295&lt;'112'!$K$9,$N295='112'!$I$6)),"x",""))</f>
        <v/>
      </c>
      <c r="V295" s="84" t="str">
        <f>IF(ISERROR(FIND('112'!$M$9,G295,1)),"",IF((AND(RIGHT(G295,2)=RIGHT('112'!$M$9,2),B295&lt;'112'!$K$9,$O295='112'!$I$6)),"x",""))</f>
        <v/>
      </c>
      <c r="W295" s="84" t="str">
        <f>IF(AND('341-CT'!$H$9=H295,OR(LEFT(N295,3)=$W$7,LEFT(O295,3)=$W$7)),"x","")</f>
        <v/>
      </c>
      <c r="X295" s="84" t="str">
        <f>IF(OR(TH!N295=TH!$X$7,O295=TH!$X$7),"x","")</f>
        <v/>
      </c>
      <c r="Y295" s="84" t="str">
        <f>IF(AND(OR(N295="131",O295="131"),H295='131-CT'!$H$9),"x","")</f>
        <v/>
      </c>
      <c r="Z295" s="84"/>
      <c r="AA295" s="84" t="str">
        <f>IF(AND(MONTH(E295)='IN-NX'!$J$5,'IN-NX'!$D$7=D295),"x","")</f>
        <v/>
      </c>
      <c r="AB295" s="84" t="str">
        <f>IF(AND(OR(LEFT(TH!N295,2)="15",LEFT(TH!O295,2)="15"),LEFT(TH!O295,3)&lt;&gt;"111",'152-CT'!$J$8=TH!F295),"x","")</f>
        <v/>
      </c>
      <c r="AC295" s="84" t="str">
        <f>IF(AND(OR(LEFT(TH!N295,2)="15",LEFT(TH!O295,2)="15"),TK!$E$7=TH!F295),"x","")</f>
        <v/>
      </c>
      <c r="AD295" s="84" t="str">
        <f>IF(AND(N295="1521",MONTH(C295)='BK-NL'!$M$11),"x","")</f>
        <v/>
      </c>
      <c r="AE295" s="1146" t="str">
        <f t="shared" si="49"/>
        <v>x</v>
      </c>
    </row>
    <row r="296" spans="1:31" s="343" customFormat="1" ht="15.75" hidden="1" customHeight="1">
      <c r="A296" s="336" t="str">
        <f>IF(B296&lt;&gt;"",IF(AND(B296='IN-TC'!$S$4,OR(TH!N296="1111",TH!O296="1111")),TH!D296,""),"")</f>
        <v/>
      </c>
      <c r="B296" s="63">
        <f t="shared" si="47"/>
        <v>1</v>
      </c>
      <c r="C296" s="80">
        <f t="shared" si="48"/>
        <v>42383</v>
      </c>
      <c r="D296" s="80" t="s">
        <v>680</v>
      </c>
      <c r="E296" s="80">
        <v>42383</v>
      </c>
      <c r="F296" s="81" t="s">
        <v>401</v>
      </c>
      <c r="G296" s="81" t="s">
        <v>673</v>
      </c>
      <c r="H296" s="82" t="s">
        <v>624</v>
      </c>
      <c r="I296" s="437">
        <v>620</v>
      </c>
      <c r="J296" s="437">
        <v>18300</v>
      </c>
      <c r="K296" s="428"/>
      <c r="L296" s="437"/>
      <c r="M296" s="83">
        <f>ROUND(I296*J296,0)</f>
        <v>11346000</v>
      </c>
      <c r="N296" s="84" t="s">
        <v>276</v>
      </c>
      <c r="O296" s="84" t="s">
        <v>8</v>
      </c>
      <c r="P296" s="84" t="str">
        <f>IF(AND('331-CT'!$E$7=TH!H296,OR(N296="331",O296="331")),"x","")</f>
        <v/>
      </c>
      <c r="Q296" s="84" t="str">
        <f>IF(AND(B296='111'!$L$11,OR($N296=$Q$7,$O296=$Q$7)),"x","")</f>
        <v/>
      </c>
      <c r="R296" s="84" t="str">
        <f>IF(AND($N296=$Q$7,$B296&lt;'111'!$L$11),"x","")</f>
        <v/>
      </c>
      <c r="S296" s="84" t="str">
        <f>IF(AND($O296=$Q$7,$B296&lt;'111'!$L$11),"x","")</f>
        <v/>
      </c>
      <c r="T296" s="84" t="str">
        <f>IF(ISERROR(FIND('112'!$M$9,G296,1)),"",IF((AND(FIND('112'!$M$9,G296,1)&gt;=1,B296='112'!$K$9,OR($N296='112'!$I$6,$O296='112'!$I$6))),"x",""))</f>
        <v/>
      </c>
      <c r="U296" s="84" t="str">
        <f>IF(ISERROR(FIND('112'!$M$9,G296,1)),"",IF((AND(LEFT(G296,2)=LEFT('112'!$M$9,2),B296&lt;'112'!$K$9,$N296='112'!$I$6)),"x",""))</f>
        <v/>
      </c>
      <c r="V296" s="84" t="str">
        <f>IF(ISERROR(FIND('112'!$M$9,G296,1)),"",IF((AND(RIGHT(G296,2)=RIGHT('112'!$M$9,2),B296&lt;'112'!$K$9,$O296='112'!$I$6)),"x",""))</f>
        <v/>
      </c>
      <c r="W296" s="84" t="str">
        <f>IF(AND('341-CT'!$H$9=H296,OR(LEFT(N296,3)=$W$7,LEFT(O296,3)=$W$7)),"x","")</f>
        <v/>
      </c>
      <c r="X296" s="84" t="str">
        <f>IF(OR(TH!N296=TH!$X$7,O296=TH!$X$7),"x","")</f>
        <v/>
      </c>
      <c r="Y296" s="84" t="str">
        <f>IF(AND(OR(N296="131",O296="131"),H296='131-CT'!$H$9),"x","")</f>
        <v/>
      </c>
      <c r="Z296" s="84"/>
      <c r="AA296" s="84" t="str">
        <f>IF(AND(MONTH(E296)='IN-NX'!$J$5,'IN-NX'!$D$7=D296),"x","")</f>
        <v/>
      </c>
      <c r="AB296" s="84" t="str">
        <f>IF(AND(OR(LEFT(TH!N296,2)="15",LEFT(TH!O296,2)="15"),LEFT(TH!O296,3)&lt;&gt;"111",'152-CT'!$J$8=TH!F296),"x","")</f>
        <v/>
      </c>
      <c r="AC296" s="84" t="str">
        <f>IF(AND(OR(LEFT(TH!N296,2)="15",LEFT(TH!O296,2)="15"),TK!$E$7=TH!F296),"x","")</f>
        <v/>
      </c>
      <c r="AD296" s="84" t="str">
        <f>IF(AND(N296="1521",MONTH(C296)='BK-NL'!$M$11),"x","")</f>
        <v/>
      </c>
      <c r="AE296" s="1146" t="str">
        <f t="shared" si="49"/>
        <v>x</v>
      </c>
    </row>
    <row r="297" spans="1:31" s="341" customFormat="1" ht="15.75" hidden="1" customHeight="1">
      <c r="A297" s="336" t="str">
        <f>IF(B297&lt;&gt;"",IF(AND(B297='IN-TC'!$S$4,OR(TH!N297="1111",TH!O297="1111")),TH!D297,""),"")</f>
        <v/>
      </c>
      <c r="B297" s="63">
        <f t="shared" si="47"/>
        <v>1</v>
      </c>
      <c r="C297" s="80">
        <f t="shared" si="48"/>
        <v>42383</v>
      </c>
      <c r="D297" s="80" t="s">
        <v>680</v>
      </c>
      <c r="E297" s="80">
        <v>42383</v>
      </c>
      <c r="F297" s="81" t="s">
        <v>652</v>
      </c>
      <c r="G297" s="81" t="s">
        <v>673</v>
      </c>
      <c r="H297" s="82" t="s">
        <v>624</v>
      </c>
      <c r="I297" s="437"/>
      <c r="J297" s="437"/>
      <c r="K297" s="428"/>
      <c r="L297" s="437"/>
      <c r="M297" s="83">
        <v>3437100</v>
      </c>
      <c r="N297" s="84" t="s">
        <v>9</v>
      </c>
      <c r="O297" s="84" t="s">
        <v>8</v>
      </c>
      <c r="P297" s="84" t="str">
        <f>IF(AND('331-CT'!$E$7=TH!H297,OR(N297="331",O297="331")),"x","")</f>
        <v/>
      </c>
      <c r="Q297" s="84" t="str">
        <f>IF(AND(B297='111'!$L$11,OR($N297=$Q$7,$O297=$Q$7)),"x","")</f>
        <v/>
      </c>
      <c r="R297" s="84" t="str">
        <f>IF(AND($N297=$Q$7,$B297&lt;'111'!$L$11),"x","")</f>
        <v/>
      </c>
      <c r="S297" s="84" t="str">
        <f>IF(AND($O297=$Q$7,$B297&lt;'111'!$L$11),"x","")</f>
        <v/>
      </c>
      <c r="T297" s="84" t="str">
        <f>IF(ISERROR(FIND('112'!$M$9,G297,1)),"",IF((AND(FIND('112'!$M$9,G297,1)&gt;=1,B297='112'!$K$9,OR($N297='112'!$I$6,$O297='112'!$I$6))),"x",""))</f>
        <v/>
      </c>
      <c r="U297" s="84" t="str">
        <f>IF(ISERROR(FIND('112'!$M$9,G297,1)),"",IF((AND(LEFT(G297,2)=LEFT('112'!$M$9,2),B297&lt;'112'!$K$9,$N297='112'!$I$6)),"x",""))</f>
        <v/>
      </c>
      <c r="V297" s="84" t="str">
        <f>IF(ISERROR(FIND('112'!$M$9,G297,1)),"",IF((AND(RIGHT(G297,2)=RIGHT('112'!$M$9,2),B297&lt;'112'!$K$9,$O297='112'!$I$6)),"x",""))</f>
        <v/>
      </c>
      <c r="W297" s="84" t="str">
        <f>IF(AND('341-CT'!$H$9=H297,OR(LEFT(N297,3)=$W$7,LEFT(O297,3)=$W$7)),"x","")</f>
        <v/>
      </c>
      <c r="X297" s="84" t="str">
        <f>IF(OR(TH!N297=TH!$X$7,O297=TH!$X$7),"x","")</f>
        <v/>
      </c>
      <c r="Y297" s="84" t="str">
        <f>IF(AND(OR(N297="131",O297="131"),H297='131-CT'!$H$9),"x","")</f>
        <v/>
      </c>
      <c r="Z297" s="84"/>
      <c r="AA297" s="84" t="str">
        <f>IF(AND(MONTH(E297)='IN-NX'!$J$5,'IN-NX'!$D$7=D297),"x","")</f>
        <v/>
      </c>
      <c r="AB297" s="84" t="str">
        <f>IF(AND(OR(LEFT(TH!N297,2)="15",LEFT(TH!O297,2)="15"),LEFT(TH!O297,3)&lt;&gt;"111",'152-CT'!$J$8=TH!F297),"x","")</f>
        <v/>
      </c>
      <c r="AC297" s="84" t="str">
        <f>IF(AND(OR(LEFT(TH!N297,2)="15",LEFT(TH!O297,2)="15"),TK!$E$7=TH!F297),"x","")</f>
        <v/>
      </c>
      <c r="AD297" s="84" t="str">
        <f>IF(AND(N297="1521",MONTH(C297)='BK-NL'!$M$11),"x","")</f>
        <v/>
      </c>
      <c r="AE297" s="1146" t="str">
        <f t="shared" si="49"/>
        <v>x</v>
      </c>
    </row>
    <row r="298" spans="1:31" s="341" customFormat="1" ht="15.75" hidden="1" customHeight="1">
      <c r="A298" s="336" t="str">
        <f>IF(B298&lt;&gt;"",IF(AND(B298='IN-TC'!$S$4,OR(TH!N298="1111",TH!O298="1111")),TH!D298,""),"")</f>
        <v/>
      </c>
      <c r="B298" s="63">
        <f t="shared" si="47"/>
        <v>1</v>
      </c>
      <c r="C298" s="80">
        <f t="shared" si="48"/>
        <v>42387</v>
      </c>
      <c r="D298" s="80" t="s">
        <v>681</v>
      </c>
      <c r="E298" s="80">
        <v>42387</v>
      </c>
      <c r="F298" s="81" t="s">
        <v>348</v>
      </c>
      <c r="G298" s="985" t="s">
        <v>671</v>
      </c>
      <c r="H298" s="82" t="s">
        <v>675</v>
      </c>
      <c r="I298" s="437">
        <v>1000</v>
      </c>
      <c r="J298" s="437">
        <v>14523.81</v>
      </c>
      <c r="K298" s="428"/>
      <c r="L298" s="437"/>
      <c r="M298" s="83">
        <v>14523810</v>
      </c>
      <c r="N298" s="84" t="s">
        <v>276</v>
      </c>
      <c r="O298" s="84" t="s">
        <v>8</v>
      </c>
      <c r="P298" s="84" t="str">
        <f>IF(AND('331-CT'!$E$7=TH!H298,OR(N298="331",O298="331")),"x","")</f>
        <v/>
      </c>
      <c r="Q298" s="84" t="str">
        <f>IF(AND(B298='111'!$L$11,OR($N298=$Q$7,$O298=$Q$7)),"x","")</f>
        <v/>
      </c>
      <c r="R298" s="84" t="str">
        <f>IF(AND($N298=$Q$7,$B298&lt;'111'!$L$11),"x","")</f>
        <v/>
      </c>
      <c r="S298" s="84" t="str">
        <f>IF(AND($O298=$Q$7,$B298&lt;'111'!$L$11),"x","")</f>
        <v/>
      </c>
      <c r="T298" s="84" t="str">
        <f>IF(ISERROR(FIND('112'!$M$9,G298,1)),"",IF((AND(FIND('112'!$M$9,G298,1)&gt;=1,B298='112'!$K$9,OR($N298='112'!$I$6,$O298='112'!$I$6))),"x",""))</f>
        <v/>
      </c>
      <c r="U298" s="84" t="str">
        <f>IF(ISERROR(FIND('112'!$M$9,G298,1)),"",IF((AND(LEFT(G298,2)=LEFT('112'!$M$9,2),B298&lt;'112'!$K$9,$N298='112'!$I$6)),"x",""))</f>
        <v/>
      </c>
      <c r="V298" s="84" t="str">
        <f>IF(ISERROR(FIND('112'!$M$9,G298,1)),"",IF((AND(RIGHT(G298,2)=RIGHT('112'!$M$9,2),B298&lt;'112'!$K$9,$O298='112'!$I$6)),"x",""))</f>
        <v/>
      </c>
      <c r="W298" s="84" t="str">
        <f>IF(AND('341-CT'!$H$9=H298,OR(LEFT(N298,3)=$W$7,LEFT(O298,3)=$W$7)),"x","")</f>
        <v/>
      </c>
      <c r="X298" s="84" t="str">
        <f>IF(OR(TH!N298=TH!$X$7,O298=TH!$X$7),"x","")</f>
        <v/>
      </c>
      <c r="Y298" s="84" t="str">
        <f>IF(AND(OR(N298="131",O298="131"),H298='131-CT'!$H$9),"x","")</f>
        <v/>
      </c>
      <c r="Z298" s="84"/>
      <c r="AA298" s="84" t="str">
        <f>IF(AND(MONTH(E298)='IN-NX'!$J$5,'IN-NX'!$D$7=D298),"x","")</f>
        <v/>
      </c>
      <c r="AB298" s="84" t="str">
        <f>IF(AND(OR(LEFT(TH!N298,2)="15",LEFT(TH!O298,2)="15"),LEFT(TH!O298,3)&lt;&gt;"111",'152-CT'!$J$8=TH!F298),"x","")</f>
        <v/>
      </c>
      <c r="AC298" s="84" t="str">
        <f>IF(AND(OR(LEFT(TH!N298,2)="15",LEFT(TH!O298,2)="15"),TK!$E$7=TH!F298),"x","")</f>
        <v>x</v>
      </c>
      <c r="AD298" s="84" t="str">
        <f>IF(AND(N298="1521",MONTH(C298)='BK-NL'!$M$11),"x","")</f>
        <v/>
      </c>
      <c r="AE298" s="1146" t="str">
        <f t="shared" si="49"/>
        <v>x</v>
      </c>
    </row>
    <row r="299" spans="1:31" s="341" customFormat="1" ht="15.75" hidden="1" customHeight="1">
      <c r="A299" s="336" t="str">
        <f>IF(B299&lt;&gt;"",IF(AND(B299='IN-TC'!$S$4,OR(TH!N299="1111",TH!O299="1111")),TH!D299,""),"")</f>
        <v/>
      </c>
      <c r="B299" s="63">
        <f t="shared" si="47"/>
        <v>1</v>
      </c>
      <c r="C299" s="80">
        <f t="shared" si="48"/>
        <v>42387</v>
      </c>
      <c r="D299" s="80" t="s">
        <v>681</v>
      </c>
      <c r="E299" s="80">
        <v>42387</v>
      </c>
      <c r="F299" s="81" t="s">
        <v>649</v>
      </c>
      <c r="G299" s="81" t="s">
        <v>671</v>
      </c>
      <c r="H299" s="82" t="s">
        <v>675</v>
      </c>
      <c r="I299" s="437"/>
      <c r="J299" s="437"/>
      <c r="K299" s="428"/>
      <c r="L299" s="437"/>
      <c r="M299" s="83">
        <v>726190</v>
      </c>
      <c r="N299" s="1185" t="s">
        <v>9</v>
      </c>
      <c r="O299" s="84" t="s">
        <v>8</v>
      </c>
      <c r="P299" s="84" t="str">
        <f>IF(AND('331-CT'!$E$7=TH!H299,OR(N299="331",O299="331")),"x","")</f>
        <v/>
      </c>
      <c r="Q299" s="84" t="str">
        <f>IF(AND(B299='111'!$L$11,OR($N299=$Q$7,$O299=$Q$7)),"x","")</f>
        <v/>
      </c>
      <c r="R299" s="84" t="str">
        <f>IF(AND($N299=$Q$7,$B299&lt;'111'!$L$11),"x","")</f>
        <v/>
      </c>
      <c r="S299" s="84" t="str">
        <f>IF(AND($O299=$Q$7,$B299&lt;'111'!$L$11),"x","")</f>
        <v/>
      </c>
      <c r="T299" s="84" t="str">
        <f>IF(ISERROR(FIND('112'!$M$9,G299,1)),"",IF((AND(FIND('112'!$M$9,G299,1)&gt;=1,B299='112'!$K$9,OR($N299='112'!$I$6,$O299='112'!$I$6))),"x",""))</f>
        <v/>
      </c>
      <c r="U299" s="84" t="str">
        <f>IF(ISERROR(FIND('112'!$M$9,G299,1)),"",IF((AND(LEFT(G299,2)=LEFT('112'!$M$9,2),B299&lt;'112'!$K$9,$N299='112'!$I$6)),"x",""))</f>
        <v/>
      </c>
      <c r="V299" s="84" t="str">
        <f>IF(ISERROR(FIND('112'!$M$9,G299,1)),"",IF((AND(RIGHT(G299,2)=RIGHT('112'!$M$9,2),B299&lt;'112'!$K$9,$O299='112'!$I$6)),"x",""))</f>
        <v/>
      </c>
      <c r="W299" s="84" t="str">
        <f>IF(AND('341-CT'!$H$9=H299,OR(LEFT(N299,3)=$W$7,LEFT(O299,3)=$W$7)),"x","")</f>
        <v/>
      </c>
      <c r="X299" s="84" t="str">
        <f>IF(OR(TH!N299=TH!$X$7,O299=TH!$X$7),"x","")</f>
        <v/>
      </c>
      <c r="Y299" s="84" t="str">
        <f>IF(AND(OR(N299="131",O299="131"),H299='131-CT'!$H$9),"x","")</f>
        <v/>
      </c>
      <c r="Z299" s="84"/>
      <c r="AA299" s="84" t="str">
        <f>IF(AND(MONTH(E299)='IN-NX'!$J$5,'IN-NX'!$D$7=D299),"x","")</f>
        <v/>
      </c>
      <c r="AB299" s="84" t="str">
        <f>IF(AND(OR(LEFT(TH!N299,2)="15",LEFT(TH!O299,2)="15"),LEFT(TH!O299,3)&lt;&gt;"111",'152-CT'!$J$8=TH!F299),"x","")</f>
        <v/>
      </c>
      <c r="AC299" s="84" t="str">
        <f>IF(AND(OR(LEFT(TH!N299,2)="15",LEFT(TH!O299,2)="15"),TK!$E$7=TH!F299),"x","")</f>
        <v/>
      </c>
      <c r="AD299" s="84" t="str">
        <f>IF(AND(N299="1521",MONTH(C299)='BK-NL'!$M$11),"x","")</f>
        <v/>
      </c>
      <c r="AE299" s="1146" t="str">
        <f t="shared" si="49"/>
        <v>x</v>
      </c>
    </row>
    <row r="300" spans="1:31" s="341" customFormat="1" ht="15.75" hidden="1" customHeight="1">
      <c r="A300" s="336" t="str">
        <f>IF(B300&lt;&gt;"",IF(AND(B300='IN-TC'!$S$4,OR(TH!N300="1111",TH!O300="1111")),TH!D300,""),"")</f>
        <v/>
      </c>
      <c r="B300" s="63">
        <f t="shared" si="47"/>
        <v>1</v>
      </c>
      <c r="C300" s="80">
        <f t="shared" si="48"/>
        <v>42391</v>
      </c>
      <c r="D300" s="80" t="s">
        <v>682</v>
      </c>
      <c r="E300" s="80">
        <v>42391</v>
      </c>
      <c r="F300" s="81" t="s">
        <v>653</v>
      </c>
      <c r="G300" s="81" t="s">
        <v>674</v>
      </c>
      <c r="H300" s="82" t="s">
        <v>1423</v>
      </c>
      <c r="I300" s="437">
        <v>2500</v>
      </c>
      <c r="J300" s="437">
        <v>14000</v>
      </c>
      <c r="K300" s="428"/>
      <c r="L300" s="437"/>
      <c r="M300" s="83">
        <v>35000000</v>
      </c>
      <c r="N300" s="84" t="s">
        <v>276</v>
      </c>
      <c r="O300" s="84" t="s">
        <v>8</v>
      </c>
      <c r="P300" s="84" t="str">
        <f>IF(AND('331-CT'!$E$7=TH!H300,OR(N300="331",O300="331")),"x","")</f>
        <v/>
      </c>
      <c r="Q300" s="84" t="str">
        <f>IF(AND(B300='111'!$L$11,OR($N300=$Q$7,$O300=$Q$7)),"x","")</f>
        <v/>
      </c>
      <c r="R300" s="84" t="str">
        <f>IF(AND($N300=$Q$7,$B300&lt;'111'!$L$11),"x","")</f>
        <v/>
      </c>
      <c r="S300" s="84" t="str">
        <f>IF(AND($O300=$Q$7,$B300&lt;'111'!$L$11),"x","")</f>
        <v/>
      </c>
      <c r="T300" s="84" t="str">
        <f>IF(ISERROR(FIND('112'!$M$9,G300,1)),"",IF((AND(FIND('112'!$M$9,G300,1)&gt;=1,B300='112'!$K$9,OR($N300='112'!$I$6,$O300='112'!$I$6))),"x",""))</f>
        <v/>
      </c>
      <c r="U300" s="84" t="str">
        <f>IF(ISERROR(FIND('112'!$M$9,G300,1)),"",IF((AND(LEFT(G300,2)=LEFT('112'!$M$9,2),B300&lt;'112'!$K$9,$N300='112'!$I$6)),"x",""))</f>
        <v/>
      </c>
      <c r="V300" s="84" t="str">
        <f>IF(ISERROR(FIND('112'!$M$9,G300,1)),"",IF((AND(RIGHT(G300,2)=RIGHT('112'!$M$9,2),B300&lt;'112'!$K$9,$O300='112'!$I$6)),"x",""))</f>
        <v/>
      </c>
      <c r="W300" s="84" t="str">
        <f>IF(AND('341-CT'!$H$9=H300,OR(LEFT(N300,3)=$W$7,LEFT(O300,3)=$W$7)),"x","")</f>
        <v/>
      </c>
      <c r="X300" s="84" t="str">
        <f>IF(OR(TH!N300=TH!$X$7,O300=TH!$X$7),"x","")</f>
        <v/>
      </c>
      <c r="Y300" s="84" t="str">
        <f>IF(AND(OR(N300="131",O300="131"),H300='131-CT'!$H$9),"x","")</f>
        <v/>
      </c>
      <c r="Z300" s="84"/>
      <c r="AA300" s="84" t="str">
        <f>IF(AND(MONTH(E300)='IN-NX'!$J$5,'IN-NX'!$D$7=D300),"x","")</f>
        <v/>
      </c>
      <c r="AB300" s="84" t="str">
        <f>IF(AND(OR(LEFT(TH!N300,2)="15",LEFT(TH!O300,2)="15"),LEFT(TH!O300,3)&lt;&gt;"111",'152-CT'!$J$8=TH!F300),"x","")</f>
        <v/>
      </c>
      <c r="AC300" s="84" t="str">
        <f>IF(AND(OR(LEFT(TH!N300,2)="15",LEFT(TH!O300,2)="15"),TK!$E$7=TH!F300),"x","")</f>
        <v/>
      </c>
      <c r="AD300" s="84" t="str">
        <f>IF(AND(N300="1521",MONTH(C300)='BK-NL'!$M$11),"x","")</f>
        <v/>
      </c>
      <c r="AE300" s="1146" t="str">
        <f t="shared" si="49"/>
        <v>x</v>
      </c>
    </row>
    <row r="301" spans="1:31" s="341" customFormat="1" ht="15.75" hidden="1" customHeight="1">
      <c r="A301" s="336" t="str">
        <f>IF(B301&lt;&gt;"",IF(AND(B301='IN-TC'!$S$4,OR(TH!N301="1111",TH!O301="1111")),TH!D301,""),"")</f>
        <v/>
      </c>
      <c r="B301" s="63">
        <f t="shared" si="47"/>
        <v>1</v>
      </c>
      <c r="C301" s="80">
        <f t="shared" si="48"/>
        <v>42391</v>
      </c>
      <c r="D301" s="80" t="s">
        <v>682</v>
      </c>
      <c r="E301" s="80">
        <v>42391</v>
      </c>
      <c r="F301" s="81" t="s">
        <v>654</v>
      </c>
      <c r="G301" s="81" t="s">
        <v>674</v>
      </c>
      <c r="H301" s="82" t="s">
        <v>1423</v>
      </c>
      <c r="I301" s="437"/>
      <c r="J301" s="437"/>
      <c r="K301" s="428"/>
      <c r="L301" s="437"/>
      <c r="M301" s="83">
        <v>3500000</v>
      </c>
      <c r="N301" s="84" t="s">
        <v>9</v>
      </c>
      <c r="O301" s="84" t="s">
        <v>8</v>
      </c>
      <c r="P301" s="84" t="str">
        <f>IF(AND('331-CT'!$E$7=TH!H301,OR(N301="331",O301="331")),"x","")</f>
        <v/>
      </c>
      <c r="Q301" s="84" t="str">
        <f>IF(AND(B301='111'!$L$11,OR($N301=$Q$7,$O301=$Q$7)),"x","")</f>
        <v/>
      </c>
      <c r="R301" s="84" t="str">
        <f>IF(AND($N301=$Q$7,$B301&lt;'111'!$L$11),"x","")</f>
        <v/>
      </c>
      <c r="S301" s="84" t="str">
        <f>IF(AND($O301=$Q$7,$B301&lt;'111'!$L$11),"x","")</f>
        <v/>
      </c>
      <c r="T301" s="84" t="str">
        <f>IF(ISERROR(FIND('112'!$M$9,G301,1)),"",IF((AND(FIND('112'!$M$9,G301,1)&gt;=1,B301='112'!$K$9,OR($N301='112'!$I$6,$O301='112'!$I$6))),"x",""))</f>
        <v/>
      </c>
      <c r="U301" s="84" t="str">
        <f>IF(ISERROR(FIND('112'!$M$9,G301,1)),"",IF((AND(LEFT(G301,2)=LEFT('112'!$M$9,2),B301&lt;'112'!$K$9,$N301='112'!$I$6)),"x",""))</f>
        <v/>
      </c>
      <c r="V301" s="84" t="str">
        <f>IF(ISERROR(FIND('112'!$M$9,G301,1)),"",IF((AND(RIGHT(G301,2)=RIGHT('112'!$M$9,2),B301&lt;'112'!$K$9,$O301='112'!$I$6)),"x",""))</f>
        <v/>
      </c>
      <c r="W301" s="84" t="str">
        <f>IF(AND('341-CT'!$H$9=H301,OR(LEFT(N301,3)=$W$7,LEFT(O301,3)=$W$7)),"x","")</f>
        <v/>
      </c>
      <c r="X301" s="84" t="str">
        <f>IF(OR(TH!N301=TH!$X$7,O301=TH!$X$7),"x","")</f>
        <v/>
      </c>
      <c r="Y301" s="84" t="str">
        <f>IF(AND(OR(N301="131",O301="131"),H301='131-CT'!$H$9),"x","")</f>
        <v/>
      </c>
      <c r="Z301" s="84"/>
      <c r="AA301" s="84" t="str">
        <f>IF(AND(MONTH(E301)='IN-NX'!$J$5,'IN-NX'!$D$7=D301),"x","")</f>
        <v/>
      </c>
      <c r="AB301" s="84" t="str">
        <f>IF(AND(OR(LEFT(TH!N301,2)="15",LEFT(TH!O301,2)="15"),LEFT(TH!O301,3)&lt;&gt;"111",'152-CT'!$J$8=TH!F301),"x","")</f>
        <v/>
      </c>
      <c r="AC301" s="84" t="str">
        <f>IF(AND(OR(LEFT(TH!N301,2)="15",LEFT(TH!O301,2)="15"),TK!$E$7=TH!F301),"x","")</f>
        <v/>
      </c>
      <c r="AD301" s="84" t="str">
        <f>IF(AND(N301="1521",MONTH(C301)='BK-NL'!$M$11),"x","")</f>
        <v/>
      </c>
      <c r="AE301" s="1146" t="str">
        <f t="shared" si="49"/>
        <v>x</v>
      </c>
    </row>
    <row r="302" spans="1:31" s="341" customFormat="1" ht="15.75" hidden="1" customHeight="1">
      <c r="A302" s="336" t="str">
        <f>IF(B302&lt;&gt;"",IF(AND(B302='IN-TC'!$S$4,OR(TH!N302="1111",TH!O302="1111")),TH!D302,""),"")</f>
        <v/>
      </c>
      <c r="B302" s="63">
        <f t="shared" si="47"/>
        <v>1</v>
      </c>
      <c r="C302" s="64">
        <f t="shared" ref="C302:C315" si="50">E302</f>
        <v>42371</v>
      </c>
      <c r="D302" s="64" t="s">
        <v>686</v>
      </c>
      <c r="E302" s="64">
        <v>42371</v>
      </c>
      <c r="F302" s="67" t="s">
        <v>339</v>
      </c>
      <c r="G302" s="982"/>
      <c r="H302" s="73" t="s">
        <v>449</v>
      </c>
      <c r="I302" s="439">
        <v>100</v>
      </c>
      <c r="J302" s="439">
        <v>35444.444444444445</v>
      </c>
      <c r="K302" s="430"/>
      <c r="L302" s="439"/>
      <c r="M302" s="65">
        <f t="shared" ref="M302:M307" si="51">ROUND(I302*J302,0)</f>
        <v>3544444</v>
      </c>
      <c r="N302" s="66" t="s">
        <v>282</v>
      </c>
      <c r="O302" s="66" t="s">
        <v>276</v>
      </c>
      <c r="P302" s="84" t="str">
        <f>IF(AND('331-CT'!$E$7=TH!H302,OR(N302="331",O302="331")),"x","")</f>
        <v/>
      </c>
      <c r="Q302" s="84" t="str">
        <f>IF(AND(B302='111'!$L$11,OR($N302=$Q$7,$O302=$Q$7)),"x","")</f>
        <v/>
      </c>
      <c r="R302" s="84" t="str">
        <f>IF(AND($N302=$Q$7,$B302&lt;'111'!$L$11),"x","")</f>
        <v/>
      </c>
      <c r="S302" s="84" t="str">
        <f>IF(AND($O302=$Q$7,$B302&lt;'111'!$L$11),"x","")</f>
        <v/>
      </c>
      <c r="T302" s="84" t="str">
        <f>IF(ISERROR(FIND('112'!$M$9,G302,1)),"",IF((AND(FIND('112'!$M$9,G302,1)&gt;=1,B302='112'!$K$9,OR($N302='112'!$I$6,$O302='112'!$I$6))),"x",""))</f>
        <v/>
      </c>
      <c r="U302" s="84" t="str">
        <f>IF(ISERROR(FIND('112'!$M$9,G302,1)),"",IF((AND(LEFT(G302,2)=LEFT('112'!$M$9,2),B302&lt;'112'!$K$9,$N302='112'!$I$6)),"x",""))</f>
        <v/>
      </c>
      <c r="V302" s="84" t="str">
        <f>IF(ISERROR(FIND('112'!$M$9,G302,1)),"",IF((AND(RIGHT(G302,2)=RIGHT('112'!$M$9,2),B302&lt;'112'!$K$9,$O302='112'!$I$6)),"x",""))</f>
        <v/>
      </c>
      <c r="W302" s="84" t="str">
        <f>IF(AND('341-CT'!$H$9=H302,OR(LEFT(N302,3)=$W$7,LEFT(O302,3)=$W$7)),"x","")</f>
        <v/>
      </c>
      <c r="X302" s="84" t="str">
        <f>IF(OR(TH!N302=TH!$X$7,O302=TH!$X$7),"x","")</f>
        <v/>
      </c>
      <c r="Y302" s="84" t="str">
        <f>IF(AND(OR(N302="131",O302="131"),H302='131-CT'!$H$9),"x","")</f>
        <v/>
      </c>
      <c r="Z302" s="84"/>
      <c r="AA302" s="84" t="str">
        <f>IF(AND(MONTH(E302)='IN-NX'!$J$5,'IN-NX'!$D$7=D302),"x","")</f>
        <v>x</v>
      </c>
      <c r="AB302" s="84" t="str">
        <f>IF(AND(OR(LEFT(TH!N302,2)="15",LEFT(TH!O302,2)="15"),LEFT(TH!O302,3)&lt;&gt;"111",'152-CT'!$J$8=TH!F302),"x","")</f>
        <v/>
      </c>
      <c r="AC302" s="84" t="str">
        <f>IF(AND(OR(LEFT(TH!N302,2)="15",LEFT(TH!O302,2)="15"),TK!$E$7=TH!F302),"x","")</f>
        <v/>
      </c>
      <c r="AD302" s="84" t="str">
        <f>IF(AND(N302="1521",MONTH(C302)='BK-NL'!$M$11),"x","")</f>
        <v/>
      </c>
    </row>
    <row r="303" spans="1:31" s="341" customFormat="1" ht="15.75" hidden="1" customHeight="1">
      <c r="A303" s="336" t="str">
        <f>IF(B303&lt;&gt;"",IF(AND(B303='IN-TC'!$S$4,OR(TH!N303="1111",TH!O303="1111")),TH!D303,""),"")</f>
        <v/>
      </c>
      <c r="B303" s="63">
        <f t="shared" si="47"/>
        <v>1</v>
      </c>
      <c r="C303" s="64">
        <f t="shared" si="50"/>
        <v>42371</v>
      </c>
      <c r="D303" s="64" t="s">
        <v>686</v>
      </c>
      <c r="E303" s="64">
        <v>42371</v>
      </c>
      <c r="F303" s="67" t="s">
        <v>345</v>
      </c>
      <c r="G303" s="982"/>
      <c r="H303" s="73" t="s">
        <v>449</v>
      </c>
      <c r="I303" s="439">
        <v>20</v>
      </c>
      <c r="J303" s="439">
        <v>46741.2</v>
      </c>
      <c r="K303" s="430"/>
      <c r="L303" s="439"/>
      <c r="M303" s="65">
        <f t="shared" si="51"/>
        <v>934824</v>
      </c>
      <c r="N303" s="66" t="s">
        <v>282</v>
      </c>
      <c r="O303" s="66" t="s">
        <v>276</v>
      </c>
      <c r="P303" s="84" t="str">
        <f>IF(AND('331-CT'!$E$7=TH!H303,OR(N303="331",O303="331")),"x","")</f>
        <v/>
      </c>
      <c r="Q303" s="84" t="str">
        <f>IF(AND(B303='111'!$L$11,OR($N303=$Q$7,$O303=$Q$7)),"x","")</f>
        <v/>
      </c>
      <c r="R303" s="84" t="str">
        <f>IF(AND($N303=$Q$7,$B303&lt;'111'!$L$11),"x","")</f>
        <v/>
      </c>
      <c r="S303" s="84" t="str">
        <f>IF(AND($O303=$Q$7,$B303&lt;'111'!$L$11),"x","")</f>
        <v/>
      </c>
      <c r="T303" s="84" t="str">
        <f>IF(ISERROR(FIND('112'!$M$9,G303,1)),"",IF((AND(FIND('112'!$M$9,G303,1)&gt;=1,B303='112'!$K$9,OR($N303='112'!$I$6,$O303='112'!$I$6))),"x",""))</f>
        <v/>
      </c>
      <c r="U303" s="84" t="str">
        <f>IF(ISERROR(FIND('112'!$M$9,G303,1)),"",IF((AND(LEFT(G303,2)=LEFT('112'!$M$9,2),B303&lt;'112'!$K$9,$N303='112'!$I$6)),"x",""))</f>
        <v/>
      </c>
      <c r="V303" s="84" t="str">
        <f>IF(ISERROR(FIND('112'!$M$9,G303,1)),"",IF((AND(RIGHT(G303,2)=RIGHT('112'!$M$9,2),B303&lt;'112'!$K$9,$O303='112'!$I$6)),"x",""))</f>
        <v/>
      </c>
      <c r="W303" s="84" t="str">
        <f>IF(AND('341-CT'!$H$9=H303,OR(LEFT(N303,3)=$W$7,LEFT(O303,3)=$W$7)),"x","")</f>
        <v/>
      </c>
      <c r="X303" s="84" t="str">
        <f>IF(OR(TH!N303=TH!$X$7,O303=TH!$X$7),"x","")</f>
        <v/>
      </c>
      <c r="Y303" s="84" t="str">
        <f>IF(AND(OR(N303="131",O303="131"),H303='131-CT'!$H$9),"x","")</f>
        <v/>
      </c>
      <c r="Z303" s="84"/>
      <c r="AA303" s="84" t="str">
        <f>IF(AND(MONTH(E303)='IN-NX'!$J$5,'IN-NX'!$D$7=D303),"x","")</f>
        <v>x</v>
      </c>
      <c r="AB303" s="84" t="str">
        <f>IF(AND(OR(LEFT(TH!N303,2)="15",LEFT(TH!O303,2)="15"),LEFT(TH!O303,3)&lt;&gt;"111",'152-CT'!$J$8=TH!F303),"x","")</f>
        <v/>
      </c>
      <c r="AC303" s="84" t="str">
        <f>IF(AND(OR(LEFT(TH!N303,2)="15",LEFT(TH!O303,2)="15"),TK!$E$7=TH!F303),"x","")</f>
        <v/>
      </c>
      <c r="AD303" s="84" t="str">
        <f>IF(AND(N303="1521",MONTH(C303)='BK-NL'!$M$11),"x","")</f>
        <v/>
      </c>
    </row>
    <row r="304" spans="1:31" s="341" customFormat="1" ht="15.75" hidden="1" customHeight="1">
      <c r="A304" s="336" t="str">
        <f>IF(B304&lt;&gt;"",IF(AND(B304='IN-TC'!$S$4,OR(TH!N304="1111",TH!O304="1111")),TH!D304,""),"")</f>
        <v/>
      </c>
      <c r="B304" s="63">
        <f t="shared" si="47"/>
        <v>1</v>
      </c>
      <c r="C304" s="64">
        <f t="shared" si="50"/>
        <v>42371</v>
      </c>
      <c r="D304" s="64" t="s">
        <v>686</v>
      </c>
      <c r="E304" s="64">
        <v>42371</v>
      </c>
      <c r="F304" s="67" t="s">
        <v>348</v>
      </c>
      <c r="G304" s="67"/>
      <c r="H304" s="73" t="s">
        <v>449</v>
      </c>
      <c r="I304" s="439">
        <v>150</v>
      </c>
      <c r="J304" s="439">
        <v>11666.673333333334</v>
      </c>
      <c r="K304" s="430"/>
      <c r="L304" s="439"/>
      <c r="M304" s="65">
        <f t="shared" si="51"/>
        <v>1750001</v>
      </c>
      <c r="N304" s="66" t="s">
        <v>282</v>
      </c>
      <c r="O304" s="66" t="s">
        <v>276</v>
      </c>
      <c r="P304" s="84" t="str">
        <f>IF(AND('331-CT'!$E$7=TH!H304,OR(N304="331",O304="331")),"x","")</f>
        <v/>
      </c>
      <c r="Q304" s="84" t="str">
        <f>IF(AND(B304='111'!$L$11,OR($N304=$Q$7,$O304=$Q$7)),"x","")</f>
        <v/>
      </c>
      <c r="R304" s="84" t="str">
        <f>IF(AND($N304=$Q$7,$B304&lt;'111'!$L$11),"x","")</f>
        <v/>
      </c>
      <c r="S304" s="84" t="str">
        <f>IF(AND($O304=$Q$7,$B304&lt;'111'!$L$11),"x","")</f>
        <v/>
      </c>
      <c r="T304" s="84" t="str">
        <f>IF(ISERROR(FIND('112'!$M$9,G304,1)),"",IF((AND(FIND('112'!$M$9,G304,1)&gt;=1,B304='112'!$K$9,OR($N304='112'!$I$6,$O304='112'!$I$6))),"x",""))</f>
        <v/>
      </c>
      <c r="U304" s="84" t="str">
        <f>IF(ISERROR(FIND('112'!$M$9,G304,1)),"",IF((AND(LEFT(G304,2)=LEFT('112'!$M$9,2),B304&lt;'112'!$K$9,$N304='112'!$I$6)),"x",""))</f>
        <v/>
      </c>
      <c r="V304" s="84" t="str">
        <f>IF(ISERROR(FIND('112'!$M$9,G304,1)),"",IF((AND(RIGHT(G304,2)=RIGHT('112'!$M$9,2),B304&lt;'112'!$K$9,$O304='112'!$I$6)),"x",""))</f>
        <v/>
      </c>
      <c r="W304" s="84" t="str">
        <f>IF(AND('341-CT'!$H$9=H304,OR(LEFT(N304,3)=$W$7,LEFT(O304,3)=$W$7)),"x","")</f>
        <v/>
      </c>
      <c r="X304" s="84" t="str">
        <f>IF(OR(TH!N304=TH!$X$7,O304=TH!$X$7),"x","")</f>
        <v/>
      </c>
      <c r="Y304" s="84" t="str">
        <f>IF(AND(OR(N304="131",O304="131"),H304='131-CT'!$H$9),"x","")</f>
        <v/>
      </c>
      <c r="Z304" s="84"/>
      <c r="AA304" s="84" t="str">
        <f>IF(AND(MONTH(E304)='IN-NX'!$J$5,'IN-NX'!$D$7=D304),"x","")</f>
        <v>x</v>
      </c>
      <c r="AB304" s="84" t="str">
        <f>IF(AND(OR(LEFT(TH!N304,2)="15",LEFT(TH!O304,2)="15"),LEFT(TH!O304,3)&lt;&gt;"111",'152-CT'!$J$8=TH!F304),"x","")</f>
        <v/>
      </c>
      <c r="AC304" s="84" t="str">
        <f>IF(AND(OR(LEFT(TH!N304,2)="15",LEFT(TH!O304,2)="15"),TK!$E$7=TH!F304),"x","")</f>
        <v>x</v>
      </c>
      <c r="AD304" s="84" t="str">
        <f>IF(AND(N304="1521",MONTH(C304)='BK-NL'!$M$11),"x","")</f>
        <v/>
      </c>
    </row>
    <row r="305" spans="1:30" s="341" customFormat="1" ht="15.75" hidden="1" customHeight="1">
      <c r="A305" s="336" t="str">
        <f>IF(B305&lt;&gt;"",IF(AND(B305='IN-TC'!$S$4,OR(TH!N305="1111",TH!O305="1111")),TH!D305,""),"")</f>
        <v/>
      </c>
      <c r="B305" s="63">
        <f t="shared" si="47"/>
        <v>1</v>
      </c>
      <c r="C305" s="64">
        <f t="shared" si="50"/>
        <v>42376</v>
      </c>
      <c r="D305" s="64" t="s">
        <v>687</v>
      </c>
      <c r="E305" s="64">
        <v>42376</v>
      </c>
      <c r="F305" s="67" t="s">
        <v>224</v>
      </c>
      <c r="G305" s="67"/>
      <c r="H305" s="73" t="s">
        <v>449</v>
      </c>
      <c r="I305" s="439">
        <v>100</v>
      </c>
      <c r="J305" s="439">
        <v>21979.791919191921</v>
      </c>
      <c r="K305" s="430"/>
      <c r="L305" s="439"/>
      <c r="M305" s="65">
        <f t="shared" si="51"/>
        <v>2197979</v>
      </c>
      <c r="N305" s="66" t="s">
        <v>282</v>
      </c>
      <c r="O305" s="66" t="s">
        <v>276</v>
      </c>
      <c r="P305" s="84" t="str">
        <f>IF(AND('331-CT'!$E$7=TH!H305,OR(N305="331",O305="331")),"x","")</f>
        <v/>
      </c>
      <c r="Q305" s="84" t="str">
        <f>IF(AND(B305='111'!$L$11,OR($N305=$Q$7,$O305=$Q$7)),"x","")</f>
        <v/>
      </c>
      <c r="R305" s="84" t="str">
        <f>IF(AND($N305=$Q$7,$B305&lt;'111'!$L$11),"x","")</f>
        <v/>
      </c>
      <c r="S305" s="84" t="str">
        <f>IF(AND($O305=$Q$7,$B305&lt;'111'!$L$11),"x","")</f>
        <v/>
      </c>
      <c r="T305" s="84" t="str">
        <f>IF(ISERROR(FIND('112'!$M$9,G305,1)),"",IF((AND(FIND('112'!$M$9,G305,1)&gt;=1,B305='112'!$K$9,OR($N305='112'!$I$6,$O305='112'!$I$6))),"x",""))</f>
        <v/>
      </c>
      <c r="U305" s="84" t="str">
        <f>IF(ISERROR(FIND('112'!$M$9,G305,1)),"",IF((AND(LEFT(G305,2)=LEFT('112'!$M$9,2),B305&lt;'112'!$K$9,$N305='112'!$I$6)),"x",""))</f>
        <v/>
      </c>
      <c r="V305" s="84" t="str">
        <f>IF(ISERROR(FIND('112'!$M$9,G305,1)),"",IF((AND(RIGHT(G305,2)=RIGHT('112'!$M$9,2),B305&lt;'112'!$K$9,$O305='112'!$I$6)),"x",""))</f>
        <v/>
      </c>
      <c r="W305" s="84" t="str">
        <f>IF(AND('341-CT'!$H$9=H305,OR(LEFT(N305,3)=$W$7,LEFT(O305,3)=$W$7)),"x","")</f>
        <v/>
      </c>
      <c r="X305" s="84" t="str">
        <f>IF(OR(TH!N305=TH!$X$7,O305=TH!$X$7),"x","")</f>
        <v/>
      </c>
      <c r="Y305" s="84" t="str">
        <f>IF(AND(OR(N305="131",O305="131"),H305='131-CT'!$H$9),"x","")</f>
        <v/>
      </c>
      <c r="Z305" s="84"/>
      <c r="AA305" s="84" t="str">
        <f>IF(AND(MONTH(E305)='IN-NX'!$J$5,'IN-NX'!$D$7=D305),"x","")</f>
        <v/>
      </c>
      <c r="AB305" s="84" t="str">
        <f>IF(AND(OR(LEFT(TH!N305,2)="15",LEFT(TH!O305,2)="15"),LEFT(TH!O305,3)&lt;&gt;"111",'152-CT'!$J$8=TH!F305),"x","")</f>
        <v/>
      </c>
      <c r="AC305" s="84" t="str">
        <f>IF(AND(OR(LEFT(TH!N305,2)="15",LEFT(TH!O305,2)="15"),TK!$E$7=TH!F305),"x","")</f>
        <v/>
      </c>
      <c r="AD305" s="84" t="str">
        <f>IF(AND(N305="1521",MONTH(C305)='BK-NL'!$M$11),"x","")</f>
        <v/>
      </c>
    </row>
    <row r="306" spans="1:30" s="341" customFormat="1" ht="15.75" hidden="1" customHeight="1">
      <c r="A306" s="336" t="str">
        <f>IF(B306&lt;&gt;"",IF(AND(B306='IN-TC'!$S$4,OR(TH!N306="1111",TH!O306="1111")),TH!D306,""),"")</f>
        <v/>
      </c>
      <c r="B306" s="63">
        <f t="shared" si="47"/>
        <v>1</v>
      </c>
      <c r="C306" s="64">
        <f t="shared" si="50"/>
        <v>42376</v>
      </c>
      <c r="D306" s="64" t="s">
        <v>687</v>
      </c>
      <c r="E306" s="64">
        <v>42376</v>
      </c>
      <c r="F306" s="67" t="s">
        <v>356</v>
      </c>
      <c r="G306" s="67"/>
      <c r="H306" s="73" t="s">
        <v>449</v>
      </c>
      <c r="I306" s="439">
        <v>2700</v>
      </c>
      <c r="J306" s="439">
        <v>14899.99962962963</v>
      </c>
      <c r="K306" s="430"/>
      <c r="L306" s="439"/>
      <c r="M306" s="65">
        <f t="shared" si="51"/>
        <v>40229999</v>
      </c>
      <c r="N306" s="66" t="s">
        <v>282</v>
      </c>
      <c r="O306" s="66" t="s">
        <v>276</v>
      </c>
      <c r="P306" s="84" t="str">
        <f>IF(AND('331-CT'!$E$7=TH!H306,OR(N306="331",O306="331")),"x","")</f>
        <v/>
      </c>
      <c r="Q306" s="84" t="str">
        <f>IF(AND(B306='111'!$L$11,OR($N306=$Q$7,$O306=$Q$7)),"x","")</f>
        <v/>
      </c>
      <c r="R306" s="84" t="str">
        <f>IF(AND($N306=$Q$7,$B306&lt;'111'!$L$11),"x","")</f>
        <v/>
      </c>
      <c r="S306" s="84" t="str">
        <f>IF(AND($O306=$Q$7,$B306&lt;'111'!$L$11),"x","")</f>
        <v/>
      </c>
      <c r="T306" s="84" t="str">
        <f>IF(ISERROR(FIND('112'!$M$9,G306,1)),"",IF((AND(FIND('112'!$M$9,G306,1)&gt;=1,B306='112'!$K$9,OR($N306='112'!$I$6,$O306='112'!$I$6))),"x",""))</f>
        <v/>
      </c>
      <c r="U306" s="84" t="str">
        <f>IF(ISERROR(FIND('112'!$M$9,G306,1)),"",IF((AND(LEFT(G306,2)=LEFT('112'!$M$9,2),B306&lt;'112'!$K$9,$N306='112'!$I$6)),"x",""))</f>
        <v/>
      </c>
      <c r="V306" s="84" t="str">
        <f>IF(ISERROR(FIND('112'!$M$9,G306,1)),"",IF((AND(RIGHT(G306,2)=RIGHT('112'!$M$9,2),B306&lt;'112'!$K$9,$O306='112'!$I$6)),"x",""))</f>
        <v/>
      </c>
      <c r="W306" s="84" t="str">
        <f>IF(AND('341-CT'!$H$9=H306,OR(LEFT(N306,3)=$W$7,LEFT(O306,3)=$W$7)),"x","")</f>
        <v/>
      </c>
      <c r="X306" s="84" t="str">
        <f>IF(OR(TH!N306=TH!$X$7,O306=TH!$X$7),"x","")</f>
        <v/>
      </c>
      <c r="Y306" s="84" t="str">
        <f>IF(AND(OR(N306="131",O306="131"),H306='131-CT'!$H$9),"x","")</f>
        <v/>
      </c>
      <c r="Z306" s="84"/>
      <c r="AA306" s="84" t="str">
        <f>IF(AND(MONTH(E306)='IN-NX'!$J$5,'IN-NX'!$D$7=D306),"x","")</f>
        <v/>
      </c>
      <c r="AB306" s="84" t="str">
        <f>IF(AND(OR(LEFT(TH!N306,2)="15",LEFT(TH!O306,2)="15"),LEFT(TH!O306,3)&lt;&gt;"111",'152-CT'!$J$8=TH!F306),"x","")</f>
        <v/>
      </c>
      <c r="AC306" s="84" t="str">
        <f>IF(AND(OR(LEFT(TH!N306,2)="15",LEFT(TH!O306,2)="15"),TK!$E$7=TH!F306),"x","")</f>
        <v/>
      </c>
      <c r="AD306" s="84" t="str">
        <f>IF(AND(N306="1521",MONTH(C306)='BK-NL'!$M$11),"x","")</f>
        <v/>
      </c>
    </row>
    <row r="307" spans="1:30" s="341" customFormat="1" ht="15.75" hidden="1" customHeight="1">
      <c r="A307" s="336" t="str">
        <f>IF(B307&lt;&gt;"",IF(AND(B307='IN-TC'!$S$4,OR(TH!N307="1111",TH!O307="1111")),TH!D307,""),"")</f>
        <v/>
      </c>
      <c r="B307" s="63">
        <f t="shared" si="47"/>
        <v>1</v>
      </c>
      <c r="C307" s="64">
        <f t="shared" si="50"/>
        <v>42384</v>
      </c>
      <c r="D307" s="64" t="s">
        <v>688</v>
      </c>
      <c r="E307" s="64">
        <v>42384</v>
      </c>
      <c r="F307" s="67" t="s">
        <v>359</v>
      </c>
      <c r="G307" s="67"/>
      <c r="H307" s="73" t="s">
        <v>449</v>
      </c>
      <c r="I307" s="439">
        <v>400</v>
      </c>
      <c r="J307" s="439">
        <v>8500</v>
      </c>
      <c r="K307" s="430"/>
      <c r="L307" s="439"/>
      <c r="M307" s="65">
        <f t="shared" si="51"/>
        <v>3400000</v>
      </c>
      <c r="N307" s="66" t="s">
        <v>282</v>
      </c>
      <c r="O307" s="66" t="s">
        <v>276</v>
      </c>
      <c r="P307" s="84" t="str">
        <f>IF(AND('331-CT'!$E$7=TH!H307,OR(N307="331",O307="331")),"x","")</f>
        <v/>
      </c>
      <c r="Q307" s="84" t="str">
        <f>IF(AND(B307='111'!$L$11,OR($N307=$Q$7,$O307=$Q$7)),"x","")</f>
        <v/>
      </c>
      <c r="R307" s="84" t="str">
        <f>IF(AND($N307=$Q$7,$B307&lt;'111'!$L$11),"x","")</f>
        <v/>
      </c>
      <c r="S307" s="84" t="str">
        <f>IF(AND($O307=$Q$7,$B307&lt;'111'!$L$11),"x","")</f>
        <v/>
      </c>
      <c r="T307" s="84" t="str">
        <f>IF(ISERROR(FIND('112'!$M$9,G307,1)),"",IF((AND(FIND('112'!$M$9,G307,1)&gt;=1,B307='112'!$K$9,OR($N307='112'!$I$6,$O307='112'!$I$6))),"x",""))</f>
        <v/>
      </c>
      <c r="U307" s="84" t="str">
        <f>IF(ISERROR(FIND('112'!$M$9,G307,1)),"",IF((AND(LEFT(G307,2)=LEFT('112'!$M$9,2),B307&lt;'112'!$K$9,$N307='112'!$I$6)),"x",""))</f>
        <v/>
      </c>
      <c r="V307" s="84" t="str">
        <f>IF(ISERROR(FIND('112'!$M$9,G307,1)),"",IF((AND(RIGHT(G307,2)=RIGHT('112'!$M$9,2),B307&lt;'112'!$K$9,$O307='112'!$I$6)),"x",""))</f>
        <v/>
      </c>
      <c r="W307" s="84" t="str">
        <f>IF(AND('341-CT'!$H$9=H307,OR(LEFT(N307,3)=$W$7,LEFT(O307,3)=$W$7)),"x","")</f>
        <v/>
      </c>
      <c r="X307" s="84" t="str">
        <f>IF(OR(TH!N307=TH!$X$7,O307=TH!$X$7),"x","")</f>
        <v/>
      </c>
      <c r="Y307" s="84" t="str">
        <f>IF(AND(OR(N307="131",O307="131"),H307='131-CT'!$H$9),"x","")</f>
        <v/>
      </c>
      <c r="Z307" s="84"/>
      <c r="AA307" s="84" t="str">
        <f>IF(AND(MONTH(E307)='IN-NX'!$J$5,'IN-NX'!$D$7=D307),"x","")</f>
        <v/>
      </c>
      <c r="AB307" s="84" t="str">
        <f>IF(AND(OR(LEFT(TH!N307,2)="15",LEFT(TH!O307,2)="15"),LEFT(TH!O307,3)&lt;&gt;"111",'152-CT'!$J$8=TH!F307),"x","")</f>
        <v/>
      </c>
      <c r="AC307" s="84" t="str">
        <f>IF(AND(OR(LEFT(TH!N307,2)="15",LEFT(TH!O307,2)="15"),TK!$E$7=TH!F307),"x","")</f>
        <v/>
      </c>
      <c r="AD307" s="84" t="str">
        <f>IF(AND(N307="1521",MONTH(C307)='BK-NL'!$M$11),"x","")</f>
        <v/>
      </c>
    </row>
    <row r="308" spans="1:30" s="341" customFormat="1" ht="15.75" hidden="1" customHeight="1">
      <c r="A308" s="336" t="str">
        <f>IF(B308&lt;&gt;"",IF(AND(B308='IN-TC'!$S$4,OR(TH!N308="1111",TH!O308="1111")),TH!D308,""),"")</f>
        <v/>
      </c>
      <c r="B308" s="63">
        <f t="shared" si="47"/>
        <v>1</v>
      </c>
      <c r="C308" s="64">
        <f t="shared" si="50"/>
        <v>42384</v>
      </c>
      <c r="D308" s="64" t="s">
        <v>688</v>
      </c>
      <c r="E308" s="64">
        <v>42384</v>
      </c>
      <c r="F308" s="67" t="s">
        <v>363</v>
      </c>
      <c r="G308" s="67"/>
      <c r="H308" s="75" t="s">
        <v>449</v>
      </c>
      <c r="I308" s="441">
        <v>1647</v>
      </c>
      <c r="J308" s="441">
        <f>M308/I308</f>
        <v>322.9927140255009</v>
      </c>
      <c r="K308" s="432"/>
      <c r="L308" s="441"/>
      <c r="M308" s="65">
        <v>531969</v>
      </c>
      <c r="N308" s="66" t="s">
        <v>282</v>
      </c>
      <c r="O308" s="66" t="s">
        <v>276</v>
      </c>
      <c r="P308" s="84" t="str">
        <f>IF(AND('331-CT'!$E$7=TH!H308,OR(N308="331",O308="331")),"x","")</f>
        <v/>
      </c>
      <c r="Q308" s="84" t="str">
        <f>IF(AND(B308='111'!$L$11,OR($N308=$Q$7,$O308=$Q$7)),"x","")</f>
        <v/>
      </c>
      <c r="R308" s="84" t="str">
        <f>IF(AND($N308=$Q$7,$B308&lt;'111'!$L$11),"x","")</f>
        <v/>
      </c>
      <c r="S308" s="84" t="str">
        <f>IF(AND($O308=$Q$7,$B308&lt;'111'!$L$11),"x","")</f>
        <v/>
      </c>
      <c r="T308" s="84" t="str">
        <f>IF(ISERROR(FIND('112'!$M$9,G308,1)),"",IF((AND(FIND('112'!$M$9,G308,1)&gt;=1,B308='112'!$K$9,OR($N308='112'!$I$6,$O308='112'!$I$6))),"x",""))</f>
        <v/>
      </c>
      <c r="U308" s="84" t="str">
        <f>IF(ISERROR(FIND('112'!$M$9,G308,1)),"",IF((AND(LEFT(G308,2)=LEFT('112'!$M$9,2),B308&lt;'112'!$K$9,$N308='112'!$I$6)),"x",""))</f>
        <v/>
      </c>
      <c r="V308" s="84" t="str">
        <f>IF(ISERROR(FIND('112'!$M$9,G308,1)),"",IF((AND(RIGHT(G308,2)=RIGHT('112'!$M$9,2),B308&lt;'112'!$K$9,$O308='112'!$I$6)),"x",""))</f>
        <v/>
      </c>
      <c r="W308" s="84" t="str">
        <f>IF(AND('341-CT'!$H$9=H308,OR(LEFT(N308,3)=$W$7,LEFT(O308,3)=$W$7)),"x","")</f>
        <v/>
      </c>
      <c r="X308" s="84" t="str">
        <f>IF(OR(TH!N308=TH!$X$7,O308=TH!$X$7),"x","")</f>
        <v/>
      </c>
      <c r="Y308" s="84" t="str">
        <f>IF(AND(OR(N308="131",O308="131"),H308='131-CT'!$H$9),"x","")</f>
        <v/>
      </c>
      <c r="Z308" s="84"/>
      <c r="AA308" s="84" t="str">
        <f>IF(AND(MONTH(E308)='IN-NX'!$J$5,'IN-NX'!$D$7=D308),"x","")</f>
        <v/>
      </c>
      <c r="AB308" s="84" t="str">
        <f>IF(AND(OR(LEFT(TH!N308,2)="15",LEFT(TH!O308,2)="15"),LEFT(TH!O308,3)&lt;&gt;"111",'152-CT'!$J$8=TH!F308),"x","")</f>
        <v>x</v>
      </c>
      <c r="AC308" s="84" t="str">
        <f>IF(AND(OR(LEFT(TH!N308,2)="15",LEFT(TH!O308,2)="15"),TK!$E$7=TH!F308),"x","")</f>
        <v/>
      </c>
      <c r="AD308" s="84" t="str">
        <f>IF(AND(N308="1521",MONTH(C308)='BK-NL'!$M$11),"x","")</f>
        <v/>
      </c>
    </row>
    <row r="309" spans="1:30" s="341" customFormat="1" ht="15.75" hidden="1" customHeight="1">
      <c r="A309" s="336" t="str">
        <f>IF(B309&lt;&gt;"",IF(AND(B309='IN-TC'!$S$4,OR(TH!N309="1111",TH!O309="1111")),TH!D309,""),"")</f>
        <v/>
      </c>
      <c r="B309" s="63">
        <f t="shared" si="47"/>
        <v>1</v>
      </c>
      <c r="C309" s="64">
        <f t="shared" si="50"/>
        <v>42388</v>
      </c>
      <c r="D309" s="64" t="s">
        <v>689</v>
      </c>
      <c r="E309" s="64">
        <v>42388</v>
      </c>
      <c r="F309" s="67" t="s">
        <v>394</v>
      </c>
      <c r="G309" s="67"/>
      <c r="H309" s="75" t="s">
        <v>449</v>
      </c>
      <c r="I309" s="441">
        <v>400</v>
      </c>
      <c r="J309" s="441">
        <v>17000</v>
      </c>
      <c r="K309" s="432"/>
      <c r="L309" s="441"/>
      <c r="M309" s="65">
        <f t="shared" ref="M309:M322" si="52">ROUND(I309*J309,0)</f>
        <v>6800000</v>
      </c>
      <c r="N309" s="66" t="s">
        <v>282</v>
      </c>
      <c r="O309" s="66" t="s">
        <v>276</v>
      </c>
      <c r="P309" s="84" t="str">
        <f>IF(AND('331-CT'!$E$7=TH!H309,OR(N309="331",O309="331")),"x","")</f>
        <v/>
      </c>
      <c r="Q309" s="84" t="str">
        <f>IF(AND(B309='111'!$L$11,OR($N309=$Q$7,$O309=$Q$7)),"x","")</f>
        <v/>
      </c>
      <c r="R309" s="84" t="str">
        <f>IF(AND($N309=$Q$7,$B309&lt;'111'!$L$11),"x","")</f>
        <v/>
      </c>
      <c r="S309" s="84" t="str">
        <f>IF(AND($O309=$Q$7,$B309&lt;'111'!$L$11),"x","")</f>
        <v/>
      </c>
      <c r="T309" s="84" t="str">
        <f>IF(ISERROR(FIND('112'!$M$9,G309,1)),"",IF((AND(FIND('112'!$M$9,G309,1)&gt;=1,B309='112'!$K$9,OR($N309='112'!$I$6,$O309='112'!$I$6))),"x",""))</f>
        <v/>
      </c>
      <c r="U309" s="84" t="str">
        <f>IF(ISERROR(FIND('112'!$M$9,G309,1)),"",IF((AND(LEFT(G309,2)=LEFT('112'!$M$9,2),B309&lt;'112'!$K$9,$N309='112'!$I$6)),"x",""))</f>
        <v/>
      </c>
      <c r="V309" s="84" t="str">
        <f>IF(ISERROR(FIND('112'!$M$9,G309,1)),"",IF((AND(RIGHT(G309,2)=RIGHT('112'!$M$9,2),B309&lt;'112'!$K$9,$O309='112'!$I$6)),"x",""))</f>
        <v/>
      </c>
      <c r="W309" s="84" t="str">
        <f>IF(AND('341-CT'!$H$9=H309,OR(LEFT(N309,3)=$W$7,LEFT(O309,3)=$W$7)),"x","")</f>
        <v/>
      </c>
      <c r="X309" s="84" t="str">
        <f>IF(OR(TH!N309=TH!$X$7,O309=TH!$X$7),"x","")</f>
        <v/>
      </c>
      <c r="Y309" s="84" t="str">
        <f>IF(AND(OR(N309="131",O309="131"),H309='131-CT'!$H$9),"x","")</f>
        <v/>
      </c>
      <c r="Z309" s="84"/>
      <c r="AA309" s="84" t="str">
        <f>IF(AND(MONTH(E309)='IN-NX'!$J$5,'IN-NX'!$D$7=D309),"x","")</f>
        <v/>
      </c>
      <c r="AB309" s="84" t="str">
        <f>IF(AND(OR(LEFT(TH!N309,2)="15",LEFT(TH!O309,2)="15"),LEFT(TH!O309,3)&lt;&gt;"111",'152-CT'!$J$8=TH!F309),"x","")</f>
        <v/>
      </c>
      <c r="AC309" s="84" t="str">
        <f>IF(AND(OR(LEFT(TH!N309,2)="15",LEFT(TH!O309,2)="15"),TK!$E$7=TH!F309),"x","")</f>
        <v/>
      </c>
      <c r="AD309" s="84" t="str">
        <f>IF(AND(N309="1521",MONTH(C309)='BK-NL'!$M$11),"x","")</f>
        <v/>
      </c>
    </row>
    <row r="310" spans="1:30" s="341" customFormat="1" ht="15.75" hidden="1" customHeight="1">
      <c r="A310" s="336" t="str">
        <f>IF(B310&lt;&gt;"",IF(AND(B310='IN-TC'!$S$4,OR(TH!N310="1111",TH!O310="1111")),TH!D310,""),"")</f>
        <v/>
      </c>
      <c r="B310" s="63">
        <f t="shared" si="47"/>
        <v>1</v>
      </c>
      <c r="C310" s="64">
        <f t="shared" si="50"/>
        <v>42388</v>
      </c>
      <c r="D310" s="64" t="s">
        <v>689</v>
      </c>
      <c r="E310" s="64">
        <v>42388</v>
      </c>
      <c r="F310" s="67" t="s">
        <v>1091</v>
      </c>
      <c r="G310" s="67"/>
      <c r="H310" s="73" t="s">
        <v>449</v>
      </c>
      <c r="I310" s="439">
        <v>400</v>
      </c>
      <c r="J310" s="439">
        <v>2500</v>
      </c>
      <c r="K310" s="430"/>
      <c r="L310" s="439"/>
      <c r="M310" s="65">
        <f t="shared" si="52"/>
        <v>1000000</v>
      </c>
      <c r="N310" s="66" t="s">
        <v>282</v>
      </c>
      <c r="O310" s="66" t="s">
        <v>276</v>
      </c>
      <c r="P310" s="84" t="str">
        <f>IF(AND('331-CT'!$E$7=TH!H310,OR(N310="331",O310="331")),"x","")</f>
        <v/>
      </c>
      <c r="Q310" s="84" t="str">
        <f>IF(AND(B310='111'!$L$11,OR($N310=$Q$7,$O310=$Q$7)),"x","")</f>
        <v/>
      </c>
      <c r="R310" s="84" t="str">
        <f>IF(AND($N310=$Q$7,$B310&lt;'111'!$L$11),"x","")</f>
        <v/>
      </c>
      <c r="S310" s="84" t="str">
        <f>IF(AND($O310=$Q$7,$B310&lt;'111'!$L$11),"x","")</f>
        <v/>
      </c>
      <c r="T310" s="84" t="str">
        <f>IF(ISERROR(FIND('112'!$M$9,G310,1)),"",IF((AND(FIND('112'!$M$9,G310,1)&gt;=1,B310='112'!$K$9,OR($N310='112'!$I$6,$O310='112'!$I$6))),"x",""))</f>
        <v/>
      </c>
      <c r="U310" s="84" t="str">
        <f>IF(ISERROR(FIND('112'!$M$9,G310,1)),"",IF((AND(LEFT(G310,2)=LEFT('112'!$M$9,2),B310&lt;'112'!$K$9,$N310='112'!$I$6)),"x",""))</f>
        <v/>
      </c>
      <c r="V310" s="84" t="str">
        <f>IF(ISERROR(FIND('112'!$M$9,G310,1)),"",IF((AND(RIGHT(G310,2)=RIGHT('112'!$M$9,2),B310&lt;'112'!$K$9,$O310='112'!$I$6)),"x",""))</f>
        <v/>
      </c>
      <c r="W310" s="84" t="str">
        <f>IF(AND('341-CT'!$H$9=H310,OR(LEFT(N310,3)=$W$7,LEFT(O310,3)=$W$7)),"x","")</f>
        <v/>
      </c>
      <c r="X310" s="84" t="str">
        <f>IF(OR(TH!N310=TH!$X$7,O310=TH!$X$7),"x","")</f>
        <v/>
      </c>
      <c r="Y310" s="84" t="str">
        <f>IF(AND(OR(N310="131",O310="131"),H310='131-CT'!$H$9),"x","")</f>
        <v/>
      </c>
      <c r="Z310" s="84"/>
      <c r="AA310" s="84" t="str">
        <f>IF(AND(MONTH(E310)='IN-NX'!$J$5,'IN-NX'!$D$7=D310),"x","")</f>
        <v/>
      </c>
      <c r="AB310" s="84" t="str">
        <f>IF(AND(OR(LEFT(TH!N310,2)="15",LEFT(TH!O310,2)="15"),LEFT(TH!O310,3)&lt;&gt;"111",'152-CT'!$J$8=TH!F310),"x","")</f>
        <v/>
      </c>
      <c r="AC310" s="84" t="str">
        <f>IF(AND(OR(LEFT(TH!N310,2)="15",LEFT(TH!O310,2)="15"),TK!$E$7=TH!F310),"x","")</f>
        <v/>
      </c>
      <c r="AD310" s="84" t="str">
        <f>IF(AND(N310="1521",MONTH(C310)='BK-NL'!$M$11),"x","")</f>
        <v/>
      </c>
    </row>
    <row r="311" spans="1:30" s="341" customFormat="1" ht="15.75" hidden="1" customHeight="1">
      <c r="A311" s="336" t="str">
        <f>IF(B311&lt;&gt;"",IF(AND(B311='IN-TC'!$S$4,OR(TH!N311="1111",TH!O311="1111")),TH!D311,""),"")</f>
        <v/>
      </c>
      <c r="B311" s="63">
        <f t="shared" si="47"/>
        <v>1</v>
      </c>
      <c r="C311" s="64">
        <f t="shared" si="50"/>
        <v>42391</v>
      </c>
      <c r="D311" s="64" t="s">
        <v>690</v>
      </c>
      <c r="E311" s="64">
        <v>42391</v>
      </c>
      <c r="F311" s="67" t="s">
        <v>401</v>
      </c>
      <c r="G311" s="67"/>
      <c r="H311" s="75" t="s">
        <v>449</v>
      </c>
      <c r="I311" s="441">
        <v>620</v>
      </c>
      <c r="J311" s="441">
        <v>18300</v>
      </c>
      <c r="K311" s="432"/>
      <c r="L311" s="441"/>
      <c r="M311" s="65">
        <f t="shared" si="52"/>
        <v>11346000</v>
      </c>
      <c r="N311" s="66" t="s">
        <v>282</v>
      </c>
      <c r="O311" s="66" t="s">
        <v>276</v>
      </c>
      <c r="P311" s="84" t="str">
        <f>IF(AND('331-CT'!$E$7=TH!H311,OR(N311="331",O311="331")),"x","")</f>
        <v/>
      </c>
      <c r="Q311" s="84" t="str">
        <f>IF(AND(B311='111'!$L$11,OR($N311=$Q$7,$O311=$Q$7)),"x","")</f>
        <v/>
      </c>
      <c r="R311" s="84" t="str">
        <f>IF(AND($N311=$Q$7,$B311&lt;'111'!$L$11),"x","")</f>
        <v/>
      </c>
      <c r="S311" s="84" t="str">
        <f>IF(AND($O311=$Q$7,$B311&lt;'111'!$L$11),"x","")</f>
        <v/>
      </c>
      <c r="T311" s="84" t="str">
        <f>IF(ISERROR(FIND('112'!$M$9,G311,1)),"",IF((AND(FIND('112'!$M$9,G311,1)&gt;=1,B311='112'!$K$9,OR($N311='112'!$I$6,$O311='112'!$I$6))),"x",""))</f>
        <v/>
      </c>
      <c r="U311" s="84" t="str">
        <f>IF(ISERROR(FIND('112'!$M$9,G311,1)),"",IF((AND(LEFT(G311,2)=LEFT('112'!$M$9,2),B311&lt;'112'!$K$9,$N311='112'!$I$6)),"x",""))</f>
        <v/>
      </c>
      <c r="V311" s="84" t="str">
        <f>IF(ISERROR(FIND('112'!$M$9,G311,1)),"",IF((AND(RIGHT(G311,2)=RIGHT('112'!$M$9,2),B311&lt;'112'!$K$9,$O311='112'!$I$6)),"x",""))</f>
        <v/>
      </c>
      <c r="W311" s="84" t="str">
        <f>IF(AND('341-CT'!$H$9=H311,OR(LEFT(N311,3)=$W$7,LEFT(O311,3)=$W$7)),"x","")</f>
        <v/>
      </c>
      <c r="X311" s="84" t="str">
        <f>IF(OR(TH!N311=TH!$X$7,O311=TH!$X$7),"x","")</f>
        <v/>
      </c>
      <c r="Y311" s="84" t="str">
        <f>IF(AND(OR(N311="131",O311="131"),H311='131-CT'!$H$9),"x","")</f>
        <v/>
      </c>
      <c r="Z311" s="84"/>
      <c r="AA311" s="84" t="str">
        <f>IF(AND(MONTH(E311)='IN-NX'!$J$5,'IN-NX'!$D$7=D311),"x","")</f>
        <v/>
      </c>
      <c r="AB311" s="84" t="str">
        <f>IF(AND(OR(LEFT(TH!N311,2)="15",LEFT(TH!O311,2)="15"),LEFT(TH!O311,3)&lt;&gt;"111",'152-CT'!$J$8=TH!F311),"x","")</f>
        <v/>
      </c>
      <c r="AC311" s="84" t="str">
        <f>IF(AND(OR(LEFT(TH!N311,2)="15",LEFT(TH!O311,2)="15"),TK!$E$7=TH!F311),"x","")</f>
        <v/>
      </c>
      <c r="AD311" s="84" t="str">
        <f>IF(AND(N311="1521",MONTH(C311)='BK-NL'!$M$11),"x","")</f>
        <v/>
      </c>
    </row>
    <row r="312" spans="1:30" s="341" customFormat="1" ht="15.75" hidden="1" customHeight="1">
      <c r="A312" s="336" t="str">
        <f>IF(B312&lt;&gt;"",IF(AND(B312='IN-TC'!$S$4,OR(TH!N312="1111",TH!O312="1111")),TH!D312,""),"")</f>
        <v/>
      </c>
      <c r="B312" s="63">
        <f t="shared" si="47"/>
        <v>1</v>
      </c>
      <c r="C312" s="64">
        <f t="shared" si="50"/>
        <v>42391</v>
      </c>
      <c r="D312" s="64" t="s">
        <v>690</v>
      </c>
      <c r="E312" s="64">
        <v>42391</v>
      </c>
      <c r="F312" s="67" t="s">
        <v>653</v>
      </c>
      <c r="G312" s="67"/>
      <c r="H312" s="75" t="s">
        <v>449</v>
      </c>
      <c r="I312" s="439">
        <v>2400</v>
      </c>
      <c r="J312" s="439">
        <v>14000</v>
      </c>
      <c r="K312" s="432"/>
      <c r="L312" s="441"/>
      <c r="M312" s="65">
        <f t="shared" si="52"/>
        <v>33600000</v>
      </c>
      <c r="N312" s="66" t="s">
        <v>282</v>
      </c>
      <c r="O312" s="66" t="s">
        <v>276</v>
      </c>
      <c r="P312" s="84" t="str">
        <f>IF(AND('331-CT'!$E$7=TH!H312,OR(N312="331",O312="331")),"x","")</f>
        <v/>
      </c>
      <c r="Q312" s="84" t="str">
        <f>IF(AND(B312='111'!$L$11,OR($N312=$Q$7,$O312=$Q$7)),"x","")</f>
        <v/>
      </c>
      <c r="R312" s="84" t="str">
        <f>IF(AND($N312=$Q$7,$B312&lt;'111'!$L$11),"x","")</f>
        <v/>
      </c>
      <c r="S312" s="84" t="str">
        <f>IF(AND($O312=$Q$7,$B312&lt;'111'!$L$11),"x","")</f>
        <v/>
      </c>
      <c r="T312" s="84" t="str">
        <f>IF(ISERROR(FIND('112'!$M$9,G312,1)),"",IF((AND(FIND('112'!$M$9,G312,1)&gt;=1,B312='112'!$K$9,OR($N312='112'!$I$6,$O312='112'!$I$6))),"x",""))</f>
        <v/>
      </c>
      <c r="U312" s="84" t="str">
        <f>IF(ISERROR(FIND('112'!$M$9,G312,1)),"",IF((AND(LEFT(G312,2)=LEFT('112'!$M$9,2),B312&lt;'112'!$K$9,$N312='112'!$I$6)),"x",""))</f>
        <v/>
      </c>
      <c r="V312" s="84" t="str">
        <f>IF(ISERROR(FIND('112'!$M$9,G312,1)),"",IF((AND(RIGHT(G312,2)=RIGHT('112'!$M$9,2),B312&lt;'112'!$K$9,$O312='112'!$I$6)),"x",""))</f>
        <v/>
      </c>
      <c r="W312" s="84" t="str">
        <f>IF(AND('341-CT'!$H$9=H312,OR(LEFT(N312,3)=$W$7,LEFT(O312,3)=$W$7)),"x","")</f>
        <v/>
      </c>
      <c r="X312" s="84" t="str">
        <f>IF(OR(TH!N312=TH!$X$7,O312=TH!$X$7),"x","")</f>
        <v/>
      </c>
      <c r="Y312" s="84" t="str">
        <f>IF(AND(OR(N312="131",O312="131"),H312='131-CT'!$H$9),"x","")</f>
        <v/>
      </c>
      <c r="Z312" s="84"/>
      <c r="AA312" s="84" t="str">
        <f>IF(AND(MONTH(E312)='IN-NX'!$J$5,'IN-NX'!$D$7=D312),"x","")</f>
        <v/>
      </c>
      <c r="AB312" s="84" t="str">
        <f>IF(AND(OR(LEFT(TH!N312,2)="15",LEFT(TH!O312,2)="15"),LEFT(TH!O312,3)&lt;&gt;"111",'152-CT'!$J$8=TH!F312),"x","")</f>
        <v/>
      </c>
      <c r="AC312" s="84" t="str">
        <f>IF(AND(OR(LEFT(TH!N312,2)="15",LEFT(TH!O312,2)="15"),TK!$E$7=TH!F312),"x","")</f>
        <v/>
      </c>
      <c r="AD312" s="84" t="str">
        <f>IF(AND(N312="1521",MONTH(C312)='BK-NL'!$M$11),"x","")</f>
        <v/>
      </c>
    </row>
    <row r="313" spans="1:30" s="341" customFormat="1" ht="15.75" hidden="1" customHeight="1">
      <c r="A313" s="336" t="str">
        <f>IF(B313&lt;&gt;"",IF(AND(B313='IN-TC'!$S$4,OR(TH!N313="1111",TH!O313="1111")),TH!D313,""),"")</f>
        <v/>
      </c>
      <c r="B313" s="63">
        <f t="shared" si="47"/>
        <v>1</v>
      </c>
      <c r="C313" s="64">
        <f t="shared" si="50"/>
        <v>42398</v>
      </c>
      <c r="D313" s="64" t="s">
        <v>691</v>
      </c>
      <c r="E313" s="64">
        <v>42398</v>
      </c>
      <c r="F313" s="67" t="s">
        <v>390</v>
      </c>
      <c r="G313" s="67"/>
      <c r="H313" s="73" t="s">
        <v>449</v>
      </c>
      <c r="I313" s="439">
        <v>1150</v>
      </c>
      <c r="J313" s="439">
        <v>12000</v>
      </c>
      <c r="K313" s="430"/>
      <c r="L313" s="439"/>
      <c r="M313" s="65">
        <f t="shared" si="52"/>
        <v>13800000</v>
      </c>
      <c r="N313" s="66" t="s">
        <v>282</v>
      </c>
      <c r="O313" s="66" t="s">
        <v>276</v>
      </c>
      <c r="P313" s="84" t="str">
        <f>IF(AND('331-CT'!$E$7=TH!H313,OR(N313="331",O313="331")),"x","")</f>
        <v/>
      </c>
      <c r="Q313" s="84" t="str">
        <f>IF(AND(B313='111'!$L$11,OR($N313=$Q$7,$O313=$Q$7)),"x","")</f>
        <v/>
      </c>
      <c r="R313" s="84" t="str">
        <f>IF(AND($N313=$Q$7,$B313&lt;'111'!$L$11),"x","")</f>
        <v/>
      </c>
      <c r="S313" s="84" t="str">
        <f>IF(AND($O313=$Q$7,$B313&lt;'111'!$L$11),"x","")</f>
        <v/>
      </c>
      <c r="T313" s="84" t="str">
        <f>IF(ISERROR(FIND('112'!$M$9,G313,1)),"",IF((AND(FIND('112'!$M$9,G313,1)&gt;=1,B313='112'!$K$9,OR($N313='112'!$I$6,$O313='112'!$I$6))),"x",""))</f>
        <v/>
      </c>
      <c r="U313" s="84" t="str">
        <f>IF(ISERROR(FIND('112'!$M$9,G313,1)),"",IF((AND(LEFT(G313,2)=LEFT('112'!$M$9,2),B313&lt;'112'!$K$9,$N313='112'!$I$6)),"x",""))</f>
        <v/>
      </c>
      <c r="V313" s="84" t="str">
        <f>IF(ISERROR(FIND('112'!$M$9,G313,1)),"",IF((AND(RIGHT(G313,2)=RIGHT('112'!$M$9,2),B313&lt;'112'!$K$9,$O313='112'!$I$6)),"x",""))</f>
        <v/>
      </c>
      <c r="W313" s="84" t="str">
        <f>IF(AND('341-CT'!$H$9=H313,OR(LEFT(N313,3)=$W$7,LEFT(O313,3)=$W$7)),"x","")</f>
        <v/>
      </c>
      <c r="X313" s="84" t="str">
        <f>IF(OR(TH!N313=TH!$X$7,O313=TH!$X$7),"x","")</f>
        <v/>
      </c>
      <c r="Y313" s="84" t="str">
        <f>IF(AND(OR(N313="131",O313="131"),H313='131-CT'!$H$9),"x","")</f>
        <v/>
      </c>
      <c r="Z313" s="84"/>
      <c r="AA313" s="84" t="str">
        <f>IF(AND(MONTH(E313)='IN-NX'!$J$5,'IN-NX'!$D$7=D313),"x","")</f>
        <v/>
      </c>
      <c r="AB313" s="84" t="str">
        <f>IF(AND(OR(LEFT(TH!N313,2)="15",LEFT(TH!O313,2)="15"),LEFT(TH!O313,3)&lt;&gt;"111",'152-CT'!$J$8=TH!F313),"x","")</f>
        <v/>
      </c>
      <c r="AC313" s="84" t="str">
        <f>IF(AND(OR(LEFT(TH!N313,2)="15",LEFT(TH!O313,2)="15"),TK!$E$7=TH!F313),"x","")</f>
        <v/>
      </c>
      <c r="AD313" s="84" t="str">
        <f>IF(AND(N313="1521",MONTH(C313)='BK-NL'!$M$11),"x","")</f>
        <v/>
      </c>
    </row>
    <row r="314" spans="1:30" s="341" customFormat="1" ht="15.75" hidden="1" customHeight="1">
      <c r="A314" s="336" t="str">
        <f>IF(B314&lt;&gt;"",IF(AND(B314='IN-TC'!$S$4,OR(TH!N314="1111",TH!O314="1111")),TH!D314,""),"")</f>
        <v/>
      </c>
      <c r="B314" s="63">
        <f t="shared" si="47"/>
        <v>1</v>
      </c>
      <c r="C314" s="64">
        <f t="shared" si="50"/>
        <v>42398</v>
      </c>
      <c r="D314" s="64" t="s">
        <v>691</v>
      </c>
      <c r="E314" s="64">
        <v>42398</v>
      </c>
      <c r="F314" s="67" t="s">
        <v>392</v>
      </c>
      <c r="G314" s="67"/>
      <c r="H314" s="73" t="s">
        <v>449</v>
      </c>
      <c r="I314" s="439">
        <v>150</v>
      </c>
      <c r="J314" s="439">
        <v>9500</v>
      </c>
      <c r="K314" s="430"/>
      <c r="L314" s="439"/>
      <c r="M314" s="65">
        <f t="shared" si="52"/>
        <v>1425000</v>
      </c>
      <c r="N314" s="66" t="s">
        <v>282</v>
      </c>
      <c r="O314" s="66" t="s">
        <v>276</v>
      </c>
      <c r="P314" s="84" t="str">
        <f>IF(AND('331-CT'!$E$7=TH!H314,OR(N314="331",O314="331")),"x","")</f>
        <v/>
      </c>
      <c r="Q314" s="84" t="str">
        <f>IF(AND(B314='111'!$L$11,OR($N314=$Q$7,$O314=$Q$7)),"x","")</f>
        <v/>
      </c>
      <c r="R314" s="84" t="str">
        <f>IF(AND($N314=$Q$7,$B314&lt;'111'!$L$11),"x","")</f>
        <v/>
      </c>
      <c r="S314" s="84" t="str">
        <f>IF(AND($O314=$Q$7,$B314&lt;'111'!$L$11),"x","")</f>
        <v/>
      </c>
      <c r="T314" s="84" t="str">
        <f>IF(ISERROR(FIND('112'!$M$9,G314,1)),"",IF((AND(FIND('112'!$M$9,G314,1)&gt;=1,B314='112'!$K$9,OR($N314='112'!$I$6,$O314='112'!$I$6))),"x",""))</f>
        <v/>
      </c>
      <c r="U314" s="84" t="str">
        <f>IF(ISERROR(FIND('112'!$M$9,G314,1)),"",IF((AND(LEFT(G314,2)=LEFT('112'!$M$9,2),B314&lt;'112'!$K$9,$N314='112'!$I$6)),"x",""))</f>
        <v/>
      </c>
      <c r="V314" s="84" t="str">
        <f>IF(ISERROR(FIND('112'!$M$9,G314,1)),"",IF((AND(RIGHT(G314,2)=RIGHT('112'!$M$9,2),B314&lt;'112'!$K$9,$O314='112'!$I$6)),"x",""))</f>
        <v/>
      </c>
      <c r="W314" s="84" t="str">
        <f>IF(AND('341-CT'!$H$9=H314,OR(LEFT(N314,3)=$W$7,LEFT(O314,3)=$W$7)),"x","")</f>
        <v/>
      </c>
      <c r="X314" s="84" t="str">
        <f>IF(OR(TH!N314=TH!$X$7,O314=TH!$X$7),"x","")</f>
        <v/>
      </c>
      <c r="Y314" s="84" t="str">
        <f>IF(AND(OR(N314="131",O314="131"),H314='131-CT'!$H$9),"x","")</f>
        <v/>
      </c>
      <c r="Z314" s="84"/>
      <c r="AA314" s="84" t="str">
        <f>IF(AND(MONTH(E314)='IN-NX'!$J$5,'IN-NX'!$D$7=D314),"x","")</f>
        <v/>
      </c>
      <c r="AB314" s="84" t="str">
        <f>IF(AND(OR(LEFT(TH!N314,2)="15",LEFT(TH!O314,2)="15"),LEFT(TH!O314,3)&lt;&gt;"111",'152-CT'!$J$8=TH!F314),"x","")</f>
        <v/>
      </c>
      <c r="AC314" s="84" t="str">
        <f>IF(AND(OR(LEFT(TH!N314,2)="15",LEFT(TH!O314,2)="15"),TK!$E$7=TH!F314),"x","")</f>
        <v/>
      </c>
      <c r="AD314" s="84" t="str">
        <f>IF(AND(N314="1521",MONTH(C314)='BK-NL'!$M$11),"x","")</f>
        <v/>
      </c>
    </row>
    <row r="315" spans="1:30" s="341" customFormat="1" ht="15.75" hidden="1" customHeight="1">
      <c r="A315" s="336" t="str">
        <f>IF(B315&lt;&gt;"",IF(AND(B315='IN-TC'!$S$4,OR(TH!N315="1111",TH!O315="1111")),TH!D315,""),"")</f>
        <v/>
      </c>
      <c r="B315" s="63">
        <f t="shared" si="47"/>
        <v>2</v>
      </c>
      <c r="C315" s="64">
        <f t="shared" si="50"/>
        <v>42415</v>
      </c>
      <c r="D315" s="64" t="s">
        <v>687</v>
      </c>
      <c r="E315" s="64">
        <v>42415</v>
      </c>
      <c r="F315" s="67" t="s">
        <v>339</v>
      </c>
      <c r="G315" s="982"/>
      <c r="H315" s="73" t="s">
        <v>449</v>
      </c>
      <c r="I315" s="439">
        <v>20</v>
      </c>
      <c r="J315" s="439">
        <v>35444.444444444445</v>
      </c>
      <c r="K315" s="430"/>
      <c r="L315" s="439"/>
      <c r="M315" s="65">
        <f t="shared" si="52"/>
        <v>708889</v>
      </c>
      <c r="N315" s="66" t="s">
        <v>282</v>
      </c>
      <c r="O315" s="66" t="s">
        <v>276</v>
      </c>
      <c r="P315" s="84" t="str">
        <f>IF(AND('331-CT'!$E$7=TH!H315,OR(N315="331",O315="331")),"x","")</f>
        <v/>
      </c>
      <c r="Q315" s="84" t="str">
        <f>IF(AND(B315='111'!$L$11,OR($N315=$Q$7,$O315=$Q$7)),"x","")</f>
        <v/>
      </c>
      <c r="R315" s="84" t="str">
        <f>IF(AND($N315=$Q$7,$B315&lt;'111'!$L$11),"x","")</f>
        <v/>
      </c>
      <c r="S315" s="84" t="str">
        <f>IF(AND($O315=$Q$7,$B315&lt;'111'!$L$11),"x","")</f>
        <v/>
      </c>
      <c r="T315" s="84" t="str">
        <f>IF(ISERROR(FIND('112'!$M$9,G315,1)),"",IF((AND(FIND('112'!$M$9,G315,1)&gt;=1,B315='112'!$K$9,OR($N315='112'!$I$6,$O315='112'!$I$6))),"x",""))</f>
        <v/>
      </c>
      <c r="U315" s="84" t="str">
        <f>IF(ISERROR(FIND('112'!$M$9,G315,1)),"",IF((AND(LEFT(G315,2)=LEFT('112'!$M$9,2),B315&lt;'112'!$K$9,$N315='112'!$I$6)),"x",""))</f>
        <v/>
      </c>
      <c r="V315" s="84" t="str">
        <f>IF(ISERROR(FIND('112'!$M$9,G315,1)),"",IF((AND(RIGHT(G315,2)=RIGHT('112'!$M$9,2),B315&lt;'112'!$K$9,$O315='112'!$I$6)),"x",""))</f>
        <v/>
      </c>
      <c r="W315" s="84" t="str">
        <f>IF(AND('341-CT'!$H$9=H315,OR(LEFT(N315,3)=$W$7,LEFT(O315,3)=$W$7)),"x","")</f>
        <v/>
      </c>
      <c r="X315" s="84" t="str">
        <f>IF(OR(TH!N315=TH!$X$7,O315=TH!$X$7),"x","")</f>
        <v/>
      </c>
      <c r="Y315" s="84" t="str">
        <f>IF(AND(OR(N315="131",O315="131"),H315='131-CT'!$H$9),"x","")</f>
        <v/>
      </c>
      <c r="Z315" s="84"/>
      <c r="AA315" s="84" t="str">
        <f>IF(AND(MONTH(E315)='IN-NX'!$J$5,'IN-NX'!$D$7=D315),"x","")</f>
        <v/>
      </c>
      <c r="AB315" s="84" t="str">
        <f>IF(AND(OR(LEFT(TH!N315,2)="15",LEFT(TH!O315,2)="15"),LEFT(TH!O315,3)&lt;&gt;"111",'152-CT'!$J$8=TH!F315),"x","")</f>
        <v/>
      </c>
      <c r="AC315" s="84" t="str">
        <f>IF(AND(OR(LEFT(TH!N315,2)="15",LEFT(TH!O315,2)="15"),TK!$E$7=TH!F315),"x","")</f>
        <v/>
      </c>
      <c r="AD315" s="84" t="str">
        <f>IF(AND(N315="1521",MONTH(C315)='BK-NL'!$M$11),"x","")</f>
        <v/>
      </c>
    </row>
    <row r="316" spans="1:30" s="341" customFormat="1" ht="15.75" hidden="1" customHeight="1">
      <c r="A316" s="336" t="str">
        <f>IF(B316&lt;&gt;"",IF(AND(B316='IN-TC'!$S$4,OR(TH!N316="1111",TH!O316="1111")),TH!D316,""),"")</f>
        <v/>
      </c>
      <c r="B316" s="63">
        <f t="shared" si="47"/>
        <v>2</v>
      </c>
      <c r="C316" s="64">
        <f t="shared" ref="C316:C322" si="53">E316</f>
        <v>42415</v>
      </c>
      <c r="D316" s="64" t="s">
        <v>687</v>
      </c>
      <c r="E316" s="64">
        <v>42415</v>
      </c>
      <c r="F316" s="67" t="s">
        <v>345</v>
      </c>
      <c r="G316" s="982"/>
      <c r="H316" s="73" t="s">
        <v>449</v>
      </c>
      <c r="I316" s="439">
        <v>5</v>
      </c>
      <c r="J316" s="439">
        <v>46741.2</v>
      </c>
      <c r="K316" s="430"/>
      <c r="L316" s="439"/>
      <c r="M316" s="65">
        <f t="shared" si="52"/>
        <v>233706</v>
      </c>
      <c r="N316" s="66" t="s">
        <v>282</v>
      </c>
      <c r="O316" s="66" t="s">
        <v>276</v>
      </c>
      <c r="P316" s="84" t="str">
        <f>IF(AND('331-CT'!$E$7=TH!H316,OR(N316="331",O316="331")),"x","")</f>
        <v/>
      </c>
      <c r="Q316" s="84" t="str">
        <f>IF(AND(B316='111'!$L$11,OR($N316=$Q$7,$O316=$Q$7)),"x","")</f>
        <v/>
      </c>
      <c r="R316" s="84" t="str">
        <f>IF(AND($N316=$Q$7,$B316&lt;'111'!$L$11),"x","")</f>
        <v/>
      </c>
      <c r="S316" s="84" t="str">
        <f>IF(AND($O316=$Q$7,$B316&lt;'111'!$L$11),"x","")</f>
        <v/>
      </c>
      <c r="T316" s="84" t="str">
        <f>IF(ISERROR(FIND('112'!$M$9,G316,1)),"",IF((AND(FIND('112'!$M$9,G316,1)&gt;=1,B316='112'!$K$9,OR($N316='112'!$I$6,$O316='112'!$I$6))),"x",""))</f>
        <v/>
      </c>
      <c r="U316" s="84" t="str">
        <f>IF(ISERROR(FIND('112'!$M$9,G316,1)),"",IF((AND(LEFT(G316,2)=LEFT('112'!$M$9,2),B316&lt;'112'!$K$9,$N316='112'!$I$6)),"x",""))</f>
        <v/>
      </c>
      <c r="V316" s="84" t="str">
        <f>IF(ISERROR(FIND('112'!$M$9,G316,1)),"",IF((AND(RIGHT(G316,2)=RIGHT('112'!$M$9,2),B316&lt;'112'!$K$9,$O316='112'!$I$6)),"x",""))</f>
        <v/>
      </c>
      <c r="W316" s="84" t="str">
        <f>IF(AND('341-CT'!$H$9=H316,OR(LEFT(N316,3)=$W$7,LEFT(O316,3)=$W$7)),"x","")</f>
        <v/>
      </c>
      <c r="X316" s="84" t="str">
        <f>IF(OR(TH!N316=TH!$X$7,O316=TH!$X$7),"x","")</f>
        <v/>
      </c>
      <c r="Y316" s="84" t="str">
        <f>IF(AND(OR(N316="131",O316="131"),H316='131-CT'!$H$9),"x","")</f>
        <v/>
      </c>
      <c r="Z316" s="84"/>
      <c r="AA316" s="84" t="str">
        <f>IF(AND(MONTH(E316)='IN-NX'!$J$5,'IN-NX'!$D$7=D316),"x","")</f>
        <v/>
      </c>
      <c r="AB316" s="84" t="str">
        <f>IF(AND(OR(LEFT(TH!N316,2)="15",LEFT(TH!O316,2)="15"),LEFT(TH!O316,3)&lt;&gt;"111",'152-CT'!$J$8=TH!F316),"x","")</f>
        <v/>
      </c>
      <c r="AC316" s="84" t="str">
        <f>IF(AND(OR(LEFT(TH!N316,2)="15",LEFT(TH!O316,2)="15"),TK!$E$7=TH!F316),"x","")</f>
        <v/>
      </c>
      <c r="AD316" s="84" t="str">
        <f>IF(AND(N316="1521",MONTH(C316)='BK-NL'!$M$11),"x","")</f>
        <v/>
      </c>
    </row>
    <row r="317" spans="1:30" s="341" customFormat="1" ht="15.75" hidden="1" customHeight="1">
      <c r="A317" s="336" t="str">
        <f>IF(B317&lt;&gt;"",IF(AND(B317='IN-TC'!$S$4,OR(TH!N317="1111",TH!O317="1111")),TH!D317,""),"")</f>
        <v/>
      </c>
      <c r="B317" s="63">
        <f t="shared" si="47"/>
        <v>2</v>
      </c>
      <c r="C317" s="64">
        <f t="shared" si="53"/>
        <v>42415</v>
      </c>
      <c r="D317" s="64" t="s">
        <v>687</v>
      </c>
      <c r="E317" s="64">
        <v>42415</v>
      </c>
      <c r="F317" s="67" t="s">
        <v>348</v>
      </c>
      <c r="G317" s="67"/>
      <c r="H317" s="73" t="s">
        <v>449</v>
      </c>
      <c r="I317" s="439">
        <v>150</v>
      </c>
      <c r="J317" s="439">
        <v>11666.673333333334</v>
      </c>
      <c r="K317" s="430"/>
      <c r="L317" s="439"/>
      <c r="M317" s="65">
        <f t="shared" si="52"/>
        <v>1750001</v>
      </c>
      <c r="N317" s="66" t="s">
        <v>282</v>
      </c>
      <c r="O317" s="66" t="s">
        <v>276</v>
      </c>
      <c r="P317" s="84" t="str">
        <f>IF(AND('331-CT'!$E$7=TH!H317,OR(N317="331",O317="331")),"x","")</f>
        <v/>
      </c>
      <c r="Q317" s="84" t="str">
        <f>IF(AND(B317='111'!$L$11,OR($N317=$Q$7,$O317=$Q$7)),"x","")</f>
        <v/>
      </c>
      <c r="R317" s="84" t="str">
        <f>IF(AND($N317=$Q$7,$B317&lt;'111'!$L$11),"x","")</f>
        <v/>
      </c>
      <c r="S317" s="84" t="str">
        <f>IF(AND($O317=$Q$7,$B317&lt;'111'!$L$11),"x","")</f>
        <v/>
      </c>
      <c r="T317" s="84" t="str">
        <f>IF(ISERROR(FIND('112'!$M$9,G317,1)),"",IF((AND(FIND('112'!$M$9,G317,1)&gt;=1,B317='112'!$K$9,OR($N317='112'!$I$6,$O317='112'!$I$6))),"x",""))</f>
        <v/>
      </c>
      <c r="U317" s="84" t="str">
        <f>IF(ISERROR(FIND('112'!$M$9,G317,1)),"",IF((AND(LEFT(G317,2)=LEFT('112'!$M$9,2),B317&lt;'112'!$K$9,$N317='112'!$I$6)),"x",""))</f>
        <v/>
      </c>
      <c r="V317" s="84" t="str">
        <f>IF(ISERROR(FIND('112'!$M$9,G317,1)),"",IF((AND(RIGHT(G317,2)=RIGHT('112'!$M$9,2),B317&lt;'112'!$K$9,$O317='112'!$I$6)),"x",""))</f>
        <v/>
      </c>
      <c r="W317" s="84" t="str">
        <f>IF(AND('341-CT'!$H$9=H317,OR(LEFT(N317,3)=$W$7,LEFT(O317,3)=$W$7)),"x","")</f>
        <v/>
      </c>
      <c r="X317" s="84" t="str">
        <f>IF(OR(TH!N317=TH!$X$7,O317=TH!$X$7),"x","")</f>
        <v/>
      </c>
      <c r="Y317" s="84" t="str">
        <f>IF(AND(OR(N317="131",O317="131"),H317='131-CT'!$H$9),"x","")</f>
        <v/>
      </c>
      <c r="Z317" s="84"/>
      <c r="AA317" s="84" t="str">
        <f>IF(AND(MONTH(E317)='IN-NX'!$J$5,'IN-NX'!$D$7=D317),"x","")</f>
        <v/>
      </c>
      <c r="AB317" s="84" t="str">
        <f>IF(AND(OR(LEFT(TH!N317,2)="15",LEFT(TH!O317,2)="15"),LEFT(TH!O317,3)&lt;&gt;"111",'152-CT'!$J$8=TH!F317),"x","")</f>
        <v/>
      </c>
      <c r="AC317" s="84" t="str">
        <f>IF(AND(OR(LEFT(TH!N317,2)="15",LEFT(TH!O317,2)="15"),TK!$E$7=TH!F317),"x","")</f>
        <v>x</v>
      </c>
      <c r="AD317" s="84" t="str">
        <f>IF(AND(N317="1521",MONTH(C317)='BK-NL'!$M$11),"x","")</f>
        <v/>
      </c>
    </row>
    <row r="318" spans="1:30" s="341" customFormat="1" ht="15.75" hidden="1" customHeight="1">
      <c r="A318" s="336" t="str">
        <f>IF(B318&lt;&gt;"",IF(AND(B318='IN-TC'!$S$4,OR(TH!N318="1111",TH!O318="1111")),TH!D318,""),"")</f>
        <v/>
      </c>
      <c r="B318" s="63">
        <f t="shared" si="47"/>
        <v>2</v>
      </c>
      <c r="C318" s="64">
        <f t="shared" si="53"/>
        <v>42415</v>
      </c>
      <c r="D318" s="64" t="s">
        <v>687</v>
      </c>
      <c r="E318" s="64">
        <v>42415</v>
      </c>
      <c r="F318" s="67" t="s">
        <v>224</v>
      </c>
      <c r="G318" s="67"/>
      <c r="H318" s="73" t="s">
        <v>449</v>
      </c>
      <c r="I318" s="439">
        <v>45</v>
      </c>
      <c r="J318" s="439">
        <v>21979.791919191921</v>
      </c>
      <c r="K318" s="430"/>
      <c r="L318" s="439"/>
      <c r="M318" s="65">
        <f t="shared" si="52"/>
        <v>989091</v>
      </c>
      <c r="N318" s="66" t="s">
        <v>282</v>
      </c>
      <c r="O318" s="66" t="s">
        <v>276</v>
      </c>
      <c r="P318" s="84" t="str">
        <f>IF(AND('331-CT'!$E$7=TH!H318,OR(N318="331",O318="331")),"x","")</f>
        <v/>
      </c>
      <c r="Q318" s="84" t="str">
        <f>IF(AND(B318='111'!$L$11,OR($N318=$Q$7,$O318=$Q$7)),"x","")</f>
        <v/>
      </c>
      <c r="R318" s="84" t="str">
        <f>IF(AND($N318=$Q$7,$B318&lt;'111'!$L$11),"x","")</f>
        <v/>
      </c>
      <c r="S318" s="84" t="str">
        <f>IF(AND($O318=$Q$7,$B318&lt;'111'!$L$11),"x","")</f>
        <v/>
      </c>
      <c r="T318" s="84" t="str">
        <f>IF(ISERROR(FIND('112'!$M$9,G318,1)),"",IF((AND(FIND('112'!$M$9,G318,1)&gt;=1,B318='112'!$K$9,OR($N318='112'!$I$6,$O318='112'!$I$6))),"x",""))</f>
        <v/>
      </c>
      <c r="U318" s="84" t="str">
        <f>IF(ISERROR(FIND('112'!$M$9,G318,1)),"",IF((AND(LEFT(G318,2)=LEFT('112'!$M$9,2),B318&lt;'112'!$K$9,$N318='112'!$I$6)),"x",""))</f>
        <v/>
      </c>
      <c r="V318" s="84" t="str">
        <f>IF(ISERROR(FIND('112'!$M$9,G318,1)),"",IF((AND(RIGHT(G318,2)=RIGHT('112'!$M$9,2),B318&lt;'112'!$K$9,$O318='112'!$I$6)),"x",""))</f>
        <v/>
      </c>
      <c r="W318" s="84" t="str">
        <f>IF(AND('341-CT'!$H$9=H318,OR(LEFT(N318,3)=$W$7,LEFT(O318,3)=$W$7)),"x","")</f>
        <v/>
      </c>
      <c r="X318" s="84" t="str">
        <f>IF(OR(TH!N318=TH!$X$7,O318=TH!$X$7),"x","")</f>
        <v/>
      </c>
      <c r="Y318" s="84" t="str">
        <f>IF(AND(OR(N318="131",O318="131"),H318='131-CT'!$H$9),"x","")</f>
        <v/>
      </c>
      <c r="Z318" s="84"/>
      <c r="AA318" s="84" t="str">
        <f>IF(AND(MONTH(E318)='IN-NX'!$J$5,'IN-NX'!$D$7=D318),"x","")</f>
        <v/>
      </c>
      <c r="AB318" s="84" t="str">
        <f>IF(AND(OR(LEFT(TH!N318,2)="15",LEFT(TH!O318,2)="15"),LEFT(TH!O318,3)&lt;&gt;"111",'152-CT'!$J$8=TH!F318),"x","")</f>
        <v/>
      </c>
      <c r="AC318" s="84" t="str">
        <f>IF(AND(OR(LEFT(TH!N318,2)="15",LEFT(TH!O318,2)="15"),TK!$E$7=TH!F318),"x","")</f>
        <v/>
      </c>
      <c r="AD318" s="84" t="str">
        <f>IF(AND(N318="1521",MONTH(C318)='BK-NL'!$M$11),"x","")</f>
        <v/>
      </c>
    </row>
    <row r="319" spans="1:30" s="341" customFormat="1" ht="15.75" hidden="1" customHeight="1">
      <c r="A319" s="336" t="str">
        <f>IF(B319&lt;&gt;"",IF(AND(B319='IN-TC'!$S$4,OR(TH!N319="1111",TH!O319="1111")),TH!D319,""),"")</f>
        <v/>
      </c>
      <c r="B319" s="63">
        <f t="shared" si="47"/>
        <v>2</v>
      </c>
      <c r="C319" s="64">
        <f t="shared" si="53"/>
        <v>42415</v>
      </c>
      <c r="D319" s="64" t="s">
        <v>687</v>
      </c>
      <c r="E319" s="64">
        <v>42415</v>
      </c>
      <c r="F319" s="67" t="s">
        <v>356</v>
      </c>
      <c r="G319" s="67"/>
      <c r="H319" s="73" t="s">
        <v>449</v>
      </c>
      <c r="I319" s="439">
        <v>540</v>
      </c>
      <c r="J319" s="439">
        <v>14900</v>
      </c>
      <c r="K319" s="430"/>
      <c r="L319" s="439"/>
      <c r="M319" s="65">
        <f t="shared" si="52"/>
        <v>8046000</v>
      </c>
      <c r="N319" s="66" t="s">
        <v>282</v>
      </c>
      <c r="O319" s="66" t="s">
        <v>276</v>
      </c>
      <c r="P319" s="84" t="str">
        <f>IF(AND('331-CT'!$E$7=TH!H319,OR(N319="331",O319="331")),"x","")</f>
        <v/>
      </c>
      <c r="Q319" s="84" t="str">
        <f>IF(AND(B319='111'!$L$11,OR($N319=$Q$7,$O319=$Q$7)),"x","")</f>
        <v/>
      </c>
      <c r="R319" s="84" t="str">
        <f>IF(AND($N319=$Q$7,$B319&lt;'111'!$L$11),"x","")</f>
        <v/>
      </c>
      <c r="S319" s="84" t="str">
        <f>IF(AND($O319=$Q$7,$B319&lt;'111'!$L$11),"x","")</f>
        <v/>
      </c>
      <c r="T319" s="84" t="str">
        <f>IF(ISERROR(FIND('112'!$M$9,G319,1)),"",IF((AND(FIND('112'!$M$9,G319,1)&gt;=1,B319='112'!$K$9,OR($N319='112'!$I$6,$O319='112'!$I$6))),"x",""))</f>
        <v/>
      </c>
      <c r="U319" s="84" t="str">
        <f>IF(ISERROR(FIND('112'!$M$9,G319,1)),"",IF((AND(LEFT(G319,2)=LEFT('112'!$M$9,2),B319&lt;'112'!$K$9,$N319='112'!$I$6)),"x",""))</f>
        <v/>
      </c>
      <c r="V319" s="84" t="str">
        <f>IF(ISERROR(FIND('112'!$M$9,G319,1)),"",IF((AND(RIGHT(G319,2)=RIGHT('112'!$M$9,2),B319&lt;'112'!$K$9,$O319='112'!$I$6)),"x",""))</f>
        <v/>
      </c>
      <c r="W319" s="84" t="str">
        <f>IF(AND('341-CT'!$H$9=H319,OR(LEFT(N319,3)=$W$7,LEFT(O319,3)=$W$7)),"x","")</f>
        <v/>
      </c>
      <c r="X319" s="84" t="str">
        <f>IF(OR(TH!N319=TH!$X$7,O319=TH!$X$7),"x","")</f>
        <v/>
      </c>
      <c r="Y319" s="84" t="str">
        <f>IF(AND(OR(N319="131",O319="131"),H319='131-CT'!$H$9),"x","")</f>
        <v/>
      </c>
      <c r="Z319" s="84"/>
      <c r="AA319" s="84" t="str">
        <f>IF(AND(MONTH(E319)='IN-NX'!$J$5,'IN-NX'!$D$7=D319),"x","")</f>
        <v/>
      </c>
      <c r="AB319" s="84" t="str">
        <f>IF(AND(OR(LEFT(TH!N319,2)="15",LEFT(TH!O319,2)="15"),LEFT(TH!O319,3)&lt;&gt;"111",'152-CT'!$J$8=TH!F319),"x","")</f>
        <v/>
      </c>
      <c r="AC319" s="84" t="str">
        <f>IF(AND(OR(LEFT(TH!N319,2)="15",LEFT(TH!O319,2)="15"),TK!$E$7=TH!F319),"x","")</f>
        <v/>
      </c>
      <c r="AD319" s="84" t="str">
        <f>IF(AND(N319="1521",MONTH(C319)='BK-NL'!$M$11),"x","")</f>
        <v/>
      </c>
    </row>
    <row r="320" spans="1:30" s="341" customFormat="1" ht="15.75" hidden="1" customHeight="1">
      <c r="A320" s="336" t="str">
        <f>IF(B320&lt;&gt;"",IF(AND(B320='IN-TC'!$S$4,OR(TH!N320="1111",TH!O320="1111")),TH!D320,""),"")</f>
        <v/>
      </c>
      <c r="B320" s="63">
        <f t="shared" si="47"/>
        <v>2</v>
      </c>
      <c r="C320" s="64">
        <f t="shared" si="53"/>
        <v>42425</v>
      </c>
      <c r="D320" s="64" t="s">
        <v>688</v>
      </c>
      <c r="E320" s="64">
        <v>42425</v>
      </c>
      <c r="F320" s="67" t="s">
        <v>359</v>
      </c>
      <c r="G320" s="67"/>
      <c r="H320" s="73" t="s">
        <v>449</v>
      </c>
      <c r="I320" s="439">
        <v>150</v>
      </c>
      <c r="J320" s="439">
        <v>8500</v>
      </c>
      <c r="K320" s="430"/>
      <c r="L320" s="439"/>
      <c r="M320" s="65">
        <f t="shared" si="52"/>
        <v>1275000</v>
      </c>
      <c r="N320" s="66" t="s">
        <v>282</v>
      </c>
      <c r="O320" s="66" t="s">
        <v>276</v>
      </c>
      <c r="P320" s="84" t="str">
        <f>IF(AND('331-CT'!$E$7=TH!H320,OR(N320="331",O320="331")),"x","")</f>
        <v/>
      </c>
      <c r="Q320" s="84" t="str">
        <f>IF(AND(B320='111'!$L$11,OR($N320=$Q$7,$O320=$Q$7)),"x","")</f>
        <v/>
      </c>
      <c r="R320" s="84" t="str">
        <f>IF(AND($N320=$Q$7,$B320&lt;'111'!$L$11),"x","")</f>
        <v/>
      </c>
      <c r="S320" s="84" t="str">
        <f>IF(AND($O320=$Q$7,$B320&lt;'111'!$L$11),"x","")</f>
        <v/>
      </c>
      <c r="T320" s="84" t="str">
        <f>IF(ISERROR(FIND('112'!$M$9,G320,1)),"",IF((AND(FIND('112'!$M$9,G320,1)&gt;=1,B320='112'!$K$9,OR($N320='112'!$I$6,$O320='112'!$I$6))),"x",""))</f>
        <v/>
      </c>
      <c r="U320" s="84" t="str">
        <f>IF(ISERROR(FIND('112'!$M$9,G320,1)),"",IF((AND(LEFT(G320,2)=LEFT('112'!$M$9,2),B320&lt;'112'!$K$9,$N320='112'!$I$6)),"x",""))</f>
        <v/>
      </c>
      <c r="V320" s="84" t="str">
        <f>IF(ISERROR(FIND('112'!$M$9,G320,1)),"",IF((AND(RIGHT(G320,2)=RIGHT('112'!$M$9,2),B320&lt;'112'!$K$9,$O320='112'!$I$6)),"x",""))</f>
        <v/>
      </c>
      <c r="W320" s="84" t="str">
        <f>IF(AND('341-CT'!$H$9=H320,OR(LEFT(N320,3)=$W$7,LEFT(O320,3)=$W$7)),"x","")</f>
        <v/>
      </c>
      <c r="X320" s="84" t="str">
        <f>IF(OR(TH!N320=TH!$X$7,O320=TH!$X$7),"x","")</f>
        <v/>
      </c>
      <c r="Y320" s="84" t="str">
        <f>IF(AND(OR(N320="131",O320="131"),H320='131-CT'!$H$9),"x","")</f>
        <v/>
      </c>
      <c r="Z320" s="84"/>
      <c r="AA320" s="84" t="str">
        <f>IF(AND(MONTH(E320)='IN-NX'!$J$5,'IN-NX'!$D$7=D320),"x","")</f>
        <v/>
      </c>
      <c r="AB320" s="84" t="str">
        <f>IF(AND(OR(LEFT(TH!N320,2)="15",LEFT(TH!O320,2)="15"),LEFT(TH!O320,3)&lt;&gt;"111",'152-CT'!$J$8=TH!F320),"x","")</f>
        <v/>
      </c>
      <c r="AC320" s="84" t="str">
        <f>IF(AND(OR(LEFT(TH!N320,2)="15",LEFT(TH!O320,2)="15"),TK!$E$7=TH!F320),"x","")</f>
        <v/>
      </c>
      <c r="AD320" s="84" t="str">
        <f>IF(AND(N320="1521",MONTH(C320)='BK-NL'!$M$11),"x","")</f>
        <v/>
      </c>
    </row>
    <row r="321" spans="1:31" s="341" customFormat="1" ht="15.75" hidden="1" customHeight="1">
      <c r="A321" s="336" t="str">
        <f>IF(B321&lt;&gt;"",IF(AND(B321='IN-TC'!$S$4,OR(TH!N321="1111",TH!O321="1111")),TH!D321,""),"")</f>
        <v/>
      </c>
      <c r="B321" s="63">
        <f t="shared" si="47"/>
        <v>2</v>
      </c>
      <c r="C321" s="64">
        <f t="shared" si="53"/>
        <v>42425</v>
      </c>
      <c r="D321" s="64" t="s">
        <v>688</v>
      </c>
      <c r="E321" s="64">
        <v>42425</v>
      </c>
      <c r="F321" s="67" t="s">
        <v>363</v>
      </c>
      <c r="G321" s="67"/>
      <c r="H321" s="73" t="s">
        <v>449</v>
      </c>
      <c r="I321" s="441">
        <v>150</v>
      </c>
      <c r="J321" s="441">
        <v>33000</v>
      </c>
      <c r="K321" s="432"/>
      <c r="L321" s="441"/>
      <c r="M321" s="65">
        <f t="shared" si="52"/>
        <v>4950000</v>
      </c>
      <c r="N321" s="66" t="s">
        <v>282</v>
      </c>
      <c r="O321" s="66" t="s">
        <v>276</v>
      </c>
      <c r="P321" s="84" t="str">
        <f>IF(AND('331-CT'!$E$7=TH!H321,OR(N321="331",O321="331")),"x","")</f>
        <v/>
      </c>
      <c r="Q321" s="84" t="str">
        <f>IF(AND(B321='111'!$L$11,OR($N321=$Q$7,$O321=$Q$7)),"x","")</f>
        <v/>
      </c>
      <c r="R321" s="84" t="str">
        <f>IF(AND($N321=$Q$7,$B321&lt;'111'!$L$11),"x","")</f>
        <v/>
      </c>
      <c r="S321" s="84" t="str">
        <f>IF(AND($O321=$Q$7,$B321&lt;'111'!$L$11),"x","")</f>
        <v/>
      </c>
      <c r="T321" s="84" t="str">
        <f>IF(ISERROR(FIND('112'!$M$9,G321,1)),"",IF((AND(FIND('112'!$M$9,G321,1)&gt;=1,B321='112'!$K$9,OR($N321='112'!$I$6,$O321='112'!$I$6))),"x",""))</f>
        <v/>
      </c>
      <c r="U321" s="84" t="str">
        <f>IF(ISERROR(FIND('112'!$M$9,G321,1)),"",IF((AND(LEFT(G321,2)=LEFT('112'!$M$9,2),B321&lt;'112'!$K$9,$N321='112'!$I$6)),"x",""))</f>
        <v/>
      </c>
      <c r="V321" s="84" t="str">
        <f>IF(ISERROR(FIND('112'!$M$9,G321,1)),"",IF((AND(RIGHT(G321,2)=RIGHT('112'!$M$9,2),B321&lt;'112'!$K$9,$O321='112'!$I$6)),"x",""))</f>
        <v/>
      </c>
      <c r="W321" s="84" t="str">
        <f>IF(AND('341-CT'!$H$9=H321,OR(LEFT(N321,3)=$W$7,LEFT(O321,3)=$W$7)),"x","")</f>
        <v/>
      </c>
      <c r="X321" s="84" t="str">
        <f>IF(OR(TH!N321=TH!$X$7,O321=TH!$X$7),"x","")</f>
        <v/>
      </c>
      <c r="Y321" s="84" t="str">
        <f>IF(AND(OR(N321="131",O321="131"),H321='131-CT'!$H$9),"x","")</f>
        <v/>
      </c>
      <c r="Z321" s="84"/>
      <c r="AA321" s="84" t="str">
        <f>IF(AND(MONTH(E321)='IN-NX'!$J$5,'IN-NX'!$D$7=D321),"x","")</f>
        <v/>
      </c>
      <c r="AB321" s="84" t="str">
        <f>IF(AND(OR(LEFT(TH!N321,2)="15",LEFT(TH!O321,2)="15"),LEFT(TH!O321,3)&lt;&gt;"111",'152-CT'!$J$8=TH!F321),"x","")</f>
        <v>x</v>
      </c>
      <c r="AC321" s="84" t="str">
        <f>IF(AND(OR(LEFT(TH!N321,2)="15",LEFT(TH!O321,2)="15"),TK!$E$7=TH!F321),"x","")</f>
        <v/>
      </c>
      <c r="AD321" s="84" t="str">
        <f>IF(AND(N321="1521",MONTH(C321)='BK-NL'!$M$11),"x","")</f>
        <v/>
      </c>
    </row>
    <row r="322" spans="1:31" s="341" customFormat="1" ht="15.75" hidden="1" customHeight="1">
      <c r="A322" s="336" t="str">
        <f>IF(B322&lt;&gt;"",IF(AND(B322='IN-TC'!$S$4,OR(TH!N322="1111",TH!O322="1111")),TH!D322,""),"")</f>
        <v/>
      </c>
      <c r="B322" s="63">
        <f t="shared" si="47"/>
        <v>2</v>
      </c>
      <c r="C322" s="64">
        <f t="shared" si="53"/>
        <v>42401</v>
      </c>
      <c r="D322" s="64" t="s">
        <v>686</v>
      </c>
      <c r="E322" s="64">
        <v>42401</v>
      </c>
      <c r="F322" s="67" t="s">
        <v>381</v>
      </c>
      <c r="G322" s="67"/>
      <c r="H322" s="73" t="s">
        <v>449</v>
      </c>
      <c r="I322" s="441">
        <v>2100</v>
      </c>
      <c r="J322" s="441">
        <v>5780.8622078968574</v>
      </c>
      <c r="K322" s="432"/>
      <c r="L322" s="441"/>
      <c r="M322" s="65">
        <f t="shared" si="52"/>
        <v>12139811</v>
      </c>
      <c r="N322" s="66" t="s">
        <v>282</v>
      </c>
      <c r="O322" s="66" t="s">
        <v>276</v>
      </c>
      <c r="P322" s="84" t="str">
        <f>IF(AND('331-CT'!$E$7=TH!H322,OR(N322="331",O322="331")),"x","")</f>
        <v/>
      </c>
      <c r="Q322" s="84" t="str">
        <f>IF(AND(B322='111'!$L$11,OR($N322=$Q$7,$O322=$Q$7)),"x","")</f>
        <v/>
      </c>
      <c r="R322" s="84" t="str">
        <f>IF(AND($N322=$Q$7,$B322&lt;'111'!$L$11),"x","")</f>
        <v/>
      </c>
      <c r="S322" s="84" t="str">
        <f>IF(AND($O322=$Q$7,$B322&lt;'111'!$L$11),"x","")</f>
        <v/>
      </c>
      <c r="T322" s="84" t="str">
        <f>IF(ISERROR(FIND('112'!$M$9,G322,1)),"",IF((AND(FIND('112'!$M$9,G322,1)&gt;=1,B322='112'!$K$9,OR($N322='112'!$I$6,$O322='112'!$I$6))),"x",""))</f>
        <v/>
      </c>
      <c r="U322" s="84" t="str">
        <f>IF(ISERROR(FIND('112'!$M$9,G322,1)),"",IF((AND(LEFT(G322,2)=LEFT('112'!$M$9,2),B322&lt;'112'!$K$9,$N322='112'!$I$6)),"x",""))</f>
        <v/>
      </c>
      <c r="V322" s="84" t="str">
        <f>IF(ISERROR(FIND('112'!$M$9,G322,1)),"",IF((AND(RIGHT(G322,2)=RIGHT('112'!$M$9,2),B322&lt;'112'!$K$9,$O322='112'!$I$6)),"x",""))</f>
        <v/>
      </c>
      <c r="W322" s="84" t="str">
        <f>IF(AND('341-CT'!$H$9=H322,OR(LEFT(N322,3)=$W$7,LEFT(O322,3)=$W$7)),"x","")</f>
        <v/>
      </c>
      <c r="X322" s="84" t="str">
        <f>IF(OR(TH!N322=TH!$X$7,O322=TH!$X$7),"x","")</f>
        <v/>
      </c>
      <c r="Y322" s="84" t="str">
        <f>IF(AND(OR(N322="131",O322="131"),H322='131-CT'!$H$9),"x","")</f>
        <v/>
      </c>
      <c r="Z322" s="84"/>
      <c r="AA322" s="84" t="str">
        <f>IF(AND(MONTH(E322)='IN-NX'!$J$5,'IN-NX'!$D$7=D322),"x","")</f>
        <v/>
      </c>
      <c r="AB322" s="84" t="str">
        <f>IF(AND(OR(LEFT(TH!N322,2)="15",LEFT(TH!O322,2)="15"),LEFT(TH!O322,3)&lt;&gt;"111",'152-CT'!$J$8=TH!F322),"x","")</f>
        <v/>
      </c>
      <c r="AC322" s="84" t="str">
        <f>IF(AND(OR(LEFT(TH!N322,2)="15",LEFT(TH!O322,2)="15"),TK!$E$7=TH!F322),"x","")</f>
        <v/>
      </c>
      <c r="AD322" s="84" t="str">
        <f>IF(AND(N322="1521",MONTH(C322)='BK-NL'!$M$11),"x","")</f>
        <v/>
      </c>
    </row>
    <row r="323" spans="1:31" ht="15.75" hidden="1" customHeight="1">
      <c r="A323" s="336" t="str">
        <f>IF(B323&lt;&gt;"",IF(AND(B323='IN-TC'!$S$4,OR(TH!N323="1111",TH!O323="1111")),TH!D323,""),"")</f>
        <v/>
      </c>
      <c r="B323" s="63">
        <f t="shared" ref="B323:B329" si="54">IF(C323&lt;&gt;"",MONTH(C323),"")</f>
        <v>3</v>
      </c>
      <c r="C323" s="318">
        <v>42431</v>
      </c>
      <c r="D323" s="1134" t="s">
        <v>677</v>
      </c>
      <c r="E323" s="1134">
        <v>42431</v>
      </c>
      <c r="F323" s="1183" t="s">
        <v>390</v>
      </c>
      <c r="G323" s="1004" t="s">
        <v>1180</v>
      </c>
      <c r="H323" s="966" t="s">
        <v>623</v>
      </c>
      <c r="I323" s="437">
        <v>1015</v>
      </c>
      <c r="J323" s="437">
        <v>12000</v>
      </c>
      <c r="K323" s="428"/>
      <c r="L323" s="437"/>
      <c r="M323" s="83">
        <v>12180000</v>
      </c>
      <c r="N323" s="1128" t="s">
        <v>276</v>
      </c>
      <c r="O323" s="84" t="s">
        <v>8</v>
      </c>
      <c r="P323" s="84" t="str">
        <f>IF(AND('331-CT'!$E$7=TH!H323,OR(N323="331",O323="331")),"x","")</f>
        <v/>
      </c>
      <c r="Q323" s="84" t="str">
        <f>IF(AND(B323='111'!$L$11,OR($N323=$Q$7,$O323=$Q$7)),"x","")</f>
        <v/>
      </c>
      <c r="R323" s="84" t="str">
        <f>IF(AND($N323=$Q$7,$B323&lt;'111'!$L$11),"x","")</f>
        <v/>
      </c>
      <c r="S323" s="84" t="str">
        <f>IF(AND($O323=$Q$7,$B323&lt;'111'!$L$11),"x","")</f>
        <v/>
      </c>
      <c r="T323" s="84" t="str">
        <f>IF(ISERROR(FIND('112'!$M$9,G323,1)),"",IF((AND(FIND('112'!$M$9,G323,1)&gt;=1,B323='112'!$K$9,OR($N323='112'!$I$6,$O323='112'!$I$6))),"x",""))</f>
        <v/>
      </c>
      <c r="U323" s="84" t="str">
        <f>IF(ISERROR(FIND('112'!$M$9,G323,1)),"",IF((AND(LEFT(G323,2)=LEFT('112'!$M$9,2),B323&lt;'112'!$K$9,$N323='112'!$I$6)),"x",""))</f>
        <v/>
      </c>
      <c r="V323" s="84" t="str">
        <f>IF(ISERROR(FIND('112'!$M$9,G323,1)),"",IF((AND(RIGHT(G323,2)=RIGHT('112'!$M$9,2),B323&lt;'112'!$K$9,$O323='112'!$I$6)),"x",""))</f>
        <v/>
      </c>
      <c r="W323" s="84" t="str">
        <f>IF(AND('341-CT'!$H$9=H323,OR(LEFT(N323,3)=$W$7,LEFT(O323,3)=$W$7)),"x","")</f>
        <v/>
      </c>
      <c r="X323" s="84" t="str">
        <f>IF(OR(TH!N323=TH!$X$7,O323=TH!$X$7),"x","")</f>
        <v/>
      </c>
      <c r="Y323" s="84" t="str">
        <f>IF(AND(OR(N323="131",O323="131"),H323='131-CT'!$H$9),"x","")</f>
        <v/>
      </c>
      <c r="Z323" s="84"/>
      <c r="AA323" s="84" t="str">
        <f>IF(AND(MONTH(E323)='IN-NX'!$J$5,'IN-NX'!$D$7=D323),"x","")</f>
        <v/>
      </c>
      <c r="AB323" s="84" t="str">
        <f>IF(AND(OR(LEFT(TH!N323,2)="15",LEFT(TH!O323,2)="15"),LEFT(TH!O323,3)&lt;&gt;"111",'152-CT'!$J$8=TH!F323),"x","")</f>
        <v/>
      </c>
      <c r="AC323" s="84" t="str">
        <f>IF(AND(OR(LEFT(TH!N323,2)="15",LEFT(TH!O323,2)="15"),TK!$E$7=TH!F323),"x","")</f>
        <v/>
      </c>
      <c r="AD323" s="84" t="str">
        <f>IF(AND(N323="1521",MONTH(C323)='BK-NL'!$M$11),"x","")</f>
        <v/>
      </c>
      <c r="AE323" s="1146" t="str">
        <f t="shared" ref="AE323:AE333" si="55">IF(H323&lt;&gt;VLOOKUP(H323,DSKH,1,0),"","x")</f>
        <v>x</v>
      </c>
    </row>
    <row r="324" spans="1:31" s="347" customFormat="1" ht="15.75" hidden="1" customHeight="1">
      <c r="A324" s="336" t="str">
        <f>IF(B324&lt;&gt;"",IF(AND(B324='IN-TC'!$S$4,OR(TH!N324="1111",TH!O324="1111")),TH!D324,""),"")</f>
        <v/>
      </c>
      <c r="B324" s="63">
        <f t="shared" si="54"/>
        <v>3</v>
      </c>
      <c r="C324" s="318">
        <v>42431</v>
      </c>
      <c r="D324" s="1134" t="s">
        <v>677</v>
      </c>
      <c r="E324" s="1134">
        <v>42431</v>
      </c>
      <c r="F324" s="1183" t="s">
        <v>392</v>
      </c>
      <c r="G324" s="1004" t="s">
        <v>1180</v>
      </c>
      <c r="H324" s="966" t="s">
        <v>623</v>
      </c>
      <c r="I324" s="437">
        <v>375</v>
      </c>
      <c r="J324" s="437">
        <v>9500</v>
      </c>
      <c r="K324" s="428"/>
      <c r="L324" s="437"/>
      <c r="M324" s="83">
        <v>3562500</v>
      </c>
      <c r="N324" s="1128" t="s">
        <v>276</v>
      </c>
      <c r="O324" s="84" t="s">
        <v>8</v>
      </c>
      <c r="P324" s="84" t="str">
        <f>IF(AND('331-CT'!$E$7=TH!H324,OR(N324="331",O324="331")),"x","")</f>
        <v/>
      </c>
      <c r="Q324" s="84" t="str">
        <f>IF(AND(B324='111'!$L$11,OR($N324=$Q$7,$O324=$Q$7)),"x","")</f>
        <v/>
      </c>
      <c r="R324" s="84" t="str">
        <f>IF(AND($N324=$Q$7,$B324&lt;'111'!$L$11),"x","")</f>
        <v/>
      </c>
      <c r="S324" s="84" t="str">
        <f>IF(AND($O324=$Q$7,$B324&lt;'111'!$L$11),"x","")</f>
        <v/>
      </c>
      <c r="T324" s="84" t="str">
        <f>IF(ISERROR(FIND('112'!$M$9,G324,1)),"",IF((AND(FIND('112'!$M$9,G324,1)&gt;=1,B324='112'!$K$9,OR($N324='112'!$I$6,$O324='112'!$I$6))),"x",""))</f>
        <v/>
      </c>
      <c r="U324" s="84" t="str">
        <f>IF(ISERROR(FIND('112'!$M$9,G324,1)),"",IF((AND(LEFT(G324,2)=LEFT('112'!$M$9,2),B324&lt;'112'!$K$9,$N324='112'!$I$6)),"x",""))</f>
        <v/>
      </c>
      <c r="V324" s="84" t="str">
        <f>IF(ISERROR(FIND('112'!$M$9,G324,1)),"",IF((AND(RIGHT(G324,2)=RIGHT('112'!$M$9,2),B324&lt;'112'!$K$9,$O324='112'!$I$6)),"x",""))</f>
        <v/>
      </c>
      <c r="W324" s="84" t="str">
        <f>IF(AND('341-CT'!$H$9=H324,OR(LEFT(N324,3)=$W$7,LEFT(O324,3)=$W$7)),"x","")</f>
        <v/>
      </c>
      <c r="X324" s="84" t="str">
        <f>IF(OR(TH!N324=TH!$X$7,O324=TH!$X$7),"x","")</f>
        <v/>
      </c>
      <c r="Y324" s="84" t="str">
        <f>IF(AND(OR(N324="131",O324="131"),H324='131-CT'!$H$9),"x","")</f>
        <v/>
      </c>
      <c r="Z324" s="84"/>
      <c r="AA324" s="84" t="str">
        <f>IF(AND(MONTH(E324)='IN-NX'!$J$5,'IN-NX'!$D$7=D324),"x","")</f>
        <v/>
      </c>
      <c r="AB324" s="84" t="str">
        <f>IF(AND(OR(LEFT(TH!N324,2)="15",LEFT(TH!O324,2)="15"),LEFT(TH!O324,3)&lt;&gt;"111",'152-CT'!$J$8=TH!F324),"x","")</f>
        <v/>
      </c>
      <c r="AC324" s="84" t="str">
        <f>IF(AND(OR(LEFT(TH!N324,2)="15",LEFT(TH!O324,2)="15"),TK!$E$7=TH!F324),"x","")</f>
        <v/>
      </c>
      <c r="AD324" s="84" t="str">
        <f>IF(AND(N324="1521",MONTH(C324)='BK-NL'!$M$11),"x","")</f>
        <v/>
      </c>
      <c r="AE324" s="1146" t="str">
        <f t="shared" si="55"/>
        <v>x</v>
      </c>
    </row>
    <row r="325" spans="1:31" ht="15.75" hidden="1" customHeight="1">
      <c r="A325" s="336" t="str">
        <f>IF(B325&lt;&gt;"",IF(AND(B325='IN-TC'!$S$4,OR(TH!N325="1111",TH!O325="1111")),TH!D325,""),"")</f>
        <v/>
      </c>
      <c r="B325" s="63">
        <f t="shared" si="54"/>
        <v>3</v>
      </c>
      <c r="C325" s="318">
        <v>42431</v>
      </c>
      <c r="D325" s="1134" t="s">
        <v>677</v>
      </c>
      <c r="E325" s="1134">
        <v>42431</v>
      </c>
      <c r="F325" s="1186" t="s">
        <v>652</v>
      </c>
      <c r="G325" s="1004" t="s">
        <v>1180</v>
      </c>
      <c r="H325" s="966" t="s">
        <v>623</v>
      </c>
      <c r="I325" s="437"/>
      <c r="J325" s="437"/>
      <c r="K325" s="428"/>
      <c r="L325" s="437"/>
      <c r="M325" s="83">
        <v>1574250</v>
      </c>
      <c r="N325" s="1128" t="s">
        <v>9</v>
      </c>
      <c r="O325" s="84" t="s">
        <v>8</v>
      </c>
      <c r="P325" s="84" t="str">
        <f>IF(AND('331-CT'!$E$7=TH!H325,OR(N325="331",O325="331")),"x","")</f>
        <v/>
      </c>
      <c r="Q325" s="84" t="str">
        <f>IF(AND(B325='111'!$L$11,OR($N325=$Q$7,$O325=$Q$7)),"x","")</f>
        <v/>
      </c>
      <c r="R325" s="84" t="str">
        <f>IF(AND($N325=$Q$7,$B325&lt;'111'!$L$11),"x","")</f>
        <v/>
      </c>
      <c r="S325" s="84" t="str">
        <f>IF(AND($O325=$Q$7,$B325&lt;'111'!$L$11),"x","")</f>
        <v/>
      </c>
      <c r="T325" s="84" t="str">
        <f>IF(ISERROR(FIND('112'!$M$9,G325,1)),"",IF((AND(FIND('112'!$M$9,G325,1)&gt;=1,B325='112'!$K$9,OR($N325='112'!$I$6,$O325='112'!$I$6))),"x",""))</f>
        <v/>
      </c>
      <c r="U325" s="84" t="str">
        <f>IF(ISERROR(FIND('112'!$M$9,G325,1)),"",IF((AND(LEFT(G325,2)=LEFT('112'!$M$9,2),B325&lt;'112'!$K$9,$N325='112'!$I$6)),"x",""))</f>
        <v/>
      </c>
      <c r="V325" s="84" t="str">
        <f>IF(ISERROR(FIND('112'!$M$9,G325,1)),"",IF((AND(RIGHT(G325,2)=RIGHT('112'!$M$9,2),B325&lt;'112'!$K$9,$O325='112'!$I$6)),"x",""))</f>
        <v/>
      </c>
      <c r="W325" s="84" t="str">
        <f>IF(AND('341-CT'!$H$9=H325,OR(LEFT(N325,3)=$W$7,LEFT(O325,3)=$W$7)),"x","")</f>
        <v/>
      </c>
      <c r="X325" s="84" t="str">
        <f>IF(OR(TH!N325=TH!$X$7,O325=TH!$X$7),"x","")</f>
        <v/>
      </c>
      <c r="Y325" s="84" t="str">
        <f>IF(AND(OR(N325="131",O325="131"),H325='131-CT'!$H$9),"x","")</f>
        <v/>
      </c>
      <c r="Z325" s="84"/>
      <c r="AA325" s="84" t="str">
        <f>IF(AND(MONTH(E325)='IN-NX'!$J$5,'IN-NX'!$D$7=D325),"x","")</f>
        <v/>
      </c>
      <c r="AB325" s="84" t="str">
        <f>IF(AND(OR(LEFT(TH!N325,2)="15",LEFT(TH!O325,2)="15"),LEFT(TH!O325,3)&lt;&gt;"111",'152-CT'!$J$8=TH!F325),"x","")</f>
        <v/>
      </c>
      <c r="AC325" s="84" t="str">
        <f>IF(AND(OR(LEFT(TH!N325,2)="15",LEFT(TH!O325,2)="15"),TK!$E$7=TH!F325),"x","")</f>
        <v/>
      </c>
      <c r="AD325" s="84" t="str">
        <f>IF(AND(N325="1521",MONTH(C325)='BK-NL'!$M$11),"x","")</f>
        <v/>
      </c>
      <c r="AE325" s="1146" t="str">
        <f t="shared" si="55"/>
        <v>x</v>
      </c>
    </row>
    <row r="326" spans="1:31" ht="15.75" hidden="1" customHeight="1">
      <c r="A326" s="336" t="str">
        <f>IF(B326&lt;&gt;"",IF(AND(B326='IN-TC'!$S$4,OR(TH!N326="1111",TH!O326="1111")),TH!D326,""),"")</f>
        <v/>
      </c>
      <c r="B326" s="63">
        <f t="shared" si="54"/>
        <v>3</v>
      </c>
      <c r="C326" s="318">
        <v>42437</v>
      </c>
      <c r="D326" s="1134" t="s">
        <v>678</v>
      </c>
      <c r="E326" s="1134">
        <v>42437</v>
      </c>
      <c r="F326" s="1186" t="s">
        <v>348</v>
      </c>
      <c r="G326" s="1004" t="s">
        <v>658</v>
      </c>
      <c r="H326" s="966" t="s">
        <v>675</v>
      </c>
      <c r="I326" s="437">
        <v>1000</v>
      </c>
      <c r="J326" s="437">
        <v>14095.237999999999</v>
      </c>
      <c r="K326" s="428"/>
      <c r="L326" s="437"/>
      <c r="M326" s="83">
        <v>14095238</v>
      </c>
      <c r="N326" s="1128" t="s">
        <v>276</v>
      </c>
      <c r="O326" s="84" t="s">
        <v>8</v>
      </c>
      <c r="P326" s="84" t="str">
        <f>IF(AND('331-CT'!$E$7=TH!H326,OR(N326="331",O326="331")),"x","")</f>
        <v/>
      </c>
      <c r="Q326" s="84" t="str">
        <f>IF(AND(B326='111'!$L$11,OR($N326=$Q$7,$O326=$Q$7)),"x","")</f>
        <v/>
      </c>
      <c r="R326" s="84" t="str">
        <f>IF(AND($N326=$Q$7,$B326&lt;'111'!$L$11),"x","")</f>
        <v/>
      </c>
      <c r="S326" s="84" t="str">
        <f>IF(AND($O326=$Q$7,$B326&lt;'111'!$L$11),"x","")</f>
        <v/>
      </c>
      <c r="T326" s="84" t="str">
        <f>IF(ISERROR(FIND('112'!$M$9,G326,1)),"",IF((AND(FIND('112'!$M$9,G326,1)&gt;=1,B326='112'!$K$9,OR($N326='112'!$I$6,$O326='112'!$I$6))),"x",""))</f>
        <v/>
      </c>
      <c r="U326" s="84" t="str">
        <f>IF(ISERROR(FIND('112'!$M$9,G326,1)),"",IF((AND(LEFT(G326,2)=LEFT('112'!$M$9,2),B326&lt;'112'!$K$9,$N326='112'!$I$6)),"x",""))</f>
        <v/>
      </c>
      <c r="V326" s="84" t="str">
        <f>IF(ISERROR(FIND('112'!$M$9,G326,1)),"",IF((AND(RIGHT(G326,2)=RIGHT('112'!$M$9,2),B326&lt;'112'!$K$9,$O326='112'!$I$6)),"x",""))</f>
        <v/>
      </c>
      <c r="W326" s="84" t="str">
        <f>IF(AND('341-CT'!$H$9=H326,OR(LEFT(N326,3)=$W$7,LEFT(O326,3)=$W$7)),"x","")</f>
        <v/>
      </c>
      <c r="X326" s="84" t="str">
        <f>IF(OR(TH!N326=TH!$X$7,O326=TH!$X$7),"x","")</f>
        <v/>
      </c>
      <c r="Y326" s="84" t="str">
        <f>IF(AND(OR(N326="131",O326="131"),H326='131-CT'!$H$9),"x","")</f>
        <v/>
      </c>
      <c r="Z326" s="84"/>
      <c r="AA326" s="84" t="str">
        <f>IF(AND(MONTH(E326)='IN-NX'!$J$5,'IN-NX'!$D$7=D326),"x","")</f>
        <v/>
      </c>
      <c r="AB326" s="84" t="str">
        <f>IF(AND(OR(LEFT(TH!N326,2)="15",LEFT(TH!O326,2)="15"),LEFT(TH!O326,3)&lt;&gt;"111",'152-CT'!$J$8=TH!F326),"x","")</f>
        <v/>
      </c>
      <c r="AC326" s="84" t="str">
        <f>IF(AND(OR(LEFT(TH!N326,2)="15",LEFT(TH!O326,2)="15"),TK!$E$7=TH!F326),"x","")</f>
        <v>x</v>
      </c>
      <c r="AD326" s="84" t="str">
        <f>IF(AND(N326="1521",MONTH(C326)='BK-NL'!$M$11),"x","")</f>
        <v/>
      </c>
      <c r="AE326" s="1146" t="str">
        <f t="shared" si="55"/>
        <v>x</v>
      </c>
    </row>
    <row r="327" spans="1:31" ht="15.75" hidden="1" customHeight="1">
      <c r="A327" s="336" t="str">
        <f>IF(B327&lt;&gt;"",IF(AND(B327='IN-TC'!$S$4,OR(TH!N327="1111",TH!O327="1111")),TH!D327,""),"")</f>
        <v/>
      </c>
      <c r="B327" s="63">
        <f t="shared" si="54"/>
        <v>3</v>
      </c>
      <c r="C327" s="318">
        <v>42437</v>
      </c>
      <c r="D327" s="1134" t="s">
        <v>678</v>
      </c>
      <c r="E327" s="1134">
        <v>42437</v>
      </c>
      <c r="F327" s="1186" t="s">
        <v>649</v>
      </c>
      <c r="G327" s="1004" t="s">
        <v>658</v>
      </c>
      <c r="H327" s="966" t="s">
        <v>675</v>
      </c>
      <c r="I327" s="437"/>
      <c r="J327" s="437"/>
      <c r="K327" s="428"/>
      <c r="L327" s="437"/>
      <c r="M327" s="83">
        <v>704762</v>
      </c>
      <c r="N327" s="1128" t="s">
        <v>9</v>
      </c>
      <c r="O327" s="84" t="s">
        <v>8</v>
      </c>
      <c r="P327" s="84" t="str">
        <f>IF(AND('331-CT'!$E$7=TH!H327,OR(N327="331",O327="331")),"x","")</f>
        <v/>
      </c>
      <c r="Q327" s="84" t="str">
        <f>IF(AND(B327='111'!$L$11,OR($N327=$Q$7,$O327=$Q$7)),"x","")</f>
        <v/>
      </c>
      <c r="R327" s="84" t="str">
        <f>IF(AND($N327=$Q$7,$B327&lt;'111'!$L$11),"x","")</f>
        <v/>
      </c>
      <c r="S327" s="84" t="str">
        <f>IF(AND($O327=$Q$7,$B327&lt;'111'!$L$11),"x","")</f>
        <v/>
      </c>
      <c r="T327" s="84" t="str">
        <f>IF(ISERROR(FIND('112'!$M$9,G327,1)),"",IF((AND(FIND('112'!$M$9,G327,1)&gt;=1,B327='112'!$K$9,OR($N327='112'!$I$6,$O327='112'!$I$6))),"x",""))</f>
        <v/>
      </c>
      <c r="U327" s="84" t="str">
        <f>IF(ISERROR(FIND('112'!$M$9,G327,1)),"",IF((AND(LEFT(G327,2)=LEFT('112'!$M$9,2),B327&lt;'112'!$K$9,$N327='112'!$I$6)),"x",""))</f>
        <v/>
      </c>
      <c r="V327" s="84" t="str">
        <f>IF(ISERROR(FIND('112'!$M$9,G327,1)),"",IF((AND(RIGHT(G327,2)=RIGHT('112'!$M$9,2),B327&lt;'112'!$K$9,$O327='112'!$I$6)),"x",""))</f>
        <v/>
      </c>
      <c r="W327" s="84" t="str">
        <f>IF(AND('341-CT'!$H$9=H327,OR(LEFT(N327,3)=$W$7,LEFT(O327,3)=$W$7)),"x","")</f>
        <v/>
      </c>
      <c r="X327" s="84" t="str">
        <f>IF(OR(TH!N327=TH!$X$7,O327=TH!$X$7),"x","")</f>
        <v/>
      </c>
      <c r="Y327" s="84" t="str">
        <f>IF(AND(OR(N327="131",O327="131"),H327='131-CT'!$H$9),"x","")</f>
        <v/>
      </c>
      <c r="Z327" s="84"/>
      <c r="AA327" s="84" t="str">
        <f>IF(AND(MONTH(E327)='IN-NX'!$J$5,'IN-NX'!$D$7=D327),"x","")</f>
        <v/>
      </c>
      <c r="AB327" s="84" t="str">
        <f>IF(AND(OR(LEFT(TH!N327,2)="15",LEFT(TH!O327,2)="15"),LEFT(TH!O327,3)&lt;&gt;"111",'152-CT'!$J$8=TH!F327),"x","")</f>
        <v/>
      </c>
      <c r="AC327" s="84" t="str">
        <f>IF(AND(OR(LEFT(TH!N327,2)="15",LEFT(TH!O327,2)="15"),TK!$E$7=TH!F327),"x","")</f>
        <v/>
      </c>
      <c r="AD327" s="84" t="str">
        <f>IF(AND(N327="1521",MONTH(C327)='BK-NL'!$M$11),"x","")</f>
        <v/>
      </c>
      <c r="AE327" s="1146" t="str">
        <f t="shared" si="55"/>
        <v>x</v>
      </c>
    </row>
    <row r="328" spans="1:31" ht="15.75" hidden="1" customHeight="1">
      <c r="A328" s="336" t="str">
        <f>IF(B328&lt;&gt;"",IF(AND(B328='IN-TC'!$S$4,OR(TH!N328="1111",TH!O328="1111")),TH!D328,""),"")</f>
        <v/>
      </c>
      <c r="B328" s="63">
        <f t="shared" si="54"/>
        <v>3</v>
      </c>
      <c r="C328" s="318">
        <v>42446</v>
      </c>
      <c r="D328" s="1134" t="s">
        <v>679</v>
      </c>
      <c r="E328" s="1134">
        <v>42446</v>
      </c>
      <c r="F328" s="1186" t="s">
        <v>359</v>
      </c>
      <c r="G328" s="1004" t="s">
        <v>1141</v>
      </c>
      <c r="H328" s="966" t="s">
        <v>619</v>
      </c>
      <c r="I328" s="437">
        <v>600</v>
      </c>
      <c r="J328" s="437">
        <v>8500</v>
      </c>
      <c r="K328" s="428"/>
      <c r="L328" s="437"/>
      <c r="M328" s="83">
        <v>5100000</v>
      </c>
      <c r="N328" s="1128" t="s">
        <v>276</v>
      </c>
      <c r="O328" s="84" t="s">
        <v>8</v>
      </c>
      <c r="P328" s="84" t="str">
        <f>IF(AND('331-CT'!$E$7=TH!H328,OR(N328="331",O328="331")),"x","")</f>
        <v/>
      </c>
      <c r="Q328" s="84" t="str">
        <f>IF(AND(B328='111'!$L$11,OR($N328=$Q$7,$O328=$Q$7)),"x","")</f>
        <v/>
      </c>
      <c r="R328" s="84" t="str">
        <f>IF(AND($N328=$Q$7,$B328&lt;'111'!$L$11),"x","")</f>
        <v/>
      </c>
      <c r="S328" s="84" t="str">
        <f>IF(AND($O328=$Q$7,$B328&lt;'111'!$L$11),"x","")</f>
        <v/>
      </c>
      <c r="T328" s="84" t="str">
        <f>IF(ISERROR(FIND('112'!$M$9,G328,1)),"",IF((AND(FIND('112'!$M$9,G328,1)&gt;=1,B328='112'!$K$9,OR($N328='112'!$I$6,$O328='112'!$I$6))),"x",""))</f>
        <v/>
      </c>
      <c r="U328" s="84" t="str">
        <f>IF(ISERROR(FIND('112'!$M$9,G328,1)),"",IF((AND(LEFT(G328,2)=LEFT('112'!$M$9,2),B328&lt;'112'!$K$9,$N328='112'!$I$6)),"x",""))</f>
        <v/>
      </c>
      <c r="V328" s="84" t="str">
        <f>IF(ISERROR(FIND('112'!$M$9,G328,1)),"",IF((AND(RIGHT(G328,2)=RIGHT('112'!$M$9,2),B328&lt;'112'!$K$9,$O328='112'!$I$6)),"x",""))</f>
        <v/>
      </c>
      <c r="W328" s="84" t="str">
        <f>IF(AND('341-CT'!$H$9=H328,OR(LEFT(N328,3)=$W$7,LEFT(O328,3)=$W$7)),"x","")</f>
        <v/>
      </c>
      <c r="X328" s="84" t="str">
        <f>IF(OR(TH!N328=TH!$X$7,O328=TH!$X$7),"x","")</f>
        <v/>
      </c>
      <c r="Y328" s="84" t="str">
        <f>IF(AND(OR(N328="131",O328="131"),H328='131-CT'!$H$9),"x","")</f>
        <v/>
      </c>
      <c r="Z328" s="84"/>
      <c r="AA328" s="84" t="str">
        <f>IF(AND(MONTH(E328)='IN-NX'!$J$5,'IN-NX'!$D$7=D328),"x","")</f>
        <v/>
      </c>
      <c r="AB328" s="84" t="str">
        <f>IF(AND(OR(LEFT(TH!N328,2)="15",LEFT(TH!O328,2)="15"),LEFT(TH!O328,3)&lt;&gt;"111",'152-CT'!$J$8=TH!F328),"x","")</f>
        <v/>
      </c>
      <c r="AC328" s="84" t="str">
        <f>IF(AND(OR(LEFT(TH!N328,2)="15",LEFT(TH!O328,2)="15"),TK!$E$7=TH!F328),"x","")</f>
        <v/>
      </c>
      <c r="AD328" s="84" t="str">
        <f>IF(AND(N328="1521",MONTH(C328)='BK-NL'!$M$11),"x","")</f>
        <v/>
      </c>
      <c r="AE328" s="1146" t="str">
        <f t="shared" si="55"/>
        <v>x</v>
      </c>
    </row>
    <row r="329" spans="1:31" ht="15.75" hidden="1" customHeight="1">
      <c r="A329" s="336" t="str">
        <f>IF(B329&lt;&gt;"",IF(AND(B329='IN-TC'!$S$4,OR(TH!N329="1111",TH!O329="1111")),TH!D329,""),"")</f>
        <v/>
      </c>
      <c r="B329" s="63">
        <f t="shared" si="54"/>
        <v>3</v>
      </c>
      <c r="C329" s="318">
        <v>42446</v>
      </c>
      <c r="D329" s="1134" t="s">
        <v>679</v>
      </c>
      <c r="E329" s="1134">
        <v>42446</v>
      </c>
      <c r="F329" s="1186" t="s">
        <v>1181</v>
      </c>
      <c r="G329" s="1004" t="s">
        <v>1141</v>
      </c>
      <c r="H329" s="966" t="s">
        <v>619</v>
      </c>
      <c r="I329" s="437"/>
      <c r="J329" s="437"/>
      <c r="K329" s="428"/>
      <c r="L329" s="437"/>
      <c r="M329" s="83">
        <v>510000</v>
      </c>
      <c r="N329" s="1128" t="s">
        <v>9</v>
      </c>
      <c r="O329" s="84" t="s">
        <v>8</v>
      </c>
      <c r="P329" s="84" t="str">
        <f>IF(AND('331-CT'!$E$7=TH!H329,OR(N329="331",O329="331")),"x","")</f>
        <v/>
      </c>
      <c r="Q329" s="84" t="str">
        <f>IF(AND(B329='111'!$L$11,OR($N329=$Q$7,$O329=$Q$7)),"x","")</f>
        <v/>
      </c>
      <c r="R329" s="84" t="str">
        <f>IF(AND($N329=$Q$7,$B329&lt;'111'!$L$11),"x","")</f>
        <v/>
      </c>
      <c r="S329" s="84" t="str">
        <f>IF(AND($O329=$Q$7,$B329&lt;'111'!$L$11),"x","")</f>
        <v/>
      </c>
      <c r="T329" s="84" t="str">
        <f>IF(ISERROR(FIND('112'!$M$9,G329,1)),"",IF((AND(FIND('112'!$M$9,G329,1)&gt;=1,B329='112'!$K$9,OR($N329='112'!$I$6,$O329='112'!$I$6))),"x",""))</f>
        <v/>
      </c>
      <c r="U329" s="84" t="str">
        <f>IF(ISERROR(FIND('112'!$M$9,G329,1)),"",IF((AND(LEFT(G329,2)=LEFT('112'!$M$9,2),B329&lt;'112'!$K$9,$N329='112'!$I$6)),"x",""))</f>
        <v/>
      </c>
      <c r="V329" s="84" t="str">
        <f>IF(ISERROR(FIND('112'!$M$9,G329,1)),"",IF((AND(RIGHT(G329,2)=RIGHT('112'!$M$9,2),B329&lt;'112'!$K$9,$O329='112'!$I$6)),"x",""))</f>
        <v/>
      </c>
      <c r="W329" s="84" t="str">
        <f>IF(AND('341-CT'!$H$9=H329,OR(LEFT(N329,3)=$W$7,LEFT(O329,3)=$W$7)),"x","")</f>
        <v/>
      </c>
      <c r="X329" s="84" t="str">
        <f>IF(OR(TH!N329=TH!$X$7,O329=TH!$X$7),"x","")</f>
        <v/>
      </c>
      <c r="Y329" s="84" t="str">
        <f>IF(AND(OR(N329="131",O329="131"),H329='131-CT'!$H$9),"x","")</f>
        <v/>
      </c>
      <c r="Z329" s="84"/>
      <c r="AA329" s="84" t="str">
        <f>IF(AND(MONTH(E329)='IN-NX'!$J$5,'IN-NX'!$D$7=D329),"x","")</f>
        <v/>
      </c>
      <c r="AB329" s="84" t="str">
        <f>IF(AND(OR(LEFT(TH!N329,2)="15",LEFT(TH!O329,2)="15"),LEFT(TH!O329,3)&lt;&gt;"111",'152-CT'!$J$8=TH!F329),"x","")</f>
        <v/>
      </c>
      <c r="AC329" s="84" t="str">
        <f>IF(AND(OR(LEFT(TH!N329,2)="15",LEFT(TH!O329,2)="15"),TK!$E$7=TH!F329),"x","")</f>
        <v/>
      </c>
      <c r="AD329" s="84" t="str">
        <f>IF(AND(N329="1521",MONTH(C329)='BK-NL'!$M$11),"x","")</f>
        <v/>
      </c>
      <c r="AE329" s="1146" t="str">
        <f t="shared" si="55"/>
        <v>x</v>
      </c>
    </row>
    <row r="330" spans="1:31" ht="15.75" hidden="1" customHeight="1">
      <c r="A330" s="336" t="str">
        <f>IF(B330&lt;&gt;"",IF(AND(B330='IN-TC'!$S$4,OR(TH!N330="1111",TH!O330="1111")),TH!D330,""),"")</f>
        <v/>
      </c>
      <c r="B330" s="63">
        <f t="shared" ref="B330:B343" si="56">IF(C330&lt;&gt;"",MONTH(C330),"")</f>
        <v>3</v>
      </c>
      <c r="C330" s="318">
        <v>42457</v>
      </c>
      <c r="D330" s="1134" t="s">
        <v>680</v>
      </c>
      <c r="E330" s="1134">
        <v>42457</v>
      </c>
      <c r="F330" s="1186" t="s">
        <v>348</v>
      </c>
      <c r="G330" s="1004" t="s">
        <v>1350</v>
      </c>
      <c r="H330" s="966" t="s">
        <v>675</v>
      </c>
      <c r="I330" s="437">
        <v>1000</v>
      </c>
      <c r="J330" s="437">
        <v>14095.237999999999</v>
      </c>
      <c r="K330" s="428"/>
      <c r="L330" s="437"/>
      <c r="M330" s="83">
        <v>14095238</v>
      </c>
      <c r="N330" s="1128" t="s">
        <v>276</v>
      </c>
      <c r="O330" s="84" t="s">
        <v>8</v>
      </c>
      <c r="P330" s="84" t="str">
        <f>IF(AND('331-CT'!$E$7=TH!H330,OR(N330="331",O330="331")),"x","")</f>
        <v/>
      </c>
      <c r="Q330" s="84" t="str">
        <f>IF(AND(B330='111'!$L$11,OR($N330=$Q$7,$O330=$Q$7)),"x","")</f>
        <v/>
      </c>
      <c r="R330" s="84" t="str">
        <f>IF(AND($N330=$Q$7,$B330&lt;'111'!$L$11),"x","")</f>
        <v/>
      </c>
      <c r="S330" s="84" t="str">
        <f>IF(AND($O330=$Q$7,$B330&lt;'111'!$L$11),"x","")</f>
        <v/>
      </c>
      <c r="T330" s="84" t="str">
        <f>IF(ISERROR(FIND('112'!$M$9,G330,1)),"",IF((AND(FIND('112'!$M$9,G330,1)&gt;=1,B330='112'!$K$9,OR($N330='112'!$I$6,$O330='112'!$I$6))),"x",""))</f>
        <v/>
      </c>
      <c r="U330" s="84" t="str">
        <f>IF(ISERROR(FIND('112'!$M$9,G330,1)),"",IF((AND(LEFT(G330,2)=LEFT('112'!$M$9,2),B330&lt;'112'!$K$9,$N330='112'!$I$6)),"x",""))</f>
        <v/>
      </c>
      <c r="V330" s="84" t="str">
        <f>IF(ISERROR(FIND('112'!$M$9,G330,1)),"",IF((AND(RIGHT(G330,2)=RIGHT('112'!$M$9,2),B330&lt;'112'!$K$9,$O330='112'!$I$6)),"x",""))</f>
        <v/>
      </c>
      <c r="W330" s="84" t="str">
        <f>IF(AND('341-CT'!$H$9=H330,OR(LEFT(N330,3)=$W$7,LEFT(O330,3)=$W$7)),"x","")</f>
        <v/>
      </c>
      <c r="X330" s="84" t="str">
        <f>IF(OR(TH!N330=TH!$X$7,O330=TH!$X$7),"x","")</f>
        <v/>
      </c>
      <c r="Y330" s="84" t="str">
        <f>IF(AND(OR(N330="131",O330="131"),H330='131-CT'!$H$9),"x","")</f>
        <v/>
      </c>
      <c r="Z330" s="84"/>
      <c r="AA330" s="84" t="str">
        <f>IF(AND(MONTH(E330)='IN-NX'!$J$5,'IN-NX'!$D$7=D330),"x","")</f>
        <v/>
      </c>
      <c r="AB330" s="84" t="str">
        <f>IF(AND(OR(LEFT(TH!N330,2)="15",LEFT(TH!O330,2)="15"),LEFT(TH!O330,3)&lt;&gt;"111",'152-CT'!$J$8=TH!F330),"x","")</f>
        <v/>
      </c>
      <c r="AC330" s="84" t="str">
        <f>IF(AND(OR(LEFT(TH!N330,2)="15",LEFT(TH!O330,2)="15"),TK!$E$7=TH!F330),"x","")</f>
        <v>x</v>
      </c>
      <c r="AD330" s="84" t="str">
        <f>IF(AND(N330="1521",MONTH(C330)='BK-NL'!$M$11),"x","")</f>
        <v/>
      </c>
      <c r="AE330" s="1146" t="str">
        <f t="shared" si="55"/>
        <v>x</v>
      </c>
    </row>
    <row r="331" spans="1:31" ht="15.75" hidden="1" customHeight="1">
      <c r="A331" s="336" t="str">
        <f>IF(B331&lt;&gt;"",IF(AND(B331='IN-TC'!$S$4,OR(TH!N331="1111",TH!O331="1111")),TH!D331,""),"")</f>
        <v/>
      </c>
      <c r="B331" s="63">
        <f t="shared" si="56"/>
        <v>3</v>
      </c>
      <c r="C331" s="318">
        <v>42457</v>
      </c>
      <c r="D331" s="1134" t="s">
        <v>680</v>
      </c>
      <c r="E331" s="1134">
        <v>42457</v>
      </c>
      <c r="F331" s="1186" t="s">
        <v>649</v>
      </c>
      <c r="G331" s="1004" t="s">
        <v>1350</v>
      </c>
      <c r="H331" s="966" t="s">
        <v>675</v>
      </c>
      <c r="I331" s="437"/>
      <c r="J331" s="437"/>
      <c r="K331" s="428"/>
      <c r="L331" s="437"/>
      <c r="M331" s="83">
        <v>704762</v>
      </c>
      <c r="N331" s="1128" t="s">
        <v>9</v>
      </c>
      <c r="O331" s="84" t="s">
        <v>8</v>
      </c>
      <c r="P331" s="84" t="str">
        <f>IF(AND('331-CT'!$E$7=TH!H331,OR(N331="331",O331="331")),"x","")</f>
        <v/>
      </c>
      <c r="Q331" s="84" t="str">
        <f>IF(AND(B331='111'!$L$11,OR($N331=$Q$7,$O331=$Q$7)),"x","")</f>
        <v/>
      </c>
      <c r="R331" s="84" t="str">
        <f>IF(AND($N331=$Q$7,$B331&lt;'111'!$L$11),"x","")</f>
        <v/>
      </c>
      <c r="S331" s="84" t="str">
        <f>IF(AND($O331=$Q$7,$B331&lt;'111'!$L$11),"x","")</f>
        <v/>
      </c>
      <c r="T331" s="84" t="str">
        <f>IF(ISERROR(FIND('112'!$M$9,G331,1)),"",IF((AND(FIND('112'!$M$9,G331,1)&gt;=1,B331='112'!$K$9,OR($N331='112'!$I$6,$O331='112'!$I$6))),"x",""))</f>
        <v/>
      </c>
      <c r="U331" s="84" t="str">
        <f>IF(ISERROR(FIND('112'!$M$9,G331,1)),"",IF((AND(LEFT(G331,2)=LEFT('112'!$M$9,2),B331&lt;'112'!$K$9,$N331='112'!$I$6)),"x",""))</f>
        <v/>
      </c>
      <c r="V331" s="84" t="str">
        <f>IF(ISERROR(FIND('112'!$M$9,G331,1)),"",IF((AND(RIGHT(G331,2)=RIGHT('112'!$M$9,2),B331&lt;'112'!$K$9,$O331='112'!$I$6)),"x",""))</f>
        <v/>
      </c>
      <c r="W331" s="84" t="str">
        <f>IF(AND('341-CT'!$H$9=H331,OR(LEFT(N331,3)=$W$7,LEFT(O331,3)=$W$7)),"x","")</f>
        <v/>
      </c>
      <c r="X331" s="84" t="str">
        <f>IF(OR(TH!N331=TH!$X$7,O331=TH!$X$7),"x","")</f>
        <v/>
      </c>
      <c r="Y331" s="84" t="str">
        <f>IF(AND(OR(N331="131",O331="131"),H331='131-CT'!$H$9),"x","")</f>
        <v/>
      </c>
      <c r="Z331" s="84"/>
      <c r="AA331" s="84" t="str">
        <f>IF(AND(MONTH(E331)='IN-NX'!$J$5,'IN-NX'!$D$7=D331),"x","")</f>
        <v/>
      </c>
      <c r="AB331" s="84" t="str">
        <f>IF(AND(OR(LEFT(TH!N331,2)="15",LEFT(TH!O331,2)="15"),LEFT(TH!O331,3)&lt;&gt;"111",'152-CT'!$J$8=TH!F331),"x","")</f>
        <v/>
      </c>
      <c r="AC331" s="84" t="str">
        <f>IF(AND(OR(LEFT(TH!N331,2)="15",LEFT(TH!O331,2)="15"),TK!$E$7=TH!F331),"x","")</f>
        <v/>
      </c>
      <c r="AD331" s="84" t="str">
        <f>IF(AND(N331="1521",MONTH(C331)='BK-NL'!$M$11),"x","")</f>
        <v/>
      </c>
      <c r="AE331" s="1146" t="str">
        <f t="shared" si="55"/>
        <v>x</v>
      </c>
    </row>
    <row r="332" spans="1:31" ht="15.75" hidden="1" customHeight="1">
      <c r="A332" s="336" t="str">
        <f>IF(B332&lt;&gt;"",IF(AND(B332='IN-TC'!$S$4,OR(TH!N332="1111",TH!O332="1111")),TH!D332,""),"")</f>
        <v/>
      </c>
      <c r="B332" s="63">
        <f>IF(C332&lt;&gt;"",MONTH(C332),"")</f>
        <v>3</v>
      </c>
      <c r="C332" s="64">
        <v>42459</v>
      </c>
      <c r="D332" s="1134" t="s">
        <v>681</v>
      </c>
      <c r="E332" s="80">
        <f>C332</f>
        <v>42459</v>
      </c>
      <c r="F332" s="81" t="s">
        <v>224</v>
      </c>
      <c r="G332" s="985" t="s">
        <v>1354</v>
      </c>
      <c r="H332" s="966" t="s">
        <v>621</v>
      </c>
      <c r="I332" s="437">
        <v>450</v>
      </c>
      <c r="J332" s="437">
        <v>18414.14</v>
      </c>
      <c r="K332" s="428"/>
      <c r="L332" s="437"/>
      <c r="M332" s="83">
        <f>ROUND(I332*J332,0)</f>
        <v>8286363</v>
      </c>
      <c r="N332" s="84" t="s">
        <v>276</v>
      </c>
      <c r="O332" s="84" t="s">
        <v>8</v>
      </c>
      <c r="P332" s="84" t="str">
        <f>IF(AND('331-CT'!$E$7=TH!H332,OR(N332="331",O332="331")),"x","")</f>
        <v/>
      </c>
      <c r="Q332" s="84" t="str">
        <f>IF(AND(B332='111'!$L$11,OR($N332=$Q$7,$O332=$Q$7)),"x","")</f>
        <v/>
      </c>
      <c r="R332" s="84" t="str">
        <f>IF(AND($N332=$Q$7,$B332&lt;'111'!$L$11),"x","")</f>
        <v/>
      </c>
      <c r="S332" s="84" t="str">
        <f>IF(AND($O332=$Q$7,$B332&lt;'111'!$L$11),"x","")</f>
        <v/>
      </c>
      <c r="T332" s="84" t="str">
        <f>IF(ISERROR(FIND('112'!$M$9,G332,1)),"",IF((AND(FIND('112'!$M$9,G332,1)&gt;=1,B332='112'!$K$9,OR($N332='112'!$I$6,$O332='112'!$I$6))),"x",""))</f>
        <v/>
      </c>
      <c r="U332" s="84" t="str">
        <f>IF(ISERROR(FIND('112'!$M$9,G332,1)),"",IF((AND(LEFT(G332,2)=LEFT('112'!$M$9,2),B332&lt;'112'!$K$9,$N332='112'!$I$6)),"x",""))</f>
        <v/>
      </c>
      <c r="V332" s="84" t="str">
        <f>IF(ISERROR(FIND('112'!$M$9,G332,1)),"",IF((AND(RIGHT(G332,2)=RIGHT('112'!$M$9,2),B332&lt;'112'!$K$9,$O332='112'!$I$6)),"x",""))</f>
        <v/>
      </c>
      <c r="W332" s="84" t="str">
        <f>IF(AND('341-CT'!$H$9=H332,OR(LEFT(N332,3)=$W$7,LEFT(O332,3)=$W$7)),"x","")</f>
        <v/>
      </c>
      <c r="X332" s="84" t="str">
        <f>IF(OR(TH!N332=TH!$X$7,O332=TH!$X$7),"x","")</f>
        <v/>
      </c>
      <c r="Y332" s="84" t="str">
        <f>IF(AND(OR(N332="131",O332="131"),H332='131-CT'!$H$9),"x","")</f>
        <v/>
      </c>
      <c r="Z332" s="84"/>
      <c r="AA332" s="84" t="str">
        <f>IF(AND(MONTH(E332)='IN-NX'!$J$5,'IN-NX'!$D$7=D332),"x","")</f>
        <v/>
      </c>
      <c r="AB332" s="84" t="str">
        <f>IF(AND(OR(LEFT(TH!N332,2)="15",LEFT(TH!O332,2)="15"),LEFT(TH!O332,3)&lt;&gt;"111",'152-CT'!$J$8=TH!F332),"x","")</f>
        <v/>
      </c>
      <c r="AC332" s="84" t="str">
        <f>IF(AND(OR(LEFT(TH!N332,2)="15",LEFT(TH!O332,2)="15"),TK!$E$7=TH!F332),"x","")</f>
        <v/>
      </c>
      <c r="AD332" s="84" t="str">
        <f>IF(AND(N332="1521",MONTH(C332)='BK-NL'!$M$11),"x","")</f>
        <v/>
      </c>
      <c r="AE332" s="1146" t="str">
        <f t="shared" si="55"/>
        <v>x</v>
      </c>
    </row>
    <row r="333" spans="1:31" ht="15.75" hidden="1" customHeight="1">
      <c r="A333" s="336" t="str">
        <f>IF(B333&lt;&gt;"",IF(AND(B333='IN-TC'!$S$4,OR(TH!N333="1111",TH!O333="1111")),TH!D333,""),"")</f>
        <v/>
      </c>
      <c r="B333" s="63">
        <f>IF(C333&lt;&gt;"",MONTH(C333),"")</f>
        <v>3</v>
      </c>
      <c r="C333" s="64">
        <v>42459</v>
      </c>
      <c r="D333" s="1134" t="s">
        <v>681</v>
      </c>
      <c r="E333" s="80">
        <f>C333</f>
        <v>42459</v>
      </c>
      <c r="F333" s="81" t="s">
        <v>1355</v>
      </c>
      <c r="G333" s="985" t="s">
        <v>1354</v>
      </c>
      <c r="H333" s="966" t="s">
        <v>621</v>
      </c>
      <c r="I333" s="437"/>
      <c r="J333" s="437"/>
      <c r="K333" s="428"/>
      <c r="L333" s="437"/>
      <c r="M333" s="83">
        <v>828636</v>
      </c>
      <c r="N333" s="84" t="s">
        <v>9</v>
      </c>
      <c r="O333" s="84" t="s">
        <v>8</v>
      </c>
      <c r="P333" s="84" t="str">
        <f>IF(AND('331-CT'!$E$7=TH!H333,OR(N333="331",O333="331")),"x","")</f>
        <v/>
      </c>
      <c r="Q333" s="84" t="str">
        <f>IF(AND(B333='111'!$L$11,OR($N333=$Q$7,$O333=$Q$7)),"x","")</f>
        <v/>
      </c>
      <c r="R333" s="84" t="str">
        <f>IF(AND($N333=$Q$7,$B333&lt;'111'!$L$11),"x","")</f>
        <v/>
      </c>
      <c r="S333" s="84" t="str">
        <f>IF(AND($O333=$Q$7,$B333&lt;'111'!$L$11),"x","")</f>
        <v/>
      </c>
      <c r="T333" s="84" t="str">
        <f>IF(ISERROR(FIND('112'!$M$9,G333,1)),"",IF((AND(FIND('112'!$M$9,G333,1)&gt;=1,B333='112'!$K$9,OR($N333='112'!$I$6,$O333='112'!$I$6))),"x",""))</f>
        <v/>
      </c>
      <c r="U333" s="84" t="str">
        <f>IF(ISERROR(FIND('112'!$M$9,G333,1)),"",IF((AND(LEFT(G333,2)=LEFT('112'!$M$9,2),B333&lt;'112'!$K$9,$N333='112'!$I$6)),"x",""))</f>
        <v/>
      </c>
      <c r="V333" s="84" t="str">
        <f>IF(ISERROR(FIND('112'!$M$9,G333,1)),"",IF((AND(RIGHT(G333,2)=RIGHT('112'!$M$9,2),B333&lt;'112'!$K$9,$O333='112'!$I$6)),"x",""))</f>
        <v/>
      </c>
      <c r="W333" s="84" t="str">
        <f>IF(AND('341-CT'!$H$9=H333,OR(LEFT(N333,3)=$W$7,LEFT(O333,3)=$W$7)),"x","")</f>
        <v/>
      </c>
      <c r="X333" s="84" t="str">
        <f>IF(OR(TH!N333=TH!$X$7,O333=TH!$X$7),"x","")</f>
        <v/>
      </c>
      <c r="Y333" s="84" t="str">
        <f>IF(AND(OR(N333="131",O333="131"),H333='131-CT'!$H$9),"x","")</f>
        <v/>
      </c>
      <c r="Z333" s="84"/>
      <c r="AA333" s="84" t="str">
        <f>IF(AND(MONTH(E333)='IN-NX'!$J$5,'IN-NX'!$D$7=D333),"x","")</f>
        <v/>
      </c>
      <c r="AB333" s="84" t="str">
        <f>IF(AND(OR(LEFT(TH!N333,2)="15",LEFT(TH!O333,2)="15"),LEFT(TH!O333,3)&lt;&gt;"111",'152-CT'!$J$8=TH!F333),"x","")</f>
        <v/>
      </c>
      <c r="AC333" s="84" t="str">
        <f>IF(AND(OR(LEFT(TH!N333,2)="15",LEFT(TH!O333,2)="15"),TK!$E$7=TH!F333),"x","")</f>
        <v/>
      </c>
      <c r="AD333" s="84" t="str">
        <f>IF(AND(N333="1521",MONTH(C333)='BK-NL'!$M$11),"x","")</f>
        <v/>
      </c>
      <c r="AE333" s="1146" t="str">
        <f t="shared" si="55"/>
        <v>x</v>
      </c>
    </row>
    <row r="334" spans="1:31" s="341" customFormat="1" ht="15.75" hidden="1" customHeight="1">
      <c r="A334" s="336" t="str">
        <f>IF(B334&lt;&gt;"",IF(AND(B334='IN-TC'!$S$4,OR(TH!N334="1111",TH!O334="1111")),TH!D334,""),"")</f>
        <v/>
      </c>
      <c r="B334" s="63">
        <f t="shared" si="56"/>
        <v>3</v>
      </c>
      <c r="C334" s="64">
        <v>42431</v>
      </c>
      <c r="D334" s="64" t="s">
        <v>686</v>
      </c>
      <c r="E334" s="64">
        <f>C334</f>
        <v>42431</v>
      </c>
      <c r="F334" s="67" t="s">
        <v>339</v>
      </c>
      <c r="G334" s="982"/>
      <c r="H334" s="73" t="s">
        <v>449</v>
      </c>
      <c r="I334" s="439">
        <v>50</v>
      </c>
      <c r="J334" s="439">
        <v>35444.444444444445</v>
      </c>
      <c r="K334" s="430"/>
      <c r="L334" s="439"/>
      <c r="M334" s="65">
        <f t="shared" ref="M334:M343" si="57">ROUND(I334*J334,0)</f>
        <v>1772222</v>
      </c>
      <c r="N334" s="66" t="s">
        <v>282</v>
      </c>
      <c r="O334" s="66" t="s">
        <v>276</v>
      </c>
      <c r="P334" s="84" t="str">
        <f>IF(AND('331-CT'!$E$7=TH!H334,OR(N334="331",O334="331")),"x","")</f>
        <v/>
      </c>
      <c r="Q334" s="84" t="str">
        <f>IF(AND(B334='111'!$L$11,OR($N334=$Q$7,$O334=$Q$7)),"x","")</f>
        <v/>
      </c>
      <c r="R334" s="84" t="str">
        <f>IF(AND($N334=$Q$7,$B334&lt;'111'!$L$11),"x","")</f>
        <v/>
      </c>
      <c r="S334" s="84" t="str">
        <f>IF(AND($O334=$Q$7,$B334&lt;'111'!$L$11),"x","")</f>
        <v/>
      </c>
      <c r="T334" s="84" t="str">
        <f>IF(ISERROR(FIND('112'!$M$9,G334,1)),"",IF((AND(FIND('112'!$M$9,G334,1)&gt;=1,B334='112'!$K$9,OR($N334='112'!$I$6,$O334='112'!$I$6))),"x",""))</f>
        <v/>
      </c>
      <c r="U334" s="84" t="str">
        <f>IF(ISERROR(FIND('112'!$M$9,G334,1)),"",IF((AND(LEFT(G334,2)=LEFT('112'!$M$9,2),B334&lt;'112'!$K$9,$N334='112'!$I$6)),"x",""))</f>
        <v/>
      </c>
      <c r="V334" s="84" t="str">
        <f>IF(ISERROR(FIND('112'!$M$9,G334,1)),"",IF((AND(RIGHT(G334,2)=RIGHT('112'!$M$9,2),B334&lt;'112'!$K$9,$O334='112'!$I$6)),"x",""))</f>
        <v/>
      </c>
      <c r="W334" s="84" t="str">
        <f>IF(AND('341-CT'!$H$9=H334,OR(LEFT(N334,3)=$W$7,LEFT(O334,3)=$W$7)),"x","")</f>
        <v/>
      </c>
      <c r="X334" s="84" t="str">
        <f>IF(OR(TH!N334=TH!$X$7,O334=TH!$X$7),"x","")</f>
        <v/>
      </c>
      <c r="Y334" s="84" t="str">
        <f>IF(AND(OR(N334="131",O334="131"),H334='131-CT'!$H$9),"x","")</f>
        <v/>
      </c>
      <c r="Z334" s="84"/>
      <c r="AA334" s="84" t="str">
        <f>IF(AND(MONTH(E334)='IN-NX'!$J$5,'IN-NX'!$D$7=D334),"x","")</f>
        <v/>
      </c>
      <c r="AB334" s="84" t="str">
        <f>IF(AND(OR(LEFT(TH!N334,2)="15",LEFT(TH!O334,2)="15"),LEFT(TH!O334,3)&lt;&gt;"111",'152-CT'!$J$8=TH!F334),"x","")</f>
        <v/>
      </c>
      <c r="AC334" s="84" t="str">
        <f>IF(AND(OR(LEFT(TH!N334,2)="15",LEFT(TH!O334,2)="15"),TK!$E$7=TH!F334),"x","")</f>
        <v/>
      </c>
      <c r="AD334" s="84" t="str">
        <f>IF(AND(N334="1521",MONTH(C334)='BK-NL'!$M$11),"x","")</f>
        <v/>
      </c>
    </row>
    <row r="335" spans="1:31" s="341" customFormat="1" ht="15.75" hidden="1" customHeight="1">
      <c r="A335" s="336" t="str">
        <f>IF(B335&lt;&gt;"",IF(AND(B335='IN-TC'!$S$4,OR(TH!N335="1111",TH!O335="1111")),TH!D335,""),"")</f>
        <v/>
      </c>
      <c r="B335" s="63">
        <f t="shared" si="56"/>
        <v>3</v>
      </c>
      <c r="C335" s="64">
        <v>42431</v>
      </c>
      <c r="D335" s="64" t="s">
        <v>686</v>
      </c>
      <c r="E335" s="64">
        <f t="shared" ref="E335:E343" si="58">C335</f>
        <v>42431</v>
      </c>
      <c r="F335" s="67" t="s">
        <v>345</v>
      </c>
      <c r="G335" s="982"/>
      <c r="H335" s="73" t="s">
        <v>449</v>
      </c>
      <c r="I335" s="439">
        <v>20</v>
      </c>
      <c r="J335" s="439">
        <v>46741.2</v>
      </c>
      <c r="K335" s="430"/>
      <c r="L335" s="439"/>
      <c r="M335" s="65">
        <f t="shared" si="57"/>
        <v>934824</v>
      </c>
      <c r="N335" s="66" t="s">
        <v>282</v>
      </c>
      <c r="O335" s="66" t="s">
        <v>276</v>
      </c>
      <c r="P335" s="84" t="str">
        <f>IF(AND('331-CT'!$E$7=TH!H335,OR(N335="331",O335="331")),"x","")</f>
        <v/>
      </c>
      <c r="Q335" s="84" t="str">
        <f>IF(AND(B335='111'!$L$11,OR($N335=$Q$7,$O335=$Q$7)),"x","")</f>
        <v/>
      </c>
      <c r="R335" s="84" t="str">
        <f>IF(AND($N335=$Q$7,$B335&lt;'111'!$L$11),"x","")</f>
        <v/>
      </c>
      <c r="S335" s="84" t="str">
        <f>IF(AND($O335=$Q$7,$B335&lt;'111'!$L$11),"x","")</f>
        <v/>
      </c>
      <c r="T335" s="84" t="str">
        <f>IF(ISERROR(FIND('112'!$M$9,G335,1)),"",IF((AND(FIND('112'!$M$9,G335,1)&gt;=1,B335='112'!$K$9,OR($N335='112'!$I$6,$O335='112'!$I$6))),"x",""))</f>
        <v/>
      </c>
      <c r="U335" s="84" t="str">
        <f>IF(ISERROR(FIND('112'!$M$9,G335,1)),"",IF((AND(LEFT(G335,2)=LEFT('112'!$M$9,2),B335&lt;'112'!$K$9,$N335='112'!$I$6)),"x",""))</f>
        <v/>
      </c>
      <c r="V335" s="84" t="str">
        <f>IF(ISERROR(FIND('112'!$M$9,G335,1)),"",IF((AND(RIGHT(G335,2)=RIGHT('112'!$M$9,2),B335&lt;'112'!$K$9,$O335='112'!$I$6)),"x",""))</f>
        <v/>
      </c>
      <c r="W335" s="84" t="str">
        <f>IF(AND('341-CT'!$H$9=H335,OR(LEFT(N335,3)=$W$7,LEFT(O335,3)=$W$7)),"x","")</f>
        <v/>
      </c>
      <c r="X335" s="84" t="str">
        <f>IF(OR(TH!N335=TH!$X$7,O335=TH!$X$7),"x","")</f>
        <v/>
      </c>
      <c r="Y335" s="84" t="str">
        <f>IF(AND(OR(N335="131",O335="131"),H335='131-CT'!$H$9),"x","")</f>
        <v/>
      </c>
      <c r="Z335" s="84"/>
      <c r="AA335" s="84" t="str">
        <f>IF(AND(MONTH(E335)='IN-NX'!$J$5,'IN-NX'!$D$7=D335),"x","")</f>
        <v/>
      </c>
      <c r="AB335" s="84" t="str">
        <f>IF(AND(OR(LEFT(TH!N335,2)="15",LEFT(TH!O335,2)="15"),LEFT(TH!O335,3)&lt;&gt;"111",'152-CT'!$J$8=TH!F335),"x","")</f>
        <v/>
      </c>
      <c r="AC335" s="84" t="str">
        <f>IF(AND(OR(LEFT(TH!N335,2)="15",LEFT(TH!O335,2)="15"),TK!$E$7=TH!F335),"x","")</f>
        <v/>
      </c>
      <c r="AD335" s="84" t="str">
        <f>IF(AND(N335="1521",MONTH(C335)='BK-NL'!$M$11),"x","")</f>
        <v/>
      </c>
    </row>
    <row r="336" spans="1:31" s="341" customFormat="1" ht="15.75" hidden="1" customHeight="1">
      <c r="A336" s="336" t="str">
        <f>IF(B336&lt;&gt;"",IF(AND(B336='IN-TC'!$S$4,OR(TH!N336="1111",TH!O336="1111")),TH!D336,""),"")</f>
        <v/>
      </c>
      <c r="B336" s="63">
        <f>IF(C336&lt;&gt;"",MONTH(C336),"")</f>
        <v>3</v>
      </c>
      <c r="C336" s="64">
        <v>42431</v>
      </c>
      <c r="D336" s="64" t="s">
        <v>686</v>
      </c>
      <c r="E336" s="64">
        <f>C336</f>
        <v>42431</v>
      </c>
      <c r="F336" s="67" t="s">
        <v>348</v>
      </c>
      <c r="G336" s="67"/>
      <c r="H336" s="73" t="s">
        <v>449</v>
      </c>
      <c r="I336" s="439">
        <v>150</v>
      </c>
      <c r="J336" s="439">
        <v>13571.429</v>
      </c>
      <c r="K336" s="430"/>
      <c r="L336" s="439"/>
      <c r="M336" s="65">
        <f>ROUND(I336*J336,0)</f>
        <v>2035714</v>
      </c>
      <c r="N336" s="66" t="s">
        <v>282</v>
      </c>
      <c r="O336" s="66" t="s">
        <v>276</v>
      </c>
      <c r="P336" s="84" t="str">
        <f>IF(AND('331-CT'!$E$7=TH!H336,OR(N336="331",O336="331")),"x","")</f>
        <v/>
      </c>
      <c r="Q336" s="84" t="str">
        <f>IF(AND(B336='111'!$L$11,OR($N336=$Q$7,$O336=$Q$7)),"x","")</f>
        <v/>
      </c>
      <c r="R336" s="84" t="str">
        <f>IF(AND($N336=$Q$7,$B336&lt;'111'!$L$11),"x","")</f>
        <v/>
      </c>
      <c r="S336" s="84" t="str">
        <f>IF(AND($O336=$Q$7,$B336&lt;'111'!$L$11),"x","")</f>
        <v/>
      </c>
      <c r="T336" s="84" t="str">
        <f>IF(ISERROR(FIND('112'!$M$9,G336,1)),"",IF((AND(FIND('112'!$M$9,G336,1)&gt;=1,B336='112'!$K$9,OR($N336='112'!$I$6,$O336='112'!$I$6))),"x",""))</f>
        <v/>
      </c>
      <c r="U336" s="84" t="str">
        <f>IF(ISERROR(FIND('112'!$M$9,G336,1)),"",IF((AND(LEFT(G336,2)=LEFT('112'!$M$9,2),B336&lt;'112'!$K$9,$N336='112'!$I$6)),"x",""))</f>
        <v/>
      </c>
      <c r="V336" s="84" t="str">
        <f>IF(ISERROR(FIND('112'!$M$9,G336,1)),"",IF((AND(RIGHT(G336,2)=RIGHT('112'!$M$9,2),B336&lt;'112'!$K$9,$O336='112'!$I$6)),"x",""))</f>
        <v/>
      </c>
      <c r="W336" s="84" t="str">
        <f>IF(AND('341-CT'!$H$9=H336,OR(LEFT(N336,3)=$W$7,LEFT(O336,3)=$W$7)),"x","")</f>
        <v/>
      </c>
      <c r="X336" s="84" t="str">
        <f>IF(OR(TH!N336=TH!$X$7,O336=TH!$X$7),"x","")</f>
        <v/>
      </c>
      <c r="Y336" s="84" t="str">
        <f>IF(AND(OR(N336="131",O336="131"),H336='131-CT'!$H$9),"x","")</f>
        <v/>
      </c>
      <c r="Z336" s="84"/>
      <c r="AA336" s="84" t="str">
        <f>IF(AND(MONTH(E336)='IN-NX'!$J$5,'IN-NX'!$D$7=D336),"x","")</f>
        <v/>
      </c>
      <c r="AB336" s="84" t="str">
        <f>IF(AND(OR(LEFT(TH!N336,2)="15",LEFT(TH!O336,2)="15"),LEFT(TH!O336,3)&lt;&gt;"111",'152-CT'!$J$8=TH!F336),"x","")</f>
        <v/>
      </c>
      <c r="AC336" s="84" t="str">
        <f>IF(AND(OR(LEFT(TH!N336,2)="15",LEFT(TH!O336,2)="15"),TK!$E$7=TH!F336),"x","")</f>
        <v>x</v>
      </c>
      <c r="AD336" s="84" t="str">
        <f>IF(AND(N336="1521",MONTH(C336)='BK-NL'!$M$11),"x","")</f>
        <v/>
      </c>
    </row>
    <row r="337" spans="1:31" s="341" customFormat="1" ht="15.75" hidden="1" customHeight="1">
      <c r="A337" s="336" t="str">
        <f>IF(B337&lt;&gt;"",IF(AND(B337='IN-TC'!$S$4,OR(TH!N337="1111",TH!O337="1111")),TH!D337,""),"")</f>
        <v/>
      </c>
      <c r="B337" s="63">
        <f t="shared" si="56"/>
        <v>3</v>
      </c>
      <c r="C337" s="64">
        <v>42431</v>
      </c>
      <c r="D337" s="64" t="s">
        <v>686</v>
      </c>
      <c r="E337" s="64">
        <f t="shared" si="58"/>
        <v>42431</v>
      </c>
      <c r="F337" s="67" t="s">
        <v>224</v>
      </c>
      <c r="G337" s="67"/>
      <c r="H337" s="73" t="s">
        <v>449</v>
      </c>
      <c r="I337" s="439">
        <v>200</v>
      </c>
      <c r="J337" s="439">
        <v>21979.791919191921</v>
      </c>
      <c r="K337" s="430"/>
      <c r="L337" s="439"/>
      <c r="M337" s="65">
        <f t="shared" si="57"/>
        <v>4395958</v>
      </c>
      <c r="N337" s="66" t="s">
        <v>282</v>
      </c>
      <c r="O337" s="66" t="s">
        <v>276</v>
      </c>
      <c r="P337" s="84" t="str">
        <f>IF(AND('331-CT'!$E$7=TH!H337,OR(N337="331",O337="331")),"x","")</f>
        <v/>
      </c>
      <c r="Q337" s="84" t="str">
        <f>IF(AND(B337='111'!$L$11,OR($N337=$Q$7,$O337=$Q$7)),"x","")</f>
        <v/>
      </c>
      <c r="R337" s="84" t="str">
        <f>IF(AND($N337=$Q$7,$B337&lt;'111'!$L$11),"x","")</f>
        <v/>
      </c>
      <c r="S337" s="84" t="str">
        <f>IF(AND($O337=$Q$7,$B337&lt;'111'!$L$11),"x","")</f>
        <v/>
      </c>
      <c r="T337" s="84" t="str">
        <f>IF(ISERROR(FIND('112'!$M$9,G337,1)),"",IF((AND(FIND('112'!$M$9,G337,1)&gt;=1,B337='112'!$K$9,OR($N337='112'!$I$6,$O337='112'!$I$6))),"x",""))</f>
        <v/>
      </c>
      <c r="U337" s="84" t="str">
        <f>IF(ISERROR(FIND('112'!$M$9,G337,1)),"",IF((AND(LEFT(G337,2)=LEFT('112'!$M$9,2),B337&lt;'112'!$K$9,$N337='112'!$I$6)),"x",""))</f>
        <v/>
      </c>
      <c r="V337" s="84" t="str">
        <f>IF(ISERROR(FIND('112'!$M$9,G337,1)),"",IF((AND(RIGHT(G337,2)=RIGHT('112'!$M$9,2),B337&lt;'112'!$K$9,$O337='112'!$I$6)),"x",""))</f>
        <v/>
      </c>
      <c r="W337" s="84" t="str">
        <f>IF(AND('341-CT'!$H$9=H337,OR(LEFT(N337,3)=$W$7,LEFT(O337,3)=$W$7)),"x","")</f>
        <v/>
      </c>
      <c r="X337" s="84" t="str">
        <f>IF(OR(TH!N337=TH!$X$7,O337=TH!$X$7),"x","")</f>
        <v/>
      </c>
      <c r="Y337" s="84" t="str">
        <f>IF(AND(OR(N337="131",O337="131"),H337='131-CT'!$H$9),"x","")</f>
        <v/>
      </c>
      <c r="Z337" s="84"/>
      <c r="AA337" s="84" t="str">
        <f>IF(AND(MONTH(E337)='IN-NX'!$J$5,'IN-NX'!$D$7=D337),"x","")</f>
        <v/>
      </c>
      <c r="AB337" s="84" t="str">
        <f>IF(AND(OR(LEFT(TH!N337,2)="15",LEFT(TH!O337,2)="15"),LEFT(TH!O337,3)&lt;&gt;"111",'152-CT'!$J$8=TH!F337),"x","")</f>
        <v/>
      </c>
      <c r="AC337" s="84" t="str">
        <f>IF(AND(OR(LEFT(TH!N337,2)="15",LEFT(TH!O337,2)="15"),TK!$E$7=TH!F337),"x","")</f>
        <v/>
      </c>
      <c r="AD337" s="84" t="str">
        <f>IF(AND(N337="1521",MONTH(C337)='BK-NL'!$M$11),"x","")</f>
        <v/>
      </c>
    </row>
    <row r="338" spans="1:31" s="341" customFormat="1" ht="15.75" hidden="1" customHeight="1">
      <c r="A338" s="336" t="str">
        <f>IF(B338&lt;&gt;"",IF(AND(B338='IN-TC'!$S$4,OR(TH!N338="1111",TH!O338="1111")),TH!D338,""),"")</f>
        <v/>
      </c>
      <c r="B338" s="63">
        <f t="shared" si="56"/>
        <v>3</v>
      </c>
      <c r="C338" s="64">
        <v>42431</v>
      </c>
      <c r="D338" s="64" t="s">
        <v>686</v>
      </c>
      <c r="E338" s="64">
        <f t="shared" si="58"/>
        <v>42431</v>
      </c>
      <c r="F338" s="67" t="s">
        <v>353</v>
      </c>
      <c r="G338" s="67"/>
      <c r="H338" s="73" t="s">
        <v>449</v>
      </c>
      <c r="I338" s="439">
        <v>50</v>
      </c>
      <c r="J338" s="439">
        <v>3500</v>
      </c>
      <c r="K338" s="430"/>
      <c r="L338" s="439"/>
      <c r="M338" s="65">
        <f t="shared" si="57"/>
        <v>175000</v>
      </c>
      <c r="N338" s="66" t="s">
        <v>282</v>
      </c>
      <c r="O338" s="66" t="s">
        <v>276</v>
      </c>
      <c r="P338" s="84" t="str">
        <f>IF(AND('331-CT'!$E$7=TH!H338,OR(N338="331",O338="331")),"x","")</f>
        <v/>
      </c>
      <c r="Q338" s="84" t="str">
        <f>IF(AND(B338='111'!$L$11,OR($N338=$Q$7,$O338=$Q$7)),"x","")</f>
        <v/>
      </c>
      <c r="R338" s="84" t="str">
        <f>IF(AND($N338=$Q$7,$B338&lt;'111'!$L$11),"x","")</f>
        <v/>
      </c>
      <c r="S338" s="84" t="str">
        <f>IF(AND($O338=$Q$7,$B338&lt;'111'!$L$11),"x","")</f>
        <v/>
      </c>
      <c r="T338" s="84" t="str">
        <f>IF(ISERROR(FIND('112'!$M$9,G338,1)),"",IF((AND(FIND('112'!$M$9,G338,1)&gt;=1,B338='112'!$K$9,OR($N338='112'!$I$6,$O338='112'!$I$6))),"x",""))</f>
        <v/>
      </c>
      <c r="U338" s="84" t="str">
        <f>IF(ISERROR(FIND('112'!$M$9,G338,1)),"",IF((AND(LEFT(G338,2)=LEFT('112'!$M$9,2),B338&lt;'112'!$K$9,$N338='112'!$I$6)),"x",""))</f>
        <v/>
      </c>
      <c r="V338" s="84" t="str">
        <f>IF(ISERROR(FIND('112'!$M$9,G338,1)),"",IF((AND(RIGHT(G338,2)=RIGHT('112'!$M$9,2),B338&lt;'112'!$K$9,$O338='112'!$I$6)),"x",""))</f>
        <v/>
      </c>
      <c r="W338" s="84" t="str">
        <f>IF(AND('341-CT'!$H$9=H338,OR(LEFT(N338,3)=$W$7,LEFT(O338,3)=$W$7)),"x","")</f>
        <v/>
      </c>
      <c r="X338" s="84" t="str">
        <f>IF(OR(TH!N338=TH!$X$7,O338=TH!$X$7),"x","")</f>
        <v/>
      </c>
      <c r="Y338" s="84" t="str">
        <f>IF(AND(OR(N338="131",O338="131"),H338='131-CT'!$H$9),"x","")</f>
        <v/>
      </c>
      <c r="Z338" s="84"/>
      <c r="AA338" s="84" t="str">
        <f>IF(AND(MONTH(E338)='IN-NX'!$J$5,'IN-NX'!$D$7=D338),"x","")</f>
        <v/>
      </c>
      <c r="AB338" s="84" t="str">
        <f>IF(AND(OR(LEFT(TH!N338,2)="15",LEFT(TH!O338,2)="15"),LEFT(TH!O338,3)&lt;&gt;"111",'152-CT'!$J$8=TH!F338),"x","")</f>
        <v/>
      </c>
      <c r="AC338" s="84" t="str">
        <f>IF(AND(OR(LEFT(TH!N338,2)="15",LEFT(TH!O338,2)="15"),TK!$E$7=TH!F338),"x","")</f>
        <v/>
      </c>
      <c r="AD338" s="84" t="str">
        <f>IF(AND(N338="1521",MONTH(C338)='BK-NL'!$M$11),"x","")</f>
        <v/>
      </c>
    </row>
    <row r="339" spans="1:31" s="341" customFormat="1" ht="15.75" hidden="1" customHeight="1">
      <c r="A339" s="336" t="str">
        <f>IF(B339&lt;&gt;"",IF(AND(B339='IN-TC'!$S$4,OR(TH!N339="1111",TH!O339="1111")),TH!D339,""),"")</f>
        <v/>
      </c>
      <c r="B339" s="63">
        <f t="shared" si="56"/>
        <v>3</v>
      </c>
      <c r="C339" s="64">
        <v>42434</v>
      </c>
      <c r="D339" s="64" t="s">
        <v>687</v>
      </c>
      <c r="E339" s="64">
        <f t="shared" si="58"/>
        <v>42434</v>
      </c>
      <c r="F339" s="67" t="s">
        <v>356</v>
      </c>
      <c r="G339" s="67"/>
      <c r="H339" s="73" t="s">
        <v>449</v>
      </c>
      <c r="I339" s="439">
        <v>2160</v>
      </c>
      <c r="J339" s="439">
        <v>14900</v>
      </c>
      <c r="K339" s="430"/>
      <c r="L339" s="439"/>
      <c r="M339" s="65">
        <f t="shared" si="57"/>
        <v>32184000</v>
      </c>
      <c r="N339" s="66" t="s">
        <v>282</v>
      </c>
      <c r="O339" s="66" t="s">
        <v>276</v>
      </c>
      <c r="P339" s="84" t="str">
        <f>IF(AND('331-CT'!$E$7=TH!H339,OR(N339="331",O339="331")),"x","")</f>
        <v/>
      </c>
      <c r="Q339" s="84" t="str">
        <f>IF(AND(B339='111'!$L$11,OR($N339=$Q$7,$O339=$Q$7)),"x","")</f>
        <v/>
      </c>
      <c r="R339" s="84" t="str">
        <f>IF(AND($N339=$Q$7,$B339&lt;'111'!$L$11),"x","")</f>
        <v/>
      </c>
      <c r="S339" s="84" t="str">
        <f>IF(AND($O339=$Q$7,$B339&lt;'111'!$L$11),"x","")</f>
        <v/>
      </c>
      <c r="T339" s="84" t="str">
        <f>IF(ISERROR(FIND('112'!$M$9,G339,1)),"",IF((AND(FIND('112'!$M$9,G339,1)&gt;=1,B339='112'!$K$9,OR($N339='112'!$I$6,$O339='112'!$I$6))),"x",""))</f>
        <v/>
      </c>
      <c r="U339" s="84" t="str">
        <f>IF(ISERROR(FIND('112'!$M$9,G339,1)),"",IF((AND(LEFT(G339,2)=LEFT('112'!$M$9,2),B339&lt;'112'!$K$9,$N339='112'!$I$6)),"x",""))</f>
        <v/>
      </c>
      <c r="V339" s="84" t="str">
        <f>IF(ISERROR(FIND('112'!$M$9,G339,1)),"",IF((AND(RIGHT(G339,2)=RIGHT('112'!$M$9,2),B339&lt;'112'!$K$9,$O339='112'!$I$6)),"x",""))</f>
        <v/>
      </c>
      <c r="W339" s="84" t="str">
        <f>IF(AND('341-CT'!$H$9=H339,OR(LEFT(N339,3)=$W$7,LEFT(O339,3)=$W$7)),"x","")</f>
        <v/>
      </c>
      <c r="X339" s="84" t="str">
        <f>IF(OR(TH!N339=TH!$X$7,O339=TH!$X$7),"x","")</f>
        <v/>
      </c>
      <c r="Y339" s="84" t="str">
        <f>IF(AND(OR(N339="131",O339="131"),H339='131-CT'!$H$9),"x","")</f>
        <v/>
      </c>
      <c r="Z339" s="84"/>
      <c r="AA339" s="84" t="str">
        <f>IF(AND(MONTH(E339)='IN-NX'!$J$5,'IN-NX'!$D$7=D339),"x","")</f>
        <v/>
      </c>
      <c r="AB339" s="84" t="str">
        <f>IF(AND(OR(LEFT(TH!N339,2)="15",LEFT(TH!O339,2)="15"),LEFT(TH!O339,3)&lt;&gt;"111",'152-CT'!$J$8=TH!F339),"x","")</f>
        <v/>
      </c>
      <c r="AC339" s="84" t="str">
        <f>IF(AND(OR(LEFT(TH!N339,2)="15",LEFT(TH!O339,2)="15"),TK!$E$7=TH!F339),"x","")</f>
        <v/>
      </c>
      <c r="AD339" s="84" t="str">
        <f>IF(AND(N339="1521",MONTH(C339)='BK-NL'!$M$11),"x","")</f>
        <v/>
      </c>
    </row>
    <row r="340" spans="1:31" s="341" customFormat="1" ht="15.75" hidden="1" customHeight="1">
      <c r="A340" s="336" t="str">
        <f>IF(B340&lt;&gt;"",IF(AND(B340='IN-TC'!$S$4,OR(TH!N340="1111",TH!O340="1111")),TH!D340,""),"")</f>
        <v/>
      </c>
      <c r="B340" s="63">
        <f t="shared" si="56"/>
        <v>3</v>
      </c>
      <c r="C340" s="64">
        <v>42434</v>
      </c>
      <c r="D340" s="64" t="s">
        <v>687</v>
      </c>
      <c r="E340" s="64">
        <f t="shared" si="58"/>
        <v>42434</v>
      </c>
      <c r="F340" s="67" t="s">
        <v>359</v>
      </c>
      <c r="G340" s="67"/>
      <c r="H340" s="73" t="s">
        <v>449</v>
      </c>
      <c r="I340" s="439">
        <v>250</v>
      </c>
      <c r="J340" s="439">
        <v>8500</v>
      </c>
      <c r="K340" s="430"/>
      <c r="L340" s="439"/>
      <c r="M340" s="65">
        <f t="shared" si="57"/>
        <v>2125000</v>
      </c>
      <c r="N340" s="66" t="s">
        <v>282</v>
      </c>
      <c r="O340" s="66" t="s">
        <v>276</v>
      </c>
      <c r="P340" s="84" t="str">
        <f>IF(AND('331-CT'!$E$7=TH!H340,OR(N340="331",O340="331")),"x","")</f>
        <v/>
      </c>
      <c r="Q340" s="84" t="str">
        <f>IF(AND(B340='111'!$L$11,OR($N340=$Q$7,$O340=$Q$7)),"x","")</f>
        <v/>
      </c>
      <c r="R340" s="84" t="str">
        <f>IF(AND($N340=$Q$7,$B340&lt;'111'!$L$11),"x","")</f>
        <v/>
      </c>
      <c r="S340" s="84" t="str">
        <f>IF(AND($O340=$Q$7,$B340&lt;'111'!$L$11),"x","")</f>
        <v/>
      </c>
      <c r="T340" s="84" t="str">
        <f>IF(ISERROR(FIND('112'!$M$9,G340,1)),"",IF((AND(FIND('112'!$M$9,G340,1)&gt;=1,B340='112'!$K$9,OR($N340='112'!$I$6,$O340='112'!$I$6))),"x",""))</f>
        <v/>
      </c>
      <c r="U340" s="84" t="str">
        <f>IF(ISERROR(FIND('112'!$M$9,G340,1)),"",IF((AND(LEFT(G340,2)=LEFT('112'!$M$9,2),B340&lt;'112'!$K$9,$N340='112'!$I$6)),"x",""))</f>
        <v/>
      </c>
      <c r="V340" s="84" t="str">
        <f>IF(ISERROR(FIND('112'!$M$9,G340,1)),"",IF((AND(RIGHT(G340,2)=RIGHT('112'!$M$9,2),B340&lt;'112'!$K$9,$O340='112'!$I$6)),"x",""))</f>
        <v/>
      </c>
      <c r="W340" s="84" t="str">
        <f>IF(AND('341-CT'!$H$9=H340,OR(LEFT(N340,3)=$W$7,LEFT(O340,3)=$W$7)),"x","")</f>
        <v/>
      </c>
      <c r="X340" s="84" t="str">
        <f>IF(OR(TH!N340=TH!$X$7,O340=TH!$X$7),"x","")</f>
        <v/>
      </c>
      <c r="Y340" s="84" t="str">
        <f>IF(AND(OR(N340="131",O340="131"),H340='131-CT'!$H$9),"x","")</f>
        <v/>
      </c>
      <c r="Z340" s="84"/>
      <c r="AA340" s="84" t="str">
        <f>IF(AND(MONTH(E340)='IN-NX'!$J$5,'IN-NX'!$D$7=D340),"x","")</f>
        <v/>
      </c>
      <c r="AB340" s="84" t="str">
        <f>IF(AND(OR(LEFT(TH!N340,2)="15",LEFT(TH!O340,2)="15"),LEFT(TH!O340,3)&lt;&gt;"111",'152-CT'!$J$8=TH!F340),"x","")</f>
        <v/>
      </c>
      <c r="AC340" s="84" t="str">
        <f>IF(AND(OR(LEFT(TH!N340,2)="15",LEFT(TH!O340,2)="15"),TK!$E$7=TH!F340),"x","")</f>
        <v/>
      </c>
      <c r="AD340" s="84" t="str">
        <f>IF(AND(N340="1521",MONTH(C340)='BK-NL'!$M$11),"x","")</f>
        <v/>
      </c>
    </row>
    <row r="341" spans="1:31" s="341" customFormat="1" ht="15.75" hidden="1" customHeight="1">
      <c r="A341" s="336" t="str">
        <f>IF(B341&lt;&gt;"",IF(AND(B341='IN-TC'!$S$4,OR(TH!N341="1111",TH!O341="1111")),TH!D341,""),"")</f>
        <v/>
      </c>
      <c r="B341" s="63">
        <f t="shared" si="56"/>
        <v>3</v>
      </c>
      <c r="C341" s="64">
        <v>42434</v>
      </c>
      <c r="D341" s="64" t="s">
        <v>687</v>
      </c>
      <c r="E341" s="64">
        <f t="shared" si="58"/>
        <v>42434</v>
      </c>
      <c r="F341" s="67" t="s">
        <v>363</v>
      </c>
      <c r="G341" s="67"/>
      <c r="H341" s="73" t="s">
        <v>449</v>
      </c>
      <c r="I341" s="441">
        <v>150</v>
      </c>
      <c r="J341" s="441">
        <v>33000</v>
      </c>
      <c r="K341" s="432"/>
      <c r="L341" s="441"/>
      <c r="M341" s="65">
        <f t="shared" si="57"/>
        <v>4950000</v>
      </c>
      <c r="N341" s="66" t="s">
        <v>282</v>
      </c>
      <c r="O341" s="66" t="s">
        <v>276</v>
      </c>
      <c r="P341" s="84" t="str">
        <f>IF(AND('331-CT'!$E$7=TH!H341,OR(N341="331",O341="331")),"x","")</f>
        <v/>
      </c>
      <c r="Q341" s="84" t="str">
        <f>IF(AND(B341='111'!$L$11,OR($N341=$Q$7,$O341=$Q$7)),"x","")</f>
        <v/>
      </c>
      <c r="R341" s="84" t="str">
        <f>IF(AND($N341=$Q$7,$B341&lt;'111'!$L$11),"x","")</f>
        <v/>
      </c>
      <c r="S341" s="84" t="str">
        <f>IF(AND($O341=$Q$7,$B341&lt;'111'!$L$11),"x","")</f>
        <v/>
      </c>
      <c r="T341" s="84" t="str">
        <f>IF(ISERROR(FIND('112'!$M$9,G341,1)),"",IF((AND(FIND('112'!$M$9,G341,1)&gt;=1,B341='112'!$K$9,OR($N341='112'!$I$6,$O341='112'!$I$6))),"x",""))</f>
        <v/>
      </c>
      <c r="U341" s="84" t="str">
        <f>IF(ISERROR(FIND('112'!$M$9,G341,1)),"",IF((AND(LEFT(G341,2)=LEFT('112'!$M$9,2),B341&lt;'112'!$K$9,$N341='112'!$I$6)),"x",""))</f>
        <v/>
      </c>
      <c r="V341" s="84" t="str">
        <f>IF(ISERROR(FIND('112'!$M$9,G341,1)),"",IF((AND(RIGHT(G341,2)=RIGHT('112'!$M$9,2),B341&lt;'112'!$K$9,$O341='112'!$I$6)),"x",""))</f>
        <v/>
      </c>
      <c r="W341" s="84" t="str">
        <f>IF(AND('341-CT'!$H$9=H341,OR(LEFT(N341,3)=$W$7,LEFT(O341,3)=$W$7)),"x","")</f>
        <v/>
      </c>
      <c r="X341" s="84" t="str">
        <f>IF(OR(TH!N341=TH!$X$7,O341=TH!$X$7),"x","")</f>
        <v/>
      </c>
      <c r="Y341" s="84" t="str">
        <f>IF(AND(OR(N341="131",O341="131"),H341='131-CT'!$H$9),"x","")</f>
        <v/>
      </c>
      <c r="Z341" s="84"/>
      <c r="AA341" s="84" t="str">
        <f>IF(AND(MONTH(E341)='IN-NX'!$J$5,'IN-NX'!$D$7=D341),"x","")</f>
        <v/>
      </c>
      <c r="AB341" s="84" t="str">
        <f>IF(AND(OR(LEFT(TH!N341,2)="15",LEFT(TH!O341,2)="15"),LEFT(TH!O341,3)&lt;&gt;"111",'152-CT'!$J$8=TH!F341),"x","")</f>
        <v>x</v>
      </c>
      <c r="AC341" s="84" t="str">
        <f>IF(AND(OR(LEFT(TH!N341,2)="15",LEFT(TH!O341,2)="15"),TK!$E$7=TH!F341),"x","")</f>
        <v/>
      </c>
      <c r="AD341" s="84" t="str">
        <f>IF(AND(N341="1521",MONTH(C341)='BK-NL'!$M$11),"x","")</f>
        <v/>
      </c>
    </row>
    <row r="342" spans="1:31" s="341" customFormat="1" ht="15.75" hidden="1" customHeight="1">
      <c r="A342" s="336" t="str">
        <f>IF(B342&lt;&gt;"",IF(AND(B342='IN-TC'!$S$4,OR(TH!N342="1111",TH!O342="1111")),TH!D342,""),"")</f>
        <v/>
      </c>
      <c r="B342" s="63">
        <f>IF(C342&lt;&gt;"",MONTH(C342),"")</f>
        <v>3</v>
      </c>
      <c r="C342" s="64">
        <v>42439</v>
      </c>
      <c r="D342" s="64" t="s">
        <v>688</v>
      </c>
      <c r="E342" s="64">
        <f>C342</f>
        <v>42439</v>
      </c>
      <c r="F342" s="67" t="s">
        <v>390</v>
      </c>
      <c r="G342" s="67"/>
      <c r="H342" s="73" t="s">
        <v>449</v>
      </c>
      <c r="I342" s="441">
        <v>922</v>
      </c>
      <c r="J342" s="441">
        <v>12000</v>
      </c>
      <c r="K342" s="432"/>
      <c r="L342" s="441"/>
      <c r="M342" s="65">
        <f>ROUND(I342*J342,0)</f>
        <v>11064000</v>
      </c>
      <c r="N342" s="66" t="s">
        <v>282</v>
      </c>
      <c r="O342" s="66" t="s">
        <v>276</v>
      </c>
      <c r="P342" s="84" t="str">
        <f>IF(AND('331-CT'!$E$7=TH!H342,OR(N342="331",O342="331")),"x","")</f>
        <v/>
      </c>
      <c r="Q342" s="84" t="str">
        <f>IF(AND(B342='111'!$L$11,OR($N342=$Q$7,$O342=$Q$7)),"x","")</f>
        <v/>
      </c>
      <c r="R342" s="84" t="str">
        <f>IF(AND($N342=$Q$7,$B342&lt;'111'!$L$11),"x","")</f>
        <v/>
      </c>
      <c r="S342" s="84" t="str">
        <f>IF(AND($O342=$Q$7,$B342&lt;'111'!$L$11),"x","")</f>
        <v/>
      </c>
      <c r="T342" s="84" t="str">
        <f>IF(ISERROR(FIND('112'!$M$9,G342,1)),"",IF((AND(FIND('112'!$M$9,G342,1)&gt;=1,B342='112'!$K$9,OR($N342='112'!$I$6,$O342='112'!$I$6))),"x",""))</f>
        <v/>
      </c>
      <c r="U342" s="84" t="str">
        <f>IF(ISERROR(FIND('112'!$M$9,G342,1)),"",IF((AND(LEFT(G342,2)=LEFT('112'!$M$9,2),B342&lt;'112'!$K$9,$N342='112'!$I$6)),"x",""))</f>
        <v/>
      </c>
      <c r="V342" s="84" t="str">
        <f>IF(ISERROR(FIND('112'!$M$9,G342,1)),"",IF((AND(RIGHT(G342,2)=RIGHT('112'!$M$9,2),B342&lt;'112'!$K$9,$O342='112'!$I$6)),"x",""))</f>
        <v/>
      </c>
      <c r="W342" s="84" t="str">
        <f>IF(AND('341-CT'!$H$9=H342,OR(LEFT(N342,3)=$W$7,LEFT(O342,3)=$W$7)),"x","")</f>
        <v/>
      </c>
      <c r="X342" s="84" t="str">
        <f>IF(OR(TH!N342=TH!$X$7,O342=TH!$X$7),"x","")</f>
        <v/>
      </c>
      <c r="Y342" s="84" t="str">
        <f>IF(AND(OR(N342="131",O342="131"),H342='131-CT'!$H$9),"x","")</f>
        <v/>
      </c>
      <c r="Z342" s="84"/>
      <c r="AA342" s="84" t="str">
        <f>IF(AND(MONTH(E342)='IN-NX'!$J$5,'IN-NX'!$D$7=D342),"x","")</f>
        <v/>
      </c>
      <c r="AB342" s="84" t="str">
        <f>IF(AND(OR(LEFT(TH!N342,2)="15",LEFT(TH!O342,2)="15"),LEFT(TH!O342,3)&lt;&gt;"111",'152-CT'!$J$8=TH!F342),"x","")</f>
        <v/>
      </c>
      <c r="AC342" s="84" t="str">
        <f>IF(AND(OR(LEFT(TH!N342,2)="15",LEFT(TH!O342,2)="15"),TK!$E$7=TH!F342),"x","")</f>
        <v/>
      </c>
      <c r="AD342" s="84" t="str">
        <f>IF(AND(N342="1521",MONTH(C342)='BK-NL'!$M$11),"x","")</f>
        <v/>
      </c>
    </row>
    <row r="343" spans="1:31" s="341" customFormat="1" ht="15.75" hidden="1" customHeight="1">
      <c r="A343" s="336" t="str">
        <f>IF(B343&lt;&gt;"",IF(AND(B343='IN-TC'!$S$4,OR(TH!N343="1111",TH!O343="1111")),TH!D343,""),"")</f>
        <v/>
      </c>
      <c r="B343" s="63">
        <f t="shared" si="56"/>
        <v>3</v>
      </c>
      <c r="C343" s="64">
        <v>42439</v>
      </c>
      <c r="D343" s="64" t="s">
        <v>688</v>
      </c>
      <c r="E343" s="64">
        <f t="shared" si="58"/>
        <v>42439</v>
      </c>
      <c r="F343" s="67" t="s">
        <v>392</v>
      </c>
      <c r="G343" s="67"/>
      <c r="H343" s="73" t="s">
        <v>449</v>
      </c>
      <c r="I343" s="441">
        <v>375</v>
      </c>
      <c r="J343" s="441">
        <v>9500</v>
      </c>
      <c r="K343" s="432"/>
      <c r="L343" s="441"/>
      <c r="M343" s="65">
        <f t="shared" si="57"/>
        <v>3562500</v>
      </c>
      <c r="N343" s="66" t="s">
        <v>282</v>
      </c>
      <c r="O343" s="66" t="s">
        <v>276</v>
      </c>
      <c r="P343" s="84" t="str">
        <f>IF(AND('331-CT'!$E$7=TH!H343,OR(N343="331",O343="331")),"x","")</f>
        <v/>
      </c>
      <c r="Q343" s="84" t="str">
        <f>IF(AND(B343='111'!$L$11,OR($N343=$Q$7,$O343=$Q$7)),"x","")</f>
        <v/>
      </c>
      <c r="R343" s="84" t="str">
        <f>IF(AND($N343=$Q$7,$B343&lt;'111'!$L$11),"x","")</f>
        <v/>
      </c>
      <c r="S343" s="84" t="str">
        <f>IF(AND($O343=$Q$7,$B343&lt;'111'!$L$11),"x","")</f>
        <v/>
      </c>
      <c r="T343" s="84" t="str">
        <f>IF(ISERROR(FIND('112'!$M$9,G343,1)),"",IF((AND(FIND('112'!$M$9,G343,1)&gt;=1,B343='112'!$K$9,OR($N343='112'!$I$6,$O343='112'!$I$6))),"x",""))</f>
        <v/>
      </c>
      <c r="U343" s="84" t="str">
        <f>IF(ISERROR(FIND('112'!$M$9,G343,1)),"",IF((AND(LEFT(G343,2)=LEFT('112'!$M$9,2),B343&lt;'112'!$K$9,$N343='112'!$I$6)),"x",""))</f>
        <v/>
      </c>
      <c r="V343" s="84" t="str">
        <f>IF(ISERROR(FIND('112'!$M$9,G343,1)),"",IF((AND(RIGHT(G343,2)=RIGHT('112'!$M$9,2),B343&lt;'112'!$K$9,$O343='112'!$I$6)),"x",""))</f>
        <v/>
      </c>
      <c r="W343" s="84" t="str">
        <f>IF(AND('341-CT'!$H$9=H343,OR(LEFT(N343,3)=$W$7,LEFT(O343,3)=$W$7)),"x","")</f>
        <v/>
      </c>
      <c r="X343" s="84" t="str">
        <f>IF(OR(TH!N343=TH!$X$7,O343=TH!$X$7),"x","")</f>
        <v/>
      </c>
      <c r="Y343" s="84" t="str">
        <f>IF(AND(OR(N343="131",O343="131"),H343='131-CT'!$H$9),"x","")</f>
        <v/>
      </c>
      <c r="Z343" s="84"/>
      <c r="AA343" s="84" t="str">
        <f>IF(AND(MONTH(E343)='IN-NX'!$J$5,'IN-NX'!$D$7=D343),"x","")</f>
        <v/>
      </c>
      <c r="AB343" s="84" t="str">
        <f>IF(AND(OR(LEFT(TH!N343,2)="15",LEFT(TH!O343,2)="15"),LEFT(TH!O343,3)&lt;&gt;"111",'152-CT'!$J$8=TH!F343),"x","")</f>
        <v/>
      </c>
      <c r="AC343" s="84" t="str">
        <f>IF(AND(OR(LEFT(TH!N343,2)="15",LEFT(TH!O343,2)="15"),TK!$E$7=TH!F343),"x","")</f>
        <v/>
      </c>
      <c r="AD343" s="84" t="str">
        <f>IF(AND(N343="1521",MONTH(C343)='BK-NL'!$M$11),"x","")</f>
        <v/>
      </c>
    </row>
    <row r="344" spans="1:31" s="341" customFormat="1" ht="15.75" hidden="1" customHeight="1">
      <c r="A344" s="336" t="str">
        <f>IF(B344&lt;&gt;"",IF(AND(B344='IN-TC'!$S$4,OR(TH!N344="1111",TH!O344="1111")),TH!D344,""),"")</f>
        <v/>
      </c>
      <c r="B344" s="63">
        <f>IF(C344&lt;&gt;"",MONTH(C344),"")</f>
        <v>3</v>
      </c>
      <c r="C344" s="64">
        <v>42459</v>
      </c>
      <c r="D344" s="64" t="s">
        <v>689</v>
      </c>
      <c r="E344" s="64">
        <f t="shared" ref="E344:E358" si="59">C344</f>
        <v>42459</v>
      </c>
      <c r="F344" s="67" t="s">
        <v>384</v>
      </c>
      <c r="G344" s="67"/>
      <c r="H344" s="73" t="s">
        <v>449</v>
      </c>
      <c r="I344" s="441">
        <v>2700</v>
      </c>
      <c r="J344" s="441">
        <v>4466.322284402353</v>
      </c>
      <c r="K344" s="432"/>
      <c r="L344" s="441"/>
      <c r="M344" s="65">
        <f>ROUND(I344*J344,0)</f>
        <v>12059070</v>
      </c>
      <c r="N344" s="66" t="s">
        <v>282</v>
      </c>
      <c r="O344" s="66" t="s">
        <v>276</v>
      </c>
      <c r="P344" s="84" t="str">
        <f>IF(AND('331-CT'!$E$7=TH!H344,OR(N344="331",O344="331")),"x","")</f>
        <v/>
      </c>
      <c r="Q344" s="84" t="str">
        <f>IF(AND(B344='111'!$L$11,OR($N344=$Q$7,$O344=$Q$7)),"x","")</f>
        <v/>
      </c>
      <c r="R344" s="84" t="str">
        <f>IF(AND($N344=$Q$7,$B344&lt;'111'!$L$11),"x","")</f>
        <v/>
      </c>
      <c r="S344" s="84" t="str">
        <f>IF(AND($O344=$Q$7,$B344&lt;'111'!$L$11),"x","")</f>
        <v/>
      </c>
      <c r="T344" s="84" t="str">
        <f>IF(ISERROR(FIND('112'!$M$9,G344,1)),"",IF((AND(FIND('112'!$M$9,G344,1)&gt;=1,B344='112'!$K$9,OR($N344='112'!$I$6,$O344='112'!$I$6))),"x",""))</f>
        <v/>
      </c>
      <c r="U344" s="84" t="str">
        <f>IF(ISERROR(FIND('112'!$M$9,G344,1)),"",IF((AND(LEFT(G344,2)=LEFT('112'!$M$9,2),B344&lt;'112'!$K$9,$N344='112'!$I$6)),"x",""))</f>
        <v/>
      </c>
      <c r="V344" s="84" t="str">
        <f>IF(ISERROR(FIND('112'!$M$9,G344,1)),"",IF((AND(RIGHT(G344,2)=RIGHT('112'!$M$9,2),B344&lt;'112'!$K$9,$O344='112'!$I$6)),"x",""))</f>
        <v/>
      </c>
      <c r="W344" s="84" t="str">
        <f>IF(AND('341-CT'!$H$9=H344,OR(LEFT(N344,3)=$W$7,LEFT(O344,3)=$W$7)),"x","")</f>
        <v/>
      </c>
      <c r="X344" s="84" t="str">
        <f>IF(OR(TH!N344=TH!$X$7,O344=TH!$X$7),"x","")</f>
        <v/>
      </c>
      <c r="Y344" s="84" t="str">
        <f>IF(AND(OR(N344="131",O344="131"),H344='131-CT'!$H$9),"x","")</f>
        <v/>
      </c>
      <c r="Z344" s="84"/>
      <c r="AA344" s="84" t="str">
        <f>IF(AND(MONTH(E344)='IN-NX'!$J$5,'IN-NX'!$D$7=D344),"x","")</f>
        <v/>
      </c>
      <c r="AB344" s="84" t="str">
        <f>IF(AND(OR(LEFT(TH!N344,2)="15",LEFT(TH!O344,2)="15"),LEFT(TH!O344,3)&lt;&gt;"111",'152-CT'!$J$8=TH!F344),"x","")</f>
        <v/>
      </c>
      <c r="AC344" s="84" t="str">
        <f>IF(AND(OR(LEFT(TH!N344,2)="15",LEFT(TH!O344,2)="15"),TK!$E$7=TH!F344),"x","")</f>
        <v/>
      </c>
      <c r="AD344" s="84" t="str">
        <f>IF(AND(N344="1521",MONTH(C344)='BK-NL'!$M$11),"x","")</f>
        <v/>
      </c>
    </row>
    <row r="345" spans="1:31" ht="15.75" hidden="1" customHeight="1">
      <c r="A345" s="336" t="str">
        <f>IF(B345&lt;&gt;"",IF(AND(B345='IN-TC'!$S$4,OR(TH!N345="1111",TH!O345="1111")),TH!D345,""),"")</f>
        <v/>
      </c>
      <c r="B345" s="63">
        <f t="shared" ref="B345:B353" si="60">IF(C345&lt;&gt;"",MONTH(C345),"")</f>
        <v>4</v>
      </c>
      <c r="C345" s="64">
        <v>42461</v>
      </c>
      <c r="D345" s="1134" t="s">
        <v>677</v>
      </c>
      <c r="E345" s="80">
        <f t="shared" si="59"/>
        <v>42461</v>
      </c>
      <c r="F345" s="82" t="s">
        <v>353</v>
      </c>
      <c r="G345" s="985" t="s">
        <v>1405</v>
      </c>
      <c r="H345" s="966" t="s">
        <v>622</v>
      </c>
      <c r="I345" s="437">
        <v>2000</v>
      </c>
      <c r="J345" s="437">
        <v>3200</v>
      </c>
      <c r="K345" s="428"/>
      <c r="L345" s="437"/>
      <c r="M345" s="83">
        <f>ROUND(I345*J345,0)</f>
        <v>6400000</v>
      </c>
      <c r="N345" s="84" t="s">
        <v>276</v>
      </c>
      <c r="O345" s="84" t="s">
        <v>8</v>
      </c>
      <c r="P345" s="84" t="str">
        <f>IF(AND('331-CT'!$E$7=TH!H345,OR(N345="331",O345="331")),"x","")</f>
        <v>x</v>
      </c>
      <c r="Q345" s="84" t="str">
        <f>IF(AND(B345='111'!$L$11,OR($N345=$Q$7,$O345=$Q$7)),"x","")</f>
        <v/>
      </c>
      <c r="R345" s="84" t="str">
        <f>IF(AND($N345=$Q$7,$B345&lt;'111'!$L$11),"x","")</f>
        <v/>
      </c>
      <c r="S345" s="84" t="str">
        <f>IF(AND($O345=$Q$7,$B345&lt;'111'!$L$11),"x","")</f>
        <v/>
      </c>
      <c r="T345" s="84" t="str">
        <f>IF(ISERROR(FIND('112'!$M$9,G345,1)),"",IF((AND(FIND('112'!$M$9,G345,1)&gt;=1,B345='112'!$K$9,OR($N345='112'!$I$6,$O345='112'!$I$6))),"x",""))</f>
        <v/>
      </c>
      <c r="U345" s="84" t="str">
        <f>IF(ISERROR(FIND('112'!$M$9,G345,1)),"",IF((AND(LEFT(G345,2)=LEFT('112'!$M$9,2),B345&lt;'112'!$K$9,$N345='112'!$I$6)),"x",""))</f>
        <v/>
      </c>
      <c r="V345" s="84" t="str">
        <f>IF(ISERROR(FIND('112'!$M$9,G345,1)),"",IF((AND(RIGHT(G345,2)=RIGHT('112'!$M$9,2),B345&lt;'112'!$K$9,$O345='112'!$I$6)),"x",""))</f>
        <v/>
      </c>
      <c r="W345" s="84" t="str">
        <f>IF(AND('341-CT'!$H$9=H345,OR(LEFT(N345,3)=$W$7,LEFT(O345,3)=$W$7)),"x","")</f>
        <v/>
      </c>
      <c r="X345" s="84" t="str">
        <f>IF(OR(TH!N345=TH!$X$7,O345=TH!$X$7),"x","")</f>
        <v/>
      </c>
      <c r="Y345" s="84" t="str">
        <f>IF(AND(OR(N345="131",O345="131"),H345='131-CT'!$H$9),"x","")</f>
        <v/>
      </c>
      <c r="Z345" s="84"/>
      <c r="AA345" s="84" t="str">
        <f>IF(AND(MONTH(E345)='IN-NX'!$J$5,'IN-NX'!$D$7=D345),"x","")</f>
        <v/>
      </c>
      <c r="AB345" s="84" t="str">
        <f>IF(AND(OR(LEFT(TH!N345,2)="15",LEFT(TH!O345,2)="15"),LEFT(TH!O345,3)&lt;&gt;"111",'152-CT'!$J$8=TH!F345),"x","")</f>
        <v/>
      </c>
      <c r="AC345" s="84" t="str">
        <f>IF(AND(OR(LEFT(TH!N345,2)="15",LEFT(TH!O345,2)="15"),TK!$E$7=TH!F345),"x","")</f>
        <v/>
      </c>
      <c r="AD345" s="84" t="str">
        <f>IF(AND(N345="1521",MONTH(C345)='BK-NL'!$M$11),"x","")</f>
        <v/>
      </c>
      <c r="AE345" s="1146" t="str">
        <f t="shared" ref="AE345:AE357" si="61">IF(H345&lt;&gt;VLOOKUP(H345,DSKH,1,0),"","x")</f>
        <v>x</v>
      </c>
    </row>
    <row r="346" spans="1:31" ht="15.75" hidden="1" customHeight="1">
      <c r="A346" s="336" t="str">
        <f>IF(B346&lt;&gt;"",IF(AND(B346='IN-TC'!$S$4,OR(TH!N346="1111",TH!O346="1111")),TH!D346,""),"")</f>
        <v/>
      </c>
      <c r="B346" s="63">
        <f t="shared" si="60"/>
        <v>4</v>
      </c>
      <c r="C346" s="64">
        <v>42467</v>
      </c>
      <c r="D346" s="1134" t="s">
        <v>678</v>
      </c>
      <c r="E346" s="80">
        <f t="shared" si="59"/>
        <v>42467</v>
      </c>
      <c r="F346" s="82" t="s">
        <v>653</v>
      </c>
      <c r="G346" s="985" t="s">
        <v>1406</v>
      </c>
      <c r="H346" s="82" t="s">
        <v>1423</v>
      </c>
      <c r="I346" s="437">
        <v>4500</v>
      </c>
      <c r="J346" s="437">
        <v>14000</v>
      </c>
      <c r="K346" s="428"/>
      <c r="L346" s="437"/>
      <c r="M346" s="83">
        <f t="shared" ref="M346:M352" si="62">ROUND(I346*J346,0)</f>
        <v>63000000</v>
      </c>
      <c r="N346" s="84" t="s">
        <v>276</v>
      </c>
      <c r="O346" s="84" t="s">
        <v>8</v>
      </c>
      <c r="P346" s="84" t="str">
        <f>IF(AND('331-CT'!$E$7=TH!H346,OR(N346="331",O346="331")),"x","")</f>
        <v/>
      </c>
      <c r="Q346" s="84" t="str">
        <f>IF(AND(B346='111'!$L$11,OR($N346=$Q$7,$O346=$Q$7)),"x","")</f>
        <v/>
      </c>
      <c r="R346" s="84" t="str">
        <f>IF(AND($N346=$Q$7,$B346&lt;'111'!$L$11),"x","")</f>
        <v/>
      </c>
      <c r="S346" s="84" t="str">
        <f>IF(AND($O346=$Q$7,$B346&lt;'111'!$L$11),"x","")</f>
        <v/>
      </c>
      <c r="T346" s="84" t="str">
        <f>IF(ISERROR(FIND('112'!$M$9,G346,1)),"",IF((AND(FIND('112'!$M$9,G346,1)&gt;=1,B346='112'!$K$9,OR($N346='112'!$I$6,$O346='112'!$I$6))),"x",""))</f>
        <v/>
      </c>
      <c r="U346" s="84" t="str">
        <f>IF(ISERROR(FIND('112'!$M$9,G346,1)),"",IF((AND(LEFT(G346,2)=LEFT('112'!$M$9,2),B346&lt;'112'!$K$9,$N346='112'!$I$6)),"x",""))</f>
        <v/>
      </c>
      <c r="V346" s="84" t="str">
        <f>IF(ISERROR(FIND('112'!$M$9,G346,1)),"",IF((AND(RIGHT(G346,2)=RIGHT('112'!$M$9,2),B346&lt;'112'!$K$9,$O346='112'!$I$6)),"x",""))</f>
        <v/>
      </c>
      <c r="W346" s="84" t="str">
        <f>IF(AND('341-CT'!$H$9=H346,OR(LEFT(N346,3)=$W$7,LEFT(O346,3)=$W$7)),"x","")</f>
        <v/>
      </c>
      <c r="X346" s="84" t="str">
        <f>IF(OR(TH!N346=TH!$X$7,O346=TH!$X$7),"x","")</f>
        <v/>
      </c>
      <c r="Y346" s="84" t="str">
        <f>IF(AND(OR(N346="131",O346="131"),H346='131-CT'!$H$9),"x","")</f>
        <v/>
      </c>
      <c r="Z346" s="84"/>
      <c r="AA346" s="84" t="str">
        <f>IF(AND(MONTH(E346)='IN-NX'!$J$5,'IN-NX'!$D$7=D346),"x","")</f>
        <v/>
      </c>
      <c r="AB346" s="84" t="str">
        <f>IF(AND(OR(LEFT(TH!N346,2)="15",LEFT(TH!O346,2)="15"),LEFT(TH!O346,3)&lt;&gt;"111",'152-CT'!$J$8=TH!F346),"x","")</f>
        <v/>
      </c>
      <c r="AC346" s="84" t="str">
        <f>IF(AND(OR(LEFT(TH!N346,2)="15",LEFT(TH!O346,2)="15"),TK!$E$7=TH!F346),"x","")</f>
        <v/>
      </c>
      <c r="AD346" s="84" t="str">
        <f>IF(AND(N346="1521",MONTH(C346)='BK-NL'!$M$11),"x","")</f>
        <v/>
      </c>
      <c r="AE346" s="1146" t="str">
        <f t="shared" si="61"/>
        <v>x</v>
      </c>
    </row>
    <row r="347" spans="1:31" ht="15.75" hidden="1" customHeight="1">
      <c r="A347" s="336" t="str">
        <f>IF(B347&lt;&gt;"",IF(AND(B347='IN-TC'!$S$4,OR(TH!N347="1111",TH!O347="1111")),TH!D347,""),"")</f>
        <v/>
      </c>
      <c r="B347" s="63">
        <f t="shared" si="60"/>
        <v>4</v>
      </c>
      <c r="C347" s="64">
        <v>42467</v>
      </c>
      <c r="D347" s="1134" t="s">
        <v>678</v>
      </c>
      <c r="E347" s="80">
        <f t="shared" si="59"/>
        <v>42467</v>
      </c>
      <c r="F347" s="82" t="s">
        <v>654</v>
      </c>
      <c r="G347" s="985" t="s">
        <v>1406</v>
      </c>
      <c r="H347" s="82" t="s">
        <v>1423</v>
      </c>
      <c r="I347" s="437"/>
      <c r="J347" s="437"/>
      <c r="K347" s="428"/>
      <c r="L347" s="437"/>
      <c r="M347" s="83">
        <v>6300000</v>
      </c>
      <c r="N347" s="84" t="s">
        <v>9</v>
      </c>
      <c r="O347" s="84" t="s">
        <v>8</v>
      </c>
      <c r="P347" s="84" t="str">
        <f>IF(AND('331-CT'!$E$7=TH!H347,OR(N347="331",O347="331")),"x","")</f>
        <v/>
      </c>
      <c r="Q347" s="84" t="str">
        <f>IF(AND(B347='111'!$L$11,OR($N347=$Q$7,$O347=$Q$7)),"x","")</f>
        <v/>
      </c>
      <c r="R347" s="84" t="str">
        <f>IF(AND($N347=$Q$7,$B347&lt;'111'!$L$11),"x","")</f>
        <v/>
      </c>
      <c r="S347" s="84" t="str">
        <f>IF(AND($O347=$Q$7,$B347&lt;'111'!$L$11),"x","")</f>
        <v/>
      </c>
      <c r="T347" s="84" t="str">
        <f>IF(ISERROR(FIND('112'!$M$9,G347,1)),"",IF((AND(FIND('112'!$M$9,G347,1)&gt;=1,B347='112'!$K$9,OR($N347='112'!$I$6,$O347='112'!$I$6))),"x",""))</f>
        <v/>
      </c>
      <c r="U347" s="84" t="str">
        <f>IF(ISERROR(FIND('112'!$M$9,G347,1)),"",IF((AND(LEFT(G347,2)=LEFT('112'!$M$9,2),B347&lt;'112'!$K$9,$N347='112'!$I$6)),"x",""))</f>
        <v/>
      </c>
      <c r="V347" s="84" t="str">
        <f>IF(ISERROR(FIND('112'!$M$9,G347,1)),"",IF((AND(RIGHT(G347,2)=RIGHT('112'!$M$9,2),B347&lt;'112'!$K$9,$O347='112'!$I$6)),"x",""))</f>
        <v/>
      </c>
      <c r="W347" s="84" t="str">
        <f>IF(AND('341-CT'!$H$9=H347,OR(LEFT(N347,3)=$W$7,LEFT(O347,3)=$W$7)),"x","")</f>
        <v/>
      </c>
      <c r="X347" s="84" t="str">
        <f>IF(OR(TH!N347=TH!$X$7,O347=TH!$X$7),"x","")</f>
        <v/>
      </c>
      <c r="Y347" s="84" t="str">
        <f>IF(AND(OR(N347="131",O347="131"),H347='131-CT'!$H$9),"x","")</f>
        <v/>
      </c>
      <c r="Z347" s="84"/>
      <c r="AA347" s="84" t="str">
        <f>IF(AND(MONTH(E347)='IN-NX'!$J$5,'IN-NX'!$D$7=D347),"x","")</f>
        <v/>
      </c>
      <c r="AB347" s="84" t="str">
        <f>IF(AND(OR(LEFT(TH!N347,2)="15",LEFT(TH!O347,2)="15"),LEFT(TH!O347,3)&lt;&gt;"111",'152-CT'!$J$8=TH!F347),"x","")</f>
        <v/>
      </c>
      <c r="AC347" s="84" t="str">
        <f>IF(AND(OR(LEFT(TH!N347,2)="15",LEFT(TH!O347,2)="15"),TK!$E$7=TH!F347),"x","")</f>
        <v/>
      </c>
      <c r="AD347" s="84" t="str">
        <f>IF(AND(N347="1521",MONTH(C347)='BK-NL'!$M$11),"x","")</f>
        <v/>
      </c>
      <c r="AE347" s="1146" t="str">
        <f t="shared" si="61"/>
        <v>x</v>
      </c>
    </row>
    <row r="348" spans="1:31" ht="15.75" hidden="1" customHeight="1">
      <c r="A348" s="336" t="str">
        <f>IF(B348&lt;&gt;"",IF(AND(B348='IN-TC'!$S$4,OR(TH!N348="1111",TH!O348="1111")),TH!D348,""),"")</f>
        <v/>
      </c>
      <c r="B348" s="63">
        <f t="shared" si="60"/>
        <v>4</v>
      </c>
      <c r="C348" s="64">
        <v>42468</v>
      </c>
      <c r="D348" s="1134" t="s">
        <v>679</v>
      </c>
      <c r="E348" s="80">
        <f t="shared" si="59"/>
        <v>42468</v>
      </c>
      <c r="F348" s="81" t="s">
        <v>401</v>
      </c>
      <c r="G348" s="985" t="s">
        <v>1407</v>
      </c>
      <c r="H348" s="966" t="s">
        <v>623</v>
      </c>
      <c r="I348" s="437">
        <v>1250</v>
      </c>
      <c r="J348" s="437">
        <v>18000</v>
      </c>
      <c r="K348" s="428"/>
      <c r="L348" s="437"/>
      <c r="M348" s="83">
        <f t="shared" si="62"/>
        <v>22500000</v>
      </c>
      <c r="N348" s="84" t="s">
        <v>276</v>
      </c>
      <c r="O348" s="84" t="s">
        <v>8</v>
      </c>
      <c r="P348" s="84" t="str">
        <f>IF(AND('331-CT'!$E$7=TH!H348,OR(N348="331",O348="331")),"x","")</f>
        <v/>
      </c>
      <c r="Q348" s="84" t="str">
        <f>IF(AND(B348='111'!$L$11,OR($N348=$Q$7,$O348=$Q$7)),"x","")</f>
        <v/>
      </c>
      <c r="R348" s="84" t="str">
        <f>IF(AND($N348=$Q$7,$B348&lt;'111'!$L$11),"x","")</f>
        <v/>
      </c>
      <c r="S348" s="84" t="str">
        <f>IF(AND($O348=$Q$7,$B348&lt;'111'!$L$11),"x","")</f>
        <v/>
      </c>
      <c r="T348" s="84" t="str">
        <f>IF(ISERROR(FIND('112'!$M$9,G348,1)),"",IF((AND(FIND('112'!$M$9,G348,1)&gt;=1,B348='112'!$K$9,OR($N348='112'!$I$6,$O348='112'!$I$6))),"x",""))</f>
        <v/>
      </c>
      <c r="U348" s="84" t="str">
        <f>IF(ISERROR(FIND('112'!$M$9,G348,1)),"",IF((AND(LEFT(G348,2)=LEFT('112'!$M$9,2),B348&lt;'112'!$K$9,$N348='112'!$I$6)),"x",""))</f>
        <v/>
      </c>
      <c r="V348" s="84" t="str">
        <f>IF(ISERROR(FIND('112'!$M$9,G348,1)),"",IF((AND(RIGHT(G348,2)=RIGHT('112'!$M$9,2),B348&lt;'112'!$K$9,$O348='112'!$I$6)),"x",""))</f>
        <v/>
      </c>
      <c r="W348" s="84" t="str">
        <f>IF(AND('341-CT'!$H$9=H348,OR(LEFT(N348,3)=$W$7,LEFT(O348,3)=$W$7)),"x","")</f>
        <v/>
      </c>
      <c r="X348" s="84" t="str">
        <f>IF(OR(TH!N348=TH!$X$7,O348=TH!$X$7),"x","")</f>
        <v/>
      </c>
      <c r="Y348" s="84" t="str">
        <f>IF(AND(OR(N348="131",O348="131"),H348='131-CT'!$H$9),"x","")</f>
        <v/>
      </c>
      <c r="Z348" s="84"/>
      <c r="AA348" s="84" t="str">
        <f>IF(AND(MONTH(E348)='IN-NX'!$J$5,'IN-NX'!$D$7=D348),"x","")</f>
        <v/>
      </c>
      <c r="AB348" s="84" t="str">
        <f>IF(AND(OR(LEFT(TH!N348,2)="15",LEFT(TH!O348,2)="15"),LEFT(TH!O348,3)&lt;&gt;"111",'152-CT'!$J$8=TH!F348),"x","")</f>
        <v/>
      </c>
      <c r="AC348" s="84" t="str">
        <f>IF(AND(OR(LEFT(TH!N348,2)="15",LEFT(TH!O348,2)="15"),TK!$E$7=TH!F348),"x","")</f>
        <v/>
      </c>
      <c r="AD348" s="84" t="str">
        <f>IF(AND(N348="1521",MONTH(C348)='BK-NL'!$M$11),"x","")</f>
        <v/>
      </c>
      <c r="AE348" s="1146" t="str">
        <f t="shared" si="61"/>
        <v>x</v>
      </c>
    </row>
    <row r="349" spans="1:31" ht="15.75" hidden="1" customHeight="1">
      <c r="A349" s="336" t="str">
        <f>IF(B349&lt;&gt;"",IF(AND(B349='IN-TC'!$S$4,OR(TH!N349="1111",TH!O349="1111")),TH!D349,""),"")</f>
        <v/>
      </c>
      <c r="B349" s="63">
        <f t="shared" si="60"/>
        <v>4</v>
      </c>
      <c r="C349" s="64">
        <v>42468</v>
      </c>
      <c r="D349" s="1134" t="s">
        <v>679</v>
      </c>
      <c r="E349" s="80">
        <f t="shared" si="59"/>
        <v>42468</v>
      </c>
      <c r="F349" s="82" t="s">
        <v>1408</v>
      </c>
      <c r="G349" s="985" t="s">
        <v>1407</v>
      </c>
      <c r="H349" s="966" t="s">
        <v>623</v>
      </c>
      <c r="I349" s="437"/>
      <c r="J349" s="437"/>
      <c r="K349" s="428"/>
      <c r="L349" s="437"/>
      <c r="M349" s="83">
        <v>2250000</v>
      </c>
      <c r="N349" s="84" t="s">
        <v>9</v>
      </c>
      <c r="O349" s="84" t="s">
        <v>8</v>
      </c>
      <c r="P349" s="84" t="str">
        <f>IF(AND('331-CT'!$E$7=TH!H349,OR(N349="331",O349="331")),"x","")</f>
        <v/>
      </c>
      <c r="Q349" s="84" t="str">
        <f>IF(AND(B349='111'!$L$11,OR($N349=$Q$7,$O349=$Q$7)),"x","")</f>
        <v/>
      </c>
      <c r="R349" s="84" t="str">
        <f>IF(AND($N349=$Q$7,$B349&lt;'111'!$L$11),"x","")</f>
        <v/>
      </c>
      <c r="S349" s="84" t="str">
        <f>IF(AND($O349=$Q$7,$B349&lt;'111'!$L$11),"x","")</f>
        <v/>
      </c>
      <c r="T349" s="84" t="str">
        <f>IF(ISERROR(FIND('112'!$M$9,G349,1)),"",IF((AND(FIND('112'!$M$9,G349,1)&gt;=1,B349='112'!$K$9,OR($N349='112'!$I$6,$O349='112'!$I$6))),"x",""))</f>
        <v/>
      </c>
      <c r="U349" s="84" t="str">
        <f>IF(ISERROR(FIND('112'!$M$9,G349,1)),"",IF((AND(LEFT(G349,2)=LEFT('112'!$M$9,2),B349&lt;'112'!$K$9,$N349='112'!$I$6)),"x",""))</f>
        <v/>
      </c>
      <c r="V349" s="84" t="str">
        <f>IF(ISERROR(FIND('112'!$M$9,G349,1)),"",IF((AND(RIGHT(G349,2)=RIGHT('112'!$M$9,2),B349&lt;'112'!$K$9,$O349='112'!$I$6)),"x",""))</f>
        <v/>
      </c>
      <c r="W349" s="84" t="str">
        <f>IF(AND('341-CT'!$H$9=H349,OR(LEFT(N349,3)=$W$7,LEFT(O349,3)=$W$7)),"x","")</f>
        <v/>
      </c>
      <c r="X349" s="84" t="str">
        <f>IF(OR(TH!N349=TH!$X$7,O349=TH!$X$7),"x","")</f>
        <v/>
      </c>
      <c r="Y349" s="84" t="str">
        <f>IF(AND(OR(N349="131",O349="131"),H349='131-CT'!$H$9),"x","")</f>
        <v/>
      </c>
      <c r="Z349" s="84"/>
      <c r="AA349" s="84" t="str">
        <f>IF(AND(MONTH(E349)='IN-NX'!$J$5,'IN-NX'!$D$7=D349),"x","")</f>
        <v/>
      </c>
      <c r="AB349" s="84" t="str">
        <f>IF(AND(OR(LEFT(TH!N349,2)="15",LEFT(TH!O349,2)="15"),LEFT(TH!O349,3)&lt;&gt;"111",'152-CT'!$J$8=TH!F349),"x","")</f>
        <v/>
      </c>
      <c r="AC349" s="84" t="str">
        <f>IF(AND(OR(LEFT(TH!N349,2)="15",LEFT(TH!O349,2)="15"),TK!$E$7=TH!F349),"x","")</f>
        <v/>
      </c>
      <c r="AD349" s="84" t="str">
        <f>IF(AND(N349="1521",MONTH(C349)='BK-NL'!$M$11),"x","")</f>
        <v/>
      </c>
      <c r="AE349" s="1146" t="str">
        <f t="shared" si="61"/>
        <v>x</v>
      </c>
    </row>
    <row r="350" spans="1:31" ht="15.75" hidden="1" customHeight="1">
      <c r="A350" s="336" t="str">
        <f>IF(B350&lt;&gt;"",IF(AND(B350='IN-TC'!$S$4,OR(TH!N350="1111",TH!O350="1111")),TH!D350,""),"")</f>
        <v/>
      </c>
      <c r="B350" s="63">
        <f t="shared" si="60"/>
        <v>4</v>
      </c>
      <c r="C350" s="64">
        <v>42471</v>
      </c>
      <c r="D350" s="1134" t="s">
        <v>680</v>
      </c>
      <c r="E350" s="80">
        <f t="shared" si="59"/>
        <v>42471</v>
      </c>
      <c r="F350" s="82" t="s">
        <v>1409</v>
      </c>
      <c r="G350" s="985" t="s">
        <v>1410</v>
      </c>
      <c r="H350" s="966" t="s">
        <v>1411</v>
      </c>
      <c r="I350" s="437">
        <v>100</v>
      </c>
      <c r="J350" s="437">
        <v>12728</v>
      </c>
      <c r="K350" s="428"/>
      <c r="L350" s="437"/>
      <c r="M350" s="83">
        <f t="shared" si="62"/>
        <v>1272800</v>
      </c>
      <c r="N350" s="84" t="s">
        <v>276</v>
      </c>
      <c r="O350" s="84" t="s">
        <v>8</v>
      </c>
      <c r="P350" s="84" t="str">
        <f>IF(AND('331-CT'!$E$7=TH!H350,OR(N350="331",O350="331")),"x","")</f>
        <v/>
      </c>
      <c r="Q350" s="84" t="str">
        <f>IF(AND(B350='111'!$L$11,OR($N350=$Q$7,$O350=$Q$7)),"x","")</f>
        <v/>
      </c>
      <c r="R350" s="84" t="str">
        <f>IF(AND($N350=$Q$7,$B350&lt;'111'!$L$11),"x","")</f>
        <v/>
      </c>
      <c r="S350" s="84" t="str">
        <f>IF(AND($O350=$Q$7,$B350&lt;'111'!$L$11),"x","")</f>
        <v/>
      </c>
      <c r="T350" s="84" t="str">
        <f>IF(ISERROR(FIND('112'!$M$9,G350,1)),"",IF((AND(FIND('112'!$M$9,G350,1)&gt;=1,B350='112'!$K$9,OR($N350='112'!$I$6,$O350='112'!$I$6))),"x",""))</f>
        <v/>
      </c>
      <c r="U350" s="84" t="str">
        <f>IF(ISERROR(FIND('112'!$M$9,G350,1)),"",IF((AND(LEFT(G350,2)=LEFT('112'!$M$9,2),B350&lt;'112'!$K$9,$N350='112'!$I$6)),"x",""))</f>
        <v/>
      </c>
      <c r="V350" s="84" t="str">
        <f>IF(ISERROR(FIND('112'!$M$9,G350,1)),"",IF((AND(RIGHT(G350,2)=RIGHT('112'!$M$9,2),B350&lt;'112'!$K$9,$O350='112'!$I$6)),"x",""))</f>
        <v/>
      </c>
      <c r="W350" s="84" t="str">
        <f>IF(AND('341-CT'!$H$9=H350,OR(LEFT(N350,3)=$W$7,LEFT(O350,3)=$W$7)),"x","")</f>
        <v/>
      </c>
      <c r="X350" s="84" t="str">
        <f>IF(OR(TH!N350=TH!$X$7,O350=TH!$X$7),"x","")</f>
        <v/>
      </c>
      <c r="Y350" s="84" t="str">
        <f>IF(AND(OR(N350="131",O350="131"),H350='131-CT'!$H$9),"x","")</f>
        <v/>
      </c>
      <c r="Z350" s="84"/>
      <c r="AA350" s="84" t="str">
        <f>IF(AND(MONTH(E350)='IN-NX'!$J$5,'IN-NX'!$D$7=D350),"x","")</f>
        <v/>
      </c>
      <c r="AB350" s="84" t="str">
        <f>IF(AND(OR(LEFT(TH!N350,2)="15",LEFT(TH!O350,2)="15"),LEFT(TH!O350,3)&lt;&gt;"111",'152-CT'!$J$8=TH!F350),"x","")</f>
        <v/>
      </c>
      <c r="AC350" s="84" t="str">
        <f>IF(AND(OR(LEFT(TH!N350,2)="15",LEFT(TH!O350,2)="15"),TK!$E$7=TH!F350),"x","")</f>
        <v/>
      </c>
      <c r="AD350" s="84" t="str">
        <f>IF(AND(N350="1521",MONTH(C350)='BK-NL'!$M$11),"x","")</f>
        <v/>
      </c>
      <c r="AE350" s="1146" t="str">
        <f t="shared" si="61"/>
        <v>x</v>
      </c>
    </row>
    <row r="351" spans="1:31" ht="15.75" hidden="1" customHeight="1">
      <c r="A351" s="336" t="str">
        <f>IF(B351&lt;&gt;"",IF(AND(B351='IN-TC'!$S$4,OR(TH!N351="1111",TH!O351="1111")),TH!D351,""),"")</f>
        <v/>
      </c>
      <c r="B351" s="63">
        <f t="shared" si="60"/>
        <v>4</v>
      </c>
      <c r="C351" s="64">
        <v>42471</v>
      </c>
      <c r="D351" s="1134" t="s">
        <v>680</v>
      </c>
      <c r="E351" s="80">
        <f t="shared" si="59"/>
        <v>42471</v>
      </c>
      <c r="F351" s="82" t="s">
        <v>1412</v>
      </c>
      <c r="G351" s="985" t="s">
        <v>1410</v>
      </c>
      <c r="H351" s="966" t="s">
        <v>1411</v>
      </c>
      <c r="I351" s="437"/>
      <c r="J351" s="437"/>
      <c r="K351" s="428"/>
      <c r="L351" s="437"/>
      <c r="M351" s="83">
        <v>127280</v>
      </c>
      <c r="N351" s="84" t="s">
        <v>9</v>
      </c>
      <c r="O351" s="84" t="s">
        <v>8</v>
      </c>
      <c r="P351" s="84" t="str">
        <f>IF(AND('331-CT'!$E$7=TH!H351,OR(N351="331",O351="331")),"x","")</f>
        <v/>
      </c>
      <c r="Q351" s="84" t="str">
        <f>IF(AND(B351='111'!$L$11,OR($N351=$Q$7,$O351=$Q$7)),"x","")</f>
        <v/>
      </c>
      <c r="R351" s="84" t="str">
        <f>IF(AND($N351=$Q$7,$B351&lt;'111'!$L$11),"x","")</f>
        <v/>
      </c>
      <c r="S351" s="84" t="str">
        <f>IF(AND($O351=$Q$7,$B351&lt;'111'!$L$11),"x","")</f>
        <v/>
      </c>
      <c r="T351" s="84" t="str">
        <f>IF(ISERROR(FIND('112'!$M$9,G351,1)),"",IF((AND(FIND('112'!$M$9,G351,1)&gt;=1,B351='112'!$K$9,OR($N351='112'!$I$6,$O351='112'!$I$6))),"x",""))</f>
        <v/>
      </c>
      <c r="U351" s="84" t="str">
        <f>IF(ISERROR(FIND('112'!$M$9,G351,1)),"",IF((AND(LEFT(G351,2)=LEFT('112'!$M$9,2),B351&lt;'112'!$K$9,$N351='112'!$I$6)),"x",""))</f>
        <v/>
      </c>
      <c r="V351" s="84" t="str">
        <f>IF(ISERROR(FIND('112'!$M$9,G351,1)),"",IF((AND(RIGHT(G351,2)=RIGHT('112'!$M$9,2),B351&lt;'112'!$K$9,$O351='112'!$I$6)),"x",""))</f>
        <v/>
      </c>
      <c r="W351" s="84" t="str">
        <f>IF(AND('341-CT'!$H$9=H351,OR(LEFT(N351,3)=$W$7,LEFT(O351,3)=$W$7)),"x","")</f>
        <v/>
      </c>
      <c r="X351" s="84" t="str">
        <f>IF(OR(TH!N351=TH!$X$7,O351=TH!$X$7),"x","")</f>
        <v/>
      </c>
      <c r="Y351" s="84" t="str">
        <f>IF(AND(OR(N351="131",O351="131"),H351='131-CT'!$H$9),"x","")</f>
        <v/>
      </c>
      <c r="Z351" s="84"/>
      <c r="AA351" s="84" t="str">
        <f>IF(AND(MONTH(E351)='IN-NX'!$J$5,'IN-NX'!$D$7=D351),"x","")</f>
        <v/>
      </c>
      <c r="AB351" s="84" t="str">
        <f>IF(AND(OR(LEFT(TH!N351,2)="15",LEFT(TH!O351,2)="15"),LEFT(TH!O351,3)&lt;&gt;"111",'152-CT'!$J$8=TH!F351),"x","")</f>
        <v/>
      </c>
      <c r="AC351" s="84" t="str">
        <f>IF(AND(OR(LEFT(TH!N351,2)="15",LEFT(TH!O351,2)="15"),TK!$E$7=TH!F351),"x","")</f>
        <v/>
      </c>
      <c r="AD351" s="84" t="str">
        <f>IF(AND(N351="1521",MONTH(C351)='BK-NL'!$M$11),"x","")</f>
        <v/>
      </c>
      <c r="AE351" s="1146" t="str">
        <f t="shared" si="61"/>
        <v>x</v>
      </c>
    </row>
    <row r="352" spans="1:31" ht="15.75" hidden="1" customHeight="1">
      <c r="A352" s="336" t="str">
        <f>IF(B352&lt;&gt;"",IF(AND(B352='IN-TC'!$S$4,OR(TH!N352="1111",TH!O352="1111")),TH!D352,""),"")</f>
        <v/>
      </c>
      <c r="B352" s="63">
        <f t="shared" si="60"/>
        <v>4</v>
      </c>
      <c r="C352" s="64">
        <v>42471</v>
      </c>
      <c r="D352" s="1134" t="s">
        <v>681</v>
      </c>
      <c r="E352" s="80">
        <f t="shared" si="59"/>
        <v>42471</v>
      </c>
      <c r="F352" s="82" t="s">
        <v>356</v>
      </c>
      <c r="G352" s="985" t="s">
        <v>1413</v>
      </c>
      <c r="H352" s="82" t="s">
        <v>626</v>
      </c>
      <c r="I352" s="437">
        <v>6750</v>
      </c>
      <c r="J352" s="437">
        <v>14728</v>
      </c>
      <c r="K352" s="428"/>
      <c r="L352" s="437"/>
      <c r="M352" s="83">
        <f t="shared" si="62"/>
        <v>99414000</v>
      </c>
      <c r="N352" s="84" t="s">
        <v>276</v>
      </c>
      <c r="O352" s="84" t="s">
        <v>8</v>
      </c>
      <c r="P352" s="84" t="str">
        <f>IF(AND('331-CT'!$E$7=TH!H352,OR(N352="331",O352="331")),"x","")</f>
        <v/>
      </c>
      <c r="Q352" s="84" t="str">
        <f>IF(AND(B352='111'!$L$11,OR($N352=$Q$7,$O352=$Q$7)),"x","")</f>
        <v/>
      </c>
      <c r="R352" s="84" t="str">
        <f>IF(AND($N352=$Q$7,$B352&lt;'111'!$L$11),"x","")</f>
        <v/>
      </c>
      <c r="S352" s="84" t="str">
        <f>IF(AND($O352=$Q$7,$B352&lt;'111'!$L$11),"x","")</f>
        <v/>
      </c>
      <c r="T352" s="84" t="str">
        <f>IF(ISERROR(FIND('112'!$M$9,G352,1)),"",IF((AND(FIND('112'!$M$9,G352,1)&gt;=1,B352='112'!$K$9,OR($N352='112'!$I$6,$O352='112'!$I$6))),"x",""))</f>
        <v/>
      </c>
      <c r="U352" s="84" t="str">
        <f>IF(ISERROR(FIND('112'!$M$9,G352,1)),"",IF((AND(LEFT(G352,2)=LEFT('112'!$M$9,2),B352&lt;'112'!$K$9,$N352='112'!$I$6)),"x",""))</f>
        <v/>
      </c>
      <c r="V352" s="84" t="str">
        <f>IF(ISERROR(FIND('112'!$M$9,G352,1)),"",IF((AND(RIGHT(G352,2)=RIGHT('112'!$M$9,2),B352&lt;'112'!$K$9,$O352='112'!$I$6)),"x",""))</f>
        <v/>
      </c>
      <c r="W352" s="84" t="str">
        <f>IF(AND('341-CT'!$H$9=H352,OR(LEFT(N352,3)=$W$7,LEFT(O352,3)=$W$7)),"x","")</f>
        <v/>
      </c>
      <c r="X352" s="84" t="str">
        <f>IF(OR(TH!N352=TH!$X$7,O352=TH!$X$7),"x","")</f>
        <v/>
      </c>
      <c r="Y352" s="84" t="str">
        <f>IF(AND(OR(N352="131",O352="131"),H352='131-CT'!$H$9),"x","")</f>
        <v/>
      </c>
      <c r="Z352" s="84"/>
      <c r="AA352" s="84" t="str">
        <f>IF(AND(MONTH(E352)='IN-NX'!$J$5,'IN-NX'!$D$7=D352),"x","")</f>
        <v/>
      </c>
      <c r="AB352" s="84" t="str">
        <f>IF(AND(OR(LEFT(TH!N352,2)="15",LEFT(TH!O352,2)="15"),LEFT(TH!O352,3)&lt;&gt;"111",'152-CT'!$J$8=TH!F352),"x","")</f>
        <v/>
      </c>
      <c r="AC352" s="84" t="str">
        <f>IF(AND(OR(LEFT(TH!N352,2)="15",LEFT(TH!O352,2)="15"),TK!$E$7=TH!F352),"x","")</f>
        <v/>
      </c>
      <c r="AD352" s="84" t="str">
        <f>IF(AND(N352="1521",MONTH(C352)='BK-NL'!$M$11),"x","")</f>
        <v/>
      </c>
      <c r="AE352" s="1146" t="str">
        <f t="shared" si="61"/>
        <v>x</v>
      </c>
    </row>
    <row r="353" spans="1:31" ht="15.75" hidden="1" customHeight="1">
      <c r="A353" s="336" t="str">
        <f>IF(B353&lt;&gt;"",IF(AND(B353='IN-TC'!$S$4,OR(TH!N353="1111",TH!O353="1111")),TH!D353,""),"")</f>
        <v/>
      </c>
      <c r="B353" s="63">
        <f t="shared" si="60"/>
        <v>4</v>
      </c>
      <c r="C353" s="64">
        <v>42471</v>
      </c>
      <c r="D353" s="1134" t="s">
        <v>681</v>
      </c>
      <c r="E353" s="80">
        <f t="shared" si="59"/>
        <v>42471</v>
      </c>
      <c r="F353" s="82" t="s">
        <v>1414</v>
      </c>
      <c r="G353" s="985" t="s">
        <v>1413</v>
      </c>
      <c r="H353" s="82" t="s">
        <v>626</v>
      </c>
      <c r="I353" s="437"/>
      <c r="J353" s="437"/>
      <c r="K353" s="428"/>
      <c r="L353" s="437"/>
      <c r="M353" s="83">
        <v>9941400</v>
      </c>
      <c r="N353" s="84" t="s">
        <v>9</v>
      </c>
      <c r="O353" s="84" t="s">
        <v>8</v>
      </c>
      <c r="P353" s="84" t="str">
        <f>IF(AND('331-CT'!$E$7=TH!H353,OR(N353="331",O353="331")),"x","")</f>
        <v/>
      </c>
      <c r="Q353" s="84" t="str">
        <f>IF(AND(B353='111'!$L$11,OR($N353=$Q$7,$O353=$Q$7)),"x","")</f>
        <v/>
      </c>
      <c r="R353" s="84" t="str">
        <f>IF(AND($N353=$Q$7,$B353&lt;'111'!$L$11),"x","")</f>
        <v/>
      </c>
      <c r="S353" s="84" t="str">
        <f>IF(AND($O353=$Q$7,$B353&lt;'111'!$L$11),"x","")</f>
        <v/>
      </c>
      <c r="T353" s="84" t="str">
        <f>IF(ISERROR(FIND('112'!$M$9,G353,1)),"",IF((AND(FIND('112'!$M$9,G353,1)&gt;=1,B353='112'!$K$9,OR($N353='112'!$I$6,$O353='112'!$I$6))),"x",""))</f>
        <v/>
      </c>
      <c r="U353" s="84" t="str">
        <f>IF(ISERROR(FIND('112'!$M$9,G353,1)),"",IF((AND(LEFT(G353,2)=LEFT('112'!$M$9,2),B353&lt;'112'!$K$9,$N353='112'!$I$6)),"x",""))</f>
        <v/>
      </c>
      <c r="V353" s="84" t="str">
        <f>IF(ISERROR(FIND('112'!$M$9,G353,1)),"",IF((AND(RIGHT(G353,2)=RIGHT('112'!$M$9,2),B353&lt;'112'!$K$9,$O353='112'!$I$6)),"x",""))</f>
        <v/>
      </c>
      <c r="W353" s="84" t="str">
        <f>IF(AND('341-CT'!$H$9=H353,OR(LEFT(N353,3)=$W$7,LEFT(O353,3)=$W$7)),"x","")</f>
        <v/>
      </c>
      <c r="X353" s="84" t="str">
        <f>IF(OR(TH!N353=TH!$X$7,O353=TH!$X$7),"x","")</f>
        <v/>
      </c>
      <c r="Y353" s="84" t="str">
        <f>IF(AND(OR(N353="131",O353="131"),H353='131-CT'!$H$9),"x","")</f>
        <v/>
      </c>
      <c r="Z353" s="84"/>
      <c r="AA353" s="84" t="str">
        <f>IF(AND(MONTH(E353)='IN-NX'!$J$5,'IN-NX'!$D$7=D353),"x","")</f>
        <v/>
      </c>
      <c r="AB353" s="84" t="str">
        <f>IF(AND(OR(LEFT(TH!N353,2)="15",LEFT(TH!O353,2)="15"),LEFT(TH!O353,3)&lt;&gt;"111",'152-CT'!$J$8=TH!F353),"x","")</f>
        <v/>
      </c>
      <c r="AC353" s="84" t="str">
        <f>IF(AND(OR(LEFT(TH!N353,2)="15",LEFT(TH!O353,2)="15"),TK!$E$7=TH!F353),"x","")</f>
        <v/>
      </c>
      <c r="AD353" s="84" t="str">
        <f>IF(AND(N353="1521",MONTH(C353)='BK-NL'!$M$11),"x","")</f>
        <v/>
      </c>
      <c r="AE353" s="1146" t="str">
        <f t="shared" si="61"/>
        <v>x</v>
      </c>
    </row>
    <row r="354" spans="1:31" s="351" customFormat="1" ht="15.75" hidden="1" customHeight="1">
      <c r="A354" s="336" t="str">
        <f>IF(B354&lt;&gt;"",IF(AND(B354='IN-TC'!$S$4,OR(TH!N354="1111",TH!O354="1111")),TH!D354,""),"")</f>
        <v/>
      </c>
      <c r="B354" s="63">
        <f>IF(C354&lt;&gt;"",MONTH(C354),"")</f>
        <v>4</v>
      </c>
      <c r="C354" s="64">
        <v>42486</v>
      </c>
      <c r="D354" s="80" t="s">
        <v>682</v>
      </c>
      <c r="E354" s="80">
        <f t="shared" si="59"/>
        <v>42486</v>
      </c>
      <c r="F354" s="82" t="s">
        <v>653</v>
      </c>
      <c r="G354" s="985" t="s">
        <v>1422</v>
      </c>
      <c r="H354" s="82" t="s">
        <v>1423</v>
      </c>
      <c r="I354" s="437">
        <v>2000</v>
      </c>
      <c r="J354" s="437">
        <v>14000</v>
      </c>
      <c r="K354" s="428"/>
      <c r="L354" s="437"/>
      <c r="M354" s="83">
        <f>ROUND(I354*J354,0)</f>
        <v>28000000</v>
      </c>
      <c r="N354" s="1128" t="s">
        <v>276</v>
      </c>
      <c r="O354" s="84" t="s">
        <v>8</v>
      </c>
      <c r="P354" s="84" t="str">
        <f>IF(AND('331-CT'!$E$7=TH!H354,OR(N354="331",O354="331")),"x","")</f>
        <v/>
      </c>
      <c r="Q354" s="84" t="str">
        <f>IF(AND(B354='111'!$L$11,OR($N354=$Q$7,$O354=$Q$7)),"x","")</f>
        <v/>
      </c>
      <c r="R354" s="84" t="str">
        <f>IF(AND($N354=$Q$7,$B354&lt;'111'!$L$11),"x","")</f>
        <v/>
      </c>
      <c r="S354" s="84" t="str">
        <f>IF(AND($O354=$Q$7,$B354&lt;'111'!$L$11),"x","")</f>
        <v/>
      </c>
      <c r="T354" s="84" t="str">
        <f>IF(ISERROR(FIND('112'!$M$9,G354,1)),"",IF((AND(FIND('112'!$M$9,G354,1)&gt;=1,B354='112'!$K$9,OR($N354='112'!$I$6,$O354='112'!$I$6))),"x",""))</f>
        <v/>
      </c>
      <c r="U354" s="84" t="str">
        <f>IF(ISERROR(FIND('112'!$M$9,G354,1)),"",IF((AND(LEFT(G354,2)=LEFT('112'!$M$9,2),B354&lt;'112'!$K$9,$N354='112'!$I$6)),"x",""))</f>
        <v/>
      </c>
      <c r="V354" s="84" t="str">
        <f>IF(ISERROR(FIND('112'!$M$9,G354,1)),"",IF((AND(RIGHT(G354,2)=RIGHT('112'!$M$9,2),B354&lt;'112'!$K$9,$O354='112'!$I$6)),"x",""))</f>
        <v/>
      </c>
      <c r="W354" s="84" t="str">
        <f>IF(AND('341-CT'!$H$9=H354,OR(LEFT(N354,3)=$W$7,LEFT(O354,3)=$W$7)),"x","")</f>
        <v/>
      </c>
      <c r="X354" s="84" t="str">
        <f>IF(OR(TH!N354=TH!$X$7,O354=TH!$X$7),"x","")</f>
        <v/>
      </c>
      <c r="Y354" s="84" t="str">
        <f>IF(AND(OR(N354="131",O354="131"),H354='131-CT'!$H$9),"x","")</f>
        <v/>
      </c>
      <c r="Z354" s="84"/>
      <c r="AA354" s="84" t="str">
        <f>IF(AND(MONTH(E354)='IN-NX'!$J$5,'IN-NX'!$D$7=D354),"x","")</f>
        <v/>
      </c>
      <c r="AB354" s="84" t="str">
        <f>IF(AND(OR(LEFT(TH!N354,2)="15",LEFT(TH!O354,2)="15"),LEFT(TH!O354,3)&lt;&gt;"111",'152-CT'!$J$8=TH!F354),"x","")</f>
        <v/>
      </c>
      <c r="AC354" s="84" t="str">
        <f>IF(AND(OR(LEFT(TH!N354,2)="15",LEFT(TH!O354,2)="15"),TK!$E$7=TH!F354),"x","")</f>
        <v/>
      </c>
      <c r="AD354" s="84" t="str">
        <f>IF(AND(N354="1521",MONTH(C354)='BK-NL'!$M$11),"x","")</f>
        <v/>
      </c>
      <c r="AE354" s="1146" t="str">
        <f t="shared" si="61"/>
        <v>x</v>
      </c>
    </row>
    <row r="355" spans="1:31" s="351" customFormat="1" ht="15.75" hidden="1" customHeight="1">
      <c r="A355" s="336" t="str">
        <f>IF(B355&lt;&gt;"",IF(AND(B355='IN-TC'!$S$4,OR(TH!N355="1111",TH!O355="1111")),TH!D355,""),"")</f>
        <v/>
      </c>
      <c r="B355" s="63">
        <f>IF(C355&lt;&gt;"",MONTH(C355),"")</f>
        <v>4</v>
      </c>
      <c r="C355" s="64">
        <v>42486</v>
      </c>
      <c r="D355" s="80" t="s">
        <v>682</v>
      </c>
      <c r="E355" s="80">
        <f t="shared" si="59"/>
        <v>42486</v>
      </c>
      <c r="F355" s="82" t="s">
        <v>654</v>
      </c>
      <c r="G355" s="985" t="s">
        <v>1422</v>
      </c>
      <c r="H355" s="82" t="s">
        <v>1423</v>
      </c>
      <c r="I355" s="437"/>
      <c r="J355" s="437"/>
      <c r="K355" s="428"/>
      <c r="L355" s="437"/>
      <c r="M355" s="83">
        <v>2800000</v>
      </c>
      <c r="N355" s="1128" t="s">
        <v>9</v>
      </c>
      <c r="O355" s="84" t="s">
        <v>8</v>
      </c>
      <c r="P355" s="84" t="str">
        <f>IF(AND('331-CT'!$E$7=TH!H355,OR(N355="331",O355="331")),"x","")</f>
        <v/>
      </c>
      <c r="Q355" s="84" t="str">
        <f>IF(AND(B355='111'!$L$11,OR($N355=$Q$7,$O355=$Q$7)),"x","")</f>
        <v/>
      </c>
      <c r="R355" s="84" t="str">
        <f>IF(AND($N355=$Q$7,$B355&lt;'111'!$L$11),"x","")</f>
        <v/>
      </c>
      <c r="S355" s="84" t="str">
        <f>IF(AND($O355=$Q$7,$B355&lt;'111'!$L$11),"x","")</f>
        <v/>
      </c>
      <c r="T355" s="84" t="str">
        <f>IF(ISERROR(FIND('112'!$M$9,G355,1)),"",IF((AND(FIND('112'!$M$9,G355,1)&gt;=1,B355='112'!$K$9,OR($N355='112'!$I$6,$O355='112'!$I$6))),"x",""))</f>
        <v/>
      </c>
      <c r="U355" s="84" t="str">
        <f>IF(ISERROR(FIND('112'!$M$9,G355,1)),"",IF((AND(LEFT(G355,2)=LEFT('112'!$M$9,2),B355&lt;'112'!$K$9,$N355='112'!$I$6)),"x",""))</f>
        <v/>
      </c>
      <c r="V355" s="84" t="str">
        <f>IF(ISERROR(FIND('112'!$M$9,G355,1)),"",IF((AND(RIGHT(G355,2)=RIGHT('112'!$M$9,2),B355&lt;'112'!$K$9,$O355='112'!$I$6)),"x",""))</f>
        <v/>
      </c>
      <c r="W355" s="84" t="str">
        <f>IF(AND('341-CT'!$H$9=H355,OR(LEFT(N355,3)=$W$7,LEFT(O355,3)=$W$7)),"x","")</f>
        <v/>
      </c>
      <c r="X355" s="84" t="str">
        <f>IF(OR(TH!N355=TH!$X$7,O355=TH!$X$7),"x","")</f>
        <v/>
      </c>
      <c r="Y355" s="84" t="str">
        <f>IF(AND(OR(N355="131",O355="131"),H355='131-CT'!$H$9),"x","")</f>
        <v/>
      </c>
      <c r="Z355" s="84"/>
      <c r="AA355" s="84" t="str">
        <f>IF(AND(MONTH(E355)='IN-NX'!$J$5,'IN-NX'!$D$7=D355),"x","")</f>
        <v/>
      </c>
      <c r="AB355" s="84" t="str">
        <f>IF(AND(OR(LEFT(TH!N355,2)="15",LEFT(TH!O355,2)="15"),LEFT(TH!O355,3)&lt;&gt;"111",'152-CT'!$J$8=TH!F355),"x","")</f>
        <v/>
      </c>
      <c r="AC355" s="84" t="str">
        <f>IF(AND(OR(LEFT(TH!N355,2)="15",LEFT(TH!O355,2)="15"),TK!$E$7=TH!F355),"x","")</f>
        <v/>
      </c>
      <c r="AD355" s="84" t="str">
        <f>IF(AND(N355="1521",MONTH(C355)='BK-NL'!$M$11),"x","")</f>
        <v/>
      </c>
      <c r="AE355" s="1146" t="str">
        <f t="shared" si="61"/>
        <v>x</v>
      </c>
    </row>
    <row r="356" spans="1:31" s="351" customFormat="1" ht="15.75" hidden="1" customHeight="1">
      <c r="A356" s="336" t="str">
        <f>IF(B356&lt;&gt;"",IF(AND(B356='IN-TC'!$S$4,OR(TH!N356="1111",TH!O356="1111")),TH!D356,""),"")</f>
        <v/>
      </c>
      <c r="B356" s="63">
        <f>IF(C356&lt;&gt;"",MONTH(C356),"")</f>
        <v>4</v>
      </c>
      <c r="C356" s="64">
        <v>42488</v>
      </c>
      <c r="D356" s="80" t="s">
        <v>1441</v>
      </c>
      <c r="E356" s="80">
        <f t="shared" si="59"/>
        <v>42488</v>
      </c>
      <c r="F356" s="81" t="s">
        <v>401</v>
      </c>
      <c r="G356" s="985" t="s">
        <v>1442</v>
      </c>
      <c r="H356" s="82" t="s">
        <v>623</v>
      </c>
      <c r="I356" s="437">
        <v>578</v>
      </c>
      <c r="J356" s="437">
        <v>18000</v>
      </c>
      <c r="K356" s="428"/>
      <c r="L356" s="437"/>
      <c r="M356" s="83">
        <f>ROUND(I356*J356,0)</f>
        <v>10404000</v>
      </c>
      <c r="N356" s="1128" t="s">
        <v>276</v>
      </c>
      <c r="O356" s="84" t="s">
        <v>8</v>
      </c>
      <c r="P356" s="84" t="str">
        <f>IF(AND('331-CT'!$E$7=TH!H356,OR(N356="331",O356="331")),"x","")</f>
        <v/>
      </c>
      <c r="Q356" s="84" t="str">
        <f>IF(AND(B356='111'!$L$11,OR($N356=$Q$7,$O356=$Q$7)),"x","")</f>
        <v/>
      </c>
      <c r="R356" s="84" t="str">
        <f>IF(AND($N356=$Q$7,$B356&lt;'111'!$L$11),"x","")</f>
        <v/>
      </c>
      <c r="S356" s="84" t="str">
        <f>IF(AND($O356=$Q$7,$B356&lt;'111'!$L$11),"x","")</f>
        <v/>
      </c>
      <c r="T356" s="84" t="str">
        <f>IF(ISERROR(FIND('112'!$M$9,G356,1)),"",IF((AND(FIND('112'!$M$9,G356,1)&gt;=1,B356='112'!$K$9,OR($N356='112'!$I$6,$O356='112'!$I$6))),"x",""))</f>
        <v/>
      </c>
      <c r="U356" s="84" t="str">
        <f>IF(ISERROR(FIND('112'!$M$9,G356,1)),"",IF((AND(LEFT(G356,2)=LEFT('112'!$M$9,2),B356&lt;'112'!$K$9,$N356='112'!$I$6)),"x",""))</f>
        <v/>
      </c>
      <c r="V356" s="84" t="str">
        <f>IF(ISERROR(FIND('112'!$M$9,G356,1)),"",IF((AND(RIGHT(G356,2)=RIGHT('112'!$M$9,2),B356&lt;'112'!$K$9,$O356='112'!$I$6)),"x",""))</f>
        <v/>
      </c>
      <c r="W356" s="84" t="str">
        <f>IF(AND('341-CT'!$H$9=H356,OR(LEFT(N356,3)=$W$7,LEFT(O356,3)=$W$7)),"x","")</f>
        <v/>
      </c>
      <c r="X356" s="84" t="str">
        <f>IF(OR(TH!N356=TH!$X$7,O356=TH!$X$7),"x","")</f>
        <v/>
      </c>
      <c r="Y356" s="84" t="str">
        <f>IF(AND(OR(N356="131",O356="131"),H356='131-CT'!$H$9),"x","")</f>
        <v/>
      </c>
      <c r="Z356" s="84"/>
      <c r="AA356" s="84" t="str">
        <f>IF(AND(MONTH(E356)='IN-NX'!$J$5,'IN-NX'!$D$7=D356),"x","")</f>
        <v/>
      </c>
      <c r="AB356" s="84" t="str">
        <f>IF(AND(OR(LEFT(TH!N356,2)="15",LEFT(TH!O356,2)="15"),LEFT(TH!O356,3)&lt;&gt;"111",'152-CT'!$J$8=TH!F356),"x","")</f>
        <v/>
      </c>
      <c r="AC356" s="84" t="str">
        <f>IF(AND(OR(LEFT(TH!N356,2)="15",LEFT(TH!O356,2)="15"),TK!$E$7=TH!F356),"x","")</f>
        <v/>
      </c>
      <c r="AD356" s="84" t="str">
        <f>IF(AND(N356="1521",MONTH(C356)='BK-NL'!$M$11),"x","")</f>
        <v/>
      </c>
      <c r="AE356" s="1146" t="str">
        <f t="shared" si="61"/>
        <v>x</v>
      </c>
    </row>
    <row r="357" spans="1:31" s="351" customFormat="1" ht="15.75" hidden="1" customHeight="1">
      <c r="A357" s="336" t="str">
        <f>IF(B357&lt;&gt;"",IF(AND(B357='IN-TC'!$S$4,OR(TH!N357="1111",TH!O357="1111")),TH!D357,""),"")</f>
        <v/>
      </c>
      <c r="B357" s="63">
        <f>IF(C357&lt;&gt;"",MONTH(C357),"")</f>
        <v>4</v>
      </c>
      <c r="C357" s="64">
        <v>42488</v>
      </c>
      <c r="D357" s="80" t="s">
        <v>1441</v>
      </c>
      <c r="E357" s="80">
        <f t="shared" si="59"/>
        <v>42488</v>
      </c>
      <c r="F357" s="82" t="s">
        <v>1408</v>
      </c>
      <c r="G357" s="985" t="s">
        <v>1442</v>
      </c>
      <c r="H357" s="82" t="s">
        <v>623</v>
      </c>
      <c r="I357" s="437"/>
      <c r="J357" s="437"/>
      <c r="K357" s="428"/>
      <c r="L357" s="437"/>
      <c r="M357" s="83">
        <v>1040400</v>
      </c>
      <c r="N357" s="1128" t="s">
        <v>9</v>
      </c>
      <c r="O357" s="84" t="s">
        <v>8</v>
      </c>
      <c r="P357" s="84" t="str">
        <f>IF(AND('331-CT'!$E$7=TH!H357,OR(N357="331",O357="331")),"x","")</f>
        <v/>
      </c>
      <c r="Q357" s="84" t="str">
        <f>IF(AND(B357='111'!$L$11,OR($N357=$Q$7,$O357=$Q$7)),"x","")</f>
        <v/>
      </c>
      <c r="R357" s="84" t="str">
        <f>IF(AND($N357=$Q$7,$B357&lt;'111'!$L$11),"x","")</f>
        <v/>
      </c>
      <c r="S357" s="84" t="str">
        <f>IF(AND($O357=$Q$7,$B357&lt;'111'!$L$11),"x","")</f>
        <v/>
      </c>
      <c r="T357" s="84" t="str">
        <f>IF(ISERROR(FIND('112'!$M$9,G357,1)),"",IF((AND(FIND('112'!$M$9,G357,1)&gt;=1,B357='112'!$K$9,OR($N357='112'!$I$6,$O357='112'!$I$6))),"x",""))</f>
        <v/>
      </c>
      <c r="U357" s="84" t="str">
        <f>IF(ISERROR(FIND('112'!$M$9,G357,1)),"",IF((AND(LEFT(G357,2)=LEFT('112'!$M$9,2),B357&lt;'112'!$K$9,$N357='112'!$I$6)),"x",""))</f>
        <v/>
      </c>
      <c r="V357" s="84" t="str">
        <f>IF(ISERROR(FIND('112'!$M$9,G357,1)),"",IF((AND(RIGHT(G357,2)=RIGHT('112'!$M$9,2),B357&lt;'112'!$K$9,$O357='112'!$I$6)),"x",""))</f>
        <v/>
      </c>
      <c r="W357" s="84" t="str">
        <f>IF(AND('341-CT'!$H$9=H357,OR(LEFT(N357,3)=$W$7,LEFT(O357,3)=$W$7)),"x","")</f>
        <v/>
      </c>
      <c r="X357" s="84" t="str">
        <f>IF(OR(TH!N357=TH!$X$7,O357=TH!$X$7),"x","")</f>
        <v/>
      </c>
      <c r="Y357" s="84" t="str">
        <f>IF(AND(OR(N357="131",O357="131"),H357='131-CT'!$H$9),"x","")</f>
        <v/>
      </c>
      <c r="Z357" s="84"/>
      <c r="AA357" s="84" t="str">
        <f>IF(AND(MONTH(E357)='IN-NX'!$J$5,'IN-NX'!$D$7=D357),"x","")</f>
        <v/>
      </c>
      <c r="AB357" s="84" t="str">
        <f>IF(AND(OR(LEFT(TH!N357,2)="15",LEFT(TH!O357,2)="15"),LEFT(TH!O357,3)&lt;&gt;"111",'152-CT'!$J$8=TH!F357),"x","")</f>
        <v/>
      </c>
      <c r="AC357" s="84" t="str">
        <f>IF(AND(OR(LEFT(TH!N357,2)="15",LEFT(TH!O357,2)="15"),TK!$E$7=TH!F357),"x","")</f>
        <v/>
      </c>
      <c r="AD357" s="84" t="str">
        <f>IF(AND(N357="1521",MONTH(C357)='BK-NL'!$M$11),"x","")</f>
        <v/>
      </c>
      <c r="AE357" s="1146" t="str">
        <f t="shared" si="61"/>
        <v>x</v>
      </c>
    </row>
    <row r="358" spans="1:31" s="341" customFormat="1" ht="15.75" hidden="1" customHeight="1">
      <c r="A358" s="336" t="str">
        <f>IF(B358&lt;&gt;"",IF(AND(B358='IN-TC'!$S$4,OR(TH!N358="1111",TH!O358="1111")),TH!D358,""),"")</f>
        <v/>
      </c>
      <c r="B358" s="63">
        <f t="shared" ref="B358:B365" si="63">IF(C358&lt;&gt;"",MONTH(C358),"")</f>
        <v>4</v>
      </c>
      <c r="C358" s="64">
        <v>42461</v>
      </c>
      <c r="D358" s="64" t="s">
        <v>686</v>
      </c>
      <c r="E358" s="64">
        <f t="shared" si="59"/>
        <v>42461</v>
      </c>
      <c r="F358" s="67" t="s">
        <v>339</v>
      </c>
      <c r="G358" s="982"/>
      <c r="H358" s="73" t="s">
        <v>449</v>
      </c>
      <c r="I358" s="439">
        <v>20</v>
      </c>
      <c r="J358" s="439">
        <v>35444.444444444445</v>
      </c>
      <c r="K358" s="430"/>
      <c r="L358" s="439"/>
      <c r="M358" s="65">
        <f t="shared" ref="M358:M365" si="64">ROUND(I358*J358,0)</f>
        <v>708889</v>
      </c>
      <c r="N358" s="66" t="s">
        <v>282</v>
      </c>
      <c r="O358" s="66" t="s">
        <v>276</v>
      </c>
      <c r="P358" s="84" t="str">
        <f>IF(AND('331-CT'!$E$7=TH!H358,OR(N358="331",O358="331")),"x","")</f>
        <v/>
      </c>
      <c r="Q358" s="84" t="str">
        <f>IF(AND(B358='111'!$L$11,OR($N358=$Q$7,$O358=$Q$7)),"x","")</f>
        <v/>
      </c>
      <c r="R358" s="84" t="str">
        <f>IF(AND($N358=$Q$7,$B358&lt;'111'!$L$11),"x","")</f>
        <v/>
      </c>
      <c r="S358" s="84" t="str">
        <f>IF(AND($O358=$Q$7,$B358&lt;'111'!$L$11),"x","")</f>
        <v/>
      </c>
      <c r="T358" s="84" t="str">
        <f>IF(ISERROR(FIND('112'!$M$9,G358,1)),"",IF((AND(FIND('112'!$M$9,G358,1)&gt;=1,B358='112'!$K$9,OR($N358='112'!$I$6,$O358='112'!$I$6))),"x",""))</f>
        <v/>
      </c>
      <c r="U358" s="84" t="str">
        <f>IF(ISERROR(FIND('112'!$M$9,G358,1)),"",IF((AND(LEFT(G358,2)=LEFT('112'!$M$9,2),B358&lt;'112'!$K$9,$N358='112'!$I$6)),"x",""))</f>
        <v/>
      </c>
      <c r="V358" s="84" t="str">
        <f>IF(ISERROR(FIND('112'!$M$9,G358,1)),"",IF((AND(RIGHT(G358,2)=RIGHT('112'!$M$9,2),B358&lt;'112'!$K$9,$O358='112'!$I$6)),"x",""))</f>
        <v/>
      </c>
      <c r="W358" s="84" t="str">
        <f>IF(AND('341-CT'!$H$9=H358,OR(LEFT(N358,3)=$W$7,LEFT(O358,3)=$W$7)),"x","")</f>
        <v/>
      </c>
      <c r="X358" s="84" t="str">
        <f>IF(OR(TH!N358=TH!$X$7,O358=TH!$X$7),"x","")</f>
        <v/>
      </c>
      <c r="Y358" s="84" t="str">
        <f>IF(AND(OR(N358="131",O358="131"),H358='131-CT'!$H$9),"x","")</f>
        <v/>
      </c>
      <c r="Z358" s="84"/>
      <c r="AA358" s="84" t="str">
        <f>IF(AND(MONTH(E358)='IN-NX'!$J$5,'IN-NX'!$D$7=D358),"x","")</f>
        <v/>
      </c>
      <c r="AB358" s="84" t="str">
        <f>IF(AND(OR(LEFT(TH!N358,2)="15",LEFT(TH!O358,2)="15"),LEFT(TH!O358,3)&lt;&gt;"111",'152-CT'!$J$8=TH!F358),"x","")</f>
        <v/>
      </c>
      <c r="AC358" s="84" t="str">
        <f>IF(AND(OR(LEFT(TH!N358,2)="15",LEFT(TH!O358,2)="15"),TK!$E$7=TH!F358),"x","")</f>
        <v/>
      </c>
      <c r="AD358" s="84" t="str">
        <f>IF(AND(N358="1521",MONTH(C358)='BK-NL'!$M$11),"x","")</f>
        <v/>
      </c>
    </row>
    <row r="359" spans="1:31" s="341" customFormat="1" ht="15.75" hidden="1" customHeight="1">
      <c r="A359" s="336" t="str">
        <f>IF(B359&lt;&gt;"",IF(AND(B359='IN-TC'!$S$4,OR(TH!N359="1111",TH!O359="1111")),TH!D359,""),"")</f>
        <v/>
      </c>
      <c r="B359" s="63">
        <f t="shared" si="63"/>
        <v>4</v>
      </c>
      <c r="C359" s="64">
        <v>42461</v>
      </c>
      <c r="D359" s="64" t="s">
        <v>686</v>
      </c>
      <c r="E359" s="64">
        <f t="shared" ref="E359:E365" si="65">C359</f>
        <v>42461</v>
      </c>
      <c r="F359" s="67" t="s">
        <v>345</v>
      </c>
      <c r="G359" s="982"/>
      <c r="H359" s="73" t="s">
        <v>449</v>
      </c>
      <c r="I359" s="439">
        <v>50</v>
      </c>
      <c r="J359" s="439">
        <v>46741.2</v>
      </c>
      <c r="K359" s="430"/>
      <c r="L359" s="439"/>
      <c r="M359" s="65">
        <f t="shared" si="64"/>
        <v>2337060</v>
      </c>
      <c r="N359" s="66" t="s">
        <v>282</v>
      </c>
      <c r="O359" s="66" t="s">
        <v>276</v>
      </c>
      <c r="P359" s="84" t="str">
        <f>IF(AND('331-CT'!$E$7=TH!H359,OR(N359="331",O359="331")),"x","")</f>
        <v/>
      </c>
      <c r="Q359" s="84" t="str">
        <f>IF(AND(B359='111'!$L$11,OR($N359=$Q$7,$O359=$Q$7)),"x","")</f>
        <v/>
      </c>
      <c r="R359" s="84" t="str">
        <f>IF(AND($N359=$Q$7,$B359&lt;'111'!$L$11),"x","")</f>
        <v/>
      </c>
      <c r="S359" s="84" t="str">
        <f>IF(AND($O359=$Q$7,$B359&lt;'111'!$L$11),"x","")</f>
        <v/>
      </c>
      <c r="T359" s="84" t="str">
        <f>IF(ISERROR(FIND('112'!$M$9,G359,1)),"",IF((AND(FIND('112'!$M$9,G359,1)&gt;=1,B359='112'!$K$9,OR($N359='112'!$I$6,$O359='112'!$I$6))),"x",""))</f>
        <v/>
      </c>
      <c r="U359" s="84" t="str">
        <f>IF(ISERROR(FIND('112'!$M$9,G359,1)),"",IF((AND(LEFT(G359,2)=LEFT('112'!$M$9,2),B359&lt;'112'!$K$9,$N359='112'!$I$6)),"x",""))</f>
        <v/>
      </c>
      <c r="V359" s="84" t="str">
        <f>IF(ISERROR(FIND('112'!$M$9,G359,1)),"",IF((AND(RIGHT(G359,2)=RIGHT('112'!$M$9,2),B359&lt;'112'!$K$9,$O359='112'!$I$6)),"x",""))</f>
        <v/>
      </c>
      <c r="W359" s="84" t="str">
        <f>IF(AND('341-CT'!$H$9=H359,OR(LEFT(N359,3)=$W$7,LEFT(O359,3)=$W$7)),"x","")</f>
        <v/>
      </c>
      <c r="X359" s="84" t="str">
        <f>IF(OR(TH!N359=TH!$X$7,O359=TH!$X$7),"x","")</f>
        <v/>
      </c>
      <c r="Y359" s="84" t="str">
        <f>IF(AND(OR(N359="131",O359="131"),H359='131-CT'!$H$9),"x","")</f>
        <v/>
      </c>
      <c r="Z359" s="84"/>
      <c r="AA359" s="84" t="str">
        <f>IF(AND(MONTH(E359)='IN-NX'!$J$5,'IN-NX'!$D$7=D359),"x","")</f>
        <v/>
      </c>
      <c r="AB359" s="84" t="str">
        <f>IF(AND(OR(LEFT(TH!N359,2)="15",LEFT(TH!O359,2)="15"),LEFT(TH!O359,3)&lt;&gt;"111",'152-CT'!$J$8=TH!F359),"x","")</f>
        <v/>
      </c>
      <c r="AC359" s="84" t="str">
        <f>IF(AND(OR(LEFT(TH!N359,2)="15",LEFT(TH!O359,2)="15"),TK!$E$7=TH!F359),"x","")</f>
        <v/>
      </c>
      <c r="AD359" s="84" t="str">
        <f>IF(AND(N359="1521",MONTH(C359)='BK-NL'!$M$11),"x","")</f>
        <v/>
      </c>
    </row>
    <row r="360" spans="1:31" s="341" customFormat="1" ht="15.75" hidden="1" customHeight="1">
      <c r="A360" s="336" t="str">
        <f>IF(B360&lt;&gt;"",IF(AND(B360='IN-TC'!$S$4,OR(TH!N360="1111",TH!O360="1111")),TH!D360,""),"")</f>
        <v/>
      </c>
      <c r="B360" s="63">
        <f t="shared" si="63"/>
        <v>4</v>
      </c>
      <c r="C360" s="64">
        <v>42461</v>
      </c>
      <c r="D360" s="64" t="s">
        <v>686</v>
      </c>
      <c r="E360" s="64">
        <f t="shared" si="65"/>
        <v>42461</v>
      </c>
      <c r="F360" s="67" t="s">
        <v>348</v>
      </c>
      <c r="G360" s="67"/>
      <c r="H360" s="73" t="s">
        <v>449</v>
      </c>
      <c r="I360" s="439">
        <v>250</v>
      </c>
      <c r="J360" s="439">
        <v>13571.429</v>
      </c>
      <c r="K360" s="430"/>
      <c r="L360" s="439"/>
      <c r="M360" s="65">
        <f t="shared" si="64"/>
        <v>3392857</v>
      </c>
      <c r="N360" s="66" t="s">
        <v>282</v>
      </c>
      <c r="O360" s="66" t="s">
        <v>276</v>
      </c>
      <c r="P360" s="84" t="str">
        <f>IF(AND('331-CT'!$E$7=TH!H360,OR(N360="331",O360="331")),"x","")</f>
        <v/>
      </c>
      <c r="Q360" s="84" t="str">
        <f>IF(AND(B360='111'!$L$11,OR($N360=$Q$7,$O360=$Q$7)),"x","")</f>
        <v/>
      </c>
      <c r="R360" s="84" t="str">
        <f>IF(AND($N360=$Q$7,$B360&lt;'111'!$L$11),"x","")</f>
        <v/>
      </c>
      <c r="S360" s="84" t="str">
        <f>IF(AND($O360=$Q$7,$B360&lt;'111'!$L$11),"x","")</f>
        <v/>
      </c>
      <c r="T360" s="84" t="str">
        <f>IF(ISERROR(FIND('112'!$M$9,G360,1)),"",IF((AND(FIND('112'!$M$9,G360,1)&gt;=1,B360='112'!$K$9,OR($N360='112'!$I$6,$O360='112'!$I$6))),"x",""))</f>
        <v/>
      </c>
      <c r="U360" s="84" t="str">
        <f>IF(ISERROR(FIND('112'!$M$9,G360,1)),"",IF((AND(LEFT(G360,2)=LEFT('112'!$M$9,2),B360&lt;'112'!$K$9,$N360='112'!$I$6)),"x",""))</f>
        <v/>
      </c>
      <c r="V360" s="84" t="str">
        <f>IF(ISERROR(FIND('112'!$M$9,G360,1)),"",IF((AND(RIGHT(G360,2)=RIGHT('112'!$M$9,2),B360&lt;'112'!$K$9,$O360='112'!$I$6)),"x",""))</f>
        <v/>
      </c>
      <c r="W360" s="84" t="str">
        <f>IF(AND('341-CT'!$H$9=H360,OR(LEFT(N360,3)=$W$7,LEFT(O360,3)=$W$7)),"x","")</f>
        <v/>
      </c>
      <c r="X360" s="84" t="str">
        <f>IF(OR(TH!N360=TH!$X$7,O360=TH!$X$7),"x","")</f>
        <v/>
      </c>
      <c r="Y360" s="84" t="str">
        <f>IF(AND(OR(N360="131",O360="131"),H360='131-CT'!$H$9),"x","")</f>
        <v/>
      </c>
      <c r="Z360" s="84"/>
      <c r="AA360" s="84" t="str">
        <f>IF(AND(MONTH(E360)='IN-NX'!$J$5,'IN-NX'!$D$7=D360),"x","")</f>
        <v/>
      </c>
      <c r="AB360" s="84" t="str">
        <f>IF(AND(OR(LEFT(TH!N360,2)="15",LEFT(TH!O360,2)="15"),LEFT(TH!O360,3)&lt;&gt;"111",'152-CT'!$J$8=TH!F360),"x","")</f>
        <v/>
      </c>
      <c r="AC360" s="84" t="str">
        <f>IF(AND(OR(LEFT(TH!N360,2)="15",LEFT(TH!O360,2)="15"),TK!$E$7=TH!F360),"x","")</f>
        <v>x</v>
      </c>
      <c r="AD360" s="84" t="str">
        <f>IF(AND(N360="1521",MONTH(C360)='BK-NL'!$M$11),"x","")</f>
        <v/>
      </c>
    </row>
    <row r="361" spans="1:31" s="341" customFormat="1" ht="15.75" hidden="1" customHeight="1">
      <c r="A361" s="336" t="str">
        <f>IF(B361&lt;&gt;"",IF(AND(B361='IN-TC'!$S$4,OR(TH!N361="1111",TH!O361="1111")),TH!D361,""),"")</f>
        <v/>
      </c>
      <c r="B361" s="63">
        <f t="shared" si="63"/>
        <v>4</v>
      </c>
      <c r="C361" s="64">
        <v>42461</v>
      </c>
      <c r="D361" s="64" t="s">
        <v>686</v>
      </c>
      <c r="E361" s="64">
        <f t="shared" si="65"/>
        <v>42461</v>
      </c>
      <c r="F361" s="67" t="s">
        <v>224</v>
      </c>
      <c r="G361" s="67"/>
      <c r="H361" s="73" t="s">
        <v>449</v>
      </c>
      <c r="I361" s="439">
        <v>150</v>
      </c>
      <c r="J361" s="439">
        <v>21979.791919191921</v>
      </c>
      <c r="K361" s="430"/>
      <c r="L361" s="439"/>
      <c r="M361" s="65">
        <f t="shared" si="64"/>
        <v>3296969</v>
      </c>
      <c r="N361" s="66" t="s">
        <v>282</v>
      </c>
      <c r="O361" s="66" t="s">
        <v>276</v>
      </c>
      <c r="P361" s="84" t="str">
        <f>IF(AND('331-CT'!$E$7=TH!H361,OR(N361="331",O361="331")),"x","")</f>
        <v/>
      </c>
      <c r="Q361" s="84" t="str">
        <f>IF(AND(B361='111'!$L$11,OR($N361=$Q$7,$O361=$Q$7)),"x","")</f>
        <v/>
      </c>
      <c r="R361" s="84" t="str">
        <f>IF(AND($N361=$Q$7,$B361&lt;'111'!$L$11),"x","")</f>
        <v/>
      </c>
      <c r="S361" s="84" t="str">
        <f>IF(AND($O361=$Q$7,$B361&lt;'111'!$L$11),"x","")</f>
        <v/>
      </c>
      <c r="T361" s="84" t="str">
        <f>IF(ISERROR(FIND('112'!$M$9,G361,1)),"",IF((AND(FIND('112'!$M$9,G361,1)&gt;=1,B361='112'!$K$9,OR($N361='112'!$I$6,$O361='112'!$I$6))),"x",""))</f>
        <v/>
      </c>
      <c r="U361" s="84" t="str">
        <f>IF(ISERROR(FIND('112'!$M$9,G361,1)),"",IF((AND(LEFT(G361,2)=LEFT('112'!$M$9,2),B361&lt;'112'!$K$9,$N361='112'!$I$6)),"x",""))</f>
        <v/>
      </c>
      <c r="V361" s="84" t="str">
        <f>IF(ISERROR(FIND('112'!$M$9,G361,1)),"",IF((AND(RIGHT(G361,2)=RIGHT('112'!$M$9,2),B361&lt;'112'!$K$9,$O361='112'!$I$6)),"x",""))</f>
        <v/>
      </c>
      <c r="W361" s="84" t="str">
        <f>IF(AND('341-CT'!$H$9=H361,OR(LEFT(N361,3)=$W$7,LEFT(O361,3)=$W$7)),"x","")</f>
        <v/>
      </c>
      <c r="X361" s="84" t="str">
        <f>IF(OR(TH!N361=TH!$X$7,O361=TH!$X$7),"x","")</f>
        <v/>
      </c>
      <c r="Y361" s="84" t="str">
        <f>IF(AND(OR(N361="131",O361="131"),H361='131-CT'!$H$9),"x","")</f>
        <v/>
      </c>
      <c r="Z361" s="84"/>
      <c r="AA361" s="84" t="str">
        <f>IF(AND(MONTH(E361)='IN-NX'!$J$5,'IN-NX'!$D$7=D361),"x","")</f>
        <v/>
      </c>
      <c r="AB361" s="84" t="str">
        <f>IF(AND(OR(LEFT(TH!N361,2)="15",LEFT(TH!O361,2)="15"),LEFT(TH!O361,3)&lt;&gt;"111",'152-CT'!$J$8=TH!F361),"x","")</f>
        <v/>
      </c>
      <c r="AC361" s="84" t="str">
        <f>IF(AND(OR(LEFT(TH!N361,2)="15",LEFT(TH!O361,2)="15"),TK!$E$7=TH!F361),"x","")</f>
        <v/>
      </c>
      <c r="AD361" s="84" t="str">
        <f>IF(AND(N361="1521",MONTH(C361)='BK-NL'!$M$11),"x","")</f>
        <v/>
      </c>
    </row>
    <row r="362" spans="1:31" s="341" customFormat="1" ht="15.75" hidden="1" customHeight="1">
      <c r="A362" s="336" t="str">
        <f>IF(B362&lt;&gt;"",IF(AND(B362='IN-TC'!$S$4,OR(TH!N362="1111",TH!O362="1111")),TH!D362,""),"")</f>
        <v/>
      </c>
      <c r="B362" s="63">
        <f t="shared" si="63"/>
        <v>4</v>
      </c>
      <c r="C362" s="64">
        <v>42461</v>
      </c>
      <c r="D362" s="64" t="s">
        <v>686</v>
      </c>
      <c r="E362" s="64">
        <f t="shared" si="65"/>
        <v>42461</v>
      </c>
      <c r="F362" s="67" t="s">
        <v>353</v>
      </c>
      <c r="G362" s="67"/>
      <c r="H362" s="73" t="s">
        <v>449</v>
      </c>
      <c r="I362" s="439">
        <v>1000</v>
      </c>
      <c r="J362" s="439">
        <v>3200</v>
      </c>
      <c r="K362" s="430"/>
      <c r="L362" s="439"/>
      <c r="M362" s="65">
        <f t="shared" si="64"/>
        <v>3200000</v>
      </c>
      <c r="N362" s="66" t="s">
        <v>282</v>
      </c>
      <c r="O362" s="66" t="s">
        <v>276</v>
      </c>
      <c r="P362" s="84" t="str">
        <f>IF(AND('331-CT'!$E$7=TH!H362,OR(N362="331",O362="331")),"x","")</f>
        <v/>
      </c>
      <c r="Q362" s="84" t="str">
        <f>IF(AND(B362='111'!$L$11,OR($N362=$Q$7,$O362=$Q$7)),"x","")</f>
        <v/>
      </c>
      <c r="R362" s="84" t="str">
        <f>IF(AND($N362=$Q$7,$B362&lt;'111'!$L$11),"x","")</f>
        <v/>
      </c>
      <c r="S362" s="84" t="str">
        <f>IF(AND($O362=$Q$7,$B362&lt;'111'!$L$11),"x","")</f>
        <v/>
      </c>
      <c r="T362" s="84" t="str">
        <f>IF(ISERROR(FIND('112'!$M$9,G362,1)),"",IF((AND(FIND('112'!$M$9,G362,1)&gt;=1,B362='112'!$K$9,OR($N362='112'!$I$6,$O362='112'!$I$6))),"x",""))</f>
        <v/>
      </c>
      <c r="U362" s="84" t="str">
        <f>IF(ISERROR(FIND('112'!$M$9,G362,1)),"",IF((AND(LEFT(G362,2)=LEFT('112'!$M$9,2),B362&lt;'112'!$K$9,$N362='112'!$I$6)),"x",""))</f>
        <v/>
      </c>
      <c r="V362" s="84" t="str">
        <f>IF(ISERROR(FIND('112'!$M$9,G362,1)),"",IF((AND(RIGHT(G362,2)=RIGHT('112'!$M$9,2),B362&lt;'112'!$K$9,$O362='112'!$I$6)),"x",""))</f>
        <v/>
      </c>
      <c r="W362" s="84" t="str">
        <f>IF(AND('341-CT'!$H$9=H362,OR(LEFT(N362,3)=$W$7,LEFT(O362,3)=$W$7)),"x","")</f>
        <v/>
      </c>
      <c r="X362" s="84" t="str">
        <f>IF(OR(TH!N362=TH!$X$7,O362=TH!$X$7),"x","")</f>
        <v/>
      </c>
      <c r="Y362" s="84" t="str">
        <f>IF(AND(OR(N362="131",O362="131"),H362='131-CT'!$H$9),"x","")</f>
        <v/>
      </c>
      <c r="Z362" s="84"/>
      <c r="AA362" s="84" t="str">
        <f>IF(AND(MONTH(E362)='IN-NX'!$J$5,'IN-NX'!$D$7=D362),"x","")</f>
        <v/>
      </c>
      <c r="AB362" s="84" t="str">
        <f>IF(AND(OR(LEFT(TH!N362,2)="15",LEFT(TH!O362,2)="15"),LEFT(TH!O362,3)&lt;&gt;"111",'152-CT'!$J$8=TH!F362),"x","")</f>
        <v/>
      </c>
      <c r="AC362" s="84" t="str">
        <f>IF(AND(OR(LEFT(TH!N362,2)="15",LEFT(TH!O362,2)="15"),TK!$E$7=TH!F362),"x","")</f>
        <v/>
      </c>
      <c r="AD362" s="84" t="str">
        <f>IF(AND(N362="1521",MONTH(C362)='BK-NL'!$M$11),"x","")</f>
        <v/>
      </c>
    </row>
    <row r="363" spans="1:31" s="341" customFormat="1" ht="15.75" hidden="1" customHeight="1">
      <c r="A363" s="336" t="str">
        <f>IF(B363&lt;&gt;"",IF(AND(B363='IN-TC'!$S$4,OR(TH!N363="1111",TH!O363="1111")),TH!D363,""),"")</f>
        <v/>
      </c>
      <c r="B363" s="63">
        <f t="shared" si="63"/>
        <v>4</v>
      </c>
      <c r="C363" s="64">
        <v>42470</v>
      </c>
      <c r="D363" s="64" t="s">
        <v>687</v>
      </c>
      <c r="E363" s="64">
        <f t="shared" si="65"/>
        <v>42470</v>
      </c>
      <c r="F363" s="67" t="s">
        <v>359</v>
      </c>
      <c r="G363" s="67"/>
      <c r="H363" s="73" t="s">
        <v>449</v>
      </c>
      <c r="I363" s="439">
        <v>100</v>
      </c>
      <c r="J363" s="439">
        <v>8500</v>
      </c>
      <c r="K363" s="430"/>
      <c r="L363" s="439"/>
      <c r="M363" s="65">
        <f t="shared" si="64"/>
        <v>850000</v>
      </c>
      <c r="N363" s="66" t="s">
        <v>282</v>
      </c>
      <c r="O363" s="66" t="s">
        <v>276</v>
      </c>
      <c r="P363" s="84" t="str">
        <f>IF(AND('331-CT'!$E$7=TH!H363,OR(N363="331",O363="331")),"x","")</f>
        <v/>
      </c>
      <c r="Q363" s="84" t="str">
        <f>IF(AND(B363='111'!$L$11,OR($N363=$Q$7,$O363=$Q$7)),"x","")</f>
        <v/>
      </c>
      <c r="R363" s="84" t="str">
        <f>IF(AND($N363=$Q$7,$B363&lt;'111'!$L$11),"x","")</f>
        <v/>
      </c>
      <c r="S363" s="84" t="str">
        <f>IF(AND($O363=$Q$7,$B363&lt;'111'!$L$11),"x","")</f>
        <v/>
      </c>
      <c r="T363" s="84" t="str">
        <f>IF(ISERROR(FIND('112'!$M$9,G363,1)),"",IF((AND(FIND('112'!$M$9,G363,1)&gt;=1,B363='112'!$K$9,OR($N363='112'!$I$6,$O363='112'!$I$6))),"x",""))</f>
        <v/>
      </c>
      <c r="U363" s="84" t="str">
        <f>IF(ISERROR(FIND('112'!$M$9,G363,1)),"",IF((AND(LEFT(G363,2)=LEFT('112'!$M$9,2),B363&lt;'112'!$K$9,$N363='112'!$I$6)),"x",""))</f>
        <v/>
      </c>
      <c r="V363" s="84" t="str">
        <f>IF(ISERROR(FIND('112'!$M$9,G363,1)),"",IF((AND(RIGHT(G363,2)=RIGHT('112'!$M$9,2),B363&lt;'112'!$K$9,$O363='112'!$I$6)),"x",""))</f>
        <v/>
      </c>
      <c r="W363" s="84" t="str">
        <f>IF(AND('341-CT'!$H$9=H363,OR(LEFT(N363,3)=$W$7,LEFT(O363,3)=$W$7)),"x","")</f>
        <v/>
      </c>
      <c r="X363" s="84" t="str">
        <f>IF(OR(TH!N363=TH!$X$7,O363=TH!$X$7),"x","")</f>
        <v/>
      </c>
      <c r="Y363" s="84" t="str">
        <f>IF(AND(OR(N363="131",O363="131"),H363='131-CT'!$H$9),"x","")</f>
        <v/>
      </c>
      <c r="Z363" s="84"/>
      <c r="AA363" s="84" t="str">
        <f>IF(AND(MONTH(E363)='IN-NX'!$J$5,'IN-NX'!$D$7=D363),"x","")</f>
        <v/>
      </c>
      <c r="AB363" s="84" t="str">
        <f>IF(AND(OR(LEFT(TH!N363,2)="15",LEFT(TH!O363,2)="15"),LEFT(TH!O363,3)&lt;&gt;"111",'152-CT'!$J$8=TH!F363),"x","")</f>
        <v/>
      </c>
      <c r="AC363" s="84" t="str">
        <f>IF(AND(OR(LEFT(TH!N363,2)="15",LEFT(TH!O363,2)="15"),TK!$E$7=TH!F363),"x","")</f>
        <v/>
      </c>
      <c r="AD363" s="84" t="str">
        <f>IF(AND(N363="1521",MONTH(C363)='BK-NL'!$M$11),"x","")</f>
        <v/>
      </c>
    </row>
    <row r="364" spans="1:31" s="341" customFormat="1" ht="15.75" hidden="1" customHeight="1">
      <c r="A364" s="336" t="str">
        <f>IF(B364&lt;&gt;"",IF(AND(B364='IN-TC'!$S$4,OR(TH!N364="1111",TH!O364="1111")),TH!D364,""),"")</f>
        <v/>
      </c>
      <c r="B364" s="63">
        <f t="shared" si="63"/>
        <v>4</v>
      </c>
      <c r="C364" s="64">
        <v>42470</v>
      </c>
      <c r="D364" s="64" t="s">
        <v>687</v>
      </c>
      <c r="E364" s="64">
        <f t="shared" si="65"/>
        <v>42470</v>
      </c>
      <c r="F364" s="67" t="s">
        <v>363</v>
      </c>
      <c r="G364" s="67"/>
      <c r="H364" s="73" t="s">
        <v>449</v>
      </c>
      <c r="I364" s="439">
        <v>50</v>
      </c>
      <c r="J364" s="439">
        <v>33000</v>
      </c>
      <c r="K364" s="430"/>
      <c r="L364" s="439"/>
      <c r="M364" s="65">
        <f t="shared" si="64"/>
        <v>1650000</v>
      </c>
      <c r="N364" s="66" t="s">
        <v>282</v>
      </c>
      <c r="O364" s="66" t="s">
        <v>276</v>
      </c>
      <c r="P364" s="84" t="str">
        <f>IF(AND('331-CT'!$E$7=TH!H364,OR(N364="331",O364="331")),"x","")</f>
        <v/>
      </c>
      <c r="Q364" s="84" t="str">
        <f>IF(AND(B364='111'!$L$11,OR($N364=$Q$7,$O364=$Q$7)),"x","")</f>
        <v/>
      </c>
      <c r="R364" s="84" t="str">
        <f>IF(AND($N364=$Q$7,$B364&lt;'111'!$L$11),"x","")</f>
        <v/>
      </c>
      <c r="S364" s="84" t="str">
        <f>IF(AND($O364=$Q$7,$B364&lt;'111'!$L$11),"x","")</f>
        <v/>
      </c>
      <c r="T364" s="84" t="str">
        <f>IF(ISERROR(FIND('112'!$M$9,G364,1)),"",IF((AND(FIND('112'!$M$9,G364,1)&gt;=1,B364='112'!$K$9,OR($N364='112'!$I$6,$O364='112'!$I$6))),"x",""))</f>
        <v/>
      </c>
      <c r="U364" s="84" t="str">
        <f>IF(ISERROR(FIND('112'!$M$9,G364,1)),"",IF((AND(LEFT(G364,2)=LEFT('112'!$M$9,2),B364&lt;'112'!$K$9,$N364='112'!$I$6)),"x",""))</f>
        <v/>
      </c>
      <c r="V364" s="84" t="str">
        <f>IF(ISERROR(FIND('112'!$M$9,G364,1)),"",IF((AND(RIGHT(G364,2)=RIGHT('112'!$M$9,2),B364&lt;'112'!$K$9,$O364='112'!$I$6)),"x",""))</f>
        <v/>
      </c>
      <c r="W364" s="84" t="str">
        <f>IF(AND('341-CT'!$H$9=H364,OR(LEFT(N364,3)=$W$7,LEFT(O364,3)=$W$7)),"x","")</f>
        <v/>
      </c>
      <c r="X364" s="84" t="str">
        <f>IF(OR(TH!N364=TH!$X$7,O364=TH!$X$7),"x","")</f>
        <v/>
      </c>
      <c r="Y364" s="84" t="str">
        <f>IF(AND(OR(N364="131",O364="131"),H364='131-CT'!$H$9),"x","")</f>
        <v/>
      </c>
      <c r="Z364" s="84"/>
      <c r="AA364" s="84" t="str">
        <f>IF(AND(MONTH(E364)='IN-NX'!$J$5,'IN-NX'!$D$7=D364),"x","")</f>
        <v/>
      </c>
      <c r="AB364" s="84" t="str">
        <f>IF(AND(OR(LEFT(TH!N364,2)="15",LEFT(TH!O364,2)="15"),LEFT(TH!O364,3)&lt;&gt;"111",'152-CT'!$J$8=TH!F364),"x","")</f>
        <v>x</v>
      </c>
      <c r="AC364" s="84" t="str">
        <f>IF(AND(OR(LEFT(TH!N364,2)="15",LEFT(TH!O364,2)="15"),TK!$E$7=TH!F364),"x","")</f>
        <v/>
      </c>
      <c r="AD364" s="84" t="str">
        <f>IF(AND(N364="1521",MONTH(C364)='BK-NL'!$M$11),"x","")</f>
        <v/>
      </c>
    </row>
    <row r="365" spans="1:31" s="341" customFormat="1" ht="15.75" hidden="1" customHeight="1">
      <c r="A365" s="336" t="str">
        <f>IF(B365&lt;&gt;"",IF(AND(B365='IN-TC'!$S$4,OR(TH!N365="1111",TH!O365="1111")),TH!D365,""),"")</f>
        <v/>
      </c>
      <c r="B365" s="63">
        <f t="shared" si="63"/>
        <v>4</v>
      </c>
      <c r="C365" s="64">
        <v>42470</v>
      </c>
      <c r="D365" s="64" t="s">
        <v>687</v>
      </c>
      <c r="E365" s="64">
        <f t="shared" si="65"/>
        <v>42470</v>
      </c>
      <c r="F365" s="67" t="s">
        <v>401</v>
      </c>
      <c r="G365" s="67"/>
      <c r="H365" s="73" t="s">
        <v>449</v>
      </c>
      <c r="I365" s="441">
        <v>1250</v>
      </c>
      <c r="J365" s="441">
        <v>18000</v>
      </c>
      <c r="K365" s="432"/>
      <c r="L365" s="441"/>
      <c r="M365" s="65">
        <f t="shared" si="64"/>
        <v>22500000</v>
      </c>
      <c r="N365" s="66" t="s">
        <v>282</v>
      </c>
      <c r="O365" s="66" t="s">
        <v>276</v>
      </c>
      <c r="P365" s="84" t="str">
        <f>IF(AND('331-CT'!$E$7=TH!H365,OR(N365="331",O365="331")),"x","")</f>
        <v/>
      </c>
      <c r="Q365" s="84" t="str">
        <f>IF(AND(B365='111'!$L$11,OR($N365=$Q$7,$O365=$Q$7)),"x","")</f>
        <v/>
      </c>
      <c r="R365" s="84" t="str">
        <f>IF(AND($N365=$Q$7,$B365&lt;'111'!$L$11),"x","")</f>
        <v/>
      </c>
      <c r="S365" s="84" t="str">
        <f>IF(AND($O365=$Q$7,$B365&lt;'111'!$L$11),"x","")</f>
        <v/>
      </c>
      <c r="T365" s="84" t="str">
        <f>IF(ISERROR(FIND('112'!$M$9,G365,1)),"",IF((AND(FIND('112'!$M$9,G365,1)&gt;=1,B365='112'!$K$9,OR($N365='112'!$I$6,$O365='112'!$I$6))),"x",""))</f>
        <v/>
      </c>
      <c r="U365" s="84" t="str">
        <f>IF(ISERROR(FIND('112'!$M$9,G365,1)),"",IF((AND(LEFT(G365,2)=LEFT('112'!$M$9,2),B365&lt;'112'!$K$9,$N365='112'!$I$6)),"x",""))</f>
        <v/>
      </c>
      <c r="V365" s="84" t="str">
        <f>IF(ISERROR(FIND('112'!$M$9,G365,1)),"",IF((AND(RIGHT(G365,2)=RIGHT('112'!$M$9,2),B365&lt;'112'!$K$9,$O365='112'!$I$6)),"x",""))</f>
        <v/>
      </c>
      <c r="W365" s="84" t="str">
        <f>IF(AND('341-CT'!$H$9=H365,OR(LEFT(N365,3)=$W$7,LEFT(O365,3)=$W$7)),"x","")</f>
        <v/>
      </c>
      <c r="X365" s="84" t="str">
        <f>IF(OR(TH!N365=TH!$X$7,O365=TH!$X$7),"x","")</f>
        <v/>
      </c>
      <c r="Y365" s="84" t="str">
        <f>IF(AND(OR(N365="131",O365="131"),H365='131-CT'!$H$9),"x","")</f>
        <v/>
      </c>
      <c r="Z365" s="84"/>
      <c r="AA365" s="84" t="str">
        <f>IF(AND(MONTH(E365)='IN-NX'!$J$5,'IN-NX'!$D$7=D365),"x","")</f>
        <v/>
      </c>
      <c r="AB365" s="84" t="str">
        <f>IF(AND(OR(LEFT(TH!N365,2)="15",LEFT(TH!O365,2)="15"),LEFT(TH!O365,3)&lt;&gt;"111",'152-CT'!$J$8=TH!F365),"x","")</f>
        <v/>
      </c>
      <c r="AC365" s="84" t="str">
        <f>IF(AND(OR(LEFT(TH!N365,2)="15",LEFT(TH!O365,2)="15"),TK!$E$7=TH!F365),"x","")</f>
        <v/>
      </c>
      <c r="AD365" s="84" t="str">
        <f>IF(AND(N365="1521",MONTH(C365)='BK-NL'!$M$11),"x","")</f>
        <v/>
      </c>
    </row>
    <row r="366" spans="1:31" s="341" customFormat="1" ht="15.75" hidden="1" customHeight="1">
      <c r="A366" s="336" t="str">
        <f>IF(B366&lt;&gt;"",IF(AND(B366='IN-TC'!$S$4,OR(TH!N366="1111",TH!O366="1111")),TH!D366,""),"")</f>
        <v/>
      </c>
      <c r="B366" s="63">
        <f>IF(C366&lt;&gt;"",MONTH(C366),"")</f>
        <v>4</v>
      </c>
      <c r="C366" s="64">
        <v>42470</v>
      </c>
      <c r="D366" s="64" t="s">
        <v>687</v>
      </c>
      <c r="E366" s="64">
        <f>C366</f>
        <v>42470</v>
      </c>
      <c r="F366" s="67" t="s">
        <v>653</v>
      </c>
      <c r="G366" s="67"/>
      <c r="H366" s="73" t="s">
        <v>449</v>
      </c>
      <c r="I366" s="441">
        <v>4400</v>
      </c>
      <c r="J366" s="441">
        <v>14000</v>
      </c>
      <c r="K366" s="432"/>
      <c r="L366" s="441"/>
      <c r="M366" s="65">
        <f t="shared" ref="M366:M372" si="66">ROUND(I366*J366,0)</f>
        <v>61600000</v>
      </c>
      <c r="N366" s="66" t="s">
        <v>282</v>
      </c>
      <c r="O366" s="66" t="s">
        <v>276</v>
      </c>
      <c r="P366" s="84" t="str">
        <f>IF(AND('331-CT'!$E$7=TH!H366,OR(N366="331",O366="331")),"x","")</f>
        <v/>
      </c>
      <c r="Q366" s="84" t="str">
        <f>IF(AND(B366='111'!$L$11,OR($N366=$Q$7,$O366=$Q$7)),"x","")</f>
        <v/>
      </c>
      <c r="R366" s="84" t="str">
        <f>IF(AND($N366=$Q$7,$B366&lt;'111'!$L$11),"x","")</f>
        <v/>
      </c>
      <c r="S366" s="84" t="str">
        <f>IF(AND($O366=$Q$7,$B366&lt;'111'!$L$11),"x","")</f>
        <v/>
      </c>
      <c r="T366" s="84" t="str">
        <f>IF(ISERROR(FIND('112'!$M$9,G366,1)),"",IF((AND(FIND('112'!$M$9,G366,1)&gt;=1,B366='112'!$K$9,OR($N366='112'!$I$6,$O366='112'!$I$6))),"x",""))</f>
        <v/>
      </c>
      <c r="U366" s="84" t="str">
        <f>IF(ISERROR(FIND('112'!$M$9,G366,1)),"",IF((AND(LEFT(G366,2)=LEFT('112'!$M$9,2),B366&lt;'112'!$K$9,$N366='112'!$I$6)),"x",""))</f>
        <v/>
      </c>
      <c r="V366" s="84" t="str">
        <f>IF(ISERROR(FIND('112'!$M$9,G366,1)),"",IF((AND(RIGHT(G366,2)=RIGHT('112'!$M$9,2),B366&lt;'112'!$K$9,$O366='112'!$I$6)),"x",""))</f>
        <v/>
      </c>
      <c r="W366" s="84" t="str">
        <f>IF(AND('341-CT'!$H$9=H366,OR(LEFT(N366,3)=$W$7,LEFT(O366,3)=$W$7)),"x","")</f>
        <v/>
      </c>
      <c r="X366" s="84" t="str">
        <f>IF(OR(TH!N366=TH!$X$7,O366=TH!$X$7),"x","")</f>
        <v/>
      </c>
      <c r="Y366" s="84" t="str">
        <f>IF(AND(OR(N366="131",O366="131"),H366='131-CT'!$H$9),"x","")</f>
        <v/>
      </c>
      <c r="Z366" s="84"/>
      <c r="AA366" s="84" t="str">
        <f>IF(AND(MONTH(E366)='IN-NX'!$J$5,'IN-NX'!$D$7=D366),"x","")</f>
        <v/>
      </c>
      <c r="AB366" s="84" t="str">
        <f>IF(AND(OR(LEFT(TH!N366,2)="15",LEFT(TH!O366,2)="15"),LEFT(TH!O366,3)&lt;&gt;"111",'152-CT'!$J$8=TH!F366),"x","")</f>
        <v/>
      </c>
      <c r="AC366" s="84" t="str">
        <f>IF(AND(OR(LEFT(TH!N366,2)="15",LEFT(TH!O366,2)="15"),TK!$E$7=TH!F366),"x","")</f>
        <v/>
      </c>
      <c r="AD366" s="84" t="str">
        <f>IF(AND(N366="1521",MONTH(C366)='BK-NL'!$M$11),"x","")</f>
        <v/>
      </c>
    </row>
    <row r="367" spans="1:31" ht="15.75" hidden="1" customHeight="1">
      <c r="A367" s="336" t="str">
        <f>IF(B367&lt;&gt;"",IF(AND(B367='IN-TC'!$S$4,OR(TH!N367="1111",TH!O367="1111")),TH!D367,""),"")</f>
        <v/>
      </c>
      <c r="B367" s="63">
        <f>IF(C367&lt;&gt;"",MONTH(C367),"")</f>
        <v>5</v>
      </c>
      <c r="C367" s="318">
        <v>42499</v>
      </c>
      <c r="D367" s="1134" t="s">
        <v>677</v>
      </c>
      <c r="E367" s="1134">
        <v>42499</v>
      </c>
      <c r="F367" s="82" t="s">
        <v>1513</v>
      </c>
      <c r="G367" s="1004" t="s">
        <v>1517</v>
      </c>
      <c r="H367" s="322" t="s">
        <v>623</v>
      </c>
      <c r="I367" s="437">
        <v>123</v>
      </c>
      <c r="J367" s="437">
        <v>13000</v>
      </c>
      <c r="K367" s="428"/>
      <c r="L367" s="437"/>
      <c r="M367" s="83">
        <f t="shared" si="66"/>
        <v>1599000</v>
      </c>
      <c r="N367" s="1128" t="s">
        <v>276</v>
      </c>
      <c r="O367" s="84" t="s">
        <v>8</v>
      </c>
      <c r="P367" s="84" t="str">
        <f>IF(AND('331-CT'!$E$7=TH!H367,OR(N367="331",O367="331")),"x","")</f>
        <v/>
      </c>
      <c r="Q367" s="84" t="str">
        <f>IF(AND(B367='111'!$L$11,OR($N367=$Q$7,$O367=$Q$7)),"x","")</f>
        <v/>
      </c>
      <c r="R367" s="84" t="str">
        <f>IF(AND($N367=$Q$7,$B367&lt;'111'!$L$11),"x","")</f>
        <v/>
      </c>
      <c r="S367" s="84" t="str">
        <f>IF(AND($O367=$Q$7,$B367&lt;'111'!$L$11),"x","")</f>
        <v/>
      </c>
      <c r="T367" s="84" t="str">
        <f>IF(ISERROR(FIND('112'!$M$9,G367,1)),"",IF((AND(FIND('112'!$M$9,G367,1)&gt;=1,B367='112'!$K$9,OR($N367='112'!$I$6,$O367='112'!$I$6))),"x",""))</f>
        <v/>
      </c>
      <c r="U367" s="84" t="str">
        <f>IF(ISERROR(FIND('112'!$M$9,G367,1)),"",IF((AND(LEFT(G367,2)=LEFT('112'!$M$9,2),B367&lt;'112'!$K$9,$N367='112'!$I$6)),"x",""))</f>
        <v/>
      </c>
      <c r="V367" s="84" t="str">
        <f>IF(ISERROR(FIND('112'!$M$9,G367,1)),"",IF((AND(RIGHT(G367,2)=RIGHT('112'!$M$9,2),B367&lt;'112'!$K$9,$O367='112'!$I$6)),"x",""))</f>
        <v/>
      </c>
      <c r="W367" s="84" t="str">
        <f>IF(AND('341-CT'!$H$9=H367,OR(LEFT(N367,3)=$W$7,LEFT(O367,3)=$W$7)),"x","")</f>
        <v/>
      </c>
      <c r="X367" s="84" t="str">
        <f>IF(OR(TH!N367=TH!$X$7,O367=TH!$X$7),"x","")</f>
        <v/>
      </c>
      <c r="Y367" s="84" t="str">
        <f>IF(AND(OR(N367="131",O367="131"),H367='131-CT'!$H$9),"x","")</f>
        <v/>
      </c>
      <c r="Z367" s="84"/>
      <c r="AA367" s="84" t="str">
        <f>IF(AND(MONTH(E367)='IN-NX'!$J$5,'IN-NX'!$D$7=D367),"x","")</f>
        <v/>
      </c>
      <c r="AB367" s="84" t="str">
        <f>IF(AND(OR(LEFT(TH!N367,2)="15",LEFT(TH!O367,2)="15"),LEFT(TH!O367,3)&lt;&gt;"111",'152-CT'!$J$8=TH!F367),"x","")</f>
        <v/>
      </c>
      <c r="AC367" s="84" t="str">
        <f>IF(AND(OR(LEFT(TH!N367,2)="15",LEFT(TH!O367,2)="15"),TK!$E$7=TH!F367),"x","")</f>
        <v/>
      </c>
      <c r="AD367" s="84" t="str">
        <f>IF(AND(N367="1521",MONTH(C367)='BK-NL'!$M$11),"x","")</f>
        <v/>
      </c>
      <c r="AE367" s="1146" t="str">
        <f t="shared" ref="AE367:AE373" si="67">IF(H367&lt;&gt;VLOOKUP(H367,DSKH,1,0),"","x")</f>
        <v>x</v>
      </c>
    </row>
    <row r="368" spans="1:31" ht="15.75" hidden="1" customHeight="1">
      <c r="A368" s="336" t="str">
        <f>IF(B368&lt;&gt;"",IF(AND(B368='IN-TC'!$S$4,OR(TH!N368="1111",TH!O368="1111")),TH!D368,""),"")</f>
        <v/>
      </c>
      <c r="B368" s="63">
        <f t="shared" ref="B368:B381" si="68">IF(C368&lt;&gt;"",MONTH(C368),"")</f>
        <v>5</v>
      </c>
      <c r="C368" s="318">
        <v>42499</v>
      </c>
      <c r="D368" s="1134" t="s">
        <v>677</v>
      </c>
      <c r="E368" s="1134">
        <v>42499</v>
      </c>
      <c r="F368" s="82" t="s">
        <v>1514</v>
      </c>
      <c r="G368" s="1004" t="s">
        <v>1517</v>
      </c>
      <c r="H368" s="322" t="s">
        <v>623</v>
      </c>
      <c r="I368" s="437">
        <v>62</v>
      </c>
      <c r="J368" s="437">
        <v>13000</v>
      </c>
      <c r="K368" s="428"/>
      <c r="L368" s="437"/>
      <c r="M368" s="83">
        <f t="shared" si="66"/>
        <v>806000</v>
      </c>
      <c r="N368" s="1128" t="s">
        <v>276</v>
      </c>
      <c r="O368" s="84" t="s">
        <v>8</v>
      </c>
      <c r="P368" s="84" t="str">
        <f>IF(AND('331-CT'!$E$7=TH!H368,OR(N368="331",O368="331")),"x","")</f>
        <v/>
      </c>
      <c r="Q368" s="84" t="str">
        <f>IF(AND(B368='111'!$L$11,OR($N368=$Q$7,$O368=$Q$7)),"x","")</f>
        <v/>
      </c>
      <c r="R368" s="84" t="str">
        <f>IF(AND($N368=$Q$7,$B368&lt;'111'!$L$11),"x","")</f>
        <v/>
      </c>
      <c r="S368" s="84" t="str">
        <f>IF(AND($O368=$Q$7,$B368&lt;'111'!$L$11),"x","")</f>
        <v/>
      </c>
      <c r="T368" s="84" t="str">
        <f>IF(ISERROR(FIND('112'!$M$9,G368,1)),"",IF((AND(FIND('112'!$M$9,G368,1)&gt;=1,B368='112'!$K$9,OR($N368='112'!$I$6,$O368='112'!$I$6))),"x",""))</f>
        <v/>
      </c>
      <c r="U368" s="84" t="str">
        <f>IF(ISERROR(FIND('112'!$M$9,G368,1)),"",IF((AND(LEFT(G368,2)=LEFT('112'!$M$9,2),B368&lt;'112'!$K$9,$N368='112'!$I$6)),"x",""))</f>
        <v/>
      </c>
      <c r="V368" s="84" t="str">
        <f>IF(ISERROR(FIND('112'!$M$9,G368,1)),"",IF((AND(RIGHT(G368,2)=RIGHT('112'!$M$9,2),B368&lt;'112'!$K$9,$O368='112'!$I$6)),"x",""))</f>
        <v/>
      </c>
      <c r="W368" s="84" t="str">
        <f>IF(AND('341-CT'!$H$9=H368,OR(LEFT(N368,3)=$W$7,LEFT(O368,3)=$W$7)),"x","")</f>
        <v/>
      </c>
      <c r="X368" s="84" t="str">
        <f>IF(OR(TH!N368=TH!$X$7,O368=TH!$X$7),"x","")</f>
        <v/>
      </c>
      <c r="Y368" s="84" t="str">
        <f>IF(AND(OR(N368="131",O368="131"),H368='131-CT'!$H$9),"x","")</f>
        <v/>
      </c>
      <c r="Z368" s="84"/>
      <c r="AA368" s="84" t="str">
        <f>IF(AND(MONTH(E368)='IN-NX'!$J$5,'IN-NX'!$D$7=D368),"x","")</f>
        <v/>
      </c>
      <c r="AB368" s="84" t="str">
        <f>IF(AND(OR(LEFT(TH!N368,2)="15",LEFT(TH!O368,2)="15"),LEFT(TH!O368,3)&lt;&gt;"111",'152-CT'!$J$8=TH!F368),"x","")</f>
        <v/>
      </c>
      <c r="AC368" s="84" t="str">
        <f>IF(AND(OR(LEFT(TH!N368,2)="15",LEFT(TH!O368,2)="15"),TK!$E$7=TH!F368),"x","")</f>
        <v/>
      </c>
      <c r="AD368" s="84" t="str">
        <f>IF(AND(N368="1521",MONTH(C368)='BK-NL'!$M$11),"x","")</f>
        <v/>
      </c>
      <c r="AE368" s="1146" t="str">
        <f t="shared" si="67"/>
        <v>x</v>
      </c>
    </row>
    <row r="369" spans="1:31" ht="15.75" hidden="1" customHeight="1">
      <c r="A369" s="336" t="str">
        <f>IF(B369&lt;&gt;"",IF(AND(B369='IN-TC'!$S$4,OR(TH!N369="1111",TH!O369="1111")),TH!D369,""),"")</f>
        <v/>
      </c>
      <c r="B369" s="63">
        <f t="shared" si="68"/>
        <v>5</v>
      </c>
      <c r="C369" s="318">
        <v>42499</v>
      </c>
      <c r="D369" s="1134" t="s">
        <v>677</v>
      </c>
      <c r="E369" s="1134">
        <v>42499</v>
      </c>
      <c r="F369" s="82" t="s">
        <v>390</v>
      </c>
      <c r="G369" s="1004" t="s">
        <v>1517</v>
      </c>
      <c r="H369" s="322" t="s">
        <v>623</v>
      </c>
      <c r="I369" s="437">
        <v>321</v>
      </c>
      <c r="J369" s="437">
        <v>13500</v>
      </c>
      <c r="K369" s="428"/>
      <c r="L369" s="437"/>
      <c r="M369" s="83">
        <f t="shared" si="66"/>
        <v>4333500</v>
      </c>
      <c r="N369" s="1128" t="s">
        <v>276</v>
      </c>
      <c r="O369" s="84" t="s">
        <v>8</v>
      </c>
      <c r="P369" s="84" t="str">
        <f>IF(AND('331-CT'!$E$7=TH!H369,OR(N369="331",O369="331")),"x","")</f>
        <v/>
      </c>
      <c r="Q369" s="84" t="str">
        <f>IF(AND(B369='111'!$L$11,OR($N369=$Q$7,$O369=$Q$7)),"x","")</f>
        <v/>
      </c>
      <c r="R369" s="84" t="str">
        <f>IF(AND($N369=$Q$7,$B369&lt;'111'!$L$11),"x","")</f>
        <v/>
      </c>
      <c r="S369" s="84" t="str">
        <f>IF(AND($O369=$Q$7,$B369&lt;'111'!$L$11),"x","")</f>
        <v/>
      </c>
      <c r="T369" s="84" t="str">
        <f>IF(ISERROR(FIND('112'!$M$9,G369,1)),"",IF((AND(FIND('112'!$M$9,G369,1)&gt;=1,B369='112'!$K$9,OR($N369='112'!$I$6,$O369='112'!$I$6))),"x",""))</f>
        <v/>
      </c>
      <c r="U369" s="84" t="str">
        <f>IF(ISERROR(FIND('112'!$M$9,G369,1)),"",IF((AND(LEFT(G369,2)=LEFT('112'!$M$9,2),B369&lt;'112'!$K$9,$N369='112'!$I$6)),"x",""))</f>
        <v/>
      </c>
      <c r="V369" s="84" t="str">
        <f>IF(ISERROR(FIND('112'!$M$9,G369,1)),"",IF((AND(RIGHT(G369,2)=RIGHT('112'!$M$9,2),B369&lt;'112'!$K$9,$O369='112'!$I$6)),"x",""))</f>
        <v/>
      </c>
      <c r="W369" s="84" t="str">
        <f>IF(AND('341-CT'!$H$9=H369,OR(LEFT(N369,3)=$W$7,LEFT(O369,3)=$W$7)),"x","")</f>
        <v/>
      </c>
      <c r="X369" s="84" t="str">
        <f>IF(OR(TH!N369=TH!$X$7,O369=TH!$X$7),"x","")</f>
        <v/>
      </c>
      <c r="Y369" s="84" t="str">
        <f>IF(AND(OR(N369="131",O369="131"),H369='131-CT'!$H$9),"x","")</f>
        <v/>
      </c>
      <c r="Z369" s="84"/>
      <c r="AA369" s="84" t="str">
        <f>IF(AND(MONTH(E369)='IN-NX'!$J$5,'IN-NX'!$D$7=D369),"x","")</f>
        <v/>
      </c>
      <c r="AB369" s="84" t="str">
        <f>IF(AND(OR(LEFT(TH!N369,2)="15",LEFT(TH!O369,2)="15"),LEFT(TH!O369,3)&lt;&gt;"111",'152-CT'!$J$8=TH!F369),"x","")</f>
        <v/>
      </c>
      <c r="AC369" s="84" t="str">
        <f>IF(AND(OR(LEFT(TH!N369,2)="15",LEFT(TH!O369,2)="15"),TK!$E$7=TH!F369),"x","")</f>
        <v/>
      </c>
      <c r="AD369" s="84" t="str">
        <f>IF(AND(N369="1521",MONTH(C369)='BK-NL'!$M$11),"x","")</f>
        <v/>
      </c>
      <c r="AE369" s="1146" t="str">
        <f t="shared" si="67"/>
        <v>x</v>
      </c>
    </row>
    <row r="370" spans="1:31" ht="15.75" hidden="1" customHeight="1">
      <c r="A370" s="336" t="str">
        <f>IF(B370&lt;&gt;"",IF(AND(B370='IN-TC'!$S$4,OR(TH!N370="1111",TH!O370="1111")),TH!D370,""),"")</f>
        <v/>
      </c>
      <c r="B370" s="63">
        <f t="shared" si="68"/>
        <v>5</v>
      </c>
      <c r="C370" s="318">
        <v>42499</v>
      </c>
      <c r="D370" s="1134" t="s">
        <v>677</v>
      </c>
      <c r="E370" s="1134">
        <v>42499</v>
      </c>
      <c r="F370" s="82" t="s">
        <v>390</v>
      </c>
      <c r="G370" s="1004" t="s">
        <v>1517</v>
      </c>
      <c r="H370" s="322" t="s">
        <v>623</v>
      </c>
      <c r="I370" s="437">
        <v>904</v>
      </c>
      <c r="J370" s="437">
        <v>21347</v>
      </c>
      <c r="K370" s="428"/>
      <c r="L370" s="437"/>
      <c r="M370" s="83">
        <f t="shared" si="66"/>
        <v>19297688</v>
      </c>
      <c r="N370" s="1128" t="s">
        <v>276</v>
      </c>
      <c r="O370" s="84" t="s">
        <v>8</v>
      </c>
      <c r="P370" s="84" t="str">
        <f>IF(AND('331-CT'!$E$7=TH!H370,OR(N370="331",O370="331")),"x","")</f>
        <v/>
      </c>
      <c r="Q370" s="84" t="str">
        <f>IF(AND(B370='111'!$L$11,OR($N370=$Q$7,$O370=$Q$7)),"x","")</f>
        <v/>
      </c>
      <c r="R370" s="84" t="str">
        <f>IF(AND($N370=$Q$7,$B370&lt;'111'!$L$11),"x","")</f>
        <v/>
      </c>
      <c r="S370" s="84" t="str">
        <f>IF(AND($O370=$Q$7,$B370&lt;'111'!$L$11),"x","")</f>
        <v/>
      </c>
      <c r="T370" s="84" t="str">
        <f>IF(ISERROR(FIND('112'!$M$9,G370,1)),"",IF((AND(FIND('112'!$M$9,G370,1)&gt;=1,B370='112'!$K$9,OR($N370='112'!$I$6,$O370='112'!$I$6))),"x",""))</f>
        <v/>
      </c>
      <c r="U370" s="84" t="str">
        <f>IF(ISERROR(FIND('112'!$M$9,G370,1)),"",IF((AND(LEFT(G370,2)=LEFT('112'!$M$9,2),B370&lt;'112'!$K$9,$N370='112'!$I$6)),"x",""))</f>
        <v/>
      </c>
      <c r="V370" s="84" t="str">
        <f>IF(ISERROR(FIND('112'!$M$9,G370,1)),"",IF((AND(RIGHT(G370,2)=RIGHT('112'!$M$9,2),B370&lt;'112'!$K$9,$O370='112'!$I$6)),"x",""))</f>
        <v/>
      </c>
      <c r="W370" s="84" t="str">
        <f>IF(AND('341-CT'!$H$9=H370,OR(LEFT(N370,3)=$W$7,LEFT(O370,3)=$W$7)),"x","")</f>
        <v/>
      </c>
      <c r="X370" s="84" t="str">
        <f>IF(OR(TH!N370=TH!$X$7,O370=TH!$X$7),"x","")</f>
        <v/>
      </c>
      <c r="Y370" s="84" t="str">
        <f>IF(AND(OR(N370="131",O370="131"),H370='131-CT'!$H$9),"x","")</f>
        <v/>
      </c>
      <c r="Z370" s="84"/>
      <c r="AA370" s="84" t="str">
        <f>IF(AND(MONTH(E370)='IN-NX'!$J$5,'IN-NX'!$D$7=D370),"x","")</f>
        <v/>
      </c>
      <c r="AB370" s="84" t="str">
        <f>IF(AND(OR(LEFT(TH!N370,2)="15",LEFT(TH!O370,2)="15"),LEFT(TH!O370,3)&lt;&gt;"111",'152-CT'!$J$8=TH!F370),"x","")</f>
        <v/>
      </c>
      <c r="AC370" s="84" t="str">
        <f>IF(AND(OR(LEFT(TH!N370,2)="15",LEFT(TH!O370,2)="15"),TK!$E$7=TH!F370),"x","")</f>
        <v/>
      </c>
      <c r="AD370" s="84" t="str">
        <f>IF(AND(N370="1521",MONTH(C370)='BK-NL'!$M$11),"x","")</f>
        <v/>
      </c>
      <c r="AE370" s="1146" t="str">
        <f t="shared" si="67"/>
        <v>x</v>
      </c>
    </row>
    <row r="371" spans="1:31" ht="15.75" hidden="1" customHeight="1">
      <c r="A371" s="336" t="str">
        <f>IF(B371&lt;&gt;"",IF(AND(B371='IN-TC'!$S$4,OR(TH!N371="1111",TH!O371="1111")),TH!D371,""),"")</f>
        <v/>
      </c>
      <c r="B371" s="63">
        <f t="shared" si="68"/>
        <v>5</v>
      </c>
      <c r="C371" s="318">
        <v>42499</v>
      </c>
      <c r="D371" s="1134" t="s">
        <v>677</v>
      </c>
      <c r="E371" s="1134">
        <v>42499</v>
      </c>
      <c r="F371" s="82" t="s">
        <v>1515</v>
      </c>
      <c r="G371" s="1004" t="s">
        <v>1517</v>
      </c>
      <c r="H371" s="322" t="s">
        <v>623</v>
      </c>
      <c r="I371" s="437">
        <v>72</v>
      </c>
      <c r="J371" s="437">
        <v>21347</v>
      </c>
      <c r="K371" s="428"/>
      <c r="L371" s="437"/>
      <c r="M371" s="83">
        <f t="shared" si="66"/>
        <v>1536984</v>
      </c>
      <c r="N371" s="1128" t="s">
        <v>276</v>
      </c>
      <c r="O371" s="84" t="s">
        <v>8</v>
      </c>
      <c r="P371" s="84" t="str">
        <f>IF(AND('331-CT'!$E$7=TH!H371,OR(N371="331",O371="331")),"x","")</f>
        <v/>
      </c>
      <c r="Q371" s="84" t="str">
        <f>IF(AND(B371='111'!$L$11,OR($N371=$Q$7,$O371=$Q$7)),"x","")</f>
        <v/>
      </c>
      <c r="R371" s="84" t="str">
        <f>IF(AND($N371=$Q$7,$B371&lt;'111'!$L$11),"x","")</f>
        <v/>
      </c>
      <c r="S371" s="84" t="str">
        <f>IF(AND($O371=$Q$7,$B371&lt;'111'!$L$11),"x","")</f>
        <v/>
      </c>
      <c r="T371" s="84" t="str">
        <f>IF(ISERROR(FIND('112'!$M$9,G371,1)),"",IF((AND(FIND('112'!$M$9,G371,1)&gt;=1,B371='112'!$K$9,OR($N371='112'!$I$6,$O371='112'!$I$6))),"x",""))</f>
        <v/>
      </c>
      <c r="U371" s="84" t="str">
        <f>IF(ISERROR(FIND('112'!$M$9,G371,1)),"",IF((AND(LEFT(G371,2)=LEFT('112'!$M$9,2),B371&lt;'112'!$K$9,$N371='112'!$I$6)),"x",""))</f>
        <v/>
      </c>
      <c r="V371" s="84" t="str">
        <f>IF(ISERROR(FIND('112'!$M$9,G371,1)),"",IF((AND(RIGHT(G371,2)=RIGHT('112'!$M$9,2),B371&lt;'112'!$K$9,$O371='112'!$I$6)),"x",""))</f>
        <v/>
      </c>
      <c r="W371" s="84" t="str">
        <f>IF(AND('341-CT'!$H$9=H371,OR(LEFT(N371,3)=$W$7,LEFT(O371,3)=$W$7)),"x","")</f>
        <v/>
      </c>
      <c r="X371" s="84" t="str">
        <f>IF(OR(TH!N371=TH!$X$7,O371=TH!$X$7),"x","")</f>
        <v/>
      </c>
      <c r="Y371" s="84" t="str">
        <f>IF(AND(OR(N371="131",O371="131"),H371='131-CT'!$H$9),"x","")</f>
        <v/>
      </c>
      <c r="Z371" s="84"/>
      <c r="AA371" s="84" t="str">
        <f>IF(AND(MONTH(E371)='IN-NX'!$J$5,'IN-NX'!$D$7=D371),"x","")</f>
        <v/>
      </c>
      <c r="AB371" s="84" t="str">
        <f>IF(AND(OR(LEFT(TH!N371,2)="15",LEFT(TH!O371,2)="15"),LEFT(TH!O371,3)&lt;&gt;"111",'152-CT'!$J$8=TH!F371),"x","")</f>
        <v/>
      </c>
      <c r="AC371" s="84" t="str">
        <f>IF(AND(OR(LEFT(TH!N371,2)="15",LEFT(TH!O371,2)="15"),TK!$E$7=TH!F371),"x","")</f>
        <v/>
      </c>
      <c r="AD371" s="84" t="str">
        <f>IF(AND(N371="1521",MONTH(C371)='BK-NL'!$M$11),"x","")</f>
        <v/>
      </c>
      <c r="AE371" s="1146" t="str">
        <f t="shared" si="67"/>
        <v>x</v>
      </c>
    </row>
    <row r="372" spans="1:31" ht="15.75" hidden="1" customHeight="1">
      <c r="A372" s="336" t="str">
        <f>IF(B372&lt;&gt;"",IF(AND(B372='IN-TC'!$S$4,OR(TH!N372="1111",TH!O372="1111")),TH!D372,""),"")</f>
        <v/>
      </c>
      <c r="B372" s="63">
        <f t="shared" si="68"/>
        <v>5</v>
      </c>
      <c r="C372" s="318">
        <v>42499</v>
      </c>
      <c r="D372" s="1134" t="s">
        <v>677</v>
      </c>
      <c r="E372" s="1134">
        <v>42499</v>
      </c>
      <c r="F372" s="82" t="s">
        <v>1516</v>
      </c>
      <c r="G372" s="1004" t="s">
        <v>1517</v>
      </c>
      <c r="H372" s="322" t="s">
        <v>623</v>
      </c>
      <c r="I372" s="437">
        <v>132</v>
      </c>
      <c r="J372" s="437">
        <v>21347</v>
      </c>
      <c r="K372" s="428"/>
      <c r="L372" s="437"/>
      <c r="M372" s="83">
        <f t="shared" si="66"/>
        <v>2817804</v>
      </c>
      <c r="N372" s="1128" t="s">
        <v>276</v>
      </c>
      <c r="O372" s="84" t="s">
        <v>8</v>
      </c>
      <c r="P372" s="84" t="str">
        <f>IF(AND('331-CT'!$E$7=TH!H372,OR(N372="331",O372="331")),"x","")</f>
        <v/>
      </c>
      <c r="Q372" s="84" t="str">
        <f>IF(AND(B372='111'!$L$11,OR($N372=$Q$7,$O372=$Q$7)),"x","")</f>
        <v/>
      </c>
      <c r="R372" s="84" t="str">
        <f>IF(AND($N372=$Q$7,$B372&lt;'111'!$L$11),"x","")</f>
        <v/>
      </c>
      <c r="S372" s="84" t="str">
        <f>IF(AND($O372=$Q$7,$B372&lt;'111'!$L$11),"x","")</f>
        <v/>
      </c>
      <c r="T372" s="84" t="str">
        <f>IF(ISERROR(FIND('112'!$M$9,G372,1)),"",IF((AND(FIND('112'!$M$9,G372,1)&gt;=1,B372='112'!$K$9,OR($N372='112'!$I$6,$O372='112'!$I$6))),"x",""))</f>
        <v/>
      </c>
      <c r="U372" s="84" t="str">
        <f>IF(ISERROR(FIND('112'!$M$9,G372,1)),"",IF((AND(LEFT(G372,2)=LEFT('112'!$M$9,2),B372&lt;'112'!$K$9,$N372='112'!$I$6)),"x",""))</f>
        <v/>
      </c>
      <c r="V372" s="84" t="str">
        <f>IF(ISERROR(FIND('112'!$M$9,G372,1)),"",IF((AND(RIGHT(G372,2)=RIGHT('112'!$M$9,2),B372&lt;'112'!$K$9,$O372='112'!$I$6)),"x",""))</f>
        <v/>
      </c>
      <c r="W372" s="84" t="str">
        <f>IF(AND('341-CT'!$H$9=H372,OR(LEFT(N372,3)=$W$7,LEFT(O372,3)=$W$7)),"x","")</f>
        <v/>
      </c>
      <c r="X372" s="84" t="str">
        <f>IF(OR(TH!N372=TH!$X$7,O372=TH!$X$7),"x","")</f>
        <v/>
      </c>
      <c r="Y372" s="84" t="str">
        <f>IF(AND(OR(N372="131",O372="131"),H372='131-CT'!$H$9),"x","")</f>
        <v/>
      </c>
      <c r="Z372" s="84"/>
      <c r="AA372" s="84" t="str">
        <f>IF(AND(MONTH(E372)='IN-NX'!$J$5,'IN-NX'!$D$7=D372),"x","")</f>
        <v/>
      </c>
      <c r="AB372" s="84" t="str">
        <f>IF(AND(OR(LEFT(TH!N372,2)="15",LEFT(TH!O372,2)="15"),LEFT(TH!O372,3)&lt;&gt;"111",'152-CT'!$J$8=TH!F372),"x","")</f>
        <v/>
      </c>
      <c r="AC372" s="84" t="str">
        <f>IF(AND(OR(LEFT(TH!N372,2)="15",LEFT(TH!O372,2)="15"),TK!$E$7=TH!F372),"x","")</f>
        <v/>
      </c>
      <c r="AD372" s="84" t="str">
        <f>IF(AND(N372="1521",MONTH(C372)='BK-NL'!$M$11),"x","")</f>
        <v/>
      </c>
      <c r="AE372" s="1146" t="str">
        <f t="shared" si="67"/>
        <v>x</v>
      </c>
    </row>
    <row r="373" spans="1:31" ht="15.75" hidden="1" customHeight="1">
      <c r="A373" s="336" t="str">
        <f>IF(B373&lt;&gt;"",IF(AND(B373='IN-TC'!$S$4,OR(TH!N373="1111",TH!O373="1111")),TH!D373,""),"")</f>
        <v/>
      </c>
      <c r="B373" s="63">
        <f t="shared" si="68"/>
        <v>5</v>
      </c>
      <c r="C373" s="318">
        <v>42499</v>
      </c>
      <c r="D373" s="1134" t="s">
        <v>677</v>
      </c>
      <c r="E373" s="1134">
        <v>42499</v>
      </c>
      <c r="F373" s="82" t="s">
        <v>652</v>
      </c>
      <c r="G373" s="1004" t="s">
        <v>1517</v>
      </c>
      <c r="H373" s="322" t="s">
        <v>623</v>
      </c>
      <c r="I373" s="437"/>
      <c r="J373" s="437"/>
      <c r="K373" s="428"/>
      <c r="L373" s="437"/>
      <c r="M373" s="83">
        <v>3039098</v>
      </c>
      <c r="N373" s="1128" t="s">
        <v>9</v>
      </c>
      <c r="O373" s="84" t="s">
        <v>8</v>
      </c>
      <c r="P373" s="84" t="str">
        <f>IF(AND('331-CT'!$E$7=TH!H373,OR(N373="331",O373="331")),"x","")</f>
        <v/>
      </c>
      <c r="Q373" s="84" t="str">
        <f>IF(AND(B373='111'!$L$11,OR($N373=$Q$7,$O373=$Q$7)),"x","")</f>
        <v/>
      </c>
      <c r="R373" s="84" t="str">
        <f>IF(AND($N373=$Q$7,$B373&lt;'111'!$L$11),"x","")</f>
        <v/>
      </c>
      <c r="S373" s="84" t="str">
        <f>IF(AND($O373=$Q$7,$B373&lt;'111'!$L$11),"x","")</f>
        <v/>
      </c>
      <c r="T373" s="84" t="str">
        <f>IF(ISERROR(FIND('112'!$M$9,G373,1)),"",IF((AND(FIND('112'!$M$9,G373,1)&gt;=1,B373='112'!$K$9,OR($N373='112'!$I$6,$O373='112'!$I$6))),"x",""))</f>
        <v/>
      </c>
      <c r="U373" s="84" t="str">
        <f>IF(ISERROR(FIND('112'!$M$9,G373,1)),"",IF((AND(LEFT(G373,2)=LEFT('112'!$M$9,2),B373&lt;'112'!$K$9,$N373='112'!$I$6)),"x",""))</f>
        <v/>
      </c>
      <c r="V373" s="84" t="str">
        <f>IF(ISERROR(FIND('112'!$M$9,G373,1)),"",IF((AND(RIGHT(G373,2)=RIGHT('112'!$M$9,2),B373&lt;'112'!$K$9,$O373='112'!$I$6)),"x",""))</f>
        <v/>
      </c>
      <c r="W373" s="84" t="str">
        <f>IF(AND('341-CT'!$H$9=H373,OR(LEFT(N373,3)=$W$7,LEFT(O373,3)=$W$7)),"x","")</f>
        <v/>
      </c>
      <c r="X373" s="84" t="str">
        <f>IF(OR(TH!N373=TH!$X$7,O373=TH!$X$7),"x","")</f>
        <v/>
      </c>
      <c r="Y373" s="84" t="str">
        <f>IF(AND(OR(N373="131",O373="131"),H373='131-CT'!$H$9),"x","")</f>
        <v/>
      </c>
      <c r="Z373" s="84"/>
      <c r="AA373" s="84" t="str">
        <f>IF(AND(MONTH(E373)='IN-NX'!$J$5,'IN-NX'!$D$7=D373),"x","")</f>
        <v/>
      </c>
      <c r="AB373" s="84" t="str">
        <f>IF(AND(OR(LEFT(TH!N373,2)="15",LEFT(TH!O373,2)="15"),LEFT(TH!O373,3)&lt;&gt;"111",'152-CT'!$J$8=TH!F373),"x","")</f>
        <v/>
      </c>
      <c r="AC373" s="84" t="str">
        <f>IF(AND(OR(LEFT(TH!N373,2)="15",LEFT(TH!O373,2)="15"),TK!$E$7=TH!F373),"x","")</f>
        <v/>
      </c>
      <c r="AD373" s="84" t="str">
        <f>IF(AND(N373="1521",MONTH(C373)='BK-NL'!$M$11),"x","")</f>
        <v/>
      </c>
      <c r="AE373" s="1146" t="str">
        <f t="shared" si="67"/>
        <v>x</v>
      </c>
    </row>
    <row r="374" spans="1:31" s="341" customFormat="1" ht="15.75" hidden="1" customHeight="1">
      <c r="A374" s="336" t="str">
        <f>IF(B374&lt;&gt;"",IF(AND(B374='IN-TC'!$S$4,OR(TH!N374="1111",TH!O374="1111")),TH!D374,""),"")</f>
        <v/>
      </c>
      <c r="B374" s="63">
        <f t="shared" si="68"/>
        <v>5</v>
      </c>
      <c r="C374" s="64">
        <v>42492</v>
      </c>
      <c r="D374" s="64" t="s">
        <v>686</v>
      </c>
      <c r="E374" s="64">
        <f>C374</f>
        <v>42492</v>
      </c>
      <c r="F374" s="67" t="s">
        <v>339</v>
      </c>
      <c r="G374" s="982"/>
      <c r="H374" s="73" t="s">
        <v>449</v>
      </c>
      <c r="I374" s="439">
        <v>25</v>
      </c>
      <c r="J374" s="439">
        <v>35444.444444444445</v>
      </c>
      <c r="K374" s="430"/>
      <c r="L374" s="439"/>
      <c r="M374" s="65">
        <f t="shared" ref="M374:M381" si="69">ROUND(I374*J374,0)</f>
        <v>886111</v>
      </c>
      <c r="N374" s="66" t="s">
        <v>282</v>
      </c>
      <c r="O374" s="66" t="s">
        <v>276</v>
      </c>
      <c r="P374" s="84" t="str">
        <f>IF(AND('331-CT'!$E$7=TH!H374,OR(N374="331",O374="331")),"x","")</f>
        <v/>
      </c>
      <c r="Q374" s="84" t="str">
        <f>IF(AND(B374='111'!$L$11,OR($N374=$Q$7,$O374=$Q$7)),"x","")</f>
        <v/>
      </c>
      <c r="R374" s="84" t="str">
        <f>IF(AND($N374=$Q$7,$B374&lt;'111'!$L$11),"x","")</f>
        <v/>
      </c>
      <c r="S374" s="84" t="str">
        <f>IF(AND($O374=$Q$7,$B374&lt;'111'!$L$11),"x","")</f>
        <v/>
      </c>
      <c r="T374" s="84" t="str">
        <f>IF(ISERROR(FIND('112'!$M$9,G374,1)),"",IF((AND(FIND('112'!$M$9,G374,1)&gt;=1,B374='112'!$K$9,OR($N374='112'!$I$6,$O374='112'!$I$6))),"x",""))</f>
        <v/>
      </c>
      <c r="U374" s="84" t="str">
        <f>IF(ISERROR(FIND('112'!$M$9,G374,1)),"",IF((AND(LEFT(G374,2)=LEFT('112'!$M$9,2),B374&lt;'112'!$K$9,$N374='112'!$I$6)),"x",""))</f>
        <v/>
      </c>
      <c r="V374" s="84" t="str">
        <f>IF(ISERROR(FIND('112'!$M$9,G374,1)),"",IF((AND(RIGHT(G374,2)=RIGHT('112'!$M$9,2),B374&lt;'112'!$K$9,$O374='112'!$I$6)),"x",""))</f>
        <v/>
      </c>
      <c r="W374" s="84" t="str">
        <f>IF(AND('341-CT'!$H$9=H374,OR(LEFT(N374,3)=$W$7,LEFT(O374,3)=$W$7)),"x","")</f>
        <v/>
      </c>
      <c r="X374" s="84" t="str">
        <f>IF(OR(TH!N374=TH!$X$7,O374=TH!$X$7),"x","")</f>
        <v/>
      </c>
      <c r="Y374" s="84" t="str">
        <f>IF(AND(OR(N374="131",O374="131"),H374='131-CT'!$H$9),"x","")</f>
        <v/>
      </c>
      <c r="Z374" s="84"/>
      <c r="AA374" s="84" t="str">
        <f>IF(AND(MONTH(E374)='IN-NX'!$J$5,'IN-NX'!$D$7=D374),"x","")</f>
        <v/>
      </c>
      <c r="AB374" s="84" t="str">
        <f>IF(AND(OR(LEFT(TH!N374,2)="15",LEFT(TH!O374,2)="15"),LEFT(TH!O374,3)&lt;&gt;"111",'152-CT'!$J$8=TH!F374),"x","")</f>
        <v/>
      </c>
      <c r="AC374" s="84" t="str">
        <f>IF(AND(OR(LEFT(TH!N374,2)="15",LEFT(TH!O374,2)="15"),TK!$E$7=TH!F374),"x","")</f>
        <v/>
      </c>
      <c r="AD374" s="84" t="str">
        <f>IF(AND(N374="1521",MONTH(C374)='BK-NL'!$M$11),"x","")</f>
        <v/>
      </c>
    </row>
    <row r="375" spans="1:31" s="341" customFormat="1" ht="15.75" hidden="1" customHeight="1">
      <c r="A375" s="336" t="str">
        <f>IF(B375&lt;&gt;"",IF(AND(B375='IN-TC'!$S$4,OR(TH!N375="1111",TH!O375="1111")),TH!D375,""),"")</f>
        <v/>
      </c>
      <c r="B375" s="63">
        <f t="shared" si="68"/>
        <v>5</v>
      </c>
      <c r="C375" s="64">
        <v>42492</v>
      </c>
      <c r="D375" s="64" t="s">
        <v>686</v>
      </c>
      <c r="E375" s="64">
        <f t="shared" ref="E375:E381" si="70">C375</f>
        <v>42492</v>
      </c>
      <c r="F375" s="67" t="s">
        <v>345</v>
      </c>
      <c r="G375" s="982"/>
      <c r="H375" s="73" t="s">
        <v>449</v>
      </c>
      <c r="I375" s="439">
        <v>60</v>
      </c>
      <c r="J375" s="439">
        <v>46741.2</v>
      </c>
      <c r="K375" s="430"/>
      <c r="L375" s="439"/>
      <c r="M375" s="65">
        <f t="shared" si="69"/>
        <v>2804472</v>
      </c>
      <c r="N375" s="66" t="s">
        <v>282</v>
      </c>
      <c r="O375" s="66" t="s">
        <v>276</v>
      </c>
      <c r="P375" s="84" t="str">
        <f>IF(AND('331-CT'!$E$7=TH!H375,OR(N375="331",O375="331")),"x","")</f>
        <v/>
      </c>
      <c r="Q375" s="84" t="str">
        <f>IF(AND(B375='111'!$L$11,OR($N375=$Q$7,$O375=$Q$7)),"x","")</f>
        <v/>
      </c>
      <c r="R375" s="84" t="str">
        <f>IF(AND($N375=$Q$7,$B375&lt;'111'!$L$11),"x","")</f>
        <v/>
      </c>
      <c r="S375" s="84" t="str">
        <f>IF(AND($O375=$Q$7,$B375&lt;'111'!$L$11),"x","")</f>
        <v/>
      </c>
      <c r="T375" s="84" t="str">
        <f>IF(ISERROR(FIND('112'!$M$9,G375,1)),"",IF((AND(FIND('112'!$M$9,G375,1)&gt;=1,B375='112'!$K$9,OR($N375='112'!$I$6,$O375='112'!$I$6))),"x",""))</f>
        <v/>
      </c>
      <c r="U375" s="84" t="str">
        <f>IF(ISERROR(FIND('112'!$M$9,G375,1)),"",IF((AND(LEFT(G375,2)=LEFT('112'!$M$9,2),B375&lt;'112'!$K$9,$N375='112'!$I$6)),"x",""))</f>
        <v/>
      </c>
      <c r="V375" s="84" t="str">
        <f>IF(ISERROR(FIND('112'!$M$9,G375,1)),"",IF((AND(RIGHT(G375,2)=RIGHT('112'!$M$9,2),B375&lt;'112'!$K$9,$O375='112'!$I$6)),"x",""))</f>
        <v/>
      </c>
      <c r="W375" s="84" t="str">
        <f>IF(AND('341-CT'!$H$9=H375,OR(LEFT(N375,3)=$W$7,LEFT(O375,3)=$W$7)),"x","")</f>
        <v/>
      </c>
      <c r="X375" s="84" t="str">
        <f>IF(OR(TH!N375=TH!$X$7,O375=TH!$X$7),"x","")</f>
        <v/>
      </c>
      <c r="Y375" s="84" t="str">
        <f>IF(AND(OR(N375="131",O375="131"),H375='131-CT'!$H$9),"x","")</f>
        <v/>
      </c>
      <c r="Z375" s="84"/>
      <c r="AA375" s="84" t="str">
        <f>IF(AND(MONTH(E375)='IN-NX'!$J$5,'IN-NX'!$D$7=D375),"x","")</f>
        <v/>
      </c>
      <c r="AB375" s="84" t="str">
        <f>IF(AND(OR(LEFT(TH!N375,2)="15",LEFT(TH!O375,2)="15"),LEFT(TH!O375,3)&lt;&gt;"111",'152-CT'!$J$8=TH!F375),"x","")</f>
        <v/>
      </c>
      <c r="AC375" s="84" t="str">
        <f>IF(AND(OR(LEFT(TH!N375,2)="15",LEFT(TH!O375,2)="15"),TK!$E$7=TH!F375),"x","")</f>
        <v/>
      </c>
      <c r="AD375" s="84" t="str">
        <f>IF(AND(N375="1521",MONTH(C375)='BK-NL'!$M$11),"x","")</f>
        <v/>
      </c>
    </row>
    <row r="376" spans="1:31" s="341" customFormat="1" ht="15.75" hidden="1" customHeight="1">
      <c r="A376" s="336" t="str">
        <f>IF(B376&lt;&gt;"",IF(AND(B376='IN-TC'!$S$4,OR(TH!N376="1111",TH!O376="1111")),TH!D376,""),"")</f>
        <v/>
      </c>
      <c r="B376" s="63">
        <f t="shared" si="68"/>
        <v>5</v>
      </c>
      <c r="C376" s="64">
        <v>42492</v>
      </c>
      <c r="D376" s="64" t="s">
        <v>686</v>
      </c>
      <c r="E376" s="64">
        <f t="shared" si="70"/>
        <v>42492</v>
      </c>
      <c r="F376" s="67" t="s">
        <v>348</v>
      </c>
      <c r="G376" s="67"/>
      <c r="H376" s="73" t="s">
        <v>449</v>
      </c>
      <c r="I376" s="439">
        <v>270</v>
      </c>
      <c r="J376" s="439">
        <v>13571.429</v>
      </c>
      <c r="K376" s="430"/>
      <c r="L376" s="439"/>
      <c r="M376" s="65">
        <f t="shared" si="69"/>
        <v>3664286</v>
      </c>
      <c r="N376" s="66" t="s">
        <v>282</v>
      </c>
      <c r="O376" s="66" t="s">
        <v>276</v>
      </c>
      <c r="P376" s="84" t="str">
        <f>IF(AND('331-CT'!$E$7=TH!H376,OR(N376="331",O376="331")),"x","")</f>
        <v/>
      </c>
      <c r="Q376" s="84" t="str">
        <f>IF(AND(B376='111'!$L$11,OR($N376=$Q$7,$O376=$Q$7)),"x","")</f>
        <v/>
      </c>
      <c r="R376" s="84" t="str">
        <f>IF(AND($N376=$Q$7,$B376&lt;'111'!$L$11),"x","")</f>
        <v/>
      </c>
      <c r="S376" s="84" t="str">
        <f>IF(AND($O376=$Q$7,$B376&lt;'111'!$L$11),"x","")</f>
        <v/>
      </c>
      <c r="T376" s="84" t="str">
        <f>IF(ISERROR(FIND('112'!$M$9,G376,1)),"",IF((AND(FIND('112'!$M$9,G376,1)&gt;=1,B376='112'!$K$9,OR($N376='112'!$I$6,$O376='112'!$I$6))),"x",""))</f>
        <v/>
      </c>
      <c r="U376" s="84" t="str">
        <f>IF(ISERROR(FIND('112'!$M$9,G376,1)),"",IF((AND(LEFT(G376,2)=LEFT('112'!$M$9,2),B376&lt;'112'!$K$9,$N376='112'!$I$6)),"x",""))</f>
        <v/>
      </c>
      <c r="V376" s="84" t="str">
        <f>IF(ISERROR(FIND('112'!$M$9,G376,1)),"",IF((AND(RIGHT(G376,2)=RIGHT('112'!$M$9,2),B376&lt;'112'!$K$9,$O376='112'!$I$6)),"x",""))</f>
        <v/>
      </c>
      <c r="W376" s="84" t="str">
        <f>IF(AND('341-CT'!$H$9=H376,OR(LEFT(N376,3)=$W$7,LEFT(O376,3)=$W$7)),"x","")</f>
        <v/>
      </c>
      <c r="X376" s="84" t="str">
        <f>IF(OR(TH!N376=TH!$X$7,O376=TH!$X$7),"x","")</f>
        <v/>
      </c>
      <c r="Y376" s="84" t="str">
        <f>IF(AND(OR(N376="131",O376="131"),H376='131-CT'!$H$9),"x","")</f>
        <v/>
      </c>
      <c r="Z376" s="84"/>
      <c r="AA376" s="84" t="str">
        <f>IF(AND(MONTH(E376)='IN-NX'!$J$5,'IN-NX'!$D$7=D376),"x","")</f>
        <v/>
      </c>
      <c r="AB376" s="84" t="str">
        <f>IF(AND(OR(LEFT(TH!N376,2)="15",LEFT(TH!O376,2)="15"),LEFT(TH!O376,3)&lt;&gt;"111",'152-CT'!$J$8=TH!F376),"x","")</f>
        <v/>
      </c>
      <c r="AC376" s="84" t="str">
        <f>IF(AND(OR(LEFT(TH!N376,2)="15",LEFT(TH!O376,2)="15"),TK!$E$7=TH!F376),"x","")</f>
        <v>x</v>
      </c>
      <c r="AD376" s="84" t="str">
        <f>IF(AND(N376="1521",MONTH(C376)='BK-NL'!$M$11),"x","")</f>
        <v/>
      </c>
    </row>
    <row r="377" spans="1:31" s="341" customFormat="1" ht="15.75" hidden="1" customHeight="1">
      <c r="A377" s="336" t="str">
        <f>IF(B377&lt;&gt;"",IF(AND(B377='IN-TC'!$S$4,OR(TH!N377="1111",TH!O377="1111")),TH!D377,""),"")</f>
        <v/>
      </c>
      <c r="B377" s="63">
        <f t="shared" si="68"/>
        <v>5</v>
      </c>
      <c r="C377" s="64">
        <v>42492</v>
      </c>
      <c r="D377" s="64" t="s">
        <v>686</v>
      </c>
      <c r="E377" s="64">
        <f t="shared" si="70"/>
        <v>42492</v>
      </c>
      <c r="F377" s="67" t="s">
        <v>224</v>
      </c>
      <c r="G377" s="67"/>
      <c r="H377" s="73" t="s">
        <v>449</v>
      </c>
      <c r="I377" s="439">
        <v>450</v>
      </c>
      <c r="J377" s="439">
        <v>18414.14</v>
      </c>
      <c r="K377" s="430"/>
      <c r="L377" s="439"/>
      <c r="M377" s="65">
        <f t="shared" si="69"/>
        <v>8286363</v>
      </c>
      <c r="N377" s="66" t="s">
        <v>282</v>
      </c>
      <c r="O377" s="66" t="s">
        <v>276</v>
      </c>
      <c r="P377" s="84" t="str">
        <f>IF(AND('331-CT'!$E$7=TH!H377,OR(N377="331",O377="331")),"x","")</f>
        <v/>
      </c>
      <c r="Q377" s="84" t="str">
        <f>IF(AND(B377='111'!$L$11,OR($N377=$Q$7,$O377=$Q$7)),"x","")</f>
        <v/>
      </c>
      <c r="R377" s="84" t="str">
        <f>IF(AND($N377=$Q$7,$B377&lt;'111'!$L$11),"x","")</f>
        <v/>
      </c>
      <c r="S377" s="84" t="str">
        <f>IF(AND($O377=$Q$7,$B377&lt;'111'!$L$11),"x","")</f>
        <v/>
      </c>
      <c r="T377" s="84" t="str">
        <f>IF(ISERROR(FIND('112'!$M$9,G377,1)),"",IF((AND(FIND('112'!$M$9,G377,1)&gt;=1,B377='112'!$K$9,OR($N377='112'!$I$6,$O377='112'!$I$6))),"x",""))</f>
        <v/>
      </c>
      <c r="U377" s="84" t="str">
        <f>IF(ISERROR(FIND('112'!$M$9,G377,1)),"",IF((AND(LEFT(G377,2)=LEFT('112'!$M$9,2),B377&lt;'112'!$K$9,$N377='112'!$I$6)),"x",""))</f>
        <v/>
      </c>
      <c r="V377" s="84" t="str">
        <f>IF(ISERROR(FIND('112'!$M$9,G377,1)),"",IF((AND(RIGHT(G377,2)=RIGHT('112'!$M$9,2),B377&lt;'112'!$K$9,$O377='112'!$I$6)),"x",""))</f>
        <v/>
      </c>
      <c r="W377" s="84" t="str">
        <f>IF(AND('341-CT'!$H$9=H377,OR(LEFT(N377,3)=$W$7,LEFT(O377,3)=$W$7)),"x","")</f>
        <v/>
      </c>
      <c r="X377" s="84" t="str">
        <f>IF(OR(TH!N377=TH!$X$7,O377=TH!$X$7),"x","")</f>
        <v/>
      </c>
      <c r="Y377" s="84" t="str">
        <f>IF(AND(OR(N377="131",O377="131"),H377='131-CT'!$H$9),"x","")</f>
        <v/>
      </c>
      <c r="Z377" s="84"/>
      <c r="AA377" s="84" t="str">
        <f>IF(AND(MONTH(E377)='IN-NX'!$J$5,'IN-NX'!$D$7=D377),"x","")</f>
        <v/>
      </c>
      <c r="AB377" s="84" t="str">
        <f>IF(AND(OR(LEFT(TH!N377,2)="15",LEFT(TH!O377,2)="15"),LEFT(TH!O377,3)&lt;&gt;"111",'152-CT'!$J$8=TH!F377),"x","")</f>
        <v/>
      </c>
      <c r="AC377" s="84" t="str">
        <f>IF(AND(OR(LEFT(TH!N377,2)="15",LEFT(TH!O377,2)="15"),TK!$E$7=TH!F377),"x","")</f>
        <v/>
      </c>
      <c r="AD377" s="84" t="str">
        <f>IF(AND(N377="1521",MONTH(C377)='BK-NL'!$M$11),"x","")</f>
        <v/>
      </c>
    </row>
    <row r="378" spans="1:31" s="341" customFormat="1" ht="15.75" hidden="1" customHeight="1">
      <c r="A378" s="336" t="str">
        <f>IF(B378&lt;&gt;"",IF(AND(B378='IN-TC'!$S$4,OR(TH!N378="1111",TH!O378="1111")),TH!D378,""),"")</f>
        <v/>
      </c>
      <c r="B378" s="63">
        <f t="shared" si="68"/>
        <v>5</v>
      </c>
      <c r="C378" s="64">
        <v>42492</v>
      </c>
      <c r="D378" s="64" t="s">
        <v>686</v>
      </c>
      <c r="E378" s="64">
        <f t="shared" si="70"/>
        <v>42492</v>
      </c>
      <c r="F378" s="67" t="s">
        <v>353</v>
      </c>
      <c r="G378" s="67"/>
      <c r="H378" s="73" t="s">
        <v>449</v>
      </c>
      <c r="I378" s="439">
        <v>1000</v>
      </c>
      <c r="J378" s="439">
        <v>3200</v>
      </c>
      <c r="K378" s="430"/>
      <c r="L378" s="439"/>
      <c r="M378" s="65">
        <f t="shared" si="69"/>
        <v>3200000</v>
      </c>
      <c r="N378" s="66" t="s">
        <v>282</v>
      </c>
      <c r="O378" s="66" t="s">
        <v>276</v>
      </c>
      <c r="P378" s="84" t="str">
        <f>IF(AND('331-CT'!$E$7=TH!H378,OR(N378="331",O378="331")),"x","")</f>
        <v/>
      </c>
      <c r="Q378" s="84" t="str">
        <f>IF(AND(B378='111'!$L$11,OR($N378=$Q$7,$O378=$Q$7)),"x","")</f>
        <v/>
      </c>
      <c r="R378" s="84" t="str">
        <f>IF(AND($N378=$Q$7,$B378&lt;'111'!$L$11),"x","")</f>
        <v/>
      </c>
      <c r="S378" s="84" t="str">
        <f>IF(AND($O378=$Q$7,$B378&lt;'111'!$L$11),"x","")</f>
        <v/>
      </c>
      <c r="T378" s="84" t="str">
        <f>IF(ISERROR(FIND('112'!$M$9,G378,1)),"",IF((AND(FIND('112'!$M$9,G378,1)&gt;=1,B378='112'!$K$9,OR($N378='112'!$I$6,$O378='112'!$I$6))),"x",""))</f>
        <v/>
      </c>
      <c r="U378" s="84" t="str">
        <f>IF(ISERROR(FIND('112'!$M$9,G378,1)),"",IF((AND(LEFT(G378,2)=LEFT('112'!$M$9,2),B378&lt;'112'!$K$9,$N378='112'!$I$6)),"x",""))</f>
        <v/>
      </c>
      <c r="V378" s="84" t="str">
        <f>IF(ISERROR(FIND('112'!$M$9,G378,1)),"",IF((AND(RIGHT(G378,2)=RIGHT('112'!$M$9,2),B378&lt;'112'!$K$9,$O378='112'!$I$6)),"x",""))</f>
        <v/>
      </c>
      <c r="W378" s="84" t="str">
        <f>IF(AND('341-CT'!$H$9=H378,OR(LEFT(N378,3)=$W$7,LEFT(O378,3)=$W$7)),"x","")</f>
        <v/>
      </c>
      <c r="X378" s="84" t="str">
        <f>IF(OR(TH!N378=TH!$X$7,O378=TH!$X$7),"x","")</f>
        <v/>
      </c>
      <c r="Y378" s="84" t="str">
        <f>IF(AND(OR(N378="131",O378="131"),H378='131-CT'!$H$9),"x","")</f>
        <v/>
      </c>
      <c r="Z378" s="84"/>
      <c r="AA378" s="84" t="str">
        <f>IF(AND(MONTH(E378)='IN-NX'!$J$5,'IN-NX'!$D$7=D378),"x","")</f>
        <v/>
      </c>
      <c r="AB378" s="84" t="str">
        <f>IF(AND(OR(LEFT(TH!N378,2)="15",LEFT(TH!O378,2)="15"),LEFT(TH!O378,3)&lt;&gt;"111",'152-CT'!$J$8=TH!F378),"x","")</f>
        <v/>
      </c>
      <c r="AC378" s="84" t="str">
        <f>IF(AND(OR(LEFT(TH!N378,2)="15",LEFT(TH!O378,2)="15"),TK!$E$7=TH!F378),"x","")</f>
        <v/>
      </c>
      <c r="AD378" s="84" t="str">
        <f>IF(AND(N378="1521",MONTH(C378)='BK-NL'!$M$11),"x","")</f>
        <v/>
      </c>
    </row>
    <row r="379" spans="1:31" s="341" customFormat="1" ht="15.75" hidden="1" customHeight="1">
      <c r="A379" s="336" t="str">
        <f>IF(B379&lt;&gt;"",IF(AND(B379='IN-TC'!$S$4,OR(TH!N379="1111",TH!O379="1111")),TH!D379,""),"")</f>
        <v/>
      </c>
      <c r="B379" s="63">
        <f t="shared" si="68"/>
        <v>5</v>
      </c>
      <c r="C379" s="64">
        <v>42492</v>
      </c>
      <c r="D379" s="64" t="s">
        <v>686</v>
      </c>
      <c r="E379" s="64">
        <f t="shared" si="70"/>
        <v>42492</v>
      </c>
      <c r="F379" s="67" t="s">
        <v>356</v>
      </c>
      <c r="G379" s="67"/>
      <c r="H379" s="73" t="s">
        <v>449</v>
      </c>
      <c r="I379" s="439">
        <v>1620</v>
      </c>
      <c r="J379" s="439">
        <v>14900</v>
      </c>
      <c r="K379" s="430"/>
      <c r="L379" s="439"/>
      <c r="M379" s="65">
        <f t="shared" si="69"/>
        <v>24138000</v>
      </c>
      <c r="N379" s="66" t="s">
        <v>282</v>
      </c>
      <c r="O379" s="66" t="s">
        <v>276</v>
      </c>
      <c r="P379" s="84" t="str">
        <f>IF(AND('331-CT'!$E$7=TH!H379,OR(N379="331",O379="331")),"x","")</f>
        <v/>
      </c>
      <c r="Q379" s="84" t="str">
        <f>IF(AND(B379='111'!$L$11,OR($N379=$Q$7,$O379=$Q$7)),"x","")</f>
        <v/>
      </c>
      <c r="R379" s="84" t="str">
        <f>IF(AND($N379=$Q$7,$B379&lt;'111'!$L$11),"x","")</f>
        <v/>
      </c>
      <c r="S379" s="84" t="str">
        <f>IF(AND($O379=$Q$7,$B379&lt;'111'!$L$11),"x","")</f>
        <v/>
      </c>
      <c r="T379" s="84" t="str">
        <f>IF(ISERROR(FIND('112'!$M$9,G379,1)),"",IF((AND(FIND('112'!$M$9,G379,1)&gt;=1,B379='112'!$K$9,OR($N379='112'!$I$6,$O379='112'!$I$6))),"x",""))</f>
        <v/>
      </c>
      <c r="U379" s="84" t="str">
        <f>IF(ISERROR(FIND('112'!$M$9,G379,1)),"",IF((AND(LEFT(G379,2)=LEFT('112'!$M$9,2),B379&lt;'112'!$K$9,$N379='112'!$I$6)),"x",""))</f>
        <v/>
      </c>
      <c r="V379" s="84" t="str">
        <f>IF(ISERROR(FIND('112'!$M$9,G379,1)),"",IF((AND(RIGHT(G379,2)=RIGHT('112'!$M$9,2),B379&lt;'112'!$K$9,$O379='112'!$I$6)),"x",""))</f>
        <v/>
      </c>
      <c r="W379" s="84" t="str">
        <f>IF(AND('341-CT'!$H$9=H379,OR(LEFT(N379,3)=$W$7,LEFT(O379,3)=$W$7)),"x","")</f>
        <v/>
      </c>
      <c r="X379" s="84" t="str">
        <f>IF(OR(TH!N379=TH!$X$7,O379=TH!$X$7),"x","")</f>
        <v/>
      </c>
      <c r="Y379" s="84" t="str">
        <f>IF(AND(OR(N379="131",O379="131"),H379='131-CT'!$H$9),"x","")</f>
        <v/>
      </c>
      <c r="Z379" s="84"/>
      <c r="AA379" s="84" t="str">
        <f>IF(AND(MONTH(E379)='IN-NX'!$J$5,'IN-NX'!$D$7=D379),"x","")</f>
        <v/>
      </c>
      <c r="AB379" s="84" t="str">
        <f>IF(AND(OR(LEFT(TH!N379,2)="15",LEFT(TH!O379,2)="15"),LEFT(TH!O379,3)&lt;&gt;"111",'152-CT'!$J$8=TH!F379),"x","")</f>
        <v/>
      </c>
      <c r="AC379" s="84" t="str">
        <f>IF(AND(OR(LEFT(TH!N379,2)="15",LEFT(TH!O379,2)="15"),TK!$E$7=TH!F379),"x","")</f>
        <v/>
      </c>
      <c r="AD379" s="84" t="str">
        <f>IF(AND(N379="1521",MONTH(C379)='BK-NL'!$M$11),"x","")</f>
        <v/>
      </c>
    </row>
    <row r="380" spans="1:31" s="341" customFormat="1" ht="15.75" hidden="1" customHeight="1">
      <c r="A380" s="336" t="str">
        <f>IF(B380&lt;&gt;"",IF(AND(B380='IN-TC'!$S$4,OR(TH!N380="1111",TH!O380="1111")),TH!D380,""),"")</f>
        <v/>
      </c>
      <c r="B380" s="63">
        <f t="shared" si="68"/>
        <v>5</v>
      </c>
      <c r="C380" s="64">
        <v>42493</v>
      </c>
      <c r="D380" s="64" t="s">
        <v>687</v>
      </c>
      <c r="E380" s="64">
        <f t="shared" si="70"/>
        <v>42493</v>
      </c>
      <c r="F380" s="67" t="s">
        <v>359</v>
      </c>
      <c r="G380" s="67"/>
      <c r="H380" s="73" t="s">
        <v>449</v>
      </c>
      <c r="I380" s="439">
        <v>250</v>
      </c>
      <c r="J380" s="439">
        <v>8500</v>
      </c>
      <c r="K380" s="430"/>
      <c r="L380" s="439"/>
      <c r="M380" s="65">
        <f t="shared" si="69"/>
        <v>2125000</v>
      </c>
      <c r="N380" s="66" t="s">
        <v>282</v>
      </c>
      <c r="O380" s="66" t="s">
        <v>276</v>
      </c>
      <c r="P380" s="84" t="str">
        <f>IF(AND('331-CT'!$E$7=TH!H380,OR(N380="331",O380="331")),"x","")</f>
        <v/>
      </c>
      <c r="Q380" s="84" t="str">
        <f>IF(AND(B380='111'!$L$11,OR($N380=$Q$7,$O380=$Q$7)),"x","")</f>
        <v/>
      </c>
      <c r="R380" s="84" t="str">
        <f>IF(AND($N380=$Q$7,$B380&lt;'111'!$L$11),"x","")</f>
        <v/>
      </c>
      <c r="S380" s="84" t="str">
        <f>IF(AND($O380=$Q$7,$B380&lt;'111'!$L$11),"x","")</f>
        <v/>
      </c>
      <c r="T380" s="84" t="str">
        <f>IF(ISERROR(FIND('112'!$M$9,G380,1)),"",IF((AND(FIND('112'!$M$9,G380,1)&gt;=1,B380='112'!$K$9,OR($N380='112'!$I$6,$O380='112'!$I$6))),"x",""))</f>
        <v/>
      </c>
      <c r="U380" s="84" t="str">
        <f>IF(ISERROR(FIND('112'!$M$9,G380,1)),"",IF((AND(LEFT(G380,2)=LEFT('112'!$M$9,2),B380&lt;'112'!$K$9,$N380='112'!$I$6)),"x",""))</f>
        <v/>
      </c>
      <c r="V380" s="84" t="str">
        <f>IF(ISERROR(FIND('112'!$M$9,G380,1)),"",IF((AND(RIGHT(G380,2)=RIGHT('112'!$M$9,2),B380&lt;'112'!$K$9,$O380='112'!$I$6)),"x",""))</f>
        <v/>
      </c>
      <c r="W380" s="84" t="str">
        <f>IF(AND('341-CT'!$H$9=H380,OR(LEFT(N380,3)=$W$7,LEFT(O380,3)=$W$7)),"x","")</f>
        <v/>
      </c>
      <c r="X380" s="84" t="str">
        <f>IF(OR(TH!N380=TH!$X$7,O380=TH!$X$7),"x","")</f>
        <v/>
      </c>
      <c r="Y380" s="84" t="str">
        <f>IF(AND(OR(N380="131",O380="131"),H380='131-CT'!$H$9),"x","")</f>
        <v/>
      </c>
      <c r="Z380" s="84"/>
      <c r="AA380" s="84" t="str">
        <f>IF(AND(MONTH(E380)='IN-NX'!$J$5,'IN-NX'!$D$7=D380),"x","")</f>
        <v/>
      </c>
      <c r="AB380" s="84" t="str">
        <f>IF(AND(OR(LEFT(TH!N380,2)="15",LEFT(TH!O380,2)="15"),LEFT(TH!O380,3)&lt;&gt;"111",'152-CT'!$J$8=TH!F380),"x","")</f>
        <v/>
      </c>
      <c r="AC380" s="84" t="str">
        <f>IF(AND(OR(LEFT(TH!N380,2)="15",LEFT(TH!O380,2)="15"),TK!$E$7=TH!F380),"x","")</f>
        <v/>
      </c>
      <c r="AD380" s="84" t="str">
        <f>IF(AND(N380="1521",MONTH(C380)='BK-NL'!$M$11),"x","")</f>
        <v/>
      </c>
    </row>
    <row r="381" spans="1:31" s="341" customFormat="1" ht="15.75" hidden="1" customHeight="1">
      <c r="A381" s="336" t="str">
        <f>IF(B381&lt;&gt;"",IF(AND(B381='IN-TC'!$S$4,OR(TH!N381="1111",TH!O381="1111")),TH!D381,""),"")</f>
        <v/>
      </c>
      <c r="B381" s="63">
        <f t="shared" si="68"/>
        <v>5</v>
      </c>
      <c r="C381" s="64">
        <v>42493</v>
      </c>
      <c r="D381" s="64" t="s">
        <v>687</v>
      </c>
      <c r="E381" s="64">
        <f t="shared" si="70"/>
        <v>42493</v>
      </c>
      <c r="F381" s="67" t="s">
        <v>363</v>
      </c>
      <c r="G381" s="67"/>
      <c r="H381" s="73" t="s">
        <v>449</v>
      </c>
      <c r="I381" s="441">
        <v>80</v>
      </c>
      <c r="J381" s="441">
        <v>33000</v>
      </c>
      <c r="K381" s="432"/>
      <c r="L381" s="441"/>
      <c r="M381" s="65">
        <f t="shared" si="69"/>
        <v>2640000</v>
      </c>
      <c r="N381" s="66" t="s">
        <v>282</v>
      </c>
      <c r="O381" s="66" t="s">
        <v>276</v>
      </c>
      <c r="P381" s="84" t="str">
        <f>IF(AND('331-CT'!$E$7=TH!H381,OR(N381="331",O381="331")),"x","")</f>
        <v/>
      </c>
      <c r="Q381" s="84" t="str">
        <f>IF(AND(B381='111'!$L$11,OR($N381=$Q$7,$O381=$Q$7)),"x","")</f>
        <v/>
      </c>
      <c r="R381" s="84" t="str">
        <f>IF(AND($N381=$Q$7,$B381&lt;'111'!$L$11),"x","")</f>
        <v/>
      </c>
      <c r="S381" s="84" t="str">
        <f>IF(AND($O381=$Q$7,$B381&lt;'111'!$L$11),"x","")</f>
        <v/>
      </c>
      <c r="T381" s="84" t="str">
        <f>IF(ISERROR(FIND('112'!$M$9,G381,1)),"",IF((AND(FIND('112'!$M$9,G381,1)&gt;=1,B381='112'!$K$9,OR($N381='112'!$I$6,$O381='112'!$I$6))),"x",""))</f>
        <v/>
      </c>
      <c r="U381" s="84" t="str">
        <f>IF(ISERROR(FIND('112'!$M$9,G381,1)),"",IF((AND(LEFT(G381,2)=LEFT('112'!$M$9,2),B381&lt;'112'!$K$9,$N381='112'!$I$6)),"x",""))</f>
        <v/>
      </c>
      <c r="V381" s="84" t="str">
        <f>IF(ISERROR(FIND('112'!$M$9,G381,1)),"",IF((AND(RIGHT(G381,2)=RIGHT('112'!$M$9,2),B381&lt;'112'!$K$9,$O381='112'!$I$6)),"x",""))</f>
        <v/>
      </c>
      <c r="W381" s="84" t="str">
        <f>IF(AND('341-CT'!$H$9=H381,OR(LEFT(N381,3)=$W$7,LEFT(O381,3)=$W$7)),"x","")</f>
        <v/>
      </c>
      <c r="X381" s="84" t="str">
        <f>IF(OR(TH!N381=TH!$X$7,O381=TH!$X$7),"x","")</f>
        <v/>
      </c>
      <c r="Y381" s="84" t="str">
        <f>IF(AND(OR(N381="131",O381="131"),H381='131-CT'!$H$9),"x","")</f>
        <v/>
      </c>
      <c r="Z381" s="84"/>
      <c r="AA381" s="84" t="str">
        <f>IF(AND(MONTH(E381)='IN-NX'!$J$5,'IN-NX'!$D$7=D381),"x","")</f>
        <v/>
      </c>
      <c r="AB381" s="84" t="str">
        <f>IF(AND(OR(LEFT(TH!N381,2)="15",LEFT(TH!O381,2)="15"),LEFT(TH!O381,3)&lt;&gt;"111",'152-CT'!$J$8=TH!F381),"x","")</f>
        <v>x</v>
      </c>
      <c r="AC381" s="84" t="str">
        <f>IF(AND(OR(LEFT(TH!N381,2)="15",LEFT(TH!O381,2)="15"),TK!$E$7=TH!F381),"x","")</f>
        <v/>
      </c>
      <c r="AD381" s="84" t="str">
        <f>IF(AND(N381="1521",MONTH(C381)='BK-NL'!$M$11),"x","")</f>
        <v/>
      </c>
    </row>
    <row r="382" spans="1:31" s="341" customFormat="1" ht="15.75" hidden="1" customHeight="1">
      <c r="A382" s="336" t="str">
        <f>IF(B382&lt;&gt;"",IF(AND(B382='IN-TC'!$S$4,OR(TH!N382="1111",TH!O382="1111")),TH!D382,""),"")</f>
        <v/>
      </c>
      <c r="B382" s="63">
        <f>IF(C382&lt;&gt;"",MONTH(C382),"")</f>
        <v>5</v>
      </c>
      <c r="C382" s="64">
        <v>42500</v>
      </c>
      <c r="D382" s="64" t="s">
        <v>689</v>
      </c>
      <c r="E382" s="64">
        <f t="shared" ref="E382:E388" si="71">C382</f>
        <v>42500</v>
      </c>
      <c r="F382" s="67" t="s">
        <v>401</v>
      </c>
      <c r="G382" s="67"/>
      <c r="H382" s="73" t="s">
        <v>449</v>
      </c>
      <c r="I382" s="441">
        <v>578</v>
      </c>
      <c r="J382" s="441">
        <v>18000</v>
      </c>
      <c r="K382" s="432"/>
      <c r="L382" s="441"/>
      <c r="M382" s="65">
        <f t="shared" ref="M382:M391" si="72">ROUND(I382*J382,0)</f>
        <v>10404000</v>
      </c>
      <c r="N382" s="66" t="s">
        <v>282</v>
      </c>
      <c r="O382" s="66" t="s">
        <v>276</v>
      </c>
      <c r="P382" s="84" t="str">
        <f>IF(AND('331-CT'!$E$7=TH!H382,OR(N382="331",O382="331")),"x","")</f>
        <v/>
      </c>
      <c r="Q382" s="84" t="str">
        <f>IF(AND(B382='111'!$L$11,OR($N382=$Q$7,$O382=$Q$7)),"x","")</f>
        <v/>
      </c>
      <c r="R382" s="84" t="str">
        <f>IF(AND($N382=$Q$7,$B382&lt;'111'!$L$11),"x","")</f>
        <v/>
      </c>
      <c r="S382" s="84" t="str">
        <f>IF(AND($O382=$Q$7,$B382&lt;'111'!$L$11),"x","")</f>
        <v/>
      </c>
      <c r="T382" s="84" t="str">
        <f>IF(ISERROR(FIND('112'!$M$9,G382,1)),"",IF((AND(FIND('112'!$M$9,G382,1)&gt;=1,B382='112'!$K$9,OR($N382='112'!$I$6,$O382='112'!$I$6))),"x",""))</f>
        <v/>
      </c>
      <c r="U382" s="84" t="str">
        <f>IF(ISERROR(FIND('112'!$M$9,G382,1)),"",IF((AND(LEFT(G382,2)=LEFT('112'!$M$9,2),B382&lt;'112'!$K$9,$N382='112'!$I$6)),"x",""))</f>
        <v/>
      </c>
      <c r="V382" s="84" t="str">
        <f>IF(ISERROR(FIND('112'!$M$9,G382,1)),"",IF((AND(RIGHT(G382,2)=RIGHT('112'!$M$9,2),B382&lt;'112'!$K$9,$O382='112'!$I$6)),"x",""))</f>
        <v/>
      </c>
      <c r="W382" s="84" t="str">
        <f>IF(AND('341-CT'!$H$9=H382,OR(LEFT(N382,3)=$W$7,LEFT(O382,3)=$W$7)),"x","")</f>
        <v/>
      </c>
      <c r="X382" s="84" t="str">
        <f>IF(OR(TH!N382=TH!$X$7,O382=TH!$X$7),"x","")</f>
        <v/>
      </c>
      <c r="Y382" s="84" t="str">
        <f>IF(AND(OR(N382="131",O382="131"),H382='131-CT'!$H$9),"x","")</f>
        <v/>
      </c>
      <c r="Z382" s="84"/>
      <c r="AA382" s="84" t="str">
        <f>IF(AND(MONTH(E382)='IN-NX'!$J$5,'IN-NX'!$D$7=D382),"x","")</f>
        <v/>
      </c>
      <c r="AB382" s="84" t="str">
        <f>IF(AND(OR(LEFT(TH!N382,2)="15",LEFT(TH!O382,2)="15"),LEFT(TH!O382,3)&lt;&gt;"111",'152-CT'!$J$8=TH!F382),"x","")</f>
        <v/>
      </c>
      <c r="AC382" s="84" t="str">
        <f>IF(AND(OR(LEFT(TH!N382,2)="15",LEFT(TH!O382,2)="15"),TK!$E$7=TH!F382),"x","")</f>
        <v/>
      </c>
      <c r="AD382" s="84" t="str">
        <f>IF(AND(N382="1521",MONTH(C382)='BK-NL'!$M$11),"x","")</f>
        <v/>
      </c>
    </row>
    <row r="383" spans="1:31" s="341" customFormat="1" ht="15.75" hidden="1" customHeight="1">
      <c r="A383" s="336" t="str">
        <f>IF(B383&lt;&gt;"",IF(AND(B383='IN-TC'!$S$4,OR(TH!N383="1111",TH!O383="1111")),TH!D383,""),"")</f>
        <v/>
      </c>
      <c r="B383" s="63">
        <f>IF(C383&lt;&gt;"",MONTH(C383),"")</f>
        <v>5</v>
      </c>
      <c r="C383" s="64">
        <v>42500</v>
      </c>
      <c r="D383" s="64" t="s">
        <v>689</v>
      </c>
      <c r="E383" s="64">
        <f t="shared" si="71"/>
        <v>42500</v>
      </c>
      <c r="F383" s="67" t="s">
        <v>653</v>
      </c>
      <c r="G383" s="67"/>
      <c r="H383" s="73" t="s">
        <v>449</v>
      </c>
      <c r="I383" s="441">
        <v>2200</v>
      </c>
      <c r="J383" s="441">
        <v>14000</v>
      </c>
      <c r="K383" s="432"/>
      <c r="L383" s="441"/>
      <c r="M383" s="65">
        <f t="shared" si="72"/>
        <v>30800000</v>
      </c>
      <c r="N383" s="66" t="s">
        <v>282</v>
      </c>
      <c r="O383" s="66" t="s">
        <v>276</v>
      </c>
      <c r="P383" s="84" t="str">
        <f>IF(AND('331-CT'!$E$7=TH!H383,OR(N383="331",O383="331")),"x","")</f>
        <v/>
      </c>
      <c r="Q383" s="84" t="str">
        <f>IF(AND(B383='111'!$L$11,OR($N383=$Q$7,$O383=$Q$7)),"x","")</f>
        <v/>
      </c>
      <c r="R383" s="84" t="str">
        <f>IF(AND($N383=$Q$7,$B383&lt;'111'!$L$11),"x","")</f>
        <v/>
      </c>
      <c r="S383" s="84" t="str">
        <f>IF(AND($O383=$Q$7,$B383&lt;'111'!$L$11),"x","")</f>
        <v/>
      </c>
      <c r="T383" s="84" t="str">
        <f>IF(ISERROR(FIND('112'!$M$9,G383,1)),"",IF((AND(FIND('112'!$M$9,G383,1)&gt;=1,B383='112'!$K$9,OR($N383='112'!$I$6,$O383='112'!$I$6))),"x",""))</f>
        <v/>
      </c>
      <c r="U383" s="84" t="str">
        <f>IF(ISERROR(FIND('112'!$M$9,G383,1)),"",IF((AND(LEFT(G383,2)=LEFT('112'!$M$9,2),B383&lt;'112'!$K$9,$N383='112'!$I$6)),"x",""))</f>
        <v/>
      </c>
      <c r="V383" s="84" t="str">
        <f>IF(ISERROR(FIND('112'!$M$9,G383,1)),"",IF((AND(RIGHT(G383,2)=RIGHT('112'!$M$9,2),B383&lt;'112'!$K$9,$O383='112'!$I$6)),"x",""))</f>
        <v/>
      </c>
      <c r="W383" s="84" t="str">
        <f>IF(AND('341-CT'!$H$9=H383,OR(LEFT(N383,3)=$W$7,LEFT(O383,3)=$W$7)),"x","")</f>
        <v/>
      </c>
      <c r="X383" s="84" t="str">
        <f>IF(OR(TH!N383=TH!$X$7,O383=TH!$X$7),"x","")</f>
        <v/>
      </c>
      <c r="Y383" s="84" t="str">
        <f>IF(AND(OR(N383="131",O383="131"),H383='131-CT'!$H$9),"x","")</f>
        <v/>
      </c>
      <c r="Z383" s="84"/>
      <c r="AA383" s="84" t="str">
        <f>IF(AND(MONTH(E383)='IN-NX'!$J$5,'IN-NX'!$D$7=D383),"x","")</f>
        <v/>
      </c>
      <c r="AB383" s="84" t="str">
        <f>IF(AND(OR(LEFT(TH!N383,2)="15",LEFT(TH!O383,2)="15"),LEFT(TH!O383,3)&lt;&gt;"111",'152-CT'!$J$8=TH!F383),"x","")</f>
        <v/>
      </c>
      <c r="AC383" s="84" t="str">
        <f>IF(AND(OR(LEFT(TH!N383,2)="15",LEFT(TH!O383,2)="15"),TK!$E$7=TH!F383),"x","")</f>
        <v/>
      </c>
      <c r="AD383" s="84" t="str">
        <f>IF(AND(N383="1521",MONTH(C383)='BK-NL'!$M$11),"x","")</f>
        <v/>
      </c>
    </row>
    <row r="384" spans="1:31" s="341" customFormat="1" ht="15.75" hidden="1" customHeight="1">
      <c r="A384" s="336" t="str">
        <f>IF(B384&lt;&gt;"",IF(AND(B384='IN-TC'!$S$4,OR(TH!N384="1111",TH!O384="1111")),TH!D384,""),"")</f>
        <v/>
      </c>
      <c r="B384" s="63">
        <f>IF(C384&lt;&gt;"",MONTH(C384),"")</f>
        <v>5</v>
      </c>
      <c r="C384" s="64">
        <v>42495</v>
      </c>
      <c r="D384" s="64" t="s">
        <v>688</v>
      </c>
      <c r="E384" s="64">
        <f t="shared" si="71"/>
        <v>42495</v>
      </c>
      <c r="F384" s="67" t="s">
        <v>387</v>
      </c>
      <c r="G384" s="67"/>
      <c r="H384" s="73" t="s">
        <v>449</v>
      </c>
      <c r="I384" s="441">
        <v>100</v>
      </c>
      <c r="J384" s="441">
        <v>16800</v>
      </c>
      <c r="K384" s="432"/>
      <c r="L384" s="441"/>
      <c r="M384" s="65">
        <f t="shared" si="72"/>
        <v>1680000</v>
      </c>
      <c r="N384" s="66" t="s">
        <v>282</v>
      </c>
      <c r="O384" s="66" t="s">
        <v>276</v>
      </c>
      <c r="P384" s="84" t="str">
        <f>IF(AND('331-CT'!$E$7=TH!H384,OR(N384="331",O384="331")),"x","")</f>
        <v/>
      </c>
      <c r="Q384" s="84" t="str">
        <f>IF(AND(B384='111'!$L$11,OR($N384=$Q$7,$O384=$Q$7)),"x","")</f>
        <v/>
      </c>
      <c r="R384" s="84" t="str">
        <f>IF(AND($N384=$Q$7,$B384&lt;'111'!$L$11),"x","")</f>
        <v/>
      </c>
      <c r="S384" s="84" t="str">
        <f>IF(AND($O384=$Q$7,$B384&lt;'111'!$L$11),"x","")</f>
        <v/>
      </c>
      <c r="T384" s="84" t="str">
        <f>IF(ISERROR(FIND('112'!$M$9,G384,1)),"",IF((AND(FIND('112'!$M$9,G384,1)&gt;=1,B384='112'!$K$9,OR($N384='112'!$I$6,$O384='112'!$I$6))),"x",""))</f>
        <v/>
      </c>
      <c r="U384" s="84" t="str">
        <f>IF(ISERROR(FIND('112'!$M$9,G384,1)),"",IF((AND(LEFT(G384,2)=LEFT('112'!$M$9,2),B384&lt;'112'!$K$9,$N384='112'!$I$6)),"x",""))</f>
        <v/>
      </c>
      <c r="V384" s="84" t="str">
        <f>IF(ISERROR(FIND('112'!$M$9,G384,1)),"",IF((AND(RIGHT(G384,2)=RIGHT('112'!$M$9,2),B384&lt;'112'!$K$9,$O384='112'!$I$6)),"x",""))</f>
        <v/>
      </c>
      <c r="W384" s="84" t="str">
        <f>IF(AND('341-CT'!$H$9=H384,OR(LEFT(N384,3)=$W$7,LEFT(O384,3)=$W$7)),"x","")</f>
        <v/>
      </c>
      <c r="X384" s="84" t="str">
        <f>IF(OR(TH!N384=TH!$X$7,O384=TH!$X$7),"x","")</f>
        <v/>
      </c>
      <c r="Y384" s="84" t="str">
        <f>IF(AND(OR(N384="131",O384="131"),H384='131-CT'!$H$9),"x","")</f>
        <v/>
      </c>
      <c r="Z384" s="84"/>
      <c r="AA384" s="84" t="str">
        <f>IF(AND(MONTH(E384)='IN-NX'!$J$5,'IN-NX'!$D$7=D384),"x","")</f>
        <v/>
      </c>
      <c r="AB384" s="84" t="str">
        <f>IF(AND(OR(LEFT(TH!N384,2)="15",LEFT(TH!O384,2)="15"),LEFT(TH!O384,3)&lt;&gt;"111",'152-CT'!$J$8=TH!F384),"x","")</f>
        <v/>
      </c>
      <c r="AC384" s="84" t="str">
        <f>IF(AND(OR(LEFT(TH!N384,2)="15",LEFT(TH!O384,2)="15"),TK!$E$7=TH!F384),"x","")</f>
        <v/>
      </c>
      <c r="AD384" s="84" t="str">
        <f>IF(AND(N384="1521",MONTH(C384)='BK-NL'!$M$11),"x","")</f>
        <v/>
      </c>
    </row>
    <row r="385" spans="1:32" s="341" customFormat="1" ht="15.75" hidden="1" customHeight="1">
      <c r="A385" s="336" t="str">
        <f>IF(B385&lt;&gt;"",IF(AND(B385='IN-TC'!$S$4,OR(TH!N385="1111",TH!O385="1111")),TH!D385,""),"")</f>
        <v/>
      </c>
      <c r="B385" s="63">
        <f>IF(C385&lt;&gt;"",MONTH(C385),"")</f>
        <v>5</v>
      </c>
      <c r="C385" s="64">
        <v>42495</v>
      </c>
      <c r="D385" s="64" t="s">
        <v>688</v>
      </c>
      <c r="E385" s="64">
        <f t="shared" si="71"/>
        <v>42495</v>
      </c>
      <c r="F385" s="67" t="s">
        <v>1514</v>
      </c>
      <c r="G385" s="67"/>
      <c r="H385" s="73" t="s">
        <v>449</v>
      </c>
      <c r="I385" s="441">
        <v>62</v>
      </c>
      <c r="J385" s="441">
        <v>13000</v>
      </c>
      <c r="K385" s="432"/>
      <c r="L385" s="441"/>
      <c r="M385" s="65">
        <f t="shared" si="72"/>
        <v>806000</v>
      </c>
      <c r="N385" s="66" t="s">
        <v>282</v>
      </c>
      <c r="O385" s="66" t="s">
        <v>276</v>
      </c>
      <c r="P385" s="84" t="str">
        <f>IF(AND('331-CT'!$E$7=TH!H385,OR(N385="331",O385="331")),"x","")</f>
        <v/>
      </c>
      <c r="Q385" s="84" t="str">
        <f>IF(AND(B385='111'!$L$11,OR($N385=$Q$7,$O385=$Q$7)),"x","")</f>
        <v/>
      </c>
      <c r="R385" s="84" t="str">
        <f>IF(AND($N385=$Q$7,$B385&lt;'111'!$L$11),"x","")</f>
        <v/>
      </c>
      <c r="S385" s="84" t="str">
        <f>IF(AND($O385=$Q$7,$B385&lt;'111'!$L$11),"x","")</f>
        <v/>
      </c>
      <c r="T385" s="84" t="str">
        <f>IF(ISERROR(FIND('112'!$M$9,G385,1)),"",IF((AND(FIND('112'!$M$9,G385,1)&gt;=1,B385='112'!$K$9,OR($N385='112'!$I$6,$O385='112'!$I$6))),"x",""))</f>
        <v/>
      </c>
      <c r="U385" s="84" t="str">
        <f>IF(ISERROR(FIND('112'!$M$9,G385,1)),"",IF((AND(LEFT(G385,2)=LEFT('112'!$M$9,2),B385&lt;'112'!$K$9,$N385='112'!$I$6)),"x",""))</f>
        <v/>
      </c>
      <c r="V385" s="84" t="str">
        <f>IF(ISERROR(FIND('112'!$M$9,G385,1)),"",IF((AND(RIGHT(G385,2)=RIGHT('112'!$M$9,2),B385&lt;'112'!$K$9,$O385='112'!$I$6)),"x",""))</f>
        <v/>
      </c>
      <c r="W385" s="84" t="str">
        <f>IF(AND('341-CT'!$H$9=H385,OR(LEFT(N385,3)=$W$7,LEFT(O385,3)=$W$7)),"x","")</f>
        <v/>
      </c>
      <c r="X385" s="84" t="str">
        <f>IF(OR(TH!N385=TH!$X$7,O385=TH!$X$7),"x","")</f>
        <v/>
      </c>
      <c r="Y385" s="84" t="str">
        <f>IF(AND(OR(N385="131",O385="131"),H385='131-CT'!$H$9),"x","")</f>
        <v/>
      </c>
      <c r="Z385" s="84"/>
      <c r="AA385" s="84" t="str">
        <f>IF(AND(MONTH(E385)='IN-NX'!$J$5,'IN-NX'!$D$7=D385),"x","")</f>
        <v/>
      </c>
      <c r="AB385" s="84" t="str">
        <f>IF(AND(OR(LEFT(TH!N385,2)="15",LEFT(TH!O385,2)="15"),LEFT(TH!O385,3)&lt;&gt;"111",'152-CT'!$J$8=TH!F385),"x","")</f>
        <v/>
      </c>
      <c r="AC385" s="84" t="str">
        <f>IF(AND(OR(LEFT(TH!N385,2)="15",LEFT(TH!O385,2)="15"),TK!$E$7=TH!F385),"x","")</f>
        <v/>
      </c>
      <c r="AD385" s="84" t="str">
        <f>IF(AND(N385="1521",MONTH(C385)='BK-NL'!$M$11),"x","")</f>
        <v/>
      </c>
    </row>
    <row r="386" spans="1:32" s="341" customFormat="1" ht="15.75" hidden="1" customHeight="1">
      <c r="A386" s="336" t="str">
        <f>IF(B386&lt;&gt;"",IF(AND(B386='IN-TC'!$S$4,OR(TH!N386="1111",TH!O386="1111")),TH!D386,""),"")</f>
        <v/>
      </c>
      <c r="B386" s="63">
        <f>IF(C386&lt;&gt;"",MONTH(C386),"")</f>
        <v>5</v>
      </c>
      <c r="C386" s="64">
        <v>42495</v>
      </c>
      <c r="D386" s="64" t="s">
        <v>688</v>
      </c>
      <c r="E386" s="64">
        <f t="shared" si="71"/>
        <v>42495</v>
      </c>
      <c r="F386" s="67" t="s">
        <v>1513</v>
      </c>
      <c r="G386" s="67"/>
      <c r="H386" s="73" t="s">
        <v>449</v>
      </c>
      <c r="I386" s="441">
        <v>100</v>
      </c>
      <c r="J386" s="441">
        <v>13000</v>
      </c>
      <c r="K386" s="432"/>
      <c r="L386" s="441"/>
      <c r="M386" s="65">
        <f t="shared" si="72"/>
        <v>1300000</v>
      </c>
      <c r="N386" s="66" t="s">
        <v>282</v>
      </c>
      <c r="O386" s="66" t="s">
        <v>276</v>
      </c>
      <c r="P386" s="84" t="str">
        <f>IF(AND('331-CT'!$E$7=TH!H386,OR(N386="331",O386="331")),"x","")</f>
        <v/>
      </c>
      <c r="Q386" s="84" t="str">
        <f>IF(AND(B386='111'!$L$11,OR($N386=$Q$7,$O386=$Q$7)),"x","")</f>
        <v/>
      </c>
      <c r="R386" s="84" t="str">
        <f>IF(AND($N386=$Q$7,$B386&lt;'111'!$L$11),"x","")</f>
        <v/>
      </c>
      <c r="S386" s="84" t="str">
        <f>IF(AND($O386=$Q$7,$B386&lt;'111'!$L$11),"x","")</f>
        <v/>
      </c>
      <c r="T386" s="84" t="str">
        <f>IF(ISERROR(FIND('112'!$M$9,G386,1)),"",IF((AND(FIND('112'!$M$9,G386,1)&gt;=1,B386='112'!$K$9,OR($N386='112'!$I$6,$O386='112'!$I$6))),"x",""))</f>
        <v/>
      </c>
      <c r="U386" s="84" t="str">
        <f>IF(ISERROR(FIND('112'!$M$9,G386,1)),"",IF((AND(LEFT(G386,2)=LEFT('112'!$M$9,2),B386&lt;'112'!$K$9,$N386='112'!$I$6)),"x",""))</f>
        <v/>
      </c>
      <c r="V386" s="84" t="str">
        <f>IF(ISERROR(FIND('112'!$M$9,G386,1)),"",IF((AND(RIGHT(G386,2)=RIGHT('112'!$M$9,2),B386&lt;'112'!$K$9,$O386='112'!$I$6)),"x",""))</f>
        <v/>
      </c>
      <c r="W386" s="84" t="str">
        <f>IF(AND('341-CT'!$H$9=H386,OR(LEFT(N386,3)=$W$7,LEFT(O386,3)=$W$7)),"x","")</f>
        <v/>
      </c>
      <c r="X386" s="84" t="str">
        <f>IF(OR(TH!N386=TH!$X$7,O386=TH!$X$7),"x","")</f>
        <v/>
      </c>
      <c r="Y386" s="84" t="str">
        <f>IF(AND(OR(N386="131",O386="131"),H386='131-CT'!$H$9),"x","")</f>
        <v/>
      </c>
      <c r="Z386" s="84"/>
      <c r="AA386" s="84" t="str">
        <f>IF(AND(MONTH(E386)='IN-NX'!$J$5,'IN-NX'!$D$7=D386),"x","")</f>
        <v/>
      </c>
      <c r="AB386" s="84" t="str">
        <f>IF(AND(OR(LEFT(TH!N386,2)="15",LEFT(TH!O386,2)="15"),LEFT(TH!O386,3)&lt;&gt;"111",'152-CT'!$J$8=TH!F386),"x","")</f>
        <v/>
      </c>
      <c r="AC386" s="84" t="str">
        <f>IF(AND(OR(LEFT(TH!N386,2)="15",LEFT(TH!O386,2)="15"),TK!$E$7=TH!F386),"x","")</f>
        <v/>
      </c>
      <c r="AD386" s="84" t="str">
        <f>IF(AND(N386="1521",MONTH(C386)='BK-NL'!$M$11),"x","")</f>
        <v/>
      </c>
    </row>
    <row r="387" spans="1:32" s="341" customFormat="1" ht="15.75" hidden="1" customHeight="1">
      <c r="A387" s="336" t="str">
        <f>IF(B387&lt;&gt;"",IF(AND(B387='IN-TC'!$S$4,OR(TH!N387="1111",TH!O387="1111")),TH!D387,""),"")</f>
        <v/>
      </c>
      <c r="B387" s="63">
        <f t="shared" ref="B387:B398" si="73">IF(C387&lt;&gt;"",MONTH(C387),"")</f>
        <v>5</v>
      </c>
      <c r="C387" s="64">
        <v>42495</v>
      </c>
      <c r="D387" s="64" t="s">
        <v>688</v>
      </c>
      <c r="E387" s="64">
        <f t="shared" si="71"/>
        <v>42495</v>
      </c>
      <c r="F387" s="67" t="s">
        <v>390</v>
      </c>
      <c r="G387" s="67"/>
      <c r="H387" s="73" t="s">
        <v>449</v>
      </c>
      <c r="I387" s="441">
        <v>321</v>
      </c>
      <c r="J387" s="441">
        <v>13500</v>
      </c>
      <c r="K387" s="432"/>
      <c r="L387" s="441"/>
      <c r="M387" s="65">
        <f t="shared" si="72"/>
        <v>4333500</v>
      </c>
      <c r="N387" s="66" t="s">
        <v>282</v>
      </c>
      <c r="O387" s="66" t="s">
        <v>276</v>
      </c>
      <c r="P387" s="84" t="str">
        <f>IF(AND('331-CT'!$E$7=TH!H387,OR(N387="331",O387="331")),"x","")</f>
        <v/>
      </c>
      <c r="Q387" s="84" t="str">
        <f>IF(AND(B387='111'!$L$11,OR($N387=$Q$7,$O387=$Q$7)),"x","")</f>
        <v/>
      </c>
      <c r="R387" s="84" t="str">
        <f>IF(AND($N387=$Q$7,$B387&lt;'111'!$L$11),"x","")</f>
        <v/>
      </c>
      <c r="S387" s="84" t="str">
        <f>IF(AND($O387=$Q$7,$B387&lt;'111'!$L$11),"x","")</f>
        <v/>
      </c>
      <c r="T387" s="84" t="str">
        <f>IF(ISERROR(FIND('112'!$M$9,G387,1)),"",IF((AND(FIND('112'!$M$9,G387,1)&gt;=1,B387='112'!$K$9,OR($N387='112'!$I$6,$O387='112'!$I$6))),"x",""))</f>
        <v/>
      </c>
      <c r="U387" s="84" t="str">
        <f>IF(ISERROR(FIND('112'!$M$9,G387,1)),"",IF((AND(LEFT(G387,2)=LEFT('112'!$M$9,2),B387&lt;'112'!$K$9,$N387='112'!$I$6)),"x",""))</f>
        <v/>
      </c>
      <c r="V387" s="84" t="str">
        <f>IF(ISERROR(FIND('112'!$M$9,G387,1)),"",IF((AND(RIGHT(G387,2)=RIGHT('112'!$M$9,2),B387&lt;'112'!$K$9,$O387='112'!$I$6)),"x",""))</f>
        <v/>
      </c>
      <c r="W387" s="84" t="str">
        <f>IF(AND('341-CT'!$H$9=H387,OR(LEFT(N387,3)=$W$7,LEFT(O387,3)=$W$7)),"x","")</f>
        <v/>
      </c>
      <c r="X387" s="84" t="str">
        <f>IF(OR(TH!N387=TH!$X$7,O387=TH!$X$7),"x","")</f>
        <v/>
      </c>
      <c r="Y387" s="84" t="str">
        <f>IF(AND(OR(N387="131",O387="131"),H387='131-CT'!$H$9),"x","")</f>
        <v/>
      </c>
      <c r="Z387" s="84"/>
      <c r="AA387" s="84" t="str">
        <f>IF(AND(MONTH(E387)='IN-NX'!$J$5,'IN-NX'!$D$7=D387),"x","")</f>
        <v/>
      </c>
      <c r="AB387" s="84" t="str">
        <f>IF(AND(OR(LEFT(TH!N387,2)="15",LEFT(TH!O387,2)="15"),LEFT(TH!O387,3)&lt;&gt;"111",'152-CT'!$J$8=TH!F387),"x","")</f>
        <v/>
      </c>
      <c r="AC387" s="84" t="str">
        <f>IF(AND(OR(LEFT(TH!N387,2)="15",LEFT(TH!O387,2)="15"),TK!$E$7=TH!F387),"x","")</f>
        <v/>
      </c>
      <c r="AD387" s="84" t="str">
        <f>IF(AND(N387="1521",MONTH(C387)='BK-NL'!$M$11),"x","")</f>
        <v/>
      </c>
    </row>
    <row r="388" spans="1:32" s="341" customFormat="1" ht="15.75" hidden="1" customHeight="1">
      <c r="A388" s="336" t="str">
        <f>IF(B388&lt;&gt;"",IF(AND(B388='IN-TC'!$S$4,OR(TH!N388="1111",TH!O388="1111")),TH!D388,""),"")</f>
        <v/>
      </c>
      <c r="B388" s="63">
        <f t="shared" si="73"/>
        <v>5</v>
      </c>
      <c r="C388" s="64">
        <v>42495</v>
      </c>
      <c r="D388" s="64" t="s">
        <v>688</v>
      </c>
      <c r="E388" s="64">
        <f t="shared" si="71"/>
        <v>42495</v>
      </c>
      <c r="F388" s="67" t="s">
        <v>390</v>
      </c>
      <c r="G388" s="67"/>
      <c r="H388" s="73" t="s">
        <v>449</v>
      </c>
      <c r="I388" s="441">
        <v>93</v>
      </c>
      <c r="J388" s="441">
        <v>12000</v>
      </c>
      <c r="K388" s="432"/>
      <c r="L388" s="441"/>
      <c r="M388" s="65">
        <f t="shared" si="72"/>
        <v>1116000</v>
      </c>
      <c r="N388" s="66" t="s">
        <v>282</v>
      </c>
      <c r="O388" s="66" t="s">
        <v>276</v>
      </c>
      <c r="P388" s="84" t="str">
        <f>IF(AND('331-CT'!$E$7=TH!H388,OR(N388="331",O388="331")),"x","")</f>
        <v/>
      </c>
      <c r="Q388" s="84" t="str">
        <f>IF(AND(B388='111'!$L$11,OR($N388=$Q$7,$O388=$Q$7)),"x","")</f>
        <v/>
      </c>
      <c r="R388" s="84" t="str">
        <f>IF(AND($N388=$Q$7,$B388&lt;'111'!$L$11),"x","")</f>
        <v/>
      </c>
      <c r="S388" s="84" t="str">
        <f>IF(AND($O388=$Q$7,$B388&lt;'111'!$L$11),"x","")</f>
        <v/>
      </c>
      <c r="T388" s="84" t="str">
        <f>IF(ISERROR(FIND('112'!$M$9,G388,1)),"",IF((AND(FIND('112'!$M$9,G388,1)&gt;=1,B388='112'!$K$9,OR($N388='112'!$I$6,$O388='112'!$I$6))),"x",""))</f>
        <v/>
      </c>
      <c r="U388" s="84" t="str">
        <f>IF(ISERROR(FIND('112'!$M$9,G388,1)),"",IF((AND(LEFT(G388,2)=LEFT('112'!$M$9,2),B388&lt;'112'!$K$9,$N388='112'!$I$6)),"x",""))</f>
        <v/>
      </c>
      <c r="V388" s="84" t="str">
        <f>IF(ISERROR(FIND('112'!$M$9,G388,1)),"",IF((AND(RIGHT(G388,2)=RIGHT('112'!$M$9,2),B388&lt;'112'!$K$9,$O388='112'!$I$6)),"x",""))</f>
        <v/>
      </c>
      <c r="W388" s="84" t="str">
        <f>IF(AND('341-CT'!$H$9=H388,OR(LEFT(N388,3)=$W$7,LEFT(O388,3)=$W$7)),"x","")</f>
        <v/>
      </c>
      <c r="X388" s="84" t="str">
        <f>IF(OR(TH!N388=TH!$X$7,O388=TH!$X$7),"x","")</f>
        <v/>
      </c>
      <c r="Y388" s="84" t="str">
        <f>IF(AND(OR(N388="131",O388="131"),H388='131-CT'!$H$9),"x","")</f>
        <v/>
      </c>
      <c r="Z388" s="84"/>
      <c r="AA388" s="84" t="str">
        <f>IF(AND(MONTH(E388)='IN-NX'!$J$5,'IN-NX'!$D$7=D388),"x","")</f>
        <v/>
      </c>
      <c r="AB388" s="84" t="str">
        <f>IF(AND(OR(LEFT(TH!N388,2)="15",LEFT(TH!O388,2)="15"),LEFT(TH!O388,3)&lt;&gt;"111",'152-CT'!$J$8=TH!F388),"x","")</f>
        <v/>
      </c>
      <c r="AC388" s="84" t="str">
        <f>IF(AND(OR(LEFT(TH!N388,2)="15",LEFT(TH!O388,2)="15"),TK!$E$7=TH!F388),"x","")</f>
        <v/>
      </c>
      <c r="AD388" s="84" t="str">
        <f>IF(AND(N388="1521",MONTH(C388)='BK-NL'!$M$11),"x","")</f>
        <v/>
      </c>
    </row>
    <row r="389" spans="1:32" ht="15.75" hidden="1" customHeight="1">
      <c r="A389" s="336" t="str">
        <f>IF(B389&lt;&gt;"",IF(AND(B389='IN-TC'!$S$4,OR(TH!N389="1111",TH!O389="1111")),TH!D389,""),"")</f>
        <v/>
      </c>
      <c r="B389" s="63">
        <f t="shared" si="73"/>
        <v>6</v>
      </c>
      <c r="C389" s="64">
        <v>42530</v>
      </c>
      <c r="D389" s="80" t="s">
        <v>677</v>
      </c>
      <c r="E389" s="80">
        <v>42530</v>
      </c>
      <c r="F389" s="82" t="s">
        <v>390</v>
      </c>
      <c r="G389" s="985" t="s">
        <v>1634</v>
      </c>
      <c r="H389" s="82" t="s">
        <v>623</v>
      </c>
      <c r="I389" s="437">
        <v>312</v>
      </c>
      <c r="J389" s="437">
        <v>13500</v>
      </c>
      <c r="K389" s="428"/>
      <c r="L389" s="437"/>
      <c r="M389" s="83">
        <f t="shared" si="72"/>
        <v>4212000</v>
      </c>
      <c r="N389" s="84" t="s">
        <v>276</v>
      </c>
      <c r="O389" s="84" t="s">
        <v>8</v>
      </c>
      <c r="P389" s="84" t="str">
        <f>IF(AND('331-CT'!$E$7=TH!H389,OR(N389="331",O389="331")),"x","")</f>
        <v/>
      </c>
      <c r="Q389" s="84" t="str">
        <f>IF(AND(B389='111'!$L$11,OR($N389=$Q$7,$O389=$Q$7)),"x","")</f>
        <v/>
      </c>
      <c r="R389" s="84" t="str">
        <f>IF(AND($N389=$Q$7,$B389&lt;'111'!$L$11),"x","")</f>
        <v/>
      </c>
      <c r="S389" s="84" t="str">
        <f>IF(AND($O389=$Q$7,$B389&lt;'111'!$L$11),"x","")</f>
        <v/>
      </c>
      <c r="T389" s="84" t="str">
        <f>IF(ISERROR(FIND('112'!$M$9,G389,1)),"",IF((AND(FIND('112'!$M$9,G389,1)&gt;=1,B389='112'!$K$9,OR($N389='112'!$I$6,$O389='112'!$I$6))),"x",""))</f>
        <v/>
      </c>
      <c r="U389" s="84" t="str">
        <f>IF(ISERROR(FIND('112'!$M$9,G389,1)),"",IF((AND(LEFT(G389,2)=LEFT('112'!$M$9,2),B389&lt;'112'!$K$9,$N389='112'!$I$6)),"x",""))</f>
        <v/>
      </c>
      <c r="V389" s="84" t="str">
        <f>IF(ISERROR(FIND('112'!$M$9,G389,1)),"",IF((AND(RIGHT(G389,2)=RIGHT('112'!$M$9,2),B389&lt;'112'!$K$9,$O389='112'!$I$6)),"x",""))</f>
        <v/>
      </c>
      <c r="W389" s="84" t="str">
        <f>IF(AND('341-CT'!$H$9=H389,OR(LEFT(N389,3)=$W$7,LEFT(O389,3)=$W$7)),"x","")</f>
        <v/>
      </c>
      <c r="X389" s="84" t="str">
        <f>IF(OR(TH!N389=TH!$X$7,O389=TH!$X$7),"x","")</f>
        <v/>
      </c>
      <c r="Y389" s="84" t="str">
        <f>IF(AND(OR(N389="131",O389="131"),H389='131-CT'!$H$9),"x","")</f>
        <v/>
      </c>
      <c r="Z389" s="84"/>
      <c r="AA389" s="84" t="str">
        <f>IF(AND(MONTH(E389)='IN-NX'!$J$5,'IN-NX'!$D$7=D389),"x","")</f>
        <v/>
      </c>
      <c r="AB389" s="84" t="str">
        <f>IF(AND(OR(LEFT(TH!N389,2)="15",LEFT(TH!O389,2)="15"),LEFT(TH!O389,3)&lt;&gt;"111",'152-CT'!$J$8=TH!F389),"x","")</f>
        <v/>
      </c>
      <c r="AC389" s="84" t="str">
        <f>IF(AND(OR(LEFT(TH!N389,2)="15",LEFT(TH!O389,2)="15"),TK!$E$7=TH!F389),"x","")</f>
        <v/>
      </c>
      <c r="AD389" s="84" t="str">
        <f>IF(AND(N389="1521",MONTH(C389)='BK-NL'!$M$11),"x","")</f>
        <v/>
      </c>
      <c r="AE389" s="1146" t="str">
        <f t="shared" ref="AE389:AE398" si="74">IF(H389&lt;&gt;VLOOKUP(H389,DSKH,1,0),"","x")</f>
        <v>x</v>
      </c>
      <c r="AF389" s="330">
        <v>1</v>
      </c>
    </row>
    <row r="390" spans="1:32" ht="15.75" hidden="1" customHeight="1">
      <c r="A390" s="336" t="str">
        <f>IF(B390&lt;&gt;"",IF(AND(B390='IN-TC'!$S$4,OR(TH!N390="1111",TH!O390="1111")),TH!D390,""),"")</f>
        <v/>
      </c>
      <c r="B390" s="63">
        <f t="shared" si="73"/>
        <v>6</v>
      </c>
      <c r="C390" s="64">
        <v>42530</v>
      </c>
      <c r="D390" s="80" t="s">
        <v>677</v>
      </c>
      <c r="E390" s="80">
        <v>42530</v>
      </c>
      <c r="F390" s="82" t="s">
        <v>394</v>
      </c>
      <c r="G390" s="985" t="s">
        <v>1634</v>
      </c>
      <c r="H390" s="82" t="s">
        <v>623</v>
      </c>
      <c r="I390" s="437">
        <v>600</v>
      </c>
      <c r="J390" s="437">
        <v>18000</v>
      </c>
      <c r="K390" s="428"/>
      <c r="L390" s="437"/>
      <c r="M390" s="83">
        <f t="shared" si="72"/>
        <v>10800000</v>
      </c>
      <c r="N390" s="84" t="s">
        <v>276</v>
      </c>
      <c r="O390" s="84" t="s">
        <v>8</v>
      </c>
      <c r="P390" s="84" t="str">
        <f>IF(AND('331-CT'!$E$7=TH!H390,OR(N390="331",O390="331")),"x","")</f>
        <v/>
      </c>
      <c r="Q390" s="84" t="str">
        <f>IF(AND(B390='111'!$L$11,OR($N390=$Q$7,$O390=$Q$7)),"x","")</f>
        <v/>
      </c>
      <c r="R390" s="84" t="str">
        <f>IF(AND($N390=$Q$7,$B390&lt;'111'!$L$11),"x","")</f>
        <v/>
      </c>
      <c r="S390" s="84" t="str">
        <f>IF(AND($O390=$Q$7,$B390&lt;'111'!$L$11),"x","")</f>
        <v/>
      </c>
      <c r="T390" s="84" t="str">
        <f>IF(ISERROR(FIND('112'!$M$9,G390,1)),"",IF((AND(FIND('112'!$M$9,G390,1)&gt;=1,B390='112'!$K$9,OR($N390='112'!$I$6,$O390='112'!$I$6))),"x",""))</f>
        <v/>
      </c>
      <c r="U390" s="84" t="str">
        <f>IF(ISERROR(FIND('112'!$M$9,G390,1)),"",IF((AND(LEFT(G390,2)=LEFT('112'!$M$9,2),B390&lt;'112'!$K$9,$N390='112'!$I$6)),"x",""))</f>
        <v/>
      </c>
      <c r="V390" s="84" t="str">
        <f>IF(ISERROR(FIND('112'!$M$9,G390,1)),"",IF((AND(RIGHT(G390,2)=RIGHT('112'!$M$9,2),B390&lt;'112'!$K$9,$O390='112'!$I$6)),"x",""))</f>
        <v/>
      </c>
      <c r="W390" s="84" t="str">
        <f>IF(AND('341-CT'!$H$9=H390,OR(LEFT(N390,3)=$W$7,LEFT(O390,3)=$W$7)),"x","")</f>
        <v/>
      </c>
      <c r="X390" s="84" t="str">
        <f>IF(OR(TH!N390=TH!$X$7,O390=TH!$X$7),"x","")</f>
        <v/>
      </c>
      <c r="Y390" s="84" t="str">
        <f>IF(AND(OR(N390="131",O390="131"),H390='131-CT'!$H$9),"x","")</f>
        <v/>
      </c>
      <c r="Z390" s="84"/>
      <c r="AA390" s="84" t="str">
        <f>IF(AND(MONTH(E390)='IN-NX'!$J$5,'IN-NX'!$D$7=D390),"x","")</f>
        <v/>
      </c>
      <c r="AB390" s="84" t="str">
        <f>IF(AND(OR(LEFT(TH!N390,2)="15",LEFT(TH!O390,2)="15"),LEFT(TH!O390,3)&lt;&gt;"111",'152-CT'!$J$8=TH!F390),"x","")</f>
        <v/>
      </c>
      <c r="AC390" s="84" t="str">
        <f>IF(AND(OR(LEFT(TH!N390,2)="15",LEFT(TH!O390,2)="15"),TK!$E$7=TH!F390),"x","")</f>
        <v/>
      </c>
      <c r="AD390" s="84" t="str">
        <f>IF(AND(N390="1521",MONTH(C390)='BK-NL'!$M$11),"x","")</f>
        <v/>
      </c>
      <c r="AE390" s="1146" t="str">
        <f t="shared" si="74"/>
        <v>x</v>
      </c>
      <c r="AF390" s="330">
        <v>1</v>
      </c>
    </row>
    <row r="391" spans="1:32" ht="15.75" hidden="1" customHeight="1">
      <c r="A391" s="336" t="str">
        <f>IF(B391&lt;&gt;"",IF(AND(B391='IN-TC'!$S$4,OR(TH!N391="1111",TH!O391="1111")),TH!D391,""),"")</f>
        <v/>
      </c>
      <c r="B391" s="63">
        <f t="shared" si="73"/>
        <v>6</v>
      </c>
      <c r="C391" s="64">
        <v>42530</v>
      </c>
      <c r="D391" s="80" t="s">
        <v>677</v>
      </c>
      <c r="E391" s="80">
        <v>42530</v>
      </c>
      <c r="F391" s="82" t="s">
        <v>1633</v>
      </c>
      <c r="G391" s="985" t="s">
        <v>1634</v>
      </c>
      <c r="H391" s="82" t="s">
        <v>623</v>
      </c>
      <c r="I391" s="437">
        <v>600</v>
      </c>
      <c r="J391" s="437">
        <v>2400</v>
      </c>
      <c r="K391" s="428"/>
      <c r="L391" s="437"/>
      <c r="M391" s="83">
        <f t="shared" si="72"/>
        <v>1440000</v>
      </c>
      <c r="N391" s="84" t="s">
        <v>276</v>
      </c>
      <c r="O391" s="84" t="s">
        <v>8</v>
      </c>
      <c r="P391" s="84" t="str">
        <f>IF(AND('331-CT'!$E$7=TH!H391,OR(N391="331",O391="331")),"x","")</f>
        <v/>
      </c>
      <c r="Q391" s="84" t="str">
        <f>IF(AND(B391='111'!$L$11,OR($N391=$Q$7,$O391=$Q$7)),"x","")</f>
        <v/>
      </c>
      <c r="R391" s="84" t="str">
        <f>IF(AND($N391=$Q$7,$B391&lt;'111'!$L$11),"x","")</f>
        <v/>
      </c>
      <c r="S391" s="84" t="str">
        <f>IF(AND($O391=$Q$7,$B391&lt;'111'!$L$11),"x","")</f>
        <v/>
      </c>
      <c r="T391" s="84" t="str">
        <f>IF(ISERROR(FIND('112'!$M$9,G391,1)),"",IF((AND(FIND('112'!$M$9,G391,1)&gt;=1,B391='112'!$K$9,OR($N391='112'!$I$6,$O391='112'!$I$6))),"x",""))</f>
        <v/>
      </c>
      <c r="U391" s="84" t="str">
        <f>IF(ISERROR(FIND('112'!$M$9,G391,1)),"",IF((AND(LEFT(G391,2)=LEFT('112'!$M$9,2),B391&lt;'112'!$K$9,$N391='112'!$I$6)),"x",""))</f>
        <v/>
      </c>
      <c r="V391" s="84" t="str">
        <f>IF(ISERROR(FIND('112'!$M$9,G391,1)),"",IF((AND(RIGHT(G391,2)=RIGHT('112'!$M$9,2),B391&lt;'112'!$K$9,$O391='112'!$I$6)),"x",""))</f>
        <v/>
      </c>
      <c r="W391" s="84" t="str">
        <f>IF(AND('341-CT'!$H$9=H391,OR(LEFT(N391,3)=$W$7,LEFT(O391,3)=$W$7)),"x","")</f>
        <v/>
      </c>
      <c r="X391" s="84" t="str">
        <f>IF(OR(TH!N391=TH!$X$7,O391=TH!$X$7),"x","")</f>
        <v/>
      </c>
      <c r="Y391" s="84" t="str">
        <f>IF(AND(OR(N391="131",O391="131"),H391='131-CT'!$H$9),"x","")</f>
        <v/>
      </c>
      <c r="Z391" s="84"/>
      <c r="AA391" s="84" t="str">
        <f>IF(AND(MONTH(E391)='IN-NX'!$J$5,'IN-NX'!$D$7=D391),"x","")</f>
        <v/>
      </c>
      <c r="AB391" s="84" t="str">
        <f>IF(AND(OR(LEFT(TH!N391,2)="15",LEFT(TH!O391,2)="15"),LEFT(TH!O391,3)&lt;&gt;"111",'152-CT'!$J$8=TH!F391),"x","")</f>
        <v/>
      </c>
      <c r="AC391" s="84" t="str">
        <f>IF(AND(OR(LEFT(TH!N391,2)="15",LEFT(TH!O391,2)="15"),TK!$E$7=TH!F391),"x","")</f>
        <v/>
      </c>
      <c r="AD391" s="84" t="str">
        <f>IF(AND(N391="1521",MONTH(C391)='BK-NL'!$M$11),"x","")</f>
        <v/>
      </c>
      <c r="AE391" s="1146" t="str">
        <f t="shared" si="74"/>
        <v>x</v>
      </c>
      <c r="AF391" s="330">
        <v>1</v>
      </c>
    </row>
    <row r="392" spans="1:32" ht="15.75" hidden="1" customHeight="1">
      <c r="A392" s="336" t="str">
        <f>IF(B392&lt;&gt;"",IF(AND(B392='IN-TC'!$S$4,OR(TH!N392="1111",TH!O392="1111")),TH!D392,""),"")</f>
        <v/>
      </c>
      <c r="B392" s="63">
        <f t="shared" si="73"/>
        <v>6</v>
      </c>
      <c r="C392" s="64">
        <v>42530</v>
      </c>
      <c r="D392" s="80" t="s">
        <v>677</v>
      </c>
      <c r="E392" s="80">
        <v>42530</v>
      </c>
      <c r="F392" s="82" t="s">
        <v>652</v>
      </c>
      <c r="G392" s="985" t="s">
        <v>1634</v>
      </c>
      <c r="H392" s="82" t="s">
        <v>623</v>
      </c>
      <c r="I392" s="437"/>
      <c r="J392" s="437"/>
      <c r="K392" s="428"/>
      <c r="L392" s="437"/>
      <c r="M392" s="83">
        <v>1645200</v>
      </c>
      <c r="N392" s="84" t="s">
        <v>9</v>
      </c>
      <c r="O392" s="84" t="s">
        <v>8</v>
      </c>
      <c r="P392" s="84" t="str">
        <f>IF(AND('331-CT'!$E$7=TH!H392,OR(N392="331",O392="331")),"x","")</f>
        <v/>
      </c>
      <c r="Q392" s="84" t="str">
        <f>IF(AND(B392='111'!$L$11,OR($N392=$Q$7,$O392=$Q$7)),"x","")</f>
        <v/>
      </c>
      <c r="R392" s="84" t="str">
        <f>IF(AND($N392=$Q$7,$B392&lt;'111'!$L$11),"x","")</f>
        <v/>
      </c>
      <c r="S392" s="84" t="str">
        <f>IF(AND($O392=$Q$7,$B392&lt;'111'!$L$11),"x","")</f>
        <v/>
      </c>
      <c r="T392" s="84" t="str">
        <f>IF(ISERROR(FIND('112'!$M$9,G392,1)),"",IF((AND(FIND('112'!$M$9,G392,1)&gt;=1,B392='112'!$K$9,OR($N392='112'!$I$6,$O392='112'!$I$6))),"x",""))</f>
        <v/>
      </c>
      <c r="U392" s="84" t="str">
        <f>IF(ISERROR(FIND('112'!$M$9,G392,1)),"",IF((AND(LEFT(G392,2)=LEFT('112'!$M$9,2),B392&lt;'112'!$K$9,$N392='112'!$I$6)),"x",""))</f>
        <v/>
      </c>
      <c r="V392" s="84" t="str">
        <f>IF(ISERROR(FIND('112'!$M$9,G392,1)),"",IF((AND(RIGHT(G392,2)=RIGHT('112'!$M$9,2),B392&lt;'112'!$K$9,$O392='112'!$I$6)),"x",""))</f>
        <v/>
      </c>
      <c r="W392" s="84" t="str">
        <f>IF(AND('341-CT'!$H$9=H392,OR(LEFT(N392,3)=$W$7,LEFT(O392,3)=$W$7)),"x","")</f>
        <v/>
      </c>
      <c r="X392" s="84" t="str">
        <f>IF(OR(TH!N392=TH!$X$7,O392=TH!$X$7),"x","")</f>
        <v/>
      </c>
      <c r="Y392" s="84" t="str">
        <f>IF(AND(OR(N392="131",O392="131"),H392='131-CT'!$H$9),"x","")</f>
        <v/>
      </c>
      <c r="Z392" s="84"/>
      <c r="AA392" s="84" t="str">
        <f>IF(AND(MONTH(E392)='IN-NX'!$J$5,'IN-NX'!$D$7=D392),"x","")</f>
        <v/>
      </c>
      <c r="AB392" s="84" t="str">
        <f>IF(AND(OR(LEFT(TH!N392,2)="15",LEFT(TH!O392,2)="15"),LEFT(TH!O392,3)&lt;&gt;"111",'152-CT'!$J$8=TH!F392),"x","")</f>
        <v/>
      </c>
      <c r="AC392" s="84" t="str">
        <f>IF(AND(OR(LEFT(TH!N392,2)="15",LEFT(TH!O392,2)="15"),TK!$E$7=TH!F392),"x","")</f>
        <v/>
      </c>
      <c r="AD392" s="84" t="str">
        <f>IF(AND(N392="1521",MONTH(C392)='BK-NL'!$M$11),"x","")</f>
        <v/>
      </c>
      <c r="AE392" s="1146" t="str">
        <f t="shared" si="74"/>
        <v>x</v>
      </c>
    </row>
    <row r="393" spans="1:32" ht="15.75" hidden="1" customHeight="1">
      <c r="A393" s="336" t="str">
        <f>IF(B393&lt;&gt;"",IF(AND(B393='IN-TC'!$S$4,OR(TH!N393="1111",TH!O393="1111")),TH!D393,""),"")</f>
        <v/>
      </c>
      <c r="B393" s="63">
        <f t="shared" si="73"/>
        <v>6</v>
      </c>
      <c r="C393" s="64">
        <v>42535</v>
      </c>
      <c r="D393" s="80" t="s">
        <v>678</v>
      </c>
      <c r="E393" s="80">
        <v>42535</v>
      </c>
      <c r="F393" s="82" t="s">
        <v>353</v>
      </c>
      <c r="G393" s="985" t="s">
        <v>1635</v>
      </c>
      <c r="H393" s="966" t="s">
        <v>622</v>
      </c>
      <c r="I393" s="437">
        <v>2000</v>
      </c>
      <c r="J393" s="437">
        <v>3200</v>
      </c>
      <c r="K393" s="428"/>
      <c r="L393" s="437"/>
      <c r="M393" s="83">
        <f>ROUND(I393*J393,0)</f>
        <v>6400000</v>
      </c>
      <c r="N393" s="84" t="s">
        <v>276</v>
      </c>
      <c r="O393" s="84" t="s">
        <v>8</v>
      </c>
      <c r="P393" s="84" t="str">
        <f>IF(AND('331-CT'!$E$7=TH!H393,OR(N393="331",O393="331")),"x","")</f>
        <v>x</v>
      </c>
      <c r="Q393" s="84" t="str">
        <f>IF(AND(B393='111'!$L$11,OR($N393=$Q$7,$O393=$Q$7)),"x","")</f>
        <v/>
      </c>
      <c r="R393" s="84" t="str">
        <f>IF(AND($N393=$Q$7,$B393&lt;'111'!$L$11),"x","")</f>
        <v/>
      </c>
      <c r="S393" s="84" t="str">
        <f>IF(AND($O393=$Q$7,$B393&lt;'111'!$L$11),"x","")</f>
        <v/>
      </c>
      <c r="T393" s="84" t="str">
        <f>IF(ISERROR(FIND('112'!$M$9,G393,1)),"",IF((AND(FIND('112'!$M$9,G393,1)&gt;=1,B393='112'!$K$9,OR($N393='112'!$I$6,$O393='112'!$I$6))),"x",""))</f>
        <v/>
      </c>
      <c r="U393" s="84" t="str">
        <f>IF(ISERROR(FIND('112'!$M$9,G393,1)),"",IF((AND(LEFT(G393,2)=LEFT('112'!$M$9,2),B393&lt;'112'!$K$9,$N393='112'!$I$6)),"x",""))</f>
        <v/>
      </c>
      <c r="V393" s="84" t="str">
        <f>IF(ISERROR(FIND('112'!$M$9,G393,1)),"",IF((AND(RIGHT(G393,2)=RIGHT('112'!$M$9,2),B393&lt;'112'!$K$9,$O393='112'!$I$6)),"x",""))</f>
        <v/>
      </c>
      <c r="W393" s="84" t="str">
        <f>IF(AND('341-CT'!$H$9=H393,OR(LEFT(N393,3)=$W$7,LEFT(O393,3)=$W$7)),"x","")</f>
        <v/>
      </c>
      <c r="X393" s="84" t="str">
        <f>IF(OR(TH!N393=TH!$X$7,O393=TH!$X$7),"x","")</f>
        <v/>
      </c>
      <c r="Y393" s="84" t="str">
        <f>IF(AND(OR(N393="131",O393="131"),H393='131-CT'!$H$9),"x","")</f>
        <v/>
      </c>
      <c r="Z393" s="84"/>
      <c r="AA393" s="84" t="str">
        <f>IF(AND(MONTH(E393)='IN-NX'!$J$5,'IN-NX'!$D$7=D393),"x","")</f>
        <v/>
      </c>
      <c r="AB393" s="84" t="str">
        <f>IF(AND(OR(LEFT(TH!N393,2)="15",LEFT(TH!O393,2)="15"),LEFT(TH!O393,3)&lt;&gt;"111",'152-CT'!$J$8=TH!F393),"x","")</f>
        <v/>
      </c>
      <c r="AC393" s="84" t="str">
        <f>IF(AND(OR(LEFT(TH!N393,2)="15",LEFT(TH!O393,2)="15"),TK!$E$7=TH!F393),"x","")</f>
        <v/>
      </c>
      <c r="AD393" s="84" t="str">
        <f>IF(AND(N393="1521",MONTH(C393)='BK-NL'!$M$11),"x","")</f>
        <v/>
      </c>
      <c r="AE393" s="1146" t="str">
        <f t="shared" si="74"/>
        <v>x</v>
      </c>
      <c r="AF393" s="330">
        <v>1</v>
      </c>
    </row>
    <row r="394" spans="1:32" s="347" customFormat="1" ht="15.75" hidden="1" customHeight="1">
      <c r="A394" s="336" t="str">
        <f>IF(B394&lt;&gt;"",IF(AND(B394='IN-TC'!$S$4,OR(TH!N394="1111",TH!O394="1111")),TH!D394,""),"")</f>
        <v/>
      </c>
      <c r="B394" s="63">
        <f>IF(C394&lt;&gt;"",MONTH(C394),"")</f>
        <v>6</v>
      </c>
      <c r="C394" s="64">
        <v>42548</v>
      </c>
      <c r="D394" s="80" t="s">
        <v>679</v>
      </c>
      <c r="E394" s="80">
        <v>42541</v>
      </c>
      <c r="F394" s="82" t="s">
        <v>345</v>
      </c>
      <c r="G394" s="985" t="s">
        <v>1998</v>
      </c>
      <c r="H394" s="1209" t="s">
        <v>1996</v>
      </c>
      <c r="I394" s="437">
        <v>1000</v>
      </c>
      <c r="J394" s="437">
        <v>48983</v>
      </c>
      <c r="K394" s="428">
        <v>22000</v>
      </c>
      <c r="L394" s="437">
        <v>22265</v>
      </c>
      <c r="M394" s="83">
        <f>ROUND(I394*J394,0)</f>
        <v>48983000</v>
      </c>
      <c r="N394" s="84" t="s">
        <v>276</v>
      </c>
      <c r="O394" s="84" t="s">
        <v>8</v>
      </c>
      <c r="P394" s="84" t="str">
        <f>IF(AND('331-CT'!$E$7=TH!H394,OR(N394="331",O394="331")),"x","")</f>
        <v/>
      </c>
      <c r="Q394" s="84" t="str">
        <f>IF(AND(B394='111'!$L$11,OR($N394=$Q$7,$O394=$Q$7)),"x","")</f>
        <v/>
      </c>
      <c r="R394" s="84" t="str">
        <f>IF(AND($N394=$Q$7,$B394&lt;'111'!$L$11),"x","")</f>
        <v/>
      </c>
      <c r="S394" s="84" t="str">
        <f>IF(AND($O394=$Q$7,$B394&lt;'111'!$L$11),"x","")</f>
        <v/>
      </c>
      <c r="T394" s="84" t="str">
        <f>IF(ISERROR(FIND('112'!$M$9,G394,1)),"",IF((AND(FIND('112'!$M$9,G394,1)&gt;=1,B394='112'!$K$9,OR($N394='112'!$I$6,$O394='112'!$I$6))),"x",""))</f>
        <v/>
      </c>
      <c r="U394" s="84" t="str">
        <f>IF(ISERROR(FIND('112'!$M$9,G394,1)),"",IF((AND(LEFT(G394,2)=LEFT('112'!$M$9,2),B394&lt;'112'!$K$9,$N394='112'!$I$6)),"x",""))</f>
        <v/>
      </c>
      <c r="V394" s="84" t="str">
        <f>IF(ISERROR(FIND('112'!$M$9,G394,1)),"",IF((AND(RIGHT(G394,2)=RIGHT('112'!$M$9,2),B394&lt;'112'!$K$9,$O394='112'!$I$6)),"x",""))</f>
        <v/>
      </c>
      <c r="W394" s="84" t="str">
        <f>IF(AND('341-CT'!$H$9=H394,OR(LEFT(N394,3)=$W$7,LEFT(O394,3)=$W$7)),"x","")</f>
        <v/>
      </c>
      <c r="X394" s="84" t="str">
        <f>IF(OR(TH!N394=TH!$X$7,O394=TH!$X$7),"x","")</f>
        <v/>
      </c>
      <c r="Y394" s="84" t="str">
        <f>IF(AND(OR(N394="131",O394="131"),H394='131-CT'!$H$9),"x","")</f>
        <v/>
      </c>
      <c r="Z394" s="84"/>
      <c r="AA394" s="84" t="str">
        <f>IF(AND(MONTH(E394)='IN-NX'!$J$5,'IN-NX'!$D$7=D394),"x","")</f>
        <v/>
      </c>
      <c r="AB394" s="84" t="str">
        <f>IF(AND(OR(LEFT(TH!N394,2)="15",LEFT(TH!O394,2)="15"),LEFT(TH!O394,3)&lt;&gt;"111",'152-CT'!$J$8=TH!F394),"x","")</f>
        <v/>
      </c>
      <c r="AC394" s="84" t="str">
        <f>IF(AND(OR(LEFT(TH!N394,2)="15",LEFT(TH!O394,2)="15"),TK!$E$7=TH!F394),"x","")</f>
        <v/>
      </c>
      <c r="AD394" s="84" t="str">
        <f>IF(AND(N394="1521",MONTH(C394)='BK-NL'!$M$11),"x","")</f>
        <v/>
      </c>
      <c r="AE394" s="1146" t="str">
        <f t="shared" si="74"/>
        <v>x</v>
      </c>
      <c r="AF394" s="330">
        <v>1</v>
      </c>
    </row>
    <row r="395" spans="1:32" s="347" customFormat="1" ht="15.75" hidden="1" customHeight="1">
      <c r="A395" s="336" t="str">
        <f>IF(B395&lt;&gt;"",IF(AND(B395='IN-TC'!$S$4,OR(TH!N395="1111",TH!O395="1111")),TH!D395,""),"")</f>
        <v/>
      </c>
      <c r="B395" s="63">
        <f t="shared" si="73"/>
        <v>6</v>
      </c>
      <c r="C395" s="64">
        <v>42548</v>
      </c>
      <c r="D395" s="80" t="s">
        <v>680</v>
      </c>
      <c r="E395" s="80">
        <v>42548</v>
      </c>
      <c r="F395" s="82" t="s">
        <v>653</v>
      </c>
      <c r="G395" s="985" t="s">
        <v>1661</v>
      </c>
      <c r="H395" s="82" t="s">
        <v>1662</v>
      </c>
      <c r="I395" s="437">
        <v>2268</v>
      </c>
      <c r="J395" s="437">
        <v>11500</v>
      </c>
      <c r="K395" s="428"/>
      <c r="L395" s="437"/>
      <c r="M395" s="83">
        <f>ROUND(I395*J395,0)</f>
        <v>26082000</v>
      </c>
      <c r="N395" s="84" t="s">
        <v>276</v>
      </c>
      <c r="O395" s="84" t="s">
        <v>8</v>
      </c>
      <c r="P395" s="84" t="str">
        <f>IF(AND('331-CT'!$E$7=TH!H395,OR(N395="331",O395="331")),"x","")</f>
        <v/>
      </c>
      <c r="Q395" s="84" t="str">
        <f>IF(AND(B395='111'!$L$11,OR($N395=$Q$7,$O395=$Q$7)),"x","")</f>
        <v/>
      </c>
      <c r="R395" s="84" t="str">
        <f>IF(AND($N395=$Q$7,$B395&lt;'111'!$L$11),"x","")</f>
        <v/>
      </c>
      <c r="S395" s="84" t="str">
        <f>IF(AND($O395=$Q$7,$B395&lt;'111'!$L$11),"x","")</f>
        <v/>
      </c>
      <c r="T395" s="84" t="str">
        <f>IF(ISERROR(FIND('112'!$M$9,G395,1)),"",IF((AND(FIND('112'!$M$9,G395,1)&gt;=1,B395='112'!$K$9,OR($N395='112'!$I$6,$O395='112'!$I$6))),"x",""))</f>
        <v/>
      </c>
      <c r="U395" s="84" t="str">
        <f>IF(ISERROR(FIND('112'!$M$9,G395,1)),"",IF((AND(LEFT(G395,2)=LEFT('112'!$M$9,2),B395&lt;'112'!$K$9,$N395='112'!$I$6)),"x",""))</f>
        <v/>
      </c>
      <c r="V395" s="84" t="str">
        <f>IF(ISERROR(FIND('112'!$M$9,G395,1)),"",IF((AND(RIGHT(G395,2)=RIGHT('112'!$M$9,2),B395&lt;'112'!$K$9,$O395='112'!$I$6)),"x",""))</f>
        <v/>
      </c>
      <c r="W395" s="84" t="str">
        <f>IF(AND('341-CT'!$H$9=H395,OR(LEFT(N395,3)=$W$7,LEFT(O395,3)=$W$7)),"x","")</f>
        <v/>
      </c>
      <c r="X395" s="84" t="str">
        <f>IF(OR(TH!N395=TH!$X$7,O395=TH!$X$7),"x","")</f>
        <v/>
      </c>
      <c r="Y395" s="84" t="str">
        <f>IF(AND(OR(N395="131",O395="131"),H395='131-CT'!$H$9),"x","")</f>
        <v/>
      </c>
      <c r="Z395" s="84"/>
      <c r="AA395" s="84" t="str">
        <f>IF(AND(MONTH(E395)='IN-NX'!$J$5,'IN-NX'!$D$7=D395),"x","")</f>
        <v/>
      </c>
      <c r="AB395" s="84" t="str">
        <f>IF(AND(OR(LEFT(TH!N395,2)="15",LEFT(TH!O395,2)="15"),LEFT(TH!O395,3)&lt;&gt;"111",'152-CT'!$J$8=TH!F395),"x","")</f>
        <v/>
      </c>
      <c r="AC395" s="84" t="str">
        <f>IF(AND(OR(LEFT(TH!N395,2)="15",LEFT(TH!O395,2)="15"),TK!$E$7=TH!F395),"x","")</f>
        <v/>
      </c>
      <c r="AD395" s="84" t="str">
        <f>IF(AND(N395="1521",MONTH(C395)='BK-NL'!$M$11),"x","")</f>
        <v/>
      </c>
      <c r="AE395" s="1146" t="str">
        <f t="shared" si="74"/>
        <v>x</v>
      </c>
      <c r="AF395" s="330">
        <v>1</v>
      </c>
    </row>
    <row r="396" spans="1:32" s="347" customFormat="1" ht="15.75" hidden="1" customHeight="1">
      <c r="A396" s="336" t="str">
        <f>IF(B396&lt;&gt;"",IF(AND(B396='IN-TC'!$S$4,OR(TH!N396="1111",TH!O396="1111")),TH!D396,""),"")</f>
        <v/>
      </c>
      <c r="B396" s="63">
        <f t="shared" si="73"/>
        <v>6</v>
      </c>
      <c r="C396" s="64">
        <v>42548</v>
      </c>
      <c r="D396" s="80" t="s">
        <v>680</v>
      </c>
      <c r="E396" s="80">
        <v>42548</v>
      </c>
      <c r="F396" s="82" t="s">
        <v>654</v>
      </c>
      <c r="G396" s="985" t="s">
        <v>1661</v>
      </c>
      <c r="H396" s="82" t="s">
        <v>1662</v>
      </c>
      <c r="I396" s="437"/>
      <c r="J396" s="437"/>
      <c r="K396" s="428"/>
      <c r="L396" s="437"/>
      <c r="M396" s="83">
        <v>2608200</v>
      </c>
      <c r="N396" s="84" t="s">
        <v>9</v>
      </c>
      <c r="O396" s="84" t="s">
        <v>8</v>
      </c>
      <c r="P396" s="84" t="str">
        <f>IF(AND('331-CT'!$E$7=TH!H396,OR(N396="331",O396="331")),"x","")</f>
        <v/>
      </c>
      <c r="Q396" s="84" t="str">
        <f>IF(AND(B396='111'!$L$11,OR($N396=$Q$7,$O396=$Q$7)),"x","")</f>
        <v/>
      </c>
      <c r="R396" s="84" t="str">
        <f>IF(AND($N396=$Q$7,$B396&lt;'111'!$L$11),"x","")</f>
        <v/>
      </c>
      <c r="S396" s="84" t="str">
        <f>IF(AND($O396=$Q$7,$B396&lt;'111'!$L$11),"x","")</f>
        <v/>
      </c>
      <c r="T396" s="84" t="str">
        <f>IF(ISERROR(FIND('112'!$M$9,G396,1)),"",IF((AND(FIND('112'!$M$9,G396,1)&gt;=1,B396='112'!$K$9,OR($N396='112'!$I$6,$O396='112'!$I$6))),"x",""))</f>
        <v/>
      </c>
      <c r="U396" s="84" t="str">
        <f>IF(ISERROR(FIND('112'!$M$9,G396,1)),"",IF((AND(LEFT(G396,2)=LEFT('112'!$M$9,2),B396&lt;'112'!$K$9,$N396='112'!$I$6)),"x",""))</f>
        <v/>
      </c>
      <c r="V396" s="84" t="str">
        <f>IF(ISERROR(FIND('112'!$M$9,G396,1)),"",IF((AND(RIGHT(G396,2)=RIGHT('112'!$M$9,2),B396&lt;'112'!$K$9,$O396='112'!$I$6)),"x",""))</f>
        <v/>
      </c>
      <c r="W396" s="84" t="str">
        <f>IF(AND('341-CT'!$H$9=H396,OR(LEFT(N396,3)=$W$7,LEFT(O396,3)=$W$7)),"x","")</f>
        <v/>
      </c>
      <c r="X396" s="84" t="str">
        <f>IF(OR(TH!N396=TH!$X$7,O396=TH!$X$7),"x","")</f>
        <v/>
      </c>
      <c r="Y396" s="84" t="str">
        <f>IF(AND(OR(N396="131",O396="131"),H396='131-CT'!$H$9),"x","")</f>
        <v/>
      </c>
      <c r="Z396" s="84"/>
      <c r="AA396" s="84" t="str">
        <f>IF(AND(MONTH(E396)='IN-NX'!$J$5,'IN-NX'!$D$7=D396),"x","")</f>
        <v/>
      </c>
      <c r="AB396" s="84" t="str">
        <f>IF(AND(OR(LEFT(TH!N396,2)="15",LEFT(TH!O396,2)="15"),LEFT(TH!O396,3)&lt;&gt;"111",'152-CT'!$J$8=TH!F396),"x","")</f>
        <v/>
      </c>
      <c r="AC396" s="84" t="str">
        <f>IF(AND(OR(LEFT(TH!N396,2)="15",LEFT(TH!O396,2)="15"),TK!$E$7=TH!F396),"x","")</f>
        <v/>
      </c>
      <c r="AD396" s="84" t="str">
        <f>IF(AND(N396="1521",MONTH(C396)='BK-NL'!$M$11),"x","")</f>
        <v/>
      </c>
      <c r="AE396" s="1146" t="str">
        <f t="shared" si="74"/>
        <v>x</v>
      </c>
      <c r="AF396" s="330"/>
    </row>
    <row r="397" spans="1:32" ht="15.75" hidden="1" customHeight="1">
      <c r="A397" s="336" t="str">
        <f>IF(B397&lt;&gt;"",IF(AND(B397='IN-TC'!$S$4,OR(TH!N397="1111",TH!O397="1111")),TH!D397,""),"")</f>
        <v/>
      </c>
      <c r="B397" s="63">
        <f t="shared" si="73"/>
        <v>6</v>
      </c>
      <c r="C397" s="64">
        <v>42551</v>
      </c>
      <c r="D397" s="80" t="s">
        <v>681</v>
      </c>
      <c r="E397" s="80">
        <v>42551</v>
      </c>
      <c r="F397" s="81" t="s">
        <v>401</v>
      </c>
      <c r="G397" s="985" t="s">
        <v>1636</v>
      </c>
      <c r="H397" s="82" t="s">
        <v>623</v>
      </c>
      <c r="I397" s="437">
        <v>600</v>
      </c>
      <c r="J397" s="437">
        <v>18200</v>
      </c>
      <c r="K397" s="428"/>
      <c r="L397" s="437"/>
      <c r="M397" s="83">
        <f>ROUND(I397*J397,0)</f>
        <v>10920000</v>
      </c>
      <c r="N397" s="84" t="s">
        <v>276</v>
      </c>
      <c r="O397" s="84" t="s">
        <v>8</v>
      </c>
      <c r="P397" s="84" t="str">
        <f>IF(AND('331-CT'!$E$7=TH!H397,OR(N397="331",O397="331")),"x","")</f>
        <v/>
      </c>
      <c r="Q397" s="84" t="str">
        <f>IF(AND(B397='111'!$L$11,OR($N397=$Q$7,$O397=$Q$7)),"x","")</f>
        <v/>
      </c>
      <c r="R397" s="84" t="str">
        <f>IF(AND($N397=$Q$7,$B397&lt;'111'!$L$11),"x","")</f>
        <v/>
      </c>
      <c r="S397" s="84" t="str">
        <f>IF(AND($O397=$Q$7,$B397&lt;'111'!$L$11),"x","")</f>
        <v/>
      </c>
      <c r="T397" s="84" t="str">
        <f>IF(ISERROR(FIND('112'!$M$9,G397,1)),"",IF((AND(FIND('112'!$M$9,G397,1)&gt;=1,B397='112'!$K$9,OR($N397='112'!$I$6,$O397='112'!$I$6))),"x",""))</f>
        <v/>
      </c>
      <c r="U397" s="84" t="str">
        <f>IF(ISERROR(FIND('112'!$M$9,G397,1)),"",IF((AND(LEFT(G397,2)=LEFT('112'!$M$9,2),B397&lt;'112'!$K$9,$N397='112'!$I$6)),"x",""))</f>
        <v/>
      </c>
      <c r="V397" s="84" t="str">
        <f>IF(ISERROR(FIND('112'!$M$9,G397,1)),"",IF((AND(RIGHT(G397,2)=RIGHT('112'!$M$9,2),B397&lt;'112'!$K$9,$O397='112'!$I$6)),"x",""))</f>
        <v/>
      </c>
      <c r="W397" s="84" t="str">
        <f>IF(AND('341-CT'!$H$9=H397,OR(LEFT(N397,3)=$W$7,LEFT(O397,3)=$W$7)),"x","")</f>
        <v/>
      </c>
      <c r="X397" s="84" t="str">
        <f>IF(OR(TH!N397=TH!$X$7,O397=TH!$X$7),"x","")</f>
        <v/>
      </c>
      <c r="Y397" s="84" t="str">
        <f>IF(AND(OR(N397="131",O397="131"),H397='131-CT'!$H$9),"x","")</f>
        <v/>
      </c>
      <c r="Z397" s="84"/>
      <c r="AA397" s="84" t="str">
        <f>IF(AND(MONTH(E397)='IN-NX'!$J$5,'IN-NX'!$D$7=D397),"x","")</f>
        <v/>
      </c>
      <c r="AB397" s="84" t="str">
        <f>IF(AND(OR(LEFT(TH!N397,2)="15",LEFT(TH!O397,2)="15"),LEFT(TH!O397,3)&lt;&gt;"111",'152-CT'!$J$8=TH!F397),"x","")</f>
        <v/>
      </c>
      <c r="AC397" s="84" t="str">
        <f>IF(AND(OR(LEFT(TH!N397,2)="15",LEFT(TH!O397,2)="15"),TK!$E$7=TH!F397),"x","")</f>
        <v/>
      </c>
      <c r="AD397" s="84" t="str">
        <f>IF(AND(N397="1521",MONTH(C397)='BK-NL'!$M$11),"x","")</f>
        <v/>
      </c>
      <c r="AE397" s="1146" t="str">
        <f t="shared" si="74"/>
        <v>x</v>
      </c>
      <c r="AF397" s="330">
        <v>1</v>
      </c>
    </row>
    <row r="398" spans="1:32" ht="15.75" hidden="1" customHeight="1">
      <c r="A398" s="336" t="str">
        <f>IF(B398&lt;&gt;"",IF(AND(B398='IN-TC'!$S$4,OR(TH!N398="1111",TH!O398="1111")),TH!D398,""),"")</f>
        <v/>
      </c>
      <c r="B398" s="63">
        <f t="shared" si="73"/>
        <v>6</v>
      </c>
      <c r="C398" s="64">
        <v>42551</v>
      </c>
      <c r="D398" s="80" t="s">
        <v>681</v>
      </c>
      <c r="E398" s="80">
        <v>42551</v>
      </c>
      <c r="F398" s="82" t="s">
        <v>652</v>
      </c>
      <c r="G398" s="985" t="s">
        <v>1636</v>
      </c>
      <c r="H398" s="82" t="s">
        <v>623</v>
      </c>
      <c r="I398" s="437"/>
      <c r="J398" s="437"/>
      <c r="K398" s="428"/>
      <c r="L398" s="437"/>
      <c r="M398" s="83">
        <v>1092000</v>
      </c>
      <c r="N398" s="84" t="s">
        <v>9</v>
      </c>
      <c r="O398" s="84" t="s">
        <v>8</v>
      </c>
      <c r="P398" s="84" t="str">
        <f>IF(AND('331-CT'!$E$7=TH!H398,OR(N398="331",O398="331")),"x","")</f>
        <v/>
      </c>
      <c r="Q398" s="84" t="str">
        <f>IF(AND(B398='111'!$L$11,OR($N398=$Q$7,$O398=$Q$7)),"x","")</f>
        <v/>
      </c>
      <c r="R398" s="84" t="str">
        <f>IF(AND($N398=$Q$7,$B398&lt;'111'!$L$11),"x","")</f>
        <v/>
      </c>
      <c r="S398" s="84" t="str">
        <f>IF(AND($O398=$Q$7,$B398&lt;'111'!$L$11),"x","")</f>
        <v/>
      </c>
      <c r="T398" s="84" t="str">
        <f>IF(ISERROR(FIND('112'!$M$9,G398,1)),"",IF((AND(FIND('112'!$M$9,G398,1)&gt;=1,B398='112'!$K$9,OR($N398='112'!$I$6,$O398='112'!$I$6))),"x",""))</f>
        <v/>
      </c>
      <c r="U398" s="84" t="str">
        <f>IF(ISERROR(FIND('112'!$M$9,G398,1)),"",IF((AND(LEFT(G398,2)=LEFT('112'!$M$9,2),B398&lt;'112'!$K$9,$N398='112'!$I$6)),"x",""))</f>
        <v/>
      </c>
      <c r="V398" s="84" t="str">
        <f>IF(ISERROR(FIND('112'!$M$9,G398,1)),"",IF((AND(RIGHT(G398,2)=RIGHT('112'!$M$9,2),B398&lt;'112'!$K$9,$O398='112'!$I$6)),"x",""))</f>
        <v/>
      </c>
      <c r="W398" s="84" t="str">
        <f>IF(AND('341-CT'!$H$9=H398,OR(LEFT(N398,3)=$W$7,LEFT(O398,3)=$W$7)),"x","")</f>
        <v/>
      </c>
      <c r="X398" s="84" t="str">
        <f>IF(OR(TH!N398=TH!$X$7,O398=TH!$X$7),"x","")</f>
        <v/>
      </c>
      <c r="Y398" s="84" t="str">
        <f>IF(AND(OR(N398="131",O398="131"),H398='131-CT'!$H$9),"x","")</f>
        <v/>
      </c>
      <c r="Z398" s="84"/>
      <c r="AA398" s="84" t="str">
        <f>IF(AND(MONTH(E398)='IN-NX'!$J$5,'IN-NX'!$D$7=D398),"x","")</f>
        <v/>
      </c>
      <c r="AB398" s="84" t="str">
        <f>IF(AND(OR(LEFT(TH!N398,2)="15",LEFT(TH!O398,2)="15"),LEFT(TH!O398,3)&lt;&gt;"111",'152-CT'!$J$8=TH!F398),"x","")</f>
        <v/>
      </c>
      <c r="AC398" s="84" t="str">
        <f>IF(AND(OR(LEFT(TH!N398,2)="15",LEFT(TH!O398,2)="15"),TK!$E$7=TH!F398),"x","")</f>
        <v/>
      </c>
      <c r="AD398" s="84" t="str">
        <f>IF(AND(N398="1521",MONTH(C398)='BK-NL'!$M$11),"x","")</f>
        <v/>
      </c>
      <c r="AE398" s="1146" t="str">
        <f t="shared" si="74"/>
        <v>x</v>
      </c>
    </row>
    <row r="399" spans="1:32" s="341" customFormat="1" ht="15.75" hidden="1" customHeight="1">
      <c r="A399" s="336" t="str">
        <f>IF(B399&lt;&gt;"",IF(AND(B399='IN-TC'!$S$4,OR(TH!N399="1111",TH!O399="1111")),TH!D399,""),"")</f>
        <v/>
      </c>
      <c r="B399" s="63">
        <f t="shared" ref="B399:B406" si="75">IF(C399&lt;&gt;"",MONTH(C399),"")</f>
        <v>6</v>
      </c>
      <c r="C399" s="64">
        <v>42523</v>
      </c>
      <c r="D399" s="64" t="s">
        <v>686</v>
      </c>
      <c r="E399" s="64">
        <f>C399</f>
        <v>42523</v>
      </c>
      <c r="F399" s="67" t="s">
        <v>339</v>
      </c>
      <c r="G399" s="982"/>
      <c r="H399" s="73" t="s">
        <v>449</v>
      </c>
      <c r="I399" s="439">
        <v>30</v>
      </c>
      <c r="J399" s="439">
        <v>35444.444444444445</v>
      </c>
      <c r="K399" s="430"/>
      <c r="L399" s="439"/>
      <c r="M399" s="65">
        <f t="shared" ref="M399:M406" si="76">ROUND(I399*J399,0)</f>
        <v>1063333</v>
      </c>
      <c r="N399" s="66" t="s">
        <v>282</v>
      </c>
      <c r="O399" s="66" t="s">
        <v>276</v>
      </c>
      <c r="P399" s="84" t="str">
        <f>IF(AND('331-CT'!$E$7=TH!H399,OR(N399="331",O399="331")),"x","")</f>
        <v/>
      </c>
      <c r="Q399" s="84" t="str">
        <f>IF(AND(B399='111'!$L$11,OR($N399=$Q$7,$O399=$Q$7)),"x","")</f>
        <v/>
      </c>
      <c r="R399" s="84" t="str">
        <f>IF(AND($N399=$Q$7,$B399&lt;'111'!$L$11),"x","")</f>
        <v/>
      </c>
      <c r="S399" s="84" t="str">
        <f>IF(AND($O399=$Q$7,$B399&lt;'111'!$L$11),"x","")</f>
        <v/>
      </c>
      <c r="T399" s="84" t="str">
        <f>IF(ISERROR(FIND('112'!$M$9,G399,1)),"",IF((AND(FIND('112'!$M$9,G399,1)&gt;=1,B399='112'!$K$9,OR($N399='112'!$I$6,$O399='112'!$I$6))),"x",""))</f>
        <v/>
      </c>
      <c r="U399" s="84" t="str">
        <f>IF(ISERROR(FIND('112'!$M$9,G399,1)),"",IF((AND(LEFT(G399,2)=LEFT('112'!$M$9,2),B399&lt;'112'!$K$9,$N399='112'!$I$6)),"x",""))</f>
        <v/>
      </c>
      <c r="V399" s="84" t="str">
        <f>IF(ISERROR(FIND('112'!$M$9,G399,1)),"",IF((AND(RIGHT(G399,2)=RIGHT('112'!$M$9,2),B399&lt;'112'!$K$9,$O399='112'!$I$6)),"x",""))</f>
        <v/>
      </c>
      <c r="W399" s="84" t="str">
        <f>IF(AND('341-CT'!$H$9=H399,OR(LEFT(N399,3)=$W$7,LEFT(O399,3)=$W$7)),"x","")</f>
        <v/>
      </c>
      <c r="X399" s="84" t="str">
        <f>IF(OR(TH!N399=TH!$X$7,O399=TH!$X$7),"x","")</f>
        <v/>
      </c>
      <c r="Y399" s="84" t="str">
        <f>IF(AND(OR(N399="131",O399="131"),H399='131-CT'!$H$9),"x","")</f>
        <v/>
      </c>
      <c r="Z399" s="84"/>
      <c r="AA399" s="84" t="str">
        <f>IF(AND(MONTH(E399)='IN-NX'!$J$5,'IN-NX'!$D$7=D399),"x","")</f>
        <v/>
      </c>
      <c r="AB399" s="84" t="str">
        <f>IF(AND(OR(LEFT(TH!N399,2)="15",LEFT(TH!O399,2)="15"),LEFT(TH!O399,3)&lt;&gt;"111",'152-CT'!$J$8=TH!F399),"x","")</f>
        <v/>
      </c>
      <c r="AC399" s="84" t="str">
        <f>IF(AND(OR(LEFT(TH!N399,2)="15",LEFT(TH!O399,2)="15"),TK!$E$7=TH!F399),"x","")</f>
        <v/>
      </c>
      <c r="AD399" s="84" t="str">
        <f>IF(AND(N399="1521",MONTH(C399)='BK-NL'!$M$11),"x","")</f>
        <v/>
      </c>
    </row>
    <row r="400" spans="1:32" s="341" customFormat="1" ht="15.75" hidden="1" customHeight="1">
      <c r="A400" s="336" t="str">
        <f>IF(B400&lt;&gt;"",IF(AND(B400='IN-TC'!$S$4,OR(TH!N400="1111",TH!O400="1111")),TH!D400,""),"")</f>
        <v/>
      </c>
      <c r="B400" s="63">
        <f t="shared" si="75"/>
        <v>6</v>
      </c>
      <c r="C400" s="64">
        <v>42523</v>
      </c>
      <c r="D400" s="64" t="s">
        <v>686</v>
      </c>
      <c r="E400" s="64">
        <f t="shared" ref="E400:E406" si="77">C400</f>
        <v>42523</v>
      </c>
      <c r="F400" s="67" t="s">
        <v>345</v>
      </c>
      <c r="G400" s="982"/>
      <c r="H400" s="73" t="s">
        <v>449</v>
      </c>
      <c r="I400" s="439">
        <v>70</v>
      </c>
      <c r="J400" s="439">
        <v>46741.2</v>
      </c>
      <c r="K400" s="430"/>
      <c r="L400" s="439"/>
      <c r="M400" s="65">
        <f t="shared" si="76"/>
        <v>3271884</v>
      </c>
      <c r="N400" s="66" t="s">
        <v>282</v>
      </c>
      <c r="O400" s="66" t="s">
        <v>276</v>
      </c>
      <c r="P400" s="84" t="str">
        <f>IF(AND('331-CT'!$E$7=TH!H400,OR(N400="331",O400="331")),"x","")</f>
        <v/>
      </c>
      <c r="Q400" s="84" t="str">
        <f>IF(AND(B400='111'!$L$11,OR($N400=$Q$7,$O400=$Q$7)),"x","")</f>
        <v/>
      </c>
      <c r="R400" s="84" t="str">
        <f>IF(AND($N400=$Q$7,$B400&lt;'111'!$L$11),"x","")</f>
        <v/>
      </c>
      <c r="S400" s="84" t="str">
        <f>IF(AND($O400=$Q$7,$B400&lt;'111'!$L$11),"x","")</f>
        <v/>
      </c>
      <c r="T400" s="84" t="str">
        <f>IF(ISERROR(FIND('112'!$M$9,G400,1)),"",IF((AND(FIND('112'!$M$9,G400,1)&gt;=1,B400='112'!$K$9,OR($N400='112'!$I$6,$O400='112'!$I$6))),"x",""))</f>
        <v/>
      </c>
      <c r="U400" s="84" t="str">
        <f>IF(ISERROR(FIND('112'!$M$9,G400,1)),"",IF((AND(LEFT(G400,2)=LEFT('112'!$M$9,2),B400&lt;'112'!$K$9,$N400='112'!$I$6)),"x",""))</f>
        <v/>
      </c>
      <c r="V400" s="84" t="str">
        <f>IF(ISERROR(FIND('112'!$M$9,G400,1)),"",IF((AND(RIGHT(G400,2)=RIGHT('112'!$M$9,2),B400&lt;'112'!$K$9,$O400='112'!$I$6)),"x",""))</f>
        <v/>
      </c>
      <c r="W400" s="84" t="str">
        <f>IF(AND('341-CT'!$H$9=H400,OR(LEFT(N400,3)=$W$7,LEFT(O400,3)=$W$7)),"x","")</f>
        <v/>
      </c>
      <c r="X400" s="84" t="str">
        <f>IF(OR(TH!N400=TH!$X$7,O400=TH!$X$7),"x","")</f>
        <v/>
      </c>
      <c r="Y400" s="84" t="str">
        <f>IF(AND(OR(N400="131",O400="131"),H400='131-CT'!$H$9),"x","")</f>
        <v/>
      </c>
      <c r="Z400" s="84"/>
      <c r="AA400" s="84" t="str">
        <f>IF(AND(MONTH(E400)='IN-NX'!$J$5,'IN-NX'!$D$7=D400),"x","")</f>
        <v/>
      </c>
      <c r="AB400" s="84" t="str">
        <f>IF(AND(OR(LEFT(TH!N400,2)="15",LEFT(TH!O400,2)="15"),LEFT(TH!O400,3)&lt;&gt;"111",'152-CT'!$J$8=TH!F400),"x","")</f>
        <v/>
      </c>
      <c r="AC400" s="84" t="str">
        <f>IF(AND(OR(LEFT(TH!N400,2)="15",LEFT(TH!O400,2)="15"),TK!$E$7=TH!F400),"x","")</f>
        <v/>
      </c>
      <c r="AD400" s="84" t="str">
        <f>IF(AND(N400="1521",MONTH(C400)='BK-NL'!$M$11),"x","")</f>
        <v/>
      </c>
    </row>
    <row r="401" spans="1:30" s="341" customFormat="1" ht="15.75" hidden="1" customHeight="1">
      <c r="A401" s="336" t="str">
        <f>IF(B401&lt;&gt;"",IF(AND(B401='IN-TC'!$S$4,OR(TH!N401="1111",TH!O401="1111")),TH!D401,""),"")</f>
        <v/>
      </c>
      <c r="B401" s="63">
        <f t="shared" si="75"/>
        <v>6</v>
      </c>
      <c r="C401" s="64">
        <v>42523</v>
      </c>
      <c r="D401" s="64" t="s">
        <v>686</v>
      </c>
      <c r="E401" s="64">
        <f t="shared" si="77"/>
        <v>42523</v>
      </c>
      <c r="F401" s="67" t="s">
        <v>348</v>
      </c>
      <c r="G401" s="67"/>
      <c r="H401" s="73" t="s">
        <v>449</v>
      </c>
      <c r="I401" s="439">
        <v>330</v>
      </c>
      <c r="J401" s="439">
        <v>13571.429</v>
      </c>
      <c r="K401" s="430"/>
      <c r="L401" s="439"/>
      <c r="M401" s="65">
        <f t="shared" si="76"/>
        <v>4478572</v>
      </c>
      <c r="N401" s="66" t="s">
        <v>282</v>
      </c>
      <c r="O401" s="66" t="s">
        <v>276</v>
      </c>
      <c r="P401" s="84" t="str">
        <f>IF(AND('331-CT'!$E$7=TH!H401,OR(N401="331",O401="331")),"x","")</f>
        <v/>
      </c>
      <c r="Q401" s="84" t="str">
        <f>IF(AND(B401='111'!$L$11,OR($N401=$Q$7,$O401=$Q$7)),"x","")</f>
        <v/>
      </c>
      <c r="R401" s="84" t="str">
        <f>IF(AND($N401=$Q$7,$B401&lt;'111'!$L$11),"x","")</f>
        <v/>
      </c>
      <c r="S401" s="84" t="str">
        <f>IF(AND($O401=$Q$7,$B401&lt;'111'!$L$11),"x","")</f>
        <v/>
      </c>
      <c r="T401" s="84" t="str">
        <f>IF(ISERROR(FIND('112'!$M$9,G401,1)),"",IF((AND(FIND('112'!$M$9,G401,1)&gt;=1,B401='112'!$K$9,OR($N401='112'!$I$6,$O401='112'!$I$6))),"x",""))</f>
        <v/>
      </c>
      <c r="U401" s="84" t="str">
        <f>IF(ISERROR(FIND('112'!$M$9,G401,1)),"",IF((AND(LEFT(G401,2)=LEFT('112'!$M$9,2),B401&lt;'112'!$K$9,$N401='112'!$I$6)),"x",""))</f>
        <v/>
      </c>
      <c r="V401" s="84" t="str">
        <f>IF(ISERROR(FIND('112'!$M$9,G401,1)),"",IF((AND(RIGHT(G401,2)=RIGHT('112'!$M$9,2),B401&lt;'112'!$K$9,$O401='112'!$I$6)),"x",""))</f>
        <v/>
      </c>
      <c r="W401" s="84" t="str">
        <f>IF(AND('341-CT'!$H$9=H401,OR(LEFT(N401,3)=$W$7,LEFT(O401,3)=$W$7)),"x","")</f>
        <v/>
      </c>
      <c r="X401" s="84" t="str">
        <f>IF(OR(TH!N401=TH!$X$7,O401=TH!$X$7),"x","")</f>
        <v/>
      </c>
      <c r="Y401" s="84" t="str">
        <f>IF(AND(OR(N401="131",O401="131"),H401='131-CT'!$H$9),"x","")</f>
        <v/>
      </c>
      <c r="Z401" s="84"/>
      <c r="AA401" s="84" t="str">
        <f>IF(AND(MONTH(E401)='IN-NX'!$J$5,'IN-NX'!$D$7=D401),"x","")</f>
        <v/>
      </c>
      <c r="AB401" s="84" t="str">
        <f>IF(AND(OR(LEFT(TH!N401,2)="15",LEFT(TH!O401,2)="15"),LEFT(TH!O401,3)&lt;&gt;"111",'152-CT'!$J$8=TH!F401),"x","")</f>
        <v/>
      </c>
      <c r="AC401" s="84" t="str">
        <f>IF(AND(OR(LEFT(TH!N401,2)="15",LEFT(TH!O401,2)="15"),TK!$E$7=TH!F401),"x","")</f>
        <v>x</v>
      </c>
      <c r="AD401" s="84" t="str">
        <f>IF(AND(N401="1521",MONTH(C401)='BK-NL'!$M$11),"x","")</f>
        <v/>
      </c>
    </row>
    <row r="402" spans="1:30" s="341" customFormat="1" ht="15.75" hidden="1" customHeight="1">
      <c r="A402" s="336" t="str">
        <f>IF(B402&lt;&gt;"",IF(AND(B402='IN-TC'!$S$4,OR(TH!N402="1111",TH!O402="1111")),TH!D402,""),"")</f>
        <v/>
      </c>
      <c r="B402" s="63">
        <f t="shared" si="75"/>
        <v>6</v>
      </c>
      <c r="C402" s="64">
        <v>42523</v>
      </c>
      <c r="D402" s="64" t="s">
        <v>686</v>
      </c>
      <c r="E402" s="64">
        <f t="shared" si="77"/>
        <v>42523</v>
      </c>
      <c r="F402" s="67" t="s">
        <v>353</v>
      </c>
      <c r="G402" s="67"/>
      <c r="H402" s="73" t="s">
        <v>449</v>
      </c>
      <c r="I402" s="439">
        <v>1500</v>
      </c>
      <c r="J402" s="439">
        <v>3200</v>
      </c>
      <c r="K402" s="430"/>
      <c r="L402" s="439"/>
      <c r="M402" s="65">
        <f t="shared" si="76"/>
        <v>4800000</v>
      </c>
      <c r="N402" s="66" t="s">
        <v>282</v>
      </c>
      <c r="O402" s="66" t="s">
        <v>276</v>
      </c>
      <c r="P402" s="84" t="str">
        <f>IF(AND('331-CT'!$E$7=TH!H402,OR(N402="331",O402="331")),"x","")</f>
        <v/>
      </c>
      <c r="Q402" s="84" t="str">
        <f>IF(AND(B402='111'!$L$11,OR($N402=$Q$7,$O402=$Q$7)),"x","")</f>
        <v/>
      </c>
      <c r="R402" s="84" t="str">
        <f>IF(AND($N402=$Q$7,$B402&lt;'111'!$L$11),"x","")</f>
        <v/>
      </c>
      <c r="S402" s="84" t="str">
        <f>IF(AND($O402=$Q$7,$B402&lt;'111'!$L$11),"x","")</f>
        <v/>
      </c>
      <c r="T402" s="84" t="str">
        <f>IF(ISERROR(FIND('112'!$M$9,G402,1)),"",IF((AND(FIND('112'!$M$9,G402,1)&gt;=1,B402='112'!$K$9,OR($N402='112'!$I$6,$O402='112'!$I$6))),"x",""))</f>
        <v/>
      </c>
      <c r="U402" s="84" t="str">
        <f>IF(ISERROR(FIND('112'!$M$9,G402,1)),"",IF((AND(LEFT(G402,2)=LEFT('112'!$M$9,2),B402&lt;'112'!$K$9,$N402='112'!$I$6)),"x",""))</f>
        <v/>
      </c>
      <c r="V402" s="84" t="str">
        <f>IF(ISERROR(FIND('112'!$M$9,G402,1)),"",IF((AND(RIGHT(G402,2)=RIGHT('112'!$M$9,2),B402&lt;'112'!$K$9,$O402='112'!$I$6)),"x",""))</f>
        <v/>
      </c>
      <c r="W402" s="84" t="str">
        <f>IF(AND('341-CT'!$H$9=H402,OR(LEFT(N402,3)=$W$7,LEFT(O402,3)=$W$7)),"x","")</f>
        <v/>
      </c>
      <c r="X402" s="84" t="str">
        <f>IF(OR(TH!N402=TH!$X$7,O402=TH!$X$7),"x","")</f>
        <v/>
      </c>
      <c r="Y402" s="84" t="str">
        <f>IF(AND(OR(N402="131",O402="131"),H402='131-CT'!$H$9),"x","")</f>
        <v/>
      </c>
      <c r="Z402" s="84"/>
      <c r="AA402" s="84" t="str">
        <f>IF(AND(MONTH(E402)='IN-NX'!$J$5,'IN-NX'!$D$7=D402),"x","")</f>
        <v/>
      </c>
      <c r="AB402" s="84" t="str">
        <f>IF(AND(OR(LEFT(TH!N402,2)="15",LEFT(TH!O402,2)="15"),LEFT(TH!O402,3)&lt;&gt;"111",'152-CT'!$J$8=TH!F402),"x","")</f>
        <v/>
      </c>
      <c r="AC402" s="84" t="str">
        <f>IF(AND(OR(LEFT(TH!N402,2)="15",LEFT(TH!O402,2)="15"),TK!$E$7=TH!F402),"x","")</f>
        <v/>
      </c>
      <c r="AD402" s="84" t="str">
        <f>IF(AND(N402="1521",MONTH(C402)='BK-NL'!$M$11),"x","")</f>
        <v/>
      </c>
    </row>
    <row r="403" spans="1:30" s="341" customFormat="1" ht="15.75" hidden="1" customHeight="1">
      <c r="A403" s="336" t="str">
        <f>IF(B403&lt;&gt;"",IF(AND(B403='IN-TC'!$S$4,OR(TH!N403="1111",TH!O403="1111")),TH!D403,""),"")</f>
        <v/>
      </c>
      <c r="B403" s="63">
        <f t="shared" si="75"/>
        <v>6</v>
      </c>
      <c r="C403" s="64">
        <v>42523</v>
      </c>
      <c r="D403" s="64" t="s">
        <v>686</v>
      </c>
      <c r="E403" s="64">
        <f t="shared" si="77"/>
        <v>42523</v>
      </c>
      <c r="F403" s="67" t="s">
        <v>356</v>
      </c>
      <c r="G403" s="67"/>
      <c r="H403" s="73" t="s">
        <v>449</v>
      </c>
      <c r="I403" s="439">
        <v>3780</v>
      </c>
      <c r="J403" s="439">
        <v>14900</v>
      </c>
      <c r="K403" s="430"/>
      <c r="L403" s="439"/>
      <c r="M403" s="65">
        <f t="shared" si="76"/>
        <v>56322000</v>
      </c>
      <c r="N403" s="66" t="s">
        <v>282</v>
      </c>
      <c r="O403" s="66" t="s">
        <v>276</v>
      </c>
      <c r="P403" s="84" t="str">
        <f>IF(AND('331-CT'!$E$7=TH!H403,OR(N403="331",O403="331")),"x","")</f>
        <v/>
      </c>
      <c r="Q403" s="84" t="str">
        <f>IF(AND(B403='111'!$L$11,OR($N403=$Q$7,$O403=$Q$7)),"x","")</f>
        <v/>
      </c>
      <c r="R403" s="84" t="str">
        <f>IF(AND($N403=$Q$7,$B403&lt;'111'!$L$11),"x","")</f>
        <v/>
      </c>
      <c r="S403" s="84" t="str">
        <f>IF(AND($O403=$Q$7,$B403&lt;'111'!$L$11),"x","")</f>
        <v/>
      </c>
      <c r="T403" s="84" t="str">
        <f>IF(ISERROR(FIND('112'!$M$9,G403,1)),"",IF((AND(FIND('112'!$M$9,G403,1)&gt;=1,B403='112'!$K$9,OR($N403='112'!$I$6,$O403='112'!$I$6))),"x",""))</f>
        <v/>
      </c>
      <c r="U403" s="84" t="str">
        <f>IF(ISERROR(FIND('112'!$M$9,G403,1)),"",IF((AND(LEFT(G403,2)=LEFT('112'!$M$9,2),B403&lt;'112'!$K$9,$N403='112'!$I$6)),"x",""))</f>
        <v/>
      </c>
      <c r="V403" s="84" t="str">
        <f>IF(ISERROR(FIND('112'!$M$9,G403,1)),"",IF((AND(RIGHT(G403,2)=RIGHT('112'!$M$9,2),B403&lt;'112'!$K$9,$O403='112'!$I$6)),"x",""))</f>
        <v/>
      </c>
      <c r="W403" s="84" t="str">
        <f>IF(AND('341-CT'!$H$9=H403,OR(LEFT(N403,3)=$W$7,LEFT(O403,3)=$W$7)),"x","")</f>
        <v/>
      </c>
      <c r="X403" s="84" t="str">
        <f>IF(OR(TH!N403=TH!$X$7,O403=TH!$X$7),"x","")</f>
        <v/>
      </c>
      <c r="Y403" s="84" t="str">
        <f>IF(AND(OR(N403="131",O403="131"),H403='131-CT'!$H$9),"x","")</f>
        <v/>
      </c>
      <c r="Z403" s="84"/>
      <c r="AA403" s="84" t="str">
        <f>IF(AND(MONTH(E403)='IN-NX'!$J$5,'IN-NX'!$D$7=D403),"x","")</f>
        <v/>
      </c>
      <c r="AB403" s="84" t="str">
        <f>IF(AND(OR(LEFT(TH!N403,2)="15",LEFT(TH!O403,2)="15"),LEFT(TH!O403,3)&lt;&gt;"111",'152-CT'!$J$8=TH!F403),"x","")</f>
        <v/>
      </c>
      <c r="AC403" s="84" t="str">
        <f>IF(AND(OR(LEFT(TH!N403,2)="15",LEFT(TH!O403,2)="15"),TK!$E$7=TH!F403),"x","")</f>
        <v/>
      </c>
      <c r="AD403" s="84" t="str">
        <f>IF(AND(N403="1521",MONTH(C403)='BK-NL'!$M$11),"x","")</f>
        <v/>
      </c>
    </row>
    <row r="404" spans="1:30" s="341" customFormat="1" ht="15.75" hidden="1" customHeight="1">
      <c r="A404" s="336" t="str">
        <f>IF(B404&lt;&gt;"",IF(AND(B404='IN-TC'!$S$4,OR(TH!N404="1111",TH!O404="1111")),TH!D404,""),"")</f>
        <v/>
      </c>
      <c r="B404" s="63">
        <f t="shared" si="75"/>
        <v>6</v>
      </c>
      <c r="C404" s="64">
        <v>42523</v>
      </c>
      <c r="D404" s="64" t="s">
        <v>686</v>
      </c>
      <c r="E404" s="64">
        <f t="shared" si="77"/>
        <v>42523</v>
      </c>
      <c r="F404" s="67" t="s">
        <v>1409</v>
      </c>
      <c r="G404" s="67"/>
      <c r="H404" s="73" t="s">
        <v>449</v>
      </c>
      <c r="I404" s="439">
        <v>100</v>
      </c>
      <c r="J404" s="439">
        <v>12728</v>
      </c>
      <c r="K404" s="430"/>
      <c r="L404" s="439"/>
      <c r="M404" s="65">
        <f t="shared" si="76"/>
        <v>1272800</v>
      </c>
      <c r="N404" s="66" t="s">
        <v>282</v>
      </c>
      <c r="O404" s="66" t="s">
        <v>276</v>
      </c>
      <c r="P404" s="84" t="str">
        <f>IF(AND('331-CT'!$E$7=TH!H404,OR(N404="331",O404="331")),"x","")</f>
        <v/>
      </c>
      <c r="Q404" s="84" t="str">
        <f>IF(AND(B404='111'!$L$11,OR($N404=$Q$7,$O404=$Q$7)),"x","")</f>
        <v/>
      </c>
      <c r="R404" s="84" t="str">
        <f>IF(AND($N404=$Q$7,$B404&lt;'111'!$L$11),"x","")</f>
        <v/>
      </c>
      <c r="S404" s="84" t="str">
        <f>IF(AND($O404=$Q$7,$B404&lt;'111'!$L$11),"x","")</f>
        <v/>
      </c>
      <c r="T404" s="84" t="str">
        <f>IF(ISERROR(FIND('112'!$M$9,G404,1)),"",IF((AND(FIND('112'!$M$9,G404,1)&gt;=1,B404='112'!$K$9,OR($N404='112'!$I$6,$O404='112'!$I$6))),"x",""))</f>
        <v/>
      </c>
      <c r="U404" s="84" t="str">
        <f>IF(ISERROR(FIND('112'!$M$9,G404,1)),"",IF((AND(LEFT(G404,2)=LEFT('112'!$M$9,2),B404&lt;'112'!$K$9,$N404='112'!$I$6)),"x",""))</f>
        <v/>
      </c>
      <c r="V404" s="84" t="str">
        <f>IF(ISERROR(FIND('112'!$M$9,G404,1)),"",IF((AND(RIGHT(G404,2)=RIGHT('112'!$M$9,2),B404&lt;'112'!$K$9,$O404='112'!$I$6)),"x",""))</f>
        <v/>
      </c>
      <c r="W404" s="84" t="str">
        <f>IF(AND('341-CT'!$H$9=H404,OR(LEFT(N404,3)=$W$7,LEFT(O404,3)=$W$7)),"x","")</f>
        <v/>
      </c>
      <c r="X404" s="84" t="str">
        <f>IF(OR(TH!N404=TH!$X$7,O404=TH!$X$7),"x","")</f>
        <v/>
      </c>
      <c r="Y404" s="84" t="str">
        <f>IF(AND(OR(N404="131",O404="131"),H404='131-CT'!$H$9),"x","")</f>
        <v/>
      </c>
      <c r="Z404" s="84"/>
      <c r="AA404" s="84" t="str">
        <f>IF(AND(MONTH(E404)='IN-NX'!$J$5,'IN-NX'!$D$7=D404),"x","")</f>
        <v/>
      </c>
      <c r="AB404" s="84" t="str">
        <f>IF(AND(OR(LEFT(TH!N404,2)="15",LEFT(TH!O404,2)="15"),LEFT(TH!O404,3)&lt;&gt;"111",'152-CT'!$J$8=TH!F404),"x","")</f>
        <v/>
      </c>
      <c r="AC404" s="84" t="str">
        <f>IF(AND(OR(LEFT(TH!N404,2)="15",LEFT(TH!O404,2)="15"),TK!$E$7=TH!F404),"x","")</f>
        <v/>
      </c>
      <c r="AD404" s="84" t="str">
        <f>IF(AND(N404="1521",MONTH(C404)='BK-NL'!$M$11),"x","")</f>
        <v/>
      </c>
    </row>
    <row r="405" spans="1:30" s="341" customFormat="1" ht="15.75" hidden="1" customHeight="1">
      <c r="A405" s="336" t="str">
        <f>IF(B405&lt;&gt;"",IF(AND(B405='IN-TC'!$S$4,OR(TH!N405="1111",TH!O405="1111")),TH!D405,""),"")</f>
        <v/>
      </c>
      <c r="B405" s="63">
        <f t="shared" si="75"/>
        <v>6</v>
      </c>
      <c r="C405" s="64">
        <v>42526</v>
      </c>
      <c r="D405" s="64" t="s">
        <v>687</v>
      </c>
      <c r="E405" s="64">
        <f t="shared" si="77"/>
        <v>42526</v>
      </c>
      <c r="F405" s="67" t="s">
        <v>359</v>
      </c>
      <c r="G405" s="67"/>
      <c r="H405" s="73" t="s">
        <v>449</v>
      </c>
      <c r="I405" s="439">
        <v>300</v>
      </c>
      <c r="J405" s="439">
        <v>8500</v>
      </c>
      <c r="K405" s="430"/>
      <c r="L405" s="439"/>
      <c r="M405" s="65">
        <f t="shared" si="76"/>
        <v>2550000</v>
      </c>
      <c r="N405" s="66" t="s">
        <v>282</v>
      </c>
      <c r="O405" s="66" t="s">
        <v>276</v>
      </c>
      <c r="P405" s="84" t="str">
        <f>IF(AND('331-CT'!$E$7=TH!H405,OR(N405="331",O405="331")),"x","")</f>
        <v/>
      </c>
      <c r="Q405" s="84" t="str">
        <f>IF(AND(B405='111'!$L$11,OR($N405=$Q$7,$O405=$Q$7)),"x","")</f>
        <v/>
      </c>
      <c r="R405" s="84" t="str">
        <f>IF(AND($N405=$Q$7,$B405&lt;'111'!$L$11),"x","")</f>
        <v/>
      </c>
      <c r="S405" s="84" t="str">
        <f>IF(AND($O405=$Q$7,$B405&lt;'111'!$L$11),"x","")</f>
        <v/>
      </c>
      <c r="T405" s="84" t="str">
        <f>IF(ISERROR(FIND('112'!$M$9,G405,1)),"",IF((AND(FIND('112'!$M$9,G405,1)&gt;=1,B405='112'!$K$9,OR($N405='112'!$I$6,$O405='112'!$I$6))),"x",""))</f>
        <v/>
      </c>
      <c r="U405" s="84" t="str">
        <f>IF(ISERROR(FIND('112'!$M$9,G405,1)),"",IF((AND(LEFT(G405,2)=LEFT('112'!$M$9,2),B405&lt;'112'!$K$9,$N405='112'!$I$6)),"x",""))</f>
        <v/>
      </c>
      <c r="V405" s="84" t="str">
        <f>IF(ISERROR(FIND('112'!$M$9,G405,1)),"",IF((AND(RIGHT(G405,2)=RIGHT('112'!$M$9,2),B405&lt;'112'!$K$9,$O405='112'!$I$6)),"x",""))</f>
        <v/>
      </c>
      <c r="W405" s="84" t="str">
        <f>IF(AND('341-CT'!$H$9=H405,OR(LEFT(N405,3)=$W$7,LEFT(O405,3)=$W$7)),"x","")</f>
        <v/>
      </c>
      <c r="X405" s="84" t="str">
        <f>IF(OR(TH!N405=TH!$X$7,O405=TH!$X$7),"x","")</f>
        <v/>
      </c>
      <c r="Y405" s="84" t="str">
        <f>IF(AND(OR(N405="131",O405="131"),H405='131-CT'!$H$9),"x","")</f>
        <v/>
      </c>
      <c r="Z405" s="84"/>
      <c r="AA405" s="84" t="str">
        <f>IF(AND(MONTH(E405)='IN-NX'!$J$5,'IN-NX'!$D$7=D405),"x","")</f>
        <v/>
      </c>
      <c r="AB405" s="84" t="str">
        <f>IF(AND(OR(LEFT(TH!N405,2)="15",LEFT(TH!O405,2)="15"),LEFT(TH!O405,3)&lt;&gt;"111",'152-CT'!$J$8=TH!F405),"x","")</f>
        <v/>
      </c>
      <c r="AC405" s="84" t="str">
        <f>IF(AND(OR(LEFT(TH!N405,2)="15",LEFT(TH!O405,2)="15"),TK!$E$7=TH!F405),"x","")</f>
        <v/>
      </c>
      <c r="AD405" s="84" t="str">
        <f>IF(AND(N405="1521",MONTH(C405)='BK-NL'!$M$11),"x","")</f>
        <v/>
      </c>
    </row>
    <row r="406" spans="1:30" s="341" customFormat="1" ht="15.75" hidden="1" customHeight="1">
      <c r="A406" s="336" t="str">
        <f>IF(B406&lt;&gt;"",IF(AND(B406='IN-TC'!$S$4,OR(TH!N406="1111",TH!O406="1111")),TH!D406,""),"")</f>
        <v/>
      </c>
      <c r="B406" s="63">
        <f t="shared" si="75"/>
        <v>6</v>
      </c>
      <c r="C406" s="64">
        <v>42526</v>
      </c>
      <c r="D406" s="64" t="s">
        <v>687</v>
      </c>
      <c r="E406" s="64">
        <f t="shared" si="77"/>
        <v>42526</v>
      </c>
      <c r="F406" s="67" t="s">
        <v>363</v>
      </c>
      <c r="G406" s="67"/>
      <c r="H406" s="73" t="s">
        <v>449</v>
      </c>
      <c r="I406" s="441">
        <v>270</v>
      </c>
      <c r="J406" s="441">
        <v>33000</v>
      </c>
      <c r="K406" s="432"/>
      <c r="L406" s="441"/>
      <c r="M406" s="65">
        <f t="shared" si="76"/>
        <v>8910000</v>
      </c>
      <c r="N406" s="66" t="s">
        <v>282</v>
      </c>
      <c r="O406" s="66" t="s">
        <v>276</v>
      </c>
      <c r="P406" s="84" t="str">
        <f>IF(AND('331-CT'!$E$7=TH!H406,OR(N406="331",O406="331")),"x","")</f>
        <v/>
      </c>
      <c r="Q406" s="84" t="str">
        <f>IF(AND(B406='111'!$L$11,OR($N406=$Q$7,$O406=$Q$7)),"x","")</f>
        <v/>
      </c>
      <c r="R406" s="84" t="str">
        <f>IF(AND($N406=$Q$7,$B406&lt;'111'!$L$11),"x","")</f>
        <v/>
      </c>
      <c r="S406" s="84" t="str">
        <f>IF(AND($O406=$Q$7,$B406&lt;'111'!$L$11),"x","")</f>
        <v/>
      </c>
      <c r="T406" s="84" t="str">
        <f>IF(ISERROR(FIND('112'!$M$9,G406,1)),"",IF((AND(FIND('112'!$M$9,G406,1)&gt;=1,B406='112'!$K$9,OR($N406='112'!$I$6,$O406='112'!$I$6))),"x",""))</f>
        <v/>
      </c>
      <c r="U406" s="84" t="str">
        <f>IF(ISERROR(FIND('112'!$M$9,G406,1)),"",IF((AND(LEFT(G406,2)=LEFT('112'!$M$9,2),B406&lt;'112'!$K$9,$N406='112'!$I$6)),"x",""))</f>
        <v/>
      </c>
      <c r="V406" s="84" t="str">
        <f>IF(ISERROR(FIND('112'!$M$9,G406,1)),"",IF((AND(RIGHT(G406,2)=RIGHT('112'!$M$9,2),B406&lt;'112'!$K$9,$O406='112'!$I$6)),"x",""))</f>
        <v/>
      </c>
      <c r="W406" s="84" t="str">
        <f>IF(AND('341-CT'!$H$9=H406,OR(LEFT(N406,3)=$W$7,LEFT(O406,3)=$W$7)),"x","")</f>
        <v/>
      </c>
      <c r="X406" s="84" t="str">
        <f>IF(OR(TH!N406=TH!$X$7,O406=TH!$X$7),"x","")</f>
        <v/>
      </c>
      <c r="Y406" s="84" t="str">
        <f>IF(AND(OR(N406="131",O406="131"),H406='131-CT'!$H$9),"x","")</f>
        <v/>
      </c>
      <c r="Z406" s="84"/>
      <c r="AA406" s="84" t="str">
        <f>IF(AND(MONTH(E406)='IN-NX'!$J$5,'IN-NX'!$D$7=D406),"x","")</f>
        <v/>
      </c>
      <c r="AB406" s="84" t="str">
        <f>IF(AND(OR(LEFT(TH!N406,2)="15",LEFT(TH!O406,2)="15"),LEFT(TH!O406,3)&lt;&gt;"111",'152-CT'!$J$8=TH!F406),"x","")</f>
        <v>x</v>
      </c>
      <c r="AC406" s="84" t="str">
        <f>IF(AND(OR(LEFT(TH!N406,2)="15",LEFT(TH!O406,2)="15"),TK!$E$7=TH!F406),"x","")</f>
        <v/>
      </c>
      <c r="AD406" s="84" t="str">
        <f>IF(AND(N406="1521",MONTH(C406)='BK-NL'!$M$11),"x","")</f>
        <v/>
      </c>
    </row>
    <row r="407" spans="1:30" s="341" customFormat="1" ht="15.75" hidden="1" customHeight="1">
      <c r="A407" s="336" t="str">
        <f>IF(B407&lt;&gt;"",IF(AND(B407='IN-TC'!$S$4,OR(TH!N407="1111",TH!O407="1111")),TH!D407,""),"")</f>
        <v/>
      </c>
      <c r="B407" s="63">
        <f t="shared" ref="B407:B420" si="78">IF(C407&lt;&gt;"",MONTH(C407),"")</f>
        <v>6</v>
      </c>
      <c r="C407" s="64">
        <v>42531</v>
      </c>
      <c r="D407" s="64" t="s">
        <v>689</v>
      </c>
      <c r="E407" s="64">
        <f t="shared" ref="E407:E421" si="79">C407</f>
        <v>42531</v>
      </c>
      <c r="F407" s="67" t="s">
        <v>1633</v>
      </c>
      <c r="G407" s="67"/>
      <c r="H407" s="73" t="s">
        <v>449</v>
      </c>
      <c r="I407" s="441">
        <v>360</v>
      </c>
      <c r="J407" s="441">
        <v>2400</v>
      </c>
      <c r="K407" s="432"/>
      <c r="L407" s="441"/>
      <c r="M407" s="65">
        <f t="shared" ref="M407:M418" si="80">ROUND(I407*J407,0)</f>
        <v>864000</v>
      </c>
      <c r="N407" s="66" t="s">
        <v>282</v>
      </c>
      <c r="O407" s="66" t="s">
        <v>276</v>
      </c>
      <c r="P407" s="84" t="str">
        <f>IF(AND('331-CT'!$E$7=TH!H407,OR(N407="331",O407="331")),"x","")</f>
        <v/>
      </c>
      <c r="Q407" s="84" t="str">
        <f>IF(AND(B407='111'!$L$11,OR($N407=$Q$7,$O407=$Q$7)),"x","")</f>
        <v/>
      </c>
      <c r="R407" s="84" t="str">
        <f>IF(AND($N407=$Q$7,$B407&lt;'111'!$L$11),"x","")</f>
        <v/>
      </c>
      <c r="S407" s="84" t="str">
        <f>IF(AND($O407=$Q$7,$B407&lt;'111'!$L$11),"x","")</f>
        <v/>
      </c>
      <c r="T407" s="84" t="str">
        <f>IF(ISERROR(FIND('112'!$M$9,G407,1)),"",IF((AND(FIND('112'!$M$9,G407,1)&gt;=1,B407='112'!$K$9,OR($N407='112'!$I$6,$O407='112'!$I$6))),"x",""))</f>
        <v/>
      </c>
      <c r="U407" s="84" t="str">
        <f>IF(ISERROR(FIND('112'!$M$9,G407,1)),"",IF((AND(LEFT(G407,2)=LEFT('112'!$M$9,2),B407&lt;'112'!$K$9,$N407='112'!$I$6)),"x",""))</f>
        <v/>
      </c>
      <c r="V407" s="84" t="str">
        <f>IF(ISERROR(FIND('112'!$M$9,G407,1)),"",IF((AND(RIGHT(G407,2)=RIGHT('112'!$M$9,2),B407&lt;'112'!$K$9,$O407='112'!$I$6)),"x",""))</f>
        <v/>
      </c>
      <c r="W407" s="84" t="str">
        <f>IF(AND('341-CT'!$H$9=H407,OR(LEFT(N407,3)=$W$7,LEFT(O407,3)=$W$7)),"x","")</f>
        <v/>
      </c>
      <c r="X407" s="84" t="str">
        <f>IF(OR(TH!N407=TH!$X$7,O407=TH!$X$7),"x","")</f>
        <v/>
      </c>
      <c r="Y407" s="84" t="str">
        <f>IF(AND(OR(N407="131",O407="131"),H407='131-CT'!$H$9),"x","")</f>
        <v/>
      </c>
      <c r="Z407" s="84"/>
      <c r="AA407" s="84" t="str">
        <f>IF(AND(MONTH(E407)='IN-NX'!$J$5,'IN-NX'!$D$7=D407),"x","")</f>
        <v/>
      </c>
      <c r="AB407" s="84" t="str">
        <f>IF(AND(OR(LEFT(TH!N407,2)="15",LEFT(TH!O407,2)="15"),LEFT(TH!O407,3)&lt;&gt;"111",'152-CT'!$J$8=TH!F407),"x","")</f>
        <v/>
      </c>
      <c r="AC407" s="84" t="str">
        <f>IF(AND(OR(LEFT(TH!N407,2)="15",LEFT(TH!O407,2)="15"),TK!$E$7=TH!F407),"x","")</f>
        <v/>
      </c>
      <c r="AD407" s="84" t="str">
        <f>IF(AND(N407="1521",MONTH(C407)='BK-NL'!$M$11),"x","")</f>
        <v/>
      </c>
    </row>
    <row r="408" spans="1:30" s="341" customFormat="1" ht="15.75" hidden="1" customHeight="1">
      <c r="A408" s="336" t="str">
        <f>IF(B408&lt;&gt;"",IF(AND(B408='IN-TC'!$S$4,OR(TH!N408="1111",TH!O408="1111")),TH!D408,""),"")</f>
        <v/>
      </c>
      <c r="B408" s="63">
        <f t="shared" si="78"/>
        <v>6</v>
      </c>
      <c r="C408" s="64">
        <v>42531</v>
      </c>
      <c r="D408" s="64" t="s">
        <v>689</v>
      </c>
      <c r="E408" s="64">
        <f t="shared" si="79"/>
        <v>42531</v>
      </c>
      <c r="F408" s="67" t="s">
        <v>394</v>
      </c>
      <c r="G408" s="67"/>
      <c r="H408" s="73" t="s">
        <v>449</v>
      </c>
      <c r="I408" s="441">
        <v>360</v>
      </c>
      <c r="J408" s="441">
        <v>18000</v>
      </c>
      <c r="K408" s="432"/>
      <c r="L408" s="441"/>
      <c r="M408" s="65">
        <f t="shared" si="80"/>
        <v>6480000</v>
      </c>
      <c r="N408" s="66" t="s">
        <v>282</v>
      </c>
      <c r="O408" s="66" t="s">
        <v>276</v>
      </c>
      <c r="P408" s="84" t="str">
        <f>IF(AND('331-CT'!$E$7=TH!H408,OR(N408="331",O408="331")),"x","")</f>
        <v/>
      </c>
      <c r="Q408" s="84" t="str">
        <f>IF(AND(B408='111'!$L$11,OR($N408=$Q$7,$O408=$Q$7)),"x","")</f>
        <v/>
      </c>
      <c r="R408" s="84" t="str">
        <f>IF(AND($N408=$Q$7,$B408&lt;'111'!$L$11),"x","")</f>
        <v/>
      </c>
      <c r="S408" s="84" t="str">
        <f>IF(AND($O408=$Q$7,$B408&lt;'111'!$L$11),"x","")</f>
        <v/>
      </c>
      <c r="T408" s="84" t="str">
        <f>IF(ISERROR(FIND('112'!$M$9,G408,1)),"",IF((AND(FIND('112'!$M$9,G408,1)&gt;=1,B408='112'!$K$9,OR($N408='112'!$I$6,$O408='112'!$I$6))),"x",""))</f>
        <v/>
      </c>
      <c r="U408" s="84" t="str">
        <f>IF(ISERROR(FIND('112'!$M$9,G408,1)),"",IF((AND(LEFT(G408,2)=LEFT('112'!$M$9,2),B408&lt;'112'!$K$9,$N408='112'!$I$6)),"x",""))</f>
        <v/>
      </c>
      <c r="V408" s="84" t="str">
        <f>IF(ISERROR(FIND('112'!$M$9,G408,1)),"",IF((AND(RIGHT(G408,2)=RIGHT('112'!$M$9,2),B408&lt;'112'!$K$9,$O408='112'!$I$6)),"x",""))</f>
        <v/>
      </c>
      <c r="W408" s="84" t="str">
        <f>IF(AND('341-CT'!$H$9=H408,OR(LEFT(N408,3)=$W$7,LEFT(O408,3)=$W$7)),"x","")</f>
        <v/>
      </c>
      <c r="X408" s="84" t="str">
        <f>IF(OR(TH!N408=TH!$X$7,O408=TH!$X$7),"x","")</f>
        <v/>
      </c>
      <c r="Y408" s="84" t="str">
        <f>IF(AND(OR(N408="131",O408="131"),H408='131-CT'!$H$9),"x","")</f>
        <v/>
      </c>
      <c r="Z408" s="84"/>
      <c r="AA408" s="84" t="str">
        <f>IF(AND(MONTH(E408)='IN-NX'!$J$5,'IN-NX'!$D$7=D408),"x","")</f>
        <v/>
      </c>
      <c r="AB408" s="84" t="str">
        <f>IF(AND(OR(LEFT(TH!N408,2)="15",LEFT(TH!O408,2)="15"),LEFT(TH!O408,3)&lt;&gt;"111",'152-CT'!$J$8=TH!F408),"x","")</f>
        <v/>
      </c>
      <c r="AC408" s="84" t="str">
        <f>IF(AND(OR(LEFT(TH!N408,2)="15",LEFT(TH!O408,2)="15"),TK!$E$7=TH!F408),"x","")</f>
        <v/>
      </c>
      <c r="AD408" s="84" t="str">
        <f>IF(AND(N408="1521",MONTH(C408)='BK-NL'!$M$11),"x","")</f>
        <v/>
      </c>
    </row>
    <row r="409" spans="1:30" s="341" customFormat="1" ht="15.75" hidden="1" customHeight="1">
      <c r="A409" s="336" t="str">
        <f>IF(B409&lt;&gt;"",IF(AND(B409='IN-TC'!$S$4,OR(TH!N409="1111",TH!O409="1111")),TH!D409,""),"")</f>
        <v/>
      </c>
      <c r="B409" s="63">
        <f t="shared" si="78"/>
        <v>6</v>
      </c>
      <c r="C409" s="64">
        <v>42534</v>
      </c>
      <c r="D409" s="64" t="s">
        <v>690</v>
      </c>
      <c r="E409" s="64">
        <f t="shared" si="79"/>
        <v>42534</v>
      </c>
      <c r="F409" s="67" t="s">
        <v>387</v>
      </c>
      <c r="G409" s="67"/>
      <c r="H409" s="73" t="s">
        <v>449</v>
      </c>
      <c r="I409" s="441">
        <v>140</v>
      </c>
      <c r="J409" s="441">
        <v>5000</v>
      </c>
      <c r="K409" s="432"/>
      <c r="L409" s="441"/>
      <c r="M409" s="65">
        <f t="shared" si="80"/>
        <v>700000</v>
      </c>
      <c r="N409" s="66" t="s">
        <v>282</v>
      </c>
      <c r="O409" s="66" t="s">
        <v>276</v>
      </c>
      <c r="P409" s="84" t="str">
        <f>IF(AND('331-CT'!$E$7=TH!H409,OR(N409="331",O409="331")),"x","")</f>
        <v/>
      </c>
      <c r="Q409" s="84" t="str">
        <f>IF(AND(B409='111'!$L$11,OR($N409=$Q$7,$O409=$Q$7)),"x","")</f>
        <v/>
      </c>
      <c r="R409" s="84" t="str">
        <f>IF(AND($N409=$Q$7,$B409&lt;'111'!$L$11),"x","")</f>
        <v/>
      </c>
      <c r="S409" s="84" t="str">
        <f>IF(AND($O409=$Q$7,$B409&lt;'111'!$L$11),"x","")</f>
        <v/>
      </c>
      <c r="T409" s="84" t="str">
        <f>IF(ISERROR(FIND('112'!$M$9,G409,1)),"",IF((AND(FIND('112'!$M$9,G409,1)&gt;=1,B409='112'!$K$9,OR($N409='112'!$I$6,$O409='112'!$I$6))),"x",""))</f>
        <v/>
      </c>
      <c r="U409" s="84" t="str">
        <f>IF(ISERROR(FIND('112'!$M$9,G409,1)),"",IF((AND(LEFT(G409,2)=LEFT('112'!$M$9,2),B409&lt;'112'!$K$9,$N409='112'!$I$6)),"x",""))</f>
        <v/>
      </c>
      <c r="V409" s="84" t="str">
        <f>IF(ISERROR(FIND('112'!$M$9,G409,1)),"",IF((AND(RIGHT(G409,2)=RIGHT('112'!$M$9,2),B409&lt;'112'!$K$9,$O409='112'!$I$6)),"x",""))</f>
        <v/>
      </c>
      <c r="W409" s="84" t="str">
        <f>IF(AND('341-CT'!$H$9=H409,OR(LEFT(N409,3)=$W$7,LEFT(O409,3)=$W$7)),"x","")</f>
        <v/>
      </c>
      <c r="X409" s="84" t="str">
        <f>IF(OR(TH!N409=TH!$X$7,O409=TH!$X$7),"x","")</f>
        <v/>
      </c>
      <c r="Y409" s="84" t="str">
        <f>IF(AND(OR(N409="131",O409="131"),H409='131-CT'!$H$9),"x","")</f>
        <v/>
      </c>
      <c r="Z409" s="84"/>
      <c r="AA409" s="84" t="str">
        <f>IF(AND(MONTH(E409)='IN-NX'!$J$5,'IN-NX'!$D$7=D409),"x","")</f>
        <v/>
      </c>
      <c r="AB409" s="84" t="str">
        <f>IF(AND(OR(LEFT(TH!N409,2)="15",LEFT(TH!O409,2)="15"),LEFT(TH!O409,3)&lt;&gt;"111",'152-CT'!$J$8=TH!F409),"x","")</f>
        <v/>
      </c>
      <c r="AC409" s="84" t="str">
        <f>IF(AND(OR(LEFT(TH!N409,2)="15",LEFT(TH!O409,2)="15"),TK!$E$7=TH!F409),"x","")</f>
        <v/>
      </c>
      <c r="AD409" s="84" t="str">
        <f>IF(AND(N409="1521",MONTH(C409)='BK-NL'!$M$11),"x","")</f>
        <v/>
      </c>
    </row>
    <row r="410" spans="1:30" s="341" customFormat="1" ht="15.75" hidden="1" customHeight="1">
      <c r="A410" s="336" t="str">
        <f>IF(B410&lt;&gt;"",IF(AND(B410='IN-TC'!$S$4,OR(TH!N410="1111",TH!O410="1111")),TH!D410,""),"")</f>
        <v/>
      </c>
      <c r="B410" s="63">
        <f t="shared" si="78"/>
        <v>6</v>
      </c>
      <c r="C410" s="64">
        <v>42534</v>
      </c>
      <c r="D410" s="64" t="s">
        <v>690</v>
      </c>
      <c r="E410" s="64">
        <f t="shared" si="79"/>
        <v>42534</v>
      </c>
      <c r="F410" s="67" t="s">
        <v>387</v>
      </c>
      <c r="G410" s="67"/>
      <c r="H410" s="73" t="s">
        <v>449</v>
      </c>
      <c r="I410" s="441">
        <v>430</v>
      </c>
      <c r="J410" s="441">
        <v>5000</v>
      </c>
      <c r="K410" s="432"/>
      <c r="L410" s="441"/>
      <c r="M410" s="65">
        <f t="shared" si="80"/>
        <v>2150000</v>
      </c>
      <c r="N410" s="66" t="s">
        <v>282</v>
      </c>
      <c r="O410" s="66" t="s">
        <v>276</v>
      </c>
      <c r="P410" s="84" t="str">
        <f>IF(AND('331-CT'!$E$7=TH!H410,OR(N410="331",O410="331")),"x","")</f>
        <v/>
      </c>
      <c r="Q410" s="84" t="str">
        <f>IF(AND(B410='111'!$L$11,OR($N410=$Q$7,$O410=$Q$7)),"x","")</f>
        <v/>
      </c>
      <c r="R410" s="84" t="str">
        <f>IF(AND($N410=$Q$7,$B410&lt;'111'!$L$11),"x","")</f>
        <v/>
      </c>
      <c r="S410" s="84" t="str">
        <f>IF(AND($O410=$Q$7,$B410&lt;'111'!$L$11),"x","")</f>
        <v/>
      </c>
      <c r="T410" s="84" t="str">
        <f>IF(ISERROR(FIND('112'!$M$9,G410,1)),"",IF((AND(FIND('112'!$M$9,G410,1)&gt;=1,B410='112'!$K$9,OR($N410='112'!$I$6,$O410='112'!$I$6))),"x",""))</f>
        <v/>
      </c>
      <c r="U410" s="84" t="str">
        <f>IF(ISERROR(FIND('112'!$M$9,G410,1)),"",IF((AND(LEFT(G410,2)=LEFT('112'!$M$9,2),B410&lt;'112'!$K$9,$N410='112'!$I$6)),"x",""))</f>
        <v/>
      </c>
      <c r="V410" s="84" t="str">
        <f>IF(ISERROR(FIND('112'!$M$9,G410,1)),"",IF((AND(RIGHT(G410,2)=RIGHT('112'!$M$9,2),B410&lt;'112'!$K$9,$O410='112'!$I$6)),"x",""))</f>
        <v/>
      </c>
      <c r="W410" s="84" t="str">
        <f>IF(AND('341-CT'!$H$9=H410,OR(LEFT(N410,3)=$W$7,LEFT(O410,3)=$W$7)),"x","")</f>
        <v/>
      </c>
      <c r="X410" s="84" t="str">
        <f>IF(OR(TH!N410=TH!$X$7,O410=TH!$X$7),"x","")</f>
        <v/>
      </c>
      <c r="Y410" s="84" t="str">
        <f>IF(AND(OR(N410="131",O410="131"),H410='131-CT'!$H$9),"x","")</f>
        <v/>
      </c>
      <c r="Z410" s="84"/>
      <c r="AA410" s="84" t="str">
        <f>IF(AND(MONTH(E410)='IN-NX'!$J$5,'IN-NX'!$D$7=D410),"x","")</f>
        <v/>
      </c>
      <c r="AB410" s="84" t="str">
        <f>IF(AND(OR(LEFT(TH!N410,2)="15",LEFT(TH!O410,2)="15"),LEFT(TH!O410,3)&lt;&gt;"111",'152-CT'!$J$8=TH!F410),"x","")</f>
        <v/>
      </c>
      <c r="AC410" s="84" t="str">
        <f>IF(AND(OR(LEFT(TH!N410,2)="15",LEFT(TH!O410,2)="15"),TK!$E$7=TH!F410),"x","")</f>
        <v/>
      </c>
      <c r="AD410" s="84" t="str">
        <f>IF(AND(N410="1521",MONTH(C410)='BK-NL'!$M$11),"x","")</f>
        <v/>
      </c>
    </row>
    <row r="411" spans="1:30" s="341" customFormat="1" ht="15.75" hidden="1" customHeight="1">
      <c r="A411" s="336" t="str">
        <f>IF(B411&lt;&gt;"",IF(AND(B411='IN-TC'!$S$4,OR(TH!N411="1111",TH!O411="1111")),TH!D411,""),"")</f>
        <v/>
      </c>
      <c r="B411" s="63">
        <f t="shared" si="78"/>
        <v>6</v>
      </c>
      <c r="C411" s="64">
        <v>42526</v>
      </c>
      <c r="D411" s="64" t="s">
        <v>688</v>
      </c>
      <c r="E411" s="64">
        <f t="shared" si="79"/>
        <v>42526</v>
      </c>
      <c r="F411" s="67" t="s">
        <v>390</v>
      </c>
      <c r="G411" s="67"/>
      <c r="H411" s="73" t="s">
        <v>449</v>
      </c>
      <c r="I411" s="441">
        <v>904</v>
      </c>
      <c r="J411" s="441">
        <v>21347</v>
      </c>
      <c r="K411" s="432"/>
      <c r="L411" s="441"/>
      <c r="M411" s="65">
        <f t="shared" si="80"/>
        <v>19297688</v>
      </c>
      <c r="N411" s="66" t="s">
        <v>282</v>
      </c>
      <c r="O411" s="66" t="s">
        <v>276</v>
      </c>
      <c r="P411" s="84" t="str">
        <f>IF(AND('331-CT'!$E$7=TH!H411,OR(N411="331",O411="331")),"x","")</f>
        <v/>
      </c>
      <c r="Q411" s="84" t="str">
        <f>IF(AND(B411='111'!$L$11,OR($N411=$Q$7,$O411=$Q$7)),"x","")</f>
        <v/>
      </c>
      <c r="R411" s="84" t="str">
        <f>IF(AND($N411=$Q$7,$B411&lt;'111'!$L$11),"x","")</f>
        <v/>
      </c>
      <c r="S411" s="84" t="str">
        <f>IF(AND($O411=$Q$7,$B411&lt;'111'!$L$11),"x","")</f>
        <v/>
      </c>
      <c r="T411" s="84" t="str">
        <f>IF(ISERROR(FIND('112'!$M$9,G411,1)),"",IF((AND(FIND('112'!$M$9,G411,1)&gt;=1,B411='112'!$K$9,OR($N411='112'!$I$6,$O411='112'!$I$6))),"x",""))</f>
        <v/>
      </c>
      <c r="U411" s="84" t="str">
        <f>IF(ISERROR(FIND('112'!$M$9,G411,1)),"",IF((AND(LEFT(G411,2)=LEFT('112'!$M$9,2),B411&lt;'112'!$K$9,$N411='112'!$I$6)),"x",""))</f>
        <v/>
      </c>
      <c r="V411" s="84" t="str">
        <f>IF(ISERROR(FIND('112'!$M$9,G411,1)),"",IF((AND(RIGHT(G411,2)=RIGHT('112'!$M$9,2),B411&lt;'112'!$K$9,$O411='112'!$I$6)),"x",""))</f>
        <v/>
      </c>
      <c r="W411" s="84" t="str">
        <f>IF(AND('341-CT'!$H$9=H411,OR(LEFT(N411,3)=$W$7,LEFT(O411,3)=$W$7)),"x","")</f>
        <v/>
      </c>
      <c r="X411" s="84" t="str">
        <f>IF(OR(TH!N411=TH!$X$7,O411=TH!$X$7),"x","")</f>
        <v/>
      </c>
      <c r="Y411" s="84" t="str">
        <f>IF(AND(OR(N411="131",O411="131"),H411='131-CT'!$H$9),"x","")</f>
        <v/>
      </c>
      <c r="Z411" s="84"/>
      <c r="AA411" s="84" t="str">
        <f>IF(AND(MONTH(E411)='IN-NX'!$J$5,'IN-NX'!$D$7=D411),"x","")</f>
        <v/>
      </c>
      <c r="AB411" s="84" t="str">
        <f>IF(AND(OR(LEFT(TH!N411,2)="15",LEFT(TH!O411,2)="15"),LEFT(TH!O411,3)&lt;&gt;"111",'152-CT'!$J$8=TH!F411),"x","")</f>
        <v/>
      </c>
      <c r="AC411" s="84" t="str">
        <f>IF(AND(OR(LEFT(TH!N411,2)="15",LEFT(TH!O411,2)="15"),TK!$E$7=TH!F411),"x","")</f>
        <v/>
      </c>
      <c r="AD411" s="84" t="str">
        <f>IF(AND(N411="1521",MONTH(C411)='BK-NL'!$M$11),"x","")</f>
        <v/>
      </c>
    </row>
    <row r="412" spans="1:30" s="341" customFormat="1" ht="15.75" hidden="1" customHeight="1">
      <c r="A412" s="336" t="str">
        <f>IF(B412&lt;&gt;"",IF(AND(B412='IN-TC'!$S$4,OR(TH!N412="1111",TH!O412="1111")),TH!D412,""),"")</f>
        <v/>
      </c>
      <c r="B412" s="63">
        <f t="shared" si="78"/>
        <v>6</v>
      </c>
      <c r="C412" s="64">
        <v>42526</v>
      </c>
      <c r="D412" s="64" t="s">
        <v>688</v>
      </c>
      <c r="E412" s="64">
        <f t="shared" si="79"/>
        <v>42526</v>
      </c>
      <c r="F412" s="67" t="s">
        <v>1515</v>
      </c>
      <c r="G412" s="67"/>
      <c r="H412" s="73" t="s">
        <v>449</v>
      </c>
      <c r="I412" s="441">
        <v>72</v>
      </c>
      <c r="J412" s="441">
        <v>21347</v>
      </c>
      <c r="K412" s="432"/>
      <c r="L412" s="441"/>
      <c r="M412" s="65">
        <f t="shared" si="80"/>
        <v>1536984</v>
      </c>
      <c r="N412" s="66" t="s">
        <v>282</v>
      </c>
      <c r="O412" s="66" t="s">
        <v>276</v>
      </c>
      <c r="P412" s="84" t="str">
        <f>IF(AND('331-CT'!$E$7=TH!H412,OR(N412="331",O412="331")),"x","")</f>
        <v/>
      </c>
      <c r="Q412" s="84" t="str">
        <f>IF(AND(B412='111'!$L$11,OR($N412=$Q$7,$O412=$Q$7)),"x","")</f>
        <v/>
      </c>
      <c r="R412" s="84" t="str">
        <f>IF(AND($N412=$Q$7,$B412&lt;'111'!$L$11),"x","")</f>
        <v/>
      </c>
      <c r="S412" s="84" t="str">
        <f>IF(AND($O412=$Q$7,$B412&lt;'111'!$L$11),"x","")</f>
        <v/>
      </c>
      <c r="T412" s="84" t="str">
        <f>IF(ISERROR(FIND('112'!$M$9,G412,1)),"",IF((AND(FIND('112'!$M$9,G412,1)&gt;=1,B412='112'!$K$9,OR($N412='112'!$I$6,$O412='112'!$I$6))),"x",""))</f>
        <v/>
      </c>
      <c r="U412" s="84" t="str">
        <f>IF(ISERROR(FIND('112'!$M$9,G412,1)),"",IF((AND(LEFT(G412,2)=LEFT('112'!$M$9,2),B412&lt;'112'!$K$9,$N412='112'!$I$6)),"x",""))</f>
        <v/>
      </c>
      <c r="V412" s="84" t="str">
        <f>IF(ISERROR(FIND('112'!$M$9,G412,1)),"",IF((AND(RIGHT(G412,2)=RIGHT('112'!$M$9,2),B412&lt;'112'!$K$9,$O412='112'!$I$6)),"x",""))</f>
        <v/>
      </c>
      <c r="W412" s="84" t="str">
        <f>IF(AND('341-CT'!$H$9=H412,OR(LEFT(N412,3)=$W$7,LEFT(O412,3)=$W$7)),"x","")</f>
        <v/>
      </c>
      <c r="X412" s="84" t="str">
        <f>IF(OR(TH!N412=TH!$X$7,O412=TH!$X$7),"x","")</f>
        <v/>
      </c>
      <c r="Y412" s="84" t="str">
        <f>IF(AND(OR(N412="131",O412="131"),H412='131-CT'!$H$9),"x","")</f>
        <v/>
      </c>
      <c r="Z412" s="84"/>
      <c r="AA412" s="84" t="str">
        <f>IF(AND(MONTH(E412)='IN-NX'!$J$5,'IN-NX'!$D$7=D412),"x","")</f>
        <v/>
      </c>
      <c r="AB412" s="84" t="str">
        <f>IF(AND(OR(LEFT(TH!N412,2)="15",LEFT(TH!O412,2)="15"),LEFT(TH!O412,3)&lt;&gt;"111",'152-CT'!$J$8=TH!F412),"x","")</f>
        <v/>
      </c>
      <c r="AC412" s="84" t="str">
        <f>IF(AND(OR(LEFT(TH!N412,2)="15",LEFT(TH!O412,2)="15"),TK!$E$7=TH!F412),"x","")</f>
        <v/>
      </c>
      <c r="AD412" s="84" t="str">
        <f>IF(AND(N412="1521",MONTH(C412)='BK-NL'!$M$11),"x","")</f>
        <v/>
      </c>
    </row>
    <row r="413" spans="1:30" s="341" customFormat="1" ht="15.75" hidden="1" customHeight="1">
      <c r="A413" s="336" t="str">
        <f>IF(B413&lt;&gt;"",IF(AND(B413='IN-TC'!$S$4,OR(TH!N413="1111",TH!O413="1111")),TH!D413,""),"")</f>
        <v/>
      </c>
      <c r="B413" s="63">
        <f t="shared" si="78"/>
        <v>6</v>
      </c>
      <c r="C413" s="64">
        <v>42526</v>
      </c>
      <c r="D413" s="64" t="s">
        <v>688</v>
      </c>
      <c r="E413" s="64">
        <f t="shared" si="79"/>
        <v>42526</v>
      </c>
      <c r="F413" s="67" t="s">
        <v>1516</v>
      </c>
      <c r="G413" s="67"/>
      <c r="H413" s="73" t="s">
        <v>449</v>
      </c>
      <c r="I413" s="441">
        <v>132</v>
      </c>
      <c r="J413" s="441">
        <v>21347</v>
      </c>
      <c r="K413" s="432"/>
      <c r="L413" s="441"/>
      <c r="M413" s="65">
        <f t="shared" si="80"/>
        <v>2817804</v>
      </c>
      <c r="N413" s="66" t="s">
        <v>282</v>
      </c>
      <c r="O413" s="66" t="s">
        <v>276</v>
      </c>
      <c r="P413" s="84" t="str">
        <f>IF(AND('331-CT'!$E$7=TH!H413,OR(N413="331",O413="331")),"x","")</f>
        <v/>
      </c>
      <c r="Q413" s="84" t="str">
        <f>IF(AND(B413='111'!$L$11,OR($N413=$Q$7,$O413=$Q$7)),"x","")</f>
        <v/>
      </c>
      <c r="R413" s="84" t="str">
        <f>IF(AND($N413=$Q$7,$B413&lt;'111'!$L$11),"x","")</f>
        <v/>
      </c>
      <c r="S413" s="84" t="str">
        <f>IF(AND($O413=$Q$7,$B413&lt;'111'!$L$11),"x","")</f>
        <v/>
      </c>
      <c r="T413" s="84" t="str">
        <f>IF(ISERROR(FIND('112'!$M$9,G413,1)),"",IF((AND(FIND('112'!$M$9,G413,1)&gt;=1,B413='112'!$K$9,OR($N413='112'!$I$6,$O413='112'!$I$6))),"x",""))</f>
        <v/>
      </c>
      <c r="U413" s="84" t="str">
        <f>IF(ISERROR(FIND('112'!$M$9,G413,1)),"",IF((AND(LEFT(G413,2)=LEFT('112'!$M$9,2),B413&lt;'112'!$K$9,$N413='112'!$I$6)),"x",""))</f>
        <v/>
      </c>
      <c r="V413" s="84" t="str">
        <f>IF(ISERROR(FIND('112'!$M$9,G413,1)),"",IF((AND(RIGHT(G413,2)=RIGHT('112'!$M$9,2),B413&lt;'112'!$K$9,$O413='112'!$I$6)),"x",""))</f>
        <v/>
      </c>
      <c r="W413" s="84" t="str">
        <f>IF(AND('341-CT'!$H$9=H413,OR(LEFT(N413,3)=$W$7,LEFT(O413,3)=$W$7)),"x","")</f>
        <v/>
      </c>
      <c r="X413" s="84" t="str">
        <f>IF(OR(TH!N413=TH!$X$7,O413=TH!$X$7),"x","")</f>
        <v/>
      </c>
      <c r="Y413" s="84" t="str">
        <f>IF(AND(OR(N413="131",O413="131"),H413='131-CT'!$H$9),"x","")</f>
        <v/>
      </c>
      <c r="Z413" s="84"/>
      <c r="AA413" s="84" t="str">
        <f>IF(AND(MONTH(E413)='IN-NX'!$J$5,'IN-NX'!$D$7=D413),"x","")</f>
        <v/>
      </c>
      <c r="AB413" s="84" t="str">
        <f>IF(AND(OR(LEFT(TH!N413,2)="15",LEFT(TH!O413,2)="15"),LEFT(TH!O413,3)&lt;&gt;"111",'152-CT'!$J$8=TH!F413),"x","")</f>
        <v/>
      </c>
      <c r="AC413" s="84" t="str">
        <f>IF(AND(OR(LEFT(TH!N413,2)="15",LEFT(TH!O413,2)="15"),TK!$E$7=TH!F413),"x","")</f>
        <v/>
      </c>
      <c r="AD413" s="84" t="str">
        <f>IF(AND(N413="1521",MONTH(C413)='BK-NL'!$M$11),"x","")</f>
        <v/>
      </c>
    </row>
    <row r="414" spans="1:30" s="341" customFormat="1" ht="15.75" hidden="1" customHeight="1">
      <c r="A414" s="336" t="str">
        <f>IF(B414&lt;&gt;"",IF(AND(B414='IN-TC'!$S$4,OR(TH!N414="1111",TH!O414="1111")),TH!D414,""),"")</f>
        <v/>
      </c>
      <c r="B414" s="63">
        <f t="shared" si="78"/>
        <v>6</v>
      </c>
      <c r="C414" s="64">
        <v>42531</v>
      </c>
      <c r="D414" s="64" t="s">
        <v>689</v>
      </c>
      <c r="E414" s="64">
        <f t="shared" si="79"/>
        <v>42531</v>
      </c>
      <c r="F414" s="67" t="s">
        <v>390</v>
      </c>
      <c r="G414" s="67"/>
      <c r="H414" s="73" t="s">
        <v>449</v>
      </c>
      <c r="I414" s="441">
        <v>120</v>
      </c>
      <c r="J414" s="441">
        <v>13500</v>
      </c>
      <c r="K414" s="432"/>
      <c r="L414" s="441"/>
      <c r="M414" s="65">
        <f t="shared" si="80"/>
        <v>1620000</v>
      </c>
      <c r="N414" s="66" t="s">
        <v>282</v>
      </c>
      <c r="O414" s="66" t="s">
        <v>276</v>
      </c>
      <c r="P414" s="84" t="str">
        <f>IF(AND('331-CT'!$E$7=TH!H414,OR(N414="331",O414="331")),"x","")</f>
        <v/>
      </c>
      <c r="Q414" s="84" t="str">
        <f>IF(AND(B414='111'!$L$11,OR($N414=$Q$7,$O414=$Q$7)),"x","")</f>
        <v/>
      </c>
      <c r="R414" s="84" t="str">
        <f>IF(AND($N414=$Q$7,$B414&lt;'111'!$L$11),"x","")</f>
        <v/>
      </c>
      <c r="S414" s="84" t="str">
        <f>IF(AND($O414=$Q$7,$B414&lt;'111'!$L$11),"x","")</f>
        <v/>
      </c>
      <c r="T414" s="84" t="str">
        <f>IF(ISERROR(FIND('112'!$M$9,G414,1)),"",IF((AND(FIND('112'!$M$9,G414,1)&gt;=1,B414='112'!$K$9,OR($N414='112'!$I$6,$O414='112'!$I$6))),"x",""))</f>
        <v/>
      </c>
      <c r="U414" s="84" t="str">
        <f>IF(ISERROR(FIND('112'!$M$9,G414,1)),"",IF((AND(LEFT(G414,2)=LEFT('112'!$M$9,2),B414&lt;'112'!$K$9,$N414='112'!$I$6)),"x",""))</f>
        <v/>
      </c>
      <c r="V414" s="84" t="str">
        <f>IF(ISERROR(FIND('112'!$M$9,G414,1)),"",IF((AND(RIGHT(G414,2)=RIGHT('112'!$M$9,2),B414&lt;'112'!$K$9,$O414='112'!$I$6)),"x",""))</f>
        <v/>
      </c>
      <c r="W414" s="84" t="str">
        <f>IF(AND('341-CT'!$H$9=H414,OR(LEFT(N414,3)=$W$7,LEFT(O414,3)=$W$7)),"x","")</f>
        <v/>
      </c>
      <c r="X414" s="84" t="str">
        <f>IF(OR(TH!N414=TH!$X$7,O414=TH!$X$7),"x","")</f>
        <v/>
      </c>
      <c r="Y414" s="84" t="str">
        <f>IF(AND(OR(N414="131",O414="131"),H414='131-CT'!$H$9),"x","")</f>
        <v/>
      </c>
      <c r="Z414" s="84"/>
      <c r="AA414" s="84" t="str">
        <f>IF(AND(MONTH(E414)='IN-NX'!$J$5,'IN-NX'!$D$7=D414),"x","")</f>
        <v/>
      </c>
      <c r="AB414" s="84" t="str">
        <f>IF(AND(OR(LEFT(TH!N414,2)="15",LEFT(TH!O414,2)="15"),LEFT(TH!O414,3)&lt;&gt;"111",'152-CT'!$J$8=TH!F414),"x","")</f>
        <v/>
      </c>
      <c r="AC414" s="84" t="str">
        <f>IF(AND(OR(LEFT(TH!N414,2)="15",LEFT(TH!O414,2)="15"),TK!$E$7=TH!F414),"x","")</f>
        <v/>
      </c>
      <c r="AD414" s="84" t="str">
        <f>IF(AND(N414="1521",MONTH(C414)='BK-NL'!$M$11),"x","")</f>
        <v/>
      </c>
    </row>
    <row r="415" spans="1:30" s="341" customFormat="1" ht="15.75" hidden="1" customHeight="1">
      <c r="A415" s="336" t="str">
        <f>IF(B415&lt;&gt;"",IF(AND(B415='IN-TC'!$S$4,OR(TH!N415="1111",TH!O415="1111")),TH!D415,""),"")</f>
        <v/>
      </c>
      <c r="B415" s="63">
        <f t="shared" si="78"/>
        <v>6</v>
      </c>
      <c r="C415" s="64">
        <v>42531</v>
      </c>
      <c r="D415" s="64" t="s">
        <v>689</v>
      </c>
      <c r="E415" s="64">
        <f t="shared" si="79"/>
        <v>42531</v>
      </c>
      <c r="F415" s="67" t="s">
        <v>381</v>
      </c>
      <c r="G415" s="67"/>
      <c r="H415" s="73" t="s">
        <v>449</v>
      </c>
      <c r="I415" s="441">
        <v>7828</v>
      </c>
      <c r="J415" s="441">
        <v>5780.8622078968574</v>
      </c>
      <c r="K415" s="432"/>
      <c r="L415" s="441"/>
      <c r="M415" s="65">
        <f t="shared" si="80"/>
        <v>45252589</v>
      </c>
      <c r="N415" s="66" t="s">
        <v>282</v>
      </c>
      <c r="O415" s="66" t="s">
        <v>276</v>
      </c>
      <c r="P415" s="84" t="str">
        <f>IF(AND('331-CT'!$E$7=TH!H415,OR(N415="331",O415="331")),"x","")</f>
        <v/>
      </c>
      <c r="Q415" s="84" t="str">
        <f>IF(AND(B415='111'!$L$11,OR($N415=$Q$7,$O415=$Q$7)),"x","")</f>
        <v/>
      </c>
      <c r="R415" s="84" t="str">
        <f>IF(AND($N415=$Q$7,$B415&lt;'111'!$L$11),"x","")</f>
        <v/>
      </c>
      <c r="S415" s="84" t="str">
        <f>IF(AND($O415=$Q$7,$B415&lt;'111'!$L$11),"x","")</f>
        <v/>
      </c>
      <c r="T415" s="84" t="str">
        <f>IF(ISERROR(FIND('112'!$M$9,G415,1)),"",IF((AND(FIND('112'!$M$9,G415,1)&gt;=1,B415='112'!$K$9,OR($N415='112'!$I$6,$O415='112'!$I$6))),"x",""))</f>
        <v/>
      </c>
      <c r="U415" s="84" t="str">
        <f>IF(ISERROR(FIND('112'!$M$9,G415,1)),"",IF((AND(LEFT(G415,2)=LEFT('112'!$M$9,2),B415&lt;'112'!$K$9,$N415='112'!$I$6)),"x",""))</f>
        <v/>
      </c>
      <c r="V415" s="84" t="str">
        <f>IF(ISERROR(FIND('112'!$M$9,G415,1)),"",IF((AND(RIGHT(G415,2)=RIGHT('112'!$M$9,2),B415&lt;'112'!$K$9,$O415='112'!$I$6)),"x",""))</f>
        <v/>
      </c>
      <c r="W415" s="84" t="str">
        <f>IF(AND('341-CT'!$H$9=H415,OR(LEFT(N415,3)=$W$7,LEFT(O415,3)=$W$7)),"x","")</f>
        <v/>
      </c>
      <c r="X415" s="84" t="str">
        <f>IF(OR(TH!N415=TH!$X$7,O415=TH!$X$7),"x","")</f>
        <v/>
      </c>
      <c r="Y415" s="84" t="str">
        <f>IF(AND(OR(N415="131",O415="131"),H415='131-CT'!$H$9),"x","")</f>
        <v/>
      </c>
      <c r="Z415" s="84"/>
      <c r="AA415" s="84" t="str">
        <f>IF(AND(MONTH(E415)='IN-NX'!$J$5,'IN-NX'!$D$7=D415),"x","")</f>
        <v/>
      </c>
      <c r="AB415" s="84" t="str">
        <f>IF(AND(OR(LEFT(TH!N415,2)="15",LEFT(TH!O415,2)="15"),LEFT(TH!O415,3)&lt;&gt;"111",'152-CT'!$J$8=TH!F415),"x","")</f>
        <v/>
      </c>
      <c r="AC415" s="84" t="str">
        <f>IF(AND(OR(LEFT(TH!N415,2)="15",LEFT(TH!O415,2)="15"),TK!$E$7=TH!F415),"x","")</f>
        <v/>
      </c>
      <c r="AD415" s="84" t="str">
        <f>IF(AND(N415="1521",MONTH(C415)='BK-NL'!$M$11),"x","")</f>
        <v/>
      </c>
    </row>
    <row r="416" spans="1:30" s="341" customFormat="1" ht="15.75" hidden="1" customHeight="1">
      <c r="A416" s="336" t="str">
        <f>IF(B416&lt;&gt;"",IF(AND(B416='IN-TC'!$S$4,OR(TH!N416="1111",TH!O416="1111")),TH!D416,""),"")</f>
        <v/>
      </c>
      <c r="B416" s="63">
        <f t="shared" si="78"/>
        <v>6</v>
      </c>
      <c r="C416" s="64">
        <v>42536</v>
      </c>
      <c r="D416" s="64" t="s">
        <v>691</v>
      </c>
      <c r="E416" s="64">
        <f t="shared" si="79"/>
        <v>42536</v>
      </c>
      <c r="F416" s="67" t="s">
        <v>374</v>
      </c>
      <c r="G416" s="67"/>
      <c r="H416" s="73" t="s">
        <v>449</v>
      </c>
      <c r="I416" s="441">
        <v>295214</v>
      </c>
      <c r="J416" s="441">
        <v>346.98655890303303</v>
      </c>
      <c r="K416" s="432"/>
      <c r="L416" s="441"/>
      <c r="M416" s="65">
        <f t="shared" si="80"/>
        <v>102435290</v>
      </c>
      <c r="N416" s="66" t="s">
        <v>282</v>
      </c>
      <c r="O416" s="66" t="s">
        <v>276</v>
      </c>
      <c r="P416" s="84" t="str">
        <f>IF(AND('331-CT'!$E$7=TH!H416,OR(N416="331",O416="331")),"x","")</f>
        <v/>
      </c>
      <c r="Q416" s="84" t="str">
        <f>IF(AND(B416='111'!$L$11,OR($N416=$Q$7,$O416=$Q$7)),"x","")</f>
        <v/>
      </c>
      <c r="R416" s="84" t="str">
        <f>IF(AND($N416=$Q$7,$B416&lt;'111'!$L$11),"x","")</f>
        <v/>
      </c>
      <c r="S416" s="84" t="str">
        <f>IF(AND($O416=$Q$7,$B416&lt;'111'!$L$11),"x","")</f>
        <v/>
      </c>
      <c r="T416" s="84" t="str">
        <f>IF(ISERROR(FIND('112'!$M$9,G416,1)),"",IF((AND(FIND('112'!$M$9,G416,1)&gt;=1,B416='112'!$K$9,OR($N416='112'!$I$6,$O416='112'!$I$6))),"x",""))</f>
        <v/>
      </c>
      <c r="U416" s="84" t="str">
        <f>IF(ISERROR(FIND('112'!$M$9,G416,1)),"",IF((AND(LEFT(G416,2)=LEFT('112'!$M$9,2),B416&lt;'112'!$K$9,$N416='112'!$I$6)),"x",""))</f>
        <v/>
      </c>
      <c r="V416" s="84" t="str">
        <f>IF(ISERROR(FIND('112'!$M$9,G416,1)),"",IF((AND(RIGHT(G416,2)=RIGHT('112'!$M$9,2),B416&lt;'112'!$K$9,$O416='112'!$I$6)),"x",""))</f>
        <v/>
      </c>
      <c r="W416" s="84" t="str">
        <f>IF(AND('341-CT'!$H$9=H416,OR(LEFT(N416,3)=$W$7,LEFT(O416,3)=$W$7)),"x","")</f>
        <v/>
      </c>
      <c r="X416" s="84" t="str">
        <f>IF(OR(TH!N416=TH!$X$7,O416=TH!$X$7),"x","")</f>
        <v/>
      </c>
      <c r="Y416" s="84" t="str">
        <f>IF(AND(OR(N416="131",O416="131"),H416='131-CT'!$H$9),"x","")</f>
        <v/>
      </c>
      <c r="Z416" s="84"/>
      <c r="AA416" s="84" t="str">
        <f>IF(AND(MONTH(E416)='IN-NX'!$J$5,'IN-NX'!$D$7=D416),"x","")</f>
        <v/>
      </c>
      <c r="AB416" s="84" t="str">
        <f>IF(AND(OR(LEFT(TH!N416,2)="15",LEFT(TH!O416,2)="15"),LEFT(TH!O416,3)&lt;&gt;"111",'152-CT'!$J$8=TH!F416),"x","")</f>
        <v/>
      </c>
      <c r="AC416" s="84" t="str">
        <f>IF(AND(OR(LEFT(TH!N416,2)="15",LEFT(TH!O416,2)="15"),TK!$E$7=TH!F416),"x","")</f>
        <v/>
      </c>
      <c r="AD416" s="84" t="str">
        <f>IF(AND(N416="1521",MONTH(C416)='BK-NL'!$M$11),"x","")</f>
        <v/>
      </c>
    </row>
    <row r="417" spans="1:32" s="341" customFormat="1" ht="15.75" hidden="1" customHeight="1">
      <c r="A417" s="336" t="str">
        <f>IF(B417&lt;&gt;"",IF(AND(B417='IN-TC'!$S$4,OR(TH!N417="1111",TH!O417="1111")),TH!D417,""),"")</f>
        <v/>
      </c>
      <c r="B417" s="63">
        <f t="shared" si="78"/>
        <v>6</v>
      </c>
      <c r="C417" s="64">
        <v>42536</v>
      </c>
      <c r="D417" s="64" t="s">
        <v>691</v>
      </c>
      <c r="E417" s="64">
        <f t="shared" si="79"/>
        <v>42536</v>
      </c>
      <c r="F417" s="67" t="s">
        <v>377</v>
      </c>
      <c r="G417" s="67"/>
      <c r="H417" s="73" t="s">
        <v>449</v>
      </c>
      <c r="I417" s="441">
        <v>6600</v>
      </c>
      <c r="J417" s="441">
        <v>545</v>
      </c>
      <c r="K417" s="432"/>
      <c r="L417" s="441"/>
      <c r="M417" s="65">
        <f t="shared" si="80"/>
        <v>3597000</v>
      </c>
      <c r="N417" s="66" t="s">
        <v>282</v>
      </c>
      <c r="O417" s="66" t="s">
        <v>276</v>
      </c>
      <c r="P417" s="84" t="str">
        <f>IF(AND('331-CT'!$E$7=TH!H417,OR(N417="331",O417="331")),"x","")</f>
        <v/>
      </c>
      <c r="Q417" s="84" t="str">
        <f>IF(AND(B417='111'!$L$11,OR($N417=$Q$7,$O417=$Q$7)),"x","")</f>
        <v/>
      </c>
      <c r="R417" s="84" t="str">
        <f>IF(AND($N417=$Q$7,$B417&lt;'111'!$L$11),"x","")</f>
        <v/>
      </c>
      <c r="S417" s="84" t="str">
        <f>IF(AND($O417=$Q$7,$B417&lt;'111'!$L$11),"x","")</f>
        <v/>
      </c>
      <c r="T417" s="84" t="str">
        <f>IF(ISERROR(FIND('112'!$M$9,G417,1)),"",IF((AND(FIND('112'!$M$9,G417,1)&gt;=1,B417='112'!$K$9,OR($N417='112'!$I$6,$O417='112'!$I$6))),"x",""))</f>
        <v/>
      </c>
      <c r="U417" s="84" t="str">
        <f>IF(ISERROR(FIND('112'!$M$9,G417,1)),"",IF((AND(LEFT(G417,2)=LEFT('112'!$M$9,2),B417&lt;'112'!$K$9,$N417='112'!$I$6)),"x",""))</f>
        <v/>
      </c>
      <c r="V417" s="84" t="str">
        <f>IF(ISERROR(FIND('112'!$M$9,G417,1)),"",IF((AND(RIGHT(G417,2)=RIGHT('112'!$M$9,2),B417&lt;'112'!$K$9,$O417='112'!$I$6)),"x",""))</f>
        <v/>
      </c>
      <c r="W417" s="84" t="str">
        <f>IF(AND('341-CT'!$H$9=H417,OR(LEFT(N417,3)=$W$7,LEFT(O417,3)=$W$7)),"x","")</f>
        <v/>
      </c>
      <c r="X417" s="84" t="str">
        <f>IF(OR(TH!N417=TH!$X$7,O417=TH!$X$7),"x","")</f>
        <v/>
      </c>
      <c r="Y417" s="84" t="str">
        <f>IF(AND(OR(N417="131",O417="131"),H417='131-CT'!$H$9),"x","")</f>
        <v/>
      </c>
      <c r="Z417" s="84"/>
      <c r="AA417" s="84" t="str">
        <f>IF(AND(MONTH(E417)='IN-NX'!$J$5,'IN-NX'!$D$7=D417),"x","")</f>
        <v/>
      </c>
      <c r="AB417" s="84" t="str">
        <f>IF(AND(OR(LEFT(TH!N417,2)="15",LEFT(TH!O417,2)="15"),LEFT(TH!O417,3)&lt;&gt;"111",'152-CT'!$J$8=TH!F417),"x","")</f>
        <v/>
      </c>
      <c r="AC417" s="84" t="str">
        <f>IF(AND(OR(LEFT(TH!N417,2)="15",LEFT(TH!O417,2)="15"),TK!$E$7=TH!F417),"x","")</f>
        <v/>
      </c>
      <c r="AD417" s="84" t="str">
        <f>IF(AND(N417="1521",MONTH(C417)='BK-NL'!$M$11),"x","")</f>
        <v/>
      </c>
    </row>
    <row r="418" spans="1:32" s="341" customFormat="1" ht="15.75" hidden="1" customHeight="1">
      <c r="A418" s="336" t="str">
        <f>IF(B418&lt;&gt;"",IF(AND(B418='IN-TC'!$S$4,OR(TH!N418="1111",TH!O418="1111")),TH!D418,""),"")</f>
        <v/>
      </c>
      <c r="B418" s="63">
        <f t="shared" si="78"/>
        <v>6</v>
      </c>
      <c r="C418" s="64">
        <v>42536</v>
      </c>
      <c r="D418" s="64" t="s">
        <v>691</v>
      </c>
      <c r="E418" s="64">
        <f t="shared" si="79"/>
        <v>42536</v>
      </c>
      <c r="F418" s="67" t="s">
        <v>372</v>
      </c>
      <c r="G418" s="67"/>
      <c r="H418" s="73" t="s">
        <v>449</v>
      </c>
      <c r="I418" s="441">
        <v>12300</v>
      </c>
      <c r="J418" s="441">
        <v>235</v>
      </c>
      <c r="K418" s="432"/>
      <c r="L418" s="441"/>
      <c r="M418" s="65">
        <f t="shared" si="80"/>
        <v>2890500</v>
      </c>
      <c r="N418" s="66" t="s">
        <v>282</v>
      </c>
      <c r="O418" s="66" t="s">
        <v>276</v>
      </c>
      <c r="P418" s="84" t="str">
        <f>IF(AND('331-CT'!$E$7=TH!H418,OR(N418="331",O418="331")),"x","")</f>
        <v/>
      </c>
      <c r="Q418" s="84" t="str">
        <f>IF(AND(B418='111'!$L$11,OR($N418=$Q$7,$O418=$Q$7)),"x","")</f>
        <v/>
      </c>
      <c r="R418" s="84" t="str">
        <f>IF(AND($N418=$Q$7,$B418&lt;'111'!$L$11),"x","")</f>
        <v/>
      </c>
      <c r="S418" s="84" t="str">
        <f>IF(AND($O418=$Q$7,$B418&lt;'111'!$L$11),"x","")</f>
        <v/>
      </c>
      <c r="T418" s="84" t="str">
        <f>IF(ISERROR(FIND('112'!$M$9,G418,1)),"",IF((AND(FIND('112'!$M$9,G418,1)&gt;=1,B418='112'!$K$9,OR($N418='112'!$I$6,$O418='112'!$I$6))),"x",""))</f>
        <v/>
      </c>
      <c r="U418" s="84" t="str">
        <f>IF(ISERROR(FIND('112'!$M$9,G418,1)),"",IF((AND(LEFT(G418,2)=LEFT('112'!$M$9,2),B418&lt;'112'!$K$9,$N418='112'!$I$6)),"x",""))</f>
        <v/>
      </c>
      <c r="V418" s="84" t="str">
        <f>IF(ISERROR(FIND('112'!$M$9,G418,1)),"",IF((AND(RIGHT(G418,2)=RIGHT('112'!$M$9,2),B418&lt;'112'!$K$9,$O418='112'!$I$6)),"x",""))</f>
        <v/>
      </c>
      <c r="W418" s="84" t="str">
        <f>IF(AND('341-CT'!$H$9=H418,OR(LEFT(N418,3)=$W$7,LEFT(O418,3)=$W$7)),"x","")</f>
        <v/>
      </c>
      <c r="X418" s="84" t="str">
        <f>IF(OR(TH!N418=TH!$X$7,O418=TH!$X$7),"x","")</f>
        <v/>
      </c>
      <c r="Y418" s="84" t="str">
        <f>IF(AND(OR(N418="131",O418="131"),H418='131-CT'!$H$9),"x","")</f>
        <v/>
      </c>
      <c r="Z418" s="84"/>
      <c r="AA418" s="84" t="str">
        <f>IF(AND(MONTH(E418)='IN-NX'!$J$5,'IN-NX'!$D$7=D418),"x","")</f>
        <v/>
      </c>
      <c r="AB418" s="84" t="str">
        <f>IF(AND(OR(LEFT(TH!N418,2)="15",LEFT(TH!O418,2)="15"),LEFT(TH!O418,3)&lt;&gt;"111",'152-CT'!$J$8=TH!F418),"x","")</f>
        <v/>
      </c>
      <c r="AC418" s="84" t="str">
        <f>IF(AND(OR(LEFT(TH!N418,2)="15",LEFT(TH!O418,2)="15"),TK!$E$7=TH!F418),"x","")</f>
        <v/>
      </c>
      <c r="AD418" s="84" t="str">
        <f>IF(AND(N418="1521",MONTH(C418)='BK-NL'!$M$11),"x","")</f>
        <v/>
      </c>
    </row>
    <row r="419" spans="1:32" s="351" customFormat="1" ht="15.75" hidden="1" customHeight="1">
      <c r="A419" s="336" t="str">
        <f>IF(B419&lt;&gt;"",IF(AND(B419='IN-TC'!$S$4,OR(TH!N419="1111",TH!O419="1111")),TH!D419,""),"")</f>
        <v/>
      </c>
      <c r="B419" s="63">
        <f t="shared" si="78"/>
        <v>7</v>
      </c>
      <c r="C419" s="64">
        <v>42567</v>
      </c>
      <c r="D419" s="80" t="s">
        <v>677</v>
      </c>
      <c r="E419" s="80">
        <f t="shared" si="79"/>
        <v>42567</v>
      </c>
      <c r="F419" s="81" t="s">
        <v>1409</v>
      </c>
      <c r="G419" s="985" t="s">
        <v>1735</v>
      </c>
      <c r="H419" s="82" t="s">
        <v>1411</v>
      </c>
      <c r="I419" s="437">
        <v>500</v>
      </c>
      <c r="J419" s="437">
        <v>12728</v>
      </c>
      <c r="K419" s="428"/>
      <c r="L419" s="437"/>
      <c r="M419" s="83">
        <f>I419*J419</f>
        <v>6364000</v>
      </c>
      <c r="N419" s="84" t="s">
        <v>276</v>
      </c>
      <c r="O419" s="84" t="s">
        <v>8</v>
      </c>
      <c r="P419" s="84" t="str">
        <f>IF(AND('331-CT'!$E$7=TH!H419,OR(N419="331",O419="331")),"x","")</f>
        <v/>
      </c>
      <c r="Q419" s="84" t="str">
        <f>IF(AND(B419='111'!$L$11,OR($N419=$Q$7,$O419=$Q$7)),"x","")</f>
        <v/>
      </c>
      <c r="R419" s="84" t="str">
        <f>IF(AND($N419=$Q$7,$B419&lt;'111'!$L$11),"x","")</f>
        <v/>
      </c>
      <c r="S419" s="84" t="str">
        <f>IF(AND($O419=$Q$7,$B419&lt;'111'!$L$11),"x","")</f>
        <v/>
      </c>
      <c r="T419" s="84" t="str">
        <f>IF(ISERROR(FIND('112'!$M$9,G419,1)),"",IF((AND(FIND('112'!$M$9,G419,1)&gt;=1,B419='112'!$K$9,OR($N419='112'!$I$6,$O419='112'!$I$6))),"x",""))</f>
        <v/>
      </c>
      <c r="U419" s="84" t="str">
        <f>IF(ISERROR(FIND('112'!$M$9,G419,1)),"",IF((AND(LEFT(G419,2)=LEFT('112'!$M$9,2),B419&lt;'112'!$K$9,$N419='112'!$I$6)),"x",""))</f>
        <v/>
      </c>
      <c r="V419" s="84" t="str">
        <f>IF(ISERROR(FIND('112'!$M$9,G419,1)),"",IF((AND(RIGHT(G419,2)=RIGHT('112'!$M$9,2),B419&lt;'112'!$K$9,$O419='112'!$I$6)),"x",""))</f>
        <v/>
      </c>
      <c r="W419" s="84" t="str">
        <f>IF(AND('341-CT'!$H$9=H419,OR(LEFT(N419,3)=$W$7,LEFT(O419,3)=$W$7)),"x","")</f>
        <v/>
      </c>
      <c r="X419" s="84" t="str">
        <f>IF(OR(TH!N419=TH!$X$7,O419=TH!$X$7),"x","")</f>
        <v/>
      </c>
      <c r="Y419" s="84" t="str">
        <f>IF(AND(OR(N419="131",O419="131"),H419='131-CT'!$H$9),"x","")</f>
        <v/>
      </c>
      <c r="Z419" s="84"/>
      <c r="AA419" s="84" t="str">
        <f>IF(AND(MONTH(E419)='IN-NX'!$J$5,'IN-NX'!$D$7=D419),"x","")</f>
        <v/>
      </c>
      <c r="AB419" s="84" t="str">
        <f>IF(AND(OR(LEFT(TH!N419,2)="15",LEFT(TH!O419,2)="15"),LEFT(TH!O419,3)&lt;&gt;"111",'152-CT'!$J$8=TH!F419),"x","")</f>
        <v/>
      </c>
      <c r="AC419" s="84" t="str">
        <f>IF(AND(OR(LEFT(TH!N419,2)="15",LEFT(TH!O419,2)="15"),TK!$E$7=TH!F419),"x","")</f>
        <v/>
      </c>
      <c r="AD419" s="84" t="str">
        <f>IF(AND(N419="1521",MONTH(C419)='BK-NL'!$M$11),"x","")</f>
        <v/>
      </c>
      <c r="AE419" s="1146" t="str">
        <f>IF(H419&lt;&gt;VLOOKUP(H419,DSKH,1,0),"","x")</f>
        <v>x</v>
      </c>
      <c r="AF419" s="330">
        <v>7</v>
      </c>
    </row>
    <row r="420" spans="1:32" s="351" customFormat="1" ht="15.75" hidden="1" customHeight="1">
      <c r="A420" s="336" t="str">
        <f>IF(B420&lt;&gt;"",IF(AND(B420='IN-TC'!$S$4,OR(TH!N420="1111",TH!O420="1111")),TH!D420,""),"")</f>
        <v/>
      </c>
      <c r="B420" s="63">
        <f t="shared" si="78"/>
        <v>7</v>
      </c>
      <c r="C420" s="64">
        <v>42567</v>
      </c>
      <c r="D420" s="80" t="s">
        <v>677</v>
      </c>
      <c r="E420" s="80">
        <f t="shared" si="79"/>
        <v>42567</v>
      </c>
      <c r="F420" s="81" t="s">
        <v>1412</v>
      </c>
      <c r="G420" s="985" t="s">
        <v>1735</v>
      </c>
      <c r="H420" s="82" t="s">
        <v>1411</v>
      </c>
      <c r="I420" s="437"/>
      <c r="J420" s="437"/>
      <c r="K420" s="428"/>
      <c r="L420" s="437"/>
      <c r="M420" s="83">
        <v>636400</v>
      </c>
      <c r="N420" s="84" t="s">
        <v>9</v>
      </c>
      <c r="O420" s="84" t="s">
        <v>8</v>
      </c>
      <c r="P420" s="84" t="str">
        <f>IF(AND('331-CT'!$E$7=TH!H420,OR(N420="331",O420="331")),"x","")</f>
        <v/>
      </c>
      <c r="Q420" s="84" t="str">
        <f>IF(AND(B420='111'!$L$11,OR($N420=$Q$7,$O420=$Q$7)),"x","")</f>
        <v/>
      </c>
      <c r="R420" s="84" t="str">
        <f>IF(AND($N420=$Q$7,$B420&lt;'111'!$L$11),"x","")</f>
        <v/>
      </c>
      <c r="S420" s="84" t="str">
        <f>IF(AND($O420=$Q$7,$B420&lt;'111'!$L$11),"x","")</f>
        <v/>
      </c>
      <c r="T420" s="84" t="str">
        <f>IF(ISERROR(FIND('112'!$M$9,G420,1)),"",IF((AND(FIND('112'!$M$9,G420,1)&gt;=1,B420='112'!$K$9,OR($N420='112'!$I$6,$O420='112'!$I$6))),"x",""))</f>
        <v/>
      </c>
      <c r="U420" s="84" t="str">
        <f>IF(ISERROR(FIND('112'!$M$9,G420,1)),"",IF((AND(LEFT(G420,2)=LEFT('112'!$M$9,2),B420&lt;'112'!$K$9,$N420='112'!$I$6)),"x",""))</f>
        <v/>
      </c>
      <c r="V420" s="84" t="str">
        <f>IF(ISERROR(FIND('112'!$M$9,G420,1)),"",IF((AND(RIGHT(G420,2)=RIGHT('112'!$M$9,2),B420&lt;'112'!$K$9,$O420='112'!$I$6)),"x",""))</f>
        <v/>
      </c>
      <c r="W420" s="84" t="str">
        <f>IF(AND('341-CT'!$H$9=H420,OR(LEFT(N420,3)=$W$7,LEFT(O420,3)=$W$7)),"x","")</f>
        <v/>
      </c>
      <c r="X420" s="84" t="str">
        <f>IF(OR(TH!N420=TH!$X$7,O420=TH!$X$7),"x","")</f>
        <v/>
      </c>
      <c r="Y420" s="84" t="str">
        <f>IF(AND(OR(N420="131",O420="131"),H420='131-CT'!$H$9),"x","")</f>
        <v/>
      </c>
      <c r="Z420" s="84"/>
      <c r="AA420" s="84" t="str">
        <f>IF(AND(MONTH(E420)='IN-NX'!$J$5,'IN-NX'!$D$7=D420),"x","")</f>
        <v/>
      </c>
      <c r="AB420" s="84" t="str">
        <f>IF(AND(OR(LEFT(TH!N420,2)="15",LEFT(TH!O420,2)="15"),LEFT(TH!O420,3)&lt;&gt;"111",'152-CT'!$J$8=TH!F420),"x","")</f>
        <v/>
      </c>
      <c r="AC420" s="84" t="str">
        <f>IF(AND(OR(LEFT(TH!N420,2)="15",LEFT(TH!O420,2)="15"),TK!$E$7=TH!F420),"x","")</f>
        <v/>
      </c>
      <c r="AD420" s="84" t="str">
        <f>IF(AND(N420="1521",MONTH(C420)='BK-NL'!$M$11),"x","")</f>
        <v/>
      </c>
      <c r="AE420" s="1146" t="str">
        <f>IF(H420&lt;&gt;VLOOKUP(H420,DSKH,1,0),"","x")</f>
        <v>x</v>
      </c>
      <c r="AF420" s="330">
        <v>7</v>
      </c>
    </row>
    <row r="421" spans="1:32" s="341" customFormat="1" ht="15.75" hidden="1" customHeight="1">
      <c r="A421" s="336" t="str">
        <f>IF(B421&lt;&gt;"",IF(AND(B421='IN-TC'!$S$4,OR(TH!N421="1111",TH!O421="1111")),TH!D421,""),"")</f>
        <v/>
      </c>
      <c r="B421" s="63">
        <f t="shared" ref="B421:B428" si="81">IF(C421&lt;&gt;"",MONTH(C421),"")</f>
        <v>7</v>
      </c>
      <c r="C421" s="64">
        <v>42552</v>
      </c>
      <c r="D421" s="64" t="s">
        <v>686</v>
      </c>
      <c r="E421" s="64">
        <f t="shared" si="79"/>
        <v>42552</v>
      </c>
      <c r="F421" s="67" t="s">
        <v>339</v>
      </c>
      <c r="G421" s="982"/>
      <c r="H421" s="73" t="s">
        <v>449</v>
      </c>
      <c r="I421" s="439">
        <v>10</v>
      </c>
      <c r="J421" s="439">
        <v>35444.444444444445</v>
      </c>
      <c r="K421" s="430"/>
      <c r="L421" s="439"/>
      <c r="M421" s="65">
        <f t="shared" ref="M421:M428" si="82">ROUND(I421*J421,0)</f>
        <v>354444</v>
      </c>
      <c r="N421" s="66" t="s">
        <v>282</v>
      </c>
      <c r="O421" s="66" t="s">
        <v>276</v>
      </c>
      <c r="P421" s="84" t="str">
        <f>IF(AND('331-CT'!$E$7=TH!H421,OR(N421="331",O421="331")),"x","")</f>
        <v/>
      </c>
      <c r="Q421" s="84" t="str">
        <f>IF(AND(B421='111'!$L$11,OR($N421=$Q$7,$O421=$Q$7)),"x","")</f>
        <v/>
      </c>
      <c r="R421" s="84" t="str">
        <f>IF(AND($N421=$Q$7,$B421&lt;'111'!$L$11),"x","")</f>
        <v/>
      </c>
      <c r="S421" s="84" t="str">
        <f>IF(AND($O421=$Q$7,$B421&lt;'111'!$L$11),"x","")</f>
        <v/>
      </c>
      <c r="T421" s="84" t="str">
        <f>IF(ISERROR(FIND('112'!$M$9,G421,1)),"",IF((AND(FIND('112'!$M$9,G421,1)&gt;=1,B421='112'!$K$9,OR($N421='112'!$I$6,$O421='112'!$I$6))),"x",""))</f>
        <v/>
      </c>
      <c r="U421" s="84" t="str">
        <f>IF(ISERROR(FIND('112'!$M$9,G421,1)),"",IF((AND(LEFT(G421,2)=LEFT('112'!$M$9,2),B421&lt;'112'!$K$9,$N421='112'!$I$6)),"x",""))</f>
        <v/>
      </c>
      <c r="V421" s="84" t="str">
        <f>IF(ISERROR(FIND('112'!$M$9,G421,1)),"",IF((AND(RIGHT(G421,2)=RIGHT('112'!$M$9,2),B421&lt;'112'!$K$9,$O421='112'!$I$6)),"x",""))</f>
        <v/>
      </c>
      <c r="W421" s="84" t="str">
        <f>IF(AND('341-CT'!$H$9=H421,OR(LEFT(N421,3)=$W$7,LEFT(O421,3)=$W$7)),"x","")</f>
        <v/>
      </c>
      <c r="X421" s="84" t="str">
        <f>IF(OR(TH!N421=TH!$X$7,O421=TH!$X$7),"x","")</f>
        <v/>
      </c>
      <c r="Y421" s="84" t="str">
        <f>IF(AND(OR(N421="131",O421="131"),H421='131-CT'!$H$9),"x","")</f>
        <v/>
      </c>
      <c r="Z421" s="84"/>
      <c r="AA421" s="84" t="str">
        <f>IF(AND(MONTH(E421)='IN-NX'!$J$5,'IN-NX'!$D$7=D421),"x","")</f>
        <v/>
      </c>
      <c r="AB421" s="84" t="str">
        <f>IF(AND(OR(LEFT(TH!N421,2)="15",LEFT(TH!O421,2)="15"),LEFT(TH!O421,3)&lt;&gt;"111",'152-CT'!$J$8=TH!F421),"x","")</f>
        <v/>
      </c>
      <c r="AC421" s="84" t="str">
        <f>IF(AND(OR(LEFT(TH!N421,2)="15",LEFT(TH!O421,2)="15"),TK!$E$7=TH!F421),"x","")</f>
        <v/>
      </c>
      <c r="AD421" s="84" t="str">
        <f>IF(AND(N421="1521",MONTH(C421)='BK-NL'!$M$11),"x","")</f>
        <v/>
      </c>
    </row>
    <row r="422" spans="1:32" s="341" customFormat="1" ht="15.75" hidden="1" customHeight="1">
      <c r="A422" s="336" t="str">
        <f>IF(B422&lt;&gt;"",IF(AND(B422='IN-TC'!$S$4,OR(TH!N422="1111",TH!O422="1111")),TH!D422,""),"")</f>
        <v/>
      </c>
      <c r="B422" s="63">
        <f t="shared" si="81"/>
        <v>7</v>
      </c>
      <c r="C422" s="64">
        <v>42552</v>
      </c>
      <c r="D422" s="64" t="s">
        <v>686</v>
      </c>
      <c r="E422" s="64">
        <f t="shared" ref="E422:E428" si="83">C422</f>
        <v>42552</v>
      </c>
      <c r="F422" s="67" t="s">
        <v>345</v>
      </c>
      <c r="G422" s="982"/>
      <c r="H422" s="73" t="s">
        <v>449</v>
      </c>
      <c r="I422" s="439">
        <v>20</v>
      </c>
      <c r="J422" s="439">
        <v>46741.2</v>
      </c>
      <c r="K422" s="430"/>
      <c r="L422" s="439"/>
      <c r="M422" s="65">
        <f t="shared" si="82"/>
        <v>934824</v>
      </c>
      <c r="N422" s="66" t="s">
        <v>282</v>
      </c>
      <c r="O422" s="66" t="s">
        <v>276</v>
      </c>
      <c r="P422" s="84" t="str">
        <f>IF(AND('331-CT'!$E$7=TH!H422,OR(N422="331",O422="331")),"x","")</f>
        <v/>
      </c>
      <c r="Q422" s="84" t="str">
        <f>IF(AND(B422='111'!$L$11,OR($N422=$Q$7,$O422=$Q$7)),"x","")</f>
        <v/>
      </c>
      <c r="R422" s="84" t="str">
        <f>IF(AND($N422=$Q$7,$B422&lt;'111'!$L$11),"x","")</f>
        <v/>
      </c>
      <c r="S422" s="84" t="str">
        <f>IF(AND($O422=$Q$7,$B422&lt;'111'!$L$11),"x","")</f>
        <v/>
      </c>
      <c r="T422" s="84" t="str">
        <f>IF(ISERROR(FIND('112'!$M$9,G422,1)),"",IF((AND(FIND('112'!$M$9,G422,1)&gt;=1,B422='112'!$K$9,OR($N422='112'!$I$6,$O422='112'!$I$6))),"x",""))</f>
        <v/>
      </c>
      <c r="U422" s="84" t="str">
        <f>IF(ISERROR(FIND('112'!$M$9,G422,1)),"",IF((AND(LEFT(G422,2)=LEFT('112'!$M$9,2),B422&lt;'112'!$K$9,$N422='112'!$I$6)),"x",""))</f>
        <v/>
      </c>
      <c r="V422" s="84" t="str">
        <f>IF(ISERROR(FIND('112'!$M$9,G422,1)),"",IF((AND(RIGHT(G422,2)=RIGHT('112'!$M$9,2),B422&lt;'112'!$K$9,$O422='112'!$I$6)),"x",""))</f>
        <v/>
      </c>
      <c r="W422" s="84" t="str">
        <f>IF(AND('341-CT'!$H$9=H422,OR(LEFT(N422,3)=$W$7,LEFT(O422,3)=$W$7)),"x","")</f>
        <v/>
      </c>
      <c r="X422" s="84" t="str">
        <f>IF(OR(TH!N422=TH!$X$7,O422=TH!$X$7),"x","")</f>
        <v/>
      </c>
      <c r="Y422" s="84" t="str">
        <f>IF(AND(OR(N422="131",O422="131"),H422='131-CT'!$H$9),"x","")</f>
        <v/>
      </c>
      <c r="Z422" s="84"/>
      <c r="AA422" s="84" t="str">
        <f>IF(AND(MONTH(E422)='IN-NX'!$J$5,'IN-NX'!$D$7=D422),"x","")</f>
        <v/>
      </c>
      <c r="AB422" s="84" t="str">
        <f>IF(AND(OR(LEFT(TH!N422,2)="15",LEFT(TH!O422,2)="15"),LEFT(TH!O422,3)&lt;&gt;"111",'152-CT'!$J$8=TH!F422),"x","")</f>
        <v/>
      </c>
      <c r="AC422" s="84" t="str">
        <f>IF(AND(OR(LEFT(TH!N422,2)="15",LEFT(TH!O422,2)="15"),TK!$E$7=TH!F422),"x","")</f>
        <v/>
      </c>
      <c r="AD422" s="84" t="str">
        <f>IF(AND(N422="1521",MONTH(C422)='BK-NL'!$M$11),"x","")</f>
        <v/>
      </c>
    </row>
    <row r="423" spans="1:32" s="341" customFormat="1" ht="15.75" hidden="1" customHeight="1">
      <c r="A423" s="336" t="str">
        <f>IF(B423&lt;&gt;"",IF(AND(B423='IN-TC'!$S$4,OR(TH!N423="1111",TH!O423="1111")),TH!D423,""),"")</f>
        <v/>
      </c>
      <c r="B423" s="63">
        <f t="shared" si="81"/>
        <v>7</v>
      </c>
      <c r="C423" s="64">
        <v>42552</v>
      </c>
      <c r="D423" s="64" t="s">
        <v>686</v>
      </c>
      <c r="E423" s="64">
        <f t="shared" si="83"/>
        <v>42552</v>
      </c>
      <c r="F423" s="67" t="s">
        <v>348</v>
      </c>
      <c r="G423" s="67"/>
      <c r="H423" s="73" t="s">
        <v>449</v>
      </c>
      <c r="I423" s="439">
        <v>250</v>
      </c>
      <c r="J423" s="439">
        <v>14523.81</v>
      </c>
      <c r="K423" s="430"/>
      <c r="L423" s="439"/>
      <c r="M423" s="65">
        <f t="shared" si="82"/>
        <v>3630953</v>
      </c>
      <c r="N423" s="66" t="s">
        <v>282</v>
      </c>
      <c r="O423" s="66" t="s">
        <v>276</v>
      </c>
      <c r="P423" s="84" t="str">
        <f>IF(AND('331-CT'!$E$7=TH!H423,OR(N423="331",O423="331")),"x","")</f>
        <v/>
      </c>
      <c r="Q423" s="84" t="str">
        <f>IF(AND(B423='111'!$L$11,OR($N423=$Q$7,$O423=$Q$7)),"x","")</f>
        <v/>
      </c>
      <c r="R423" s="84" t="str">
        <f>IF(AND($N423=$Q$7,$B423&lt;'111'!$L$11),"x","")</f>
        <v/>
      </c>
      <c r="S423" s="84" t="str">
        <f>IF(AND($O423=$Q$7,$B423&lt;'111'!$L$11),"x","")</f>
        <v/>
      </c>
      <c r="T423" s="84" t="str">
        <f>IF(ISERROR(FIND('112'!$M$9,G423,1)),"",IF((AND(FIND('112'!$M$9,G423,1)&gt;=1,B423='112'!$K$9,OR($N423='112'!$I$6,$O423='112'!$I$6))),"x",""))</f>
        <v/>
      </c>
      <c r="U423" s="84" t="str">
        <f>IF(ISERROR(FIND('112'!$M$9,G423,1)),"",IF((AND(LEFT(G423,2)=LEFT('112'!$M$9,2),B423&lt;'112'!$K$9,$N423='112'!$I$6)),"x",""))</f>
        <v/>
      </c>
      <c r="V423" s="84" t="str">
        <f>IF(ISERROR(FIND('112'!$M$9,G423,1)),"",IF((AND(RIGHT(G423,2)=RIGHT('112'!$M$9,2),B423&lt;'112'!$K$9,$O423='112'!$I$6)),"x",""))</f>
        <v/>
      </c>
      <c r="W423" s="84" t="str">
        <f>IF(AND('341-CT'!$H$9=H423,OR(LEFT(N423,3)=$W$7,LEFT(O423,3)=$W$7)),"x","")</f>
        <v/>
      </c>
      <c r="X423" s="84" t="str">
        <f>IF(OR(TH!N423=TH!$X$7,O423=TH!$X$7),"x","")</f>
        <v/>
      </c>
      <c r="Y423" s="84" t="str">
        <f>IF(AND(OR(N423="131",O423="131"),H423='131-CT'!$H$9),"x","")</f>
        <v/>
      </c>
      <c r="Z423" s="84"/>
      <c r="AA423" s="84" t="str">
        <f>IF(AND(MONTH(E423)='IN-NX'!$J$5,'IN-NX'!$D$7=D423),"x","")</f>
        <v/>
      </c>
      <c r="AB423" s="84" t="str">
        <f>IF(AND(OR(LEFT(TH!N423,2)="15",LEFT(TH!O423,2)="15"),LEFT(TH!O423,3)&lt;&gt;"111",'152-CT'!$J$8=TH!F423),"x","")</f>
        <v/>
      </c>
      <c r="AC423" s="84" t="str">
        <f>IF(AND(OR(LEFT(TH!N423,2)="15",LEFT(TH!O423,2)="15"),TK!$E$7=TH!F423),"x","")</f>
        <v>x</v>
      </c>
      <c r="AD423" s="84" t="str">
        <f>IF(AND(N423="1521",MONTH(C423)='BK-NL'!$M$11),"x","")</f>
        <v/>
      </c>
    </row>
    <row r="424" spans="1:32" s="341" customFormat="1" ht="15.75" hidden="1" customHeight="1">
      <c r="A424" s="336" t="str">
        <f>IF(B424&lt;&gt;"",IF(AND(B424='IN-TC'!$S$4,OR(TH!N424="1111",TH!O424="1111")),TH!D424,""),"")</f>
        <v/>
      </c>
      <c r="B424" s="63">
        <f t="shared" si="81"/>
        <v>7</v>
      </c>
      <c r="C424" s="64">
        <v>42552</v>
      </c>
      <c r="D424" s="64" t="s">
        <v>686</v>
      </c>
      <c r="E424" s="64">
        <f t="shared" si="83"/>
        <v>42552</v>
      </c>
      <c r="F424" s="67" t="s">
        <v>353</v>
      </c>
      <c r="G424" s="67"/>
      <c r="H424" s="73" t="s">
        <v>449</v>
      </c>
      <c r="I424" s="439">
        <v>500</v>
      </c>
      <c r="J424" s="439">
        <v>3200</v>
      </c>
      <c r="K424" s="430"/>
      <c r="L424" s="439"/>
      <c r="M424" s="65">
        <f t="shared" si="82"/>
        <v>1600000</v>
      </c>
      <c r="N424" s="66" t="s">
        <v>282</v>
      </c>
      <c r="O424" s="66" t="s">
        <v>276</v>
      </c>
      <c r="P424" s="84" t="str">
        <f>IF(AND('331-CT'!$E$7=TH!H424,OR(N424="331",O424="331")),"x","")</f>
        <v/>
      </c>
      <c r="Q424" s="84" t="str">
        <f>IF(AND(B424='111'!$L$11,OR($N424=$Q$7,$O424=$Q$7)),"x","")</f>
        <v/>
      </c>
      <c r="R424" s="84" t="str">
        <f>IF(AND($N424=$Q$7,$B424&lt;'111'!$L$11),"x","")</f>
        <v/>
      </c>
      <c r="S424" s="84" t="str">
        <f>IF(AND($O424=$Q$7,$B424&lt;'111'!$L$11),"x","")</f>
        <v/>
      </c>
      <c r="T424" s="84" t="str">
        <f>IF(ISERROR(FIND('112'!$M$9,G424,1)),"",IF((AND(FIND('112'!$M$9,G424,1)&gt;=1,B424='112'!$K$9,OR($N424='112'!$I$6,$O424='112'!$I$6))),"x",""))</f>
        <v/>
      </c>
      <c r="U424" s="84" t="str">
        <f>IF(ISERROR(FIND('112'!$M$9,G424,1)),"",IF((AND(LEFT(G424,2)=LEFT('112'!$M$9,2),B424&lt;'112'!$K$9,$N424='112'!$I$6)),"x",""))</f>
        <v/>
      </c>
      <c r="V424" s="84" t="str">
        <f>IF(ISERROR(FIND('112'!$M$9,G424,1)),"",IF((AND(RIGHT(G424,2)=RIGHT('112'!$M$9,2),B424&lt;'112'!$K$9,$O424='112'!$I$6)),"x",""))</f>
        <v/>
      </c>
      <c r="W424" s="84" t="str">
        <f>IF(AND('341-CT'!$H$9=H424,OR(LEFT(N424,3)=$W$7,LEFT(O424,3)=$W$7)),"x","")</f>
        <v/>
      </c>
      <c r="X424" s="84" t="str">
        <f>IF(OR(TH!N424=TH!$X$7,O424=TH!$X$7),"x","")</f>
        <v/>
      </c>
      <c r="Y424" s="84" t="str">
        <f>IF(AND(OR(N424="131",O424="131"),H424='131-CT'!$H$9),"x","")</f>
        <v/>
      </c>
      <c r="Z424" s="84"/>
      <c r="AA424" s="84" t="str">
        <f>IF(AND(MONTH(E424)='IN-NX'!$J$5,'IN-NX'!$D$7=D424),"x","")</f>
        <v/>
      </c>
      <c r="AB424" s="84" t="str">
        <f>IF(AND(OR(LEFT(TH!N424,2)="15",LEFT(TH!O424,2)="15"),LEFT(TH!O424,3)&lt;&gt;"111",'152-CT'!$J$8=TH!F424),"x","")</f>
        <v/>
      </c>
      <c r="AC424" s="84" t="str">
        <f>IF(AND(OR(LEFT(TH!N424,2)="15",LEFT(TH!O424,2)="15"),TK!$E$7=TH!F424),"x","")</f>
        <v/>
      </c>
      <c r="AD424" s="84" t="str">
        <f>IF(AND(N424="1521",MONTH(C424)='BK-NL'!$M$11),"x","")</f>
        <v/>
      </c>
    </row>
    <row r="425" spans="1:32" s="341" customFormat="1" ht="15.75" hidden="1" customHeight="1">
      <c r="A425" s="336" t="str">
        <f>IF(B425&lt;&gt;"",IF(AND(B425='IN-TC'!$S$4,OR(TH!N425="1111",TH!O425="1111")),TH!D425,""),"")</f>
        <v/>
      </c>
      <c r="B425" s="63">
        <f t="shared" si="81"/>
        <v>7</v>
      </c>
      <c r="C425" s="64">
        <v>42552</v>
      </c>
      <c r="D425" s="64" t="s">
        <v>686</v>
      </c>
      <c r="E425" s="64">
        <f t="shared" si="83"/>
        <v>42552</v>
      </c>
      <c r="F425" s="67" t="s">
        <v>356</v>
      </c>
      <c r="G425" s="67"/>
      <c r="H425" s="73" t="s">
        <v>449</v>
      </c>
      <c r="I425" s="439">
        <v>270</v>
      </c>
      <c r="J425" s="439">
        <v>14728</v>
      </c>
      <c r="K425" s="430"/>
      <c r="L425" s="439"/>
      <c r="M425" s="65">
        <f t="shared" si="82"/>
        <v>3976560</v>
      </c>
      <c r="N425" s="66" t="s">
        <v>282</v>
      </c>
      <c r="O425" s="66" t="s">
        <v>276</v>
      </c>
      <c r="P425" s="84" t="str">
        <f>IF(AND('331-CT'!$E$7=TH!H425,OR(N425="331",O425="331")),"x","")</f>
        <v/>
      </c>
      <c r="Q425" s="84" t="str">
        <f>IF(AND(B425='111'!$L$11,OR($N425=$Q$7,$O425=$Q$7)),"x","")</f>
        <v/>
      </c>
      <c r="R425" s="84" t="str">
        <f>IF(AND($N425=$Q$7,$B425&lt;'111'!$L$11),"x","")</f>
        <v/>
      </c>
      <c r="S425" s="84" t="str">
        <f>IF(AND($O425=$Q$7,$B425&lt;'111'!$L$11),"x","")</f>
        <v/>
      </c>
      <c r="T425" s="84" t="str">
        <f>IF(ISERROR(FIND('112'!$M$9,G425,1)),"",IF((AND(FIND('112'!$M$9,G425,1)&gt;=1,B425='112'!$K$9,OR($N425='112'!$I$6,$O425='112'!$I$6))),"x",""))</f>
        <v/>
      </c>
      <c r="U425" s="84" t="str">
        <f>IF(ISERROR(FIND('112'!$M$9,G425,1)),"",IF((AND(LEFT(G425,2)=LEFT('112'!$M$9,2),B425&lt;'112'!$K$9,$N425='112'!$I$6)),"x",""))</f>
        <v/>
      </c>
      <c r="V425" s="84" t="str">
        <f>IF(ISERROR(FIND('112'!$M$9,G425,1)),"",IF((AND(RIGHT(G425,2)=RIGHT('112'!$M$9,2),B425&lt;'112'!$K$9,$O425='112'!$I$6)),"x",""))</f>
        <v/>
      </c>
      <c r="W425" s="84" t="str">
        <f>IF(AND('341-CT'!$H$9=H425,OR(LEFT(N425,3)=$W$7,LEFT(O425,3)=$W$7)),"x","")</f>
        <v/>
      </c>
      <c r="X425" s="84" t="str">
        <f>IF(OR(TH!N425=TH!$X$7,O425=TH!$X$7),"x","")</f>
        <v/>
      </c>
      <c r="Y425" s="84" t="str">
        <f>IF(AND(OR(N425="131",O425="131"),H425='131-CT'!$H$9),"x","")</f>
        <v/>
      </c>
      <c r="Z425" s="84"/>
      <c r="AA425" s="84" t="str">
        <f>IF(AND(MONTH(E425)='IN-NX'!$J$5,'IN-NX'!$D$7=D425),"x","")</f>
        <v/>
      </c>
      <c r="AB425" s="84" t="str">
        <f>IF(AND(OR(LEFT(TH!N425,2)="15",LEFT(TH!O425,2)="15"),LEFT(TH!O425,3)&lt;&gt;"111",'152-CT'!$J$8=TH!F425),"x","")</f>
        <v/>
      </c>
      <c r="AC425" s="84" t="str">
        <f>IF(AND(OR(LEFT(TH!N425,2)="15",LEFT(TH!O425,2)="15"),TK!$E$7=TH!F425),"x","")</f>
        <v/>
      </c>
      <c r="AD425" s="84" t="str">
        <f>IF(AND(N425="1521",MONTH(C425)='BK-NL'!$M$11),"x","")</f>
        <v/>
      </c>
    </row>
    <row r="426" spans="1:32" s="341" customFormat="1" ht="15.75" hidden="1" customHeight="1">
      <c r="A426" s="336" t="str">
        <f>IF(B426&lt;&gt;"",IF(AND(B426='IN-TC'!$S$4,OR(TH!N426="1111",TH!O426="1111")),TH!D426,""),"")</f>
        <v/>
      </c>
      <c r="B426" s="63">
        <f t="shared" si="81"/>
        <v>7</v>
      </c>
      <c r="C426" s="64">
        <v>42552</v>
      </c>
      <c r="D426" s="64" t="s">
        <v>687</v>
      </c>
      <c r="E426" s="64">
        <f t="shared" si="83"/>
        <v>42552</v>
      </c>
      <c r="F426" s="67" t="s">
        <v>1409</v>
      </c>
      <c r="G426" s="67"/>
      <c r="H426" s="73" t="s">
        <v>449</v>
      </c>
      <c r="I426" s="439">
        <v>100</v>
      </c>
      <c r="J426" s="439">
        <v>12728</v>
      </c>
      <c r="K426" s="430"/>
      <c r="L426" s="439"/>
      <c r="M426" s="65">
        <f t="shared" si="82"/>
        <v>1272800</v>
      </c>
      <c r="N426" s="66" t="s">
        <v>282</v>
      </c>
      <c r="O426" s="66" t="s">
        <v>276</v>
      </c>
      <c r="P426" s="84" t="str">
        <f>IF(AND('331-CT'!$E$7=TH!H426,OR(N426="331",O426="331")),"x","")</f>
        <v/>
      </c>
      <c r="Q426" s="84" t="str">
        <f>IF(AND(B426='111'!$L$11,OR($N426=$Q$7,$O426=$Q$7)),"x","")</f>
        <v/>
      </c>
      <c r="R426" s="84" t="str">
        <f>IF(AND($N426=$Q$7,$B426&lt;'111'!$L$11),"x","")</f>
        <v/>
      </c>
      <c r="S426" s="84" t="str">
        <f>IF(AND($O426=$Q$7,$B426&lt;'111'!$L$11),"x","")</f>
        <v/>
      </c>
      <c r="T426" s="84" t="str">
        <f>IF(ISERROR(FIND('112'!$M$9,G426,1)),"",IF((AND(FIND('112'!$M$9,G426,1)&gt;=1,B426='112'!$K$9,OR($N426='112'!$I$6,$O426='112'!$I$6))),"x",""))</f>
        <v/>
      </c>
      <c r="U426" s="84" t="str">
        <f>IF(ISERROR(FIND('112'!$M$9,G426,1)),"",IF((AND(LEFT(G426,2)=LEFT('112'!$M$9,2),B426&lt;'112'!$K$9,$N426='112'!$I$6)),"x",""))</f>
        <v/>
      </c>
      <c r="V426" s="84" t="str">
        <f>IF(ISERROR(FIND('112'!$M$9,G426,1)),"",IF((AND(RIGHT(G426,2)=RIGHT('112'!$M$9,2),B426&lt;'112'!$K$9,$O426='112'!$I$6)),"x",""))</f>
        <v/>
      </c>
      <c r="W426" s="84" t="str">
        <f>IF(AND('341-CT'!$H$9=H426,OR(LEFT(N426,3)=$W$7,LEFT(O426,3)=$W$7)),"x","")</f>
        <v/>
      </c>
      <c r="X426" s="84" t="str">
        <f>IF(OR(TH!N426=TH!$X$7,O426=TH!$X$7),"x","")</f>
        <v/>
      </c>
      <c r="Y426" s="84" t="str">
        <f>IF(AND(OR(N426="131",O426="131"),H426='131-CT'!$H$9),"x","")</f>
        <v/>
      </c>
      <c r="Z426" s="84"/>
      <c r="AA426" s="84" t="str">
        <f>IF(AND(MONTH(E426)='IN-NX'!$J$5,'IN-NX'!$D$7=D426),"x","")</f>
        <v/>
      </c>
      <c r="AB426" s="84" t="str">
        <f>IF(AND(OR(LEFT(TH!N426,2)="15",LEFT(TH!O426,2)="15"),LEFT(TH!O426,3)&lt;&gt;"111",'152-CT'!$J$8=TH!F426),"x","")</f>
        <v/>
      </c>
      <c r="AC426" s="84" t="str">
        <f>IF(AND(OR(LEFT(TH!N426,2)="15",LEFT(TH!O426,2)="15"),TK!$E$7=TH!F426),"x","")</f>
        <v/>
      </c>
      <c r="AD426" s="84" t="str">
        <f>IF(AND(N426="1521",MONTH(C426)='BK-NL'!$M$11),"x","")</f>
        <v/>
      </c>
    </row>
    <row r="427" spans="1:32" s="341" customFormat="1" ht="15.75" hidden="1" customHeight="1">
      <c r="A427" s="336" t="str">
        <f>IF(B427&lt;&gt;"",IF(AND(B427='IN-TC'!$S$4,OR(TH!N427="1111",TH!O427="1111")),TH!D427,""),"")</f>
        <v/>
      </c>
      <c r="B427" s="63">
        <f t="shared" si="81"/>
        <v>7</v>
      </c>
      <c r="C427" s="64">
        <v>42556</v>
      </c>
      <c r="D427" s="64" t="s">
        <v>687</v>
      </c>
      <c r="E427" s="64">
        <f t="shared" si="83"/>
        <v>42556</v>
      </c>
      <c r="F427" s="67" t="s">
        <v>359</v>
      </c>
      <c r="G427" s="67"/>
      <c r="H427" s="73" t="s">
        <v>449</v>
      </c>
      <c r="I427" s="439">
        <v>100</v>
      </c>
      <c r="J427" s="439">
        <v>8500</v>
      </c>
      <c r="K427" s="430"/>
      <c r="L427" s="439"/>
      <c r="M427" s="65">
        <f t="shared" si="82"/>
        <v>850000</v>
      </c>
      <c r="N427" s="66" t="s">
        <v>282</v>
      </c>
      <c r="O427" s="66" t="s">
        <v>276</v>
      </c>
      <c r="P427" s="84" t="str">
        <f>IF(AND('331-CT'!$E$7=TH!H427,OR(N427="331",O427="331")),"x","")</f>
        <v/>
      </c>
      <c r="Q427" s="84" t="str">
        <f>IF(AND(B427='111'!$L$11,OR($N427=$Q$7,$O427=$Q$7)),"x","")</f>
        <v/>
      </c>
      <c r="R427" s="84" t="str">
        <f>IF(AND($N427=$Q$7,$B427&lt;'111'!$L$11),"x","")</f>
        <v/>
      </c>
      <c r="S427" s="84" t="str">
        <f>IF(AND($O427=$Q$7,$B427&lt;'111'!$L$11),"x","")</f>
        <v/>
      </c>
      <c r="T427" s="84" t="str">
        <f>IF(ISERROR(FIND('112'!$M$9,G427,1)),"",IF((AND(FIND('112'!$M$9,G427,1)&gt;=1,B427='112'!$K$9,OR($N427='112'!$I$6,$O427='112'!$I$6))),"x",""))</f>
        <v/>
      </c>
      <c r="U427" s="84" t="str">
        <f>IF(ISERROR(FIND('112'!$M$9,G427,1)),"",IF((AND(LEFT(G427,2)=LEFT('112'!$M$9,2),B427&lt;'112'!$K$9,$N427='112'!$I$6)),"x",""))</f>
        <v/>
      </c>
      <c r="V427" s="84" t="str">
        <f>IF(ISERROR(FIND('112'!$M$9,G427,1)),"",IF((AND(RIGHT(G427,2)=RIGHT('112'!$M$9,2),B427&lt;'112'!$K$9,$O427='112'!$I$6)),"x",""))</f>
        <v/>
      </c>
      <c r="W427" s="84" t="str">
        <f>IF(AND('341-CT'!$H$9=H427,OR(LEFT(N427,3)=$W$7,LEFT(O427,3)=$W$7)),"x","")</f>
        <v/>
      </c>
      <c r="X427" s="84" t="str">
        <f>IF(OR(TH!N427=TH!$X$7,O427=TH!$X$7),"x","")</f>
        <v/>
      </c>
      <c r="Y427" s="84" t="str">
        <f>IF(AND(OR(N427="131",O427="131"),H427='131-CT'!$H$9),"x","")</f>
        <v/>
      </c>
      <c r="Z427" s="84"/>
      <c r="AA427" s="84" t="str">
        <f>IF(AND(MONTH(E427)='IN-NX'!$J$5,'IN-NX'!$D$7=D427),"x","")</f>
        <v/>
      </c>
      <c r="AB427" s="84" t="str">
        <f>IF(AND(OR(LEFT(TH!N427,2)="15",LEFT(TH!O427,2)="15"),LEFT(TH!O427,3)&lt;&gt;"111",'152-CT'!$J$8=TH!F427),"x","")</f>
        <v/>
      </c>
      <c r="AC427" s="84" t="str">
        <f>IF(AND(OR(LEFT(TH!N427,2)="15",LEFT(TH!O427,2)="15"),TK!$E$7=TH!F427),"x","")</f>
        <v/>
      </c>
      <c r="AD427" s="84" t="str">
        <f>IF(AND(N427="1521",MONTH(C427)='BK-NL'!$M$11),"x","")</f>
        <v/>
      </c>
    </row>
    <row r="428" spans="1:32" s="341" customFormat="1" ht="15.75" hidden="1" customHeight="1">
      <c r="A428" s="336" t="str">
        <f>IF(B428&lt;&gt;"",IF(AND(B428='IN-TC'!$S$4,OR(TH!N428="1111",TH!O428="1111")),TH!D428,""),"")</f>
        <v/>
      </c>
      <c r="B428" s="63">
        <f t="shared" si="81"/>
        <v>7</v>
      </c>
      <c r="C428" s="64">
        <v>42556</v>
      </c>
      <c r="D428" s="64" t="s">
        <v>687</v>
      </c>
      <c r="E428" s="64">
        <f t="shared" si="83"/>
        <v>42556</v>
      </c>
      <c r="F428" s="67" t="s">
        <v>363</v>
      </c>
      <c r="G428" s="67"/>
      <c r="H428" s="73" t="s">
        <v>449</v>
      </c>
      <c r="I428" s="441">
        <v>100</v>
      </c>
      <c r="J428" s="441">
        <v>33000</v>
      </c>
      <c r="K428" s="432"/>
      <c r="L428" s="441"/>
      <c r="M428" s="65">
        <f t="shared" si="82"/>
        <v>3300000</v>
      </c>
      <c r="N428" s="66" t="s">
        <v>282</v>
      </c>
      <c r="O428" s="66" t="s">
        <v>276</v>
      </c>
      <c r="P428" s="84" t="str">
        <f>IF(AND('331-CT'!$E$7=TH!H428,OR(N428="331",O428="331")),"x","")</f>
        <v/>
      </c>
      <c r="Q428" s="84" t="str">
        <f>IF(AND(B428='111'!$L$11,OR($N428=$Q$7,$O428=$Q$7)),"x","")</f>
        <v/>
      </c>
      <c r="R428" s="84" t="str">
        <f>IF(AND($N428=$Q$7,$B428&lt;'111'!$L$11),"x","")</f>
        <v/>
      </c>
      <c r="S428" s="84" t="str">
        <f>IF(AND($O428=$Q$7,$B428&lt;'111'!$L$11),"x","")</f>
        <v/>
      </c>
      <c r="T428" s="84" t="str">
        <f>IF(ISERROR(FIND('112'!$M$9,G428,1)),"",IF((AND(FIND('112'!$M$9,G428,1)&gt;=1,B428='112'!$K$9,OR($N428='112'!$I$6,$O428='112'!$I$6))),"x",""))</f>
        <v/>
      </c>
      <c r="U428" s="84" t="str">
        <f>IF(ISERROR(FIND('112'!$M$9,G428,1)),"",IF((AND(LEFT(G428,2)=LEFT('112'!$M$9,2),B428&lt;'112'!$K$9,$N428='112'!$I$6)),"x",""))</f>
        <v/>
      </c>
      <c r="V428" s="84" t="str">
        <f>IF(ISERROR(FIND('112'!$M$9,G428,1)),"",IF((AND(RIGHT(G428,2)=RIGHT('112'!$M$9,2),B428&lt;'112'!$K$9,$O428='112'!$I$6)),"x",""))</f>
        <v/>
      </c>
      <c r="W428" s="84" t="str">
        <f>IF(AND('341-CT'!$H$9=H428,OR(LEFT(N428,3)=$W$7,LEFT(O428,3)=$W$7)),"x","")</f>
        <v/>
      </c>
      <c r="X428" s="84" t="str">
        <f>IF(OR(TH!N428=TH!$X$7,O428=TH!$X$7),"x","")</f>
        <v/>
      </c>
      <c r="Y428" s="84" t="str">
        <f>IF(AND(OR(N428="131",O428="131"),H428='131-CT'!$H$9),"x","")</f>
        <v/>
      </c>
      <c r="Z428" s="84"/>
      <c r="AA428" s="84" t="str">
        <f>IF(AND(MONTH(E428)='IN-NX'!$J$5,'IN-NX'!$D$7=D428),"x","")</f>
        <v/>
      </c>
      <c r="AB428" s="84" t="str">
        <f>IF(AND(OR(LEFT(TH!N428,2)="15",LEFT(TH!O428,2)="15"),LEFT(TH!O428,3)&lt;&gt;"111",'152-CT'!$J$8=TH!F428),"x","")</f>
        <v>x</v>
      </c>
      <c r="AC428" s="84" t="str">
        <f>IF(AND(OR(LEFT(TH!N428,2)="15",LEFT(TH!O428,2)="15"),TK!$E$7=TH!F428),"x","")</f>
        <v/>
      </c>
      <c r="AD428" s="84" t="str">
        <f>IF(AND(N428="1521",MONTH(C428)='BK-NL'!$M$11),"x","")</f>
        <v/>
      </c>
    </row>
    <row r="429" spans="1:32" s="341" customFormat="1" ht="15.75" hidden="1" customHeight="1">
      <c r="A429" s="336" t="str">
        <f>IF(B429&lt;&gt;"",IF(AND(B429='IN-TC'!$S$4,OR(TH!N429="1111",TH!O429="1111")),TH!D429,""),"")</f>
        <v/>
      </c>
      <c r="B429" s="63">
        <f t="shared" ref="B429:B442" si="84">IF(C429&lt;&gt;"",MONTH(C429),"")</f>
        <v>7</v>
      </c>
      <c r="C429" s="64">
        <v>42556</v>
      </c>
      <c r="D429" s="64" t="s">
        <v>688</v>
      </c>
      <c r="E429" s="64">
        <f t="shared" ref="E429:E442" si="85">C429</f>
        <v>42556</v>
      </c>
      <c r="F429" s="67" t="s">
        <v>401</v>
      </c>
      <c r="G429" s="67"/>
      <c r="H429" s="73" t="s">
        <v>449</v>
      </c>
      <c r="I429" s="441">
        <v>600</v>
      </c>
      <c r="J429" s="441">
        <v>18200</v>
      </c>
      <c r="K429" s="432"/>
      <c r="L429" s="441"/>
      <c r="M429" s="65">
        <f t="shared" ref="M429:M436" si="86">ROUND(I429*J429,0)</f>
        <v>10920000</v>
      </c>
      <c r="N429" s="66" t="s">
        <v>282</v>
      </c>
      <c r="O429" s="66" t="s">
        <v>276</v>
      </c>
      <c r="P429" s="84" t="str">
        <f>IF(AND('331-CT'!$E$7=TH!H429,OR(N429="331",O429="331")),"x","")</f>
        <v/>
      </c>
      <c r="Q429" s="84" t="str">
        <f>IF(AND(B429='111'!$L$11,OR($N429=$Q$7,$O429=$Q$7)),"x","")</f>
        <v/>
      </c>
      <c r="R429" s="84" t="str">
        <f>IF(AND($N429=$Q$7,$B429&lt;'111'!$L$11),"x","")</f>
        <v/>
      </c>
      <c r="S429" s="84" t="str">
        <f>IF(AND($O429=$Q$7,$B429&lt;'111'!$L$11),"x","")</f>
        <v/>
      </c>
      <c r="T429" s="84" t="str">
        <f>IF(ISERROR(FIND('112'!$M$9,G429,1)),"",IF((AND(FIND('112'!$M$9,G429,1)&gt;=1,B429='112'!$K$9,OR($N429='112'!$I$6,$O429='112'!$I$6))),"x",""))</f>
        <v/>
      </c>
      <c r="U429" s="84" t="str">
        <f>IF(ISERROR(FIND('112'!$M$9,G429,1)),"",IF((AND(LEFT(G429,2)=LEFT('112'!$M$9,2),B429&lt;'112'!$K$9,$N429='112'!$I$6)),"x",""))</f>
        <v/>
      </c>
      <c r="V429" s="84" t="str">
        <f>IF(ISERROR(FIND('112'!$M$9,G429,1)),"",IF((AND(RIGHT(G429,2)=RIGHT('112'!$M$9,2),B429&lt;'112'!$K$9,$O429='112'!$I$6)),"x",""))</f>
        <v/>
      </c>
      <c r="W429" s="84" t="str">
        <f>IF(AND('341-CT'!$H$9=H429,OR(LEFT(N429,3)=$W$7,LEFT(O429,3)=$W$7)),"x","")</f>
        <v/>
      </c>
      <c r="X429" s="84" t="str">
        <f>IF(OR(TH!N429=TH!$X$7,O429=TH!$X$7),"x","")</f>
        <v/>
      </c>
      <c r="Y429" s="84" t="str">
        <f>IF(AND(OR(N429="131",O429="131"),H429='131-CT'!$H$9),"x","")</f>
        <v/>
      </c>
      <c r="Z429" s="84"/>
      <c r="AA429" s="84" t="str">
        <f>IF(AND(MONTH(E429)='IN-NX'!$J$5,'IN-NX'!$D$7=D429),"x","")</f>
        <v/>
      </c>
      <c r="AB429" s="84" t="str">
        <f>IF(AND(OR(LEFT(TH!N429,2)="15",LEFT(TH!O429,2)="15"),LEFT(TH!O429,3)&lt;&gt;"111",'152-CT'!$J$8=TH!F429),"x","")</f>
        <v/>
      </c>
      <c r="AC429" s="84" t="str">
        <f>IF(AND(OR(LEFT(TH!N429,2)="15",LEFT(TH!O429,2)="15"),TK!$E$7=TH!F429),"x","")</f>
        <v/>
      </c>
      <c r="AD429" s="84" t="str">
        <f>IF(AND(N429="1521",MONTH(C429)='BK-NL'!$M$11),"x","")</f>
        <v/>
      </c>
    </row>
    <row r="430" spans="1:32" s="341" customFormat="1" ht="15.75" hidden="1" customHeight="1">
      <c r="A430" s="336" t="str">
        <f>IF(B430&lt;&gt;"",IF(AND(B430='IN-TC'!$S$4,OR(TH!N430="1111",TH!O430="1111")),TH!D430,""),"")</f>
        <v/>
      </c>
      <c r="B430" s="63">
        <f t="shared" si="84"/>
        <v>7</v>
      </c>
      <c r="C430" s="64">
        <v>42556</v>
      </c>
      <c r="D430" s="64" t="s">
        <v>688</v>
      </c>
      <c r="E430" s="64">
        <f t="shared" si="85"/>
        <v>42556</v>
      </c>
      <c r="F430" s="67" t="s">
        <v>653</v>
      </c>
      <c r="G430" s="67"/>
      <c r="H430" s="73" t="s">
        <v>449</v>
      </c>
      <c r="I430" s="441">
        <v>2268</v>
      </c>
      <c r="J430" s="441">
        <v>11500</v>
      </c>
      <c r="K430" s="432"/>
      <c r="L430" s="441"/>
      <c r="M430" s="65">
        <f t="shared" si="86"/>
        <v>26082000</v>
      </c>
      <c r="N430" s="66" t="s">
        <v>282</v>
      </c>
      <c r="O430" s="66" t="s">
        <v>276</v>
      </c>
      <c r="P430" s="84" t="str">
        <f>IF(AND('331-CT'!$E$7=TH!H430,OR(N430="331",O430="331")),"x","")</f>
        <v/>
      </c>
      <c r="Q430" s="84" t="str">
        <f>IF(AND(B430='111'!$L$11,OR($N430=$Q$7,$O430=$Q$7)),"x","")</f>
        <v/>
      </c>
      <c r="R430" s="84" t="str">
        <f>IF(AND($N430=$Q$7,$B430&lt;'111'!$L$11),"x","")</f>
        <v/>
      </c>
      <c r="S430" s="84" t="str">
        <f>IF(AND($O430=$Q$7,$B430&lt;'111'!$L$11),"x","")</f>
        <v/>
      </c>
      <c r="T430" s="84" t="str">
        <f>IF(ISERROR(FIND('112'!$M$9,G430,1)),"",IF((AND(FIND('112'!$M$9,G430,1)&gt;=1,B430='112'!$K$9,OR($N430='112'!$I$6,$O430='112'!$I$6))),"x",""))</f>
        <v/>
      </c>
      <c r="U430" s="84" t="str">
        <f>IF(ISERROR(FIND('112'!$M$9,G430,1)),"",IF((AND(LEFT(G430,2)=LEFT('112'!$M$9,2),B430&lt;'112'!$K$9,$N430='112'!$I$6)),"x",""))</f>
        <v/>
      </c>
      <c r="V430" s="84" t="str">
        <f>IF(ISERROR(FIND('112'!$M$9,G430,1)),"",IF((AND(RIGHT(G430,2)=RIGHT('112'!$M$9,2),B430&lt;'112'!$K$9,$O430='112'!$I$6)),"x",""))</f>
        <v/>
      </c>
      <c r="W430" s="84" t="str">
        <f>IF(AND('341-CT'!$H$9=H430,OR(LEFT(N430,3)=$W$7,LEFT(O430,3)=$W$7)),"x","")</f>
        <v/>
      </c>
      <c r="X430" s="84" t="str">
        <f>IF(OR(TH!N430=TH!$X$7,O430=TH!$X$7),"x","")</f>
        <v/>
      </c>
      <c r="Y430" s="84" t="str">
        <f>IF(AND(OR(N430="131",O430="131"),H430='131-CT'!$H$9),"x","")</f>
        <v/>
      </c>
      <c r="Z430" s="84"/>
      <c r="AA430" s="84" t="str">
        <f>IF(AND(MONTH(E430)='IN-NX'!$J$5,'IN-NX'!$D$7=D430),"x","")</f>
        <v/>
      </c>
      <c r="AB430" s="84" t="str">
        <f>IF(AND(OR(LEFT(TH!N430,2)="15",LEFT(TH!O430,2)="15"),LEFT(TH!O430,3)&lt;&gt;"111",'152-CT'!$J$8=TH!F430),"x","")</f>
        <v/>
      </c>
      <c r="AC430" s="84" t="str">
        <f>IF(AND(OR(LEFT(TH!N430,2)="15",LEFT(TH!O430,2)="15"),TK!$E$7=TH!F430),"x","")</f>
        <v/>
      </c>
      <c r="AD430" s="84" t="str">
        <f>IF(AND(N430="1521",MONTH(C430)='BK-NL'!$M$11),"x","")</f>
        <v/>
      </c>
    </row>
    <row r="431" spans="1:32" s="341" customFormat="1" ht="15.75" hidden="1" customHeight="1">
      <c r="A431" s="336" t="str">
        <f>IF(B431&lt;&gt;"",IF(AND(B431='IN-TC'!$S$4,OR(TH!N431="1111",TH!O431="1111")),TH!D431,""),"")</f>
        <v/>
      </c>
      <c r="B431" s="63">
        <f t="shared" si="84"/>
        <v>7</v>
      </c>
      <c r="C431" s="64">
        <v>42562</v>
      </c>
      <c r="D431" s="64" t="s">
        <v>689</v>
      </c>
      <c r="E431" s="64">
        <f t="shared" si="85"/>
        <v>42562</v>
      </c>
      <c r="F431" s="67" t="s">
        <v>387</v>
      </c>
      <c r="G431" s="67"/>
      <c r="H431" s="73" t="s">
        <v>449</v>
      </c>
      <c r="I431" s="441">
        <v>227</v>
      </c>
      <c r="J431" s="441">
        <v>16800</v>
      </c>
      <c r="K431" s="432"/>
      <c r="L431" s="441"/>
      <c r="M431" s="65">
        <f t="shared" si="86"/>
        <v>3813600</v>
      </c>
      <c r="N431" s="66" t="s">
        <v>282</v>
      </c>
      <c r="O431" s="66" t="s">
        <v>276</v>
      </c>
      <c r="P431" s="84" t="str">
        <f>IF(AND('331-CT'!$E$7=TH!H431,OR(N431="331",O431="331")),"x","")</f>
        <v/>
      </c>
      <c r="Q431" s="84" t="str">
        <f>IF(AND(B431='111'!$L$11,OR($N431=$Q$7,$O431=$Q$7)),"x","")</f>
        <v/>
      </c>
      <c r="R431" s="84" t="str">
        <f>IF(AND($N431=$Q$7,$B431&lt;'111'!$L$11),"x","")</f>
        <v/>
      </c>
      <c r="S431" s="84" t="str">
        <f>IF(AND($O431=$Q$7,$B431&lt;'111'!$L$11),"x","")</f>
        <v/>
      </c>
      <c r="T431" s="84" t="str">
        <f>IF(ISERROR(FIND('112'!$M$9,G431,1)),"",IF((AND(FIND('112'!$M$9,G431,1)&gt;=1,B431='112'!$K$9,OR($N431='112'!$I$6,$O431='112'!$I$6))),"x",""))</f>
        <v/>
      </c>
      <c r="U431" s="84" t="str">
        <f>IF(ISERROR(FIND('112'!$M$9,G431,1)),"",IF((AND(LEFT(G431,2)=LEFT('112'!$M$9,2),B431&lt;'112'!$K$9,$N431='112'!$I$6)),"x",""))</f>
        <v/>
      </c>
      <c r="V431" s="84" t="str">
        <f>IF(ISERROR(FIND('112'!$M$9,G431,1)),"",IF((AND(RIGHT(G431,2)=RIGHT('112'!$M$9,2),B431&lt;'112'!$K$9,$O431='112'!$I$6)),"x",""))</f>
        <v/>
      </c>
      <c r="W431" s="84" t="str">
        <f>IF(AND('341-CT'!$H$9=H431,OR(LEFT(N431,3)=$W$7,LEFT(O431,3)=$W$7)),"x","")</f>
        <v/>
      </c>
      <c r="X431" s="84" t="str">
        <f>IF(OR(TH!N431=TH!$X$7,O431=TH!$X$7),"x","")</f>
        <v/>
      </c>
      <c r="Y431" s="84" t="str">
        <f>IF(AND(OR(N431="131",O431="131"),H431='131-CT'!$H$9),"x","")</f>
        <v/>
      </c>
      <c r="Z431" s="84"/>
      <c r="AA431" s="84" t="str">
        <f>IF(AND(MONTH(E431)='IN-NX'!$J$5,'IN-NX'!$D$7=D431),"x","")</f>
        <v/>
      </c>
      <c r="AB431" s="84" t="str">
        <f>IF(AND(OR(LEFT(TH!N431,2)="15",LEFT(TH!O431,2)="15"),LEFT(TH!O431,3)&lt;&gt;"111",'152-CT'!$J$8=TH!F431),"x","")</f>
        <v/>
      </c>
      <c r="AC431" s="84" t="str">
        <f>IF(AND(OR(LEFT(TH!N431,2)="15",LEFT(TH!O431,2)="15"),TK!$E$7=TH!F431),"x","")</f>
        <v/>
      </c>
      <c r="AD431" s="84" t="str">
        <f>IF(AND(N431="1521",MONTH(C431)='BK-NL'!$M$11),"x","")</f>
        <v/>
      </c>
    </row>
    <row r="432" spans="1:32" s="341" customFormat="1" ht="15.75" hidden="1" customHeight="1">
      <c r="A432" s="336" t="str">
        <f>IF(B432&lt;&gt;"",IF(AND(B432='IN-TC'!$S$4,OR(TH!N432="1111",TH!O432="1111")),TH!D432,""),"")</f>
        <v/>
      </c>
      <c r="B432" s="63">
        <f t="shared" si="84"/>
        <v>7</v>
      </c>
      <c r="C432" s="64">
        <v>42576</v>
      </c>
      <c r="D432" s="64" t="s">
        <v>688</v>
      </c>
      <c r="E432" s="64">
        <f t="shared" si="85"/>
        <v>42576</v>
      </c>
      <c r="F432" s="67" t="s">
        <v>387</v>
      </c>
      <c r="G432" s="67"/>
      <c r="H432" s="73" t="s">
        <v>449</v>
      </c>
      <c r="I432" s="441">
        <v>60</v>
      </c>
      <c r="J432" s="441">
        <v>5000</v>
      </c>
      <c r="K432" s="432"/>
      <c r="L432" s="441"/>
      <c r="M432" s="65">
        <f t="shared" si="86"/>
        <v>300000</v>
      </c>
      <c r="N432" s="66" t="s">
        <v>282</v>
      </c>
      <c r="O432" s="66" t="s">
        <v>276</v>
      </c>
      <c r="P432" s="84" t="str">
        <f>IF(AND('331-CT'!$E$7=TH!H432,OR(N432="331",O432="331")),"x","")</f>
        <v/>
      </c>
      <c r="Q432" s="84" t="str">
        <f>IF(AND(B432='111'!$L$11,OR($N432=$Q$7,$O432=$Q$7)),"x","")</f>
        <v/>
      </c>
      <c r="R432" s="84" t="str">
        <f>IF(AND($N432=$Q$7,$B432&lt;'111'!$L$11),"x","")</f>
        <v/>
      </c>
      <c r="S432" s="84" t="str">
        <f>IF(AND($O432=$Q$7,$B432&lt;'111'!$L$11),"x","")</f>
        <v/>
      </c>
      <c r="T432" s="84" t="str">
        <f>IF(ISERROR(FIND('112'!$M$9,G432,1)),"",IF((AND(FIND('112'!$M$9,G432,1)&gt;=1,B432='112'!$K$9,OR($N432='112'!$I$6,$O432='112'!$I$6))),"x",""))</f>
        <v/>
      </c>
      <c r="U432" s="84" t="str">
        <f>IF(ISERROR(FIND('112'!$M$9,G432,1)),"",IF((AND(LEFT(G432,2)=LEFT('112'!$M$9,2),B432&lt;'112'!$K$9,$N432='112'!$I$6)),"x",""))</f>
        <v/>
      </c>
      <c r="V432" s="84" t="str">
        <f>IF(ISERROR(FIND('112'!$M$9,G432,1)),"",IF((AND(RIGHT(G432,2)=RIGHT('112'!$M$9,2),B432&lt;'112'!$K$9,$O432='112'!$I$6)),"x",""))</f>
        <v/>
      </c>
      <c r="W432" s="84" t="str">
        <f>IF(AND('341-CT'!$H$9=H432,OR(LEFT(N432,3)=$W$7,LEFT(O432,3)=$W$7)),"x","")</f>
        <v/>
      </c>
      <c r="X432" s="84" t="str">
        <f>IF(OR(TH!N432=TH!$X$7,O432=TH!$X$7),"x","")</f>
        <v/>
      </c>
      <c r="Y432" s="84" t="str">
        <f>IF(AND(OR(N432="131",O432="131"),H432='131-CT'!$H$9),"x","")</f>
        <v/>
      </c>
      <c r="Z432" s="84"/>
      <c r="AA432" s="84" t="str">
        <f>IF(AND(MONTH(E432)='IN-NX'!$J$5,'IN-NX'!$D$7=D432),"x","")</f>
        <v/>
      </c>
      <c r="AB432" s="84" t="str">
        <f>IF(AND(OR(LEFT(TH!N432,2)="15",LEFT(TH!O432,2)="15"),LEFT(TH!O432,3)&lt;&gt;"111",'152-CT'!$J$8=TH!F432),"x","")</f>
        <v/>
      </c>
      <c r="AC432" s="84" t="str">
        <f>IF(AND(OR(LEFT(TH!N432,2)="15",LEFT(TH!O432,2)="15"),TK!$E$7=TH!F432),"x","")</f>
        <v/>
      </c>
      <c r="AD432" s="84" t="str">
        <f>IF(AND(N432="1521",MONTH(C432)='BK-NL'!$M$11),"x","")</f>
        <v/>
      </c>
    </row>
    <row r="433" spans="1:32" s="341" customFormat="1" ht="15.75" hidden="1" customHeight="1">
      <c r="A433" s="336" t="str">
        <f>IF(B433&lt;&gt;"",IF(AND(B433='IN-TC'!$S$4,OR(TH!N433="1111",TH!O433="1111")),TH!D433,""),"")</f>
        <v/>
      </c>
      <c r="B433" s="63">
        <f t="shared" si="84"/>
        <v>7</v>
      </c>
      <c r="C433" s="64">
        <v>42578</v>
      </c>
      <c r="D433" s="64" t="s">
        <v>688</v>
      </c>
      <c r="E433" s="64">
        <f t="shared" si="85"/>
        <v>42578</v>
      </c>
      <c r="F433" s="67" t="s">
        <v>1633</v>
      </c>
      <c r="G433" s="67"/>
      <c r="H433" s="73" t="s">
        <v>449</v>
      </c>
      <c r="I433" s="441">
        <v>240</v>
      </c>
      <c r="J433" s="441">
        <v>2400</v>
      </c>
      <c r="K433" s="432"/>
      <c r="L433" s="441"/>
      <c r="M433" s="65">
        <f t="shared" si="86"/>
        <v>576000</v>
      </c>
      <c r="N433" s="66" t="s">
        <v>282</v>
      </c>
      <c r="O433" s="66" t="s">
        <v>276</v>
      </c>
      <c r="P433" s="84" t="str">
        <f>IF(AND('331-CT'!$E$7=TH!H433,OR(N433="331",O433="331")),"x","")</f>
        <v/>
      </c>
      <c r="Q433" s="84" t="str">
        <f>IF(AND(B433='111'!$L$11,OR($N433=$Q$7,$O433=$Q$7)),"x","")</f>
        <v/>
      </c>
      <c r="R433" s="84" t="str">
        <f>IF(AND($N433=$Q$7,$B433&lt;'111'!$L$11),"x","")</f>
        <v/>
      </c>
      <c r="S433" s="84" t="str">
        <f>IF(AND($O433=$Q$7,$B433&lt;'111'!$L$11),"x","")</f>
        <v/>
      </c>
      <c r="T433" s="84" t="str">
        <f>IF(ISERROR(FIND('112'!$M$9,G433,1)),"",IF((AND(FIND('112'!$M$9,G433,1)&gt;=1,B433='112'!$K$9,OR($N433='112'!$I$6,$O433='112'!$I$6))),"x",""))</f>
        <v/>
      </c>
      <c r="U433" s="84" t="str">
        <f>IF(ISERROR(FIND('112'!$M$9,G433,1)),"",IF((AND(LEFT(G433,2)=LEFT('112'!$M$9,2),B433&lt;'112'!$K$9,$N433='112'!$I$6)),"x",""))</f>
        <v/>
      </c>
      <c r="V433" s="84" t="str">
        <f>IF(ISERROR(FIND('112'!$M$9,G433,1)),"",IF((AND(RIGHT(G433,2)=RIGHT('112'!$M$9,2),B433&lt;'112'!$K$9,$O433='112'!$I$6)),"x",""))</f>
        <v/>
      </c>
      <c r="W433" s="84" t="str">
        <f>IF(AND('341-CT'!$H$9=H433,OR(LEFT(N433,3)=$W$7,LEFT(O433,3)=$W$7)),"x","")</f>
        <v/>
      </c>
      <c r="X433" s="84" t="str">
        <f>IF(OR(TH!N433=TH!$X$7,O433=TH!$X$7),"x","")</f>
        <v/>
      </c>
      <c r="Y433" s="84" t="str">
        <f>IF(AND(OR(N433="131",O433="131"),H433='131-CT'!$H$9),"x","")</f>
        <v/>
      </c>
      <c r="Z433" s="84"/>
      <c r="AA433" s="84" t="str">
        <f>IF(AND(MONTH(E433)='IN-NX'!$J$5,'IN-NX'!$D$7=D433),"x","")</f>
        <v/>
      </c>
      <c r="AB433" s="84" t="str">
        <f>IF(AND(OR(LEFT(TH!N433,2)="15",LEFT(TH!O433,2)="15"),LEFT(TH!O433,3)&lt;&gt;"111",'152-CT'!$J$8=TH!F433),"x","")</f>
        <v/>
      </c>
      <c r="AC433" s="84" t="str">
        <f>IF(AND(OR(LEFT(TH!N433,2)="15",LEFT(TH!O433,2)="15"),TK!$E$7=TH!F433),"x","")</f>
        <v/>
      </c>
      <c r="AD433" s="84" t="str">
        <f>IF(AND(N433="1521",MONTH(C433)='BK-NL'!$M$11),"x","")</f>
        <v/>
      </c>
    </row>
    <row r="434" spans="1:32" s="341" customFormat="1" ht="15.75" hidden="1" customHeight="1">
      <c r="A434" s="336" t="str">
        <f>IF(B434&lt;&gt;"",IF(AND(B434='IN-TC'!$S$4,OR(TH!N434="1111",TH!O434="1111")),TH!D434,""),"")</f>
        <v/>
      </c>
      <c r="B434" s="63">
        <f t="shared" si="84"/>
        <v>7</v>
      </c>
      <c r="C434" s="64">
        <v>42578</v>
      </c>
      <c r="D434" s="64" t="s">
        <v>689</v>
      </c>
      <c r="E434" s="64">
        <f t="shared" si="85"/>
        <v>42578</v>
      </c>
      <c r="F434" s="67" t="s">
        <v>394</v>
      </c>
      <c r="G434" s="67"/>
      <c r="H434" s="73" t="s">
        <v>449</v>
      </c>
      <c r="I434" s="441">
        <v>240</v>
      </c>
      <c r="J434" s="441">
        <v>18000</v>
      </c>
      <c r="K434" s="432"/>
      <c r="L434" s="441"/>
      <c r="M434" s="65">
        <f t="shared" si="86"/>
        <v>4320000</v>
      </c>
      <c r="N434" s="66" t="s">
        <v>282</v>
      </c>
      <c r="O434" s="66" t="s">
        <v>276</v>
      </c>
      <c r="P434" s="84" t="str">
        <f>IF(AND('331-CT'!$E$7=TH!H434,OR(N434="331",O434="331")),"x","")</f>
        <v/>
      </c>
      <c r="Q434" s="84" t="str">
        <f>IF(AND(B434='111'!$L$11,OR($N434=$Q$7,$O434=$Q$7)),"x","")</f>
        <v/>
      </c>
      <c r="R434" s="84" t="str">
        <f>IF(AND($N434=$Q$7,$B434&lt;'111'!$L$11),"x","")</f>
        <v/>
      </c>
      <c r="S434" s="84" t="str">
        <f>IF(AND($O434=$Q$7,$B434&lt;'111'!$L$11),"x","")</f>
        <v/>
      </c>
      <c r="T434" s="84" t="str">
        <f>IF(ISERROR(FIND('112'!$M$9,G434,1)),"",IF((AND(FIND('112'!$M$9,G434,1)&gt;=1,B434='112'!$K$9,OR($N434='112'!$I$6,$O434='112'!$I$6))),"x",""))</f>
        <v/>
      </c>
      <c r="U434" s="84" t="str">
        <f>IF(ISERROR(FIND('112'!$M$9,G434,1)),"",IF((AND(LEFT(G434,2)=LEFT('112'!$M$9,2),B434&lt;'112'!$K$9,$N434='112'!$I$6)),"x",""))</f>
        <v/>
      </c>
      <c r="V434" s="84" t="str">
        <f>IF(ISERROR(FIND('112'!$M$9,G434,1)),"",IF((AND(RIGHT(G434,2)=RIGHT('112'!$M$9,2),B434&lt;'112'!$K$9,$O434='112'!$I$6)),"x",""))</f>
        <v/>
      </c>
      <c r="W434" s="84" t="str">
        <f>IF(AND('341-CT'!$H$9=H434,OR(LEFT(N434,3)=$W$7,LEFT(O434,3)=$W$7)),"x","")</f>
        <v/>
      </c>
      <c r="X434" s="84" t="str">
        <f>IF(OR(TH!N434=TH!$X$7,O434=TH!$X$7),"x","")</f>
        <v/>
      </c>
      <c r="Y434" s="84" t="str">
        <f>IF(AND(OR(N434="131",O434="131"),H434='131-CT'!$H$9),"x","")</f>
        <v/>
      </c>
      <c r="Z434" s="84"/>
      <c r="AA434" s="84" t="str">
        <f>IF(AND(MONTH(E434)='IN-NX'!$J$5,'IN-NX'!$D$7=D434),"x","")</f>
        <v/>
      </c>
      <c r="AB434" s="84" t="str">
        <f>IF(AND(OR(LEFT(TH!N434,2)="15",LEFT(TH!O434,2)="15"),LEFT(TH!O434,3)&lt;&gt;"111",'152-CT'!$J$8=TH!F434),"x","")</f>
        <v/>
      </c>
      <c r="AC434" s="84" t="str">
        <f>IF(AND(OR(LEFT(TH!N434,2)="15",LEFT(TH!O434,2)="15"),TK!$E$7=TH!F434),"x","")</f>
        <v/>
      </c>
      <c r="AD434" s="84" t="str">
        <f>IF(AND(N434="1521",MONTH(C434)='BK-NL'!$M$11),"x","")</f>
        <v/>
      </c>
    </row>
    <row r="435" spans="1:32" s="341" customFormat="1" ht="15.75" hidden="1" customHeight="1">
      <c r="A435" s="336" t="str">
        <f>IF(B435&lt;&gt;"",IF(AND(B435='IN-TC'!$S$4,OR(TH!N435="1111",TH!O435="1111")),TH!D435,""),"")</f>
        <v/>
      </c>
      <c r="B435" s="63">
        <f t="shared" si="84"/>
        <v>7</v>
      </c>
      <c r="C435" s="64">
        <v>42578</v>
      </c>
      <c r="D435" s="64" t="s">
        <v>688</v>
      </c>
      <c r="E435" s="64">
        <f t="shared" si="85"/>
        <v>42578</v>
      </c>
      <c r="F435" s="67" t="s">
        <v>1513</v>
      </c>
      <c r="G435" s="67"/>
      <c r="H435" s="73" t="s">
        <v>449</v>
      </c>
      <c r="I435" s="441">
        <v>233</v>
      </c>
      <c r="J435" s="441">
        <v>13000</v>
      </c>
      <c r="K435" s="432"/>
      <c r="L435" s="441"/>
      <c r="M435" s="65">
        <f t="shared" si="86"/>
        <v>3029000</v>
      </c>
      <c r="N435" s="66" t="s">
        <v>282</v>
      </c>
      <c r="O435" s="66" t="s">
        <v>276</v>
      </c>
      <c r="P435" s="84" t="str">
        <f>IF(AND('331-CT'!$E$7=TH!H435,OR(N435="331",O435="331")),"x","")</f>
        <v/>
      </c>
      <c r="Q435" s="84" t="str">
        <f>IF(AND(B435='111'!$L$11,OR($N435=$Q$7,$O435=$Q$7)),"x","")</f>
        <v/>
      </c>
      <c r="R435" s="84" t="str">
        <f>IF(AND($N435=$Q$7,$B435&lt;'111'!$L$11),"x","")</f>
        <v/>
      </c>
      <c r="S435" s="84" t="str">
        <f>IF(AND($O435=$Q$7,$B435&lt;'111'!$L$11),"x","")</f>
        <v/>
      </c>
      <c r="T435" s="84" t="str">
        <f>IF(ISERROR(FIND('112'!$M$9,G435,1)),"",IF((AND(FIND('112'!$M$9,G435,1)&gt;=1,B435='112'!$K$9,OR($N435='112'!$I$6,$O435='112'!$I$6))),"x",""))</f>
        <v/>
      </c>
      <c r="U435" s="84" t="str">
        <f>IF(ISERROR(FIND('112'!$M$9,G435,1)),"",IF((AND(LEFT(G435,2)=LEFT('112'!$M$9,2),B435&lt;'112'!$K$9,$N435='112'!$I$6)),"x",""))</f>
        <v/>
      </c>
      <c r="V435" s="84" t="str">
        <f>IF(ISERROR(FIND('112'!$M$9,G435,1)),"",IF((AND(RIGHT(G435,2)=RIGHT('112'!$M$9,2),B435&lt;'112'!$K$9,$O435='112'!$I$6)),"x",""))</f>
        <v/>
      </c>
      <c r="W435" s="84" t="str">
        <f>IF(AND('341-CT'!$H$9=H435,OR(LEFT(N435,3)=$W$7,LEFT(O435,3)=$W$7)),"x","")</f>
        <v/>
      </c>
      <c r="X435" s="84" t="str">
        <f>IF(OR(TH!N435=TH!$X$7,O435=TH!$X$7),"x","")</f>
        <v/>
      </c>
      <c r="Y435" s="84" t="str">
        <f>IF(AND(OR(N435="131",O435="131"),H435='131-CT'!$H$9),"x","")</f>
        <v/>
      </c>
      <c r="Z435" s="84"/>
      <c r="AA435" s="84" t="str">
        <f>IF(AND(MONTH(E435)='IN-NX'!$J$5,'IN-NX'!$D$7=D435),"x","")</f>
        <v/>
      </c>
      <c r="AB435" s="84" t="str">
        <f>IF(AND(OR(LEFT(TH!N435,2)="15",LEFT(TH!O435,2)="15"),LEFT(TH!O435,3)&lt;&gt;"111",'152-CT'!$J$8=TH!F435),"x","")</f>
        <v/>
      </c>
      <c r="AC435" s="84" t="str">
        <f>IF(AND(OR(LEFT(TH!N435,2)="15",LEFT(TH!O435,2)="15"),TK!$E$7=TH!F435),"x","")</f>
        <v/>
      </c>
      <c r="AD435" s="84" t="str">
        <f>IF(AND(N435="1521",MONTH(C435)='BK-NL'!$M$11),"x","")</f>
        <v/>
      </c>
    </row>
    <row r="436" spans="1:32" s="341" customFormat="1" ht="15.75" hidden="1" customHeight="1">
      <c r="A436" s="336" t="str">
        <f>IF(B436&lt;&gt;"",IF(AND(B436='IN-TC'!$S$4,OR(TH!N436="1111",TH!O436="1111")),TH!D436,""),"")</f>
        <v/>
      </c>
      <c r="B436" s="63">
        <f t="shared" si="84"/>
        <v>7</v>
      </c>
      <c r="C436" s="64">
        <v>42578</v>
      </c>
      <c r="D436" s="64" t="s">
        <v>688</v>
      </c>
      <c r="E436" s="64">
        <f t="shared" si="85"/>
        <v>42578</v>
      </c>
      <c r="F436" s="67" t="s">
        <v>1513</v>
      </c>
      <c r="G436" s="67"/>
      <c r="H436" s="73" t="s">
        <v>449</v>
      </c>
      <c r="I436" s="441">
        <v>50</v>
      </c>
      <c r="J436" s="441">
        <v>13000</v>
      </c>
      <c r="K436" s="432"/>
      <c r="L436" s="441"/>
      <c r="M436" s="65">
        <f t="shared" si="86"/>
        <v>650000</v>
      </c>
      <c r="N436" s="66" t="s">
        <v>282</v>
      </c>
      <c r="O436" s="66" t="s">
        <v>276</v>
      </c>
      <c r="P436" s="84" t="str">
        <f>IF(AND('331-CT'!$E$7=TH!H436,OR(N436="331",O436="331")),"x","")</f>
        <v/>
      </c>
      <c r="Q436" s="84" t="str">
        <f>IF(AND(B436='111'!$L$11,OR($N436=$Q$7,$O436=$Q$7)),"x","")</f>
        <v/>
      </c>
      <c r="R436" s="84" t="str">
        <f>IF(AND($N436=$Q$7,$B436&lt;'111'!$L$11),"x","")</f>
        <v/>
      </c>
      <c r="S436" s="84" t="str">
        <f>IF(AND($O436=$Q$7,$B436&lt;'111'!$L$11),"x","")</f>
        <v/>
      </c>
      <c r="T436" s="84" t="str">
        <f>IF(ISERROR(FIND('112'!$M$9,G436,1)),"",IF((AND(FIND('112'!$M$9,G436,1)&gt;=1,B436='112'!$K$9,OR($N436='112'!$I$6,$O436='112'!$I$6))),"x",""))</f>
        <v/>
      </c>
      <c r="U436" s="84" t="str">
        <f>IF(ISERROR(FIND('112'!$M$9,G436,1)),"",IF((AND(LEFT(G436,2)=LEFT('112'!$M$9,2),B436&lt;'112'!$K$9,$N436='112'!$I$6)),"x",""))</f>
        <v/>
      </c>
      <c r="V436" s="84" t="str">
        <f>IF(ISERROR(FIND('112'!$M$9,G436,1)),"",IF((AND(RIGHT(G436,2)=RIGHT('112'!$M$9,2),B436&lt;'112'!$K$9,$O436='112'!$I$6)),"x",""))</f>
        <v/>
      </c>
      <c r="W436" s="84" t="str">
        <f>IF(AND('341-CT'!$H$9=H436,OR(LEFT(N436,3)=$W$7,LEFT(O436,3)=$W$7)),"x","")</f>
        <v/>
      </c>
      <c r="X436" s="84" t="str">
        <f>IF(OR(TH!N436=TH!$X$7,O436=TH!$X$7),"x","")</f>
        <v/>
      </c>
      <c r="Y436" s="84" t="str">
        <f>IF(AND(OR(N436="131",O436="131"),H436='131-CT'!$H$9),"x","")</f>
        <v/>
      </c>
      <c r="Z436" s="84"/>
      <c r="AA436" s="84" t="str">
        <f>IF(AND(MONTH(E436)='IN-NX'!$J$5,'IN-NX'!$D$7=D436),"x","")</f>
        <v/>
      </c>
      <c r="AB436" s="84" t="str">
        <f>IF(AND(OR(LEFT(TH!N436,2)="15",LEFT(TH!O436,2)="15"),LEFT(TH!O436,3)&lt;&gt;"111",'152-CT'!$J$8=TH!F436),"x","")</f>
        <v/>
      </c>
      <c r="AC436" s="84" t="str">
        <f>IF(AND(OR(LEFT(TH!N436,2)="15",LEFT(TH!O436,2)="15"),TK!$E$7=TH!F436),"x","")</f>
        <v/>
      </c>
      <c r="AD436" s="84" t="str">
        <f>IF(AND(N436="1521",MONTH(C436)='BK-NL'!$M$11),"x","")</f>
        <v/>
      </c>
    </row>
    <row r="437" spans="1:32" s="341" customFormat="1" ht="15.75" hidden="1" customHeight="1">
      <c r="A437" s="336" t="str">
        <f>IF(B437&lt;&gt;"",IF(AND(B437='IN-TC'!$S$4,OR(TH!N437="1111",TH!O437="1111")),TH!D437,""),"")</f>
        <v/>
      </c>
      <c r="B437" s="63">
        <f t="shared" si="84"/>
        <v>7</v>
      </c>
      <c r="C437" s="64">
        <v>42578</v>
      </c>
      <c r="D437" s="64" t="s">
        <v>689</v>
      </c>
      <c r="E437" s="64">
        <f t="shared" si="85"/>
        <v>42578</v>
      </c>
      <c r="F437" s="67" t="s">
        <v>390</v>
      </c>
      <c r="G437" s="67"/>
      <c r="H437" s="73" t="s">
        <v>449</v>
      </c>
      <c r="I437" s="441">
        <v>192</v>
      </c>
      <c r="J437" s="441">
        <v>13500</v>
      </c>
      <c r="K437" s="432"/>
      <c r="L437" s="441"/>
      <c r="M437" s="65">
        <f t="shared" ref="M437:M442" si="87">ROUND(I437*J437,0)</f>
        <v>2592000</v>
      </c>
      <c r="N437" s="66" t="s">
        <v>282</v>
      </c>
      <c r="O437" s="66" t="s">
        <v>276</v>
      </c>
      <c r="P437" s="84" t="str">
        <f>IF(AND('331-CT'!$E$7=TH!H437,OR(N437="331",O437="331")),"x","")</f>
        <v/>
      </c>
      <c r="Q437" s="84" t="str">
        <f>IF(AND(B437='111'!$L$11,OR($N437=$Q$7,$O437=$Q$7)),"x","")</f>
        <v/>
      </c>
      <c r="R437" s="84" t="str">
        <f>IF(AND($N437=$Q$7,$B437&lt;'111'!$L$11),"x","")</f>
        <v/>
      </c>
      <c r="S437" s="84" t="str">
        <f>IF(AND($O437=$Q$7,$B437&lt;'111'!$L$11),"x","")</f>
        <v/>
      </c>
      <c r="T437" s="84" t="str">
        <f>IF(ISERROR(FIND('112'!$M$9,G437,1)),"",IF((AND(FIND('112'!$M$9,G437,1)&gt;=1,B437='112'!$K$9,OR($N437='112'!$I$6,$O437='112'!$I$6))),"x",""))</f>
        <v/>
      </c>
      <c r="U437" s="84" t="str">
        <f>IF(ISERROR(FIND('112'!$M$9,G437,1)),"",IF((AND(LEFT(G437,2)=LEFT('112'!$M$9,2),B437&lt;'112'!$K$9,$N437='112'!$I$6)),"x",""))</f>
        <v/>
      </c>
      <c r="V437" s="84" t="str">
        <f>IF(ISERROR(FIND('112'!$M$9,G437,1)),"",IF((AND(RIGHT(G437,2)=RIGHT('112'!$M$9,2),B437&lt;'112'!$K$9,$O437='112'!$I$6)),"x",""))</f>
        <v/>
      </c>
      <c r="W437" s="84" t="str">
        <f>IF(AND('341-CT'!$H$9=H437,OR(LEFT(N437,3)=$W$7,LEFT(O437,3)=$W$7)),"x","")</f>
        <v/>
      </c>
      <c r="X437" s="84" t="str">
        <f>IF(OR(TH!N437=TH!$X$7,O437=TH!$X$7),"x","")</f>
        <v/>
      </c>
      <c r="Y437" s="84" t="str">
        <f>IF(AND(OR(N437="131",O437="131"),H437='131-CT'!$H$9),"x","")</f>
        <v/>
      </c>
      <c r="Z437" s="84"/>
      <c r="AA437" s="84" t="str">
        <f>IF(AND(MONTH(E437)='IN-NX'!$J$5,'IN-NX'!$D$7=D437),"x","")</f>
        <v/>
      </c>
      <c r="AB437" s="84" t="str">
        <f>IF(AND(OR(LEFT(TH!N437,2)="15",LEFT(TH!O437,2)="15"),LEFT(TH!O437,3)&lt;&gt;"111",'152-CT'!$J$8=TH!F437),"x","")</f>
        <v/>
      </c>
      <c r="AC437" s="84" t="str">
        <f>IF(AND(OR(LEFT(TH!N437,2)="15",LEFT(TH!O437,2)="15"),TK!$E$7=TH!F437),"x","")</f>
        <v/>
      </c>
      <c r="AD437" s="84" t="str">
        <f>IF(AND(N437="1521",MONTH(C437)='BK-NL'!$M$11),"x","")</f>
        <v/>
      </c>
    </row>
    <row r="438" spans="1:32" s="341" customFormat="1" ht="15.75" hidden="1" customHeight="1">
      <c r="A438" s="336" t="str">
        <f>IF(B438&lt;&gt;"",IF(AND(B438='IN-TC'!$S$4,OR(TH!N438="1111",TH!O438="1111")),TH!D438,""),"")</f>
        <v/>
      </c>
      <c r="B438" s="63">
        <f t="shared" si="84"/>
        <v>7</v>
      </c>
      <c r="C438" s="64">
        <v>42578</v>
      </c>
      <c r="D438" s="64" t="s">
        <v>689</v>
      </c>
      <c r="E438" s="64">
        <f t="shared" si="85"/>
        <v>42578</v>
      </c>
      <c r="F438" s="67" t="s">
        <v>384</v>
      </c>
      <c r="G438" s="67"/>
      <c r="H438" s="73" t="s">
        <v>449</v>
      </c>
      <c r="I438" s="441">
        <v>5619</v>
      </c>
      <c r="J438" s="441">
        <v>4466.322284402353</v>
      </c>
      <c r="K438" s="432"/>
      <c r="L438" s="441"/>
      <c r="M438" s="65">
        <f t="shared" si="87"/>
        <v>25096265</v>
      </c>
      <c r="N438" s="66" t="s">
        <v>282</v>
      </c>
      <c r="O438" s="66" t="s">
        <v>276</v>
      </c>
      <c r="P438" s="84" t="str">
        <f>IF(AND('331-CT'!$E$7=TH!H438,OR(N438="331",O438="331")),"x","")</f>
        <v/>
      </c>
      <c r="Q438" s="84" t="str">
        <f>IF(AND(B438='111'!$L$11,OR($N438=$Q$7,$O438=$Q$7)),"x","")</f>
        <v/>
      </c>
      <c r="R438" s="84" t="str">
        <f>IF(AND($N438=$Q$7,$B438&lt;'111'!$L$11),"x","")</f>
        <v/>
      </c>
      <c r="S438" s="84" t="str">
        <f>IF(AND($O438=$Q$7,$B438&lt;'111'!$L$11),"x","")</f>
        <v/>
      </c>
      <c r="T438" s="84" t="str">
        <f>IF(ISERROR(FIND('112'!$M$9,G438,1)),"",IF((AND(FIND('112'!$M$9,G438,1)&gt;=1,B438='112'!$K$9,OR($N438='112'!$I$6,$O438='112'!$I$6))),"x",""))</f>
        <v/>
      </c>
      <c r="U438" s="84" t="str">
        <f>IF(ISERROR(FIND('112'!$M$9,G438,1)),"",IF((AND(LEFT(G438,2)=LEFT('112'!$M$9,2),B438&lt;'112'!$K$9,$N438='112'!$I$6)),"x",""))</f>
        <v/>
      </c>
      <c r="V438" s="84" t="str">
        <f>IF(ISERROR(FIND('112'!$M$9,G438,1)),"",IF((AND(RIGHT(G438,2)=RIGHT('112'!$M$9,2),B438&lt;'112'!$K$9,$O438='112'!$I$6)),"x",""))</f>
        <v/>
      </c>
      <c r="W438" s="84" t="str">
        <f>IF(AND('341-CT'!$H$9=H438,OR(LEFT(N438,3)=$W$7,LEFT(O438,3)=$W$7)),"x","")</f>
        <v/>
      </c>
      <c r="X438" s="84" t="str">
        <f>IF(OR(TH!N438=TH!$X$7,O438=TH!$X$7),"x","")</f>
        <v/>
      </c>
      <c r="Y438" s="84" t="str">
        <f>IF(AND(OR(N438="131",O438="131"),H438='131-CT'!$H$9),"x","")</f>
        <v/>
      </c>
      <c r="Z438" s="84"/>
      <c r="AA438" s="84" t="str">
        <f>IF(AND(MONTH(E438)='IN-NX'!$J$5,'IN-NX'!$D$7=D438),"x","")</f>
        <v/>
      </c>
      <c r="AB438" s="84" t="str">
        <f>IF(AND(OR(LEFT(TH!N438,2)="15",LEFT(TH!O438,2)="15"),LEFT(TH!O438,3)&lt;&gt;"111",'152-CT'!$J$8=TH!F438),"x","")</f>
        <v/>
      </c>
      <c r="AC438" s="84" t="str">
        <f>IF(AND(OR(LEFT(TH!N438,2)="15",LEFT(TH!O438,2)="15"),TK!$E$7=TH!F438),"x","")</f>
        <v/>
      </c>
      <c r="AD438" s="84" t="str">
        <f>IF(AND(N438="1521",MONTH(C438)='BK-NL'!$M$11),"x","")</f>
        <v/>
      </c>
    </row>
    <row r="439" spans="1:32" ht="15.75" customHeight="1">
      <c r="A439" s="336" t="str">
        <f>IF(B439&lt;&gt;"",IF(AND(B439='IN-TC'!$S$4,OR(TH!N439="1111",TH!O439="1111")),TH!D439,""),"")</f>
        <v/>
      </c>
      <c r="B439" s="63">
        <f t="shared" si="84"/>
        <v>8</v>
      </c>
      <c r="C439" s="64">
        <v>42583</v>
      </c>
      <c r="D439" s="80" t="s">
        <v>677</v>
      </c>
      <c r="E439" s="80">
        <f t="shared" si="85"/>
        <v>42583</v>
      </c>
      <c r="F439" s="322" t="s">
        <v>1838</v>
      </c>
      <c r="G439" s="985" t="s">
        <v>1841</v>
      </c>
      <c r="H439" s="82" t="s">
        <v>623</v>
      </c>
      <c r="I439" s="437">
        <v>120</v>
      </c>
      <c r="J439" s="437">
        <v>11000</v>
      </c>
      <c r="K439" s="428"/>
      <c r="L439" s="437"/>
      <c r="M439" s="83">
        <f t="shared" si="87"/>
        <v>1320000</v>
      </c>
      <c r="N439" s="84" t="s">
        <v>276</v>
      </c>
      <c r="O439" s="84" t="s">
        <v>8</v>
      </c>
      <c r="P439" s="84" t="str">
        <f>IF(AND('331-CT'!$E$7=TH!H439,OR(N439="331",O439="331")),"x","")</f>
        <v/>
      </c>
      <c r="Q439" s="84" t="str">
        <f>IF(AND(B439='111'!$L$11,OR($N439=$Q$7,$O439=$Q$7)),"x","")</f>
        <v/>
      </c>
      <c r="R439" s="84" t="str">
        <f>IF(AND($N439=$Q$7,$B439&lt;'111'!$L$11),"x","")</f>
        <v/>
      </c>
      <c r="S439" s="84" t="str">
        <f>IF(AND($O439=$Q$7,$B439&lt;'111'!$L$11),"x","")</f>
        <v/>
      </c>
      <c r="T439" s="84" t="str">
        <f>IF(ISERROR(FIND('112'!$M$9,G439,1)),"",IF((AND(FIND('112'!$M$9,G439,1)&gt;=1,B439='112'!$K$9,OR($N439='112'!$I$6,$O439='112'!$I$6))),"x",""))</f>
        <v/>
      </c>
      <c r="U439" s="84" t="str">
        <f>IF(ISERROR(FIND('112'!$M$9,G439,1)),"",IF((AND(LEFT(G439,2)=LEFT('112'!$M$9,2),B439&lt;'112'!$K$9,$N439='112'!$I$6)),"x",""))</f>
        <v/>
      </c>
      <c r="V439" s="84" t="str">
        <f>IF(ISERROR(FIND('112'!$M$9,G439,1)),"",IF((AND(RIGHT(G439,2)=RIGHT('112'!$M$9,2),B439&lt;'112'!$K$9,$O439='112'!$I$6)),"x",""))</f>
        <v/>
      </c>
      <c r="W439" s="84" t="str">
        <f>IF(AND('341-CT'!$H$9=H439,OR(LEFT(N439,3)=$W$7,LEFT(O439,3)=$W$7)),"x","")</f>
        <v/>
      </c>
      <c r="X439" s="84" t="str">
        <f>IF(OR(TH!N439=TH!$X$7,O439=TH!$X$7),"x","")</f>
        <v/>
      </c>
      <c r="Y439" s="84" t="str">
        <f>IF(AND(OR(N439="131",O439="131"),H439='131-CT'!$H$9),"x","")</f>
        <v/>
      </c>
      <c r="Z439" s="84"/>
      <c r="AA439" s="84" t="str">
        <f>IF(AND(MONTH(E439)='IN-NX'!$J$5,'IN-NX'!$D$7=D439),"x","")</f>
        <v/>
      </c>
      <c r="AB439" s="84" t="str">
        <f>IF(AND(OR(LEFT(TH!N439,2)="15",LEFT(TH!O439,2)="15"),LEFT(TH!O439,3)&lt;&gt;"111",'152-CT'!$J$8=TH!F439),"x","")</f>
        <v/>
      </c>
      <c r="AC439" s="84" t="str">
        <f>IF(AND(OR(LEFT(TH!N439,2)="15",LEFT(TH!O439,2)="15"),TK!$E$7=TH!F439),"x","")</f>
        <v/>
      </c>
      <c r="AD439" s="84" t="str">
        <f>IF(AND(N439="1521",MONTH(C439)='BK-NL'!$M$11),"x","")</f>
        <v/>
      </c>
      <c r="AE439" s="1146" t="str">
        <f t="shared" ref="AE439:AE454" si="88">IF(H439&lt;&gt;VLOOKUP(H439,DSKH,1,0),"","x")</f>
        <v>x</v>
      </c>
      <c r="AF439" s="330">
        <v>8</v>
      </c>
    </row>
    <row r="440" spans="1:32" ht="15.75" customHeight="1">
      <c r="A440" s="336" t="str">
        <f>IF(B440&lt;&gt;"",IF(AND(B440='IN-TC'!$S$4,OR(TH!N440="1111",TH!O440="1111")),TH!D440,""),"")</f>
        <v/>
      </c>
      <c r="B440" s="63">
        <f t="shared" si="84"/>
        <v>8</v>
      </c>
      <c r="C440" s="64">
        <v>42583</v>
      </c>
      <c r="D440" s="80" t="s">
        <v>677</v>
      </c>
      <c r="E440" s="80">
        <f t="shared" si="85"/>
        <v>42583</v>
      </c>
      <c r="F440" s="322" t="s">
        <v>1513</v>
      </c>
      <c r="G440" s="985" t="s">
        <v>1841</v>
      </c>
      <c r="H440" s="82" t="s">
        <v>623</v>
      </c>
      <c r="I440" s="437">
        <v>260</v>
      </c>
      <c r="J440" s="437">
        <v>13000</v>
      </c>
      <c r="K440" s="428"/>
      <c r="L440" s="437"/>
      <c r="M440" s="83">
        <f t="shared" si="87"/>
        <v>3380000</v>
      </c>
      <c r="N440" s="84" t="s">
        <v>276</v>
      </c>
      <c r="O440" s="84" t="s">
        <v>8</v>
      </c>
      <c r="P440" s="84" t="str">
        <f>IF(AND('331-CT'!$E$7=TH!H440,OR(N440="331",O440="331")),"x","")</f>
        <v/>
      </c>
      <c r="Q440" s="84" t="str">
        <f>IF(AND(B440='111'!$L$11,OR($N440=$Q$7,$O440=$Q$7)),"x","")</f>
        <v/>
      </c>
      <c r="R440" s="84" t="str">
        <f>IF(AND($N440=$Q$7,$B440&lt;'111'!$L$11),"x","")</f>
        <v/>
      </c>
      <c r="S440" s="84" t="str">
        <f>IF(AND($O440=$Q$7,$B440&lt;'111'!$L$11),"x","")</f>
        <v/>
      </c>
      <c r="T440" s="84" t="str">
        <f>IF(ISERROR(FIND('112'!$M$9,G440,1)),"",IF((AND(FIND('112'!$M$9,G440,1)&gt;=1,B440='112'!$K$9,OR($N440='112'!$I$6,$O440='112'!$I$6))),"x",""))</f>
        <v/>
      </c>
      <c r="U440" s="84" t="str">
        <f>IF(ISERROR(FIND('112'!$M$9,G440,1)),"",IF((AND(LEFT(G440,2)=LEFT('112'!$M$9,2),B440&lt;'112'!$K$9,$N440='112'!$I$6)),"x",""))</f>
        <v/>
      </c>
      <c r="V440" s="84" t="str">
        <f>IF(ISERROR(FIND('112'!$M$9,G440,1)),"",IF((AND(RIGHT(G440,2)=RIGHT('112'!$M$9,2),B440&lt;'112'!$K$9,$O440='112'!$I$6)),"x",""))</f>
        <v/>
      </c>
      <c r="W440" s="84" t="str">
        <f>IF(AND('341-CT'!$H$9=H440,OR(LEFT(N440,3)=$W$7,LEFT(O440,3)=$W$7)),"x","")</f>
        <v/>
      </c>
      <c r="X440" s="84" t="str">
        <f>IF(OR(TH!N440=TH!$X$7,O440=TH!$X$7),"x","")</f>
        <v/>
      </c>
      <c r="Y440" s="84" t="str">
        <f>IF(AND(OR(N440="131",O440="131"),H440='131-CT'!$H$9),"x","")</f>
        <v/>
      </c>
      <c r="Z440" s="84"/>
      <c r="AA440" s="84" t="str">
        <f>IF(AND(MONTH(E440)='IN-NX'!$J$5,'IN-NX'!$D$7=D440),"x","")</f>
        <v/>
      </c>
      <c r="AB440" s="84" t="str">
        <f>IF(AND(OR(LEFT(TH!N440,2)="15",LEFT(TH!O440,2)="15"),LEFT(TH!O440,3)&lt;&gt;"111",'152-CT'!$J$8=TH!F440),"x","")</f>
        <v/>
      </c>
      <c r="AC440" s="84" t="str">
        <f>IF(AND(OR(LEFT(TH!N440,2)="15",LEFT(TH!O440,2)="15"),TK!$E$7=TH!F440),"x","")</f>
        <v/>
      </c>
      <c r="AD440" s="84" t="str">
        <f>IF(AND(N440="1521",MONTH(C440)='BK-NL'!$M$11),"x","")</f>
        <v/>
      </c>
      <c r="AE440" s="1146" t="str">
        <f t="shared" si="88"/>
        <v>x</v>
      </c>
      <c r="AF440" s="330">
        <v>8</v>
      </c>
    </row>
    <row r="441" spans="1:32" ht="15.75" customHeight="1">
      <c r="A441" s="336" t="str">
        <f>IF(B441&lt;&gt;"",IF(AND(B441='IN-TC'!$S$4,OR(TH!N441="1111",TH!O441="1111")),TH!D441,""),"")</f>
        <v/>
      </c>
      <c r="B441" s="63">
        <f t="shared" si="84"/>
        <v>8</v>
      </c>
      <c r="C441" s="64">
        <v>42583</v>
      </c>
      <c r="D441" s="80" t="s">
        <v>677</v>
      </c>
      <c r="E441" s="80">
        <f t="shared" si="85"/>
        <v>42583</v>
      </c>
      <c r="F441" s="322" t="s">
        <v>1839</v>
      </c>
      <c r="G441" s="985" t="s">
        <v>1841</v>
      </c>
      <c r="H441" s="82" t="s">
        <v>623</v>
      </c>
      <c r="I441" s="437">
        <v>2300</v>
      </c>
      <c r="J441" s="437">
        <v>10000</v>
      </c>
      <c r="K441" s="428"/>
      <c r="L441" s="437"/>
      <c r="M441" s="83">
        <f t="shared" si="87"/>
        <v>23000000</v>
      </c>
      <c r="N441" s="84" t="s">
        <v>276</v>
      </c>
      <c r="O441" s="84" t="s">
        <v>8</v>
      </c>
      <c r="P441" s="84" t="str">
        <f>IF(AND('331-CT'!$E$7=TH!H441,OR(N441="331",O441="331")),"x","")</f>
        <v/>
      </c>
      <c r="Q441" s="84" t="str">
        <f>IF(AND(B441='111'!$L$11,OR($N441=$Q$7,$O441=$Q$7)),"x","")</f>
        <v/>
      </c>
      <c r="R441" s="84" t="str">
        <f>IF(AND($N441=$Q$7,$B441&lt;'111'!$L$11),"x","")</f>
        <v/>
      </c>
      <c r="S441" s="84" t="str">
        <f>IF(AND($O441=$Q$7,$B441&lt;'111'!$L$11),"x","")</f>
        <v/>
      </c>
      <c r="T441" s="84" t="str">
        <f>IF(ISERROR(FIND('112'!$M$9,G441,1)),"",IF((AND(FIND('112'!$M$9,G441,1)&gt;=1,B441='112'!$K$9,OR($N441='112'!$I$6,$O441='112'!$I$6))),"x",""))</f>
        <v/>
      </c>
      <c r="U441" s="84" t="str">
        <f>IF(ISERROR(FIND('112'!$M$9,G441,1)),"",IF((AND(LEFT(G441,2)=LEFT('112'!$M$9,2),B441&lt;'112'!$K$9,$N441='112'!$I$6)),"x",""))</f>
        <v/>
      </c>
      <c r="V441" s="84" t="str">
        <f>IF(ISERROR(FIND('112'!$M$9,G441,1)),"",IF((AND(RIGHT(G441,2)=RIGHT('112'!$M$9,2),B441&lt;'112'!$K$9,$O441='112'!$I$6)),"x",""))</f>
        <v/>
      </c>
      <c r="W441" s="84" t="str">
        <f>IF(AND('341-CT'!$H$9=H441,OR(LEFT(N441,3)=$W$7,LEFT(O441,3)=$W$7)),"x","")</f>
        <v/>
      </c>
      <c r="X441" s="84" t="str">
        <f>IF(OR(TH!N441=TH!$X$7,O441=TH!$X$7),"x","")</f>
        <v/>
      </c>
      <c r="Y441" s="84" t="str">
        <f>IF(AND(OR(N441="131",O441="131"),H441='131-CT'!$H$9),"x","")</f>
        <v/>
      </c>
      <c r="Z441" s="84"/>
      <c r="AA441" s="84" t="str">
        <f>IF(AND(MONTH(E441)='IN-NX'!$J$5,'IN-NX'!$D$7=D441),"x","")</f>
        <v/>
      </c>
      <c r="AB441" s="84" t="str">
        <f>IF(AND(OR(LEFT(TH!N441,2)="15",LEFT(TH!O441,2)="15"),LEFT(TH!O441,3)&lt;&gt;"111",'152-CT'!$J$8=TH!F441),"x","")</f>
        <v/>
      </c>
      <c r="AC441" s="84" t="str">
        <f>IF(AND(OR(LEFT(TH!N441,2)="15",LEFT(TH!O441,2)="15"),TK!$E$7=TH!F441),"x","")</f>
        <v/>
      </c>
      <c r="AD441" s="84" t="str">
        <f>IF(AND(N441="1521",MONTH(C441)='BK-NL'!$M$11),"x","")</f>
        <v/>
      </c>
      <c r="AE441" s="1146" t="str">
        <f t="shared" si="88"/>
        <v>x</v>
      </c>
      <c r="AF441" s="330">
        <v>8</v>
      </c>
    </row>
    <row r="442" spans="1:32" ht="15.75" customHeight="1">
      <c r="A442" s="336" t="str">
        <f>IF(B442&lt;&gt;"",IF(AND(B442='IN-TC'!$S$4,OR(TH!N442="1111",TH!O442="1111")),TH!D442,""),"")</f>
        <v/>
      </c>
      <c r="B442" s="63">
        <f t="shared" si="84"/>
        <v>8</v>
      </c>
      <c r="C442" s="64">
        <v>42583</v>
      </c>
      <c r="D442" s="80" t="s">
        <v>677</v>
      </c>
      <c r="E442" s="80">
        <f t="shared" si="85"/>
        <v>42583</v>
      </c>
      <c r="F442" s="322" t="s">
        <v>1840</v>
      </c>
      <c r="G442" s="985" t="s">
        <v>1841</v>
      </c>
      <c r="H442" s="82" t="s">
        <v>623</v>
      </c>
      <c r="I442" s="437">
        <v>1009</v>
      </c>
      <c r="J442" s="437">
        <v>15000</v>
      </c>
      <c r="K442" s="428"/>
      <c r="L442" s="437"/>
      <c r="M442" s="83">
        <f t="shared" si="87"/>
        <v>15135000</v>
      </c>
      <c r="N442" s="84" t="s">
        <v>276</v>
      </c>
      <c r="O442" s="84" t="s">
        <v>8</v>
      </c>
      <c r="P442" s="84" t="str">
        <f>IF(AND('331-CT'!$E$7=TH!H442,OR(N442="331",O442="331")),"x","")</f>
        <v/>
      </c>
      <c r="Q442" s="84" t="str">
        <f>IF(AND(B442='111'!$L$11,OR($N442=$Q$7,$O442=$Q$7)),"x","")</f>
        <v/>
      </c>
      <c r="R442" s="84" t="str">
        <f>IF(AND($N442=$Q$7,$B442&lt;'111'!$L$11),"x","")</f>
        <v/>
      </c>
      <c r="S442" s="84" t="str">
        <f>IF(AND($O442=$Q$7,$B442&lt;'111'!$L$11),"x","")</f>
        <v/>
      </c>
      <c r="T442" s="84" t="str">
        <f>IF(ISERROR(FIND('112'!$M$9,G442,1)),"",IF((AND(FIND('112'!$M$9,G442,1)&gt;=1,B442='112'!$K$9,OR($N442='112'!$I$6,$O442='112'!$I$6))),"x",""))</f>
        <v/>
      </c>
      <c r="U442" s="84" t="str">
        <f>IF(ISERROR(FIND('112'!$M$9,G442,1)),"",IF((AND(LEFT(G442,2)=LEFT('112'!$M$9,2),B442&lt;'112'!$K$9,$N442='112'!$I$6)),"x",""))</f>
        <v/>
      </c>
      <c r="V442" s="84" t="str">
        <f>IF(ISERROR(FIND('112'!$M$9,G442,1)),"",IF((AND(RIGHT(G442,2)=RIGHT('112'!$M$9,2),B442&lt;'112'!$K$9,$O442='112'!$I$6)),"x",""))</f>
        <v/>
      </c>
      <c r="W442" s="84" t="str">
        <f>IF(AND('341-CT'!$H$9=H442,OR(LEFT(N442,3)=$W$7,LEFT(O442,3)=$W$7)),"x","")</f>
        <v/>
      </c>
      <c r="X442" s="84" t="str">
        <f>IF(OR(TH!N442=TH!$X$7,O442=TH!$X$7),"x","")</f>
        <v/>
      </c>
      <c r="Y442" s="84" t="str">
        <f>IF(AND(OR(N442="131",O442="131"),H442='131-CT'!$H$9),"x","")</f>
        <v/>
      </c>
      <c r="Z442" s="84"/>
      <c r="AA442" s="84" t="str">
        <f>IF(AND(MONTH(E442)='IN-NX'!$J$5,'IN-NX'!$D$7=D442),"x","")</f>
        <v/>
      </c>
      <c r="AB442" s="84" t="str">
        <f>IF(AND(OR(LEFT(TH!N442,2)="15",LEFT(TH!O442,2)="15"),LEFT(TH!O442,3)&lt;&gt;"111",'152-CT'!$J$8=TH!F442),"x","")</f>
        <v/>
      </c>
      <c r="AC442" s="84" t="str">
        <f>IF(AND(OR(LEFT(TH!N442,2)="15",LEFT(TH!O442,2)="15"),TK!$E$7=TH!F442),"x","")</f>
        <v/>
      </c>
      <c r="AD442" s="84" t="str">
        <f>IF(AND(N442="1521",MONTH(C442)='BK-NL'!$M$11),"x","")</f>
        <v/>
      </c>
      <c r="AE442" s="1146" t="str">
        <f t="shared" si="88"/>
        <v>x</v>
      </c>
      <c r="AF442" s="330">
        <v>8</v>
      </c>
    </row>
    <row r="443" spans="1:32" ht="15.75" hidden="1" customHeight="1">
      <c r="A443" s="336" t="str">
        <f>IF(B443&lt;&gt;"",IF(AND(B443='IN-TC'!$S$4,OR(TH!N443="1111",TH!O443="1111")),TH!D443,""),"")</f>
        <v/>
      </c>
      <c r="B443" s="63">
        <f t="shared" ref="B443:B449" si="89">IF(C443&lt;&gt;"",MONTH(C443),"")</f>
        <v>8</v>
      </c>
      <c r="C443" s="64">
        <v>42583</v>
      </c>
      <c r="D443" s="80" t="s">
        <v>677</v>
      </c>
      <c r="E443" s="80">
        <f t="shared" ref="E443:E449" si="90">C443</f>
        <v>42583</v>
      </c>
      <c r="F443" s="81" t="s">
        <v>652</v>
      </c>
      <c r="G443" s="985" t="s">
        <v>1841</v>
      </c>
      <c r="H443" s="82" t="s">
        <v>623</v>
      </c>
      <c r="I443" s="437"/>
      <c r="J443" s="437"/>
      <c r="K443" s="428"/>
      <c r="L443" s="437"/>
      <c r="M443" s="83">
        <v>4283500</v>
      </c>
      <c r="N443" s="84" t="s">
        <v>2001</v>
      </c>
      <c r="O443" s="84" t="s">
        <v>8</v>
      </c>
      <c r="P443" s="84" t="str">
        <f>IF(AND('331-CT'!$E$7=TH!H443,OR(N443="331",O443="331")),"x","")</f>
        <v/>
      </c>
      <c r="Q443" s="84" t="str">
        <f>IF(AND(B443='111'!$L$11,OR($N443=$Q$7,$O443=$Q$7)),"x","")</f>
        <v/>
      </c>
      <c r="R443" s="84" t="str">
        <f>IF(AND($N443=$Q$7,$B443&lt;'111'!$L$11),"x","")</f>
        <v/>
      </c>
      <c r="S443" s="84" t="str">
        <f>IF(AND($O443=$Q$7,$B443&lt;'111'!$L$11),"x","")</f>
        <v/>
      </c>
      <c r="T443" s="84" t="str">
        <f>IF(ISERROR(FIND('112'!$M$9,G443,1)),"",IF((AND(FIND('112'!$M$9,G443,1)&gt;=1,B443='112'!$K$9,OR($N443='112'!$I$6,$O443='112'!$I$6))),"x",""))</f>
        <v/>
      </c>
      <c r="U443" s="84" t="str">
        <f>IF(ISERROR(FIND('112'!$M$9,G443,1)),"",IF((AND(LEFT(G443,2)=LEFT('112'!$M$9,2),B443&lt;'112'!$K$9,$N443='112'!$I$6)),"x",""))</f>
        <v/>
      </c>
      <c r="V443" s="84" t="str">
        <f>IF(ISERROR(FIND('112'!$M$9,G443,1)),"",IF((AND(RIGHT(G443,2)=RIGHT('112'!$M$9,2),B443&lt;'112'!$K$9,$O443='112'!$I$6)),"x",""))</f>
        <v/>
      </c>
      <c r="W443" s="84" t="str">
        <f>IF(AND('341-CT'!$H$9=H443,OR(LEFT(N443,3)=$W$7,LEFT(O443,3)=$W$7)),"x","")</f>
        <v/>
      </c>
      <c r="X443" s="84" t="str">
        <f>IF(OR(TH!N443=TH!$X$7,O443=TH!$X$7),"x","")</f>
        <v/>
      </c>
      <c r="Y443" s="84" t="str">
        <f>IF(AND(OR(N443="131",O443="131"),H443='131-CT'!$H$9),"x","")</f>
        <v/>
      </c>
      <c r="Z443" s="84"/>
      <c r="AA443" s="84" t="str">
        <f>IF(AND(MONTH(E443)='IN-NX'!$J$5,'IN-NX'!$D$7=D443),"x","")</f>
        <v/>
      </c>
      <c r="AB443" s="84" t="str">
        <f>IF(AND(OR(LEFT(TH!N443,2)="15",LEFT(TH!O443,2)="15"),LEFT(TH!O443,3)&lt;&gt;"111",'152-CT'!$J$8=TH!F443),"x","")</f>
        <v/>
      </c>
      <c r="AC443" s="84" t="str">
        <f>IF(AND(OR(LEFT(TH!N443,2)="15",LEFT(TH!O443,2)="15"),TK!$E$7=TH!F443),"x","")</f>
        <v/>
      </c>
      <c r="AD443" s="84" t="str">
        <f>IF(AND(N443="1521",MONTH(C443)='BK-NL'!$M$11),"x","")</f>
        <v/>
      </c>
      <c r="AE443" s="1146" t="str">
        <f t="shared" si="88"/>
        <v>x</v>
      </c>
      <c r="AF443" s="330">
        <v>8</v>
      </c>
    </row>
    <row r="444" spans="1:32" s="351" customFormat="1" ht="15.75" hidden="1" customHeight="1">
      <c r="A444" s="336" t="str">
        <f>IF(B444&lt;&gt;"",IF(AND(B444='IN-TC'!$S$4,OR(TH!N444="1111",TH!O444="1111")),TH!D444,""),"")</f>
        <v/>
      </c>
      <c r="B444" s="63">
        <f t="shared" si="89"/>
        <v>8</v>
      </c>
      <c r="C444" s="64">
        <v>42594</v>
      </c>
      <c r="D444" s="80" t="s">
        <v>678</v>
      </c>
      <c r="E444" s="80">
        <f t="shared" si="90"/>
        <v>42594</v>
      </c>
      <c r="F444" s="81" t="s">
        <v>353</v>
      </c>
      <c r="G444" s="985" t="s">
        <v>1843</v>
      </c>
      <c r="H444" s="82" t="s">
        <v>622</v>
      </c>
      <c r="I444" s="437">
        <v>3000</v>
      </c>
      <c r="J444" s="437">
        <v>3200</v>
      </c>
      <c r="K444" s="428"/>
      <c r="L444" s="437"/>
      <c r="M444" s="83">
        <f>ROUND(I444*J444,0)</f>
        <v>9600000</v>
      </c>
      <c r="N444" s="84" t="s">
        <v>276</v>
      </c>
      <c r="O444" s="84" t="s">
        <v>8</v>
      </c>
      <c r="P444" s="84" t="str">
        <f>IF(AND('331-CT'!$E$7=TH!H444,OR(N444="331",O444="331")),"x","")</f>
        <v>x</v>
      </c>
      <c r="Q444" s="84" t="str">
        <f>IF(AND(B444='111'!$L$11,OR($N444=$Q$7,$O444=$Q$7)),"x","")</f>
        <v/>
      </c>
      <c r="R444" s="84" t="str">
        <f>IF(AND($N444=$Q$7,$B444&lt;'111'!$L$11),"x","")</f>
        <v/>
      </c>
      <c r="S444" s="84" t="str">
        <f>IF(AND($O444=$Q$7,$B444&lt;'111'!$L$11),"x","")</f>
        <v/>
      </c>
      <c r="T444" s="84" t="str">
        <f>IF(ISERROR(FIND('112'!$M$9,G444,1)),"",IF((AND(FIND('112'!$M$9,G444,1)&gt;=1,B444='112'!$K$9,OR($N444='112'!$I$6,$O444='112'!$I$6))),"x",""))</f>
        <v/>
      </c>
      <c r="U444" s="84" t="str">
        <f>IF(ISERROR(FIND('112'!$M$9,G444,1)),"",IF((AND(LEFT(G444,2)=LEFT('112'!$M$9,2),B444&lt;'112'!$K$9,$N444='112'!$I$6)),"x",""))</f>
        <v/>
      </c>
      <c r="V444" s="84" t="str">
        <f>IF(ISERROR(FIND('112'!$M$9,G444,1)),"",IF((AND(RIGHT(G444,2)=RIGHT('112'!$M$9,2),B444&lt;'112'!$K$9,$O444='112'!$I$6)),"x",""))</f>
        <v/>
      </c>
      <c r="W444" s="84" t="str">
        <f>IF(AND('341-CT'!$H$9=H444,OR(LEFT(N444,3)=$W$7,LEFT(O444,3)=$W$7)),"x","")</f>
        <v/>
      </c>
      <c r="X444" s="84" t="str">
        <f>IF(OR(TH!N444=TH!$X$7,O444=TH!$X$7),"x","")</f>
        <v/>
      </c>
      <c r="Y444" s="84" t="str">
        <f>IF(AND(OR(N444="131",O444="131"),H444='131-CT'!$H$9),"x","")</f>
        <v/>
      </c>
      <c r="Z444" s="84"/>
      <c r="AA444" s="84" t="str">
        <f>IF(AND(MONTH(E444)='IN-NX'!$J$5,'IN-NX'!$D$7=D444),"x","")</f>
        <v/>
      </c>
      <c r="AB444" s="84" t="str">
        <f>IF(AND(OR(LEFT(TH!N444,2)="15",LEFT(TH!O444,2)="15"),LEFT(TH!O444,3)&lt;&gt;"111",'152-CT'!$J$8=TH!F444),"x","")</f>
        <v/>
      </c>
      <c r="AC444" s="84" t="str">
        <f>IF(AND(OR(LEFT(TH!N444,2)="15",LEFT(TH!O444,2)="15"),TK!$E$7=TH!F444),"x","")</f>
        <v/>
      </c>
      <c r="AD444" s="84" t="str">
        <f>IF(AND(N444="1521",MONTH(C444)='BK-NL'!$M$11),"x","")</f>
        <v/>
      </c>
      <c r="AE444" s="1146" t="str">
        <f t="shared" si="88"/>
        <v>x</v>
      </c>
    </row>
    <row r="445" spans="1:32" s="351" customFormat="1" ht="15.75" customHeight="1">
      <c r="A445" s="336" t="str">
        <f>IF(B445&lt;&gt;"",IF(AND(B445='IN-TC'!$S$4,OR(TH!N445="1111",TH!O445="1111")),TH!D445,""),"")</f>
        <v/>
      </c>
      <c r="B445" s="63">
        <f t="shared" si="89"/>
        <v>8</v>
      </c>
      <c r="C445" s="64">
        <v>42606</v>
      </c>
      <c r="D445" s="80" t="s">
        <v>679</v>
      </c>
      <c r="E445" s="80">
        <f t="shared" si="90"/>
        <v>42606</v>
      </c>
      <c r="F445" s="81" t="s">
        <v>1844</v>
      </c>
      <c r="G445" s="985" t="s">
        <v>1845</v>
      </c>
      <c r="H445" s="82" t="s">
        <v>623</v>
      </c>
      <c r="I445" s="437">
        <v>2000</v>
      </c>
      <c r="J445" s="437">
        <v>11500</v>
      </c>
      <c r="K445" s="428"/>
      <c r="L445" s="437"/>
      <c r="M445" s="83">
        <f>ROUND(I445*J445,0)</f>
        <v>23000000</v>
      </c>
      <c r="N445" s="84" t="s">
        <v>276</v>
      </c>
      <c r="O445" s="84" t="s">
        <v>8</v>
      </c>
      <c r="P445" s="84" t="str">
        <f>IF(AND('331-CT'!$E$7=TH!H445,OR(N445="331",O445="331")),"x","")</f>
        <v/>
      </c>
      <c r="Q445" s="84" t="str">
        <f>IF(AND(B445='111'!$L$11,OR($N445=$Q$7,$O445=$Q$7)),"x","")</f>
        <v/>
      </c>
      <c r="R445" s="84" t="str">
        <f>IF(AND($N445=$Q$7,$B445&lt;'111'!$L$11),"x","")</f>
        <v/>
      </c>
      <c r="S445" s="84" t="str">
        <f>IF(AND($O445=$Q$7,$B445&lt;'111'!$L$11),"x","")</f>
        <v/>
      </c>
      <c r="T445" s="84" t="str">
        <f>IF(ISERROR(FIND('112'!$M$9,G445,1)),"",IF((AND(FIND('112'!$M$9,G445,1)&gt;=1,B445='112'!$K$9,OR($N445='112'!$I$6,$O445='112'!$I$6))),"x",""))</f>
        <v/>
      </c>
      <c r="U445" s="84" t="str">
        <f>IF(ISERROR(FIND('112'!$M$9,G445,1)),"",IF((AND(LEFT(G445,2)=LEFT('112'!$M$9,2),B445&lt;'112'!$K$9,$N445='112'!$I$6)),"x",""))</f>
        <v/>
      </c>
      <c r="V445" s="84" t="str">
        <f>IF(ISERROR(FIND('112'!$M$9,G445,1)),"",IF((AND(RIGHT(G445,2)=RIGHT('112'!$M$9,2),B445&lt;'112'!$K$9,$O445='112'!$I$6)),"x",""))</f>
        <v/>
      </c>
      <c r="W445" s="84" t="str">
        <f>IF(AND('341-CT'!$H$9=H445,OR(LEFT(N445,3)=$W$7,LEFT(O445,3)=$W$7)),"x","")</f>
        <v/>
      </c>
      <c r="X445" s="84" t="str">
        <f>IF(OR(TH!N445=TH!$X$7,O445=TH!$X$7),"x","")</f>
        <v/>
      </c>
      <c r="Y445" s="84" t="str">
        <f>IF(AND(OR(N445="131",O445="131"),H445='131-CT'!$H$9),"x","")</f>
        <v/>
      </c>
      <c r="Z445" s="84"/>
      <c r="AA445" s="84" t="str">
        <f>IF(AND(MONTH(E445)='IN-NX'!$J$5,'IN-NX'!$D$7=D445),"x","")</f>
        <v/>
      </c>
      <c r="AB445" s="84" t="str">
        <f>IF(AND(OR(LEFT(TH!N445,2)="15",LEFT(TH!O445,2)="15"),LEFT(TH!O445,3)&lt;&gt;"111",'152-CT'!$J$8=TH!F445),"x","")</f>
        <v/>
      </c>
      <c r="AC445" s="84" t="str">
        <f>IF(AND(OR(LEFT(TH!N445,2)="15",LEFT(TH!O445,2)="15"),TK!$E$7=TH!F445),"x","")</f>
        <v/>
      </c>
      <c r="AD445" s="84" t="str">
        <f>IF(AND(N445="1521",MONTH(C445)='BK-NL'!$M$11),"x","")</f>
        <v/>
      </c>
      <c r="AE445" s="1146" t="str">
        <f t="shared" si="88"/>
        <v>x</v>
      </c>
      <c r="AF445" s="351">
        <v>8</v>
      </c>
    </row>
    <row r="446" spans="1:32" s="351" customFormat="1" ht="15.75" customHeight="1">
      <c r="A446" s="336" t="str">
        <f>IF(B446&lt;&gt;"",IF(AND(B446='IN-TC'!$S$4,OR(TH!N446="1111",TH!O446="1111")),TH!D446,""),"")</f>
        <v/>
      </c>
      <c r="B446" s="63">
        <f t="shared" si="89"/>
        <v>8</v>
      </c>
      <c r="C446" s="64">
        <v>42606</v>
      </c>
      <c r="D446" s="80" t="s">
        <v>679</v>
      </c>
      <c r="E446" s="80">
        <f t="shared" si="90"/>
        <v>42606</v>
      </c>
      <c r="F446" s="81" t="s">
        <v>1839</v>
      </c>
      <c r="G446" s="985" t="s">
        <v>1845</v>
      </c>
      <c r="H446" s="82" t="s">
        <v>623</v>
      </c>
      <c r="I446" s="437">
        <v>100</v>
      </c>
      <c r="J446" s="437">
        <v>12000</v>
      </c>
      <c r="K446" s="428"/>
      <c r="L446" s="437"/>
      <c r="M446" s="83">
        <f>ROUND(I446*J446,0)</f>
        <v>1200000</v>
      </c>
      <c r="N446" s="84" t="s">
        <v>276</v>
      </c>
      <c r="O446" s="84" t="s">
        <v>8</v>
      </c>
      <c r="P446" s="84" t="str">
        <f>IF(AND('331-CT'!$E$7=TH!H446,OR(N446="331",O446="331")),"x","")</f>
        <v/>
      </c>
      <c r="Q446" s="84" t="str">
        <f>IF(AND(B446='111'!$L$11,OR($N446=$Q$7,$O446=$Q$7)),"x","")</f>
        <v/>
      </c>
      <c r="R446" s="84" t="str">
        <f>IF(AND($N446=$Q$7,$B446&lt;'111'!$L$11),"x","")</f>
        <v/>
      </c>
      <c r="S446" s="84" t="str">
        <f>IF(AND($O446=$Q$7,$B446&lt;'111'!$L$11),"x","")</f>
        <v/>
      </c>
      <c r="T446" s="84" t="str">
        <f>IF(ISERROR(FIND('112'!$M$9,G446,1)),"",IF((AND(FIND('112'!$M$9,G446,1)&gt;=1,B446='112'!$K$9,OR($N446='112'!$I$6,$O446='112'!$I$6))),"x",""))</f>
        <v/>
      </c>
      <c r="U446" s="84" t="str">
        <f>IF(ISERROR(FIND('112'!$M$9,G446,1)),"",IF((AND(LEFT(G446,2)=LEFT('112'!$M$9,2),B446&lt;'112'!$K$9,$N446='112'!$I$6)),"x",""))</f>
        <v/>
      </c>
      <c r="V446" s="84" t="str">
        <f>IF(ISERROR(FIND('112'!$M$9,G446,1)),"",IF((AND(RIGHT(G446,2)=RIGHT('112'!$M$9,2),B446&lt;'112'!$K$9,$O446='112'!$I$6)),"x",""))</f>
        <v/>
      </c>
      <c r="W446" s="84" t="str">
        <f>IF(AND('341-CT'!$H$9=H446,OR(LEFT(N446,3)=$W$7,LEFT(O446,3)=$W$7)),"x","")</f>
        <v/>
      </c>
      <c r="X446" s="84" t="str">
        <f>IF(OR(TH!N446=TH!$X$7,O446=TH!$X$7),"x","")</f>
        <v/>
      </c>
      <c r="Y446" s="84" t="str">
        <f>IF(AND(OR(N446="131",O446="131"),H446='131-CT'!$H$9),"x","")</f>
        <v/>
      </c>
      <c r="Z446" s="84"/>
      <c r="AA446" s="84" t="str">
        <f>IF(AND(MONTH(E446)='IN-NX'!$J$5,'IN-NX'!$D$7=D446),"x","")</f>
        <v/>
      </c>
      <c r="AB446" s="84" t="str">
        <f>IF(AND(OR(LEFT(TH!N446,2)="15",LEFT(TH!O446,2)="15"),LEFT(TH!O446,3)&lt;&gt;"111",'152-CT'!$J$8=TH!F446),"x","")</f>
        <v/>
      </c>
      <c r="AC446" s="84" t="str">
        <f>IF(AND(OR(LEFT(TH!N446,2)="15",LEFT(TH!O446,2)="15"),TK!$E$7=TH!F446),"x","")</f>
        <v/>
      </c>
      <c r="AD446" s="84" t="str">
        <f>IF(AND(N446="1521",MONTH(C446)='BK-NL'!$M$11),"x","")</f>
        <v/>
      </c>
      <c r="AE446" s="1146" t="str">
        <f t="shared" si="88"/>
        <v>x</v>
      </c>
      <c r="AF446" s="351">
        <v>8</v>
      </c>
    </row>
    <row r="447" spans="1:32" s="351" customFormat="1" ht="15.75" hidden="1" customHeight="1">
      <c r="A447" s="336" t="str">
        <f>IF(B447&lt;&gt;"",IF(AND(B447='IN-TC'!$S$4,OR(TH!N447="1111",TH!O447="1111")),TH!D447,""),"")</f>
        <v/>
      </c>
      <c r="B447" s="63">
        <f t="shared" si="89"/>
        <v>8</v>
      </c>
      <c r="C447" s="64">
        <v>42606</v>
      </c>
      <c r="D447" s="80" t="s">
        <v>679</v>
      </c>
      <c r="E447" s="80">
        <f t="shared" si="90"/>
        <v>42606</v>
      </c>
      <c r="F447" s="81" t="s">
        <v>652</v>
      </c>
      <c r="G447" s="985" t="s">
        <v>1845</v>
      </c>
      <c r="H447" s="82" t="s">
        <v>623</v>
      </c>
      <c r="I447" s="437"/>
      <c r="J447" s="437"/>
      <c r="K447" s="428"/>
      <c r="L447" s="437"/>
      <c r="M447" s="83">
        <v>2420000</v>
      </c>
      <c r="N447" s="84" t="s">
        <v>2001</v>
      </c>
      <c r="O447" s="84" t="s">
        <v>8</v>
      </c>
      <c r="P447" s="84" t="str">
        <f>IF(AND('331-CT'!$E$7=TH!H447,OR(N447="331",O447="331")),"x","")</f>
        <v/>
      </c>
      <c r="Q447" s="84" t="str">
        <f>IF(AND(B447='111'!$L$11,OR($N447=$Q$7,$O447=$Q$7)),"x","")</f>
        <v/>
      </c>
      <c r="R447" s="84" t="str">
        <f>IF(AND($N447=$Q$7,$B447&lt;'111'!$L$11),"x","")</f>
        <v/>
      </c>
      <c r="S447" s="84" t="str">
        <f>IF(AND($O447=$Q$7,$B447&lt;'111'!$L$11),"x","")</f>
        <v/>
      </c>
      <c r="T447" s="84" t="str">
        <f>IF(ISERROR(FIND('112'!$M$9,G447,1)),"",IF((AND(FIND('112'!$M$9,G447,1)&gt;=1,B447='112'!$K$9,OR($N447='112'!$I$6,$O447='112'!$I$6))),"x",""))</f>
        <v/>
      </c>
      <c r="U447" s="84" t="str">
        <f>IF(ISERROR(FIND('112'!$M$9,G447,1)),"",IF((AND(LEFT(G447,2)=LEFT('112'!$M$9,2),B447&lt;'112'!$K$9,$N447='112'!$I$6)),"x",""))</f>
        <v/>
      </c>
      <c r="V447" s="84" t="str">
        <f>IF(ISERROR(FIND('112'!$M$9,G447,1)),"",IF((AND(RIGHT(G447,2)=RIGHT('112'!$M$9,2),B447&lt;'112'!$K$9,$O447='112'!$I$6)),"x",""))</f>
        <v/>
      </c>
      <c r="W447" s="84" t="str">
        <f>IF(AND('341-CT'!$H$9=H447,OR(LEFT(N447,3)=$W$7,LEFT(O447,3)=$W$7)),"x","")</f>
        <v/>
      </c>
      <c r="X447" s="84" t="str">
        <f>IF(OR(TH!N447=TH!$X$7,O447=TH!$X$7),"x","")</f>
        <v/>
      </c>
      <c r="Y447" s="84" t="str">
        <f>IF(AND(OR(N447="131",O447="131"),H447='131-CT'!$H$9),"x","")</f>
        <v/>
      </c>
      <c r="Z447" s="84"/>
      <c r="AA447" s="84" t="str">
        <f>IF(AND(MONTH(E447)='IN-NX'!$J$5,'IN-NX'!$D$7=D447),"x","")</f>
        <v/>
      </c>
      <c r="AB447" s="84" t="str">
        <f>IF(AND(OR(LEFT(TH!N447,2)="15",LEFT(TH!O447,2)="15"),LEFT(TH!O447,3)&lt;&gt;"111",'152-CT'!$J$8=TH!F447),"x","")</f>
        <v/>
      </c>
      <c r="AC447" s="84" t="str">
        <f>IF(AND(OR(LEFT(TH!N447,2)="15",LEFT(TH!O447,2)="15"),TK!$E$7=TH!F447),"x","")</f>
        <v/>
      </c>
      <c r="AD447" s="84" t="str">
        <f>IF(AND(N447="1521",MONTH(C447)='BK-NL'!$M$11),"x","")</f>
        <v/>
      </c>
      <c r="AE447" s="1146" t="str">
        <f t="shared" si="88"/>
        <v>x</v>
      </c>
      <c r="AF447" s="351">
        <v>8</v>
      </c>
    </row>
    <row r="448" spans="1:32" s="351" customFormat="1" ht="15.75" customHeight="1">
      <c r="A448" s="336" t="str">
        <f>IF(B448&lt;&gt;"",IF(AND(B448='IN-TC'!$S$4,OR(TH!N448="1111",TH!O448="1111")),TH!D448,""),"")</f>
        <v/>
      </c>
      <c r="B448" s="63">
        <f t="shared" si="89"/>
        <v>8</v>
      </c>
      <c r="C448" s="64">
        <v>42608</v>
      </c>
      <c r="D448" s="80" t="s">
        <v>680</v>
      </c>
      <c r="E448" s="80">
        <f t="shared" si="90"/>
        <v>42608</v>
      </c>
      <c r="F448" s="81" t="s">
        <v>359</v>
      </c>
      <c r="G448" s="985" t="s">
        <v>1832</v>
      </c>
      <c r="H448" s="82" t="s">
        <v>619</v>
      </c>
      <c r="I448" s="437">
        <v>600</v>
      </c>
      <c r="J448" s="437">
        <v>8000</v>
      </c>
      <c r="K448" s="428"/>
      <c r="L448" s="437"/>
      <c r="M448" s="83">
        <f>ROUND(I448*J448,0)</f>
        <v>4800000</v>
      </c>
      <c r="N448" s="84" t="s">
        <v>276</v>
      </c>
      <c r="O448" s="84" t="s">
        <v>8</v>
      </c>
      <c r="P448" s="84" t="str">
        <f>IF(AND('331-CT'!$E$7=TH!H448,OR(N448="331",O448="331")),"x","")</f>
        <v/>
      </c>
      <c r="Q448" s="84" t="str">
        <f>IF(AND(B448='111'!$L$11,OR($N448=$Q$7,$O448=$Q$7)),"x","")</f>
        <v/>
      </c>
      <c r="R448" s="84" t="str">
        <f>IF(AND($N448=$Q$7,$B448&lt;'111'!$L$11),"x","")</f>
        <v/>
      </c>
      <c r="S448" s="84" t="str">
        <f>IF(AND($O448=$Q$7,$B448&lt;'111'!$L$11),"x","")</f>
        <v/>
      </c>
      <c r="T448" s="84" t="str">
        <f>IF(ISERROR(FIND('112'!$M$9,G448,1)),"",IF((AND(FIND('112'!$M$9,G448,1)&gt;=1,B448='112'!$K$9,OR($N448='112'!$I$6,$O448='112'!$I$6))),"x",""))</f>
        <v/>
      </c>
      <c r="U448" s="84" t="str">
        <f>IF(ISERROR(FIND('112'!$M$9,G448,1)),"",IF((AND(LEFT(G448,2)=LEFT('112'!$M$9,2),B448&lt;'112'!$K$9,$N448='112'!$I$6)),"x",""))</f>
        <v/>
      </c>
      <c r="V448" s="84" t="str">
        <f>IF(ISERROR(FIND('112'!$M$9,G448,1)),"",IF((AND(RIGHT(G448,2)=RIGHT('112'!$M$9,2),B448&lt;'112'!$K$9,$O448='112'!$I$6)),"x",""))</f>
        <v/>
      </c>
      <c r="W448" s="84" t="str">
        <f>IF(AND('341-CT'!$H$9=H448,OR(LEFT(N448,3)=$W$7,LEFT(O448,3)=$W$7)),"x","")</f>
        <v/>
      </c>
      <c r="X448" s="84" t="str">
        <f>IF(OR(TH!N448=TH!$X$7,O448=TH!$X$7),"x","")</f>
        <v/>
      </c>
      <c r="Y448" s="84" t="str">
        <f>IF(AND(OR(N448="131",O448="131"),H448='131-CT'!$H$9),"x","")</f>
        <v/>
      </c>
      <c r="Z448" s="84"/>
      <c r="AA448" s="84" t="str">
        <f>IF(AND(MONTH(E448)='IN-NX'!$J$5,'IN-NX'!$D$7=D448),"x","")</f>
        <v/>
      </c>
      <c r="AB448" s="84" t="str">
        <f>IF(AND(OR(LEFT(TH!N448,2)="15",LEFT(TH!O448,2)="15"),LEFT(TH!O448,3)&lt;&gt;"111",'152-CT'!$J$8=TH!F448),"x","")</f>
        <v/>
      </c>
      <c r="AC448" s="84" t="str">
        <f>IF(AND(OR(LEFT(TH!N448,2)="15",LEFT(TH!O448,2)="15"),TK!$E$7=TH!F448),"x","")</f>
        <v/>
      </c>
      <c r="AD448" s="84" t="str">
        <f>IF(AND(N448="1521",MONTH(C448)='BK-NL'!$M$11),"x","")</f>
        <v/>
      </c>
      <c r="AE448" s="1146" t="str">
        <f t="shared" si="88"/>
        <v>x</v>
      </c>
      <c r="AF448" s="351">
        <v>8</v>
      </c>
    </row>
    <row r="449" spans="1:32" s="351" customFormat="1" ht="15.75" hidden="1" customHeight="1">
      <c r="A449" s="336" t="str">
        <f>IF(B449&lt;&gt;"",IF(AND(B449='IN-TC'!$S$4,OR(TH!N449="1111",TH!O449="1111")),TH!D449,""),"")</f>
        <v/>
      </c>
      <c r="B449" s="63">
        <f t="shared" si="89"/>
        <v>8</v>
      </c>
      <c r="C449" s="64">
        <v>42608</v>
      </c>
      <c r="D449" s="80" t="s">
        <v>680</v>
      </c>
      <c r="E449" s="80">
        <f t="shared" si="90"/>
        <v>42608</v>
      </c>
      <c r="F449" s="81" t="s">
        <v>1181</v>
      </c>
      <c r="G449" s="985" t="s">
        <v>1832</v>
      </c>
      <c r="H449" s="82" t="s">
        <v>619</v>
      </c>
      <c r="I449" s="437"/>
      <c r="J449" s="437"/>
      <c r="K449" s="428"/>
      <c r="L449" s="437"/>
      <c r="M449" s="83">
        <v>480000</v>
      </c>
      <c r="N449" s="84" t="s">
        <v>2001</v>
      </c>
      <c r="O449" s="84" t="s">
        <v>8</v>
      </c>
      <c r="P449" s="84" t="str">
        <f>IF(AND('331-CT'!$E$7=TH!H449,OR(N449="331",O449="331")),"x","")</f>
        <v/>
      </c>
      <c r="Q449" s="84" t="str">
        <f>IF(AND(B449='111'!$L$11,OR($N449=$Q$7,$O449=$Q$7)),"x","")</f>
        <v/>
      </c>
      <c r="R449" s="84" t="str">
        <f>IF(AND($N449=$Q$7,$B449&lt;'111'!$L$11),"x","")</f>
        <v/>
      </c>
      <c r="S449" s="84" t="str">
        <f>IF(AND($O449=$Q$7,$B449&lt;'111'!$L$11),"x","")</f>
        <v/>
      </c>
      <c r="T449" s="84" t="str">
        <f>IF(ISERROR(FIND('112'!$M$9,G449,1)),"",IF((AND(FIND('112'!$M$9,G449,1)&gt;=1,B449='112'!$K$9,OR($N449='112'!$I$6,$O449='112'!$I$6))),"x",""))</f>
        <v/>
      </c>
      <c r="U449" s="84" t="str">
        <f>IF(ISERROR(FIND('112'!$M$9,G449,1)),"",IF((AND(LEFT(G449,2)=LEFT('112'!$M$9,2),B449&lt;'112'!$K$9,$N449='112'!$I$6)),"x",""))</f>
        <v/>
      </c>
      <c r="V449" s="84" t="str">
        <f>IF(ISERROR(FIND('112'!$M$9,G449,1)),"",IF((AND(RIGHT(G449,2)=RIGHT('112'!$M$9,2),B449&lt;'112'!$K$9,$O449='112'!$I$6)),"x",""))</f>
        <v/>
      </c>
      <c r="W449" s="84" t="str">
        <f>IF(AND('341-CT'!$H$9=H449,OR(LEFT(N449,3)=$W$7,LEFT(O449,3)=$W$7)),"x","")</f>
        <v/>
      </c>
      <c r="X449" s="84" t="str">
        <f>IF(OR(TH!N449=TH!$X$7,O449=TH!$X$7),"x","")</f>
        <v/>
      </c>
      <c r="Y449" s="84" t="str">
        <f>IF(AND(OR(N449="131",O449="131"),H449='131-CT'!$H$9),"x","")</f>
        <v/>
      </c>
      <c r="Z449" s="84"/>
      <c r="AA449" s="84" t="str">
        <f>IF(AND(MONTH(E449)='IN-NX'!$J$5,'IN-NX'!$D$7=D449),"x","")</f>
        <v/>
      </c>
      <c r="AB449" s="84" t="str">
        <f>IF(AND(OR(LEFT(TH!N449,2)="15",LEFT(TH!O449,2)="15"),LEFT(TH!O449,3)&lt;&gt;"111",'152-CT'!$J$8=TH!F449),"x","")</f>
        <v/>
      </c>
      <c r="AC449" s="84" t="str">
        <f>IF(AND(OR(LEFT(TH!N449,2)="15",LEFT(TH!O449,2)="15"),TK!$E$7=TH!F449),"x","")</f>
        <v/>
      </c>
      <c r="AD449" s="84" t="str">
        <f>IF(AND(N449="1521",MONTH(C449)='BK-NL'!$M$11),"x","")</f>
        <v/>
      </c>
      <c r="AE449" s="1146" t="str">
        <f t="shared" si="88"/>
        <v>x</v>
      </c>
      <c r="AF449" s="351">
        <v>8</v>
      </c>
    </row>
    <row r="450" spans="1:32" s="351" customFormat="1" ht="15.75" customHeight="1">
      <c r="A450" s="336" t="str">
        <f>IF(B450&lt;&gt;"",IF(AND(B450='IN-TC'!$S$4,OR(TH!N450="1111",TH!O450="1111")),TH!D450,""),"")</f>
        <v/>
      </c>
      <c r="B450" s="63">
        <f>IF(C450&lt;&gt;"",MONTH(C450),"")</f>
        <v>8</v>
      </c>
      <c r="C450" s="64">
        <v>42613</v>
      </c>
      <c r="D450" s="80" t="s">
        <v>681</v>
      </c>
      <c r="E450" s="80">
        <f t="shared" ref="E450:E455" si="91">C450</f>
        <v>42613</v>
      </c>
      <c r="F450" s="81" t="s">
        <v>1846</v>
      </c>
      <c r="G450" s="985" t="s">
        <v>1850</v>
      </c>
      <c r="H450" s="82" t="s">
        <v>1851</v>
      </c>
      <c r="I450" s="437">
        <v>47000</v>
      </c>
      <c r="J450" s="437">
        <v>1150</v>
      </c>
      <c r="K450" s="428"/>
      <c r="L450" s="437"/>
      <c r="M450" s="83">
        <f>ROUND(I450*J450,0)</f>
        <v>54050000</v>
      </c>
      <c r="N450" s="84" t="s">
        <v>276</v>
      </c>
      <c r="O450" s="84" t="s">
        <v>8</v>
      </c>
      <c r="P450" s="84" t="str">
        <f>IF(AND('331-CT'!$E$7=TH!H450,OR(N450="331",O450="331")),"x","")</f>
        <v/>
      </c>
      <c r="Q450" s="84" t="str">
        <f>IF(AND(B450='111'!$L$11,OR($N450=$Q$7,$O450=$Q$7)),"x","")</f>
        <v/>
      </c>
      <c r="R450" s="84" t="str">
        <f>IF(AND($N450=$Q$7,$B450&lt;'111'!$L$11),"x","")</f>
        <v/>
      </c>
      <c r="S450" s="84" t="str">
        <f>IF(AND($O450=$Q$7,$B450&lt;'111'!$L$11),"x","")</f>
        <v/>
      </c>
      <c r="T450" s="84" t="str">
        <f>IF(ISERROR(FIND('112'!$M$9,G450,1)),"",IF((AND(FIND('112'!$M$9,G450,1)&gt;=1,B450='112'!$K$9,OR($N450='112'!$I$6,$O450='112'!$I$6))),"x",""))</f>
        <v/>
      </c>
      <c r="U450" s="84" t="str">
        <f>IF(ISERROR(FIND('112'!$M$9,G450,1)),"",IF((AND(LEFT(G450,2)=LEFT('112'!$M$9,2),B450&lt;'112'!$K$9,$N450='112'!$I$6)),"x",""))</f>
        <v/>
      </c>
      <c r="V450" s="84" t="str">
        <f>IF(ISERROR(FIND('112'!$M$9,G450,1)),"",IF((AND(RIGHT(G450,2)=RIGHT('112'!$M$9,2),B450&lt;'112'!$K$9,$O450='112'!$I$6)),"x",""))</f>
        <v/>
      </c>
      <c r="W450" s="84" t="str">
        <f>IF(AND('341-CT'!$H$9=H450,OR(LEFT(N450,3)=$W$7,LEFT(O450,3)=$W$7)),"x","")</f>
        <v/>
      </c>
      <c r="X450" s="84" t="str">
        <f>IF(OR(TH!N450=TH!$X$7,O450=TH!$X$7),"x","")</f>
        <v/>
      </c>
      <c r="Y450" s="84" t="str">
        <f>IF(AND(OR(N450="131",O450="131"),H450='131-CT'!$H$9),"x","")</f>
        <v/>
      </c>
      <c r="Z450" s="84"/>
      <c r="AA450" s="84" t="str">
        <f>IF(AND(MONTH(E450)='IN-NX'!$J$5,'IN-NX'!$D$7=D450),"x","")</f>
        <v/>
      </c>
      <c r="AB450" s="84" t="str">
        <f>IF(AND(OR(LEFT(TH!N450,2)="15",LEFT(TH!O450,2)="15"),LEFT(TH!O450,3)&lt;&gt;"111",'152-CT'!$J$8=TH!F450),"x","")</f>
        <v/>
      </c>
      <c r="AC450" s="84" t="str">
        <f>IF(AND(OR(LEFT(TH!N450,2)="15",LEFT(TH!O450,2)="15"),TK!$E$7=TH!F450),"x","")</f>
        <v/>
      </c>
      <c r="AD450" s="84" t="str">
        <f>IF(AND(N450="1521",MONTH(C450)='BK-NL'!$M$11),"x","")</f>
        <v/>
      </c>
      <c r="AE450" s="1146" t="str">
        <f t="shared" si="88"/>
        <v>x</v>
      </c>
      <c r="AF450" s="351">
        <v>8</v>
      </c>
    </row>
    <row r="451" spans="1:32" s="351" customFormat="1" ht="15.75" customHeight="1">
      <c r="A451" s="336" t="str">
        <f>IF(B451&lt;&gt;"",IF(AND(B451='IN-TC'!$S$4,OR(TH!N451="1111",TH!O451="1111")),TH!D451,""),"")</f>
        <v/>
      </c>
      <c r="B451" s="63">
        <f>IF(C451&lt;&gt;"",MONTH(C451),"")</f>
        <v>8</v>
      </c>
      <c r="C451" s="64">
        <v>42613</v>
      </c>
      <c r="D451" s="80" t="s">
        <v>681</v>
      </c>
      <c r="E451" s="80">
        <f t="shared" si="91"/>
        <v>42613</v>
      </c>
      <c r="F451" s="81" t="s">
        <v>1847</v>
      </c>
      <c r="G451" s="985" t="s">
        <v>1850</v>
      </c>
      <c r="H451" s="82" t="s">
        <v>1851</v>
      </c>
      <c r="I451" s="437">
        <v>200</v>
      </c>
      <c r="J451" s="437">
        <v>37000</v>
      </c>
      <c r="K451" s="428"/>
      <c r="L451" s="437"/>
      <c r="M451" s="83">
        <f>ROUND(I451*J451,0)</f>
        <v>7400000</v>
      </c>
      <c r="N451" s="84" t="s">
        <v>276</v>
      </c>
      <c r="O451" s="84" t="s">
        <v>8</v>
      </c>
      <c r="P451" s="84" t="str">
        <f>IF(AND('331-CT'!$E$7=TH!H451,OR(N451="331",O451="331")),"x","")</f>
        <v/>
      </c>
      <c r="Q451" s="84" t="str">
        <f>IF(AND(B451='111'!$L$11,OR($N451=$Q$7,$O451=$Q$7)),"x","")</f>
        <v/>
      </c>
      <c r="R451" s="84" t="str">
        <f>IF(AND($N451=$Q$7,$B451&lt;'111'!$L$11),"x","")</f>
        <v/>
      </c>
      <c r="S451" s="84" t="str">
        <f>IF(AND($O451=$Q$7,$B451&lt;'111'!$L$11),"x","")</f>
        <v/>
      </c>
      <c r="T451" s="84" t="str">
        <f>IF(ISERROR(FIND('112'!$M$9,G451,1)),"",IF((AND(FIND('112'!$M$9,G451,1)&gt;=1,B451='112'!$K$9,OR($N451='112'!$I$6,$O451='112'!$I$6))),"x",""))</f>
        <v/>
      </c>
      <c r="U451" s="84" t="str">
        <f>IF(ISERROR(FIND('112'!$M$9,G451,1)),"",IF((AND(LEFT(G451,2)=LEFT('112'!$M$9,2),B451&lt;'112'!$K$9,$N451='112'!$I$6)),"x",""))</f>
        <v/>
      </c>
      <c r="V451" s="84" t="str">
        <f>IF(ISERROR(FIND('112'!$M$9,G451,1)),"",IF((AND(RIGHT(G451,2)=RIGHT('112'!$M$9,2),B451&lt;'112'!$K$9,$O451='112'!$I$6)),"x",""))</f>
        <v/>
      </c>
      <c r="W451" s="84" t="str">
        <f>IF(AND('341-CT'!$H$9=H451,OR(LEFT(N451,3)=$W$7,LEFT(O451,3)=$W$7)),"x","")</f>
        <v/>
      </c>
      <c r="X451" s="84" t="str">
        <f>IF(OR(TH!N451=TH!$X$7,O451=TH!$X$7),"x","")</f>
        <v/>
      </c>
      <c r="Y451" s="84" t="str">
        <f>IF(AND(OR(N451="131",O451="131"),H451='131-CT'!$H$9),"x","")</f>
        <v/>
      </c>
      <c r="Z451" s="84"/>
      <c r="AA451" s="84" t="str">
        <f>IF(AND(MONTH(E451)='IN-NX'!$J$5,'IN-NX'!$D$7=D451),"x","")</f>
        <v/>
      </c>
      <c r="AB451" s="84" t="str">
        <f>IF(AND(OR(LEFT(TH!N451,2)="15",LEFT(TH!O451,2)="15"),LEFT(TH!O451,3)&lt;&gt;"111",'152-CT'!$J$8=TH!F451),"x","")</f>
        <v/>
      </c>
      <c r="AC451" s="84" t="str">
        <f>IF(AND(OR(LEFT(TH!N451,2)="15",LEFT(TH!O451,2)="15"),TK!$E$7=TH!F451),"x","")</f>
        <v/>
      </c>
      <c r="AD451" s="84" t="str">
        <f>IF(AND(N451="1521",MONTH(C451)='BK-NL'!$M$11),"x","")</f>
        <v/>
      </c>
      <c r="AE451" s="1146" t="str">
        <f t="shared" si="88"/>
        <v>x</v>
      </c>
      <c r="AF451" s="351">
        <v>8</v>
      </c>
    </row>
    <row r="452" spans="1:32" s="351" customFormat="1" ht="15.75" customHeight="1">
      <c r="A452" s="336" t="str">
        <f>IF(B452&lt;&gt;"",IF(AND(B452='IN-TC'!$S$4,OR(TH!N452="1111",TH!O452="1111")),TH!D452,""),"")</f>
        <v/>
      </c>
      <c r="B452" s="63">
        <f>IF(C452&lt;&gt;"",MONTH(C452),"")</f>
        <v>8</v>
      </c>
      <c r="C452" s="64">
        <v>42613</v>
      </c>
      <c r="D452" s="80" t="s">
        <v>681</v>
      </c>
      <c r="E452" s="80">
        <f t="shared" si="91"/>
        <v>42613</v>
      </c>
      <c r="F452" s="81" t="s">
        <v>1848</v>
      </c>
      <c r="G452" s="985" t="s">
        <v>1850</v>
      </c>
      <c r="H452" s="82" t="s">
        <v>1851</v>
      </c>
      <c r="I452" s="437">
        <v>111</v>
      </c>
      <c r="J452" s="437">
        <v>37000</v>
      </c>
      <c r="K452" s="428"/>
      <c r="L452" s="437"/>
      <c r="M452" s="83">
        <f>ROUND(I452*J452,0)</f>
        <v>4107000</v>
      </c>
      <c r="N452" s="84" t="s">
        <v>276</v>
      </c>
      <c r="O452" s="84" t="s">
        <v>8</v>
      </c>
      <c r="P452" s="84" t="str">
        <f>IF(AND('331-CT'!$E$7=TH!H452,OR(N452="331",O452="331")),"x","")</f>
        <v/>
      </c>
      <c r="Q452" s="84" t="str">
        <f>IF(AND(B452='111'!$L$11,OR($N452=$Q$7,$O452=$Q$7)),"x","")</f>
        <v/>
      </c>
      <c r="R452" s="84" t="str">
        <f>IF(AND($N452=$Q$7,$B452&lt;'111'!$L$11),"x","")</f>
        <v/>
      </c>
      <c r="S452" s="84" t="str">
        <f>IF(AND($O452=$Q$7,$B452&lt;'111'!$L$11),"x","")</f>
        <v/>
      </c>
      <c r="T452" s="84" t="str">
        <f>IF(ISERROR(FIND('112'!$M$9,G452,1)),"",IF((AND(FIND('112'!$M$9,G452,1)&gt;=1,B452='112'!$K$9,OR($N452='112'!$I$6,$O452='112'!$I$6))),"x",""))</f>
        <v/>
      </c>
      <c r="U452" s="84" t="str">
        <f>IF(ISERROR(FIND('112'!$M$9,G452,1)),"",IF((AND(LEFT(G452,2)=LEFT('112'!$M$9,2),B452&lt;'112'!$K$9,$N452='112'!$I$6)),"x",""))</f>
        <v/>
      </c>
      <c r="V452" s="84" t="str">
        <f>IF(ISERROR(FIND('112'!$M$9,G452,1)),"",IF((AND(RIGHT(G452,2)=RIGHT('112'!$M$9,2),B452&lt;'112'!$K$9,$O452='112'!$I$6)),"x",""))</f>
        <v/>
      </c>
      <c r="W452" s="84" t="str">
        <f>IF(AND('341-CT'!$H$9=H452,OR(LEFT(N452,3)=$W$7,LEFT(O452,3)=$W$7)),"x","")</f>
        <v/>
      </c>
      <c r="X452" s="84" t="str">
        <f>IF(OR(TH!N452=TH!$X$7,O452=TH!$X$7),"x","")</f>
        <v/>
      </c>
      <c r="Y452" s="84" t="str">
        <f>IF(AND(OR(N452="131",O452="131"),H452='131-CT'!$H$9),"x","")</f>
        <v/>
      </c>
      <c r="Z452" s="84"/>
      <c r="AA452" s="84" t="str">
        <f>IF(AND(MONTH(E452)='IN-NX'!$J$5,'IN-NX'!$D$7=D452),"x","")</f>
        <v/>
      </c>
      <c r="AB452" s="84" t="str">
        <f>IF(AND(OR(LEFT(TH!N452,2)="15",LEFT(TH!O452,2)="15"),LEFT(TH!O452,3)&lt;&gt;"111",'152-CT'!$J$8=TH!F452),"x","")</f>
        <v/>
      </c>
      <c r="AC452" s="84" t="str">
        <f>IF(AND(OR(LEFT(TH!N452,2)="15",LEFT(TH!O452,2)="15"),TK!$E$7=TH!F452),"x","")</f>
        <v/>
      </c>
      <c r="AD452" s="84" t="str">
        <f>IF(AND(N452="1521",MONTH(C452)='BK-NL'!$M$11),"x","")</f>
        <v/>
      </c>
      <c r="AE452" s="1146" t="str">
        <f t="shared" si="88"/>
        <v>x</v>
      </c>
      <c r="AF452" s="351">
        <v>8</v>
      </c>
    </row>
    <row r="453" spans="1:32" s="351" customFormat="1" ht="15.75" customHeight="1">
      <c r="A453" s="336" t="str">
        <f>IF(B453&lt;&gt;"",IF(AND(B453='IN-TC'!$S$4,OR(TH!N453="1111",TH!O453="1111")),TH!D453,""),"")</f>
        <v/>
      </c>
      <c r="B453" s="63">
        <f>IF(C453&lt;&gt;"",MONTH(C453),"")</f>
        <v>8</v>
      </c>
      <c r="C453" s="64">
        <v>42613</v>
      </c>
      <c r="D453" s="80" t="s">
        <v>681</v>
      </c>
      <c r="E453" s="80">
        <f t="shared" si="91"/>
        <v>42613</v>
      </c>
      <c r="F453" s="81" t="s">
        <v>1849</v>
      </c>
      <c r="G453" s="985" t="s">
        <v>1850</v>
      </c>
      <c r="H453" s="82" t="s">
        <v>1851</v>
      </c>
      <c r="I453" s="437">
        <v>306</v>
      </c>
      <c r="J453" s="437">
        <v>37000</v>
      </c>
      <c r="K453" s="428"/>
      <c r="L453" s="437"/>
      <c r="M453" s="83">
        <f>ROUND(I453*J453,0)</f>
        <v>11322000</v>
      </c>
      <c r="N453" s="84" t="s">
        <v>276</v>
      </c>
      <c r="O453" s="84" t="s">
        <v>8</v>
      </c>
      <c r="P453" s="84" t="str">
        <f>IF(AND('331-CT'!$E$7=TH!H453,OR(N453="331",O453="331")),"x","")</f>
        <v/>
      </c>
      <c r="Q453" s="84" t="str">
        <f>IF(AND(B453='111'!$L$11,OR($N453=$Q$7,$O453=$Q$7)),"x","")</f>
        <v/>
      </c>
      <c r="R453" s="84" t="str">
        <f>IF(AND($N453=$Q$7,$B453&lt;'111'!$L$11),"x","")</f>
        <v/>
      </c>
      <c r="S453" s="84" t="str">
        <f>IF(AND($O453=$Q$7,$B453&lt;'111'!$L$11),"x","")</f>
        <v/>
      </c>
      <c r="T453" s="84" t="str">
        <f>IF(ISERROR(FIND('112'!$M$9,G453,1)),"",IF((AND(FIND('112'!$M$9,G453,1)&gt;=1,B453='112'!$K$9,OR($N453='112'!$I$6,$O453='112'!$I$6))),"x",""))</f>
        <v/>
      </c>
      <c r="U453" s="84" t="str">
        <f>IF(ISERROR(FIND('112'!$M$9,G453,1)),"",IF((AND(LEFT(G453,2)=LEFT('112'!$M$9,2),B453&lt;'112'!$K$9,$N453='112'!$I$6)),"x",""))</f>
        <v/>
      </c>
      <c r="V453" s="84" t="str">
        <f>IF(ISERROR(FIND('112'!$M$9,G453,1)),"",IF((AND(RIGHT(G453,2)=RIGHT('112'!$M$9,2),B453&lt;'112'!$K$9,$O453='112'!$I$6)),"x",""))</f>
        <v/>
      </c>
      <c r="W453" s="84" t="str">
        <f>IF(AND('341-CT'!$H$9=H453,OR(LEFT(N453,3)=$W$7,LEFT(O453,3)=$W$7)),"x","")</f>
        <v/>
      </c>
      <c r="X453" s="84" t="str">
        <f>IF(OR(TH!N453=TH!$X$7,O453=TH!$X$7),"x","")</f>
        <v/>
      </c>
      <c r="Y453" s="84" t="str">
        <f>IF(AND(OR(N453="131",O453="131"),H453='131-CT'!$H$9),"x","")</f>
        <v/>
      </c>
      <c r="Z453" s="84"/>
      <c r="AA453" s="84" t="str">
        <f>IF(AND(MONTH(E453)='IN-NX'!$J$5,'IN-NX'!$D$7=D453),"x","")</f>
        <v/>
      </c>
      <c r="AB453" s="84" t="str">
        <f>IF(AND(OR(LEFT(TH!N453,2)="15",LEFT(TH!O453,2)="15"),LEFT(TH!O453,3)&lt;&gt;"111",'152-CT'!$J$8=TH!F453),"x","")</f>
        <v/>
      </c>
      <c r="AC453" s="84" t="str">
        <f>IF(AND(OR(LEFT(TH!N453,2)="15",LEFT(TH!O453,2)="15"),TK!$E$7=TH!F453),"x","")</f>
        <v/>
      </c>
      <c r="AD453" s="84" t="str">
        <f>IF(AND(N453="1521",MONTH(C453)='BK-NL'!$M$11),"x","")</f>
        <v/>
      </c>
      <c r="AE453" s="1146" t="str">
        <f t="shared" si="88"/>
        <v>x</v>
      </c>
      <c r="AF453" s="351">
        <v>8</v>
      </c>
    </row>
    <row r="454" spans="1:32" s="351" customFormat="1" ht="15.75" hidden="1" customHeight="1">
      <c r="A454" s="336" t="str">
        <f>IF(B454&lt;&gt;"",IF(AND(B454='IN-TC'!$S$4,OR(TH!N454="1111",TH!O454="1111")),TH!D454,""),"")</f>
        <v/>
      </c>
      <c r="B454" s="63">
        <f t="shared" ref="B454:B462" si="92">IF(C454&lt;&gt;"",MONTH(C454),"")</f>
        <v>8</v>
      </c>
      <c r="C454" s="64">
        <v>42613</v>
      </c>
      <c r="D454" s="80" t="s">
        <v>681</v>
      </c>
      <c r="E454" s="80">
        <f t="shared" si="91"/>
        <v>42613</v>
      </c>
      <c r="F454" s="81" t="s">
        <v>1852</v>
      </c>
      <c r="G454" s="985" t="s">
        <v>1850</v>
      </c>
      <c r="H454" s="82" t="s">
        <v>1851</v>
      </c>
      <c r="I454" s="437"/>
      <c r="J454" s="437"/>
      <c r="K454" s="428"/>
      <c r="L454" s="437"/>
      <c r="M454" s="83">
        <v>7687900</v>
      </c>
      <c r="N454" s="84" t="s">
        <v>2001</v>
      </c>
      <c r="O454" s="84" t="s">
        <v>8</v>
      </c>
      <c r="P454" s="84" t="str">
        <f>IF(AND('331-CT'!$E$7=TH!H454,OR(N454="331",O454="331")),"x","")</f>
        <v/>
      </c>
      <c r="Q454" s="84" t="str">
        <f>IF(AND(B454='111'!$L$11,OR($N454=$Q$7,$O454=$Q$7)),"x","")</f>
        <v/>
      </c>
      <c r="R454" s="84" t="str">
        <f>IF(AND($N454=$Q$7,$B454&lt;'111'!$L$11),"x","")</f>
        <v/>
      </c>
      <c r="S454" s="84" t="str">
        <f>IF(AND($O454=$Q$7,$B454&lt;'111'!$L$11),"x","")</f>
        <v/>
      </c>
      <c r="T454" s="84" t="str">
        <f>IF(ISERROR(FIND('112'!$M$9,G454,1)),"",IF((AND(FIND('112'!$M$9,G454,1)&gt;=1,B454='112'!$K$9,OR($N454='112'!$I$6,$O454='112'!$I$6))),"x",""))</f>
        <v/>
      </c>
      <c r="U454" s="84" t="str">
        <f>IF(ISERROR(FIND('112'!$M$9,G454,1)),"",IF((AND(LEFT(G454,2)=LEFT('112'!$M$9,2),B454&lt;'112'!$K$9,$N454='112'!$I$6)),"x",""))</f>
        <v/>
      </c>
      <c r="V454" s="84" t="str">
        <f>IF(ISERROR(FIND('112'!$M$9,G454,1)),"",IF((AND(RIGHT(G454,2)=RIGHT('112'!$M$9,2),B454&lt;'112'!$K$9,$O454='112'!$I$6)),"x",""))</f>
        <v/>
      </c>
      <c r="W454" s="84" t="str">
        <f>IF(AND('341-CT'!$H$9=H454,OR(LEFT(N454,3)=$W$7,LEFT(O454,3)=$W$7)),"x","")</f>
        <v/>
      </c>
      <c r="X454" s="84" t="str">
        <f>IF(OR(TH!N454=TH!$X$7,O454=TH!$X$7),"x","")</f>
        <v/>
      </c>
      <c r="Y454" s="84" t="str">
        <f>IF(AND(OR(N454="131",O454="131"),H454='131-CT'!$H$9),"x","")</f>
        <v/>
      </c>
      <c r="Z454" s="84"/>
      <c r="AA454" s="84" t="str">
        <f>IF(AND(MONTH(E454)='IN-NX'!$J$5,'IN-NX'!$D$7=D454),"x","")</f>
        <v/>
      </c>
      <c r="AB454" s="84" t="str">
        <f>IF(AND(OR(LEFT(TH!N454,2)="15",LEFT(TH!O454,2)="15"),LEFT(TH!O454,3)&lt;&gt;"111",'152-CT'!$J$8=TH!F454),"x","")</f>
        <v/>
      </c>
      <c r="AC454" s="84" t="str">
        <f>IF(AND(OR(LEFT(TH!N454,2)="15",LEFT(TH!O454,2)="15"),TK!$E$7=TH!F454),"x","")</f>
        <v/>
      </c>
      <c r="AD454" s="84" t="str">
        <f>IF(AND(N454="1521",MONTH(C454)='BK-NL'!$M$11),"x","")</f>
        <v/>
      </c>
      <c r="AE454" s="1146" t="str">
        <f t="shared" si="88"/>
        <v>x</v>
      </c>
      <c r="AF454" s="351">
        <v>8</v>
      </c>
    </row>
    <row r="455" spans="1:32" s="341" customFormat="1" ht="15.75" hidden="1" customHeight="1">
      <c r="A455" s="336" t="str">
        <f>IF(B455&lt;&gt;"",IF(AND(B455='IN-TC'!$S$4,OR(TH!N455="1111",TH!O455="1111")),TH!D455,""),"")</f>
        <v/>
      </c>
      <c r="B455" s="63">
        <f t="shared" si="92"/>
        <v>8</v>
      </c>
      <c r="C455" s="64">
        <v>42583</v>
      </c>
      <c r="D455" s="64" t="s">
        <v>686</v>
      </c>
      <c r="E455" s="64">
        <f t="shared" si="91"/>
        <v>42583</v>
      </c>
      <c r="F455" s="67" t="s">
        <v>339</v>
      </c>
      <c r="G455" s="982"/>
      <c r="H455" s="73" t="s">
        <v>449</v>
      </c>
      <c r="I455" s="439">
        <v>25</v>
      </c>
      <c r="J455" s="439">
        <v>35444.444444444445</v>
      </c>
      <c r="K455" s="430"/>
      <c r="L455" s="439"/>
      <c r="M455" s="65">
        <f t="shared" ref="M455:M462" si="93">ROUND(I455*J455,0)</f>
        <v>886111</v>
      </c>
      <c r="N455" s="66" t="s">
        <v>282</v>
      </c>
      <c r="O455" s="66" t="s">
        <v>276</v>
      </c>
      <c r="P455" s="84" t="str">
        <f>IF(AND('331-CT'!$E$7=TH!H455,OR(N455="331",O455="331")),"x","")</f>
        <v/>
      </c>
      <c r="Q455" s="84" t="str">
        <f>IF(AND(B455='111'!$L$11,OR($N455=$Q$7,$O455=$Q$7)),"x","")</f>
        <v/>
      </c>
      <c r="R455" s="84" t="str">
        <f>IF(AND($N455=$Q$7,$B455&lt;'111'!$L$11),"x","")</f>
        <v/>
      </c>
      <c r="S455" s="84" t="str">
        <f>IF(AND($O455=$Q$7,$B455&lt;'111'!$L$11),"x","")</f>
        <v/>
      </c>
      <c r="T455" s="84" t="str">
        <f>IF(ISERROR(FIND('112'!$M$9,G455,1)),"",IF((AND(FIND('112'!$M$9,G455,1)&gt;=1,B455='112'!$K$9,OR($N455='112'!$I$6,$O455='112'!$I$6))),"x",""))</f>
        <v/>
      </c>
      <c r="U455" s="84" t="str">
        <f>IF(ISERROR(FIND('112'!$M$9,G455,1)),"",IF((AND(LEFT(G455,2)=LEFT('112'!$M$9,2),B455&lt;'112'!$K$9,$N455='112'!$I$6)),"x",""))</f>
        <v/>
      </c>
      <c r="V455" s="84" t="str">
        <f>IF(ISERROR(FIND('112'!$M$9,G455,1)),"",IF((AND(RIGHT(G455,2)=RIGHT('112'!$M$9,2),B455&lt;'112'!$K$9,$O455='112'!$I$6)),"x",""))</f>
        <v/>
      </c>
      <c r="W455" s="84" t="str">
        <f>IF(AND('341-CT'!$H$9=H455,OR(LEFT(N455,3)=$W$7,LEFT(O455,3)=$W$7)),"x","")</f>
        <v/>
      </c>
      <c r="X455" s="84" t="str">
        <f>IF(OR(TH!N455=TH!$X$7,O455=TH!$X$7),"x","")</f>
        <v/>
      </c>
      <c r="Y455" s="84" t="str">
        <f>IF(AND(OR(N455="131",O455="131"),H455='131-CT'!$H$9),"x","")</f>
        <v/>
      </c>
      <c r="Z455" s="84"/>
      <c r="AA455" s="84" t="str">
        <f>IF(AND(MONTH(E455)='IN-NX'!$J$5,'IN-NX'!$D$7=D455),"x","")</f>
        <v/>
      </c>
      <c r="AB455" s="84" t="str">
        <f>IF(AND(OR(LEFT(TH!N455,2)="15",LEFT(TH!O455,2)="15"),LEFT(TH!O455,3)&lt;&gt;"111",'152-CT'!$J$8=TH!F455),"x","")</f>
        <v/>
      </c>
      <c r="AC455" s="84" t="str">
        <f>IF(AND(OR(LEFT(TH!N455,2)="15",LEFT(TH!O455,2)="15"),TK!$E$7=TH!F455),"x","")</f>
        <v/>
      </c>
      <c r="AD455" s="84" t="str">
        <f>IF(AND(N455="1521",MONTH(C455)='BK-NL'!$M$11),"x","")</f>
        <v/>
      </c>
    </row>
    <row r="456" spans="1:32" s="341" customFormat="1" ht="15.75" hidden="1" customHeight="1">
      <c r="A456" s="336" t="str">
        <f>IF(B456&lt;&gt;"",IF(AND(B456='IN-TC'!$S$4,OR(TH!N456="1111",TH!O456="1111")),TH!D456,""),"")</f>
        <v/>
      </c>
      <c r="B456" s="63">
        <f t="shared" si="92"/>
        <v>8</v>
      </c>
      <c r="C456" s="64">
        <v>42583</v>
      </c>
      <c r="D456" s="64" t="s">
        <v>686</v>
      </c>
      <c r="E456" s="64">
        <f t="shared" ref="E456:E462" si="94">C456</f>
        <v>42583</v>
      </c>
      <c r="F456" s="67" t="s">
        <v>345</v>
      </c>
      <c r="G456" s="982"/>
      <c r="H456" s="73" t="s">
        <v>449</v>
      </c>
      <c r="I456" s="439">
        <v>60</v>
      </c>
      <c r="J456" s="439">
        <v>46741.2</v>
      </c>
      <c r="K456" s="430"/>
      <c r="L456" s="439"/>
      <c r="M456" s="65">
        <f t="shared" si="93"/>
        <v>2804472</v>
      </c>
      <c r="N456" s="66" t="s">
        <v>282</v>
      </c>
      <c r="O456" s="66" t="s">
        <v>276</v>
      </c>
      <c r="P456" s="84" t="str">
        <f>IF(AND('331-CT'!$E$7=TH!H456,OR(N456="331",O456="331")),"x","")</f>
        <v/>
      </c>
      <c r="Q456" s="84" t="str">
        <f>IF(AND(B456='111'!$L$11,OR($N456=$Q$7,$O456=$Q$7)),"x","")</f>
        <v/>
      </c>
      <c r="R456" s="84" t="str">
        <f>IF(AND($N456=$Q$7,$B456&lt;'111'!$L$11),"x","")</f>
        <v/>
      </c>
      <c r="S456" s="84" t="str">
        <f>IF(AND($O456=$Q$7,$B456&lt;'111'!$L$11),"x","")</f>
        <v/>
      </c>
      <c r="T456" s="84" t="str">
        <f>IF(ISERROR(FIND('112'!$M$9,G456,1)),"",IF((AND(FIND('112'!$M$9,G456,1)&gt;=1,B456='112'!$K$9,OR($N456='112'!$I$6,$O456='112'!$I$6))),"x",""))</f>
        <v/>
      </c>
      <c r="U456" s="84" t="str">
        <f>IF(ISERROR(FIND('112'!$M$9,G456,1)),"",IF((AND(LEFT(G456,2)=LEFT('112'!$M$9,2),B456&lt;'112'!$K$9,$N456='112'!$I$6)),"x",""))</f>
        <v/>
      </c>
      <c r="V456" s="84" t="str">
        <f>IF(ISERROR(FIND('112'!$M$9,G456,1)),"",IF((AND(RIGHT(G456,2)=RIGHT('112'!$M$9,2),B456&lt;'112'!$K$9,$O456='112'!$I$6)),"x",""))</f>
        <v/>
      </c>
      <c r="W456" s="84" t="str">
        <f>IF(AND('341-CT'!$H$9=H456,OR(LEFT(N456,3)=$W$7,LEFT(O456,3)=$W$7)),"x","")</f>
        <v/>
      </c>
      <c r="X456" s="84" t="str">
        <f>IF(OR(TH!N456=TH!$X$7,O456=TH!$X$7),"x","")</f>
        <v/>
      </c>
      <c r="Y456" s="84" t="str">
        <f>IF(AND(OR(N456="131",O456="131"),H456='131-CT'!$H$9),"x","")</f>
        <v/>
      </c>
      <c r="Z456" s="84"/>
      <c r="AA456" s="84" t="str">
        <f>IF(AND(MONTH(E456)='IN-NX'!$J$5,'IN-NX'!$D$7=D456),"x","")</f>
        <v/>
      </c>
      <c r="AB456" s="84" t="str">
        <f>IF(AND(OR(LEFT(TH!N456,2)="15",LEFT(TH!O456,2)="15"),LEFT(TH!O456,3)&lt;&gt;"111",'152-CT'!$J$8=TH!F456),"x","")</f>
        <v/>
      </c>
      <c r="AC456" s="84" t="str">
        <f>IF(AND(OR(LEFT(TH!N456,2)="15",LEFT(TH!O456,2)="15"),TK!$E$7=TH!F456),"x","")</f>
        <v/>
      </c>
      <c r="AD456" s="84" t="str">
        <f>IF(AND(N456="1521",MONTH(C456)='BK-NL'!$M$11),"x","")</f>
        <v/>
      </c>
    </row>
    <row r="457" spans="1:32" s="341" customFormat="1" ht="15.75" hidden="1" customHeight="1">
      <c r="A457" s="336" t="str">
        <f>IF(B457&lt;&gt;"",IF(AND(B457='IN-TC'!$S$4,OR(TH!N457="1111",TH!O457="1111")),TH!D457,""),"")</f>
        <v/>
      </c>
      <c r="B457" s="63">
        <f t="shared" si="92"/>
        <v>8</v>
      </c>
      <c r="C457" s="64">
        <v>42583</v>
      </c>
      <c r="D457" s="64" t="s">
        <v>686</v>
      </c>
      <c r="E457" s="64">
        <f t="shared" si="94"/>
        <v>42583</v>
      </c>
      <c r="F457" s="67" t="s">
        <v>348</v>
      </c>
      <c r="G457" s="67"/>
      <c r="H457" s="73" t="s">
        <v>449</v>
      </c>
      <c r="I457" s="439">
        <v>400</v>
      </c>
      <c r="J457" s="439">
        <v>14523.81</v>
      </c>
      <c r="K457" s="430"/>
      <c r="L457" s="439"/>
      <c r="M457" s="65">
        <f t="shared" si="93"/>
        <v>5809524</v>
      </c>
      <c r="N457" s="66" t="s">
        <v>282</v>
      </c>
      <c r="O457" s="66" t="s">
        <v>276</v>
      </c>
      <c r="P457" s="84" t="str">
        <f>IF(AND('331-CT'!$E$7=TH!H457,OR(N457="331",O457="331")),"x","")</f>
        <v/>
      </c>
      <c r="Q457" s="84" t="str">
        <f>IF(AND(B457='111'!$L$11,OR($N457=$Q$7,$O457=$Q$7)),"x","")</f>
        <v/>
      </c>
      <c r="R457" s="84" t="str">
        <f>IF(AND($N457=$Q$7,$B457&lt;'111'!$L$11),"x","")</f>
        <v/>
      </c>
      <c r="S457" s="84" t="str">
        <f>IF(AND($O457=$Q$7,$B457&lt;'111'!$L$11),"x","")</f>
        <v/>
      </c>
      <c r="T457" s="84" t="str">
        <f>IF(ISERROR(FIND('112'!$M$9,G457,1)),"",IF((AND(FIND('112'!$M$9,G457,1)&gt;=1,B457='112'!$K$9,OR($N457='112'!$I$6,$O457='112'!$I$6))),"x",""))</f>
        <v/>
      </c>
      <c r="U457" s="84" t="str">
        <f>IF(ISERROR(FIND('112'!$M$9,G457,1)),"",IF((AND(LEFT(G457,2)=LEFT('112'!$M$9,2),B457&lt;'112'!$K$9,$N457='112'!$I$6)),"x",""))</f>
        <v/>
      </c>
      <c r="V457" s="84" t="str">
        <f>IF(ISERROR(FIND('112'!$M$9,G457,1)),"",IF((AND(RIGHT(G457,2)=RIGHT('112'!$M$9,2),B457&lt;'112'!$K$9,$O457='112'!$I$6)),"x",""))</f>
        <v/>
      </c>
      <c r="W457" s="84" t="str">
        <f>IF(AND('341-CT'!$H$9=H457,OR(LEFT(N457,3)=$W$7,LEFT(O457,3)=$W$7)),"x","")</f>
        <v/>
      </c>
      <c r="X457" s="84" t="str">
        <f>IF(OR(TH!N457=TH!$X$7,O457=TH!$X$7),"x","")</f>
        <v/>
      </c>
      <c r="Y457" s="84" t="str">
        <f>IF(AND(OR(N457="131",O457="131"),H457='131-CT'!$H$9),"x","")</f>
        <v/>
      </c>
      <c r="Z457" s="84"/>
      <c r="AA457" s="84" t="str">
        <f>IF(AND(MONTH(E457)='IN-NX'!$J$5,'IN-NX'!$D$7=D457),"x","")</f>
        <v/>
      </c>
      <c r="AB457" s="84" t="str">
        <f>IF(AND(OR(LEFT(TH!N457,2)="15",LEFT(TH!O457,2)="15"),LEFT(TH!O457,3)&lt;&gt;"111",'152-CT'!$J$8=TH!F457),"x","")</f>
        <v/>
      </c>
      <c r="AC457" s="84" t="str">
        <f>IF(AND(OR(LEFT(TH!N457,2)="15",LEFT(TH!O457,2)="15"),TK!$E$7=TH!F457),"x","")</f>
        <v>x</v>
      </c>
      <c r="AD457" s="84" t="str">
        <f>IF(AND(N457="1521",MONTH(C457)='BK-NL'!$M$11),"x","")</f>
        <v/>
      </c>
    </row>
    <row r="458" spans="1:32" s="341" customFormat="1" ht="15.75" hidden="1" customHeight="1">
      <c r="A458" s="336" t="str">
        <f>IF(B458&lt;&gt;"",IF(AND(B458='IN-TC'!$S$4,OR(TH!N458="1111",TH!O458="1111")),TH!D458,""),"")</f>
        <v/>
      </c>
      <c r="B458" s="63">
        <f t="shared" si="92"/>
        <v>8</v>
      </c>
      <c r="C458" s="64">
        <v>42583</v>
      </c>
      <c r="D458" s="64" t="s">
        <v>686</v>
      </c>
      <c r="E458" s="64">
        <f t="shared" si="94"/>
        <v>42583</v>
      </c>
      <c r="F458" s="67" t="s">
        <v>353</v>
      </c>
      <c r="G458" s="67"/>
      <c r="H458" s="73" t="s">
        <v>449</v>
      </c>
      <c r="I458" s="439">
        <v>1000</v>
      </c>
      <c r="J458" s="439">
        <v>3200</v>
      </c>
      <c r="K458" s="430"/>
      <c r="L458" s="439"/>
      <c r="M458" s="65">
        <f t="shared" si="93"/>
        <v>3200000</v>
      </c>
      <c r="N458" s="66" t="s">
        <v>282</v>
      </c>
      <c r="O458" s="66" t="s">
        <v>276</v>
      </c>
      <c r="P458" s="84" t="str">
        <f>IF(AND('331-CT'!$E$7=TH!H458,OR(N458="331",O458="331")),"x","")</f>
        <v/>
      </c>
      <c r="Q458" s="84" t="str">
        <f>IF(AND(B458='111'!$L$11,OR($N458=$Q$7,$O458=$Q$7)),"x","")</f>
        <v/>
      </c>
      <c r="R458" s="84" t="str">
        <f>IF(AND($N458=$Q$7,$B458&lt;'111'!$L$11),"x","")</f>
        <v/>
      </c>
      <c r="S458" s="84" t="str">
        <f>IF(AND($O458=$Q$7,$B458&lt;'111'!$L$11),"x","")</f>
        <v/>
      </c>
      <c r="T458" s="84" t="str">
        <f>IF(ISERROR(FIND('112'!$M$9,G458,1)),"",IF((AND(FIND('112'!$M$9,G458,1)&gt;=1,B458='112'!$K$9,OR($N458='112'!$I$6,$O458='112'!$I$6))),"x",""))</f>
        <v/>
      </c>
      <c r="U458" s="84" t="str">
        <f>IF(ISERROR(FIND('112'!$M$9,G458,1)),"",IF((AND(LEFT(G458,2)=LEFT('112'!$M$9,2),B458&lt;'112'!$K$9,$N458='112'!$I$6)),"x",""))</f>
        <v/>
      </c>
      <c r="V458" s="84" t="str">
        <f>IF(ISERROR(FIND('112'!$M$9,G458,1)),"",IF((AND(RIGHT(G458,2)=RIGHT('112'!$M$9,2),B458&lt;'112'!$K$9,$O458='112'!$I$6)),"x",""))</f>
        <v/>
      </c>
      <c r="W458" s="84" t="str">
        <f>IF(AND('341-CT'!$H$9=H458,OR(LEFT(N458,3)=$W$7,LEFT(O458,3)=$W$7)),"x","")</f>
        <v/>
      </c>
      <c r="X458" s="84" t="str">
        <f>IF(OR(TH!N458=TH!$X$7,O458=TH!$X$7),"x","")</f>
        <v/>
      </c>
      <c r="Y458" s="84" t="str">
        <f>IF(AND(OR(N458="131",O458="131"),H458='131-CT'!$H$9),"x","")</f>
        <v/>
      </c>
      <c r="Z458" s="84"/>
      <c r="AA458" s="84" t="str">
        <f>IF(AND(MONTH(E458)='IN-NX'!$J$5,'IN-NX'!$D$7=D458),"x","")</f>
        <v/>
      </c>
      <c r="AB458" s="84" t="str">
        <f>IF(AND(OR(LEFT(TH!N458,2)="15",LEFT(TH!O458,2)="15"),LEFT(TH!O458,3)&lt;&gt;"111",'152-CT'!$J$8=TH!F458),"x","")</f>
        <v/>
      </c>
      <c r="AC458" s="84" t="str">
        <f>IF(AND(OR(LEFT(TH!N458,2)="15",LEFT(TH!O458,2)="15"),TK!$E$7=TH!F458),"x","")</f>
        <v/>
      </c>
      <c r="AD458" s="84" t="str">
        <f>IF(AND(N458="1521",MONTH(C458)='BK-NL'!$M$11),"x","")</f>
        <v/>
      </c>
    </row>
    <row r="459" spans="1:32" s="341" customFormat="1" ht="15.75" hidden="1" customHeight="1">
      <c r="A459" s="336" t="str">
        <f>IF(B459&lt;&gt;"",IF(AND(B459='IN-TC'!$S$4,OR(TH!N459="1111",TH!O459="1111")),TH!D459,""),"")</f>
        <v/>
      </c>
      <c r="B459" s="63">
        <f t="shared" si="92"/>
        <v>8</v>
      </c>
      <c r="C459" s="64">
        <v>42583</v>
      </c>
      <c r="D459" s="64" t="s">
        <v>686</v>
      </c>
      <c r="E459" s="64">
        <f t="shared" si="94"/>
        <v>42583</v>
      </c>
      <c r="F459" s="67" t="s">
        <v>356</v>
      </c>
      <c r="G459" s="67"/>
      <c r="H459" s="73" t="s">
        <v>449</v>
      </c>
      <c r="I459" s="439">
        <v>2970</v>
      </c>
      <c r="J459" s="439">
        <v>14728</v>
      </c>
      <c r="K459" s="430"/>
      <c r="L459" s="439"/>
      <c r="M459" s="65">
        <f t="shared" si="93"/>
        <v>43742160</v>
      </c>
      <c r="N459" s="66" t="s">
        <v>282</v>
      </c>
      <c r="O459" s="66" t="s">
        <v>276</v>
      </c>
      <c r="P459" s="84" t="str">
        <f>IF(AND('331-CT'!$E$7=TH!H459,OR(N459="331",O459="331")),"x","")</f>
        <v/>
      </c>
      <c r="Q459" s="84" t="str">
        <f>IF(AND(B459='111'!$L$11,OR($N459=$Q$7,$O459=$Q$7)),"x","")</f>
        <v/>
      </c>
      <c r="R459" s="84" t="str">
        <f>IF(AND($N459=$Q$7,$B459&lt;'111'!$L$11),"x","")</f>
        <v/>
      </c>
      <c r="S459" s="84" t="str">
        <f>IF(AND($O459=$Q$7,$B459&lt;'111'!$L$11),"x","")</f>
        <v/>
      </c>
      <c r="T459" s="84" t="str">
        <f>IF(ISERROR(FIND('112'!$M$9,G459,1)),"",IF((AND(FIND('112'!$M$9,G459,1)&gt;=1,B459='112'!$K$9,OR($N459='112'!$I$6,$O459='112'!$I$6))),"x",""))</f>
        <v/>
      </c>
      <c r="U459" s="84" t="str">
        <f>IF(ISERROR(FIND('112'!$M$9,G459,1)),"",IF((AND(LEFT(G459,2)=LEFT('112'!$M$9,2),B459&lt;'112'!$K$9,$N459='112'!$I$6)),"x",""))</f>
        <v/>
      </c>
      <c r="V459" s="84" t="str">
        <f>IF(ISERROR(FIND('112'!$M$9,G459,1)),"",IF((AND(RIGHT(G459,2)=RIGHT('112'!$M$9,2),B459&lt;'112'!$K$9,$O459='112'!$I$6)),"x",""))</f>
        <v/>
      </c>
      <c r="W459" s="84" t="str">
        <f>IF(AND('341-CT'!$H$9=H459,OR(LEFT(N459,3)=$W$7,LEFT(O459,3)=$W$7)),"x","")</f>
        <v/>
      </c>
      <c r="X459" s="84" t="str">
        <f>IF(OR(TH!N459=TH!$X$7,O459=TH!$X$7),"x","")</f>
        <v/>
      </c>
      <c r="Y459" s="84" t="str">
        <f>IF(AND(OR(N459="131",O459="131"),H459='131-CT'!$H$9),"x","")</f>
        <v/>
      </c>
      <c r="Z459" s="84"/>
      <c r="AA459" s="84" t="str">
        <f>IF(AND(MONTH(E459)='IN-NX'!$J$5,'IN-NX'!$D$7=D459),"x","")</f>
        <v/>
      </c>
      <c r="AB459" s="84" t="str">
        <f>IF(AND(OR(LEFT(TH!N459,2)="15",LEFT(TH!O459,2)="15"),LEFT(TH!O459,3)&lt;&gt;"111",'152-CT'!$J$8=TH!F459),"x","")</f>
        <v/>
      </c>
      <c r="AC459" s="84" t="str">
        <f>IF(AND(OR(LEFT(TH!N459,2)="15",LEFT(TH!O459,2)="15"),TK!$E$7=TH!F459),"x","")</f>
        <v/>
      </c>
      <c r="AD459" s="84" t="str">
        <f>IF(AND(N459="1521",MONTH(C459)='BK-NL'!$M$11),"x","")</f>
        <v/>
      </c>
    </row>
    <row r="460" spans="1:32" s="341" customFormat="1" ht="15.75" hidden="1" customHeight="1">
      <c r="A460" s="336" t="str">
        <f>IF(B460&lt;&gt;"",IF(AND(B460='IN-TC'!$S$4,OR(TH!N460="1111",TH!O460="1111")),TH!D460,""),"")</f>
        <v/>
      </c>
      <c r="B460" s="63">
        <f t="shared" si="92"/>
        <v>8</v>
      </c>
      <c r="C460" s="64">
        <v>42583</v>
      </c>
      <c r="D460" s="64" t="s">
        <v>686</v>
      </c>
      <c r="E460" s="64">
        <f t="shared" si="94"/>
        <v>42583</v>
      </c>
      <c r="F460" s="67" t="s">
        <v>1409</v>
      </c>
      <c r="G460" s="67"/>
      <c r="H460" s="73" t="s">
        <v>449</v>
      </c>
      <c r="I460" s="439">
        <v>250</v>
      </c>
      <c r="J460" s="439">
        <v>12728</v>
      </c>
      <c r="K460" s="430"/>
      <c r="L460" s="439"/>
      <c r="M460" s="65">
        <f t="shared" si="93"/>
        <v>3182000</v>
      </c>
      <c r="N460" s="66" t="s">
        <v>282</v>
      </c>
      <c r="O460" s="66" t="s">
        <v>276</v>
      </c>
      <c r="P460" s="84" t="str">
        <f>IF(AND('331-CT'!$E$7=TH!H460,OR(N460="331",O460="331")),"x","")</f>
        <v/>
      </c>
      <c r="Q460" s="84" t="str">
        <f>IF(AND(B460='111'!$L$11,OR($N460=$Q$7,$O460=$Q$7)),"x","")</f>
        <v/>
      </c>
      <c r="R460" s="84" t="str">
        <f>IF(AND($N460=$Q$7,$B460&lt;'111'!$L$11),"x","")</f>
        <v/>
      </c>
      <c r="S460" s="84" t="str">
        <f>IF(AND($O460=$Q$7,$B460&lt;'111'!$L$11),"x","")</f>
        <v/>
      </c>
      <c r="T460" s="84" t="str">
        <f>IF(ISERROR(FIND('112'!$M$9,G460,1)),"",IF((AND(FIND('112'!$M$9,G460,1)&gt;=1,B460='112'!$K$9,OR($N460='112'!$I$6,$O460='112'!$I$6))),"x",""))</f>
        <v/>
      </c>
      <c r="U460" s="84" t="str">
        <f>IF(ISERROR(FIND('112'!$M$9,G460,1)),"",IF((AND(LEFT(G460,2)=LEFT('112'!$M$9,2),B460&lt;'112'!$K$9,$N460='112'!$I$6)),"x",""))</f>
        <v/>
      </c>
      <c r="V460" s="84" t="str">
        <f>IF(ISERROR(FIND('112'!$M$9,G460,1)),"",IF((AND(RIGHT(G460,2)=RIGHT('112'!$M$9,2),B460&lt;'112'!$K$9,$O460='112'!$I$6)),"x",""))</f>
        <v/>
      </c>
      <c r="W460" s="84" t="str">
        <f>IF(AND('341-CT'!$H$9=H460,OR(LEFT(N460,3)=$W$7,LEFT(O460,3)=$W$7)),"x","")</f>
        <v/>
      </c>
      <c r="X460" s="84" t="str">
        <f>IF(OR(TH!N460=TH!$X$7,O460=TH!$X$7),"x","")</f>
        <v/>
      </c>
      <c r="Y460" s="84" t="str">
        <f>IF(AND(OR(N460="131",O460="131"),H460='131-CT'!$H$9),"x","")</f>
        <v/>
      </c>
      <c r="Z460" s="84"/>
      <c r="AA460" s="84" t="str">
        <f>IF(AND(MONTH(E460)='IN-NX'!$J$5,'IN-NX'!$D$7=D460),"x","")</f>
        <v/>
      </c>
      <c r="AB460" s="84" t="str">
        <f>IF(AND(OR(LEFT(TH!N460,2)="15",LEFT(TH!O460,2)="15"),LEFT(TH!O460,3)&lt;&gt;"111",'152-CT'!$J$8=TH!F460),"x","")</f>
        <v/>
      </c>
      <c r="AC460" s="84" t="str">
        <f>IF(AND(OR(LEFT(TH!N460,2)="15",LEFT(TH!O460,2)="15"),TK!$E$7=TH!F460),"x","")</f>
        <v/>
      </c>
      <c r="AD460" s="84" t="str">
        <f>IF(AND(N460="1521",MONTH(C460)='BK-NL'!$M$11),"x","")</f>
        <v/>
      </c>
    </row>
    <row r="461" spans="1:32" s="341" customFormat="1" ht="15.75" hidden="1" customHeight="1">
      <c r="A461" s="336" t="str">
        <f>IF(B461&lt;&gt;"",IF(AND(B461='IN-TC'!$S$4,OR(TH!N461="1111",TH!O461="1111")),TH!D461,""),"")</f>
        <v/>
      </c>
      <c r="B461" s="63">
        <f t="shared" si="92"/>
        <v>8</v>
      </c>
      <c r="C461" s="64">
        <v>42586</v>
      </c>
      <c r="D461" s="64" t="s">
        <v>687</v>
      </c>
      <c r="E461" s="64">
        <f t="shared" si="94"/>
        <v>42586</v>
      </c>
      <c r="F461" s="67" t="s">
        <v>359</v>
      </c>
      <c r="G461" s="67"/>
      <c r="H461" s="73" t="s">
        <v>449</v>
      </c>
      <c r="I461" s="439">
        <v>350</v>
      </c>
      <c r="J461" s="439">
        <v>8000</v>
      </c>
      <c r="K461" s="430"/>
      <c r="L461" s="439"/>
      <c r="M461" s="65">
        <f t="shared" si="93"/>
        <v>2800000</v>
      </c>
      <c r="N461" s="66" t="s">
        <v>282</v>
      </c>
      <c r="O461" s="66" t="s">
        <v>276</v>
      </c>
      <c r="P461" s="84" t="str">
        <f>IF(AND('331-CT'!$E$7=TH!H461,OR(N461="331",O461="331")),"x","")</f>
        <v/>
      </c>
      <c r="Q461" s="84" t="str">
        <f>IF(AND(B461='111'!$L$11,OR($N461=$Q$7,$O461=$Q$7)),"x","")</f>
        <v/>
      </c>
      <c r="R461" s="84" t="str">
        <f>IF(AND($N461=$Q$7,$B461&lt;'111'!$L$11),"x","")</f>
        <v/>
      </c>
      <c r="S461" s="84" t="str">
        <f>IF(AND($O461=$Q$7,$B461&lt;'111'!$L$11),"x","")</f>
        <v/>
      </c>
      <c r="T461" s="84" t="str">
        <f>IF(ISERROR(FIND('112'!$M$9,G461,1)),"",IF((AND(FIND('112'!$M$9,G461,1)&gt;=1,B461='112'!$K$9,OR($N461='112'!$I$6,$O461='112'!$I$6))),"x",""))</f>
        <v/>
      </c>
      <c r="U461" s="84" t="str">
        <f>IF(ISERROR(FIND('112'!$M$9,G461,1)),"",IF((AND(LEFT(G461,2)=LEFT('112'!$M$9,2),B461&lt;'112'!$K$9,$N461='112'!$I$6)),"x",""))</f>
        <v/>
      </c>
      <c r="V461" s="84" t="str">
        <f>IF(ISERROR(FIND('112'!$M$9,G461,1)),"",IF((AND(RIGHT(G461,2)=RIGHT('112'!$M$9,2),B461&lt;'112'!$K$9,$O461='112'!$I$6)),"x",""))</f>
        <v/>
      </c>
      <c r="W461" s="84" t="str">
        <f>IF(AND('341-CT'!$H$9=H461,OR(LEFT(N461,3)=$W$7,LEFT(O461,3)=$W$7)),"x","")</f>
        <v/>
      </c>
      <c r="X461" s="84" t="str">
        <f>IF(OR(TH!N461=TH!$X$7,O461=TH!$X$7),"x","")</f>
        <v/>
      </c>
      <c r="Y461" s="84" t="str">
        <f>IF(AND(OR(N461="131",O461="131"),H461='131-CT'!$H$9),"x","")</f>
        <v/>
      </c>
      <c r="Z461" s="84"/>
      <c r="AA461" s="84" t="str">
        <f>IF(AND(MONTH(E461)='IN-NX'!$J$5,'IN-NX'!$D$7=D461),"x","")</f>
        <v/>
      </c>
      <c r="AB461" s="84" t="str">
        <f>IF(AND(OR(LEFT(TH!N461,2)="15",LEFT(TH!O461,2)="15"),LEFT(TH!O461,3)&lt;&gt;"111",'152-CT'!$J$8=TH!F461),"x","")</f>
        <v/>
      </c>
      <c r="AC461" s="84" t="str">
        <f>IF(AND(OR(LEFT(TH!N461,2)="15",LEFT(TH!O461,2)="15"),TK!$E$7=TH!F461),"x","")</f>
        <v/>
      </c>
      <c r="AD461" s="84" t="str">
        <f>IF(AND(N461="1521",MONTH(C461)='BK-NL'!$M$11),"x","")</f>
        <v/>
      </c>
    </row>
    <row r="462" spans="1:32" s="341" customFormat="1" ht="15.75" hidden="1" customHeight="1">
      <c r="A462" s="336" t="str">
        <f>IF(B462&lt;&gt;"",IF(AND(B462='IN-TC'!$S$4,OR(TH!N462="1111",TH!O462="1111")),TH!D462,""),"")</f>
        <v/>
      </c>
      <c r="B462" s="63">
        <f t="shared" si="92"/>
        <v>8</v>
      </c>
      <c r="C462" s="64">
        <v>42586</v>
      </c>
      <c r="D462" s="64" t="s">
        <v>687</v>
      </c>
      <c r="E462" s="64">
        <f t="shared" si="94"/>
        <v>42586</v>
      </c>
      <c r="F462" s="67" t="s">
        <v>363</v>
      </c>
      <c r="G462" s="67"/>
      <c r="H462" s="73" t="s">
        <v>449</v>
      </c>
      <c r="I462" s="441">
        <v>200</v>
      </c>
      <c r="J462" s="441">
        <v>33000</v>
      </c>
      <c r="K462" s="432"/>
      <c r="L462" s="441"/>
      <c r="M462" s="65">
        <f t="shared" si="93"/>
        <v>6600000</v>
      </c>
      <c r="N462" s="66" t="s">
        <v>282</v>
      </c>
      <c r="O462" s="66" t="s">
        <v>276</v>
      </c>
      <c r="P462" s="84" t="str">
        <f>IF(AND('331-CT'!$E$7=TH!H462,OR(N462="331",O462="331")),"x","")</f>
        <v/>
      </c>
      <c r="Q462" s="84" t="str">
        <f>IF(AND(B462='111'!$L$11,OR($N462=$Q$7,$O462=$Q$7)),"x","")</f>
        <v/>
      </c>
      <c r="R462" s="84" t="str">
        <f>IF(AND($N462=$Q$7,$B462&lt;'111'!$L$11),"x","")</f>
        <v/>
      </c>
      <c r="S462" s="84" t="str">
        <f>IF(AND($O462=$Q$7,$B462&lt;'111'!$L$11),"x","")</f>
        <v/>
      </c>
      <c r="T462" s="84" t="str">
        <f>IF(ISERROR(FIND('112'!$M$9,G462,1)),"",IF((AND(FIND('112'!$M$9,G462,1)&gt;=1,B462='112'!$K$9,OR($N462='112'!$I$6,$O462='112'!$I$6))),"x",""))</f>
        <v/>
      </c>
      <c r="U462" s="84" t="str">
        <f>IF(ISERROR(FIND('112'!$M$9,G462,1)),"",IF((AND(LEFT(G462,2)=LEFT('112'!$M$9,2),B462&lt;'112'!$K$9,$N462='112'!$I$6)),"x",""))</f>
        <v/>
      </c>
      <c r="V462" s="84" t="str">
        <f>IF(ISERROR(FIND('112'!$M$9,G462,1)),"",IF((AND(RIGHT(G462,2)=RIGHT('112'!$M$9,2),B462&lt;'112'!$K$9,$O462='112'!$I$6)),"x",""))</f>
        <v/>
      </c>
      <c r="W462" s="84" t="str">
        <f>IF(AND('341-CT'!$H$9=H462,OR(LEFT(N462,3)=$W$7,LEFT(O462,3)=$W$7)),"x","")</f>
        <v/>
      </c>
      <c r="X462" s="84" t="str">
        <f>IF(OR(TH!N462=TH!$X$7,O462=TH!$X$7),"x","")</f>
        <v/>
      </c>
      <c r="Y462" s="84" t="str">
        <f>IF(AND(OR(N462="131",O462="131"),H462='131-CT'!$H$9),"x","")</f>
        <v/>
      </c>
      <c r="Z462" s="84"/>
      <c r="AA462" s="84" t="str">
        <f>IF(AND(MONTH(E462)='IN-NX'!$J$5,'IN-NX'!$D$7=D462),"x","")</f>
        <v/>
      </c>
      <c r="AB462" s="84" t="str">
        <f>IF(AND(OR(LEFT(TH!N462,2)="15",LEFT(TH!O462,2)="15"),LEFT(TH!O462,3)&lt;&gt;"111",'152-CT'!$J$8=TH!F462),"x","")</f>
        <v>x</v>
      </c>
      <c r="AC462" s="84" t="str">
        <f>IF(AND(OR(LEFT(TH!N462,2)="15",LEFT(TH!O462,2)="15"),TK!$E$7=TH!F462),"x","")</f>
        <v/>
      </c>
      <c r="AD462" s="84" t="str">
        <f>IF(AND(N462="1521",MONTH(C462)='BK-NL'!$M$11),"x","")</f>
        <v/>
      </c>
    </row>
    <row r="463" spans="1:32" s="341" customFormat="1" ht="15.75" hidden="1" customHeight="1">
      <c r="A463" s="336" t="str">
        <f>IF(B463&lt;&gt;"",IF(AND(B463='IN-TC'!$S$4,OR(TH!N463="1111",TH!O463="1111")),TH!D463,""),"")</f>
        <v/>
      </c>
      <c r="B463" s="63">
        <f t="shared" ref="B463:B503" si="95">IF(C463&lt;&gt;"",MONTH(C463),"")</f>
        <v>8</v>
      </c>
      <c r="C463" s="64">
        <v>42592</v>
      </c>
      <c r="D463" s="64" t="s">
        <v>688</v>
      </c>
      <c r="E463" s="64">
        <f>C463</f>
        <v>42592</v>
      </c>
      <c r="F463" s="67" t="s">
        <v>384</v>
      </c>
      <c r="G463" s="67"/>
      <c r="H463" s="73" t="s">
        <v>449</v>
      </c>
      <c r="I463" s="441">
        <v>5619</v>
      </c>
      <c r="J463" s="441">
        <v>4466.322284402353</v>
      </c>
      <c r="K463" s="432"/>
      <c r="L463" s="441"/>
      <c r="M463" s="65">
        <f t="shared" ref="M463:M468" si="96">ROUND(I463*J463,0)</f>
        <v>25096265</v>
      </c>
      <c r="N463" s="66" t="s">
        <v>282</v>
      </c>
      <c r="O463" s="66" t="s">
        <v>276</v>
      </c>
      <c r="P463" s="84" t="str">
        <f>IF(AND('331-CT'!$E$7=TH!H463,OR(N463="331",O463="331")),"x","")</f>
        <v/>
      </c>
      <c r="Q463" s="84" t="str">
        <f>IF(AND(B463='111'!$L$11,OR($N463=$Q$7,$O463=$Q$7)),"x","")</f>
        <v/>
      </c>
      <c r="R463" s="84" t="str">
        <f>IF(AND($N463=$Q$7,$B463&lt;'111'!$L$11),"x","")</f>
        <v/>
      </c>
      <c r="S463" s="84" t="str">
        <f>IF(AND($O463=$Q$7,$B463&lt;'111'!$L$11),"x","")</f>
        <v/>
      </c>
      <c r="T463" s="84" t="str">
        <f>IF(ISERROR(FIND('112'!$M$9,G463,1)),"",IF((AND(FIND('112'!$M$9,G463,1)&gt;=1,B463='112'!$K$9,OR($N463='112'!$I$6,$O463='112'!$I$6))),"x",""))</f>
        <v/>
      </c>
      <c r="U463" s="84" t="str">
        <f>IF(ISERROR(FIND('112'!$M$9,G463,1)),"",IF((AND(LEFT(G463,2)=LEFT('112'!$M$9,2),B463&lt;'112'!$K$9,$N463='112'!$I$6)),"x",""))</f>
        <v/>
      </c>
      <c r="V463" s="84" t="str">
        <f>IF(ISERROR(FIND('112'!$M$9,G463,1)),"",IF((AND(RIGHT(G463,2)=RIGHT('112'!$M$9,2),B463&lt;'112'!$K$9,$O463='112'!$I$6)),"x",""))</f>
        <v/>
      </c>
      <c r="W463" s="84" t="str">
        <f>IF(AND('341-CT'!$H$9=H463,OR(LEFT(N463,3)=$W$7,LEFT(O463,3)=$W$7)),"x","")</f>
        <v/>
      </c>
      <c r="X463" s="84" t="str">
        <f>IF(OR(TH!N463=TH!$X$7,O463=TH!$X$7),"x","")</f>
        <v/>
      </c>
      <c r="Y463" s="84" t="str">
        <f>IF(AND(OR(N463="131",O463="131"),H463='131-CT'!$H$9),"x","")</f>
        <v/>
      </c>
      <c r="Z463" s="84"/>
      <c r="AA463" s="84" t="str">
        <f>IF(AND(MONTH(E463)='IN-NX'!$J$5,'IN-NX'!$D$7=D463),"x","")</f>
        <v/>
      </c>
      <c r="AB463" s="84" t="str">
        <f>IF(AND(OR(LEFT(TH!N463,2)="15",LEFT(TH!O463,2)="15"),LEFT(TH!O463,3)&lt;&gt;"111",'152-CT'!$J$8=TH!F463),"x","")</f>
        <v/>
      </c>
      <c r="AC463" s="84" t="str">
        <f>IF(AND(OR(LEFT(TH!N463,2)="15",LEFT(TH!O463,2)="15"),TK!$E$7=TH!F463),"x","")</f>
        <v/>
      </c>
      <c r="AD463" s="84" t="str">
        <f>IF(AND(N463="1521",MONTH(C463)='BK-NL'!$M$11),"x","")</f>
        <v/>
      </c>
    </row>
    <row r="464" spans="1:32" s="341" customFormat="1" ht="15.75" hidden="1" customHeight="1">
      <c r="A464" s="336" t="str">
        <f>IF(B464&lt;&gt;"",IF(AND(B464='IN-TC'!$S$4,OR(TH!N464="1111",TH!O464="1111")),TH!D464,""),"")</f>
        <v/>
      </c>
      <c r="B464" s="63">
        <f t="shared" si="95"/>
        <v>8</v>
      </c>
      <c r="C464" s="64">
        <v>42597</v>
      </c>
      <c r="D464" s="64" t="s">
        <v>689</v>
      </c>
      <c r="E464" s="64">
        <f>C464</f>
        <v>42597</v>
      </c>
      <c r="F464" s="67" t="s">
        <v>1840</v>
      </c>
      <c r="G464" s="67"/>
      <c r="H464" s="73" t="s">
        <v>449</v>
      </c>
      <c r="I464" s="441">
        <v>1009</v>
      </c>
      <c r="J464" s="441">
        <v>15000</v>
      </c>
      <c r="K464" s="432"/>
      <c r="L464" s="441"/>
      <c r="M464" s="65">
        <f t="shared" si="96"/>
        <v>15135000</v>
      </c>
      <c r="N464" s="66" t="s">
        <v>282</v>
      </c>
      <c r="O464" s="66" t="s">
        <v>276</v>
      </c>
      <c r="P464" s="84" t="str">
        <f>IF(AND('331-CT'!$E$7=TH!H464,OR(N464="331",O464="331")),"x","")</f>
        <v/>
      </c>
      <c r="Q464" s="84" t="str">
        <f>IF(AND(B464='111'!$L$11,OR($N464=$Q$7,$O464=$Q$7)),"x","")</f>
        <v/>
      </c>
      <c r="R464" s="84" t="str">
        <f>IF(AND($N464=$Q$7,$B464&lt;'111'!$L$11),"x","")</f>
        <v/>
      </c>
      <c r="S464" s="84" t="str">
        <f>IF(AND($O464=$Q$7,$B464&lt;'111'!$L$11),"x","")</f>
        <v/>
      </c>
      <c r="T464" s="84" t="str">
        <f>IF(ISERROR(FIND('112'!$M$9,G464,1)),"",IF((AND(FIND('112'!$M$9,G464,1)&gt;=1,B464='112'!$K$9,OR($N464='112'!$I$6,$O464='112'!$I$6))),"x",""))</f>
        <v/>
      </c>
      <c r="U464" s="84" t="str">
        <f>IF(ISERROR(FIND('112'!$M$9,G464,1)),"",IF((AND(LEFT(G464,2)=LEFT('112'!$M$9,2),B464&lt;'112'!$K$9,$N464='112'!$I$6)),"x",""))</f>
        <v/>
      </c>
      <c r="V464" s="84" t="str">
        <f>IF(ISERROR(FIND('112'!$M$9,G464,1)),"",IF((AND(RIGHT(G464,2)=RIGHT('112'!$M$9,2),B464&lt;'112'!$K$9,$O464='112'!$I$6)),"x",""))</f>
        <v/>
      </c>
      <c r="W464" s="84" t="str">
        <f>IF(AND('341-CT'!$H$9=H464,OR(LEFT(N464,3)=$W$7,LEFT(O464,3)=$W$7)),"x","")</f>
        <v/>
      </c>
      <c r="X464" s="84" t="str">
        <f>IF(OR(TH!N464=TH!$X$7,O464=TH!$X$7),"x","")</f>
        <v/>
      </c>
      <c r="Y464" s="84" t="str">
        <f>IF(AND(OR(N464="131",O464="131"),H464='131-CT'!$H$9),"x","")</f>
        <v/>
      </c>
      <c r="Z464" s="84"/>
      <c r="AA464" s="84" t="str">
        <f>IF(AND(MONTH(E464)='IN-NX'!$J$5,'IN-NX'!$D$7=D464),"x","")</f>
        <v/>
      </c>
      <c r="AB464" s="84" t="str">
        <f>IF(AND(OR(LEFT(TH!N464,2)="15",LEFT(TH!O464,2)="15"),LEFT(TH!O464,3)&lt;&gt;"111",'152-CT'!$J$8=TH!F464),"x","")</f>
        <v/>
      </c>
      <c r="AC464" s="84" t="str">
        <f>IF(AND(OR(LEFT(TH!N464,2)="15",LEFT(TH!O464,2)="15"),TK!$E$7=TH!F464),"x","")</f>
        <v/>
      </c>
      <c r="AD464" s="84" t="str">
        <f>IF(AND(N464="1521",MONTH(C464)='BK-NL'!$M$11),"x","")</f>
        <v/>
      </c>
    </row>
    <row r="465" spans="1:31" s="341" customFormat="1" ht="15.75" hidden="1" customHeight="1">
      <c r="A465" s="336" t="str">
        <f>IF(B465&lt;&gt;"",IF(AND(B465='IN-TC'!$S$4,OR(TH!N465="1111",TH!O465="1111")),TH!D465,""),"")</f>
        <v/>
      </c>
      <c r="B465" s="63">
        <f t="shared" si="95"/>
        <v>8</v>
      </c>
      <c r="C465" s="64">
        <v>42604</v>
      </c>
      <c r="D465" s="64" t="s">
        <v>690</v>
      </c>
      <c r="E465" s="64">
        <f>C465</f>
        <v>42604</v>
      </c>
      <c r="F465" s="67" t="s">
        <v>387</v>
      </c>
      <c r="G465" s="67"/>
      <c r="H465" s="73" t="s">
        <v>449</v>
      </c>
      <c r="I465" s="441">
        <v>540</v>
      </c>
      <c r="J465" s="441">
        <v>5000</v>
      </c>
      <c r="K465" s="432"/>
      <c r="L465" s="441"/>
      <c r="M465" s="65">
        <f t="shared" si="96"/>
        <v>2700000</v>
      </c>
      <c r="N465" s="66" t="s">
        <v>282</v>
      </c>
      <c r="O465" s="66" t="s">
        <v>276</v>
      </c>
      <c r="P465" s="84" t="str">
        <f>IF(AND('331-CT'!$E$7=TH!H465,OR(N465="331",O465="331")),"x","")</f>
        <v/>
      </c>
      <c r="Q465" s="84" t="str">
        <f>IF(AND(B465='111'!$L$11,OR($N465=$Q$7,$O465=$Q$7)),"x","")</f>
        <v/>
      </c>
      <c r="R465" s="84" t="str">
        <f>IF(AND($N465=$Q$7,$B465&lt;'111'!$L$11),"x","")</f>
        <v/>
      </c>
      <c r="S465" s="84" t="str">
        <f>IF(AND($O465=$Q$7,$B465&lt;'111'!$L$11),"x","")</f>
        <v/>
      </c>
      <c r="T465" s="84" t="str">
        <f>IF(ISERROR(FIND('112'!$M$9,G465,1)),"",IF((AND(FIND('112'!$M$9,G465,1)&gt;=1,B465='112'!$K$9,OR($N465='112'!$I$6,$O465='112'!$I$6))),"x",""))</f>
        <v/>
      </c>
      <c r="U465" s="84" t="str">
        <f>IF(ISERROR(FIND('112'!$M$9,G465,1)),"",IF((AND(LEFT(G465,2)=LEFT('112'!$M$9,2),B465&lt;'112'!$K$9,$N465='112'!$I$6)),"x",""))</f>
        <v/>
      </c>
      <c r="V465" s="84" t="str">
        <f>IF(ISERROR(FIND('112'!$M$9,G465,1)),"",IF((AND(RIGHT(G465,2)=RIGHT('112'!$M$9,2),B465&lt;'112'!$K$9,$O465='112'!$I$6)),"x",""))</f>
        <v/>
      </c>
      <c r="W465" s="84" t="str">
        <f>IF(AND('341-CT'!$H$9=H465,OR(LEFT(N465,3)=$W$7,LEFT(O465,3)=$W$7)),"x","")</f>
        <v/>
      </c>
      <c r="X465" s="84" t="str">
        <f>IF(OR(TH!N465=TH!$X$7,O465=TH!$X$7),"x","")</f>
        <v/>
      </c>
      <c r="Y465" s="84" t="str">
        <f>IF(AND(OR(N465="131",O465="131"),H465='131-CT'!$H$9),"x","")</f>
        <v/>
      </c>
      <c r="Z465" s="84"/>
      <c r="AA465" s="84" t="str">
        <f>IF(AND(MONTH(E465)='IN-NX'!$J$5,'IN-NX'!$D$7=D465),"x","")</f>
        <v/>
      </c>
      <c r="AB465" s="84" t="str">
        <f>IF(AND(OR(LEFT(TH!N465,2)="15",LEFT(TH!O465,2)="15"),LEFT(TH!O465,3)&lt;&gt;"111",'152-CT'!$J$8=TH!F465),"x","")</f>
        <v/>
      </c>
      <c r="AC465" s="84" t="str">
        <f>IF(AND(OR(LEFT(TH!N465,2)="15",LEFT(TH!O465,2)="15"),TK!$E$7=TH!F465),"x","")</f>
        <v/>
      </c>
      <c r="AD465" s="84" t="str">
        <f>IF(AND(N465="1521",MONTH(C465)='BK-NL'!$M$11),"x","")</f>
        <v/>
      </c>
    </row>
    <row r="466" spans="1:31" s="341" customFormat="1" ht="15.75" hidden="1" customHeight="1">
      <c r="A466" s="336" t="str">
        <f>IF(B466&lt;&gt;"",IF(AND(B466='IN-TC'!$S$4,OR(TH!N466="1111",TH!O466="1111")),TH!D466,""),"")</f>
        <v/>
      </c>
      <c r="B466" s="63">
        <f t="shared" si="95"/>
        <v>8</v>
      </c>
      <c r="C466" s="64">
        <v>42604</v>
      </c>
      <c r="D466" s="64" t="s">
        <v>690</v>
      </c>
      <c r="E466" s="64">
        <f>C466</f>
        <v>42604</v>
      </c>
      <c r="F466" s="67" t="s">
        <v>387</v>
      </c>
      <c r="G466" s="67"/>
      <c r="H466" s="73" t="s">
        <v>449</v>
      </c>
      <c r="I466" s="441">
        <v>20</v>
      </c>
      <c r="J466" s="441">
        <v>5000</v>
      </c>
      <c r="K466" s="432"/>
      <c r="L466" s="441"/>
      <c r="M466" s="65">
        <f t="shared" si="96"/>
        <v>100000</v>
      </c>
      <c r="N466" s="66" t="s">
        <v>282</v>
      </c>
      <c r="O466" s="66" t="s">
        <v>276</v>
      </c>
      <c r="P466" s="84" t="str">
        <f>IF(AND('331-CT'!$E$7=TH!H466,OR(N466="331",O466="331")),"x","")</f>
        <v/>
      </c>
      <c r="Q466" s="84" t="str">
        <f>IF(AND(B466='111'!$L$11,OR($N466=$Q$7,$O466=$Q$7)),"x","")</f>
        <v/>
      </c>
      <c r="R466" s="84" t="str">
        <f>IF(AND($N466=$Q$7,$B466&lt;'111'!$L$11),"x","")</f>
        <v/>
      </c>
      <c r="S466" s="84" t="str">
        <f>IF(AND($O466=$Q$7,$B466&lt;'111'!$L$11),"x","")</f>
        <v/>
      </c>
      <c r="T466" s="84" t="str">
        <f>IF(ISERROR(FIND('112'!$M$9,G466,1)),"",IF((AND(FIND('112'!$M$9,G466,1)&gt;=1,B466='112'!$K$9,OR($N466='112'!$I$6,$O466='112'!$I$6))),"x",""))</f>
        <v/>
      </c>
      <c r="U466" s="84" t="str">
        <f>IF(ISERROR(FIND('112'!$M$9,G466,1)),"",IF((AND(LEFT(G466,2)=LEFT('112'!$M$9,2),B466&lt;'112'!$K$9,$N466='112'!$I$6)),"x",""))</f>
        <v/>
      </c>
      <c r="V466" s="84" t="str">
        <f>IF(ISERROR(FIND('112'!$M$9,G466,1)),"",IF((AND(RIGHT(G466,2)=RIGHT('112'!$M$9,2),B466&lt;'112'!$K$9,$O466='112'!$I$6)),"x",""))</f>
        <v/>
      </c>
      <c r="W466" s="84" t="str">
        <f>IF(AND('341-CT'!$H$9=H466,OR(LEFT(N466,3)=$W$7,LEFT(O466,3)=$W$7)),"x","")</f>
        <v/>
      </c>
      <c r="X466" s="84" t="str">
        <f>IF(OR(TH!N466=TH!$X$7,O466=TH!$X$7),"x","")</f>
        <v/>
      </c>
      <c r="Y466" s="84" t="str">
        <f>IF(AND(OR(N466="131",O466="131"),H466='131-CT'!$H$9),"x","")</f>
        <v/>
      </c>
      <c r="Z466" s="84"/>
      <c r="AA466" s="84" t="str">
        <f>IF(AND(MONTH(E466)='IN-NX'!$J$5,'IN-NX'!$D$7=D466),"x","")</f>
        <v/>
      </c>
      <c r="AB466" s="84" t="str">
        <f>IF(AND(OR(LEFT(TH!N466,2)="15",LEFT(TH!O466,2)="15"),LEFT(TH!O466,3)&lt;&gt;"111",'152-CT'!$J$8=TH!F466),"x","")</f>
        <v/>
      </c>
      <c r="AC466" s="84" t="str">
        <f>IF(AND(OR(LEFT(TH!N466,2)="15",LEFT(TH!O466,2)="15"),TK!$E$7=TH!F466),"x","")</f>
        <v/>
      </c>
      <c r="AD466" s="84" t="str">
        <f>IF(AND(N466="1521",MONTH(C466)='BK-NL'!$M$11),"x","")</f>
        <v/>
      </c>
    </row>
    <row r="467" spans="1:31" s="341" customFormat="1" ht="15.75" hidden="1" customHeight="1">
      <c r="A467" s="336" t="str">
        <f>IF(B467&lt;&gt;"",IF(AND(B467='IN-TC'!$S$4,OR(TH!N467="1111",TH!O467="1111")),TH!D467,""),"")</f>
        <v/>
      </c>
      <c r="B467" s="63">
        <f t="shared" si="95"/>
        <v>8</v>
      </c>
      <c r="C467" s="64">
        <v>42606</v>
      </c>
      <c r="D467" s="64" t="s">
        <v>691</v>
      </c>
      <c r="E467" s="64">
        <f>C467</f>
        <v>42606</v>
      </c>
      <c r="F467" s="67" t="s">
        <v>1838</v>
      </c>
      <c r="G467" s="67"/>
      <c r="H467" s="73" t="s">
        <v>449</v>
      </c>
      <c r="I467" s="441">
        <v>120</v>
      </c>
      <c r="J467" s="441">
        <v>11000</v>
      </c>
      <c r="K467" s="432"/>
      <c r="L467" s="441"/>
      <c r="M467" s="65">
        <f t="shared" si="96"/>
        <v>1320000</v>
      </c>
      <c r="N467" s="66" t="s">
        <v>282</v>
      </c>
      <c r="O467" s="66" t="s">
        <v>276</v>
      </c>
      <c r="P467" s="84" t="str">
        <f>IF(AND('331-CT'!$E$7=TH!H467,OR(N467="331",O467="331")),"x","")</f>
        <v/>
      </c>
      <c r="Q467" s="84" t="str">
        <f>IF(AND(B467='111'!$L$11,OR($N467=$Q$7,$O467=$Q$7)),"x","")</f>
        <v/>
      </c>
      <c r="R467" s="84" t="str">
        <f>IF(AND($N467=$Q$7,$B467&lt;'111'!$L$11),"x","")</f>
        <v/>
      </c>
      <c r="S467" s="84" t="str">
        <f>IF(AND($O467=$Q$7,$B467&lt;'111'!$L$11),"x","")</f>
        <v/>
      </c>
      <c r="T467" s="84" t="str">
        <f>IF(ISERROR(FIND('112'!$M$9,G467,1)),"",IF((AND(FIND('112'!$M$9,G467,1)&gt;=1,B467='112'!$K$9,OR($N467='112'!$I$6,$O467='112'!$I$6))),"x",""))</f>
        <v/>
      </c>
      <c r="U467" s="84" t="str">
        <f>IF(ISERROR(FIND('112'!$M$9,G467,1)),"",IF((AND(LEFT(G467,2)=LEFT('112'!$M$9,2),B467&lt;'112'!$K$9,$N467='112'!$I$6)),"x",""))</f>
        <v/>
      </c>
      <c r="V467" s="84" t="str">
        <f>IF(ISERROR(FIND('112'!$M$9,G467,1)),"",IF((AND(RIGHT(G467,2)=RIGHT('112'!$M$9,2),B467&lt;'112'!$K$9,$O467='112'!$I$6)),"x",""))</f>
        <v/>
      </c>
      <c r="W467" s="84" t="str">
        <f>IF(AND('341-CT'!$H$9=H467,OR(LEFT(N467,3)=$W$7,LEFT(O467,3)=$W$7)),"x","")</f>
        <v/>
      </c>
      <c r="X467" s="84" t="str">
        <f>IF(OR(TH!N467=TH!$X$7,O467=TH!$X$7),"x","")</f>
        <v/>
      </c>
      <c r="Y467" s="84" t="str">
        <f>IF(AND(OR(N467="131",O467="131"),H467='131-CT'!$H$9),"x","")</f>
        <v/>
      </c>
      <c r="Z467" s="84"/>
      <c r="AA467" s="84" t="str">
        <f>IF(AND(MONTH(E467)='IN-NX'!$J$5,'IN-NX'!$D$7=D467),"x","")</f>
        <v/>
      </c>
      <c r="AB467" s="84" t="str">
        <f>IF(AND(OR(LEFT(TH!N467,2)="15",LEFT(TH!O467,2)="15"),LEFT(TH!O467,3)&lt;&gt;"111",'152-CT'!$J$8=TH!F467),"x","")</f>
        <v/>
      </c>
      <c r="AC467" s="84" t="str">
        <f>IF(AND(OR(LEFT(TH!N467,2)="15",LEFT(TH!O467,2)="15"),TK!$E$7=TH!F467),"x","")</f>
        <v/>
      </c>
      <c r="AD467" s="84" t="str">
        <f>IF(AND(N467="1521",MONTH(C467)='BK-NL'!$M$11),"x","")</f>
        <v/>
      </c>
    </row>
    <row r="468" spans="1:31" ht="15.75" hidden="1" customHeight="1">
      <c r="A468" s="336" t="str">
        <f>IF(B468&lt;&gt;"",IF(AND(B468='IN-TC'!$S$4,OR(TH!N468="1111",TH!O468="1111")),TH!D468,""),"")</f>
        <v/>
      </c>
      <c r="B468" s="63">
        <f t="shared" si="95"/>
        <v>1</v>
      </c>
      <c r="C468" s="80">
        <f>E468</f>
        <v>42374</v>
      </c>
      <c r="D468" s="80" t="s">
        <v>934</v>
      </c>
      <c r="E468" s="80">
        <v>42374</v>
      </c>
      <c r="F468" s="81" t="s">
        <v>684</v>
      </c>
      <c r="G468" s="81"/>
      <c r="H468" s="89" t="s">
        <v>428</v>
      </c>
      <c r="I468" s="438">
        <v>7150</v>
      </c>
      <c r="J468" s="438">
        <v>16000</v>
      </c>
      <c r="K468" s="429"/>
      <c r="L468" s="438"/>
      <c r="M468" s="83">
        <f t="shared" si="96"/>
        <v>114400000</v>
      </c>
      <c r="N468" s="84" t="s">
        <v>274</v>
      </c>
      <c r="O468" s="84" t="s">
        <v>8</v>
      </c>
      <c r="P468" s="84" t="str">
        <f>IF(AND('331-CT'!$E$7=TH!H468,OR(N468="331",O468="331")),"x","")</f>
        <v/>
      </c>
      <c r="Q468" s="84" t="str">
        <f>IF(AND(B468='111'!$L$11,OR($N468=$Q$7,$O468=$Q$7)),"x","")</f>
        <v/>
      </c>
      <c r="R468" s="84" t="str">
        <f>IF(AND($N468=$Q$7,$B468&lt;'111'!$L$11),"x","")</f>
        <v/>
      </c>
      <c r="S468" s="84" t="str">
        <f>IF(AND($O468=$Q$7,$B468&lt;'111'!$L$11),"x","")</f>
        <v/>
      </c>
      <c r="T468" s="84" t="str">
        <f>IF(ISERROR(FIND('112'!$M$9,G468,1)),"",IF((AND(FIND('112'!$M$9,G468,1)&gt;=1,B468='112'!$K$9,OR($N468='112'!$I$6,$O468='112'!$I$6))),"x",""))</f>
        <v/>
      </c>
      <c r="U468" s="84" t="str">
        <f>IF(ISERROR(FIND('112'!$M$9,G468,1)),"",IF((AND(LEFT(G468,2)=LEFT('112'!$M$9,2),B468&lt;'112'!$K$9,$N468='112'!$I$6)),"x",""))</f>
        <v/>
      </c>
      <c r="V468" s="84" t="str">
        <f>IF(ISERROR(FIND('112'!$M$9,G468,1)),"",IF((AND(RIGHT(G468,2)=RIGHT('112'!$M$9,2),B468&lt;'112'!$K$9,$O468='112'!$I$6)),"x",""))</f>
        <v/>
      </c>
      <c r="W468" s="84" t="str">
        <f>IF(AND('341-CT'!$H$9=H468,OR(LEFT(N468,3)=$W$7,LEFT(O468,3)=$W$7)),"x","")</f>
        <v/>
      </c>
      <c r="X468" s="84" t="str">
        <f>IF(OR(TH!N468=TH!$X$7,O468=TH!$X$7),"x","")</f>
        <v/>
      </c>
      <c r="Y468" s="84" t="str">
        <f>IF(AND(OR(N468="131",O468="131"),H468='131-CT'!$H$9),"x","")</f>
        <v/>
      </c>
      <c r="Z468" s="84"/>
      <c r="AA468" s="84" t="str">
        <f>IF(AND(MONTH(E468)='IN-NX'!$J$5,'IN-NX'!$D$7=D468),"x","")</f>
        <v/>
      </c>
      <c r="AB468" s="84" t="str">
        <f>IF(AND(OR(LEFT(TH!N468,2)="15",LEFT(TH!O468,2)="15"),LEFT(TH!O468,3)&lt;&gt;"111",'152-CT'!$J$8=TH!F468),"x","")</f>
        <v/>
      </c>
      <c r="AC468" s="84" t="str">
        <f>IF(AND(OR(LEFT(TH!N468,2)="15",LEFT(TH!O468,2)="15"),TK!$E$7=TH!F468),"x","")</f>
        <v/>
      </c>
      <c r="AD468" s="84" t="str">
        <f>IF(AND(N468="1521",MONTH(C468)='BK-NL'!$M$11),"x","")</f>
        <v/>
      </c>
      <c r="AE468" s="1146" t="str">
        <f t="shared" ref="AE468:AE478" si="97">IF(H468&lt;&gt;VLOOKUP(H468,DSKH,1,0),"","x")</f>
        <v>x</v>
      </c>
    </row>
    <row r="469" spans="1:31" ht="15.75" hidden="1" customHeight="1">
      <c r="A469" s="336" t="str">
        <f>IF(B469&lt;&gt;"",IF(AND(B469='IN-TC'!$S$4,OR(TH!N469="1111",TH!O469="1111")),TH!D469,""),"")</f>
        <v/>
      </c>
      <c r="B469" s="63">
        <f t="shared" si="95"/>
        <v>1</v>
      </c>
      <c r="C469" s="80">
        <f t="shared" ref="C469:C482" si="98">E469</f>
        <v>42374</v>
      </c>
      <c r="D469" s="80" t="s">
        <v>935</v>
      </c>
      <c r="E469" s="80">
        <v>42374</v>
      </c>
      <c r="F469" s="81" t="s">
        <v>684</v>
      </c>
      <c r="G469" s="81"/>
      <c r="H469" s="82" t="s">
        <v>431</v>
      </c>
      <c r="I469" s="437">
        <v>6870</v>
      </c>
      <c r="J469" s="438">
        <v>16000</v>
      </c>
      <c r="K469" s="428"/>
      <c r="L469" s="437"/>
      <c r="M469" s="83">
        <f t="shared" ref="M469:M482" si="99">ROUND(I469*J469,0)</f>
        <v>109920000</v>
      </c>
      <c r="N469" s="84" t="s">
        <v>274</v>
      </c>
      <c r="O469" s="84" t="s">
        <v>8</v>
      </c>
      <c r="P469" s="84" t="str">
        <f>IF(AND('331-CT'!$E$7=TH!H469,OR(N469="331",O469="331")),"x","")</f>
        <v/>
      </c>
      <c r="Q469" s="84" t="str">
        <f>IF(AND(B469='111'!$L$11,OR($N469=$Q$7,$O469=$Q$7)),"x","")</f>
        <v/>
      </c>
      <c r="R469" s="84" t="str">
        <f>IF(AND($N469=$Q$7,$B469&lt;'111'!$L$11),"x","")</f>
        <v/>
      </c>
      <c r="S469" s="84" t="str">
        <f>IF(AND($O469=$Q$7,$B469&lt;'111'!$L$11),"x","")</f>
        <v/>
      </c>
      <c r="T469" s="84" t="str">
        <f>IF(ISERROR(FIND('112'!$M$9,G469,1)),"",IF((AND(FIND('112'!$M$9,G469,1)&gt;=1,B469='112'!$K$9,OR($N469='112'!$I$6,$O469='112'!$I$6))),"x",""))</f>
        <v/>
      </c>
      <c r="U469" s="84" t="str">
        <f>IF(ISERROR(FIND('112'!$M$9,G469,1)),"",IF((AND(LEFT(G469,2)=LEFT('112'!$M$9,2),B469&lt;'112'!$K$9,$N469='112'!$I$6)),"x",""))</f>
        <v/>
      </c>
      <c r="V469" s="84" t="str">
        <f>IF(ISERROR(FIND('112'!$M$9,G469,1)),"",IF((AND(RIGHT(G469,2)=RIGHT('112'!$M$9,2),B469&lt;'112'!$K$9,$O469='112'!$I$6)),"x",""))</f>
        <v/>
      </c>
      <c r="W469" s="84" t="str">
        <f>IF(AND('341-CT'!$H$9=H469,OR(LEFT(N469,3)=$W$7,LEFT(O469,3)=$W$7)),"x","")</f>
        <v/>
      </c>
      <c r="X469" s="84" t="str">
        <f>IF(OR(TH!N469=TH!$X$7,O469=TH!$X$7),"x","")</f>
        <v/>
      </c>
      <c r="Y469" s="84" t="str">
        <f>IF(AND(OR(N469="131",O469="131"),H469='131-CT'!$H$9),"x","")</f>
        <v/>
      </c>
      <c r="Z469" s="84"/>
      <c r="AA469" s="84" t="str">
        <f>IF(AND(MONTH(E469)='IN-NX'!$J$5,'IN-NX'!$D$7=D469),"x","")</f>
        <v/>
      </c>
      <c r="AB469" s="84" t="str">
        <f>IF(AND(OR(LEFT(TH!N469,2)="15",LEFT(TH!O469,2)="15"),LEFT(TH!O469,3)&lt;&gt;"111",'152-CT'!$J$8=TH!F469),"x","")</f>
        <v/>
      </c>
      <c r="AC469" s="84" t="str">
        <f>IF(AND(OR(LEFT(TH!N469,2)="15",LEFT(TH!O469,2)="15"),TK!$E$7=TH!F469),"x","")</f>
        <v/>
      </c>
      <c r="AD469" s="84" t="str">
        <f>IF(AND(N469="1521",MONTH(C469)='BK-NL'!$M$11),"x","")</f>
        <v/>
      </c>
      <c r="AE469" s="1146" t="str">
        <f t="shared" si="97"/>
        <v>x</v>
      </c>
    </row>
    <row r="470" spans="1:31" ht="15.75" hidden="1" customHeight="1">
      <c r="A470" s="336" t="str">
        <f>IF(B470&lt;&gt;"",IF(AND(B470='IN-TC'!$S$4,OR(TH!N470="1111",TH!O470="1111")),TH!D470,""),"")</f>
        <v/>
      </c>
      <c r="B470" s="63">
        <f t="shared" si="95"/>
        <v>1</v>
      </c>
      <c r="C470" s="80">
        <f t="shared" si="98"/>
        <v>42374</v>
      </c>
      <c r="D470" s="80" t="s">
        <v>936</v>
      </c>
      <c r="E470" s="80">
        <v>42374</v>
      </c>
      <c r="F470" s="81" t="s">
        <v>684</v>
      </c>
      <c r="G470" s="81"/>
      <c r="H470" s="82" t="s">
        <v>433</v>
      </c>
      <c r="I470" s="437">
        <v>7120</v>
      </c>
      <c r="J470" s="438">
        <v>16000</v>
      </c>
      <c r="K470" s="428"/>
      <c r="L470" s="437"/>
      <c r="M470" s="83">
        <f t="shared" si="99"/>
        <v>113920000</v>
      </c>
      <c r="N470" s="84" t="s">
        <v>274</v>
      </c>
      <c r="O470" s="84" t="s">
        <v>8</v>
      </c>
      <c r="P470" s="84" t="str">
        <f>IF(AND('331-CT'!$E$7=TH!H470,OR(N470="331",O470="331")),"x","")</f>
        <v/>
      </c>
      <c r="Q470" s="84" t="str">
        <f>IF(AND(B470='111'!$L$11,OR($N470=$Q$7,$O470=$Q$7)),"x","")</f>
        <v/>
      </c>
      <c r="R470" s="84" t="str">
        <f>IF(AND($N470=$Q$7,$B470&lt;'111'!$L$11),"x","")</f>
        <v/>
      </c>
      <c r="S470" s="84" t="str">
        <f>IF(AND($O470=$Q$7,$B470&lt;'111'!$L$11),"x","")</f>
        <v/>
      </c>
      <c r="T470" s="84" t="str">
        <f>IF(ISERROR(FIND('112'!$M$9,G470,1)),"",IF((AND(FIND('112'!$M$9,G470,1)&gt;=1,B470='112'!$K$9,OR($N470='112'!$I$6,$O470='112'!$I$6))),"x",""))</f>
        <v/>
      </c>
      <c r="U470" s="84" t="str">
        <f>IF(ISERROR(FIND('112'!$M$9,G470,1)),"",IF((AND(LEFT(G470,2)=LEFT('112'!$M$9,2),B470&lt;'112'!$K$9,$N470='112'!$I$6)),"x",""))</f>
        <v/>
      </c>
      <c r="V470" s="84" t="str">
        <f>IF(ISERROR(FIND('112'!$M$9,G470,1)),"",IF((AND(RIGHT(G470,2)=RIGHT('112'!$M$9,2),B470&lt;'112'!$K$9,$O470='112'!$I$6)),"x",""))</f>
        <v/>
      </c>
      <c r="W470" s="84" t="str">
        <f>IF(AND('341-CT'!$H$9=H470,OR(LEFT(N470,3)=$W$7,LEFT(O470,3)=$W$7)),"x","")</f>
        <v/>
      </c>
      <c r="X470" s="84" t="str">
        <f>IF(OR(TH!N470=TH!$X$7,O470=TH!$X$7),"x","")</f>
        <v/>
      </c>
      <c r="Y470" s="84" t="str">
        <f>IF(AND(OR(N470="131",O470="131"),H470='131-CT'!$H$9),"x","")</f>
        <v/>
      </c>
      <c r="Z470" s="84"/>
      <c r="AA470" s="84" t="str">
        <f>IF(AND(MONTH(E470)='IN-NX'!$J$5,'IN-NX'!$D$7=D470),"x","")</f>
        <v/>
      </c>
      <c r="AB470" s="84" t="str">
        <f>IF(AND(OR(LEFT(TH!N470,2)="15",LEFT(TH!O470,2)="15"),LEFT(TH!O470,3)&lt;&gt;"111",'152-CT'!$J$8=TH!F470),"x","")</f>
        <v/>
      </c>
      <c r="AC470" s="84" t="str">
        <f>IF(AND(OR(LEFT(TH!N470,2)="15",LEFT(TH!O470,2)="15"),TK!$E$7=TH!F470),"x","")</f>
        <v/>
      </c>
      <c r="AD470" s="84" t="str">
        <f>IF(AND(N470="1521",MONTH(C470)='BK-NL'!$M$11),"x","")</f>
        <v/>
      </c>
      <c r="AE470" s="1146" t="str">
        <f t="shared" si="97"/>
        <v>x</v>
      </c>
    </row>
    <row r="471" spans="1:31" ht="15.75" hidden="1" customHeight="1">
      <c r="A471" s="336" t="str">
        <f>IF(B471&lt;&gt;"",IF(AND(B471='IN-TC'!$S$4,OR(TH!N471="1111",TH!O471="1111")),TH!D471,""),"")</f>
        <v/>
      </c>
      <c r="B471" s="63">
        <f t="shared" si="95"/>
        <v>1</v>
      </c>
      <c r="C471" s="80">
        <f t="shared" si="98"/>
        <v>42380</v>
      </c>
      <c r="D471" s="80" t="s">
        <v>937</v>
      </c>
      <c r="E471" s="80">
        <v>42380</v>
      </c>
      <c r="F471" s="81" t="s">
        <v>684</v>
      </c>
      <c r="G471" s="81"/>
      <c r="H471" s="82" t="s">
        <v>431</v>
      </c>
      <c r="I471" s="437">
        <v>6854</v>
      </c>
      <c r="J471" s="438">
        <v>16000</v>
      </c>
      <c r="K471" s="428"/>
      <c r="L471" s="437"/>
      <c r="M471" s="83">
        <f t="shared" si="99"/>
        <v>109664000</v>
      </c>
      <c r="N471" s="84" t="s">
        <v>274</v>
      </c>
      <c r="O471" s="84" t="s">
        <v>8</v>
      </c>
      <c r="P471" s="84" t="str">
        <f>IF(AND('331-CT'!$E$7=TH!H471,OR(N471="331",O471="331")),"x","")</f>
        <v/>
      </c>
      <c r="Q471" s="84" t="str">
        <f>IF(AND(B471='111'!$L$11,OR($N471=$Q$7,$O471=$Q$7)),"x","")</f>
        <v/>
      </c>
      <c r="R471" s="84" t="str">
        <f>IF(AND($N471=$Q$7,$B471&lt;'111'!$L$11),"x","")</f>
        <v/>
      </c>
      <c r="S471" s="84" t="str">
        <f>IF(AND($O471=$Q$7,$B471&lt;'111'!$L$11),"x","")</f>
        <v/>
      </c>
      <c r="T471" s="84" t="str">
        <f>IF(ISERROR(FIND('112'!$M$9,G471,1)),"",IF((AND(FIND('112'!$M$9,G471,1)&gt;=1,B471='112'!$K$9,OR($N471='112'!$I$6,$O471='112'!$I$6))),"x",""))</f>
        <v/>
      </c>
      <c r="U471" s="84" t="str">
        <f>IF(ISERROR(FIND('112'!$M$9,G471,1)),"",IF((AND(LEFT(G471,2)=LEFT('112'!$M$9,2),B471&lt;'112'!$K$9,$N471='112'!$I$6)),"x",""))</f>
        <v/>
      </c>
      <c r="V471" s="84" t="str">
        <f>IF(ISERROR(FIND('112'!$M$9,G471,1)),"",IF((AND(RIGHT(G471,2)=RIGHT('112'!$M$9,2),B471&lt;'112'!$K$9,$O471='112'!$I$6)),"x",""))</f>
        <v/>
      </c>
      <c r="W471" s="84" t="str">
        <f>IF(AND('341-CT'!$H$9=H471,OR(LEFT(N471,3)=$W$7,LEFT(O471,3)=$W$7)),"x","")</f>
        <v/>
      </c>
      <c r="X471" s="84" t="str">
        <f>IF(OR(TH!N471=TH!$X$7,O471=TH!$X$7),"x","")</f>
        <v/>
      </c>
      <c r="Y471" s="84" t="str">
        <f>IF(AND(OR(N471="131",O471="131"),H471='131-CT'!$H$9),"x","")</f>
        <v/>
      </c>
      <c r="Z471" s="84"/>
      <c r="AA471" s="84" t="str">
        <f>IF(AND(MONTH(E471)='IN-NX'!$J$5,'IN-NX'!$D$7=D471),"x","")</f>
        <v/>
      </c>
      <c r="AB471" s="84" t="str">
        <f>IF(AND(OR(LEFT(TH!N471,2)="15",LEFT(TH!O471,2)="15"),LEFT(TH!O471,3)&lt;&gt;"111",'152-CT'!$J$8=TH!F471),"x","")</f>
        <v/>
      </c>
      <c r="AC471" s="84" t="str">
        <f>IF(AND(OR(LEFT(TH!N471,2)="15",LEFT(TH!O471,2)="15"),TK!$E$7=TH!F471),"x","")</f>
        <v/>
      </c>
      <c r="AD471" s="84" t="str">
        <f>IF(AND(N471="1521",MONTH(C471)='BK-NL'!$M$11),"x","")</f>
        <v/>
      </c>
      <c r="AE471" s="1146" t="str">
        <f t="shared" si="97"/>
        <v>x</v>
      </c>
    </row>
    <row r="472" spans="1:31" ht="15.75" hidden="1" customHeight="1">
      <c r="A472" s="336" t="str">
        <f>IF(B472&lt;&gt;"",IF(AND(B472='IN-TC'!$S$4,OR(TH!N472="1111",TH!O472="1111")),TH!D472,""),"")</f>
        <v/>
      </c>
      <c r="B472" s="63">
        <f t="shared" si="95"/>
        <v>1</v>
      </c>
      <c r="C472" s="80">
        <f t="shared" si="98"/>
        <v>42380</v>
      </c>
      <c r="D472" s="80" t="s">
        <v>938</v>
      </c>
      <c r="E472" s="80">
        <v>42380</v>
      </c>
      <c r="F472" s="81" t="s">
        <v>684</v>
      </c>
      <c r="G472" s="81"/>
      <c r="H472" s="82" t="s">
        <v>435</v>
      </c>
      <c r="I472" s="437">
        <v>7460</v>
      </c>
      <c r="J472" s="438">
        <v>16000</v>
      </c>
      <c r="K472" s="428"/>
      <c r="L472" s="437"/>
      <c r="M472" s="83">
        <f t="shared" si="99"/>
        <v>119360000</v>
      </c>
      <c r="N472" s="84" t="s">
        <v>274</v>
      </c>
      <c r="O472" s="84" t="s">
        <v>8</v>
      </c>
      <c r="P472" s="84" t="str">
        <f>IF(AND('331-CT'!$E$7=TH!H472,OR(N472="331",O472="331")),"x","")</f>
        <v/>
      </c>
      <c r="Q472" s="84" t="str">
        <f>IF(AND(B472='111'!$L$11,OR($N472=$Q$7,$O472=$Q$7)),"x","")</f>
        <v/>
      </c>
      <c r="R472" s="84" t="str">
        <f>IF(AND($N472=$Q$7,$B472&lt;'111'!$L$11),"x","")</f>
        <v/>
      </c>
      <c r="S472" s="84" t="str">
        <f>IF(AND($O472=$Q$7,$B472&lt;'111'!$L$11),"x","")</f>
        <v/>
      </c>
      <c r="T472" s="84" t="str">
        <f>IF(ISERROR(FIND('112'!$M$9,G472,1)),"",IF((AND(FIND('112'!$M$9,G472,1)&gt;=1,B472='112'!$K$9,OR($N472='112'!$I$6,$O472='112'!$I$6))),"x",""))</f>
        <v/>
      </c>
      <c r="U472" s="84" t="str">
        <f>IF(ISERROR(FIND('112'!$M$9,G472,1)),"",IF((AND(LEFT(G472,2)=LEFT('112'!$M$9,2),B472&lt;'112'!$K$9,$N472='112'!$I$6)),"x",""))</f>
        <v/>
      </c>
      <c r="V472" s="84" t="str">
        <f>IF(ISERROR(FIND('112'!$M$9,G472,1)),"",IF((AND(RIGHT(G472,2)=RIGHT('112'!$M$9,2),B472&lt;'112'!$K$9,$O472='112'!$I$6)),"x",""))</f>
        <v/>
      </c>
      <c r="W472" s="84" t="str">
        <f>IF(AND('341-CT'!$H$9=H472,OR(LEFT(N472,3)=$W$7,LEFT(O472,3)=$W$7)),"x","")</f>
        <v/>
      </c>
      <c r="X472" s="84" t="str">
        <f>IF(OR(TH!N472=TH!$X$7,O472=TH!$X$7),"x","")</f>
        <v/>
      </c>
      <c r="Y472" s="84" t="str">
        <f>IF(AND(OR(N472="131",O472="131"),H472='131-CT'!$H$9),"x","")</f>
        <v/>
      </c>
      <c r="Z472" s="84"/>
      <c r="AA472" s="84" t="str">
        <f>IF(AND(MONTH(E472)='IN-NX'!$J$5,'IN-NX'!$D$7=D472),"x","")</f>
        <v/>
      </c>
      <c r="AB472" s="84" t="str">
        <f>IF(AND(OR(LEFT(TH!N472,2)="15",LEFT(TH!O472,2)="15"),LEFT(TH!O472,3)&lt;&gt;"111",'152-CT'!$J$8=TH!F472),"x","")</f>
        <v/>
      </c>
      <c r="AC472" s="84" t="str">
        <f>IF(AND(OR(LEFT(TH!N472,2)="15",LEFT(TH!O472,2)="15"),TK!$E$7=TH!F472),"x","")</f>
        <v/>
      </c>
      <c r="AD472" s="84" t="str">
        <f>IF(AND(N472="1521",MONTH(C472)='BK-NL'!$M$11),"x","")</f>
        <v/>
      </c>
      <c r="AE472" s="1146" t="str">
        <f t="shared" si="97"/>
        <v>x</v>
      </c>
    </row>
    <row r="473" spans="1:31" ht="15.75" hidden="1" customHeight="1">
      <c r="A473" s="336" t="str">
        <f>IF(B473&lt;&gt;"",IF(AND(B473='IN-TC'!$S$4,OR(TH!N473="1111",TH!O473="1111")),TH!D473,""),"")</f>
        <v/>
      </c>
      <c r="B473" s="63">
        <f t="shared" si="95"/>
        <v>1</v>
      </c>
      <c r="C473" s="80">
        <f t="shared" si="98"/>
        <v>42380</v>
      </c>
      <c r="D473" s="80" t="s">
        <v>939</v>
      </c>
      <c r="E473" s="80">
        <v>42380</v>
      </c>
      <c r="F473" s="81" t="s">
        <v>684</v>
      </c>
      <c r="G473" s="81"/>
      <c r="H473" s="82" t="s">
        <v>437</v>
      </c>
      <c r="I473" s="437">
        <v>7780</v>
      </c>
      <c r="J473" s="438">
        <v>16000</v>
      </c>
      <c r="K473" s="428"/>
      <c r="L473" s="437"/>
      <c r="M473" s="83">
        <f t="shared" si="99"/>
        <v>124480000</v>
      </c>
      <c r="N473" s="84" t="s">
        <v>274</v>
      </c>
      <c r="O473" s="84" t="s">
        <v>8</v>
      </c>
      <c r="P473" s="84" t="str">
        <f>IF(AND('331-CT'!$E$7=TH!H473,OR(N473="331",O473="331")),"x","")</f>
        <v/>
      </c>
      <c r="Q473" s="84" t="str">
        <f>IF(AND(B473='111'!$L$11,OR($N473=$Q$7,$O473=$Q$7)),"x","")</f>
        <v/>
      </c>
      <c r="R473" s="84" t="str">
        <f>IF(AND($N473=$Q$7,$B473&lt;'111'!$L$11),"x","")</f>
        <v/>
      </c>
      <c r="S473" s="84" t="str">
        <f>IF(AND($O473=$Q$7,$B473&lt;'111'!$L$11),"x","")</f>
        <v/>
      </c>
      <c r="T473" s="84" t="str">
        <f>IF(ISERROR(FIND('112'!$M$9,G473,1)),"",IF((AND(FIND('112'!$M$9,G473,1)&gt;=1,B473='112'!$K$9,OR($N473='112'!$I$6,$O473='112'!$I$6))),"x",""))</f>
        <v/>
      </c>
      <c r="U473" s="84" t="str">
        <f>IF(ISERROR(FIND('112'!$M$9,G473,1)),"",IF((AND(LEFT(G473,2)=LEFT('112'!$M$9,2),B473&lt;'112'!$K$9,$N473='112'!$I$6)),"x",""))</f>
        <v/>
      </c>
      <c r="V473" s="84" t="str">
        <f>IF(ISERROR(FIND('112'!$M$9,G473,1)),"",IF((AND(RIGHT(G473,2)=RIGHT('112'!$M$9,2),B473&lt;'112'!$K$9,$O473='112'!$I$6)),"x",""))</f>
        <v/>
      </c>
      <c r="W473" s="84" t="str">
        <f>IF(AND('341-CT'!$H$9=H473,OR(LEFT(N473,3)=$W$7,LEFT(O473,3)=$W$7)),"x","")</f>
        <v/>
      </c>
      <c r="X473" s="84" t="str">
        <f>IF(OR(TH!N473=TH!$X$7,O473=TH!$X$7),"x","")</f>
        <v/>
      </c>
      <c r="Y473" s="84" t="str">
        <f>IF(AND(OR(N473="131",O473="131"),H473='131-CT'!$H$9),"x","")</f>
        <v/>
      </c>
      <c r="Z473" s="84"/>
      <c r="AA473" s="84" t="str">
        <f>IF(AND(MONTH(E473)='IN-NX'!$J$5,'IN-NX'!$D$7=D473),"x","")</f>
        <v/>
      </c>
      <c r="AB473" s="84" t="str">
        <f>IF(AND(OR(LEFT(TH!N473,2)="15",LEFT(TH!O473,2)="15"),LEFT(TH!O473,3)&lt;&gt;"111",'152-CT'!$J$8=TH!F473),"x","")</f>
        <v/>
      </c>
      <c r="AC473" s="84" t="str">
        <f>IF(AND(OR(LEFT(TH!N473,2)="15",LEFT(TH!O473,2)="15"),TK!$E$7=TH!F473),"x","")</f>
        <v/>
      </c>
      <c r="AD473" s="84" t="str">
        <f>IF(AND(N473="1521",MONTH(C473)='BK-NL'!$M$11),"x","")</f>
        <v/>
      </c>
      <c r="AE473" s="1146" t="str">
        <f t="shared" si="97"/>
        <v>x</v>
      </c>
    </row>
    <row r="474" spans="1:31" ht="15.75" hidden="1" customHeight="1">
      <c r="A474" s="336" t="str">
        <f>IF(B474&lt;&gt;"",IF(AND(B474='IN-TC'!$S$4,OR(TH!N474="1111",TH!O474="1111")),TH!D474,""),"")</f>
        <v/>
      </c>
      <c r="B474" s="63">
        <f t="shared" si="95"/>
        <v>1</v>
      </c>
      <c r="C474" s="80">
        <f t="shared" si="98"/>
        <v>42384</v>
      </c>
      <c r="D474" s="80" t="s">
        <v>940</v>
      </c>
      <c r="E474" s="80">
        <v>42384</v>
      </c>
      <c r="F474" s="81" t="s">
        <v>684</v>
      </c>
      <c r="G474" s="81"/>
      <c r="H474" s="82" t="s">
        <v>438</v>
      </c>
      <c r="I474" s="437">
        <v>7013</v>
      </c>
      <c r="J474" s="438">
        <v>16000</v>
      </c>
      <c r="K474" s="428"/>
      <c r="L474" s="437"/>
      <c r="M474" s="83">
        <f t="shared" si="99"/>
        <v>112208000</v>
      </c>
      <c r="N474" s="84" t="s">
        <v>274</v>
      </c>
      <c r="O474" s="84" t="s">
        <v>8</v>
      </c>
      <c r="P474" s="84" t="str">
        <f>IF(AND('331-CT'!$E$7=TH!H474,OR(N474="331",O474="331")),"x","")</f>
        <v/>
      </c>
      <c r="Q474" s="84" t="str">
        <f>IF(AND(B474='111'!$L$11,OR($N474=$Q$7,$O474=$Q$7)),"x","")</f>
        <v/>
      </c>
      <c r="R474" s="84" t="str">
        <f>IF(AND($N474=$Q$7,$B474&lt;'111'!$L$11),"x","")</f>
        <v/>
      </c>
      <c r="S474" s="84" t="str">
        <f>IF(AND($O474=$Q$7,$B474&lt;'111'!$L$11),"x","")</f>
        <v/>
      </c>
      <c r="T474" s="84" t="str">
        <f>IF(ISERROR(FIND('112'!$M$9,G474,1)),"",IF((AND(FIND('112'!$M$9,G474,1)&gt;=1,B474='112'!$K$9,OR($N474='112'!$I$6,$O474='112'!$I$6))),"x",""))</f>
        <v/>
      </c>
      <c r="U474" s="84" t="str">
        <f>IF(ISERROR(FIND('112'!$M$9,G474,1)),"",IF((AND(LEFT(G474,2)=LEFT('112'!$M$9,2),B474&lt;'112'!$K$9,$N474='112'!$I$6)),"x",""))</f>
        <v/>
      </c>
      <c r="V474" s="84" t="str">
        <f>IF(ISERROR(FIND('112'!$M$9,G474,1)),"",IF((AND(RIGHT(G474,2)=RIGHT('112'!$M$9,2),B474&lt;'112'!$K$9,$O474='112'!$I$6)),"x",""))</f>
        <v/>
      </c>
      <c r="W474" s="84" t="str">
        <f>IF(AND('341-CT'!$H$9=H474,OR(LEFT(N474,3)=$W$7,LEFT(O474,3)=$W$7)),"x","")</f>
        <v/>
      </c>
      <c r="X474" s="84" t="str">
        <f>IF(OR(TH!N474=TH!$X$7,O474=TH!$X$7),"x","")</f>
        <v/>
      </c>
      <c r="Y474" s="84" t="str">
        <f>IF(AND(OR(N474="131",O474="131"),H474='131-CT'!$H$9),"x","")</f>
        <v/>
      </c>
      <c r="Z474" s="84"/>
      <c r="AA474" s="84" t="str">
        <f>IF(AND(MONTH(E474)='IN-NX'!$J$5,'IN-NX'!$D$7=D474),"x","")</f>
        <v/>
      </c>
      <c r="AB474" s="84" t="str">
        <f>IF(AND(OR(LEFT(TH!N474,2)="15",LEFT(TH!O474,2)="15"),LEFT(TH!O474,3)&lt;&gt;"111",'152-CT'!$J$8=TH!F474),"x","")</f>
        <v/>
      </c>
      <c r="AC474" s="84" t="str">
        <f>IF(AND(OR(LEFT(TH!N474,2)="15",LEFT(TH!O474,2)="15"),TK!$E$7=TH!F474),"x","")</f>
        <v/>
      </c>
      <c r="AD474" s="84" t="str">
        <f>IF(AND(N474="1521",MONTH(C474)='BK-NL'!$M$11),"x","")</f>
        <v/>
      </c>
      <c r="AE474" s="1146" t="str">
        <f t="shared" si="97"/>
        <v>x</v>
      </c>
    </row>
    <row r="475" spans="1:31" ht="15.75" hidden="1" customHeight="1">
      <c r="A475" s="336" t="str">
        <f>IF(B475&lt;&gt;"",IF(AND(B475='IN-TC'!$S$4,OR(TH!N475="1111",TH!O475="1111")),TH!D475,""),"")</f>
        <v/>
      </c>
      <c r="B475" s="63">
        <f t="shared" si="95"/>
        <v>1</v>
      </c>
      <c r="C475" s="80">
        <f t="shared" si="98"/>
        <v>42384</v>
      </c>
      <c r="D475" s="80" t="s">
        <v>941</v>
      </c>
      <c r="E475" s="80">
        <v>42384</v>
      </c>
      <c r="F475" s="81" t="s">
        <v>684</v>
      </c>
      <c r="G475" s="81"/>
      <c r="H475" s="82" t="s">
        <v>433</v>
      </c>
      <c r="I475" s="437">
        <v>7480</v>
      </c>
      <c r="J475" s="438">
        <v>16000</v>
      </c>
      <c r="K475" s="428"/>
      <c r="L475" s="437"/>
      <c r="M475" s="83">
        <f t="shared" si="99"/>
        <v>119680000</v>
      </c>
      <c r="N475" s="84" t="s">
        <v>274</v>
      </c>
      <c r="O475" s="84" t="s">
        <v>8</v>
      </c>
      <c r="P475" s="84" t="str">
        <f>IF(AND('331-CT'!$E$7=TH!H475,OR(N475="331",O475="331")),"x","")</f>
        <v/>
      </c>
      <c r="Q475" s="84" t="str">
        <f>IF(AND(B475='111'!$L$11,OR($N475=$Q$7,$O475=$Q$7)),"x","")</f>
        <v/>
      </c>
      <c r="R475" s="84" t="str">
        <f>IF(AND($N475=$Q$7,$B475&lt;'111'!$L$11),"x","")</f>
        <v/>
      </c>
      <c r="S475" s="84" t="str">
        <f>IF(AND($O475=$Q$7,$B475&lt;'111'!$L$11),"x","")</f>
        <v/>
      </c>
      <c r="T475" s="84" t="str">
        <f>IF(ISERROR(FIND('112'!$M$9,G475,1)),"",IF((AND(FIND('112'!$M$9,G475,1)&gt;=1,B475='112'!$K$9,OR($N475='112'!$I$6,$O475='112'!$I$6))),"x",""))</f>
        <v/>
      </c>
      <c r="U475" s="84" t="str">
        <f>IF(ISERROR(FIND('112'!$M$9,G475,1)),"",IF((AND(LEFT(G475,2)=LEFT('112'!$M$9,2),B475&lt;'112'!$K$9,$N475='112'!$I$6)),"x",""))</f>
        <v/>
      </c>
      <c r="V475" s="84" t="str">
        <f>IF(ISERROR(FIND('112'!$M$9,G475,1)),"",IF((AND(RIGHT(G475,2)=RIGHT('112'!$M$9,2),B475&lt;'112'!$K$9,$O475='112'!$I$6)),"x",""))</f>
        <v/>
      </c>
      <c r="W475" s="84" t="str">
        <f>IF(AND('341-CT'!$H$9=H475,OR(LEFT(N475,3)=$W$7,LEFT(O475,3)=$W$7)),"x","")</f>
        <v/>
      </c>
      <c r="X475" s="84" t="str">
        <f>IF(OR(TH!N475=TH!$X$7,O475=TH!$X$7),"x","")</f>
        <v/>
      </c>
      <c r="Y475" s="84" t="str">
        <f>IF(AND(OR(N475="131",O475="131"),H475='131-CT'!$H$9),"x","")</f>
        <v/>
      </c>
      <c r="Z475" s="84"/>
      <c r="AA475" s="84" t="str">
        <f>IF(AND(MONTH(E475)='IN-NX'!$J$5,'IN-NX'!$D$7=D475),"x","")</f>
        <v/>
      </c>
      <c r="AB475" s="84" t="str">
        <f>IF(AND(OR(LEFT(TH!N475,2)="15",LEFT(TH!O475,2)="15"),LEFT(TH!O475,3)&lt;&gt;"111",'152-CT'!$J$8=TH!F475),"x","")</f>
        <v/>
      </c>
      <c r="AC475" s="84" t="str">
        <f>IF(AND(OR(LEFT(TH!N475,2)="15",LEFT(TH!O475,2)="15"),TK!$E$7=TH!F475),"x","")</f>
        <v/>
      </c>
      <c r="AD475" s="84" t="str">
        <f>IF(AND(N475="1521",MONTH(C475)='BK-NL'!$M$11),"x","")</f>
        <v/>
      </c>
      <c r="AE475" s="1146" t="str">
        <f t="shared" si="97"/>
        <v>x</v>
      </c>
    </row>
    <row r="476" spans="1:31" ht="15.75" hidden="1" customHeight="1">
      <c r="A476" s="336" t="str">
        <f>IF(B476&lt;&gt;"",IF(AND(B476='IN-TC'!$S$4,OR(TH!N476="1111",TH!O476="1111")),TH!D476,""),"")</f>
        <v/>
      </c>
      <c r="B476" s="63">
        <f t="shared" si="95"/>
        <v>1</v>
      </c>
      <c r="C476" s="80">
        <f t="shared" si="98"/>
        <v>42384</v>
      </c>
      <c r="D476" s="80" t="s">
        <v>942</v>
      </c>
      <c r="E476" s="80">
        <v>42384</v>
      </c>
      <c r="F476" s="81" t="s">
        <v>684</v>
      </c>
      <c r="G476" s="81"/>
      <c r="H476" s="82" t="s">
        <v>435</v>
      </c>
      <c r="I476" s="437">
        <v>6820</v>
      </c>
      <c r="J476" s="438">
        <v>16000</v>
      </c>
      <c r="K476" s="428"/>
      <c r="L476" s="437"/>
      <c r="M476" s="83">
        <f t="shared" si="99"/>
        <v>109120000</v>
      </c>
      <c r="N476" s="84" t="s">
        <v>274</v>
      </c>
      <c r="O476" s="84" t="s">
        <v>8</v>
      </c>
      <c r="P476" s="84" t="str">
        <f>IF(AND('331-CT'!$E$7=TH!H476,OR(N476="331",O476="331")),"x","")</f>
        <v/>
      </c>
      <c r="Q476" s="84" t="str">
        <f>IF(AND(B476='111'!$L$11,OR($N476=$Q$7,$O476=$Q$7)),"x","")</f>
        <v/>
      </c>
      <c r="R476" s="84" t="str">
        <f>IF(AND($N476=$Q$7,$B476&lt;'111'!$L$11),"x","")</f>
        <v/>
      </c>
      <c r="S476" s="84" t="str">
        <f>IF(AND($O476=$Q$7,$B476&lt;'111'!$L$11),"x","")</f>
        <v/>
      </c>
      <c r="T476" s="84" t="str">
        <f>IF(ISERROR(FIND('112'!$M$9,G476,1)),"",IF((AND(FIND('112'!$M$9,G476,1)&gt;=1,B476='112'!$K$9,OR($N476='112'!$I$6,$O476='112'!$I$6))),"x",""))</f>
        <v/>
      </c>
      <c r="U476" s="84" t="str">
        <f>IF(ISERROR(FIND('112'!$M$9,G476,1)),"",IF((AND(LEFT(G476,2)=LEFT('112'!$M$9,2),B476&lt;'112'!$K$9,$N476='112'!$I$6)),"x",""))</f>
        <v/>
      </c>
      <c r="V476" s="84" t="str">
        <f>IF(ISERROR(FIND('112'!$M$9,G476,1)),"",IF((AND(RIGHT(G476,2)=RIGHT('112'!$M$9,2),B476&lt;'112'!$K$9,$O476='112'!$I$6)),"x",""))</f>
        <v/>
      </c>
      <c r="W476" s="84" t="str">
        <f>IF(AND('341-CT'!$H$9=H476,OR(LEFT(N476,3)=$W$7,LEFT(O476,3)=$W$7)),"x","")</f>
        <v/>
      </c>
      <c r="X476" s="84" t="str">
        <f>IF(OR(TH!N476=TH!$X$7,O476=TH!$X$7),"x","")</f>
        <v/>
      </c>
      <c r="Y476" s="84" t="str">
        <f>IF(AND(OR(N476="131",O476="131"),H476='131-CT'!$H$9),"x","")</f>
        <v/>
      </c>
      <c r="Z476" s="84"/>
      <c r="AA476" s="84" t="str">
        <f>IF(AND(MONTH(E476)='IN-NX'!$J$5,'IN-NX'!$D$7=D476),"x","")</f>
        <v/>
      </c>
      <c r="AB476" s="84" t="str">
        <f>IF(AND(OR(LEFT(TH!N476,2)="15",LEFT(TH!O476,2)="15"),LEFT(TH!O476,3)&lt;&gt;"111",'152-CT'!$J$8=TH!F476),"x","")</f>
        <v/>
      </c>
      <c r="AC476" s="84" t="str">
        <f>IF(AND(OR(LEFT(TH!N476,2)="15",LEFT(TH!O476,2)="15"),TK!$E$7=TH!F476),"x","")</f>
        <v/>
      </c>
      <c r="AD476" s="84" t="str">
        <f>IF(AND(N476="1521",MONTH(C476)='BK-NL'!$M$11),"x","")</f>
        <v/>
      </c>
      <c r="AE476" s="1146" t="str">
        <f t="shared" si="97"/>
        <v>x</v>
      </c>
    </row>
    <row r="477" spans="1:31" ht="15.75" hidden="1" customHeight="1">
      <c r="A477" s="336" t="str">
        <f>IF(B477&lt;&gt;"",IF(AND(B477='IN-TC'!$S$4,OR(TH!N477="1111",TH!O477="1111")),TH!D477,""),"")</f>
        <v/>
      </c>
      <c r="B477" s="63">
        <f t="shared" si="95"/>
        <v>1</v>
      </c>
      <c r="C477" s="80">
        <f t="shared" si="98"/>
        <v>42390</v>
      </c>
      <c r="D477" s="80" t="s">
        <v>943</v>
      </c>
      <c r="E477" s="80">
        <v>42390</v>
      </c>
      <c r="F477" s="81" t="s">
        <v>684</v>
      </c>
      <c r="G477" s="81"/>
      <c r="H477" s="82" t="s">
        <v>444</v>
      </c>
      <c r="I477" s="437">
        <v>7120</v>
      </c>
      <c r="J477" s="438">
        <v>16000</v>
      </c>
      <c r="K477" s="428"/>
      <c r="L477" s="437"/>
      <c r="M477" s="83">
        <f t="shared" si="99"/>
        <v>113920000</v>
      </c>
      <c r="N477" s="84" t="s">
        <v>274</v>
      </c>
      <c r="O477" s="84" t="s">
        <v>8</v>
      </c>
      <c r="P477" s="84" t="str">
        <f>IF(AND('331-CT'!$E$7=TH!H477,OR(N477="331",O477="331")),"x","")</f>
        <v/>
      </c>
      <c r="Q477" s="84" t="str">
        <f>IF(AND(B477='111'!$L$11,OR($N477=$Q$7,$O477=$Q$7)),"x","")</f>
        <v/>
      </c>
      <c r="R477" s="84" t="str">
        <f>IF(AND($N477=$Q$7,$B477&lt;'111'!$L$11),"x","")</f>
        <v/>
      </c>
      <c r="S477" s="84" t="str">
        <f>IF(AND($O477=$Q$7,$B477&lt;'111'!$L$11),"x","")</f>
        <v/>
      </c>
      <c r="T477" s="84" t="str">
        <f>IF(ISERROR(FIND('112'!$M$9,G477,1)),"",IF((AND(FIND('112'!$M$9,G477,1)&gt;=1,B477='112'!$K$9,OR($N477='112'!$I$6,$O477='112'!$I$6))),"x",""))</f>
        <v/>
      </c>
      <c r="U477" s="84" t="str">
        <f>IF(ISERROR(FIND('112'!$M$9,G477,1)),"",IF((AND(LEFT(G477,2)=LEFT('112'!$M$9,2),B477&lt;'112'!$K$9,$N477='112'!$I$6)),"x",""))</f>
        <v/>
      </c>
      <c r="V477" s="84" t="str">
        <f>IF(ISERROR(FIND('112'!$M$9,G477,1)),"",IF((AND(RIGHT(G477,2)=RIGHT('112'!$M$9,2),B477&lt;'112'!$K$9,$O477='112'!$I$6)),"x",""))</f>
        <v/>
      </c>
      <c r="W477" s="84" t="str">
        <f>IF(AND('341-CT'!$H$9=H477,OR(LEFT(N477,3)=$W$7,LEFT(O477,3)=$W$7)),"x","")</f>
        <v/>
      </c>
      <c r="X477" s="84" t="str">
        <f>IF(OR(TH!N477=TH!$X$7,O477=TH!$X$7),"x","")</f>
        <v/>
      </c>
      <c r="Y477" s="84" t="str">
        <f>IF(AND(OR(N477="131",O477="131"),H477='131-CT'!$H$9),"x","")</f>
        <v/>
      </c>
      <c r="Z477" s="84"/>
      <c r="AA477" s="84" t="str">
        <f>IF(AND(MONTH(E477)='IN-NX'!$J$5,'IN-NX'!$D$7=D477),"x","")</f>
        <v/>
      </c>
      <c r="AB477" s="84" t="str">
        <f>IF(AND(OR(LEFT(TH!N477,2)="15",LEFT(TH!O477,2)="15"),LEFT(TH!O477,3)&lt;&gt;"111",'152-CT'!$J$8=TH!F477),"x","")</f>
        <v/>
      </c>
      <c r="AC477" s="84" t="str">
        <f>IF(AND(OR(LEFT(TH!N477,2)="15",LEFT(TH!O477,2)="15"),TK!$E$7=TH!F477),"x","")</f>
        <v/>
      </c>
      <c r="AD477" s="84" t="str">
        <f>IF(AND(N477="1521",MONTH(C477)='BK-NL'!$M$11),"x","")</f>
        <v/>
      </c>
      <c r="AE477" s="1146" t="str">
        <f t="shared" si="97"/>
        <v>x</v>
      </c>
    </row>
    <row r="478" spans="1:31" ht="15.75" hidden="1" customHeight="1">
      <c r="A478" s="336" t="str">
        <f>IF(B478&lt;&gt;"",IF(AND(B478='IN-TC'!$S$4,OR(TH!N478="1111",TH!O478="1111")),TH!D478,""),"")</f>
        <v/>
      </c>
      <c r="B478" s="63">
        <f t="shared" si="95"/>
        <v>1</v>
      </c>
      <c r="C478" s="80">
        <f t="shared" si="98"/>
        <v>42390</v>
      </c>
      <c r="D478" s="80" t="s">
        <v>944</v>
      </c>
      <c r="E478" s="80">
        <v>42390</v>
      </c>
      <c r="F478" s="81" t="s">
        <v>684</v>
      </c>
      <c r="G478" s="81"/>
      <c r="H478" s="82" t="s">
        <v>446</v>
      </c>
      <c r="I478" s="437">
        <v>6433</v>
      </c>
      <c r="J478" s="438">
        <v>16000</v>
      </c>
      <c r="K478" s="428"/>
      <c r="L478" s="437"/>
      <c r="M478" s="83">
        <f t="shared" si="99"/>
        <v>102928000</v>
      </c>
      <c r="N478" s="84" t="s">
        <v>274</v>
      </c>
      <c r="O478" s="84" t="s">
        <v>8</v>
      </c>
      <c r="P478" s="84" t="str">
        <f>IF(AND('331-CT'!$E$7=TH!H478,OR(N478="331",O478="331")),"x","")</f>
        <v/>
      </c>
      <c r="Q478" s="84" t="str">
        <f>IF(AND(B478='111'!$L$11,OR($N478=$Q$7,$O478=$Q$7)),"x","")</f>
        <v/>
      </c>
      <c r="R478" s="84" t="str">
        <f>IF(AND($N478=$Q$7,$B478&lt;'111'!$L$11),"x","")</f>
        <v/>
      </c>
      <c r="S478" s="84" t="str">
        <f>IF(AND($O478=$Q$7,$B478&lt;'111'!$L$11),"x","")</f>
        <v/>
      </c>
      <c r="T478" s="84" t="str">
        <f>IF(ISERROR(FIND('112'!$M$9,G478,1)),"",IF((AND(FIND('112'!$M$9,G478,1)&gt;=1,B478='112'!$K$9,OR($N478='112'!$I$6,$O478='112'!$I$6))),"x",""))</f>
        <v/>
      </c>
      <c r="U478" s="84" t="str">
        <f>IF(ISERROR(FIND('112'!$M$9,G478,1)),"",IF((AND(LEFT(G478,2)=LEFT('112'!$M$9,2),B478&lt;'112'!$K$9,$N478='112'!$I$6)),"x",""))</f>
        <v/>
      </c>
      <c r="V478" s="84" t="str">
        <f>IF(ISERROR(FIND('112'!$M$9,G478,1)),"",IF((AND(RIGHT(G478,2)=RIGHT('112'!$M$9,2),B478&lt;'112'!$K$9,$O478='112'!$I$6)),"x",""))</f>
        <v/>
      </c>
      <c r="W478" s="84" t="str">
        <f>IF(AND('341-CT'!$H$9=H478,OR(LEFT(N478,3)=$W$7,LEFT(O478,3)=$W$7)),"x","")</f>
        <v/>
      </c>
      <c r="X478" s="84" t="str">
        <f>IF(OR(TH!N478=TH!$X$7,O478=TH!$X$7),"x","")</f>
        <v/>
      </c>
      <c r="Y478" s="84" t="str">
        <f>IF(AND(OR(N478="131",O478="131"),H478='131-CT'!$H$9),"x","")</f>
        <v/>
      </c>
      <c r="Z478" s="84"/>
      <c r="AA478" s="84" t="str">
        <f>IF(AND(MONTH(E478)='IN-NX'!$J$5,'IN-NX'!$D$7=D478),"x","")</f>
        <v/>
      </c>
      <c r="AB478" s="84" t="str">
        <f>IF(AND(OR(LEFT(TH!N478,2)="15",LEFT(TH!O478,2)="15"),LEFT(TH!O478,3)&lt;&gt;"111",'152-CT'!$J$8=TH!F478),"x","")</f>
        <v/>
      </c>
      <c r="AC478" s="84" t="str">
        <f>IF(AND(OR(LEFT(TH!N478,2)="15",LEFT(TH!O478,2)="15"),TK!$E$7=TH!F478),"x","")</f>
        <v/>
      </c>
      <c r="AD478" s="84" t="str">
        <f>IF(AND(N478="1521",MONTH(C478)='BK-NL'!$M$11),"x","")</f>
        <v/>
      </c>
      <c r="AE478" s="1146" t="str">
        <f t="shared" si="97"/>
        <v>x</v>
      </c>
    </row>
    <row r="479" spans="1:31" ht="15.75" hidden="1" customHeight="1">
      <c r="A479" s="336" t="str">
        <f>IF(B479&lt;&gt;"",IF(AND(B479='IN-TC'!$S$4,OR(TH!N479="1111",TH!O479="1111")),TH!D479,""),"")</f>
        <v/>
      </c>
      <c r="B479" s="63">
        <f t="shared" si="95"/>
        <v>1</v>
      </c>
      <c r="C479" s="94">
        <f t="shared" si="98"/>
        <v>42376</v>
      </c>
      <c r="D479" s="94" t="s">
        <v>693</v>
      </c>
      <c r="E479" s="94">
        <v>42376</v>
      </c>
      <c r="F479" s="95" t="s">
        <v>684</v>
      </c>
      <c r="G479" s="95"/>
      <c r="H479" s="96" t="s">
        <v>449</v>
      </c>
      <c r="I479" s="445">
        <v>21140</v>
      </c>
      <c r="J479" s="1187">
        <v>16000</v>
      </c>
      <c r="K479" s="436"/>
      <c r="L479" s="445"/>
      <c r="M479" s="97">
        <f t="shared" si="99"/>
        <v>338240000</v>
      </c>
      <c r="N479" s="85" t="s">
        <v>282</v>
      </c>
      <c r="O479" s="85" t="s">
        <v>274</v>
      </c>
      <c r="P479" s="84" t="str">
        <f>IF(AND('331-CT'!$E$7=TH!H479,OR(N479="331",O479="331")),"x","")</f>
        <v/>
      </c>
      <c r="Q479" s="84" t="str">
        <f>IF(AND(B479='111'!$L$11,OR($N479=$Q$7,$O479=$Q$7)),"x","")</f>
        <v/>
      </c>
      <c r="R479" s="84" t="str">
        <f>IF(AND($N479=$Q$7,$B479&lt;'111'!$L$11),"x","")</f>
        <v/>
      </c>
      <c r="S479" s="84" t="str">
        <f>IF(AND($O479=$Q$7,$B479&lt;'111'!$L$11),"x","")</f>
        <v/>
      </c>
      <c r="T479" s="84" t="str">
        <f>IF(ISERROR(FIND('112'!$M$9,G479,1)),"",IF((AND(FIND('112'!$M$9,G479,1)&gt;=1,B479='112'!$K$9,OR($N479='112'!$I$6,$O479='112'!$I$6))),"x",""))</f>
        <v/>
      </c>
      <c r="U479" s="84" t="str">
        <f>IF(ISERROR(FIND('112'!$M$9,G479,1)),"",IF((AND(LEFT(G479,2)=LEFT('112'!$M$9,2),B479&lt;'112'!$K$9,$N479='112'!$I$6)),"x",""))</f>
        <v/>
      </c>
      <c r="V479" s="84" t="str">
        <f>IF(ISERROR(FIND('112'!$M$9,G479,1)),"",IF((AND(RIGHT(G479,2)=RIGHT('112'!$M$9,2),B479&lt;'112'!$K$9,$O479='112'!$I$6)),"x",""))</f>
        <v/>
      </c>
      <c r="W479" s="84" t="str">
        <f>IF(AND('341-CT'!$H$9=H479,OR(LEFT(N479,3)=$W$7,LEFT(O479,3)=$W$7)),"x","")</f>
        <v/>
      </c>
      <c r="X479" s="84" t="str">
        <f>IF(OR(TH!N479=TH!$X$7,O479=TH!$X$7),"x","")</f>
        <v/>
      </c>
      <c r="Y479" s="84" t="str">
        <f>IF(AND(OR(N479="131",O479="131"),H479='131-CT'!$H$9),"x","")</f>
        <v/>
      </c>
      <c r="Z479" s="84"/>
      <c r="AA479" s="84" t="str">
        <f>IF(AND(MONTH(E479)='IN-NX'!$J$5,'IN-NX'!$D$7=D479),"x","")</f>
        <v/>
      </c>
      <c r="AB479" s="84" t="str">
        <f>IF(AND(OR(LEFT(TH!N479,2)="15",LEFT(TH!O479,2)="15"),LEFT(TH!O479,3)&lt;&gt;"111",'152-CT'!$J$8=TH!F479),"x","")</f>
        <v/>
      </c>
      <c r="AC479" s="84" t="str">
        <f>IF(AND(OR(LEFT(TH!N479,2)="15",LEFT(TH!O479,2)="15"),TK!$E$7=TH!F479),"x","")</f>
        <v/>
      </c>
      <c r="AD479" s="84" t="str">
        <f>IF(AND(N479="1521",MONTH(C479)='BK-NL'!$M$11),"x","")</f>
        <v/>
      </c>
    </row>
    <row r="480" spans="1:31" ht="15.75" hidden="1" customHeight="1">
      <c r="A480" s="336" t="str">
        <f>IF(B480&lt;&gt;"",IF(AND(B480='IN-TC'!$S$4,OR(TH!N480="1111",TH!O480="1111")),TH!D480,""),"")</f>
        <v/>
      </c>
      <c r="B480" s="63">
        <f t="shared" si="95"/>
        <v>1</v>
      </c>
      <c r="C480" s="94">
        <f t="shared" si="98"/>
        <v>42380</v>
      </c>
      <c r="D480" s="94" t="s">
        <v>694</v>
      </c>
      <c r="E480" s="94">
        <v>42380</v>
      </c>
      <c r="F480" s="95" t="s">
        <v>684</v>
      </c>
      <c r="G480" s="95"/>
      <c r="H480" s="96" t="s">
        <v>449</v>
      </c>
      <c r="I480" s="445">
        <v>22094</v>
      </c>
      <c r="J480" s="1187">
        <v>16000</v>
      </c>
      <c r="K480" s="436"/>
      <c r="L480" s="445"/>
      <c r="M480" s="97">
        <f t="shared" si="99"/>
        <v>353504000</v>
      </c>
      <c r="N480" s="85" t="s">
        <v>282</v>
      </c>
      <c r="O480" s="85" t="s">
        <v>274</v>
      </c>
      <c r="P480" s="84" t="str">
        <f>IF(AND('331-CT'!$E$7=TH!H480,OR(N480="331",O480="331")),"x","")</f>
        <v/>
      </c>
      <c r="Q480" s="84" t="str">
        <f>IF(AND(B480='111'!$L$11,OR($N480=$Q$7,$O480=$Q$7)),"x","")</f>
        <v/>
      </c>
      <c r="R480" s="84" t="str">
        <f>IF(AND($N480=$Q$7,$B480&lt;'111'!$L$11),"x","")</f>
        <v/>
      </c>
      <c r="S480" s="84" t="str">
        <f>IF(AND($O480=$Q$7,$B480&lt;'111'!$L$11),"x","")</f>
        <v/>
      </c>
      <c r="T480" s="84" t="str">
        <f>IF(ISERROR(FIND('112'!$M$9,G480,1)),"",IF((AND(FIND('112'!$M$9,G480,1)&gt;=1,B480='112'!$K$9,OR($N480='112'!$I$6,$O480='112'!$I$6))),"x",""))</f>
        <v/>
      </c>
      <c r="U480" s="84" t="str">
        <f>IF(ISERROR(FIND('112'!$M$9,G480,1)),"",IF((AND(LEFT(G480,2)=LEFT('112'!$M$9,2),B480&lt;'112'!$K$9,$N480='112'!$I$6)),"x",""))</f>
        <v/>
      </c>
      <c r="V480" s="84" t="str">
        <f>IF(ISERROR(FIND('112'!$M$9,G480,1)),"",IF((AND(RIGHT(G480,2)=RIGHT('112'!$M$9,2),B480&lt;'112'!$K$9,$O480='112'!$I$6)),"x",""))</f>
        <v/>
      </c>
      <c r="W480" s="84" t="str">
        <f>IF(AND('341-CT'!$H$9=H480,OR(LEFT(N480,3)=$W$7,LEFT(O480,3)=$W$7)),"x","")</f>
        <v/>
      </c>
      <c r="X480" s="84" t="str">
        <f>IF(OR(TH!N480=TH!$X$7,O480=TH!$X$7),"x","")</f>
        <v/>
      </c>
      <c r="Y480" s="84" t="str">
        <f>IF(AND(OR(N480="131",O480="131"),H480='131-CT'!$H$9),"x","")</f>
        <v/>
      </c>
      <c r="Z480" s="84"/>
      <c r="AA480" s="84" t="str">
        <f>IF(AND(MONTH(E480)='IN-NX'!$J$5,'IN-NX'!$D$7=D480),"x","")</f>
        <v/>
      </c>
      <c r="AB480" s="84" t="str">
        <f>IF(AND(OR(LEFT(TH!N480,2)="15",LEFT(TH!O480,2)="15"),LEFT(TH!O480,3)&lt;&gt;"111",'152-CT'!$J$8=TH!F480),"x","")</f>
        <v/>
      </c>
      <c r="AC480" s="84" t="str">
        <f>IF(AND(OR(LEFT(TH!N480,2)="15",LEFT(TH!O480,2)="15"),TK!$E$7=TH!F480),"x","")</f>
        <v/>
      </c>
      <c r="AD480" s="84" t="str">
        <f>IF(AND(N480="1521",MONTH(C480)='BK-NL'!$M$11),"x","")</f>
        <v/>
      </c>
    </row>
    <row r="481" spans="1:31" ht="15.75" hidden="1" customHeight="1">
      <c r="A481" s="336" t="str">
        <f>IF(B481&lt;&gt;"",IF(AND(B481='IN-TC'!$S$4,OR(TH!N481="1111",TH!O481="1111")),TH!D481,""),"")</f>
        <v/>
      </c>
      <c r="B481" s="63">
        <f t="shared" si="95"/>
        <v>1</v>
      </c>
      <c r="C481" s="94">
        <f t="shared" si="98"/>
        <v>42384</v>
      </c>
      <c r="D481" s="94" t="s">
        <v>696</v>
      </c>
      <c r="E481" s="94">
        <v>42384</v>
      </c>
      <c r="F481" s="95" t="s">
        <v>684</v>
      </c>
      <c r="G481" s="95"/>
      <c r="H481" s="96" t="s">
        <v>449</v>
      </c>
      <c r="I481" s="1188">
        <v>21313</v>
      </c>
      <c r="J481" s="1187">
        <v>16000</v>
      </c>
      <c r="K481" s="1189"/>
      <c r="L481" s="1188"/>
      <c r="M481" s="97">
        <f t="shared" si="99"/>
        <v>341008000</v>
      </c>
      <c r="N481" s="85" t="s">
        <v>282</v>
      </c>
      <c r="O481" s="85" t="s">
        <v>274</v>
      </c>
      <c r="P481" s="84" t="str">
        <f>IF(AND('331-CT'!$E$7=TH!H481,OR(N481="331",O481="331")),"x","")</f>
        <v/>
      </c>
      <c r="Q481" s="84" t="str">
        <f>IF(AND(B481='111'!$L$11,OR($N481=$Q$7,$O481=$Q$7)),"x","")</f>
        <v/>
      </c>
      <c r="R481" s="84" t="str">
        <f>IF(AND($N481=$Q$7,$B481&lt;'111'!$L$11),"x","")</f>
        <v/>
      </c>
      <c r="S481" s="84" t="str">
        <f>IF(AND($O481=$Q$7,$B481&lt;'111'!$L$11),"x","")</f>
        <v/>
      </c>
      <c r="T481" s="84" t="str">
        <f>IF(ISERROR(FIND('112'!$M$9,G481,1)),"",IF((AND(FIND('112'!$M$9,G481,1)&gt;=1,B481='112'!$K$9,OR($N481='112'!$I$6,$O481='112'!$I$6))),"x",""))</f>
        <v/>
      </c>
      <c r="U481" s="84" t="str">
        <f>IF(ISERROR(FIND('112'!$M$9,G481,1)),"",IF((AND(LEFT(G481,2)=LEFT('112'!$M$9,2),B481&lt;'112'!$K$9,$N481='112'!$I$6)),"x",""))</f>
        <v/>
      </c>
      <c r="V481" s="84" t="str">
        <f>IF(ISERROR(FIND('112'!$M$9,G481,1)),"",IF((AND(RIGHT(G481,2)=RIGHT('112'!$M$9,2),B481&lt;'112'!$K$9,$O481='112'!$I$6)),"x",""))</f>
        <v/>
      </c>
      <c r="W481" s="84" t="str">
        <f>IF(AND('341-CT'!$H$9=H481,OR(LEFT(N481,3)=$W$7,LEFT(O481,3)=$W$7)),"x","")</f>
        <v/>
      </c>
      <c r="X481" s="84" t="str">
        <f>IF(OR(TH!N481=TH!$X$7,O481=TH!$X$7),"x","")</f>
        <v/>
      </c>
      <c r="Y481" s="84" t="str">
        <f>IF(AND(OR(N481="131",O481="131"),H481='131-CT'!$H$9),"x","")</f>
        <v/>
      </c>
      <c r="Z481" s="84"/>
      <c r="AA481" s="84" t="str">
        <f>IF(AND(MONTH(E481)='IN-NX'!$J$5,'IN-NX'!$D$7=D481),"x","")</f>
        <v/>
      </c>
      <c r="AB481" s="84" t="str">
        <f>IF(AND(OR(LEFT(TH!N481,2)="15",LEFT(TH!O481,2)="15"),LEFT(TH!O481,3)&lt;&gt;"111",'152-CT'!$J$8=TH!F481),"x","")</f>
        <v/>
      </c>
      <c r="AC481" s="84" t="str">
        <f>IF(AND(OR(LEFT(TH!N481,2)="15",LEFT(TH!O481,2)="15"),TK!$E$7=TH!F481),"x","")</f>
        <v/>
      </c>
      <c r="AD481" s="84" t="str">
        <f>IF(AND(N481="1521",MONTH(C481)='BK-NL'!$M$11),"x","")</f>
        <v/>
      </c>
    </row>
    <row r="482" spans="1:31" ht="15.75" hidden="1" customHeight="1">
      <c r="A482" s="336" t="str">
        <f>IF(B482&lt;&gt;"",IF(AND(B482='IN-TC'!$S$4,OR(TH!N482="1111",TH!O482="1111")),TH!D482,""),"")</f>
        <v/>
      </c>
      <c r="B482" s="63">
        <f t="shared" si="95"/>
        <v>1</v>
      </c>
      <c r="C482" s="94">
        <f t="shared" si="98"/>
        <v>42388</v>
      </c>
      <c r="D482" s="94" t="s">
        <v>946</v>
      </c>
      <c r="E482" s="94">
        <v>42388</v>
      </c>
      <c r="F482" s="95" t="s">
        <v>684</v>
      </c>
      <c r="G482" s="95"/>
      <c r="H482" s="96" t="s">
        <v>449</v>
      </c>
      <c r="I482" s="445">
        <v>13553</v>
      </c>
      <c r="J482" s="1187">
        <v>16000</v>
      </c>
      <c r="K482" s="436"/>
      <c r="L482" s="445"/>
      <c r="M482" s="97">
        <f t="shared" si="99"/>
        <v>216848000</v>
      </c>
      <c r="N482" s="85" t="s">
        <v>282</v>
      </c>
      <c r="O482" s="85" t="s">
        <v>274</v>
      </c>
      <c r="P482" s="84" t="str">
        <f>IF(AND('331-CT'!$E$7=TH!H482,OR(N482="331",O482="331")),"x","")</f>
        <v/>
      </c>
      <c r="Q482" s="84" t="str">
        <f>IF(AND(B482='111'!$L$11,OR($N482=$Q$7,$O482=$Q$7)),"x","")</f>
        <v/>
      </c>
      <c r="R482" s="84" t="str">
        <f>IF(AND($N482=$Q$7,$B482&lt;'111'!$L$11),"x","")</f>
        <v/>
      </c>
      <c r="S482" s="84" t="str">
        <f>IF(AND($O482=$Q$7,$B482&lt;'111'!$L$11),"x","")</f>
        <v/>
      </c>
      <c r="T482" s="84" t="str">
        <f>IF(ISERROR(FIND('112'!$M$9,G482,1)),"",IF((AND(FIND('112'!$M$9,G482,1)&gt;=1,B482='112'!$K$9,OR($N482='112'!$I$6,$O482='112'!$I$6))),"x",""))</f>
        <v/>
      </c>
      <c r="U482" s="84" t="str">
        <f>IF(ISERROR(FIND('112'!$M$9,G482,1)),"",IF((AND(LEFT(G482,2)=LEFT('112'!$M$9,2),B482&lt;'112'!$K$9,$N482='112'!$I$6)),"x",""))</f>
        <v/>
      </c>
      <c r="V482" s="84" t="str">
        <f>IF(ISERROR(FIND('112'!$M$9,G482,1)),"",IF((AND(RIGHT(G482,2)=RIGHT('112'!$M$9,2),B482&lt;'112'!$K$9,$O482='112'!$I$6)),"x",""))</f>
        <v/>
      </c>
      <c r="W482" s="84" t="str">
        <f>IF(AND('341-CT'!$H$9=H482,OR(LEFT(N482,3)=$W$7,LEFT(O482,3)=$W$7)),"x","")</f>
        <v/>
      </c>
      <c r="X482" s="84" t="str">
        <f>IF(OR(TH!N482=TH!$X$7,O482=TH!$X$7),"x","")</f>
        <v/>
      </c>
      <c r="Y482" s="84" t="str">
        <f>IF(AND(OR(N482="131",O482="131"),H482='131-CT'!$H$9),"x","")</f>
        <v/>
      </c>
      <c r="Z482" s="84"/>
      <c r="AA482" s="84" t="str">
        <f>IF(AND(MONTH(E482)='IN-NX'!$J$5,'IN-NX'!$D$7=D482),"x","")</f>
        <v/>
      </c>
      <c r="AB482" s="84" t="str">
        <f>IF(AND(OR(LEFT(TH!N482,2)="15",LEFT(TH!O482,2)="15"),LEFT(TH!O482,3)&lt;&gt;"111",'152-CT'!$J$8=TH!F482),"x","")</f>
        <v/>
      </c>
      <c r="AC482" s="84" t="str">
        <f>IF(AND(OR(LEFT(TH!N482,2)="15",LEFT(TH!O482,2)="15"),TK!$E$7=TH!F482),"x","")</f>
        <v/>
      </c>
      <c r="AD482" s="84" t="str">
        <f>IF(AND(N482="1521",MONTH(C482)='BK-NL'!$M$11),"x","")</f>
        <v/>
      </c>
    </row>
    <row r="483" spans="1:31" s="341" customFormat="1" ht="15.75" hidden="1" customHeight="1">
      <c r="A483" s="336" t="str">
        <f>IF(B483&lt;&gt;"",IF(AND(B483='IN-TC'!$S$4,OR(TH!N483="1111",TH!O483="1111")),TH!D483,""),"")</f>
        <v/>
      </c>
      <c r="B483" s="63">
        <f t="shared" si="95"/>
        <v>1</v>
      </c>
      <c r="C483" s="94">
        <f t="shared" ref="C483:C489" si="100">E483</f>
        <v>42371</v>
      </c>
      <c r="D483" s="94" t="s">
        <v>685</v>
      </c>
      <c r="E483" s="94">
        <v>42371</v>
      </c>
      <c r="F483" s="95" t="s">
        <v>683</v>
      </c>
      <c r="G483" s="95"/>
      <c r="H483" s="96" t="s">
        <v>449</v>
      </c>
      <c r="I483" s="1188">
        <v>38400</v>
      </c>
      <c r="J483" s="1188">
        <v>18500</v>
      </c>
      <c r="K483" s="1189"/>
      <c r="L483" s="1188"/>
      <c r="M483" s="97">
        <f t="shared" ref="M483:M489" si="101">ROUND(I483*J483,0)</f>
        <v>710400000</v>
      </c>
      <c r="N483" s="85" t="s">
        <v>282</v>
      </c>
      <c r="O483" s="85" t="s">
        <v>274</v>
      </c>
      <c r="P483" s="84" t="str">
        <f>IF(AND('331-CT'!$E$7=TH!H483,OR(N483="331",O483="331")),"x","")</f>
        <v/>
      </c>
      <c r="Q483" s="84" t="str">
        <f>IF(AND(B483='111'!$L$11,OR($N483=$Q$7,$O483=$Q$7)),"x","")</f>
        <v/>
      </c>
      <c r="R483" s="84" t="str">
        <f>IF(AND($N483=$Q$7,$B483&lt;'111'!$L$11),"x","")</f>
        <v/>
      </c>
      <c r="S483" s="84" t="str">
        <f>IF(AND($O483=$Q$7,$B483&lt;'111'!$L$11),"x","")</f>
        <v/>
      </c>
      <c r="T483" s="84" t="str">
        <f>IF(ISERROR(FIND('112'!$M$9,G483,1)),"",IF((AND(FIND('112'!$M$9,G483,1)&gt;=1,B483='112'!$K$9,OR($N483='112'!$I$6,$O483='112'!$I$6))),"x",""))</f>
        <v/>
      </c>
      <c r="U483" s="84" t="str">
        <f>IF(ISERROR(FIND('112'!$M$9,G483,1)),"",IF((AND(LEFT(G483,2)=LEFT('112'!$M$9,2),B483&lt;'112'!$K$9,$N483='112'!$I$6)),"x",""))</f>
        <v/>
      </c>
      <c r="V483" s="84" t="str">
        <f>IF(ISERROR(FIND('112'!$M$9,G483,1)),"",IF((AND(RIGHT(G483,2)=RIGHT('112'!$M$9,2),B483&lt;'112'!$K$9,$O483='112'!$I$6)),"x",""))</f>
        <v/>
      </c>
      <c r="W483" s="84" t="str">
        <f>IF(AND('341-CT'!$H$9=H483,OR(LEFT(N483,3)=$W$7,LEFT(O483,3)=$W$7)),"x","")</f>
        <v/>
      </c>
      <c r="X483" s="84" t="str">
        <f>IF(OR(TH!N483=TH!$X$7,O483=TH!$X$7),"x","")</f>
        <v/>
      </c>
      <c r="Y483" s="84" t="str">
        <f>IF(AND(OR(N483="131",O483="131"),H483='131-CT'!$H$9),"x","")</f>
        <v/>
      </c>
      <c r="Z483" s="84"/>
      <c r="AA483" s="84" t="str">
        <f>IF(AND(MONTH(E483)='IN-NX'!$J$5,'IN-NX'!$D$7=D483),"x","")</f>
        <v/>
      </c>
      <c r="AB483" s="84" t="str">
        <f>IF(AND(OR(LEFT(TH!N483,2)="15",LEFT(TH!O483,2)="15"),LEFT(TH!O483,3)&lt;&gt;"111",'152-CT'!$J$8=TH!F483),"x","")</f>
        <v/>
      </c>
      <c r="AC483" s="84" t="str">
        <f>IF(AND(OR(LEFT(TH!N483,2)="15",LEFT(TH!O483,2)="15"),TK!$E$7=TH!F483),"x","")</f>
        <v/>
      </c>
      <c r="AD483" s="84" t="str">
        <f>IF(AND(N483="1521",MONTH(C483)='BK-NL'!$M$11),"x","")</f>
        <v/>
      </c>
    </row>
    <row r="484" spans="1:31" s="341" customFormat="1" ht="15.75" hidden="1" customHeight="1">
      <c r="A484" s="336" t="str">
        <f>IF(B484&lt;&gt;"",IF(AND(B484='IN-TC'!$S$4,OR(TH!N484="1111",TH!O484="1111")),TH!D484,""),"")</f>
        <v/>
      </c>
      <c r="B484" s="63">
        <f t="shared" si="95"/>
        <v>1</v>
      </c>
      <c r="C484" s="94">
        <f t="shared" si="100"/>
        <v>42374</v>
      </c>
      <c r="D484" s="94" t="s">
        <v>692</v>
      </c>
      <c r="E484" s="94">
        <v>42374</v>
      </c>
      <c r="F484" s="95" t="s">
        <v>684</v>
      </c>
      <c r="G484" s="95"/>
      <c r="H484" s="96" t="s">
        <v>449</v>
      </c>
      <c r="I484" s="1188">
        <v>26500</v>
      </c>
      <c r="J484" s="1188">
        <v>14500</v>
      </c>
      <c r="K484" s="1189"/>
      <c r="L484" s="1188"/>
      <c r="M484" s="97">
        <f t="shared" si="101"/>
        <v>384250000</v>
      </c>
      <c r="N484" s="85" t="s">
        <v>282</v>
      </c>
      <c r="O484" s="85" t="s">
        <v>274</v>
      </c>
      <c r="P484" s="84" t="str">
        <f>IF(AND('331-CT'!$E$7=TH!H484,OR(N484="331",O484="331")),"x","")</f>
        <v/>
      </c>
      <c r="Q484" s="84" t="str">
        <f>IF(AND(B484='111'!$L$11,OR($N484=$Q$7,$O484=$Q$7)),"x","")</f>
        <v/>
      </c>
      <c r="R484" s="84" t="str">
        <f>IF(AND($N484=$Q$7,$B484&lt;'111'!$L$11),"x","")</f>
        <v/>
      </c>
      <c r="S484" s="84" t="str">
        <f>IF(AND($O484=$Q$7,$B484&lt;'111'!$L$11),"x","")</f>
        <v/>
      </c>
      <c r="T484" s="84" t="str">
        <f>IF(ISERROR(FIND('112'!$M$9,G484,1)),"",IF((AND(FIND('112'!$M$9,G484,1)&gt;=1,B484='112'!$K$9,OR($N484='112'!$I$6,$O484='112'!$I$6))),"x",""))</f>
        <v/>
      </c>
      <c r="U484" s="84" t="str">
        <f>IF(ISERROR(FIND('112'!$M$9,G484,1)),"",IF((AND(LEFT(G484,2)=LEFT('112'!$M$9,2),B484&lt;'112'!$K$9,$N484='112'!$I$6)),"x",""))</f>
        <v/>
      </c>
      <c r="V484" s="84" t="str">
        <f>IF(ISERROR(FIND('112'!$M$9,G484,1)),"",IF((AND(RIGHT(G484,2)=RIGHT('112'!$M$9,2),B484&lt;'112'!$K$9,$O484='112'!$I$6)),"x",""))</f>
        <v/>
      </c>
      <c r="W484" s="84" t="str">
        <f>IF(AND('341-CT'!$H$9=H484,OR(LEFT(N484,3)=$W$7,LEFT(O484,3)=$W$7)),"x","")</f>
        <v/>
      </c>
      <c r="X484" s="84" t="str">
        <f>IF(OR(TH!N484=TH!$X$7,O484=TH!$X$7),"x","")</f>
        <v/>
      </c>
      <c r="Y484" s="84" t="str">
        <f>IF(AND(OR(N484="131",O484="131"),H484='131-CT'!$H$9),"x","")</f>
        <v/>
      </c>
      <c r="Z484" s="84"/>
      <c r="AA484" s="84" t="str">
        <f>IF(AND(MONTH(E484)='IN-NX'!$J$5,'IN-NX'!$D$7=D484),"x","")</f>
        <v/>
      </c>
      <c r="AB484" s="84" t="str">
        <f>IF(AND(OR(LEFT(TH!N484,2)="15",LEFT(TH!O484,2)="15"),LEFT(TH!O484,3)&lt;&gt;"111",'152-CT'!$J$8=TH!F484),"x","")</f>
        <v/>
      </c>
      <c r="AC484" s="84" t="str">
        <f>IF(AND(OR(LEFT(TH!N484,2)="15",LEFT(TH!O484,2)="15"),TK!$E$7=TH!F484),"x","")</f>
        <v/>
      </c>
      <c r="AD484" s="84" t="str">
        <f>IF(AND(N484="1521",MONTH(C484)='BK-NL'!$M$11),"x","")</f>
        <v/>
      </c>
    </row>
    <row r="485" spans="1:31" s="341" customFormat="1" ht="15.75" hidden="1" customHeight="1">
      <c r="A485" s="336" t="str">
        <f>IF(B485&lt;&gt;"",IF(AND(B485='IN-TC'!$S$4,OR(TH!N485="1111",TH!O485="1111")),TH!D485,""),"")</f>
        <v/>
      </c>
      <c r="B485" s="63">
        <f t="shared" si="95"/>
        <v>1</v>
      </c>
      <c r="C485" s="94">
        <f t="shared" si="100"/>
        <v>42382</v>
      </c>
      <c r="D485" s="94" t="s">
        <v>695</v>
      </c>
      <c r="E485" s="94">
        <v>42382</v>
      </c>
      <c r="F485" s="95" t="s">
        <v>684</v>
      </c>
      <c r="G485" s="95"/>
      <c r="H485" s="96" t="s">
        <v>449</v>
      </c>
      <c r="I485" s="1188">
        <v>26500</v>
      </c>
      <c r="J485" s="1188">
        <v>14500</v>
      </c>
      <c r="K485" s="1189"/>
      <c r="L485" s="1188"/>
      <c r="M485" s="97">
        <f t="shared" si="101"/>
        <v>384250000</v>
      </c>
      <c r="N485" s="85" t="s">
        <v>282</v>
      </c>
      <c r="O485" s="85" t="s">
        <v>274</v>
      </c>
      <c r="P485" s="84" t="str">
        <f>IF(AND('331-CT'!$E$7=TH!H485,OR(N485="331",O485="331")),"x","")</f>
        <v/>
      </c>
      <c r="Q485" s="84" t="str">
        <f>IF(AND(B485='111'!$L$11,OR($N485=$Q$7,$O485=$Q$7)),"x","")</f>
        <v/>
      </c>
      <c r="R485" s="84" t="str">
        <f>IF(AND($N485=$Q$7,$B485&lt;'111'!$L$11),"x","")</f>
        <v/>
      </c>
      <c r="S485" s="84" t="str">
        <f>IF(AND($O485=$Q$7,$B485&lt;'111'!$L$11),"x","")</f>
        <v/>
      </c>
      <c r="T485" s="84" t="str">
        <f>IF(ISERROR(FIND('112'!$M$9,G485,1)),"",IF((AND(FIND('112'!$M$9,G485,1)&gt;=1,B485='112'!$K$9,OR($N485='112'!$I$6,$O485='112'!$I$6))),"x",""))</f>
        <v/>
      </c>
      <c r="U485" s="84" t="str">
        <f>IF(ISERROR(FIND('112'!$M$9,G485,1)),"",IF((AND(LEFT(G485,2)=LEFT('112'!$M$9,2),B485&lt;'112'!$K$9,$N485='112'!$I$6)),"x",""))</f>
        <v/>
      </c>
      <c r="V485" s="84" t="str">
        <f>IF(ISERROR(FIND('112'!$M$9,G485,1)),"",IF((AND(RIGHT(G485,2)=RIGHT('112'!$M$9,2),B485&lt;'112'!$K$9,$O485='112'!$I$6)),"x",""))</f>
        <v/>
      </c>
      <c r="W485" s="84" t="str">
        <f>IF(AND('341-CT'!$H$9=H485,OR(LEFT(N485,3)=$W$7,LEFT(O485,3)=$W$7)),"x","")</f>
        <v/>
      </c>
      <c r="X485" s="84" t="str">
        <f>IF(OR(TH!N485=TH!$X$7,O485=TH!$X$7),"x","")</f>
        <v/>
      </c>
      <c r="Y485" s="84" t="str">
        <f>IF(AND(OR(N485="131",O485="131"),H485='131-CT'!$H$9),"x","")</f>
        <v/>
      </c>
      <c r="Z485" s="84"/>
      <c r="AA485" s="84" t="str">
        <f>IF(AND(MONTH(E485)='IN-NX'!$J$5,'IN-NX'!$D$7=D485),"x","")</f>
        <v/>
      </c>
      <c r="AB485" s="84" t="str">
        <f>IF(AND(OR(LEFT(TH!N485,2)="15",LEFT(TH!O485,2)="15"),LEFT(TH!O485,3)&lt;&gt;"111",'152-CT'!$J$8=TH!F485),"x","")</f>
        <v/>
      </c>
      <c r="AC485" s="84" t="str">
        <f>IF(AND(OR(LEFT(TH!N485,2)="15",LEFT(TH!O485,2)="15"),TK!$E$7=TH!F485),"x","")</f>
        <v/>
      </c>
      <c r="AD485" s="84" t="str">
        <f>IF(AND(N485="1521",MONTH(C485)='BK-NL'!$M$11),"x","")</f>
        <v/>
      </c>
    </row>
    <row r="486" spans="1:31" s="341" customFormat="1" ht="15.75" hidden="1" customHeight="1">
      <c r="A486" s="336" t="str">
        <f>IF(B486&lt;&gt;"",IF(AND(B486='IN-TC'!$S$4,OR(TH!N486="1111",TH!O486="1111")),TH!D486,""),"")</f>
        <v/>
      </c>
      <c r="B486" s="63">
        <f t="shared" si="95"/>
        <v>1</v>
      </c>
      <c r="C486" s="94">
        <f t="shared" si="100"/>
        <v>42386</v>
      </c>
      <c r="D486" s="94" t="s">
        <v>945</v>
      </c>
      <c r="E486" s="94">
        <v>42386</v>
      </c>
      <c r="F486" s="95" t="s">
        <v>684</v>
      </c>
      <c r="G486" s="1148"/>
      <c r="H486" s="96" t="s">
        <v>449</v>
      </c>
      <c r="I486" s="1188">
        <v>26500</v>
      </c>
      <c r="J486" s="1188">
        <v>14500</v>
      </c>
      <c r="K486" s="1189"/>
      <c r="L486" s="1188"/>
      <c r="M486" s="97">
        <f t="shared" si="101"/>
        <v>384250000</v>
      </c>
      <c r="N486" s="85" t="s">
        <v>282</v>
      </c>
      <c r="O486" s="85" t="s">
        <v>274</v>
      </c>
      <c r="P486" s="84" t="str">
        <f>IF(AND('331-CT'!$E$7=TH!H486,OR(N486="331",O486="331")),"x","")</f>
        <v/>
      </c>
      <c r="Q486" s="84" t="str">
        <f>IF(AND(B486='111'!$L$11,OR($N486=$Q$7,$O486=$Q$7)),"x","")</f>
        <v/>
      </c>
      <c r="R486" s="84" t="str">
        <f>IF(AND($N486=$Q$7,$B486&lt;'111'!$L$11),"x","")</f>
        <v/>
      </c>
      <c r="S486" s="84" t="str">
        <f>IF(AND($O486=$Q$7,$B486&lt;'111'!$L$11),"x","")</f>
        <v/>
      </c>
      <c r="T486" s="84" t="str">
        <f>IF(ISERROR(FIND('112'!$M$9,G486,1)),"",IF((AND(FIND('112'!$M$9,G486,1)&gt;=1,B486='112'!$K$9,OR($N486='112'!$I$6,$O486='112'!$I$6))),"x",""))</f>
        <v/>
      </c>
      <c r="U486" s="84" t="str">
        <f>IF(ISERROR(FIND('112'!$M$9,G486,1)),"",IF((AND(LEFT(G486,2)=LEFT('112'!$M$9,2),B486&lt;'112'!$K$9,$N486='112'!$I$6)),"x",""))</f>
        <v/>
      </c>
      <c r="V486" s="84" t="str">
        <f>IF(ISERROR(FIND('112'!$M$9,G486,1)),"",IF((AND(RIGHT(G486,2)=RIGHT('112'!$M$9,2),B486&lt;'112'!$K$9,$O486='112'!$I$6)),"x",""))</f>
        <v/>
      </c>
      <c r="W486" s="84" t="str">
        <f>IF(AND('341-CT'!$H$9=H486,OR(LEFT(N486,3)=$W$7,LEFT(O486,3)=$W$7)),"x","")</f>
        <v/>
      </c>
      <c r="X486" s="84" t="str">
        <f>IF(OR(TH!N486=TH!$X$7,O486=TH!$X$7),"x","")</f>
        <v/>
      </c>
      <c r="Y486" s="84" t="str">
        <f>IF(AND(OR(N486="131",O486="131"),H486='131-CT'!$H$9),"x","")</f>
        <v/>
      </c>
      <c r="Z486" s="84"/>
      <c r="AA486" s="84" t="str">
        <f>IF(AND(MONTH(E486)='IN-NX'!$J$5,'IN-NX'!$D$7=D486),"x","")</f>
        <v/>
      </c>
      <c r="AB486" s="84" t="str">
        <f>IF(AND(OR(LEFT(TH!N486,2)="15",LEFT(TH!O486,2)="15"),LEFT(TH!O486,3)&lt;&gt;"111",'152-CT'!$J$8=TH!F486),"x","")</f>
        <v/>
      </c>
      <c r="AC486" s="84" t="str">
        <f>IF(AND(OR(LEFT(TH!N486,2)="15",LEFT(TH!O486,2)="15"),TK!$E$7=TH!F486),"x","")</f>
        <v/>
      </c>
      <c r="AD486" s="84" t="str">
        <f>IF(AND(N486="1521",MONTH(C486)='BK-NL'!$M$11),"x","")</f>
        <v/>
      </c>
    </row>
    <row r="487" spans="1:31" s="341" customFormat="1" ht="15.75" hidden="1" customHeight="1">
      <c r="A487" s="336" t="str">
        <f>IF(B487&lt;&gt;"",IF(AND(B487='IN-TC'!$S$4,OR(TH!N487="1111",TH!O487="1111")),TH!D487,""),"")</f>
        <v/>
      </c>
      <c r="B487" s="63">
        <f t="shared" si="95"/>
        <v>1</v>
      </c>
      <c r="C487" s="94">
        <f t="shared" si="100"/>
        <v>42390</v>
      </c>
      <c r="D487" s="94" t="s">
        <v>947</v>
      </c>
      <c r="E487" s="94">
        <v>42390</v>
      </c>
      <c r="F487" s="95" t="s">
        <v>684</v>
      </c>
      <c r="G487" s="95"/>
      <c r="H487" s="96" t="s">
        <v>449</v>
      </c>
      <c r="I487" s="445">
        <v>26500</v>
      </c>
      <c r="J487" s="445">
        <v>14500</v>
      </c>
      <c r="K487" s="436"/>
      <c r="L487" s="445"/>
      <c r="M487" s="97">
        <f t="shared" si="101"/>
        <v>384250000</v>
      </c>
      <c r="N487" s="85" t="s">
        <v>282</v>
      </c>
      <c r="O487" s="85" t="s">
        <v>274</v>
      </c>
      <c r="P487" s="84" t="str">
        <f>IF(AND('331-CT'!$E$7=TH!H487,OR(N487="331",O487="331")),"x","")</f>
        <v/>
      </c>
      <c r="Q487" s="84" t="str">
        <f>IF(AND(B487='111'!$L$11,OR($N487=$Q$7,$O487=$Q$7)),"x","")</f>
        <v/>
      </c>
      <c r="R487" s="84" t="str">
        <f>IF(AND($N487=$Q$7,$B487&lt;'111'!$L$11),"x","")</f>
        <v/>
      </c>
      <c r="S487" s="84" t="str">
        <f>IF(AND($O487=$Q$7,$B487&lt;'111'!$L$11),"x","")</f>
        <v/>
      </c>
      <c r="T487" s="84" t="str">
        <f>IF(ISERROR(FIND('112'!$M$9,G487,1)),"",IF((AND(FIND('112'!$M$9,G487,1)&gt;=1,B487='112'!$K$9,OR($N487='112'!$I$6,$O487='112'!$I$6))),"x",""))</f>
        <v/>
      </c>
      <c r="U487" s="84" t="str">
        <f>IF(ISERROR(FIND('112'!$M$9,G487,1)),"",IF((AND(LEFT(G487,2)=LEFT('112'!$M$9,2),B487&lt;'112'!$K$9,$N487='112'!$I$6)),"x",""))</f>
        <v/>
      </c>
      <c r="V487" s="84" t="str">
        <f>IF(ISERROR(FIND('112'!$M$9,G487,1)),"",IF((AND(RIGHT(G487,2)=RIGHT('112'!$M$9,2),B487&lt;'112'!$K$9,$O487='112'!$I$6)),"x",""))</f>
        <v/>
      </c>
      <c r="W487" s="84" t="str">
        <f>IF(AND('341-CT'!$H$9=H487,OR(LEFT(N487,3)=$W$7,LEFT(O487,3)=$W$7)),"x","")</f>
        <v/>
      </c>
      <c r="X487" s="84" t="str">
        <f>IF(OR(TH!N487=TH!$X$7,O487=TH!$X$7),"x","")</f>
        <v/>
      </c>
      <c r="Y487" s="84" t="str">
        <f>IF(AND(OR(N487="131",O487="131"),H487='131-CT'!$H$9),"x","")</f>
        <v/>
      </c>
      <c r="Z487" s="84"/>
      <c r="AA487" s="84" t="str">
        <f>IF(AND(MONTH(E487)='IN-NX'!$J$5,'IN-NX'!$D$7=D487),"x","")</f>
        <v/>
      </c>
      <c r="AB487" s="84" t="str">
        <f>IF(AND(OR(LEFT(TH!N487,2)="15",LEFT(TH!O487,2)="15"),LEFT(TH!O487,3)&lt;&gt;"111",'152-CT'!$J$8=TH!F487),"x","")</f>
        <v/>
      </c>
      <c r="AC487" s="84" t="str">
        <f>IF(AND(OR(LEFT(TH!N487,2)="15",LEFT(TH!O487,2)="15"),TK!$E$7=TH!F487),"x","")</f>
        <v/>
      </c>
      <c r="AD487" s="84" t="str">
        <f>IF(AND(N487="1521",MONTH(C487)='BK-NL'!$M$11),"x","")</f>
        <v/>
      </c>
    </row>
    <row r="488" spans="1:31" s="341" customFormat="1" ht="15.75" hidden="1" customHeight="1">
      <c r="A488" s="336" t="str">
        <f>IF(B488&lt;&gt;"",IF(AND(B488='IN-TC'!$S$4,OR(TH!N488="1111",TH!O488="1111")),TH!D488,""),"")</f>
        <v/>
      </c>
      <c r="B488" s="63">
        <f t="shared" si="95"/>
        <v>1</v>
      </c>
      <c r="C488" s="94">
        <f t="shared" si="100"/>
        <v>42394</v>
      </c>
      <c r="D488" s="94" t="s">
        <v>948</v>
      </c>
      <c r="E488" s="94">
        <v>42394</v>
      </c>
      <c r="F488" s="95" t="s">
        <v>684</v>
      </c>
      <c r="G488" s="95"/>
      <c r="H488" s="96" t="s">
        <v>449</v>
      </c>
      <c r="I488" s="445">
        <v>26000</v>
      </c>
      <c r="J488" s="445">
        <v>14500</v>
      </c>
      <c r="K488" s="436"/>
      <c r="L488" s="445"/>
      <c r="M488" s="97">
        <f t="shared" si="101"/>
        <v>377000000</v>
      </c>
      <c r="N488" s="85" t="s">
        <v>282</v>
      </c>
      <c r="O488" s="85" t="s">
        <v>274</v>
      </c>
      <c r="P488" s="84" t="str">
        <f>IF(AND('331-CT'!$E$7=TH!H488,OR(N488="331",O488="331")),"x","")</f>
        <v/>
      </c>
      <c r="Q488" s="84" t="str">
        <f>IF(AND(B488='111'!$L$11,OR($N488=$Q$7,$O488=$Q$7)),"x","")</f>
        <v/>
      </c>
      <c r="R488" s="84" t="str">
        <f>IF(AND($N488=$Q$7,$B488&lt;'111'!$L$11),"x","")</f>
        <v/>
      </c>
      <c r="S488" s="84" t="str">
        <f>IF(AND($O488=$Q$7,$B488&lt;'111'!$L$11),"x","")</f>
        <v/>
      </c>
      <c r="T488" s="84" t="str">
        <f>IF(ISERROR(FIND('112'!$M$9,G488,1)),"",IF((AND(FIND('112'!$M$9,G488,1)&gt;=1,B488='112'!$K$9,OR($N488='112'!$I$6,$O488='112'!$I$6))),"x",""))</f>
        <v/>
      </c>
      <c r="U488" s="84" t="str">
        <f>IF(ISERROR(FIND('112'!$M$9,G488,1)),"",IF((AND(LEFT(G488,2)=LEFT('112'!$M$9,2),B488&lt;'112'!$K$9,$N488='112'!$I$6)),"x",""))</f>
        <v/>
      </c>
      <c r="V488" s="84" t="str">
        <f>IF(ISERROR(FIND('112'!$M$9,G488,1)),"",IF((AND(RIGHT(G488,2)=RIGHT('112'!$M$9,2),B488&lt;'112'!$K$9,$O488='112'!$I$6)),"x",""))</f>
        <v/>
      </c>
      <c r="W488" s="84" t="str">
        <f>IF(AND('341-CT'!$H$9=H488,OR(LEFT(N488,3)=$W$7,LEFT(O488,3)=$W$7)),"x","")</f>
        <v/>
      </c>
      <c r="X488" s="84" t="str">
        <f>IF(OR(TH!N488=TH!$X$7,O488=TH!$X$7),"x","")</f>
        <v/>
      </c>
      <c r="Y488" s="84" t="str">
        <f>IF(AND(OR(N488="131",O488="131"),H488='131-CT'!$H$9),"x","")</f>
        <v/>
      </c>
      <c r="Z488" s="84"/>
      <c r="AA488" s="84" t="str">
        <f>IF(AND(MONTH(E488)='IN-NX'!$J$5,'IN-NX'!$D$7=D488),"x","")</f>
        <v/>
      </c>
      <c r="AB488" s="84" t="str">
        <f>IF(AND(OR(LEFT(TH!N488,2)="15",LEFT(TH!O488,2)="15"),LEFT(TH!O488,3)&lt;&gt;"111",'152-CT'!$J$8=TH!F488),"x","")</f>
        <v/>
      </c>
      <c r="AC488" s="84" t="str">
        <f>IF(AND(OR(LEFT(TH!N488,2)="15",LEFT(TH!O488,2)="15"),TK!$E$7=TH!F488),"x","")</f>
        <v/>
      </c>
      <c r="AD488" s="84" t="str">
        <f>IF(AND(N488="1521",MONTH(C488)='BK-NL'!$M$11),"x","")</f>
        <v/>
      </c>
    </row>
    <row r="489" spans="1:31" ht="15.75" hidden="1" customHeight="1">
      <c r="A489" s="336" t="str">
        <f>IF(B489&lt;&gt;"",IF(AND(B489='IN-TC'!$S$4,OR(TH!N489="1111",TH!O489="1111")),TH!D489,""),"")</f>
        <v/>
      </c>
      <c r="B489" s="63">
        <f t="shared" si="95"/>
        <v>1</v>
      </c>
      <c r="C489" s="80">
        <f t="shared" si="100"/>
        <v>42392</v>
      </c>
      <c r="D489" s="80" t="s">
        <v>950</v>
      </c>
      <c r="E489" s="80">
        <v>42392</v>
      </c>
      <c r="F489" s="81" t="s">
        <v>684</v>
      </c>
      <c r="G489" s="81"/>
      <c r="H489" s="89" t="s">
        <v>428</v>
      </c>
      <c r="I489" s="438">
        <v>7580</v>
      </c>
      <c r="J489" s="438">
        <v>13200</v>
      </c>
      <c r="K489" s="429"/>
      <c r="L489" s="438"/>
      <c r="M489" s="83">
        <f t="shared" si="101"/>
        <v>100056000</v>
      </c>
      <c r="N489" s="84" t="s">
        <v>274</v>
      </c>
      <c r="O489" s="84" t="s">
        <v>8</v>
      </c>
      <c r="P489" s="84" t="str">
        <f>IF(AND('331-CT'!$E$7=TH!H489,OR(N489="331",O489="331")),"x","")</f>
        <v/>
      </c>
      <c r="Q489" s="84" t="str">
        <f>IF(AND(B489='111'!$L$11,OR($N489=$Q$7,$O489=$Q$7)),"x","")</f>
        <v/>
      </c>
      <c r="R489" s="84" t="str">
        <f>IF(AND($N489=$Q$7,$B489&lt;'111'!$L$11),"x","")</f>
        <v/>
      </c>
      <c r="S489" s="84" t="str">
        <f>IF(AND($O489=$Q$7,$B489&lt;'111'!$L$11),"x","")</f>
        <v/>
      </c>
      <c r="T489" s="84" t="str">
        <f>IF(ISERROR(FIND('112'!$M$9,G489,1)),"",IF((AND(FIND('112'!$M$9,G489,1)&gt;=1,B489='112'!$K$9,OR($N489='112'!$I$6,$O489='112'!$I$6))),"x",""))</f>
        <v/>
      </c>
      <c r="U489" s="84" t="str">
        <f>IF(ISERROR(FIND('112'!$M$9,G489,1)),"",IF((AND(LEFT(G489,2)=LEFT('112'!$M$9,2),B489&lt;'112'!$K$9,$N489='112'!$I$6)),"x",""))</f>
        <v/>
      </c>
      <c r="V489" s="84" t="str">
        <f>IF(ISERROR(FIND('112'!$M$9,G489,1)),"",IF((AND(RIGHT(G489,2)=RIGHT('112'!$M$9,2),B489&lt;'112'!$K$9,$O489='112'!$I$6)),"x",""))</f>
        <v/>
      </c>
      <c r="W489" s="84" t="str">
        <f>IF(AND('341-CT'!$H$9=H489,OR(LEFT(N489,3)=$W$7,LEFT(O489,3)=$W$7)),"x","")</f>
        <v/>
      </c>
      <c r="X489" s="84" t="str">
        <f>IF(OR(TH!N489=TH!$X$7,O489=TH!$X$7),"x","")</f>
        <v/>
      </c>
      <c r="Y489" s="84" t="str">
        <f>IF(AND(OR(N489="131",O489="131"),H489='131-CT'!$H$9),"x","")</f>
        <v/>
      </c>
      <c r="Z489" s="84"/>
      <c r="AA489" s="84" t="str">
        <f>IF(AND(MONTH(E489)='IN-NX'!$J$5,'IN-NX'!$D$7=D489),"x","")</f>
        <v/>
      </c>
      <c r="AB489" s="84" t="str">
        <f>IF(AND(OR(LEFT(TH!N489,2)="15",LEFT(TH!O489,2)="15"),LEFT(TH!O489,3)&lt;&gt;"111",'152-CT'!$J$8=TH!F489),"x","")</f>
        <v/>
      </c>
      <c r="AC489" s="84" t="str">
        <f>IF(AND(OR(LEFT(TH!N489,2)="15",LEFT(TH!O489,2)="15"),TK!$E$7=TH!F489),"x","")</f>
        <v/>
      </c>
      <c r="AD489" s="84" t="str">
        <f>IF(AND(N489="1521",MONTH(C489)='BK-NL'!$M$11),"x","")</f>
        <v/>
      </c>
      <c r="AE489" s="1146" t="str">
        <f t="shared" ref="AE489:AE500" si="102">IF(H489&lt;&gt;VLOOKUP(H489,DSKH,1,0),"","x")</f>
        <v>x</v>
      </c>
    </row>
    <row r="490" spans="1:31" ht="15.75" hidden="1" customHeight="1">
      <c r="A490" s="336" t="str">
        <f>IF(B490&lt;&gt;"",IF(AND(B490='IN-TC'!$S$4,OR(TH!N490="1111",TH!O490="1111")),TH!D490,""),"")</f>
        <v/>
      </c>
      <c r="B490" s="63">
        <f t="shared" si="95"/>
        <v>1</v>
      </c>
      <c r="C490" s="80">
        <f t="shared" ref="C490:C503" si="103">E490</f>
        <v>42392</v>
      </c>
      <c r="D490" s="80" t="s">
        <v>951</v>
      </c>
      <c r="E490" s="80">
        <v>42392</v>
      </c>
      <c r="F490" s="81" t="s">
        <v>684</v>
      </c>
      <c r="G490" s="81"/>
      <c r="H490" s="82" t="s">
        <v>431</v>
      </c>
      <c r="I490" s="437">
        <v>7840</v>
      </c>
      <c r="J490" s="438">
        <v>13200</v>
      </c>
      <c r="K490" s="428"/>
      <c r="L490" s="437"/>
      <c r="M490" s="83">
        <f t="shared" ref="M490:M510" si="104">ROUND(I490*J490,0)</f>
        <v>103488000</v>
      </c>
      <c r="N490" s="84" t="s">
        <v>274</v>
      </c>
      <c r="O490" s="84" t="s">
        <v>8</v>
      </c>
      <c r="P490" s="84" t="str">
        <f>IF(AND('331-CT'!$E$7=TH!H490,OR(N490="331",O490="331")),"x","")</f>
        <v/>
      </c>
      <c r="Q490" s="84" t="str">
        <f>IF(AND(B490='111'!$L$11,OR($N490=$Q$7,$O490=$Q$7)),"x","")</f>
        <v/>
      </c>
      <c r="R490" s="84" t="str">
        <f>IF(AND($N490=$Q$7,$B490&lt;'111'!$L$11),"x","")</f>
        <v/>
      </c>
      <c r="S490" s="84" t="str">
        <f>IF(AND($O490=$Q$7,$B490&lt;'111'!$L$11),"x","")</f>
        <v/>
      </c>
      <c r="T490" s="84" t="str">
        <f>IF(ISERROR(FIND('112'!$M$9,G490,1)),"",IF((AND(FIND('112'!$M$9,G490,1)&gt;=1,B490='112'!$K$9,OR($N490='112'!$I$6,$O490='112'!$I$6))),"x",""))</f>
        <v/>
      </c>
      <c r="U490" s="84" t="str">
        <f>IF(ISERROR(FIND('112'!$M$9,G490,1)),"",IF((AND(LEFT(G490,2)=LEFT('112'!$M$9,2),B490&lt;'112'!$K$9,$N490='112'!$I$6)),"x",""))</f>
        <v/>
      </c>
      <c r="V490" s="84" t="str">
        <f>IF(ISERROR(FIND('112'!$M$9,G490,1)),"",IF((AND(RIGHT(G490,2)=RIGHT('112'!$M$9,2),B490&lt;'112'!$K$9,$O490='112'!$I$6)),"x",""))</f>
        <v/>
      </c>
      <c r="W490" s="84" t="str">
        <f>IF(AND('341-CT'!$H$9=H490,OR(LEFT(N490,3)=$W$7,LEFT(O490,3)=$W$7)),"x","")</f>
        <v/>
      </c>
      <c r="X490" s="84" t="str">
        <f>IF(OR(TH!N490=TH!$X$7,O490=TH!$X$7),"x","")</f>
        <v/>
      </c>
      <c r="Y490" s="84" t="str">
        <f>IF(AND(OR(N490="131",O490="131"),H490='131-CT'!$H$9),"x","")</f>
        <v/>
      </c>
      <c r="Z490" s="84"/>
      <c r="AA490" s="84" t="str">
        <f>IF(AND(MONTH(E490)='IN-NX'!$J$5,'IN-NX'!$D$7=D490),"x","")</f>
        <v/>
      </c>
      <c r="AB490" s="84" t="str">
        <f>IF(AND(OR(LEFT(TH!N490,2)="15",LEFT(TH!O490,2)="15"),LEFT(TH!O490,3)&lt;&gt;"111",'152-CT'!$J$8=TH!F490),"x","")</f>
        <v/>
      </c>
      <c r="AC490" s="84" t="str">
        <f>IF(AND(OR(LEFT(TH!N490,2)="15",LEFT(TH!O490,2)="15"),TK!$E$7=TH!F490),"x","")</f>
        <v/>
      </c>
      <c r="AD490" s="84" t="str">
        <f>IF(AND(N490="1521",MONTH(C490)='BK-NL'!$M$11),"x","")</f>
        <v/>
      </c>
      <c r="AE490" s="1146" t="str">
        <f t="shared" si="102"/>
        <v>x</v>
      </c>
    </row>
    <row r="491" spans="1:31" ht="15.75" hidden="1" customHeight="1">
      <c r="A491" s="336" t="str">
        <f>IF(B491&lt;&gt;"",IF(AND(B491='IN-TC'!$S$4,OR(TH!N491="1111",TH!O491="1111")),TH!D491,""),"")</f>
        <v/>
      </c>
      <c r="B491" s="63">
        <f t="shared" si="95"/>
        <v>1</v>
      </c>
      <c r="C491" s="80">
        <f t="shared" si="103"/>
        <v>42392</v>
      </c>
      <c r="D491" s="80" t="s">
        <v>952</v>
      </c>
      <c r="E491" s="80">
        <v>42392</v>
      </c>
      <c r="F491" s="81" t="s">
        <v>684</v>
      </c>
      <c r="G491" s="81"/>
      <c r="H491" s="82" t="s">
        <v>433</v>
      </c>
      <c r="I491" s="437">
        <v>7460</v>
      </c>
      <c r="J491" s="438">
        <v>13200</v>
      </c>
      <c r="K491" s="428"/>
      <c r="L491" s="437"/>
      <c r="M491" s="83">
        <f t="shared" si="104"/>
        <v>98472000</v>
      </c>
      <c r="N491" s="84" t="s">
        <v>274</v>
      </c>
      <c r="O491" s="84" t="s">
        <v>8</v>
      </c>
      <c r="P491" s="84" t="str">
        <f>IF(AND('331-CT'!$E$7=TH!H491,OR(N491="331",O491="331")),"x","")</f>
        <v/>
      </c>
      <c r="Q491" s="84" t="str">
        <f>IF(AND(B491='111'!$L$11,OR($N491=$Q$7,$O491=$Q$7)),"x","")</f>
        <v/>
      </c>
      <c r="R491" s="84" t="str">
        <f>IF(AND($N491=$Q$7,$B491&lt;'111'!$L$11),"x","")</f>
        <v/>
      </c>
      <c r="S491" s="84" t="str">
        <f>IF(AND($O491=$Q$7,$B491&lt;'111'!$L$11),"x","")</f>
        <v/>
      </c>
      <c r="T491" s="84" t="str">
        <f>IF(ISERROR(FIND('112'!$M$9,G491,1)),"",IF((AND(FIND('112'!$M$9,G491,1)&gt;=1,B491='112'!$K$9,OR($N491='112'!$I$6,$O491='112'!$I$6))),"x",""))</f>
        <v/>
      </c>
      <c r="U491" s="84" t="str">
        <f>IF(ISERROR(FIND('112'!$M$9,G491,1)),"",IF((AND(LEFT(G491,2)=LEFT('112'!$M$9,2),B491&lt;'112'!$K$9,$N491='112'!$I$6)),"x",""))</f>
        <v/>
      </c>
      <c r="V491" s="84" t="str">
        <f>IF(ISERROR(FIND('112'!$M$9,G491,1)),"",IF((AND(RIGHT(G491,2)=RIGHT('112'!$M$9,2),B491&lt;'112'!$K$9,$O491='112'!$I$6)),"x",""))</f>
        <v/>
      </c>
      <c r="W491" s="84" t="str">
        <f>IF(AND('341-CT'!$H$9=H491,OR(LEFT(N491,3)=$W$7,LEFT(O491,3)=$W$7)),"x","")</f>
        <v/>
      </c>
      <c r="X491" s="84" t="str">
        <f>IF(OR(TH!N491=TH!$X$7,O491=TH!$X$7),"x","")</f>
        <v/>
      </c>
      <c r="Y491" s="84" t="str">
        <f>IF(AND(OR(N491="131",O491="131"),H491='131-CT'!$H$9),"x","")</f>
        <v/>
      </c>
      <c r="Z491" s="84"/>
      <c r="AA491" s="84" t="str">
        <f>IF(AND(MONTH(E491)='IN-NX'!$J$5,'IN-NX'!$D$7=D491),"x","")</f>
        <v/>
      </c>
      <c r="AB491" s="84" t="str">
        <f>IF(AND(OR(LEFT(TH!N491,2)="15",LEFT(TH!O491,2)="15"),LEFT(TH!O491,3)&lt;&gt;"111",'152-CT'!$J$8=TH!F491),"x","")</f>
        <v/>
      </c>
      <c r="AC491" s="84" t="str">
        <f>IF(AND(OR(LEFT(TH!N491,2)="15",LEFT(TH!O491,2)="15"),TK!$E$7=TH!F491),"x","")</f>
        <v/>
      </c>
      <c r="AD491" s="84" t="str">
        <f>IF(AND(N491="1521",MONTH(C491)='BK-NL'!$M$11),"x","")</f>
        <v/>
      </c>
      <c r="AE491" s="1146" t="str">
        <f t="shared" si="102"/>
        <v>x</v>
      </c>
    </row>
    <row r="492" spans="1:31" ht="15.75" hidden="1" customHeight="1">
      <c r="A492" s="336" t="str">
        <f>IF(B492&lt;&gt;"",IF(AND(B492='IN-TC'!$S$4,OR(TH!N492="1111",TH!O492="1111")),TH!D492,""),"")</f>
        <v/>
      </c>
      <c r="B492" s="63">
        <f t="shared" si="95"/>
        <v>1</v>
      </c>
      <c r="C492" s="80">
        <f t="shared" si="103"/>
        <v>42392</v>
      </c>
      <c r="D492" s="80" t="s">
        <v>953</v>
      </c>
      <c r="E492" s="80">
        <v>42392</v>
      </c>
      <c r="F492" s="81" t="s">
        <v>684</v>
      </c>
      <c r="G492" s="81"/>
      <c r="H492" s="82" t="s">
        <v>444</v>
      </c>
      <c r="I492" s="437">
        <v>7740</v>
      </c>
      <c r="J492" s="438">
        <v>13200</v>
      </c>
      <c r="K492" s="428"/>
      <c r="L492" s="437"/>
      <c r="M492" s="83">
        <f t="shared" si="104"/>
        <v>102168000</v>
      </c>
      <c r="N492" s="84" t="s">
        <v>274</v>
      </c>
      <c r="O492" s="84" t="s">
        <v>8</v>
      </c>
      <c r="P492" s="84" t="str">
        <f>IF(AND('331-CT'!$E$7=TH!H492,OR(N492="331",O492="331")),"x","")</f>
        <v/>
      </c>
      <c r="Q492" s="84" t="str">
        <f>IF(AND(B492='111'!$L$11,OR($N492=$Q$7,$O492=$Q$7)),"x","")</f>
        <v/>
      </c>
      <c r="R492" s="84" t="str">
        <f>IF(AND($N492=$Q$7,$B492&lt;'111'!$L$11),"x","")</f>
        <v/>
      </c>
      <c r="S492" s="84" t="str">
        <f>IF(AND($O492=$Q$7,$B492&lt;'111'!$L$11),"x","")</f>
        <v/>
      </c>
      <c r="T492" s="84" t="str">
        <f>IF(ISERROR(FIND('112'!$M$9,G492,1)),"",IF((AND(FIND('112'!$M$9,G492,1)&gt;=1,B492='112'!$K$9,OR($N492='112'!$I$6,$O492='112'!$I$6))),"x",""))</f>
        <v/>
      </c>
      <c r="U492" s="84" t="str">
        <f>IF(ISERROR(FIND('112'!$M$9,G492,1)),"",IF((AND(LEFT(G492,2)=LEFT('112'!$M$9,2),B492&lt;'112'!$K$9,$N492='112'!$I$6)),"x",""))</f>
        <v/>
      </c>
      <c r="V492" s="84" t="str">
        <f>IF(ISERROR(FIND('112'!$M$9,G492,1)),"",IF((AND(RIGHT(G492,2)=RIGHT('112'!$M$9,2),B492&lt;'112'!$K$9,$O492='112'!$I$6)),"x",""))</f>
        <v/>
      </c>
      <c r="W492" s="84" t="str">
        <f>IF(AND('341-CT'!$H$9=H492,OR(LEFT(N492,3)=$W$7,LEFT(O492,3)=$W$7)),"x","")</f>
        <v/>
      </c>
      <c r="X492" s="84" t="str">
        <f>IF(OR(TH!N492=TH!$X$7,O492=TH!$X$7),"x","")</f>
        <v/>
      </c>
      <c r="Y492" s="84" t="str">
        <f>IF(AND(OR(N492="131",O492="131"),H492='131-CT'!$H$9),"x","")</f>
        <v/>
      </c>
      <c r="Z492" s="84"/>
      <c r="AA492" s="84" t="str">
        <f>IF(AND(MONTH(E492)='IN-NX'!$J$5,'IN-NX'!$D$7=D492),"x","")</f>
        <v/>
      </c>
      <c r="AB492" s="84" t="str">
        <f>IF(AND(OR(LEFT(TH!N492,2)="15",LEFT(TH!O492,2)="15"),LEFT(TH!O492,3)&lt;&gt;"111",'152-CT'!$J$8=TH!F492),"x","")</f>
        <v/>
      </c>
      <c r="AC492" s="84" t="str">
        <f>IF(AND(OR(LEFT(TH!N492,2)="15",LEFT(TH!O492,2)="15"),TK!$E$7=TH!F492),"x","")</f>
        <v/>
      </c>
      <c r="AD492" s="84" t="str">
        <f>IF(AND(N492="1521",MONTH(C492)='BK-NL'!$M$11),"x","")</f>
        <v/>
      </c>
      <c r="AE492" s="1146" t="str">
        <f t="shared" si="102"/>
        <v>x</v>
      </c>
    </row>
    <row r="493" spans="1:31" ht="15.75" hidden="1" customHeight="1">
      <c r="A493" s="336" t="str">
        <f>IF(B493&lt;&gt;"",IF(AND(B493='IN-TC'!$S$4,OR(TH!N493="1111",TH!O493="1111")),TH!D493,""),"")</f>
        <v/>
      </c>
      <c r="B493" s="63">
        <f t="shared" si="95"/>
        <v>1</v>
      </c>
      <c r="C493" s="80">
        <f t="shared" si="103"/>
        <v>42396</v>
      </c>
      <c r="D493" s="80" t="s">
        <v>954</v>
      </c>
      <c r="E493" s="80">
        <v>42396</v>
      </c>
      <c r="F493" s="81" t="s">
        <v>684</v>
      </c>
      <c r="G493" s="81"/>
      <c r="H493" s="82" t="s">
        <v>435</v>
      </c>
      <c r="I493" s="437">
        <v>7456</v>
      </c>
      <c r="J493" s="438">
        <v>13200</v>
      </c>
      <c r="K493" s="428"/>
      <c r="L493" s="437"/>
      <c r="M493" s="83">
        <f t="shared" si="104"/>
        <v>98419200</v>
      </c>
      <c r="N493" s="84" t="s">
        <v>274</v>
      </c>
      <c r="O493" s="84" t="s">
        <v>8</v>
      </c>
      <c r="P493" s="84" t="str">
        <f>IF(AND('331-CT'!$E$7=TH!H493,OR(N493="331",O493="331")),"x","")</f>
        <v/>
      </c>
      <c r="Q493" s="84" t="str">
        <f>IF(AND(B493='111'!$L$11,OR($N493=$Q$7,$O493=$Q$7)),"x","")</f>
        <v/>
      </c>
      <c r="R493" s="84" t="str">
        <f>IF(AND($N493=$Q$7,$B493&lt;'111'!$L$11),"x","")</f>
        <v/>
      </c>
      <c r="S493" s="84" t="str">
        <f>IF(AND($O493=$Q$7,$B493&lt;'111'!$L$11),"x","")</f>
        <v/>
      </c>
      <c r="T493" s="84" t="str">
        <f>IF(ISERROR(FIND('112'!$M$9,G493,1)),"",IF((AND(FIND('112'!$M$9,G493,1)&gt;=1,B493='112'!$K$9,OR($N493='112'!$I$6,$O493='112'!$I$6))),"x",""))</f>
        <v/>
      </c>
      <c r="U493" s="84" t="str">
        <f>IF(ISERROR(FIND('112'!$M$9,G493,1)),"",IF((AND(LEFT(G493,2)=LEFT('112'!$M$9,2),B493&lt;'112'!$K$9,$N493='112'!$I$6)),"x",""))</f>
        <v/>
      </c>
      <c r="V493" s="84" t="str">
        <f>IF(ISERROR(FIND('112'!$M$9,G493,1)),"",IF((AND(RIGHT(G493,2)=RIGHT('112'!$M$9,2),B493&lt;'112'!$K$9,$O493='112'!$I$6)),"x",""))</f>
        <v/>
      </c>
      <c r="W493" s="84" t="str">
        <f>IF(AND('341-CT'!$H$9=H493,OR(LEFT(N493,3)=$W$7,LEFT(O493,3)=$W$7)),"x","")</f>
        <v/>
      </c>
      <c r="X493" s="84" t="str">
        <f>IF(OR(TH!N493=TH!$X$7,O493=TH!$X$7),"x","")</f>
        <v/>
      </c>
      <c r="Y493" s="84" t="str">
        <f>IF(AND(OR(N493="131",O493="131"),H493='131-CT'!$H$9),"x","")</f>
        <v/>
      </c>
      <c r="Z493" s="84"/>
      <c r="AA493" s="84" t="str">
        <f>IF(AND(MONTH(E493)='IN-NX'!$J$5,'IN-NX'!$D$7=D493),"x","")</f>
        <v/>
      </c>
      <c r="AB493" s="84" t="str">
        <f>IF(AND(OR(LEFT(TH!N493,2)="15",LEFT(TH!O493,2)="15"),LEFT(TH!O493,3)&lt;&gt;"111",'152-CT'!$J$8=TH!F493),"x","")</f>
        <v/>
      </c>
      <c r="AC493" s="84" t="str">
        <f>IF(AND(OR(LEFT(TH!N493,2)="15",LEFT(TH!O493,2)="15"),TK!$E$7=TH!F493),"x","")</f>
        <v/>
      </c>
      <c r="AD493" s="84" t="str">
        <f>IF(AND(N493="1521",MONTH(C493)='BK-NL'!$M$11),"x","")</f>
        <v/>
      </c>
      <c r="AE493" s="1146" t="str">
        <f t="shared" si="102"/>
        <v>x</v>
      </c>
    </row>
    <row r="494" spans="1:31" ht="15.75" hidden="1" customHeight="1">
      <c r="A494" s="336" t="str">
        <f>IF(B494&lt;&gt;"",IF(AND(B494='IN-TC'!$S$4,OR(TH!N494="1111",TH!O494="1111")),TH!D494,""),"")</f>
        <v/>
      </c>
      <c r="B494" s="63">
        <f t="shared" si="95"/>
        <v>1</v>
      </c>
      <c r="C494" s="80">
        <f t="shared" si="103"/>
        <v>42396</v>
      </c>
      <c r="D494" s="80" t="s">
        <v>955</v>
      </c>
      <c r="E494" s="80">
        <v>42396</v>
      </c>
      <c r="F494" s="81" t="s">
        <v>684</v>
      </c>
      <c r="G494" s="81"/>
      <c r="H494" s="82" t="s">
        <v>437</v>
      </c>
      <c r="I494" s="437">
        <v>7016</v>
      </c>
      <c r="J494" s="438">
        <v>13200</v>
      </c>
      <c r="K494" s="428"/>
      <c r="L494" s="437"/>
      <c r="M494" s="83">
        <f t="shared" si="104"/>
        <v>92611200</v>
      </c>
      <c r="N494" s="84" t="s">
        <v>274</v>
      </c>
      <c r="O494" s="84" t="s">
        <v>8</v>
      </c>
      <c r="P494" s="84" t="str">
        <f>IF(AND('331-CT'!$E$7=TH!H494,OR(N494="331",O494="331")),"x","")</f>
        <v/>
      </c>
      <c r="Q494" s="84" t="str">
        <f>IF(AND(B494='111'!$L$11,OR($N494=$Q$7,$O494=$Q$7)),"x","")</f>
        <v/>
      </c>
      <c r="R494" s="84" t="str">
        <f>IF(AND($N494=$Q$7,$B494&lt;'111'!$L$11),"x","")</f>
        <v/>
      </c>
      <c r="S494" s="84" t="str">
        <f>IF(AND($O494=$Q$7,$B494&lt;'111'!$L$11),"x","")</f>
        <v/>
      </c>
      <c r="T494" s="84" t="str">
        <f>IF(ISERROR(FIND('112'!$M$9,G494,1)),"",IF((AND(FIND('112'!$M$9,G494,1)&gt;=1,B494='112'!$K$9,OR($N494='112'!$I$6,$O494='112'!$I$6))),"x",""))</f>
        <v/>
      </c>
      <c r="U494" s="84" t="str">
        <f>IF(ISERROR(FIND('112'!$M$9,G494,1)),"",IF((AND(LEFT(G494,2)=LEFT('112'!$M$9,2),B494&lt;'112'!$K$9,$N494='112'!$I$6)),"x",""))</f>
        <v/>
      </c>
      <c r="V494" s="84" t="str">
        <f>IF(ISERROR(FIND('112'!$M$9,G494,1)),"",IF((AND(RIGHT(G494,2)=RIGHT('112'!$M$9,2),B494&lt;'112'!$K$9,$O494='112'!$I$6)),"x",""))</f>
        <v/>
      </c>
      <c r="W494" s="84" t="str">
        <f>IF(AND('341-CT'!$H$9=H494,OR(LEFT(N494,3)=$W$7,LEFT(O494,3)=$W$7)),"x","")</f>
        <v/>
      </c>
      <c r="X494" s="84" t="str">
        <f>IF(OR(TH!N494=TH!$X$7,O494=TH!$X$7),"x","")</f>
        <v/>
      </c>
      <c r="Y494" s="84" t="str">
        <f>IF(AND(OR(N494="131",O494="131"),H494='131-CT'!$H$9),"x","")</f>
        <v/>
      </c>
      <c r="Z494" s="84"/>
      <c r="AA494" s="84" t="str">
        <f>IF(AND(MONTH(E494)='IN-NX'!$J$5,'IN-NX'!$D$7=D494),"x","")</f>
        <v/>
      </c>
      <c r="AB494" s="84" t="str">
        <f>IF(AND(OR(LEFT(TH!N494,2)="15",LEFT(TH!O494,2)="15"),LEFT(TH!O494,3)&lt;&gt;"111",'152-CT'!$J$8=TH!F494),"x","")</f>
        <v/>
      </c>
      <c r="AC494" s="84" t="str">
        <f>IF(AND(OR(LEFT(TH!N494,2)="15",LEFT(TH!O494,2)="15"),TK!$E$7=TH!F494),"x","")</f>
        <v/>
      </c>
      <c r="AD494" s="84" t="str">
        <f>IF(AND(N494="1521",MONTH(C494)='BK-NL'!$M$11),"x","")</f>
        <v/>
      </c>
      <c r="AE494" s="1146" t="str">
        <f t="shared" si="102"/>
        <v>x</v>
      </c>
    </row>
    <row r="495" spans="1:31" ht="15.75" hidden="1" customHeight="1">
      <c r="A495" s="336" t="str">
        <f>IF(B495&lt;&gt;"",IF(AND(B495='IN-TC'!$S$4,OR(TH!N495="1111",TH!O495="1111")),TH!D495,""),"")</f>
        <v/>
      </c>
      <c r="B495" s="63">
        <f t="shared" si="95"/>
        <v>1</v>
      </c>
      <c r="C495" s="80">
        <f t="shared" si="103"/>
        <v>42396</v>
      </c>
      <c r="D495" s="80" t="s">
        <v>956</v>
      </c>
      <c r="E495" s="80">
        <v>42396</v>
      </c>
      <c r="F495" s="81" t="s">
        <v>684</v>
      </c>
      <c r="G495" s="81"/>
      <c r="H495" s="82" t="s">
        <v>438</v>
      </c>
      <c r="I495" s="437">
        <v>6980</v>
      </c>
      <c r="J495" s="438">
        <v>13200</v>
      </c>
      <c r="K495" s="428"/>
      <c r="L495" s="437"/>
      <c r="M495" s="83">
        <f t="shared" si="104"/>
        <v>92136000</v>
      </c>
      <c r="N495" s="84" t="s">
        <v>274</v>
      </c>
      <c r="O495" s="84" t="s">
        <v>8</v>
      </c>
      <c r="P495" s="84" t="str">
        <f>IF(AND('331-CT'!$E$7=TH!H495,OR(N495="331",O495="331")),"x","")</f>
        <v/>
      </c>
      <c r="Q495" s="84" t="str">
        <f>IF(AND(B495='111'!$L$11,OR($N495=$Q$7,$O495=$Q$7)),"x","")</f>
        <v/>
      </c>
      <c r="R495" s="84" t="str">
        <f>IF(AND($N495=$Q$7,$B495&lt;'111'!$L$11),"x","")</f>
        <v/>
      </c>
      <c r="S495" s="84" t="str">
        <f>IF(AND($O495=$Q$7,$B495&lt;'111'!$L$11),"x","")</f>
        <v/>
      </c>
      <c r="T495" s="84" t="str">
        <f>IF(ISERROR(FIND('112'!$M$9,G495,1)),"",IF((AND(FIND('112'!$M$9,G495,1)&gt;=1,B495='112'!$K$9,OR($N495='112'!$I$6,$O495='112'!$I$6))),"x",""))</f>
        <v/>
      </c>
      <c r="U495" s="84" t="str">
        <f>IF(ISERROR(FIND('112'!$M$9,G495,1)),"",IF((AND(LEFT(G495,2)=LEFT('112'!$M$9,2),B495&lt;'112'!$K$9,$N495='112'!$I$6)),"x",""))</f>
        <v/>
      </c>
      <c r="V495" s="84" t="str">
        <f>IF(ISERROR(FIND('112'!$M$9,G495,1)),"",IF((AND(RIGHT(G495,2)=RIGHT('112'!$M$9,2),B495&lt;'112'!$K$9,$O495='112'!$I$6)),"x",""))</f>
        <v/>
      </c>
      <c r="W495" s="84" t="str">
        <f>IF(AND('341-CT'!$H$9=H495,OR(LEFT(N495,3)=$W$7,LEFT(O495,3)=$W$7)),"x","")</f>
        <v/>
      </c>
      <c r="X495" s="84" t="str">
        <f>IF(OR(TH!N495=TH!$X$7,O495=TH!$X$7),"x","")</f>
        <v/>
      </c>
      <c r="Y495" s="84" t="str">
        <f>IF(AND(OR(N495="131",O495="131"),H495='131-CT'!$H$9),"x","")</f>
        <v/>
      </c>
      <c r="Z495" s="84"/>
      <c r="AA495" s="84" t="str">
        <f>IF(AND(MONTH(E495)='IN-NX'!$J$5,'IN-NX'!$D$7=D495),"x","")</f>
        <v/>
      </c>
      <c r="AB495" s="84" t="str">
        <f>IF(AND(OR(LEFT(TH!N495,2)="15",LEFT(TH!O495,2)="15"),LEFT(TH!O495,3)&lt;&gt;"111",'152-CT'!$J$8=TH!F495),"x","")</f>
        <v/>
      </c>
      <c r="AC495" s="84" t="str">
        <f>IF(AND(OR(LEFT(TH!N495,2)="15",LEFT(TH!O495,2)="15"),TK!$E$7=TH!F495),"x","")</f>
        <v/>
      </c>
      <c r="AD495" s="84" t="str">
        <f>IF(AND(N495="1521",MONTH(C495)='BK-NL'!$M$11),"x","")</f>
        <v/>
      </c>
      <c r="AE495" s="1146" t="str">
        <f t="shared" si="102"/>
        <v>x</v>
      </c>
    </row>
    <row r="496" spans="1:31" ht="15.75" hidden="1" customHeight="1">
      <c r="A496" s="336" t="str">
        <f>IF(B496&lt;&gt;"",IF(AND(B496='IN-TC'!$S$4,OR(TH!N496="1111",TH!O496="1111")),TH!D496,""),"")</f>
        <v/>
      </c>
      <c r="B496" s="63">
        <f t="shared" si="95"/>
        <v>1</v>
      </c>
      <c r="C496" s="80">
        <f t="shared" si="103"/>
        <v>42396</v>
      </c>
      <c r="D496" s="80" t="s">
        <v>957</v>
      </c>
      <c r="E496" s="80">
        <v>42396</v>
      </c>
      <c r="F496" s="81" t="s">
        <v>684</v>
      </c>
      <c r="G496" s="81"/>
      <c r="H496" s="82" t="s">
        <v>433</v>
      </c>
      <c r="I496" s="437">
        <v>7125</v>
      </c>
      <c r="J496" s="438">
        <v>13200</v>
      </c>
      <c r="K496" s="428"/>
      <c r="L496" s="437"/>
      <c r="M496" s="83">
        <f t="shared" si="104"/>
        <v>94050000</v>
      </c>
      <c r="N496" s="84" t="s">
        <v>274</v>
      </c>
      <c r="O496" s="84" t="s">
        <v>8</v>
      </c>
      <c r="P496" s="84" t="str">
        <f>IF(AND('331-CT'!$E$7=TH!H496,OR(N496="331",O496="331")),"x","")</f>
        <v/>
      </c>
      <c r="Q496" s="84" t="str">
        <f>IF(AND(B496='111'!$L$11,OR($N496=$Q$7,$O496=$Q$7)),"x","")</f>
        <v/>
      </c>
      <c r="R496" s="84" t="str">
        <f>IF(AND($N496=$Q$7,$B496&lt;'111'!$L$11),"x","")</f>
        <v/>
      </c>
      <c r="S496" s="84" t="str">
        <f>IF(AND($O496=$Q$7,$B496&lt;'111'!$L$11),"x","")</f>
        <v/>
      </c>
      <c r="T496" s="84" t="str">
        <f>IF(ISERROR(FIND('112'!$M$9,G496,1)),"",IF((AND(FIND('112'!$M$9,G496,1)&gt;=1,B496='112'!$K$9,OR($N496='112'!$I$6,$O496='112'!$I$6))),"x",""))</f>
        <v/>
      </c>
      <c r="U496" s="84" t="str">
        <f>IF(ISERROR(FIND('112'!$M$9,G496,1)),"",IF((AND(LEFT(G496,2)=LEFT('112'!$M$9,2),B496&lt;'112'!$K$9,$N496='112'!$I$6)),"x",""))</f>
        <v/>
      </c>
      <c r="V496" s="84" t="str">
        <f>IF(ISERROR(FIND('112'!$M$9,G496,1)),"",IF((AND(RIGHT(G496,2)=RIGHT('112'!$M$9,2),B496&lt;'112'!$K$9,$O496='112'!$I$6)),"x",""))</f>
        <v/>
      </c>
      <c r="W496" s="84" t="str">
        <f>IF(AND('341-CT'!$H$9=H496,OR(LEFT(N496,3)=$W$7,LEFT(O496,3)=$W$7)),"x","")</f>
        <v/>
      </c>
      <c r="X496" s="84" t="str">
        <f>IF(OR(TH!N496=TH!$X$7,O496=TH!$X$7),"x","")</f>
        <v/>
      </c>
      <c r="Y496" s="84" t="str">
        <f>IF(AND(OR(N496="131",O496="131"),H496='131-CT'!$H$9),"x","")</f>
        <v/>
      </c>
      <c r="Z496" s="84"/>
      <c r="AA496" s="84" t="str">
        <f>IF(AND(MONTH(E496)='IN-NX'!$J$5,'IN-NX'!$D$7=D496),"x","")</f>
        <v/>
      </c>
      <c r="AB496" s="84" t="str">
        <f>IF(AND(OR(LEFT(TH!N496,2)="15",LEFT(TH!O496,2)="15"),LEFT(TH!O496,3)&lt;&gt;"111",'152-CT'!$J$8=TH!F496),"x","")</f>
        <v/>
      </c>
      <c r="AC496" s="84" t="str">
        <f>IF(AND(OR(LEFT(TH!N496,2)="15",LEFT(TH!O496,2)="15"),TK!$E$7=TH!F496),"x","")</f>
        <v/>
      </c>
      <c r="AD496" s="84" t="str">
        <f>IF(AND(N496="1521",MONTH(C496)='BK-NL'!$M$11),"x","")</f>
        <v/>
      </c>
      <c r="AE496" s="1146" t="str">
        <f t="shared" si="102"/>
        <v>x</v>
      </c>
    </row>
    <row r="497" spans="1:31" ht="15.75" hidden="1" customHeight="1">
      <c r="A497" s="336" t="str">
        <f>IF(B497&lt;&gt;"",IF(AND(B497='IN-TC'!$S$4,OR(TH!N497="1111",TH!O497="1111")),TH!D497,""),"")</f>
        <v/>
      </c>
      <c r="B497" s="63">
        <f t="shared" si="95"/>
        <v>1</v>
      </c>
      <c r="C497" s="80">
        <f t="shared" si="103"/>
        <v>42400</v>
      </c>
      <c r="D497" s="80" t="s">
        <v>958</v>
      </c>
      <c r="E497" s="80">
        <v>42400</v>
      </c>
      <c r="F497" s="81" t="s">
        <v>684</v>
      </c>
      <c r="G497" s="81"/>
      <c r="H497" s="82" t="s">
        <v>431</v>
      </c>
      <c r="I497" s="437">
        <v>7041</v>
      </c>
      <c r="J497" s="438">
        <v>13200</v>
      </c>
      <c r="K497" s="428"/>
      <c r="L497" s="437"/>
      <c r="M497" s="83">
        <f t="shared" si="104"/>
        <v>92941200</v>
      </c>
      <c r="N497" s="84" t="s">
        <v>274</v>
      </c>
      <c r="O497" s="84" t="s">
        <v>8</v>
      </c>
      <c r="P497" s="84" t="str">
        <f>IF(AND('331-CT'!$E$7=TH!H497,OR(N497="331",O497="331")),"x","")</f>
        <v/>
      </c>
      <c r="Q497" s="84" t="str">
        <f>IF(AND(B497='111'!$L$11,OR($N497=$Q$7,$O497=$Q$7)),"x","")</f>
        <v/>
      </c>
      <c r="R497" s="84" t="str">
        <f>IF(AND($N497=$Q$7,$B497&lt;'111'!$L$11),"x","")</f>
        <v/>
      </c>
      <c r="S497" s="84" t="str">
        <f>IF(AND($O497=$Q$7,$B497&lt;'111'!$L$11),"x","")</f>
        <v/>
      </c>
      <c r="T497" s="84" t="str">
        <f>IF(ISERROR(FIND('112'!$M$9,G497,1)),"",IF((AND(FIND('112'!$M$9,G497,1)&gt;=1,B497='112'!$K$9,OR($N497='112'!$I$6,$O497='112'!$I$6))),"x",""))</f>
        <v/>
      </c>
      <c r="U497" s="84" t="str">
        <f>IF(ISERROR(FIND('112'!$M$9,G497,1)),"",IF((AND(LEFT(G497,2)=LEFT('112'!$M$9,2),B497&lt;'112'!$K$9,$N497='112'!$I$6)),"x",""))</f>
        <v/>
      </c>
      <c r="V497" s="84" t="str">
        <f>IF(ISERROR(FIND('112'!$M$9,G497,1)),"",IF((AND(RIGHT(G497,2)=RIGHT('112'!$M$9,2),B497&lt;'112'!$K$9,$O497='112'!$I$6)),"x",""))</f>
        <v/>
      </c>
      <c r="W497" s="84" t="str">
        <f>IF(AND('341-CT'!$H$9=H497,OR(LEFT(N497,3)=$W$7,LEFT(O497,3)=$W$7)),"x","")</f>
        <v/>
      </c>
      <c r="X497" s="84" t="str">
        <f>IF(OR(TH!N497=TH!$X$7,O497=TH!$X$7),"x","")</f>
        <v/>
      </c>
      <c r="Y497" s="84" t="str">
        <f>IF(AND(OR(N497="131",O497="131"),H497='131-CT'!$H$9),"x","")</f>
        <v/>
      </c>
      <c r="Z497" s="84"/>
      <c r="AA497" s="84" t="str">
        <f>IF(AND(MONTH(E497)='IN-NX'!$J$5,'IN-NX'!$D$7=D497),"x","")</f>
        <v/>
      </c>
      <c r="AB497" s="84" t="str">
        <f>IF(AND(OR(LEFT(TH!N497,2)="15",LEFT(TH!O497,2)="15"),LEFT(TH!O497,3)&lt;&gt;"111",'152-CT'!$J$8=TH!F497),"x","")</f>
        <v/>
      </c>
      <c r="AC497" s="84" t="str">
        <f>IF(AND(OR(LEFT(TH!N497,2)="15",LEFT(TH!O497,2)="15"),TK!$E$7=TH!F497),"x","")</f>
        <v/>
      </c>
      <c r="AD497" s="84" t="str">
        <f>IF(AND(N497="1521",MONTH(C497)='BK-NL'!$M$11),"x","")</f>
        <v/>
      </c>
      <c r="AE497" s="1146" t="str">
        <f t="shared" si="102"/>
        <v>x</v>
      </c>
    </row>
    <row r="498" spans="1:31" ht="15.75" hidden="1" customHeight="1">
      <c r="A498" s="336" t="str">
        <f>IF(B498&lt;&gt;"",IF(AND(B498='IN-TC'!$S$4,OR(TH!N498="1111",TH!O498="1111")),TH!D498,""),"")</f>
        <v/>
      </c>
      <c r="B498" s="63">
        <f t="shared" si="95"/>
        <v>1</v>
      </c>
      <c r="C498" s="80">
        <f t="shared" si="103"/>
        <v>42400</v>
      </c>
      <c r="D498" s="80" t="s">
        <v>959</v>
      </c>
      <c r="E498" s="80">
        <v>42400</v>
      </c>
      <c r="F498" s="81" t="s">
        <v>684</v>
      </c>
      <c r="G498" s="81"/>
      <c r="H498" s="82" t="s">
        <v>433</v>
      </c>
      <c r="I498" s="437">
        <v>7046</v>
      </c>
      <c r="J498" s="438">
        <v>13200</v>
      </c>
      <c r="K498" s="428"/>
      <c r="L498" s="437"/>
      <c r="M498" s="83">
        <f t="shared" si="104"/>
        <v>93007200</v>
      </c>
      <c r="N498" s="84" t="s">
        <v>274</v>
      </c>
      <c r="O498" s="84" t="s">
        <v>8</v>
      </c>
      <c r="P498" s="84" t="str">
        <f>IF(AND('331-CT'!$E$7=TH!H498,OR(N498="331",O498="331")),"x","")</f>
        <v/>
      </c>
      <c r="Q498" s="84" t="str">
        <f>IF(AND(B498='111'!$L$11,OR($N498=$Q$7,$O498=$Q$7)),"x","")</f>
        <v/>
      </c>
      <c r="R498" s="84" t="str">
        <f>IF(AND($N498=$Q$7,$B498&lt;'111'!$L$11),"x","")</f>
        <v/>
      </c>
      <c r="S498" s="84" t="str">
        <f>IF(AND($O498=$Q$7,$B498&lt;'111'!$L$11),"x","")</f>
        <v/>
      </c>
      <c r="T498" s="84" t="str">
        <f>IF(ISERROR(FIND('112'!$M$9,G498,1)),"",IF((AND(FIND('112'!$M$9,G498,1)&gt;=1,B498='112'!$K$9,OR($N498='112'!$I$6,$O498='112'!$I$6))),"x",""))</f>
        <v/>
      </c>
      <c r="U498" s="84" t="str">
        <f>IF(ISERROR(FIND('112'!$M$9,G498,1)),"",IF((AND(LEFT(G498,2)=LEFT('112'!$M$9,2),B498&lt;'112'!$K$9,$N498='112'!$I$6)),"x",""))</f>
        <v/>
      </c>
      <c r="V498" s="84" t="str">
        <f>IF(ISERROR(FIND('112'!$M$9,G498,1)),"",IF((AND(RIGHT(G498,2)=RIGHT('112'!$M$9,2),B498&lt;'112'!$K$9,$O498='112'!$I$6)),"x",""))</f>
        <v/>
      </c>
      <c r="W498" s="84" t="str">
        <f>IF(AND('341-CT'!$H$9=H498,OR(LEFT(N498,3)=$W$7,LEFT(O498,3)=$W$7)),"x","")</f>
        <v/>
      </c>
      <c r="X498" s="84" t="str">
        <f>IF(OR(TH!N498=TH!$X$7,O498=TH!$X$7),"x","")</f>
        <v/>
      </c>
      <c r="Y498" s="84" t="str">
        <f>IF(AND(OR(N498="131",O498="131"),H498='131-CT'!$H$9),"x","")</f>
        <v/>
      </c>
      <c r="Z498" s="84"/>
      <c r="AA498" s="84" t="str">
        <f>IF(AND(MONTH(E498)='IN-NX'!$J$5,'IN-NX'!$D$7=D498),"x","")</f>
        <v/>
      </c>
      <c r="AB498" s="84" t="str">
        <f>IF(AND(OR(LEFT(TH!N498,2)="15",LEFT(TH!O498,2)="15"),LEFT(TH!O498,3)&lt;&gt;"111",'152-CT'!$J$8=TH!F498),"x","")</f>
        <v/>
      </c>
      <c r="AC498" s="84" t="str">
        <f>IF(AND(OR(LEFT(TH!N498,2)="15",LEFT(TH!O498,2)="15"),TK!$E$7=TH!F498),"x","")</f>
        <v/>
      </c>
      <c r="AD498" s="84" t="str">
        <f>IF(AND(N498="1521",MONTH(C498)='BK-NL'!$M$11),"x","")</f>
        <v/>
      </c>
      <c r="AE498" s="1146" t="str">
        <f t="shared" si="102"/>
        <v>x</v>
      </c>
    </row>
    <row r="499" spans="1:31" ht="15.75" hidden="1" customHeight="1">
      <c r="A499" s="336" t="str">
        <f>IF(B499&lt;&gt;"",IF(AND(B499='IN-TC'!$S$4,OR(TH!N499="1111",TH!O499="1111")),TH!D499,""),"")</f>
        <v/>
      </c>
      <c r="B499" s="63">
        <f t="shared" si="95"/>
        <v>1</v>
      </c>
      <c r="C499" s="80">
        <f>E499</f>
        <v>42400</v>
      </c>
      <c r="D499" s="80" t="s">
        <v>960</v>
      </c>
      <c r="E499" s="80">
        <v>42400</v>
      </c>
      <c r="F499" s="81" t="s">
        <v>684</v>
      </c>
      <c r="G499" s="81"/>
      <c r="H499" s="82" t="s">
        <v>438</v>
      </c>
      <c r="I499" s="437">
        <v>7049</v>
      </c>
      <c r="J499" s="438">
        <v>13200</v>
      </c>
      <c r="K499" s="428"/>
      <c r="L499" s="437"/>
      <c r="M499" s="83">
        <f>ROUND(I499*J499,0)</f>
        <v>93046800</v>
      </c>
      <c r="N499" s="84" t="s">
        <v>274</v>
      </c>
      <c r="O499" s="84" t="s">
        <v>8</v>
      </c>
      <c r="P499" s="84" t="str">
        <f>IF(AND('331-CT'!$E$7=TH!H499,OR(N499="331",O499="331")),"x","")</f>
        <v/>
      </c>
      <c r="Q499" s="84" t="str">
        <f>IF(AND(B499='111'!$L$11,OR($N499=$Q$7,$O499=$Q$7)),"x","")</f>
        <v/>
      </c>
      <c r="R499" s="84" t="str">
        <f>IF(AND($N499=$Q$7,$B499&lt;'111'!$L$11),"x","")</f>
        <v/>
      </c>
      <c r="S499" s="84" t="str">
        <f>IF(AND($O499=$Q$7,$B499&lt;'111'!$L$11),"x","")</f>
        <v/>
      </c>
      <c r="T499" s="84" t="str">
        <f>IF(ISERROR(FIND('112'!$M$9,G499,1)),"",IF((AND(FIND('112'!$M$9,G499,1)&gt;=1,B499='112'!$K$9,OR($N499='112'!$I$6,$O499='112'!$I$6))),"x",""))</f>
        <v/>
      </c>
      <c r="U499" s="84" t="str">
        <f>IF(ISERROR(FIND('112'!$M$9,G499,1)),"",IF((AND(LEFT(G499,2)=LEFT('112'!$M$9,2),B499&lt;'112'!$K$9,$N499='112'!$I$6)),"x",""))</f>
        <v/>
      </c>
      <c r="V499" s="84" t="str">
        <f>IF(ISERROR(FIND('112'!$M$9,G499,1)),"",IF((AND(RIGHT(G499,2)=RIGHT('112'!$M$9,2),B499&lt;'112'!$K$9,$O499='112'!$I$6)),"x",""))</f>
        <v/>
      </c>
      <c r="W499" s="84" t="str">
        <f>IF(AND('341-CT'!$H$9=H499,OR(LEFT(N499,3)=$W$7,LEFT(O499,3)=$W$7)),"x","")</f>
        <v/>
      </c>
      <c r="X499" s="84" t="str">
        <f>IF(OR(TH!N499=TH!$X$7,O499=TH!$X$7),"x","")</f>
        <v/>
      </c>
      <c r="Y499" s="84" t="str">
        <f>IF(AND(OR(N499="131",O499="131"),H499='131-CT'!$H$9),"x","")</f>
        <v/>
      </c>
      <c r="Z499" s="84"/>
      <c r="AA499" s="84" t="str">
        <f>IF(AND(MONTH(E499)='IN-NX'!$J$5,'IN-NX'!$D$7=D499),"x","")</f>
        <v/>
      </c>
      <c r="AB499" s="84" t="str">
        <f>IF(AND(OR(LEFT(TH!N499,2)="15",LEFT(TH!O499,2)="15"),LEFT(TH!O499,3)&lt;&gt;"111",'152-CT'!$J$8=TH!F499),"x","")</f>
        <v/>
      </c>
      <c r="AC499" s="84" t="str">
        <f>IF(AND(OR(LEFT(TH!N499,2)="15",LEFT(TH!O499,2)="15"),TK!$E$7=TH!F499),"x","")</f>
        <v/>
      </c>
      <c r="AD499" s="84" t="str">
        <f>IF(AND(N499="1521",MONTH(C499)='BK-NL'!$M$11),"x","")</f>
        <v/>
      </c>
      <c r="AE499" s="1146" t="str">
        <f t="shared" si="102"/>
        <v>x</v>
      </c>
    </row>
    <row r="500" spans="1:31" ht="15.75" hidden="1" customHeight="1">
      <c r="A500" s="336" t="str">
        <f>IF(B500&lt;&gt;"",IF(AND(B500='IN-TC'!$S$4,OR(TH!N500="1111",TH!O500="1111")),TH!D500,""),"")</f>
        <v/>
      </c>
      <c r="B500" s="63">
        <f t="shared" si="95"/>
        <v>1</v>
      </c>
      <c r="C500" s="80">
        <f t="shared" si="103"/>
        <v>42400</v>
      </c>
      <c r="D500" s="80" t="s">
        <v>961</v>
      </c>
      <c r="E500" s="80">
        <v>42400</v>
      </c>
      <c r="F500" s="81" t="s">
        <v>684</v>
      </c>
      <c r="G500" s="81"/>
      <c r="H500" s="82" t="s">
        <v>442</v>
      </c>
      <c r="I500" s="437">
        <v>7667</v>
      </c>
      <c r="J500" s="438">
        <v>13200</v>
      </c>
      <c r="K500" s="428"/>
      <c r="L500" s="437"/>
      <c r="M500" s="83">
        <f t="shared" si="104"/>
        <v>101204400</v>
      </c>
      <c r="N500" s="84" t="s">
        <v>274</v>
      </c>
      <c r="O500" s="84" t="s">
        <v>8</v>
      </c>
      <c r="P500" s="84" t="str">
        <f>IF(AND('331-CT'!$E$7=TH!H500,OR(N500="331",O500="331")),"x","")</f>
        <v/>
      </c>
      <c r="Q500" s="84" t="str">
        <f>IF(AND(B500='111'!$L$11,OR($N500=$Q$7,$O500=$Q$7)),"x","")</f>
        <v/>
      </c>
      <c r="R500" s="84" t="str">
        <f>IF(AND($N500=$Q$7,$B500&lt;'111'!$L$11),"x","")</f>
        <v/>
      </c>
      <c r="S500" s="84" t="str">
        <f>IF(AND($O500=$Q$7,$B500&lt;'111'!$L$11),"x","")</f>
        <v/>
      </c>
      <c r="T500" s="84" t="str">
        <f>IF(ISERROR(FIND('112'!$M$9,G500,1)),"",IF((AND(FIND('112'!$M$9,G500,1)&gt;=1,B500='112'!$K$9,OR($N500='112'!$I$6,$O500='112'!$I$6))),"x",""))</f>
        <v/>
      </c>
      <c r="U500" s="84" t="str">
        <f>IF(ISERROR(FIND('112'!$M$9,G500,1)),"",IF((AND(LEFT(G500,2)=LEFT('112'!$M$9,2),B500&lt;'112'!$K$9,$N500='112'!$I$6)),"x",""))</f>
        <v/>
      </c>
      <c r="V500" s="84" t="str">
        <f>IF(ISERROR(FIND('112'!$M$9,G500,1)),"",IF((AND(RIGHT(G500,2)=RIGHT('112'!$M$9,2),B500&lt;'112'!$K$9,$O500='112'!$I$6)),"x",""))</f>
        <v/>
      </c>
      <c r="W500" s="84" t="str">
        <f>IF(AND('341-CT'!$H$9=H500,OR(LEFT(N500,3)=$W$7,LEFT(O500,3)=$W$7)),"x","")</f>
        <v/>
      </c>
      <c r="X500" s="84" t="str">
        <f>IF(OR(TH!N500=TH!$X$7,O500=TH!$X$7),"x","")</f>
        <v/>
      </c>
      <c r="Y500" s="84" t="str">
        <f>IF(AND(OR(N500="131",O500="131"),H500='131-CT'!$H$9),"x","")</f>
        <v/>
      </c>
      <c r="Z500" s="84"/>
      <c r="AA500" s="84" t="str">
        <f>IF(AND(MONTH(E500)='IN-NX'!$J$5,'IN-NX'!$D$7=D500),"x","")</f>
        <v/>
      </c>
      <c r="AB500" s="84" t="str">
        <f>IF(AND(OR(LEFT(TH!N500,2)="15",LEFT(TH!O500,2)="15"),LEFT(TH!O500,3)&lt;&gt;"111",'152-CT'!$J$8=TH!F500),"x","")</f>
        <v/>
      </c>
      <c r="AC500" s="84" t="str">
        <f>IF(AND(OR(LEFT(TH!N500,2)="15",LEFT(TH!O500,2)="15"),TK!$E$7=TH!F500),"x","")</f>
        <v/>
      </c>
      <c r="AD500" s="84" t="str">
        <f>IF(AND(N500="1521",MONTH(C500)='BK-NL'!$M$11),"x","")</f>
        <v/>
      </c>
      <c r="AE500" s="1146" t="str">
        <f t="shared" si="102"/>
        <v>x</v>
      </c>
    </row>
    <row r="501" spans="1:31" s="341" customFormat="1" ht="15.75" hidden="1" customHeight="1">
      <c r="A501" s="336" t="str">
        <f>IF(B501&lt;&gt;"",IF(AND(B501='IN-TC'!$S$4,OR(TH!N501="1111",TH!O501="1111")),TH!D501,""),"")</f>
        <v/>
      </c>
      <c r="B501" s="63">
        <f t="shared" si="95"/>
        <v>2</v>
      </c>
      <c r="C501" s="94">
        <f t="shared" si="103"/>
        <v>42415</v>
      </c>
      <c r="D501" s="94" t="s">
        <v>685</v>
      </c>
      <c r="E501" s="94">
        <v>42415</v>
      </c>
      <c r="F501" s="95" t="s">
        <v>684</v>
      </c>
      <c r="G501" s="95"/>
      <c r="H501" s="96" t="s">
        <v>449</v>
      </c>
      <c r="I501" s="1188">
        <v>30620</v>
      </c>
      <c r="J501" s="1187">
        <v>13200</v>
      </c>
      <c r="K501" s="1189"/>
      <c r="L501" s="1188"/>
      <c r="M501" s="97">
        <f t="shared" si="104"/>
        <v>404184000</v>
      </c>
      <c r="N501" s="85" t="s">
        <v>282</v>
      </c>
      <c r="O501" s="85" t="s">
        <v>274</v>
      </c>
      <c r="P501" s="84" t="str">
        <f>IF(AND('331-CT'!$E$7=TH!H501,OR(N501="331",O501="331")),"x","")</f>
        <v/>
      </c>
      <c r="Q501" s="84" t="str">
        <f>IF(AND(B501='111'!$L$11,OR($N501=$Q$7,$O501=$Q$7)),"x","")</f>
        <v/>
      </c>
      <c r="R501" s="84" t="str">
        <f>IF(AND($N501=$Q$7,$B501&lt;'111'!$L$11),"x","")</f>
        <v/>
      </c>
      <c r="S501" s="84" t="str">
        <f>IF(AND($O501=$Q$7,$B501&lt;'111'!$L$11),"x","")</f>
        <v/>
      </c>
      <c r="T501" s="84" t="str">
        <f>IF(ISERROR(FIND('112'!$M$9,G501,1)),"",IF((AND(FIND('112'!$M$9,G501,1)&gt;=1,B501='112'!$K$9,OR($N501='112'!$I$6,$O501='112'!$I$6))),"x",""))</f>
        <v/>
      </c>
      <c r="U501" s="84" t="str">
        <f>IF(ISERROR(FIND('112'!$M$9,G501,1)),"",IF((AND(LEFT(G501,2)=LEFT('112'!$M$9,2),B501&lt;'112'!$K$9,$N501='112'!$I$6)),"x",""))</f>
        <v/>
      </c>
      <c r="V501" s="84" t="str">
        <f>IF(ISERROR(FIND('112'!$M$9,G501,1)),"",IF((AND(RIGHT(G501,2)=RIGHT('112'!$M$9,2),B501&lt;'112'!$K$9,$O501='112'!$I$6)),"x",""))</f>
        <v/>
      </c>
      <c r="W501" s="84" t="str">
        <f>IF(AND('341-CT'!$H$9=H501,OR(LEFT(N501,3)=$W$7,LEFT(O501,3)=$W$7)),"x","")</f>
        <v/>
      </c>
      <c r="X501" s="84" t="str">
        <f>IF(OR(TH!N501=TH!$X$7,O501=TH!$X$7),"x","")</f>
        <v/>
      </c>
      <c r="Y501" s="84" t="str">
        <f>IF(AND(OR(N501="131",O501="131"),H501='131-CT'!$H$9),"x","")</f>
        <v/>
      </c>
      <c r="Z501" s="84"/>
      <c r="AA501" s="84" t="str">
        <f>IF(AND(MONTH(E501)='IN-NX'!$J$5,'IN-NX'!$D$7=D501),"x","")</f>
        <v/>
      </c>
      <c r="AB501" s="84" t="str">
        <f>IF(AND(OR(LEFT(TH!N501,2)="15",LEFT(TH!O501,2)="15"),LEFT(TH!O501,3)&lt;&gt;"111",'152-CT'!$J$8=TH!F501),"x","")</f>
        <v/>
      </c>
      <c r="AC501" s="84" t="str">
        <f>IF(AND(OR(LEFT(TH!N501,2)="15",LEFT(TH!O501,2)="15"),TK!$E$7=TH!F501),"x","")</f>
        <v/>
      </c>
      <c r="AD501" s="84" t="str">
        <f>IF(AND(N501="1521",MONTH(C501)='BK-NL'!$M$11),"x","")</f>
        <v/>
      </c>
    </row>
    <row r="502" spans="1:31" s="341" customFormat="1" ht="15.75" hidden="1" customHeight="1">
      <c r="A502" s="336" t="str">
        <f>IF(B502&lt;&gt;"",IF(AND(B502='IN-TC'!$S$4,OR(TH!N502="1111",TH!O502="1111")),TH!D502,""),"")</f>
        <v/>
      </c>
      <c r="B502" s="63">
        <f t="shared" si="95"/>
        <v>2</v>
      </c>
      <c r="C502" s="94">
        <f t="shared" si="103"/>
        <v>42418</v>
      </c>
      <c r="D502" s="94" t="s">
        <v>692</v>
      </c>
      <c r="E502" s="94">
        <v>42418</v>
      </c>
      <c r="F502" s="95" t="s">
        <v>684</v>
      </c>
      <c r="G502" s="1148"/>
      <c r="H502" s="96" t="s">
        <v>449</v>
      </c>
      <c r="I502" s="1188">
        <v>28577</v>
      </c>
      <c r="J502" s="1187">
        <v>13200</v>
      </c>
      <c r="K502" s="1189"/>
      <c r="L502" s="1188"/>
      <c r="M502" s="97">
        <f t="shared" si="104"/>
        <v>377216400</v>
      </c>
      <c r="N502" s="85" t="s">
        <v>282</v>
      </c>
      <c r="O502" s="85" t="s">
        <v>274</v>
      </c>
      <c r="P502" s="84" t="str">
        <f>IF(AND('331-CT'!$E$7=TH!H502,OR(N502="331",O502="331")),"x","")</f>
        <v/>
      </c>
      <c r="Q502" s="84" t="str">
        <f>IF(AND(B502='111'!$L$11,OR($N502=$Q$7,$O502=$Q$7)),"x","")</f>
        <v/>
      </c>
      <c r="R502" s="84" t="str">
        <f>IF(AND($N502=$Q$7,$B502&lt;'111'!$L$11),"x","")</f>
        <v/>
      </c>
      <c r="S502" s="84" t="str">
        <f>IF(AND($O502=$Q$7,$B502&lt;'111'!$L$11),"x","")</f>
        <v/>
      </c>
      <c r="T502" s="84" t="str">
        <f>IF(ISERROR(FIND('112'!$M$9,G502,1)),"",IF((AND(FIND('112'!$M$9,G502,1)&gt;=1,B502='112'!$K$9,OR($N502='112'!$I$6,$O502='112'!$I$6))),"x",""))</f>
        <v/>
      </c>
      <c r="U502" s="84" t="str">
        <f>IF(ISERROR(FIND('112'!$M$9,G502,1)),"",IF((AND(LEFT(G502,2)=LEFT('112'!$M$9,2),B502&lt;'112'!$K$9,$N502='112'!$I$6)),"x",""))</f>
        <v/>
      </c>
      <c r="V502" s="84" t="str">
        <f>IF(ISERROR(FIND('112'!$M$9,G502,1)),"",IF((AND(RIGHT(G502,2)=RIGHT('112'!$M$9,2),B502&lt;'112'!$K$9,$O502='112'!$I$6)),"x",""))</f>
        <v/>
      </c>
      <c r="W502" s="84" t="str">
        <f>IF(AND('341-CT'!$H$9=H502,OR(LEFT(N502,3)=$W$7,LEFT(O502,3)=$W$7)),"x","")</f>
        <v/>
      </c>
      <c r="X502" s="84" t="str">
        <f>IF(OR(TH!N502=TH!$X$7,O502=TH!$X$7),"x","")</f>
        <v/>
      </c>
      <c r="Y502" s="84" t="str">
        <f>IF(AND(OR(N502="131",O502="131"),H502='131-CT'!$H$9),"x","")</f>
        <v/>
      </c>
      <c r="Z502" s="84"/>
      <c r="AA502" s="84" t="str">
        <f>IF(AND(MONTH(E502)='IN-NX'!$J$5,'IN-NX'!$D$7=D502),"x","")</f>
        <v/>
      </c>
      <c r="AB502" s="84" t="str">
        <f>IF(AND(OR(LEFT(TH!N502,2)="15",LEFT(TH!O502,2)="15"),LEFT(TH!O502,3)&lt;&gt;"111",'152-CT'!$J$8=TH!F502),"x","")</f>
        <v/>
      </c>
      <c r="AC502" s="84" t="str">
        <f>IF(AND(OR(LEFT(TH!N502,2)="15",LEFT(TH!O502,2)="15"),TK!$E$7=TH!F502),"x","")</f>
        <v/>
      </c>
      <c r="AD502" s="84" t="str">
        <f>IF(AND(N502="1521",MONTH(C502)='BK-NL'!$M$11),"x","")</f>
        <v/>
      </c>
    </row>
    <row r="503" spans="1:31" s="341" customFormat="1" ht="15.75" hidden="1" customHeight="1">
      <c r="A503" s="336" t="str">
        <f>IF(B503&lt;&gt;"",IF(AND(B503='IN-TC'!$S$4,OR(TH!N503="1111",TH!O503="1111")),TH!D503,""),"")</f>
        <v/>
      </c>
      <c r="B503" s="63">
        <f t="shared" si="95"/>
        <v>2</v>
      </c>
      <c r="C503" s="94">
        <f t="shared" si="103"/>
        <v>42423</v>
      </c>
      <c r="D503" s="94" t="s">
        <v>693</v>
      </c>
      <c r="E503" s="94">
        <v>42423</v>
      </c>
      <c r="F503" s="95" t="s">
        <v>684</v>
      </c>
      <c r="G503" s="95"/>
      <c r="H503" s="96" t="s">
        <v>449</v>
      </c>
      <c r="I503" s="445">
        <v>28803</v>
      </c>
      <c r="J503" s="1187">
        <v>13200</v>
      </c>
      <c r="K503" s="436"/>
      <c r="L503" s="445"/>
      <c r="M503" s="97">
        <f t="shared" si="104"/>
        <v>380199600</v>
      </c>
      <c r="N503" s="85" t="s">
        <v>282</v>
      </c>
      <c r="O503" s="85" t="s">
        <v>274</v>
      </c>
      <c r="P503" s="84" t="str">
        <f>IF(AND('331-CT'!$E$7=TH!H503,OR(N503="331",O503="331")),"x","")</f>
        <v/>
      </c>
      <c r="Q503" s="84" t="str">
        <f>IF(AND(B503='111'!$L$11,OR($N503=$Q$7,$O503=$Q$7)),"x","")</f>
        <v/>
      </c>
      <c r="R503" s="84" t="str">
        <f>IF(AND($N503=$Q$7,$B503&lt;'111'!$L$11),"x","")</f>
        <v/>
      </c>
      <c r="S503" s="84" t="str">
        <f>IF(AND($O503=$Q$7,$B503&lt;'111'!$L$11),"x","")</f>
        <v/>
      </c>
      <c r="T503" s="84" t="str">
        <f>IF(ISERROR(FIND('112'!$M$9,G503,1)),"",IF((AND(FIND('112'!$M$9,G503,1)&gt;=1,B503='112'!$K$9,OR($N503='112'!$I$6,$O503='112'!$I$6))),"x",""))</f>
        <v/>
      </c>
      <c r="U503" s="84" t="str">
        <f>IF(ISERROR(FIND('112'!$M$9,G503,1)),"",IF((AND(LEFT(G503,2)=LEFT('112'!$M$9,2),B503&lt;'112'!$K$9,$N503='112'!$I$6)),"x",""))</f>
        <v/>
      </c>
      <c r="V503" s="84" t="str">
        <f>IF(ISERROR(FIND('112'!$M$9,G503,1)),"",IF((AND(RIGHT(G503,2)=RIGHT('112'!$M$9,2),B503&lt;'112'!$K$9,$O503='112'!$I$6)),"x",""))</f>
        <v/>
      </c>
      <c r="W503" s="84" t="str">
        <f>IF(AND('341-CT'!$H$9=H503,OR(LEFT(N503,3)=$W$7,LEFT(O503,3)=$W$7)),"x","")</f>
        <v/>
      </c>
      <c r="X503" s="84" t="str">
        <f>IF(OR(TH!N503=TH!$X$7,O503=TH!$X$7),"x","")</f>
        <v/>
      </c>
      <c r="Y503" s="84" t="str">
        <f>IF(AND(OR(N503="131",O503="131"),H503='131-CT'!$H$9),"x","")</f>
        <v/>
      </c>
      <c r="Z503" s="84"/>
      <c r="AA503" s="84" t="str">
        <f>IF(AND(MONTH(E503)='IN-NX'!$J$5,'IN-NX'!$D$7=D503),"x","")</f>
        <v/>
      </c>
      <c r="AB503" s="84" t="str">
        <f>IF(AND(OR(LEFT(TH!N503,2)="15",LEFT(TH!O503,2)="15"),LEFT(TH!O503,3)&lt;&gt;"111",'152-CT'!$J$8=TH!F503),"x","")</f>
        <v/>
      </c>
      <c r="AC503" s="84" t="str">
        <f>IF(AND(OR(LEFT(TH!N503,2)="15",LEFT(TH!O503,2)="15"),TK!$E$7=TH!F503),"x","")</f>
        <v/>
      </c>
      <c r="AD503" s="84" t="str">
        <f>IF(AND(N503="1521",MONTH(C503)='BK-NL'!$M$11),"x","")</f>
        <v/>
      </c>
    </row>
    <row r="504" spans="1:31" ht="15.75" hidden="1" customHeight="1">
      <c r="A504" s="336" t="str">
        <f>IF(B504&lt;&gt;"",IF(AND(B504='IN-TC'!$S$4,OR(TH!N504="1111",TH!O504="1111")),TH!D504,""),"")</f>
        <v/>
      </c>
      <c r="B504" s="63">
        <f t="shared" ref="B504:B510" si="105">IF(C504&lt;&gt;"",MONTH(C504),"")</f>
        <v>2</v>
      </c>
      <c r="C504" s="80">
        <f>E504</f>
        <v>42417</v>
      </c>
      <c r="D504" s="80" t="s">
        <v>934</v>
      </c>
      <c r="E504" s="80">
        <v>42417</v>
      </c>
      <c r="F504" s="81" t="s">
        <v>684</v>
      </c>
      <c r="G504" s="81"/>
      <c r="H504" s="89" t="s">
        <v>428</v>
      </c>
      <c r="I504" s="438">
        <v>7043</v>
      </c>
      <c r="J504" s="438">
        <v>13200</v>
      </c>
      <c r="K504" s="429"/>
      <c r="L504" s="438"/>
      <c r="M504" s="83">
        <f t="shared" si="104"/>
        <v>92967600</v>
      </c>
      <c r="N504" s="84" t="s">
        <v>274</v>
      </c>
      <c r="O504" s="84" t="s">
        <v>8</v>
      </c>
      <c r="P504" s="84" t="str">
        <f>IF(AND('331-CT'!$E$7=TH!H504,OR(N504="331",O504="331")),"x","")</f>
        <v/>
      </c>
      <c r="Q504" s="84" t="str">
        <f>IF(AND(B504='111'!$L$11,OR($N504=$Q$7,$O504=$Q$7)),"x","")</f>
        <v/>
      </c>
      <c r="R504" s="84" t="str">
        <f>IF(AND($N504=$Q$7,$B504&lt;'111'!$L$11),"x","")</f>
        <v/>
      </c>
      <c r="S504" s="84" t="str">
        <f>IF(AND($O504=$Q$7,$B504&lt;'111'!$L$11),"x","")</f>
        <v/>
      </c>
      <c r="T504" s="84" t="str">
        <f>IF(ISERROR(FIND('112'!$M$9,G504,1)),"",IF((AND(FIND('112'!$M$9,G504,1)&gt;=1,B504='112'!$K$9,OR($N504='112'!$I$6,$O504='112'!$I$6))),"x",""))</f>
        <v/>
      </c>
      <c r="U504" s="84" t="str">
        <f>IF(ISERROR(FIND('112'!$M$9,G504,1)),"",IF((AND(LEFT(G504,2)=LEFT('112'!$M$9,2),B504&lt;'112'!$K$9,$N504='112'!$I$6)),"x",""))</f>
        <v/>
      </c>
      <c r="V504" s="84" t="str">
        <f>IF(ISERROR(FIND('112'!$M$9,G504,1)),"",IF((AND(RIGHT(G504,2)=RIGHT('112'!$M$9,2),B504&lt;'112'!$K$9,$O504='112'!$I$6)),"x",""))</f>
        <v/>
      </c>
      <c r="W504" s="84" t="str">
        <f>IF(AND('341-CT'!$H$9=H504,OR(LEFT(N504,3)=$W$7,LEFT(O504,3)=$W$7)),"x","")</f>
        <v/>
      </c>
      <c r="X504" s="84" t="str">
        <f>IF(OR(TH!N504=TH!$X$7,O504=TH!$X$7),"x","")</f>
        <v/>
      </c>
      <c r="Y504" s="84" t="str">
        <f>IF(AND(OR(N504="131",O504="131"),H504='131-CT'!$H$9),"x","")</f>
        <v/>
      </c>
      <c r="Z504" s="84"/>
      <c r="AA504" s="84" t="str">
        <f>IF(AND(MONTH(E504)='IN-NX'!$J$5,'IN-NX'!$D$7=D504),"x","")</f>
        <v/>
      </c>
      <c r="AB504" s="84" t="str">
        <f>IF(AND(OR(LEFT(TH!N504,2)="15",LEFT(TH!O504,2)="15"),LEFT(TH!O504,3)&lt;&gt;"111",'152-CT'!$J$8=TH!F504),"x","")</f>
        <v/>
      </c>
      <c r="AC504" s="84" t="str">
        <f>IF(AND(OR(LEFT(TH!N504,2)="15",LEFT(TH!O504,2)="15"),TK!$E$7=TH!F504),"x","")</f>
        <v/>
      </c>
      <c r="AD504" s="84" t="str">
        <f>IF(AND(N504="1521",MONTH(C504)='BK-NL'!$M$11),"x","")</f>
        <v>x</v>
      </c>
      <c r="AE504" s="1146" t="str">
        <f t="shared" ref="AE504:AE510" si="106">IF(H504&lt;&gt;VLOOKUP(H504,DSKH,1,0),"","x")</f>
        <v>x</v>
      </c>
    </row>
    <row r="505" spans="1:31" ht="15.75" hidden="1" customHeight="1">
      <c r="A505" s="336" t="str">
        <f>IF(B505&lt;&gt;"",IF(AND(B505='IN-TC'!$S$4,OR(TH!N505="1111",TH!O505="1111")),TH!D505,""),"")</f>
        <v/>
      </c>
      <c r="B505" s="63">
        <f t="shared" si="105"/>
        <v>2</v>
      </c>
      <c r="C505" s="80">
        <f t="shared" ref="C505:C510" si="107">E505</f>
        <v>42417</v>
      </c>
      <c r="D505" s="80" t="s">
        <v>935</v>
      </c>
      <c r="E505" s="80">
        <v>42417</v>
      </c>
      <c r="F505" s="81" t="s">
        <v>684</v>
      </c>
      <c r="G505" s="81"/>
      <c r="H505" s="82" t="s">
        <v>435</v>
      </c>
      <c r="I505" s="437">
        <v>7150</v>
      </c>
      <c r="J505" s="438">
        <v>13200</v>
      </c>
      <c r="K505" s="428"/>
      <c r="L505" s="437"/>
      <c r="M505" s="83">
        <f t="shared" si="104"/>
        <v>94380000</v>
      </c>
      <c r="N505" s="84" t="s">
        <v>274</v>
      </c>
      <c r="O505" s="84" t="s">
        <v>8</v>
      </c>
      <c r="P505" s="84" t="str">
        <f>IF(AND('331-CT'!$E$7=TH!H505,OR(N505="331",O505="331")),"x","")</f>
        <v/>
      </c>
      <c r="Q505" s="84" t="str">
        <f>IF(AND(B505='111'!$L$11,OR($N505=$Q$7,$O505=$Q$7)),"x","")</f>
        <v/>
      </c>
      <c r="R505" s="84" t="str">
        <f>IF(AND($N505=$Q$7,$B505&lt;'111'!$L$11),"x","")</f>
        <v/>
      </c>
      <c r="S505" s="84" t="str">
        <f>IF(AND($O505=$Q$7,$B505&lt;'111'!$L$11),"x","")</f>
        <v/>
      </c>
      <c r="T505" s="84" t="str">
        <f>IF(ISERROR(FIND('112'!$M$9,G505,1)),"",IF((AND(FIND('112'!$M$9,G505,1)&gt;=1,B505='112'!$K$9,OR($N505='112'!$I$6,$O505='112'!$I$6))),"x",""))</f>
        <v/>
      </c>
      <c r="U505" s="84" t="str">
        <f>IF(ISERROR(FIND('112'!$M$9,G505,1)),"",IF((AND(LEFT(G505,2)=LEFT('112'!$M$9,2),B505&lt;'112'!$K$9,$N505='112'!$I$6)),"x",""))</f>
        <v/>
      </c>
      <c r="V505" s="84" t="str">
        <f>IF(ISERROR(FIND('112'!$M$9,G505,1)),"",IF((AND(RIGHT(G505,2)=RIGHT('112'!$M$9,2),B505&lt;'112'!$K$9,$O505='112'!$I$6)),"x",""))</f>
        <v/>
      </c>
      <c r="W505" s="84" t="str">
        <f>IF(AND('341-CT'!$H$9=H505,OR(LEFT(N505,3)=$W$7,LEFT(O505,3)=$W$7)),"x","")</f>
        <v/>
      </c>
      <c r="X505" s="84" t="str">
        <f>IF(OR(TH!N505=TH!$X$7,O505=TH!$X$7),"x","")</f>
        <v/>
      </c>
      <c r="Y505" s="84" t="str">
        <f>IF(AND(OR(N505="131",O505="131"),H505='131-CT'!$H$9),"x","")</f>
        <v/>
      </c>
      <c r="Z505" s="84"/>
      <c r="AA505" s="84" t="str">
        <f>IF(AND(MONTH(E505)='IN-NX'!$J$5,'IN-NX'!$D$7=D505),"x","")</f>
        <v/>
      </c>
      <c r="AB505" s="84" t="str">
        <f>IF(AND(OR(LEFT(TH!N505,2)="15",LEFT(TH!O505,2)="15"),LEFT(TH!O505,3)&lt;&gt;"111",'152-CT'!$J$8=TH!F505),"x","")</f>
        <v/>
      </c>
      <c r="AC505" s="84" t="str">
        <f>IF(AND(OR(LEFT(TH!N505,2)="15",LEFT(TH!O505,2)="15"),TK!$E$7=TH!F505),"x","")</f>
        <v/>
      </c>
      <c r="AD505" s="84" t="str">
        <f>IF(AND(N505="1521",MONTH(C505)='BK-NL'!$M$11),"x","")</f>
        <v>x</v>
      </c>
      <c r="AE505" s="1146" t="str">
        <f t="shared" si="106"/>
        <v>x</v>
      </c>
    </row>
    <row r="506" spans="1:31" ht="15.75" hidden="1" customHeight="1">
      <c r="A506" s="336" t="str">
        <f>IF(B506&lt;&gt;"",IF(AND(B506='IN-TC'!$S$4,OR(TH!N506="1111",TH!O506="1111")),TH!D506,""),"")</f>
        <v/>
      </c>
      <c r="B506" s="63">
        <f t="shared" si="105"/>
        <v>2</v>
      </c>
      <c r="C506" s="80">
        <f t="shared" si="107"/>
        <v>42417</v>
      </c>
      <c r="D506" s="80" t="s">
        <v>936</v>
      </c>
      <c r="E506" s="80">
        <v>42417</v>
      </c>
      <c r="F506" s="81" t="s">
        <v>684</v>
      </c>
      <c r="G506" s="81"/>
      <c r="H506" s="82" t="s">
        <v>437</v>
      </c>
      <c r="I506" s="437">
        <v>6970</v>
      </c>
      <c r="J506" s="438">
        <v>13200</v>
      </c>
      <c r="K506" s="428"/>
      <c r="L506" s="437"/>
      <c r="M506" s="83">
        <f t="shared" si="104"/>
        <v>92004000</v>
      </c>
      <c r="N506" s="84" t="s">
        <v>274</v>
      </c>
      <c r="O506" s="84" t="s">
        <v>8</v>
      </c>
      <c r="P506" s="84" t="str">
        <f>IF(AND('331-CT'!$E$7=TH!H506,OR(N506="331",O506="331")),"x","")</f>
        <v/>
      </c>
      <c r="Q506" s="84" t="str">
        <f>IF(AND(B506='111'!$L$11,OR($N506=$Q$7,$O506=$Q$7)),"x","")</f>
        <v/>
      </c>
      <c r="R506" s="84" t="str">
        <f>IF(AND($N506=$Q$7,$B506&lt;'111'!$L$11),"x","")</f>
        <v/>
      </c>
      <c r="S506" s="84" t="str">
        <f>IF(AND($O506=$Q$7,$B506&lt;'111'!$L$11),"x","")</f>
        <v/>
      </c>
      <c r="T506" s="84" t="str">
        <f>IF(ISERROR(FIND('112'!$M$9,G506,1)),"",IF((AND(FIND('112'!$M$9,G506,1)&gt;=1,B506='112'!$K$9,OR($N506='112'!$I$6,$O506='112'!$I$6))),"x",""))</f>
        <v/>
      </c>
      <c r="U506" s="84" t="str">
        <f>IF(ISERROR(FIND('112'!$M$9,G506,1)),"",IF((AND(LEFT(G506,2)=LEFT('112'!$M$9,2),B506&lt;'112'!$K$9,$N506='112'!$I$6)),"x",""))</f>
        <v/>
      </c>
      <c r="V506" s="84" t="str">
        <f>IF(ISERROR(FIND('112'!$M$9,G506,1)),"",IF((AND(RIGHT(G506,2)=RIGHT('112'!$M$9,2),B506&lt;'112'!$K$9,$O506='112'!$I$6)),"x",""))</f>
        <v/>
      </c>
      <c r="W506" s="84" t="str">
        <f>IF(AND('341-CT'!$H$9=H506,OR(LEFT(N506,3)=$W$7,LEFT(O506,3)=$W$7)),"x","")</f>
        <v/>
      </c>
      <c r="X506" s="84" t="str">
        <f>IF(OR(TH!N506=TH!$X$7,O506=TH!$X$7),"x","")</f>
        <v/>
      </c>
      <c r="Y506" s="84" t="str">
        <f>IF(AND(OR(N506="131",O506="131"),H506='131-CT'!$H$9),"x","")</f>
        <v/>
      </c>
      <c r="Z506" s="84"/>
      <c r="AA506" s="84" t="str">
        <f>IF(AND(MONTH(E506)='IN-NX'!$J$5,'IN-NX'!$D$7=D506),"x","")</f>
        <v/>
      </c>
      <c r="AB506" s="84" t="str">
        <f>IF(AND(OR(LEFT(TH!N506,2)="15",LEFT(TH!O506,2)="15"),LEFT(TH!O506,3)&lt;&gt;"111",'152-CT'!$J$8=TH!F506),"x","")</f>
        <v/>
      </c>
      <c r="AC506" s="84" t="str">
        <f>IF(AND(OR(LEFT(TH!N506,2)="15",LEFT(TH!O506,2)="15"),TK!$E$7=TH!F506),"x","")</f>
        <v/>
      </c>
      <c r="AD506" s="84" t="str">
        <f>IF(AND(N506="1521",MONTH(C506)='BK-NL'!$M$11),"x","")</f>
        <v>x</v>
      </c>
      <c r="AE506" s="1146" t="str">
        <f t="shared" si="106"/>
        <v>x</v>
      </c>
    </row>
    <row r="507" spans="1:31" ht="15.75" hidden="1" customHeight="1">
      <c r="A507" s="336" t="str">
        <f>IF(B507&lt;&gt;"",IF(AND(B507='IN-TC'!$S$4,OR(TH!N507="1111",TH!O507="1111")),TH!D507,""),"")</f>
        <v/>
      </c>
      <c r="B507" s="63">
        <f t="shared" si="105"/>
        <v>2</v>
      </c>
      <c r="C507" s="80">
        <f t="shared" si="107"/>
        <v>42417</v>
      </c>
      <c r="D507" s="80" t="s">
        <v>937</v>
      </c>
      <c r="E507" s="80">
        <v>42417</v>
      </c>
      <c r="F507" s="81" t="s">
        <v>684</v>
      </c>
      <c r="G507" s="81"/>
      <c r="H507" s="82" t="s">
        <v>444</v>
      </c>
      <c r="I507" s="437">
        <v>7450</v>
      </c>
      <c r="J507" s="438">
        <v>13200</v>
      </c>
      <c r="K507" s="428"/>
      <c r="L507" s="437"/>
      <c r="M507" s="83">
        <f t="shared" si="104"/>
        <v>98340000</v>
      </c>
      <c r="N507" s="84" t="s">
        <v>274</v>
      </c>
      <c r="O507" s="84" t="s">
        <v>8</v>
      </c>
      <c r="P507" s="84" t="str">
        <f>IF(AND('331-CT'!$E$7=TH!H507,OR(N507="331",O507="331")),"x","")</f>
        <v/>
      </c>
      <c r="Q507" s="84" t="str">
        <f>IF(AND(B507='111'!$L$11,OR($N507=$Q$7,$O507=$Q$7)),"x","")</f>
        <v/>
      </c>
      <c r="R507" s="84" t="str">
        <f>IF(AND($N507=$Q$7,$B507&lt;'111'!$L$11),"x","")</f>
        <v/>
      </c>
      <c r="S507" s="84" t="str">
        <f>IF(AND($O507=$Q$7,$B507&lt;'111'!$L$11),"x","")</f>
        <v/>
      </c>
      <c r="T507" s="84" t="str">
        <f>IF(ISERROR(FIND('112'!$M$9,G507,1)),"",IF((AND(FIND('112'!$M$9,G507,1)&gt;=1,B507='112'!$K$9,OR($N507='112'!$I$6,$O507='112'!$I$6))),"x",""))</f>
        <v/>
      </c>
      <c r="U507" s="84" t="str">
        <f>IF(ISERROR(FIND('112'!$M$9,G507,1)),"",IF((AND(LEFT(G507,2)=LEFT('112'!$M$9,2),B507&lt;'112'!$K$9,$N507='112'!$I$6)),"x",""))</f>
        <v/>
      </c>
      <c r="V507" s="84" t="str">
        <f>IF(ISERROR(FIND('112'!$M$9,G507,1)),"",IF((AND(RIGHT(G507,2)=RIGHT('112'!$M$9,2),B507&lt;'112'!$K$9,$O507='112'!$I$6)),"x",""))</f>
        <v/>
      </c>
      <c r="W507" s="84" t="str">
        <f>IF(AND('341-CT'!$H$9=H507,OR(LEFT(N507,3)=$W$7,LEFT(O507,3)=$W$7)),"x","")</f>
        <v/>
      </c>
      <c r="X507" s="84" t="str">
        <f>IF(OR(TH!N507=TH!$X$7,O507=TH!$X$7),"x","")</f>
        <v/>
      </c>
      <c r="Y507" s="84" t="str">
        <f>IF(AND(OR(N507="131",O507="131"),H507='131-CT'!$H$9),"x","")</f>
        <v/>
      </c>
      <c r="Z507" s="84"/>
      <c r="AA507" s="84" t="str">
        <f>IF(AND(MONTH(E507)='IN-NX'!$J$5,'IN-NX'!$D$7=D507),"x","")</f>
        <v/>
      </c>
      <c r="AB507" s="84" t="str">
        <f>IF(AND(OR(LEFT(TH!N507,2)="15",LEFT(TH!O507,2)="15"),LEFT(TH!O507,3)&lt;&gt;"111",'152-CT'!$J$8=TH!F507),"x","")</f>
        <v/>
      </c>
      <c r="AC507" s="84" t="str">
        <f>IF(AND(OR(LEFT(TH!N507,2)="15",LEFT(TH!O507,2)="15"),TK!$E$7=TH!F507),"x","")</f>
        <v/>
      </c>
      <c r="AD507" s="84" t="str">
        <f>IF(AND(N507="1521",MONTH(C507)='BK-NL'!$M$11),"x","")</f>
        <v>x</v>
      </c>
      <c r="AE507" s="1146" t="str">
        <f t="shared" si="106"/>
        <v>x</v>
      </c>
    </row>
    <row r="508" spans="1:31" ht="15.75" hidden="1" customHeight="1">
      <c r="A508" s="336" t="str">
        <f>IF(B508&lt;&gt;"",IF(AND(B508='IN-TC'!$S$4,OR(TH!N508="1111",TH!O508="1111")),TH!D508,""),"")</f>
        <v/>
      </c>
      <c r="B508" s="63">
        <f t="shared" si="105"/>
        <v>2</v>
      </c>
      <c r="C508" s="80">
        <f t="shared" si="107"/>
        <v>42424</v>
      </c>
      <c r="D508" s="80" t="s">
        <v>938</v>
      </c>
      <c r="E508" s="80">
        <v>42424</v>
      </c>
      <c r="F508" s="81" t="s">
        <v>684</v>
      </c>
      <c r="G508" s="81"/>
      <c r="H508" s="82" t="s">
        <v>435</v>
      </c>
      <c r="I508" s="437">
        <v>7460</v>
      </c>
      <c r="J508" s="438">
        <v>13200</v>
      </c>
      <c r="K508" s="428"/>
      <c r="L508" s="437"/>
      <c r="M508" s="83">
        <f t="shared" si="104"/>
        <v>98472000</v>
      </c>
      <c r="N508" s="84" t="s">
        <v>274</v>
      </c>
      <c r="O508" s="84" t="s">
        <v>8</v>
      </c>
      <c r="P508" s="84" t="str">
        <f>IF(AND('331-CT'!$E$7=TH!H508,OR(N508="331",O508="331")),"x","")</f>
        <v/>
      </c>
      <c r="Q508" s="84" t="str">
        <f>IF(AND(B508='111'!$L$11,OR($N508=$Q$7,$O508=$Q$7)),"x","")</f>
        <v/>
      </c>
      <c r="R508" s="84" t="str">
        <f>IF(AND($N508=$Q$7,$B508&lt;'111'!$L$11),"x","")</f>
        <v/>
      </c>
      <c r="S508" s="84" t="str">
        <f>IF(AND($O508=$Q$7,$B508&lt;'111'!$L$11),"x","")</f>
        <v/>
      </c>
      <c r="T508" s="84" t="str">
        <f>IF(ISERROR(FIND('112'!$M$9,G508,1)),"",IF((AND(FIND('112'!$M$9,G508,1)&gt;=1,B508='112'!$K$9,OR($N508='112'!$I$6,$O508='112'!$I$6))),"x",""))</f>
        <v/>
      </c>
      <c r="U508" s="84" t="str">
        <f>IF(ISERROR(FIND('112'!$M$9,G508,1)),"",IF((AND(LEFT(G508,2)=LEFT('112'!$M$9,2),B508&lt;'112'!$K$9,$N508='112'!$I$6)),"x",""))</f>
        <v/>
      </c>
      <c r="V508" s="84" t="str">
        <f>IF(ISERROR(FIND('112'!$M$9,G508,1)),"",IF((AND(RIGHT(G508,2)=RIGHT('112'!$M$9,2),B508&lt;'112'!$K$9,$O508='112'!$I$6)),"x",""))</f>
        <v/>
      </c>
      <c r="W508" s="84" t="str">
        <f>IF(AND('341-CT'!$H$9=H508,OR(LEFT(N508,3)=$W$7,LEFT(O508,3)=$W$7)),"x","")</f>
        <v/>
      </c>
      <c r="X508" s="84" t="str">
        <f>IF(OR(TH!N508=TH!$X$7,O508=TH!$X$7),"x","")</f>
        <v/>
      </c>
      <c r="Y508" s="84" t="str">
        <f>IF(AND(OR(N508="131",O508="131"),H508='131-CT'!$H$9),"x","")</f>
        <v/>
      </c>
      <c r="Z508" s="84"/>
      <c r="AA508" s="84" t="str">
        <f>IF(AND(MONTH(E508)='IN-NX'!$J$5,'IN-NX'!$D$7=D508),"x","")</f>
        <v/>
      </c>
      <c r="AB508" s="84" t="str">
        <f>IF(AND(OR(LEFT(TH!N508,2)="15",LEFT(TH!O508,2)="15"),LEFT(TH!O508,3)&lt;&gt;"111",'152-CT'!$J$8=TH!F508),"x","")</f>
        <v/>
      </c>
      <c r="AC508" s="84" t="str">
        <f>IF(AND(OR(LEFT(TH!N508,2)="15",LEFT(TH!O508,2)="15"),TK!$E$7=TH!F508),"x","")</f>
        <v/>
      </c>
      <c r="AD508" s="84" t="str">
        <f>IF(AND(N508="1521",MONTH(C508)='BK-NL'!$M$11),"x","")</f>
        <v>x</v>
      </c>
      <c r="AE508" s="1146" t="str">
        <f t="shared" si="106"/>
        <v>x</v>
      </c>
    </row>
    <row r="509" spans="1:31" ht="15.75" hidden="1" customHeight="1">
      <c r="A509" s="336" t="str">
        <f>IF(B509&lt;&gt;"",IF(AND(B509='IN-TC'!$S$4,OR(TH!N509="1111",TH!O509="1111")),TH!D509,""),"")</f>
        <v/>
      </c>
      <c r="B509" s="63">
        <f t="shared" si="105"/>
        <v>2</v>
      </c>
      <c r="C509" s="80">
        <f t="shared" si="107"/>
        <v>42424</v>
      </c>
      <c r="D509" s="80" t="s">
        <v>939</v>
      </c>
      <c r="E509" s="80">
        <v>42424</v>
      </c>
      <c r="F509" s="81" t="s">
        <v>684</v>
      </c>
      <c r="G509" s="81"/>
      <c r="H509" s="82" t="s">
        <v>437</v>
      </c>
      <c r="I509" s="437">
        <v>7328</v>
      </c>
      <c r="J509" s="438">
        <v>13200</v>
      </c>
      <c r="K509" s="428"/>
      <c r="L509" s="437"/>
      <c r="M509" s="83">
        <f t="shared" si="104"/>
        <v>96729600</v>
      </c>
      <c r="N509" s="84" t="s">
        <v>274</v>
      </c>
      <c r="O509" s="84" t="s">
        <v>8</v>
      </c>
      <c r="P509" s="84" t="str">
        <f>IF(AND('331-CT'!$E$7=TH!H509,OR(N509="331",O509="331")),"x","")</f>
        <v/>
      </c>
      <c r="Q509" s="84" t="str">
        <f>IF(AND(B509='111'!$L$11,OR($N509=$Q$7,$O509=$Q$7)),"x","")</f>
        <v/>
      </c>
      <c r="R509" s="84" t="str">
        <f>IF(AND($N509=$Q$7,$B509&lt;'111'!$L$11),"x","")</f>
        <v/>
      </c>
      <c r="S509" s="84" t="str">
        <f>IF(AND($O509=$Q$7,$B509&lt;'111'!$L$11),"x","")</f>
        <v/>
      </c>
      <c r="T509" s="84" t="str">
        <f>IF(ISERROR(FIND('112'!$M$9,G509,1)),"",IF((AND(FIND('112'!$M$9,G509,1)&gt;=1,B509='112'!$K$9,OR($N509='112'!$I$6,$O509='112'!$I$6))),"x",""))</f>
        <v/>
      </c>
      <c r="U509" s="84" t="str">
        <f>IF(ISERROR(FIND('112'!$M$9,G509,1)),"",IF((AND(LEFT(G509,2)=LEFT('112'!$M$9,2),B509&lt;'112'!$K$9,$N509='112'!$I$6)),"x",""))</f>
        <v/>
      </c>
      <c r="V509" s="84" t="str">
        <f>IF(ISERROR(FIND('112'!$M$9,G509,1)),"",IF((AND(RIGHT(G509,2)=RIGHT('112'!$M$9,2),B509&lt;'112'!$K$9,$O509='112'!$I$6)),"x",""))</f>
        <v/>
      </c>
      <c r="W509" s="84" t="str">
        <f>IF(AND('341-CT'!$H$9=H509,OR(LEFT(N509,3)=$W$7,LEFT(O509,3)=$W$7)),"x","")</f>
        <v/>
      </c>
      <c r="X509" s="84" t="str">
        <f>IF(OR(TH!N509=TH!$X$7,O509=TH!$X$7),"x","")</f>
        <v/>
      </c>
      <c r="Y509" s="84" t="str">
        <f>IF(AND(OR(N509="131",O509="131"),H509='131-CT'!$H$9),"x","")</f>
        <v/>
      </c>
      <c r="Z509" s="84"/>
      <c r="AA509" s="84" t="str">
        <f>IF(AND(MONTH(E509)='IN-NX'!$J$5,'IN-NX'!$D$7=D509),"x","")</f>
        <v/>
      </c>
      <c r="AB509" s="84" t="str">
        <f>IF(AND(OR(LEFT(TH!N509,2)="15",LEFT(TH!O509,2)="15"),LEFT(TH!O509,3)&lt;&gt;"111",'152-CT'!$J$8=TH!F509),"x","")</f>
        <v/>
      </c>
      <c r="AC509" s="84" t="str">
        <f>IF(AND(OR(LEFT(TH!N509,2)="15",LEFT(TH!O509,2)="15"),TK!$E$7=TH!F509),"x","")</f>
        <v/>
      </c>
      <c r="AD509" s="84" t="str">
        <f>IF(AND(N509="1521",MONTH(C509)='BK-NL'!$M$11),"x","")</f>
        <v>x</v>
      </c>
      <c r="AE509" s="1146" t="str">
        <f t="shared" si="106"/>
        <v>x</v>
      </c>
    </row>
    <row r="510" spans="1:31" ht="15.75" hidden="1" customHeight="1">
      <c r="A510" s="336" t="str">
        <f>IF(B510&lt;&gt;"",IF(AND(B510='IN-TC'!$S$4,OR(TH!N510="1111",TH!O510="1111")),TH!D510,""),"")</f>
        <v/>
      </c>
      <c r="B510" s="63">
        <f t="shared" si="105"/>
        <v>2</v>
      </c>
      <c r="C510" s="80">
        <f t="shared" si="107"/>
        <v>42424</v>
      </c>
      <c r="D510" s="80" t="s">
        <v>940</v>
      </c>
      <c r="E510" s="80">
        <v>42424</v>
      </c>
      <c r="F510" s="81" t="s">
        <v>684</v>
      </c>
      <c r="G510" s="81"/>
      <c r="H510" s="82" t="s">
        <v>438</v>
      </c>
      <c r="I510" s="437">
        <f>7046-947</f>
        <v>6099</v>
      </c>
      <c r="J510" s="438">
        <v>13200</v>
      </c>
      <c r="K510" s="428"/>
      <c r="L510" s="437"/>
      <c r="M510" s="83">
        <f t="shared" si="104"/>
        <v>80506800</v>
      </c>
      <c r="N510" s="84" t="s">
        <v>274</v>
      </c>
      <c r="O510" s="84" t="s">
        <v>8</v>
      </c>
      <c r="P510" s="84" t="str">
        <f>IF(AND('331-CT'!$E$7=TH!H510,OR(N510="331",O510="331")),"x","")</f>
        <v/>
      </c>
      <c r="Q510" s="84" t="str">
        <f>IF(AND(B510='111'!$L$11,OR($N510=$Q$7,$O510=$Q$7)),"x","")</f>
        <v/>
      </c>
      <c r="R510" s="84" t="str">
        <f>IF(AND($N510=$Q$7,$B510&lt;'111'!$L$11),"x","")</f>
        <v/>
      </c>
      <c r="S510" s="84" t="str">
        <f>IF(AND($O510=$Q$7,$B510&lt;'111'!$L$11),"x","")</f>
        <v/>
      </c>
      <c r="T510" s="84" t="str">
        <f>IF(ISERROR(FIND('112'!$M$9,G510,1)),"",IF((AND(FIND('112'!$M$9,G510,1)&gt;=1,B510='112'!$K$9,OR($N510='112'!$I$6,$O510='112'!$I$6))),"x",""))</f>
        <v/>
      </c>
      <c r="U510" s="84" t="str">
        <f>IF(ISERROR(FIND('112'!$M$9,G510,1)),"",IF((AND(LEFT(G510,2)=LEFT('112'!$M$9,2),B510&lt;'112'!$K$9,$N510='112'!$I$6)),"x",""))</f>
        <v/>
      </c>
      <c r="V510" s="84" t="str">
        <f>IF(ISERROR(FIND('112'!$M$9,G510,1)),"",IF((AND(RIGHT(G510,2)=RIGHT('112'!$M$9,2),B510&lt;'112'!$K$9,$O510='112'!$I$6)),"x",""))</f>
        <v/>
      </c>
      <c r="W510" s="84" t="str">
        <f>IF(AND('341-CT'!$H$9=H510,OR(LEFT(N510,3)=$W$7,LEFT(O510,3)=$W$7)),"x","")</f>
        <v/>
      </c>
      <c r="X510" s="84" t="str">
        <f>IF(OR(TH!N510=TH!$X$7,O510=TH!$X$7),"x","")</f>
        <v/>
      </c>
      <c r="Y510" s="84" t="str">
        <f>IF(AND(OR(N510="131",O510="131"),H510='131-CT'!$H$9),"x","")</f>
        <v/>
      </c>
      <c r="Z510" s="84"/>
      <c r="AA510" s="84" t="str">
        <f>IF(AND(MONTH(E510)='IN-NX'!$J$5,'IN-NX'!$D$7=D510),"x","")</f>
        <v/>
      </c>
      <c r="AB510" s="84" t="str">
        <f>IF(AND(OR(LEFT(TH!N510,2)="15",LEFT(TH!O510,2)="15"),LEFT(TH!O510,3)&lt;&gt;"111",'152-CT'!$J$8=TH!F510),"x","")</f>
        <v/>
      </c>
      <c r="AC510" s="84" t="str">
        <f>IF(AND(OR(LEFT(TH!N510,2)="15",LEFT(TH!O510,2)="15"),TK!$E$7=TH!F510),"x","")</f>
        <v/>
      </c>
      <c r="AD510" s="84" t="str">
        <f>IF(AND(N510="1521",MONTH(C510)='BK-NL'!$M$11),"x","")</f>
        <v>x</v>
      </c>
      <c r="AE510" s="1146" t="str">
        <f t="shared" si="106"/>
        <v>x</v>
      </c>
    </row>
    <row r="511" spans="1:31" ht="15.75" hidden="1" customHeight="1">
      <c r="A511" s="336" t="str">
        <f>IF(B511&lt;&gt;"",IF(AND(B511='IN-TC'!$S$4,OR(TH!N511="1111",TH!O511="1111")),TH!D511,""),"")</f>
        <v/>
      </c>
      <c r="B511" s="63">
        <f>IF(C511&lt;&gt;"",MONTH(C511),"")</f>
        <v>2</v>
      </c>
      <c r="C511" s="80">
        <f>E511</f>
        <v>42426</v>
      </c>
      <c r="D511" s="80" t="s">
        <v>941</v>
      </c>
      <c r="E511" s="80">
        <v>42426</v>
      </c>
      <c r="F511" s="81" t="s">
        <v>1964</v>
      </c>
      <c r="G511" s="985" t="s">
        <v>1966</v>
      </c>
      <c r="H511" s="82" t="s">
        <v>1546</v>
      </c>
      <c r="I511" s="437">
        <v>16100</v>
      </c>
      <c r="J511" s="438">
        <v>11165</v>
      </c>
      <c r="K511" s="428"/>
      <c r="L511" s="437"/>
      <c r="M511" s="83">
        <f>ROUND(I511*J511,0)</f>
        <v>179756500</v>
      </c>
      <c r="N511" s="84" t="s">
        <v>274</v>
      </c>
      <c r="O511" s="84" t="s">
        <v>588</v>
      </c>
      <c r="P511" s="84" t="str">
        <f>IF(AND('331-CT'!$E$7=TH!H511,OR(N511="331",O511="331")),"x","")</f>
        <v/>
      </c>
      <c r="Q511" s="84" t="str">
        <f>IF(AND(B511='111'!$L$11,OR($N511=$Q$7,$O511=$Q$7)),"x","")</f>
        <v/>
      </c>
      <c r="R511" s="84" t="str">
        <f>IF(AND($N511=$Q$7,$B511&lt;'111'!$L$11),"x","")</f>
        <v/>
      </c>
      <c r="S511" s="84" t="str">
        <f>IF(AND($O511=$Q$7,$B511&lt;'111'!$L$11),"x","")</f>
        <v/>
      </c>
      <c r="T511" s="84" t="str">
        <f>IF(ISERROR(FIND('112'!$M$9,G511,1)),"",IF((AND(FIND('112'!$M$9,G511,1)&gt;=1,B511='112'!$K$9,OR($N511='112'!$I$6,$O511='112'!$I$6))),"x",""))</f>
        <v/>
      </c>
      <c r="U511" s="84" t="str">
        <f>IF(ISERROR(FIND('112'!$M$9,G511,1)),"",IF((AND(LEFT(G511,2)=LEFT('112'!$M$9,2),B511&lt;'112'!$K$9,$N511='112'!$I$6)),"x",""))</f>
        <v/>
      </c>
      <c r="V511" s="84" t="str">
        <f>IF(ISERROR(FIND('112'!$M$9,G511,1)),"",IF((AND(RIGHT(G511,2)=RIGHT('112'!$M$9,2),B511&lt;'112'!$K$9,$O511='112'!$I$6)),"x",""))</f>
        <v/>
      </c>
      <c r="W511" s="84" t="str">
        <f>IF(AND('341-CT'!$H$9=H511,OR(LEFT(N511,3)=$W$7,LEFT(O511,3)=$W$7)),"x","")</f>
        <v/>
      </c>
      <c r="X511" s="84" t="str">
        <f>IF(OR(TH!N511=TH!$X$7,O511=TH!$X$7),"x","")</f>
        <v/>
      </c>
      <c r="Y511" s="84" t="str">
        <f>IF(AND(OR(N511="131",O511="131"),H511='131-CT'!$H$9),"x","")</f>
        <v/>
      </c>
      <c r="Z511" s="84"/>
      <c r="AA511" s="84" t="str">
        <f>IF(AND(MONTH(E511)='IN-NX'!$J$5,'IN-NX'!$D$7=D511),"x","")</f>
        <v/>
      </c>
      <c r="AB511" s="84" t="str">
        <f>IF(AND(OR(LEFT(TH!N511,2)="15",LEFT(TH!O511,2)="15"),LEFT(TH!O511,3)&lt;&gt;"111",'152-CT'!$J$8=TH!F511),"x","")</f>
        <v/>
      </c>
      <c r="AC511" s="84" t="str">
        <f>IF(AND(OR(LEFT(TH!N511,2)="15",LEFT(TH!O511,2)="15"),TK!$E$7=TH!F511),"x","")</f>
        <v/>
      </c>
      <c r="AD511" s="84" t="str">
        <f>IF(AND(N511="1521",MONTH(C511)='BK-NL'!$M$11),"x","")</f>
        <v>x</v>
      </c>
      <c r="AE511" s="1146"/>
    </row>
    <row r="512" spans="1:31" ht="15.75" hidden="1" customHeight="1">
      <c r="A512" s="336" t="str">
        <f>IF(B512&lt;&gt;"",IF(AND(B512='IN-TC'!$S$4,OR(TH!N512="1111",TH!O512="1111")),TH!D512,""),"")</f>
        <v/>
      </c>
      <c r="B512" s="63">
        <f>IF(C512&lt;&gt;"",MONTH(C512),"")</f>
        <v>2</v>
      </c>
      <c r="C512" s="80">
        <f>E512</f>
        <v>42426</v>
      </c>
      <c r="D512" s="80" t="s">
        <v>941</v>
      </c>
      <c r="E512" s="80">
        <v>42426</v>
      </c>
      <c r="F512" s="81" t="s">
        <v>1965</v>
      </c>
      <c r="G512" s="985" t="s">
        <v>1966</v>
      </c>
      <c r="H512" s="82" t="s">
        <v>1546</v>
      </c>
      <c r="I512" s="437">
        <v>7700</v>
      </c>
      <c r="J512" s="438">
        <v>11165</v>
      </c>
      <c r="K512" s="428"/>
      <c r="L512" s="437"/>
      <c r="M512" s="83">
        <f>ROUND(I512*J512,0)</f>
        <v>85970500</v>
      </c>
      <c r="N512" s="84" t="s">
        <v>274</v>
      </c>
      <c r="O512" s="84" t="s">
        <v>588</v>
      </c>
      <c r="P512" s="84" t="str">
        <f>IF(AND('331-CT'!$E$7=TH!H512,OR(N512="331",O512="331")),"x","")</f>
        <v/>
      </c>
      <c r="Q512" s="84" t="str">
        <f>IF(AND(B512='111'!$L$11,OR($N512=$Q$7,$O512=$Q$7)),"x","")</f>
        <v/>
      </c>
      <c r="R512" s="84" t="str">
        <f>IF(AND($N512=$Q$7,$B512&lt;'111'!$L$11),"x","")</f>
        <v/>
      </c>
      <c r="S512" s="84" t="str">
        <f>IF(AND($O512=$Q$7,$B512&lt;'111'!$L$11),"x","")</f>
        <v/>
      </c>
      <c r="T512" s="84" t="str">
        <f>IF(ISERROR(FIND('112'!$M$9,G512,1)),"",IF((AND(FIND('112'!$M$9,G512,1)&gt;=1,B512='112'!$K$9,OR($N512='112'!$I$6,$O512='112'!$I$6))),"x",""))</f>
        <v/>
      </c>
      <c r="U512" s="84" t="str">
        <f>IF(ISERROR(FIND('112'!$M$9,G512,1)),"",IF((AND(LEFT(G512,2)=LEFT('112'!$M$9,2),B512&lt;'112'!$K$9,$N512='112'!$I$6)),"x",""))</f>
        <v/>
      </c>
      <c r="V512" s="84" t="str">
        <f>IF(ISERROR(FIND('112'!$M$9,G512,1)),"",IF((AND(RIGHT(G512,2)=RIGHT('112'!$M$9,2),B512&lt;'112'!$K$9,$O512='112'!$I$6)),"x",""))</f>
        <v/>
      </c>
      <c r="W512" s="84" t="str">
        <f>IF(AND('341-CT'!$H$9=H512,OR(LEFT(N512,3)=$W$7,LEFT(O512,3)=$W$7)),"x","")</f>
        <v/>
      </c>
      <c r="X512" s="84" t="str">
        <f>IF(OR(TH!N512=TH!$X$7,O512=TH!$X$7),"x","")</f>
        <v/>
      </c>
      <c r="Y512" s="84" t="str">
        <f>IF(AND(OR(N512="131",O512="131"),H512='131-CT'!$H$9),"x","")</f>
        <v/>
      </c>
      <c r="Z512" s="84"/>
      <c r="AA512" s="84" t="str">
        <f>IF(AND(MONTH(E512)='IN-NX'!$J$5,'IN-NX'!$D$7=D512),"x","")</f>
        <v/>
      </c>
      <c r="AB512" s="84" t="str">
        <f>IF(AND(OR(LEFT(TH!N512,2)="15",LEFT(TH!O512,2)="15"),LEFT(TH!O512,3)&lt;&gt;"111",'152-CT'!$J$8=TH!F512),"x","")</f>
        <v/>
      </c>
      <c r="AC512" s="84" t="str">
        <f>IF(AND(OR(LEFT(TH!N512,2)="15",LEFT(TH!O512,2)="15"),TK!$E$7=TH!F512),"x","")</f>
        <v/>
      </c>
      <c r="AD512" s="84" t="str">
        <f>IF(AND(N512="1521",MONTH(C512)='BK-NL'!$M$11),"x","")</f>
        <v>x</v>
      </c>
      <c r="AE512" s="1146"/>
    </row>
    <row r="513" spans="1:31" s="341" customFormat="1" ht="15.75" hidden="1" customHeight="1">
      <c r="A513" s="336" t="str">
        <f>IF(B513&lt;&gt;"",IF(AND(B513='IN-TC'!$S$4,OR(TH!N513="1111",TH!O513="1111")),TH!D513,""),"")</f>
        <v/>
      </c>
      <c r="B513" s="63">
        <f t="shared" ref="B513:B521" si="108">IF(C513&lt;&gt;"",MONTH(C513),"")</f>
        <v>3</v>
      </c>
      <c r="C513" s="94">
        <f t="shared" ref="C513:C521" si="109">E513</f>
        <v>42430</v>
      </c>
      <c r="D513" s="94" t="s">
        <v>685</v>
      </c>
      <c r="E513" s="94">
        <v>42430</v>
      </c>
      <c r="F513" s="95" t="s">
        <v>684</v>
      </c>
      <c r="G513" s="95"/>
      <c r="H513" s="96" t="s">
        <v>449</v>
      </c>
      <c r="I513" s="1188">
        <v>28613</v>
      </c>
      <c r="J513" s="1187">
        <v>13200</v>
      </c>
      <c r="K513" s="1189"/>
      <c r="L513" s="1188"/>
      <c r="M513" s="97">
        <f t="shared" ref="M513:M521" si="110">ROUND(I513*J513,0)</f>
        <v>377691600</v>
      </c>
      <c r="N513" s="85" t="s">
        <v>282</v>
      </c>
      <c r="O513" s="85" t="s">
        <v>274</v>
      </c>
      <c r="P513" s="84" t="str">
        <f>IF(AND('331-CT'!$E$7=TH!H513,OR(N513="331",O513="331")),"x","")</f>
        <v/>
      </c>
      <c r="Q513" s="84" t="str">
        <f>IF(AND(B513='111'!$L$11,OR($N513=$Q$7,$O513=$Q$7)),"x","")</f>
        <v/>
      </c>
      <c r="R513" s="84" t="str">
        <f>IF(AND($N513=$Q$7,$B513&lt;'111'!$L$11),"x","")</f>
        <v/>
      </c>
      <c r="S513" s="84" t="str">
        <f>IF(AND($O513=$Q$7,$B513&lt;'111'!$L$11),"x","")</f>
        <v/>
      </c>
      <c r="T513" s="84" t="str">
        <f>IF(ISERROR(FIND('112'!$M$9,G513,1)),"",IF((AND(FIND('112'!$M$9,G513,1)&gt;=1,B513='112'!$K$9,OR($N513='112'!$I$6,$O513='112'!$I$6))),"x",""))</f>
        <v/>
      </c>
      <c r="U513" s="84" t="str">
        <f>IF(ISERROR(FIND('112'!$M$9,G513,1)),"",IF((AND(LEFT(G513,2)=LEFT('112'!$M$9,2),B513&lt;'112'!$K$9,$N513='112'!$I$6)),"x",""))</f>
        <v/>
      </c>
      <c r="V513" s="84" t="str">
        <f>IF(ISERROR(FIND('112'!$M$9,G513,1)),"",IF((AND(RIGHT(G513,2)=RIGHT('112'!$M$9,2),B513&lt;'112'!$K$9,$O513='112'!$I$6)),"x",""))</f>
        <v/>
      </c>
      <c r="W513" s="84" t="str">
        <f>IF(AND('341-CT'!$H$9=H513,OR(LEFT(N513,3)=$W$7,LEFT(O513,3)=$W$7)),"x","")</f>
        <v/>
      </c>
      <c r="X513" s="84" t="str">
        <f>IF(OR(TH!N513=TH!$X$7,O513=TH!$X$7),"x","")</f>
        <v/>
      </c>
      <c r="Y513" s="84" t="str">
        <f>IF(AND(OR(N513="131",O513="131"),H513='131-CT'!$H$9),"x","")</f>
        <v/>
      </c>
      <c r="Z513" s="84"/>
      <c r="AA513" s="84" t="str">
        <f>IF(AND(MONTH(E513)='IN-NX'!$J$5,'IN-NX'!$D$7=D513),"x","")</f>
        <v/>
      </c>
      <c r="AB513" s="84" t="str">
        <f>IF(AND(OR(LEFT(TH!N513,2)="15",LEFT(TH!O513,2)="15"),LEFT(TH!O513,3)&lt;&gt;"111",'152-CT'!$J$8=TH!F513),"x","")</f>
        <v/>
      </c>
      <c r="AC513" s="84" t="str">
        <f>IF(AND(OR(LEFT(TH!N513,2)="15",LEFT(TH!O513,2)="15"),TK!$E$7=TH!F513),"x","")</f>
        <v/>
      </c>
      <c r="AD513" s="84" t="str">
        <f>IF(AND(N513="1521",MONTH(C513)='BK-NL'!$M$11),"x","")</f>
        <v/>
      </c>
    </row>
    <row r="514" spans="1:31" s="341" customFormat="1" ht="15.75" hidden="1" customHeight="1">
      <c r="A514" s="336" t="str">
        <f>IF(B514&lt;&gt;"",IF(AND(B514='IN-TC'!$S$4,OR(TH!N514="1111",TH!O514="1111")),TH!D514,""),"")</f>
        <v/>
      </c>
      <c r="B514" s="63">
        <f t="shared" si="108"/>
        <v>3</v>
      </c>
      <c r="C514" s="94">
        <f t="shared" si="109"/>
        <v>42436</v>
      </c>
      <c r="D514" s="94" t="s">
        <v>692</v>
      </c>
      <c r="E514" s="94">
        <v>42436</v>
      </c>
      <c r="F514" s="95" t="s">
        <v>684</v>
      </c>
      <c r="G514" s="1148"/>
      <c r="H514" s="96" t="s">
        <v>449</v>
      </c>
      <c r="I514" s="1188">
        <v>20887</v>
      </c>
      <c r="J514" s="1187">
        <v>13200</v>
      </c>
      <c r="K514" s="1189"/>
      <c r="L514" s="1188"/>
      <c r="M514" s="97">
        <f t="shared" si="110"/>
        <v>275708400</v>
      </c>
      <c r="N514" s="85" t="s">
        <v>282</v>
      </c>
      <c r="O514" s="85" t="s">
        <v>274</v>
      </c>
      <c r="P514" s="84" t="str">
        <f>IF(AND('331-CT'!$E$7=TH!H514,OR(N514="331",O514="331")),"x","")</f>
        <v/>
      </c>
      <c r="Q514" s="84" t="str">
        <f>IF(AND(B514='111'!$L$11,OR($N514=$Q$7,$O514=$Q$7)),"x","")</f>
        <v/>
      </c>
      <c r="R514" s="84" t="str">
        <f>IF(AND($N514=$Q$7,$B514&lt;'111'!$L$11),"x","")</f>
        <v/>
      </c>
      <c r="S514" s="84" t="str">
        <f>IF(AND($O514=$Q$7,$B514&lt;'111'!$L$11),"x","")</f>
        <v/>
      </c>
      <c r="T514" s="84" t="str">
        <f>IF(ISERROR(FIND('112'!$M$9,G514,1)),"",IF((AND(FIND('112'!$M$9,G514,1)&gt;=1,B514='112'!$K$9,OR($N514='112'!$I$6,$O514='112'!$I$6))),"x",""))</f>
        <v/>
      </c>
      <c r="U514" s="84" t="str">
        <f>IF(ISERROR(FIND('112'!$M$9,G514,1)),"",IF((AND(LEFT(G514,2)=LEFT('112'!$M$9,2),B514&lt;'112'!$K$9,$N514='112'!$I$6)),"x",""))</f>
        <v/>
      </c>
      <c r="V514" s="84" t="str">
        <f>IF(ISERROR(FIND('112'!$M$9,G514,1)),"",IF((AND(RIGHT(G514,2)=RIGHT('112'!$M$9,2),B514&lt;'112'!$K$9,$O514='112'!$I$6)),"x",""))</f>
        <v/>
      </c>
      <c r="W514" s="84" t="str">
        <f>IF(AND('341-CT'!$H$9=H514,OR(LEFT(N514,3)=$W$7,LEFT(O514,3)=$W$7)),"x","")</f>
        <v/>
      </c>
      <c r="X514" s="84" t="str">
        <f>IF(OR(TH!N514=TH!$X$7,O514=TH!$X$7),"x","")</f>
        <v/>
      </c>
      <c r="Y514" s="84" t="str">
        <f>IF(AND(OR(N514="131",O514="131"),H514='131-CT'!$H$9),"x","")</f>
        <v/>
      </c>
      <c r="Z514" s="84"/>
      <c r="AA514" s="84" t="str">
        <f>IF(AND(MONTH(E514)='IN-NX'!$J$5,'IN-NX'!$D$7=D514),"x","")</f>
        <v/>
      </c>
      <c r="AB514" s="84" t="str">
        <f>IF(AND(OR(LEFT(TH!N514,2)="15",LEFT(TH!O514,2)="15"),LEFT(TH!O514,3)&lt;&gt;"111",'152-CT'!$J$8=TH!F514),"x","")</f>
        <v/>
      </c>
      <c r="AC514" s="84" t="str">
        <f>IF(AND(OR(LEFT(TH!N514,2)="15",LEFT(TH!O514,2)="15"),TK!$E$7=TH!F514),"x","")</f>
        <v/>
      </c>
      <c r="AD514" s="84" t="str">
        <f>IF(AND(N514="1521",MONTH(C514)='BK-NL'!$M$11),"x","")</f>
        <v/>
      </c>
    </row>
    <row r="515" spans="1:31" s="341" customFormat="1" ht="15.75" hidden="1" customHeight="1">
      <c r="A515" s="336" t="str">
        <f>IF(B515&lt;&gt;"",IF(AND(B515='IN-TC'!$S$4,OR(TH!N515="1111",TH!O515="1111")),TH!D515,""),"")</f>
        <v/>
      </c>
      <c r="B515" s="63">
        <f t="shared" si="108"/>
        <v>3</v>
      </c>
      <c r="C515" s="80">
        <f t="shared" si="109"/>
        <v>42437</v>
      </c>
      <c r="D515" s="80" t="s">
        <v>934</v>
      </c>
      <c r="E515" s="80">
        <v>42437</v>
      </c>
      <c r="F515" s="81" t="s">
        <v>683</v>
      </c>
      <c r="G515" s="81"/>
      <c r="H515" s="82" t="s">
        <v>364</v>
      </c>
      <c r="I515" s="437">
        <v>4502</v>
      </c>
      <c r="J515" s="438">
        <v>18500</v>
      </c>
      <c r="K515" s="428"/>
      <c r="L515" s="437"/>
      <c r="M515" s="83">
        <f t="shared" si="110"/>
        <v>83287000</v>
      </c>
      <c r="N515" s="84" t="s">
        <v>274</v>
      </c>
      <c r="O515" s="84" t="s">
        <v>8</v>
      </c>
      <c r="P515" s="84" t="str">
        <f>IF(AND('331-CT'!$E$7=TH!H515,OR(N515="331",O515="331")),"x","")</f>
        <v/>
      </c>
      <c r="Q515" s="84" t="str">
        <f>IF(AND(B515='111'!$L$11,OR($N515=$Q$7,$O515=$Q$7)),"x","")</f>
        <v/>
      </c>
      <c r="R515" s="84" t="str">
        <f>IF(AND($N515=$Q$7,$B515&lt;'111'!$L$11),"x","")</f>
        <v/>
      </c>
      <c r="S515" s="84" t="str">
        <f>IF(AND($O515=$Q$7,$B515&lt;'111'!$L$11),"x","")</f>
        <v/>
      </c>
      <c r="T515" s="84" t="str">
        <f>IF(ISERROR(FIND('112'!$M$9,G515,1)),"",IF((AND(FIND('112'!$M$9,G515,1)&gt;=1,B515='112'!$K$9,OR($N515='112'!$I$6,$O515='112'!$I$6))),"x",""))</f>
        <v/>
      </c>
      <c r="U515" s="84" t="str">
        <f>IF(ISERROR(FIND('112'!$M$9,G515,1)),"",IF((AND(LEFT(G515,2)=LEFT('112'!$M$9,2),B515&lt;'112'!$K$9,$N515='112'!$I$6)),"x",""))</f>
        <v/>
      </c>
      <c r="V515" s="84" t="str">
        <f>IF(ISERROR(FIND('112'!$M$9,G515,1)),"",IF((AND(RIGHT(G515,2)=RIGHT('112'!$M$9,2),B515&lt;'112'!$K$9,$O515='112'!$I$6)),"x",""))</f>
        <v/>
      </c>
      <c r="W515" s="84" t="str">
        <f>IF(AND('341-CT'!$H$9=H515,OR(LEFT(N515,3)=$W$7,LEFT(O515,3)=$W$7)),"x","")</f>
        <v/>
      </c>
      <c r="X515" s="84" t="str">
        <f>IF(OR(TH!N515=TH!$X$7,O515=TH!$X$7),"x","")</f>
        <v/>
      </c>
      <c r="Y515" s="84" t="str">
        <f>IF(AND(OR(N515="131",O515="131"),H515='131-CT'!$H$9),"x","")</f>
        <v/>
      </c>
      <c r="Z515" s="84"/>
      <c r="AA515" s="84" t="str">
        <f>IF(AND(MONTH(E515)='IN-NX'!$J$5,'IN-NX'!$D$7=D515),"x","")</f>
        <v/>
      </c>
      <c r="AB515" s="84" t="str">
        <f>IF(AND(OR(LEFT(TH!N515,2)="15",LEFT(TH!O515,2)="15"),LEFT(TH!O515,3)&lt;&gt;"111",'152-CT'!$J$8=TH!F515),"x","")</f>
        <v/>
      </c>
      <c r="AC515" s="84" t="str">
        <f>IF(AND(OR(LEFT(TH!N515,2)="15",LEFT(TH!O515,2)="15"),TK!$E$7=TH!F515),"x","")</f>
        <v/>
      </c>
      <c r="AD515" s="84" t="str">
        <f>IF(AND(N515="1521",MONTH(C515)='BK-NL'!$M$11),"x","")</f>
        <v/>
      </c>
      <c r="AE515" s="1146" t="str">
        <f t="shared" ref="AE515:AE521" si="111">IF(H515&lt;&gt;VLOOKUP(H515,DSKH,1,0),"","x")</f>
        <v>x</v>
      </c>
    </row>
    <row r="516" spans="1:31" ht="15.75" hidden="1" customHeight="1">
      <c r="A516" s="336" t="str">
        <f>IF(B516&lt;&gt;"",IF(AND(B516='IN-TC'!$S$4,OR(TH!N516="1111",TH!O516="1111")),TH!D516,""),"")</f>
        <v/>
      </c>
      <c r="B516" s="63">
        <f t="shared" si="108"/>
        <v>3</v>
      </c>
      <c r="C516" s="80">
        <f t="shared" si="109"/>
        <v>42437</v>
      </c>
      <c r="D516" s="80" t="s">
        <v>935</v>
      </c>
      <c r="E516" s="80">
        <v>42437</v>
      </c>
      <c r="F516" s="81" t="s">
        <v>683</v>
      </c>
      <c r="G516" s="81"/>
      <c r="H516" s="89" t="s">
        <v>346</v>
      </c>
      <c r="I516" s="438">
        <v>5630</v>
      </c>
      <c r="J516" s="438">
        <v>18500</v>
      </c>
      <c r="K516" s="429"/>
      <c r="L516" s="438"/>
      <c r="M516" s="83">
        <f t="shared" si="110"/>
        <v>104155000</v>
      </c>
      <c r="N516" s="84" t="s">
        <v>274</v>
      </c>
      <c r="O516" s="84" t="s">
        <v>8</v>
      </c>
      <c r="P516" s="84" t="str">
        <f>IF(AND('331-CT'!$E$7=TH!H516,OR(N516="331",O516="331")),"x","")</f>
        <v/>
      </c>
      <c r="Q516" s="84" t="str">
        <f>IF(AND(B516='111'!$L$11,OR($N516=$Q$7,$O516=$Q$7)),"x","")</f>
        <v/>
      </c>
      <c r="R516" s="84" t="str">
        <f>IF(AND($N516=$Q$7,$B516&lt;'111'!$L$11),"x","")</f>
        <v/>
      </c>
      <c r="S516" s="84" t="str">
        <f>IF(AND($O516=$Q$7,$B516&lt;'111'!$L$11),"x","")</f>
        <v/>
      </c>
      <c r="T516" s="84" t="str">
        <f>IF(ISERROR(FIND('112'!$M$9,G516,1)),"",IF((AND(FIND('112'!$M$9,G516,1)&gt;=1,B516='112'!$K$9,OR($N516='112'!$I$6,$O516='112'!$I$6))),"x",""))</f>
        <v/>
      </c>
      <c r="U516" s="84" t="str">
        <f>IF(ISERROR(FIND('112'!$M$9,G516,1)),"",IF((AND(LEFT(G516,2)=LEFT('112'!$M$9,2),B516&lt;'112'!$K$9,$N516='112'!$I$6)),"x",""))</f>
        <v/>
      </c>
      <c r="V516" s="84" t="str">
        <f>IF(ISERROR(FIND('112'!$M$9,G516,1)),"",IF((AND(RIGHT(G516,2)=RIGHT('112'!$M$9,2),B516&lt;'112'!$K$9,$O516='112'!$I$6)),"x",""))</f>
        <v/>
      </c>
      <c r="W516" s="84" t="str">
        <f>IF(AND('341-CT'!$H$9=H516,OR(LEFT(N516,3)=$W$7,LEFT(O516,3)=$W$7)),"x","")</f>
        <v/>
      </c>
      <c r="X516" s="84" t="str">
        <f>IF(OR(TH!N516=TH!$X$7,O516=TH!$X$7),"x","")</f>
        <v/>
      </c>
      <c r="Y516" s="84" t="str">
        <f>IF(AND(OR(N516="131",O516="131"),H516='131-CT'!$H$9),"x","")</f>
        <v/>
      </c>
      <c r="Z516" s="84"/>
      <c r="AA516" s="84" t="str">
        <f>IF(AND(MONTH(E516)='IN-NX'!$J$5,'IN-NX'!$D$7=D516),"x","")</f>
        <v/>
      </c>
      <c r="AB516" s="84" t="str">
        <f>IF(AND(OR(LEFT(TH!N516,2)="15",LEFT(TH!O516,2)="15"),LEFT(TH!O516,3)&lt;&gt;"111",'152-CT'!$J$8=TH!F516),"x","")</f>
        <v/>
      </c>
      <c r="AC516" s="84" t="str">
        <f>IF(AND(OR(LEFT(TH!N516,2)="15",LEFT(TH!O516,2)="15"),TK!$E$7=TH!F516),"x","")</f>
        <v/>
      </c>
      <c r="AD516" s="84" t="str">
        <f>IF(AND(N516="1521",MONTH(C516)='BK-NL'!$M$11),"x","")</f>
        <v/>
      </c>
      <c r="AE516" s="1146" t="str">
        <f t="shared" si="111"/>
        <v>x</v>
      </c>
    </row>
    <row r="517" spans="1:31" ht="15.75" hidden="1" customHeight="1">
      <c r="A517" s="336" t="str">
        <f>IF(B517&lt;&gt;"",IF(AND(B517='IN-TC'!$S$4,OR(TH!N517="1111",TH!O517="1111")),TH!D517,""),"")</f>
        <v/>
      </c>
      <c r="B517" s="63">
        <f t="shared" si="108"/>
        <v>3</v>
      </c>
      <c r="C517" s="80">
        <f t="shared" si="109"/>
        <v>42437</v>
      </c>
      <c r="D517" s="80" t="s">
        <v>936</v>
      </c>
      <c r="E517" s="80">
        <v>42437</v>
      </c>
      <c r="F517" s="81" t="s">
        <v>683</v>
      </c>
      <c r="G517" s="81"/>
      <c r="H517" s="82" t="s">
        <v>349</v>
      </c>
      <c r="I517" s="437">
        <v>5480</v>
      </c>
      <c r="J517" s="438">
        <v>18500</v>
      </c>
      <c r="K517" s="428"/>
      <c r="L517" s="437"/>
      <c r="M517" s="83">
        <f t="shared" si="110"/>
        <v>101380000</v>
      </c>
      <c r="N517" s="84" t="s">
        <v>274</v>
      </c>
      <c r="O517" s="84" t="s">
        <v>8</v>
      </c>
      <c r="P517" s="84" t="str">
        <f>IF(AND('331-CT'!$E$7=TH!H517,OR(N517="331",O517="331")),"x","")</f>
        <v/>
      </c>
      <c r="Q517" s="84" t="str">
        <f>IF(AND(B517='111'!$L$11,OR($N517=$Q$7,$O517=$Q$7)),"x","")</f>
        <v/>
      </c>
      <c r="R517" s="84" t="str">
        <f>IF(AND($N517=$Q$7,$B517&lt;'111'!$L$11),"x","")</f>
        <v/>
      </c>
      <c r="S517" s="84" t="str">
        <f>IF(AND($O517=$Q$7,$B517&lt;'111'!$L$11),"x","")</f>
        <v/>
      </c>
      <c r="T517" s="84" t="str">
        <f>IF(ISERROR(FIND('112'!$M$9,G517,1)),"",IF((AND(FIND('112'!$M$9,G517,1)&gt;=1,B517='112'!$K$9,OR($N517='112'!$I$6,$O517='112'!$I$6))),"x",""))</f>
        <v/>
      </c>
      <c r="U517" s="84" t="str">
        <f>IF(ISERROR(FIND('112'!$M$9,G517,1)),"",IF((AND(LEFT(G517,2)=LEFT('112'!$M$9,2),B517&lt;'112'!$K$9,$N517='112'!$I$6)),"x",""))</f>
        <v/>
      </c>
      <c r="V517" s="84" t="str">
        <f>IF(ISERROR(FIND('112'!$M$9,G517,1)),"",IF((AND(RIGHT(G517,2)=RIGHT('112'!$M$9,2),B517&lt;'112'!$K$9,$O517='112'!$I$6)),"x",""))</f>
        <v/>
      </c>
      <c r="W517" s="84" t="str">
        <f>IF(AND('341-CT'!$H$9=H517,OR(LEFT(N517,3)=$W$7,LEFT(O517,3)=$W$7)),"x","")</f>
        <v/>
      </c>
      <c r="X517" s="84" t="str">
        <f>IF(OR(TH!N517=TH!$X$7,O517=TH!$X$7),"x","")</f>
        <v/>
      </c>
      <c r="Y517" s="84" t="str">
        <f>IF(AND(OR(N517="131",O517="131"),H517='131-CT'!$H$9),"x","")</f>
        <v/>
      </c>
      <c r="Z517" s="84"/>
      <c r="AA517" s="84" t="str">
        <f>IF(AND(MONTH(E517)='IN-NX'!$J$5,'IN-NX'!$D$7=D517),"x","")</f>
        <v/>
      </c>
      <c r="AB517" s="84" t="str">
        <f>IF(AND(OR(LEFT(TH!N517,2)="15",LEFT(TH!O517,2)="15"),LEFT(TH!O517,3)&lt;&gt;"111",'152-CT'!$J$8=TH!F517),"x","")</f>
        <v/>
      </c>
      <c r="AC517" s="84" t="str">
        <f>IF(AND(OR(LEFT(TH!N517,2)="15",LEFT(TH!O517,2)="15"),TK!$E$7=TH!F517),"x","")</f>
        <v/>
      </c>
      <c r="AD517" s="84" t="str">
        <f>IF(AND(N517="1521",MONTH(C517)='BK-NL'!$M$11),"x","")</f>
        <v/>
      </c>
      <c r="AE517" s="1146" t="str">
        <f t="shared" si="111"/>
        <v>x</v>
      </c>
    </row>
    <row r="518" spans="1:31" ht="15.75" hidden="1" customHeight="1">
      <c r="A518" s="336" t="str">
        <f>IF(B518&lt;&gt;"",IF(AND(B518='IN-TC'!$S$4,OR(TH!N518="1111",TH!O518="1111")),TH!D518,""),"")</f>
        <v/>
      </c>
      <c r="B518" s="63">
        <f t="shared" si="108"/>
        <v>3</v>
      </c>
      <c r="C518" s="80">
        <f t="shared" si="109"/>
        <v>42437</v>
      </c>
      <c r="D518" s="80" t="s">
        <v>937</v>
      </c>
      <c r="E518" s="80">
        <v>42437</v>
      </c>
      <c r="F518" s="81" t="s">
        <v>683</v>
      </c>
      <c r="G518" s="81"/>
      <c r="H518" s="82" t="s">
        <v>361</v>
      </c>
      <c r="I518" s="437">
        <v>4460</v>
      </c>
      <c r="J518" s="438">
        <v>18500</v>
      </c>
      <c r="K518" s="428"/>
      <c r="L518" s="437"/>
      <c r="M518" s="83">
        <f t="shared" si="110"/>
        <v>82510000</v>
      </c>
      <c r="N518" s="84" t="s">
        <v>274</v>
      </c>
      <c r="O518" s="84" t="s">
        <v>8</v>
      </c>
      <c r="P518" s="84" t="str">
        <f>IF(AND('331-CT'!$E$7=TH!H518,OR(N518="331",O518="331")),"x","")</f>
        <v/>
      </c>
      <c r="Q518" s="84" t="str">
        <f>IF(AND(B518='111'!$L$11,OR($N518=$Q$7,$O518=$Q$7)),"x","")</f>
        <v/>
      </c>
      <c r="R518" s="84" t="str">
        <f>IF(AND($N518=$Q$7,$B518&lt;'111'!$L$11),"x","")</f>
        <v/>
      </c>
      <c r="S518" s="84" t="str">
        <f>IF(AND($O518=$Q$7,$B518&lt;'111'!$L$11),"x","")</f>
        <v/>
      </c>
      <c r="T518" s="84" t="str">
        <f>IF(ISERROR(FIND('112'!$M$9,G518,1)),"",IF((AND(FIND('112'!$M$9,G518,1)&gt;=1,B518='112'!$K$9,OR($N518='112'!$I$6,$O518='112'!$I$6))),"x",""))</f>
        <v/>
      </c>
      <c r="U518" s="84" t="str">
        <f>IF(ISERROR(FIND('112'!$M$9,G518,1)),"",IF((AND(LEFT(G518,2)=LEFT('112'!$M$9,2),B518&lt;'112'!$K$9,$N518='112'!$I$6)),"x",""))</f>
        <v/>
      </c>
      <c r="V518" s="84" t="str">
        <f>IF(ISERROR(FIND('112'!$M$9,G518,1)),"",IF((AND(RIGHT(G518,2)=RIGHT('112'!$M$9,2),B518&lt;'112'!$K$9,$O518='112'!$I$6)),"x",""))</f>
        <v/>
      </c>
      <c r="W518" s="84" t="str">
        <f>IF(AND('341-CT'!$H$9=H518,OR(LEFT(N518,3)=$W$7,LEFT(O518,3)=$W$7)),"x","")</f>
        <v/>
      </c>
      <c r="X518" s="84" t="str">
        <f>IF(OR(TH!N518=TH!$X$7,O518=TH!$X$7),"x","")</f>
        <v/>
      </c>
      <c r="Y518" s="84" t="str">
        <f>IF(AND(OR(N518="131",O518="131"),H518='131-CT'!$H$9),"x","")</f>
        <v/>
      </c>
      <c r="Z518" s="84"/>
      <c r="AA518" s="84" t="str">
        <f>IF(AND(MONTH(E518)='IN-NX'!$J$5,'IN-NX'!$D$7=D518),"x","")</f>
        <v/>
      </c>
      <c r="AB518" s="84" t="str">
        <f>IF(AND(OR(LEFT(TH!N518,2)="15",LEFT(TH!O518,2)="15"),LEFT(TH!O518,3)&lt;&gt;"111",'152-CT'!$J$8=TH!F518),"x","")</f>
        <v/>
      </c>
      <c r="AC518" s="84" t="str">
        <f>IF(AND(OR(LEFT(TH!N518,2)="15",LEFT(TH!O518,2)="15"),TK!$E$7=TH!F518),"x","")</f>
        <v/>
      </c>
      <c r="AD518" s="84" t="str">
        <f>IF(AND(N518="1521",MONTH(C518)='BK-NL'!$M$11),"x","")</f>
        <v/>
      </c>
      <c r="AE518" s="1146" t="str">
        <f t="shared" si="111"/>
        <v>x</v>
      </c>
    </row>
    <row r="519" spans="1:31" ht="15.75" hidden="1" customHeight="1">
      <c r="A519" s="336" t="str">
        <f>IF(B519&lt;&gt;"",IF(AND(B519='IN-TC'!$S$4,OR(TH!N519="1111",TH!O519="1111")),TH!D519,""),"")</f>
        <v/>
      </c>
      <c r="B519" s="63">
        <f t="shared" si="108"/>
        <v>3</v>
      </c>
      <c r="C519" s="80">
        <f t="shared" si="109"/>
        <v>42448</v>
      </c>
      <c r="D519" s="80" t="s">
        <v>938</v>
      </c>
      <c r="E519" s="80">
        <v>42448</v>
      </c>
      <c r="F519" s="81" t="s">
        <v>683</v>
      </c>
      <c r="G519" s="81"/>
      <c r="H519" s="82" t="s">
        <v>364</v>
      </c>
      <c r="I519" s="437">
        <v>4780</v>
      </c>
      <c r="J519" s="438">
        <v>18500</v>
      </c>
      <c r="K519" s="428"/>
      <c r="L519" s="437"/>
      <c r="M519" s="83">
        <f t="shared" si="110"/>
        <v>88430000</v>
      </c>
      <c r="N519" s="84" t="s">
        <v>274</v>
      </c>
      <c r="O519" s="84" t="s">
        <v>8</v>
      </c>
      <c r="P519" s="84" t="str">
        <f>IF(AND('331-CT'!$E$7=TH!H519,OR(N519="331",O519="331")),"x","")</f>
        <v/>
      </c>
      <c r="Q519" s="84" t="str">
        <f>IF(AND(B519='111'!$L$11,OR($N519=$Q$7,$O519=$Q$7)),"x","")</f>
        <v/>
      </c>
      <c r="R519" s="84" t="str">
        <f>IF(AND($N519=$Q$7,$B519&lt;'111'!$L$11),"x","")</f>
        <v/>
      </c>
      <c r="S519" s="84" t="str">
        <f>IF(AND($O519=$Q$7,$B519&lt;'111'!$L$11),"x","")</f>
        <v/>
      </c>
      <c r="T519" s="84" t="str">
        <f>IF(ISERROR(FIND('112'!$M$9,G519,1)),"",IF((AND(FIND('112'!$M$9,G519,1)&gt;=1,B519='112'!$K$9,OR($N519='112'!$I$6,$O519='112'!$I$6))),"x",""))</f>
        <v/>
      </c>
      <c r="U519" s="84" t="str">
        <f>IF(ISERROR(FIND('112'!$M$9,G519,1)),"",IF((AND(LEFT(G519,2)=LEFT('112'!$M$9,2),B519&lt;'112'!$K$9,$N519='112'!$I$6)),"x",""))</f>
        <v/>
      </c>
      <c r="V519" s="84" t="str">
        <f>IF(ISERROR(FIND('112'!$M$9,G519,1)),"",IF((AND(RIGHT(G519,2)=RIGHT('112'!$M$9,2),B519&lt;'112'!$K$9,$O519='112'!$I$6)),"x",""))</f>
        <v/>
      </c>
      <c r="W519" s="84" t="str">
        <f>IF(AND('341-CT'!$H$9=H519,OR(LEFT(N519,3)=$W$7,LEFT(O519,3)=$W$7)),"x","")</f>
        <v/>
      </c>
      <c r="X519" s="84" t="str">
        <f>IF(OR(TH!N519=TH!$X$7,O519=TH!$X$7),"x","")</f>
        <v/>
      </c>
      <c r="Y519" s="84" t="str">
        <f>IF(AND(OR(N519="131",O519="131"),H519='131-CT'!$H$9),"x","")</f>
        <v/>
      </c>
      <c r="Z519" s="84"/>
      <c r="AA519" s="84" t="str">
        <f>IF(AND(MONTH(E519)='IN-NX'!$J$5,'IN-NX'!$D$7=D519),"x","")</f>
        <v/>
      </c>
      <c r="AB519" s="84" t="str">
        <f>IF(AND(OR(LEFT(TH!N519,2)="15",LEFT(TH!O519,2)="15"),LEFT(TH!O519,3)&lt;&gt;"111",'152-CT'!$J$8=TH!F519),"x","")</f>
        <v/>
      </c>
      <c r="AC519" s="84" t="str">
        <f>IF(AND(OR(LEFT(TH!N519,2)="15",LEFT(TH!O519,2)="15"),TK!$E$7=TH!F519),"x","")</f>
        <v/>
      </c>
      <c r="AD519" s="84" t="str">
        <f>IF(AND(N519="1521",MONTH(C519)='BK-NL'!$M$11),"x","")</f>
        <v/>
      </c>
      <c r="AE519" s="1146" t="str">
        <f t="shared" si="111"/>
        <v>x</v>
      </c>
    </row>
    <row r="520" spans="1:31" ht="15.75" hidden="1" customHeight="1">
      <c r="A520" s="336" t="str">
        <f>IF(B520&lt;&gt;"",IF(AND(B520='IN-TC'!$S$4,OR(TH!N520="1111",TH!O520="1111")),TH!D520,""),"")</f>
        <v/>
      </c>
      <c r="B520" s="63">
        <f t="shared" si="108"/>
        <v>3</v>
      </c>
      <c r="C520" s="80">
        <f t="shared" si="109"/>
        <v>42448</v>
      </c>
      <c r="D520" s="80" t="s">
        <v>939</v>
      </c>
      <c r="E520" s="80">
        <v>42448</v>
      </c>
      <c r="F520" s="81" t="s">
        <v>683</v>
      </c>
      <c r="G520" s="81"/>
      <c r="H520" s="82" t="s">
        <v>367</v>
      </c>
      <c r="I520" s="437">
        <v>3940</v>
      </c>
      <c r="J520" s="438">
        <v>18500</v>
      </c>
      <c r="K520" s="428"/>
      <c r="L520" s="437"/>
      <c r="M520" s="83">
        <f t="shared" si="110"/>
        <v>72890000</v>
      </c>
      <c r="N520" s="84" t="s">
        <v>274</v>
      </c>
      <c r="O520" s="84" t="s">
        <v>8</v>
      </c>
      <c r="P520" s="84" t="str">
        <f>IF(AND('331-CT'!$E$7=TH!H520,OR(N520="331",O520="331")),"x","")</f>
        <v/>
      </c>
      <c r="Q520" s="84" t="str">
        <f>IF(AND(B520='111'!$L$11,OR($N520=$Q$7,$O520=$Q$7)),"x","")</f>
        <v/>
      </c>
      <c r="R520" s="84" t="str">
        <f>IF(AND($N520=$Q$7,$B520&lt;'111'!$L$11),"x","")</f>
        <v/>
      </c>
      <c r="S520" s="84" t="str">
        <f>IF(AND($O520=$Q$7,$B520&lt;'111'!$L$11),"x","")</f>
        <v/>
      </c>
      <c r="T520" s="84" t="str">
        <f>IF(ISERROR(FIND('112'!$M$9,G520,1)),"",IF((AND(FIND('112'!$M$9,G520,1)&gt;=1,B520='112'!$K$9,OR($N520='112'!$I$6,$O520='112'!$I$6))),"x",""))</f>
        <v/>
      </c>
      <c r="U520" s="84" t="str">
        <f>IF(ISERROR(FIND('112'!$M$9,G520,1)),"",IF((AND(LEFT(G520,2)=LEFT('112'!$M$9,2),B520&lt;'112'!$K$9,$N520='112'!$I$6)),"x",""))</f>
        <v/>
      </c>
      <c r="V520" s="84" t="str">
        <f>IF(ISERROR(FIND('112'!$M$9,G520,1)),"",IF((AND(RIGHT(G520,2)=RIGHT('112'!$M$9,2),B520&lt;'112'!$K$9,$O520='112'!$I$6)),"x",""))</f>
        <v/>
      </c>
      <c r="W520" s="84" t="str">
        <f>IF(AND('341-CT'!$H$9=H520,OR(LEFT(N520,3)=$W$7,LEFT(O520,3)=$W$7)),"x","")</f>
        <v/>
      </c>
      <c r="X520" s="84" t="str">
        <f>IF(OR(TH!N520=TH!$X$7,O520=TH!$X$7),"x","")</f>
        <v/>
      </c>
      <c r="Y520" s="84" t="str">
        <f>IF(AND(OR(N520="131",O520="131"),H520='131-CT'!$H$9),"x","")</f>
        <v/>
      </c>
      <c r="Z520" s="84"/>
      <c r="AA520" s="84" t="str">
        <f>IF(AND(MONTH(E520)='IN-NX'!$J$5,'IN-NX'!$D$7=D520),"x","")</f>
        <v/>
      </c>
      <c r="AB520" s="84" t="str">
        <f>IF(AND(OR(LEFT(TH!N520,2)="15",LEFT(TH!O520,2)="15"),LEFT(TH!O520,3)&lt;&gt;"111",'152-CT'!$J$8=TH!F520),"x","")</f>
        <v/>
      </c>
      <c r="AC520" s="84" t="str">
        <f>IF(AND(OR(LEFT(TH!N520,2)="15",LEFT(TH!O520,2)="15"),TK!$E$7=TH!F520),"x","")</f>
        <v/>
      </c>
      <c r="AD520" s="84" t="str">
        <f>IF(AND(N520="1521",MONTH(C520)='BK-NL'!$M$11),"x","")</f>
        <v/>
      </c>
      <c r="AE520" s="1146" t="str">
        <f t="shared" si="111"/>
        <v>x</v>
      </c>
    </row>
    <row r="521" spans="1:31" ht="15.75" hidden="1" customHeight="1">
      <c r="A521" s="336" t="str">
        <f>IF(B521&lt;&gt;"",IF(AND(B521='IN-TC'!$S$4,OR(TH!N521="1111",TH!O521="1111")),TH!D521,""),"")</f>
        <v/>
      </c>
      <c r="B521" s="63">
        <f t="shared" si="108"/>
        <v>3</v>
      </c>
      <c r="C521" s="80">
        <f t="shared" si="109"/>
        <v>42448</v>
      </c>
      <c r="D521" s="80" t="s">
        <v>940</v>
      </c>
      <c r="E521" s="80">
        <v>42448</v>
      </c>
      <c r="F521" s="81" t="s">
        <v>683</v>
      </c>
      <c r="G521" s="81"/>
      <c r="H521" s="82" t="s">
        <v>361</v>
      </c>
      <c r="I521" s="437">
        <v>3208</v>
      </c>
      <c r="J521" s="438">
        <v>18500</v>
      </c>
      <c r="K521" s="428"/>
      <c r="L521" s="437"/>
      <c r="M521" s="83">
        <f t="shared" si="110"/>
        <v>59348000</v>
      </c>
      <c r="N521" s="84" t="s">
        <v>274</v>
      </c>
      <c r="O521" s="84" t="s">
        <v>8</v>
      </c>
      <c r="P521" s="84" t="str">
        <f>IF(AND('331-CT'!$E$7=TH!H521,OR(N521="331",O521="331")),"x","")</f>
        <v/>
      </c>
      <c r="Q521" s="84" t="str">
        <f>IF(AND(B521='111'!$L$11,OR($N521=$Q$7,$O521=$Q$7)),"x","")</f>
        <v/>
      </c>
      <c r="R521" s="84" t="str">
        <f>IF(AND($N521=$Q$7,$B521&lt;'111'!$L$11),"x","")</f>
        <v/>
      </c>
      <c r="S521" s="84" t="str">
        <f>IF(AND($O521=$Q$7,$B521&lt;'111'!$L$11),"x","")</f>
        <v/>
      </c>
      <c r="T521" s="84" t="str">
        <f>IF(ISERROR(FIND('112'!$M$9,G521,1)),"",IF((AND(FIND('112'!$M$9,G521,1)&gt;=1,B521='112'!$K$9,OR($N521='112'!$I$6,$O521='112'!$I$6))),"x",""))</f>
        <v/>
      </c>
      <c r="U521" s="84" t="str">
        <f>IF(ISERROR(FIND('112'!$M$9,G521,1)),"",IF((AND(LEFT(G521,2)=LEFT('112'!$M$9,2),B521&lt;'112'!$K$9,$N521='112'!$I$6)),"x",""))</f>
        <v/>
      </c>
      <c r="V521" s="84" t="str">
        <f>IF(ISERROR(FIND('112'!$M$9,G521,1)),"",IF((AND(RIGHT(G521,2)=RIGHT('112'!$M$9,2),B521&lt;'112'!$K$9,$O521='112'!$I$6)),"x",""))</f>
        <v/>
      </c>
      <c r="W521" s="84" t="str">
        <f>IF(AND('341-CT'!$H$9=H521,OR(LEFT(N521,3)=$W$7,LEFT(O521,3)=$W$7)),"x","")</f>
        <v/>
      </c>
      <c r="X521" s="84" t="str">
        <f>IF(OR(TH!N521=TH!$X$7,O521=TH!$X$7),"x","")</f>
        <v/>
      </c>
      <c r="Y521" s="84" t="str">
        <f>IF(AND(OR(N521="131",O521="131"),H521='131-CT'!$H$9),"x","")</f>
        <v/>
      </c>
      <c r="Z521" s="84"/>
      <c r="AA521" s="84" t="str">
        <f>IF(AND(MONTH(E521)='IN-NX'!$J$5,'IN-NX'!$D$7=D521),"x","")</f>
        <v/>
      </c>
      <c r="AB521" s="84" t="str">
        <f>IF(AND(OR(LEFT(TH!N521,2)="15",LEFT(TH!O521,2)="15"),LEFT(TH!O521,3)&lt;&gt;"111",'152-CT'!$J$8=TH!F521),"x","")</f>
        <v/>
      </c>
      <c r="AC521" s="84" t="str">
        <f>IF(AND(OR(LEFT(TH!N521,2)="15",LEFT(TH!O521,2)="15"),TK!$E$7=TH!F521),"x","")</f>
        <v/>
      </c>
      <c r="AD521" s="84" t="str">
        <f>IF(AND(N521="1521",MONTH(C521)='BK-NL'!$M$11),"x","")</f>
        <v/>
      </c>
      <c r="AE521" s="1146" t="str">
        <f t="shared" si="111"/>
        <v>x</v>
      </c>
    </row>
    <row r="522" spans="1:31" s="341" customFormat="1" ht="15.75" hidden="1" customHeight="1">
      <c r="A522" s="336" t="str">
        <f>IF(B522&lt;&gt;"",IF(AND(B522='IN-TC'!$S$4,OR(TH!N522="1111",TH!O522="1111")),TH!D522,""),"")</f>
        <v/>
      </c>
      <c r="B522" s="63">
        <f t="shared" ref="B522:B530" si="112">IF(C522&lt;&gt;"",MONTH(C522),"")</f>
        <v>3</v>
      </c>
      <c r="C522" s="94">
        <f>E522</f>
        <v>42446</v>
      </c>
      <c r="D522" s="94" t="s">
        <v>693</v>
      </c>
      <c r="E522" s="94">
        <v>42446</v>
      </c>
      <c r="F522" s="95" t="s">
        <v>683</v>
      </c>
      <c r="G522" s="95"/>
      <c r="H522" s="96" t="s">
        <v>449</v>
      </c>
      <c r="I522" s="1188">
        <v>18132</v>
      </c>
      <c r="J522" s="1187">
        <v>18500</v>
      </c>
      <c r="K522" s="1189"/>
      <c r="L522" s="1188"/>
      <c r="M522" s="97">
        <f>ROUND(I522*J522,0)</f>
        <v>335442000</v>
      </c>
      <c r="N522" s="85" t="s">
        <v>282</v>
      </c>
      <c r="O522" s="85" t="s">
        <v>274</v>
      </c>
      <c r="P522" s="84" t="str">
        <f>IF(AND('331-CT'!$E$7=TH!H522,OR(N522="331",O522="331")),"x","")</f>
        <v/>
      </c>
      <c r="Q522" s="84" t="str">
        <f>IF(AND(B522='111'!$L$11,OR($N522=$Q$7,$O522=$Q$7)),"x","")</f>
        <v/>
      </c>
      <c r="R522" s="84" t="str">
        <f>IF(AND($N522=$Q$7,$B522&lt;'111'!$L$11),"x","")</f>
        <v/>
      </c>
      <c r="S522" s="84" t="str">
        <f>IF(AND($O522=$Q$7,$B522&lt;'111'!$L$11),"x","")</f>
        <v/>
      </c>
      <c r="T522" s="84" t="str">
        <f>IF(ISERROR(FIND('112'!$M$9,G522,1)),"",IF((AND(FIND('112'!$M$9,G522,1)&gt;=1,B522='112'!$K$9,OR($N522='112'!$I$6,$O522='112'!$I$6))),"x",""))</f>
        <v/>
      </c>
      <c r="U522" s="84" t="str">
        <f>IF(ISERROR(FIND('112'!$M$9,G522,1)),"",IF((AND(LEFT(G522,2)=LEFT('112'!$M$9,2),B522&lt;'112'!$K$9,$N522='112'!$I$6)),"x",""))</f>
        <v/>
      </c>
      <c r="V522" s="84" t="str">
        <f>IF(ISERROR(FIND('112'!$M$9,G522,1)),"",IF((AND(RIGHT(G522,2)=RIGHT('112'!$M$9,2),B522&lt;'112'!$K$9,$O522='112'!$I$6)),"x",""))</f>
        <v/>
      </c>
      <c r="W522" s="84" t="str">
        <f>IF(AND('341-CT'!$H$9=H522,OR(LEFT(N522,3)=$W$7,LEFT(O522,3)=$W$7)),"x","")</f>
        <v/>
      </c>
      <c r="X522" s="84" t="str">
        <f>IF(OR(TH!N522=TH!$X$7,O522=TH!$X$7),"x","")</f>
        <v/>
      </c>
      <c r="Y522" s="84" t="str">
        <f>IF(AND(OR(N522="131",O522="131"),H522='131-CT'!$H$9),"x","")</f>
        <v/>
      </c>
      <c r="Z522" s="84"/>
      <c r="AA522" s="84" t="str">
        <f>IF(AND(MONTH(E522)='IN-NX'!$J$5,'IN-NX'!$D$7=D522),"x","")</f>
        <v/>
      </c>
      <c r="AB522" s="84" t="str">
        <f>IF(AND(OR(LEFT(TH!N522,2)="15",LEFT(TH!O522,2)="15"),LEFT(TH!O522,3)&lt;&gt;"111",'152-CT'!$J$8=TH!F522),"x","")</f>
        <v/>
      </c>
      <c r="AC522" s="84" t="str">
        <f>IF(AND(OR(LEFT(TH!N522,2)="15",LEFT(TH!O522,2)="15"),TK!$E$7=TH!F522),"x","")</f>
        <v/>
      </c>
      <c r="AD522" s="84" t="str">
        <f>IF(AND(N522="1521",MONTH(C522)='BK-NL'!$M$11),"x","")</f>
        <v/>
      </c>
    </row>
    <row r="523" spans="1:31" s="341" customFormat="1" ht="15.75" hidden="1" customHeight="1">
      <c r="A523" s="336" t="str">
        <f>IF(B523&lt;&gt;"",IF(AND(B523='IN-TC'!$S$4,OR(TH!N523="1111",TH!O523="1111")),TH!D523,""),"")</f>
        <v/>
      </c>
      <c r="B523" s="63">
        <f t="shared" si="112"/>
        <v>3</v>
      </c>
      <c r="C523" s="94">
        <f>E523</f>
        <v>42454</v>
      </c>
      <c r="D523" s="94" t="s">
        <v>694</v>
      </c>
      <c r="E523" s="94">
        <v>42454</v>
      </c>
      <c r="F523" s="95" t="s">
        <v>683</v>
      </c>
      <c r="G523" s="95"/>
      <c r="H523" s="96" t="s">
        <v>449</v>
      </c>
      <c r="I523" s="445">
        <v>21868</v>
      </c>
      <c r="J523" s="1187">
        <v>18500</v>
      </c>
      <c r="K523" s="436"/>
      <c r="L523" s="445"/>
      <c r="M523" s="97">
        <f>ROUND(I523*J523,0)</f>
        <v>404558000</v>
      </c>
      <c r="N523" s="85" t="s">
        <v>282</v>
      </c>
      <c r="O523" s="85" t="s">
        <v>274</v>
      </c>
      <c r="P523" s="84" t="str">
        <f>IF(AND('331-CT'!$E$7=TH!H523,OR(N523="331",O523="331")),"x","")</f>
        <v/>
      </c>
      <c r="Q523" s="84" t="str">
        <f>IF(AND(B523='111'!$L$11,OR($N523=$Q$7,$O523=$Q$7)),"x","")</f>
        <v/>
      </c>
      <c r="R523" s="84" t="str">
        <f>IF(AND($N523=$Q$7,$B523&lt;'111'!$L$11),"x","")</f>
        <v/>
      </c>
      <c r="S523" s="84" t="str">
        <f>IF(AND($O523=$Q$7,$B523&lt;'111'!$L$11),"x","")</f>
        <v/>
      </c>
      <c r="T523" s="84" t="str">
        <f>IF(ISERROR(FIND('112'!$M$9,G523,1)),"",IF((AND(FIND('112'!$M$9,G523,1)&gt;=1,B523='112'!$K$9,OR($N523='112'!$I$6,$O523='112'!$I$6))),"x",""))</f>
        <v/>
      </c>
      <c r="U523" s="84" t="str">
        <f>IF(ISERROR(FIND('112'!$M$9,G523,1)),"",IF((AND(LEFT(G523,2)=LEFT('112'!$M$9,2),B523&lt;'112'!$K$9,$N523='112'!$I$6)),"x",""))</f>
        <v/>
      </c>
      <c r="V523" s="84" t="str">
        <f>IF(ISERROR(FIND('112'!$M$9,G523,1)),"",IF((AND(RIGHT(G523,2)=RIGHT('112'!$M$9,2),B523&lt;'112'!$K$9,$O523='112'!$I$6)),"x",""))</f>
        <v/>
      </c>
      <c r="W523" s="84" t="str">
        <f>IF(AND('341-CT'!$H$9=H523,OR(LEFT(N523,3)=$W$7,LEFT(O523,3)=$W$7)),"x","")</f>
        <v/>
      </c>
      <c r="X523" s="84" t="str">
        <f>IF(OR(TH!N523=TH!$X$7,O523=TH!$X$7),"x","")</f>
        <v/>
      </c>
      <c r="Y523" s="84" t="str">
        <f>IF(AND(OR(N523="131",O523="131"),H523='131-CT'!$H$9),"x","")</f>
        <v/>
      </c>
      <c r="Z523" s="84"/>
      <c r="AA523" s="84" t="str">
        <f>IF(AND(MONTH(E523)='IN-NX'!$J$5,'IN-NX'!$D$7=D523),"x","")</f>
        <v/>
      </c>
      <c r="AB523" s="84" t="str">
        <f>IF(AND(OR(LEFT(TH!N523,2)="15",LEFT(TH!O523,2)="15"),LEFT(TH!O523,3)&lt;&gt;"111",'152-CT'!$J$8=TH!F523),"x","")</f>
        <v/>
      </c>
      <c r="AC523" s="84" t="str">
        <f>IF(AND(OR(LEFT(TH!N523,2)="15",LEFT(TH!O523,2)="15"),TK!$E$7=TH!F523),"x","")</f>
        <v/>
      </c>
      <c r="AD523" s="84" t="str">
        <f>IF(AND(N523="1521",MONTH(C523)='BK-NL'!$M$11),"x","")</f>
        <v/>
      </c>
    </row>
    <row r="524" spans="1:31" s="341" customFormat="1" ht="15.75" hidden="1" customHeight="1">
      <c r="A524" s="336" t="str">
        <f>IF(B524&lt;&gt;"",IF(AND(B524='IN-TC'!$S$4,OR(TH!N524="1111",TH!O524="1111")),TH!D524,""),"")</f>
        <v/>
      </c>
      <c r="B524" s="63">
        <f t="shared" si="112"/>
        <v>4</v>
      </c>
      <c r="C524" s="80">
        <f t="shared" ref="C524:C530" si="113">E524</f>
        <v>42461</v>
      </c>
      <c r="D524" s="80" t="s">
        <v>934</v>
      </c>
      <c r="E524" s="80">
        <v>42461</v>
      </c>
      <c r="F524" s="81" t="s">
        <v>683</v>
      </c>
      <c r="G524" s="81"/>
      <c r="H524" s="82" t="s">
        <v>364</v>
      </c>
      <c r="I524" s="437">
        <v>3986</v>
      </c>
      <c r="J524" s="438">
        <v>15500</v>
      </c>
      <c r="K524" s="428"/>
      <c r="L524" s="437"/>
      <c r="M524" s="83">
        <f t="shared" ref="M524:M530" si="114">ROUND(I524*J524,0)</f>
        <v>61783000</v>
      </c>
      <c r="N524" s="84" t="s">
        <v>274</v>
      </c>
      <c r="O524" s="84" t="s">
        <v>8</v>
      </c>
      <c r="P524" s="84" t="str">
        <f>IF(AND('331-CT'!$E$7=TH!H524,OR(N524="331",O524="331")),"x","")</f>
        <v/>
      </c>
      <c r="Q524" s="84" t="str">
        <f>IF(AND(B524='111'!$L$11,OR($N524=$Q$7,$O524=$Q$7)),"x","")</f>
        <v/>
      </c>
      <c r="R524" s="84" t="str">
        <f>IF(AND($N524=$Q$7,$B524&lt;'111'!$L$11),"x","")</f>
        <v/>
      </c>
      <c r="S524" s="84" t="str">
        <f>IF(AND($O524=$Q$7,$B524&lt;'111'!$L$11),"x","")</f>
        <v/>
      </c>
      <c r="T524" s="84" t="str">
        <f>IF(ISERROR(FIND('112'!$M$9,G524,1)),"",IF((AND(FIND('112'!$M$9,G524,1)&gt;=1,B524='112'!$K$9,OR($N524='112'!$I$6,$O524='112'!$I$6))),"x",""))</f>
        <v/>
      </c>
      <c r="U524" s="84" t="str">
        <f>IF(ISERROR(FIND('112'!$M$9,G524,1)),"",IF((AND(LEFT(G524,2)=LEFT('112'!$M$9,2),B524&lt;'112'!$K$9,$N524='112'!$I$6)),"x",""))</f>
        <v/>
      </c>
      <c r="V524" s="84" t="str">
        <f>IF(ISERROR(FIND('112'!$M$9,G524,1)),"",IF((AND(RIGHT(G524,2)=RIGHT('112'!$M$9,2),B524&lt;'112'!$K$9,$O524='112'!$I$6)),"x",""))</f>
        <v/>
      </c>
      <c r="W524" s="84" t="str">
        <f>IF(AND('341-CT'!$H$9=H524,OR(LEFT(N524,3)=$W$7,LEFT(O524,3)=$W$7)),"x","")</f>
        <v/>
      </c>
      <c r="X524" s="84" t="str">
        <f>IF(OR(TH!N524=TH!$X$7,O524=TH!$X$7),"x","")</f>
        <v/>
      </c>
      <c r="Y524" s="84" t="str">
        <f>IF(AND(OR(N524="131",O524="131"),H524='131-CT'!$H$9),"x","")</f>
        <v/>
      </c>
      <c r="Z524" s="84"/>
      <c r="AA524" s="84" t="str">
        <f>IF(AND(MONTH(E524)='IN-NX'!$J$5,'IN-NX'!$D$7=D524),"x","")</f>
        <v/>
      </c>
      <c r="AB524" s="84" t="str">
        <f>IF(AND(OR(LEFT(TH!N524,2)="15",LEFT(TH!O524,2)="15"),LEFT(TH!O524,3)&lt;&gt;"111",'152-CT'!$J$8=TH!F524),"x","")</f>
        <v/>
      </c>
      <c r="AC524" s="84" t="str">
        <f>IF(AND(OR(LEFT(TH!N524,2)="15",LEFT(TH!O524,2)="15"),TK!$E$7=TH!F524),"x","")</f>
        <v/>
      </c>
      <c r="AD524" s="84" t="str">
        <f>IF(AND(N524="1521",MONTH(C524)='BK-NL'!$M$11),"x","")</f>
        <v/>
      </c>
      <c r="AE524" s="1146" t="str">
        <f t="shared" ref="AE524:AE530" si="115">IF(H524&lt;&gt;VLOOKUP(H524,DSKH,1,0),"","x")</f>
        <v>x</v>
      </c>
    </row>
    <row r="525" spans="1:31" ht="15.75" hidden="1" customHeight="1">
      <c r="A525" s="336" t="str">
        <f>IF(B525&lt;&gt;"",IF(AND(B525='IN-TC'!$S$4,OR(TH!N525="1111",TH!O525="1111")),TH!D525,""),"")</f>
        <v/>
      </c>
      <c r="B525" s="63">
        <f t="shared" si="112"/>
        <v>4</v>
      </c>
      <c r="C525" s="80">
        <f t="shared" si="113"/>
        <v>42461</v>
      </c>
      <c r="D525" s="80" t="s">
        <v>935</v>
      </c>
      <c r="E525" s="80">
        <v>42461</v>
      </c>
      <c r="F525" s="81" t="s">
        <v>683</v>
      </c>
      <c r="G525" s="81"/>
      <c r="H525" s="89" t="s">
        <v>346</v>
      </c>
      <c r="I525" s="438">
        <v>4179</v>
      </c>
      <c r="J525" s="438">
        <v>15500</v>
      </c>
      <c r="K525" s="429"/>
      <c r="L525" s="438"/>
      <c r="M525" s="83">
        <f t="shared" si="114"/>
        <v>64774500</v>
      </c>
      <c r="N525" s="84" t="s">
        <v>274</v>
      </c>
      <c r="O525" s="84" t="s">
        <v>8</v>
      </c>
      <c r="P525" s="84" t="str">
        <f>IF(AND('331-CT'!$E$7=TH!H525,OR(N525="331",O525="331")),"x","")</f>
        <v/>
      </c>
      <c r="Q525" s="84" t="str">
        <f>IF(AND(B525='111'!$L$11,OR($N525=$Q$7,$O525=$Q$7)),"x","")</f>
        <v/>
      </c>
      <c r="R525" s="84" t="str">
        <f>IF(AND($N525=$Q$7,$B525&lt;'111'!$L$11),"x","")</f>
        <v/>
      </c>
      <c r="S525" s="84" t="str">
        <f>IF(AND($O525=$Q$7,$B525&lt;'111'!$L$11),"x","")</f>
        <v/>
      </c>
      <c r="T525" s="84" t="str">
        <f>IF(ISERROR(FIND('112'!$M$9,G525,1)),"",IF((AND(FIND('112'!$M$9,G525,1)&gt;=1,B525='112'!$K$9,OR($N525='112'!$I$6,$O525='112'!$I$6))),"x",""))</f>
        <v/>
      </c>
      <c r="U525" s="84" t="str">
        <f>IF(ISERROR(FIND('112'!$M$9,G525,1)),"",IF((AND(LEFT(G525,2)=LEFT('112'!$M$9,2),B525&lt;'112'!$K$9,$N525='112'!$I$6)),"x",""))</f>
        <v/>
      </c>
      <c r="V525" s="84" t="str">
        <f>IF(ISERROR(FIND('112'!$M$9,G525,1)),"",IF((AND(RIGHT(G525,2)=RIGHT('112'!$M$9,2),B525&lt;'112'!$K$9,$O525='112'!$I$6)),"x",""))</f>
        <v/>
      </c>
      <c r="W525" s="84" t="str">
        <f>IF(AND('341-CT'!$H$9=H525,OR(LEFT(N525,3)=$W$7,LEFT(O525,3)=$W$7)),"x","")</f>
        <v/>
      </c>
      <c r="X525" s="84" t="str">
        <f>IF(OR(TH!N525=TH!$X$7,O525=TH!$X$7),"x","")</f>
        <v/>
      </c>
      <c r="Y525" s="84" t="str">
        <f>IF(AND(OR(N525="131",O525="131"),H525='131-CT'!$H$9),"x","")</f>
        <v/>
      </c>
      <c r="Z525" s="84"/>
      <c r="AA525" s="84" t="str">
        <f>IF(AND(MONTH(E525)='IN-NX'!$J$5,'IN-NX'!$D$7=D525),"x","")</f>
        <v/>
      </c>
      <c r="AB525" s="84" t="str">
        <f>IF(AND(OR(LEFT(TH!N525,2)="15",LEFT(TH!O525,2)="15"),LEFT(TH!O525,3)&lt;&gt;"111",'152-CT'!$J$8=TH!F525),"x","")</f>
        <v/>
      </c>
      <c r="AC525" s="84" t="str">
        <f>IF(AND(OR(LEFT(TH!N525,2)="15",LEFT(TH!O525,2)="15"),TK!$E$7=TH!F525),"x","")</f>
        <v/>
      </c>
      <c r="AD525" s="84" t="str">
        <f>IF(AND(N525="1521",MONTH(C525)='BK-NL'!$M$11),"x","")</f>
        <v/>
      </c>
      <c r="AE525" s="1146" t="str">
        <f t="shared" si="115"/>
        <v>x</v>
      </c>
    </row>
    <row r="526" spans="1:31" ht="15.75" hidden="1" customHeight="1">
      <c r="A526" s="336" t="str">
        <f>IF(B526&lt;&gt;"",IF(AND(B526='IN-TC'!$S$4,OR(TH!N526="1111",TH!O526="1111")),TH!D526,""),"")</f>
        <v/>
      </c>
      <c r="B526" s="63">
        <f t="shared" si="112"/>
        <v>4</v>
      </c>
      <c r="C526" s="80">
        <f t="shared" si="113"/>
        <v>42461</v>
      </c>
      <c r="D526" s="80" t="s">
        <v>936</v>
      </c>
      <c r="E526" s="80">
        <v>42461</v>
      </c>
      <c r="F526" s="81" t="s">
        <v>683</v>
      </c>
      <c r="G526" s="81"/>
      <c r="H526" s="82" t="s">
        <v>349</v>
      </c>
      <c r="I526" s="437">
        <v>3982</v>
      </c>
      <c r="J526" s="438">
        <v>15500</v>
      </c>
      <c r="K526" s="428"/>
      <c r="L526" s="437"/>
      <c r="M526" s="83">
        <f t="shared" si="114"/>
        <v>61721000</v>
      </c>
      <c r="N526" s="84" t="s">
        <v>274</v>
      </c>
      <c r="O526" s="84" t="s">
        <v>8</v>
      </c>
      <c r="P526" s="84" t="str">
        <f>IF(AND('331-CT'!$E$7=TH!H526,OR(N526="331",O526="331")),"x","")</f>
        <v/>
      </c>
      <c r="Q526" s="84" t="str">
        <f>IF(AND(B526='111'!$L$11,OR($N526=$Q$7,$O526=$Q$7)),"x","")</f>
        <v/>
      </c>
      <c r="R526" s="84" t="str">
        <f>IF(AND($N526=$Q$7,$B526&lt;'111'!$L$11),"x","")</f>
        <v/>
      </c>
      <c r="S526" s="84" t="str">
        <f>IF(AND($O526=$Q$7,$B526&lt;'111'!$L$11),"x","")</f>
        <v/>
      </c>
      <c r="T526" s="84" t="str">
        <f>IF(ISERROR(FIND('112'!$M$9,G526,1)),"",IF((AND(FIND('112'!$M$9,G526,1)&gt;=1,B526='112'!$K$9,OR($N526='112'!$I$6,$O526='112'!$I$6))),"x",""))</f>
        <v/>
      </c>
      <c r="U526" s="84" t="str">
        <f>IF(ISERROR(FIND('112'!$M$9,G526,1)),"",IF((AND(LEFT(G526,2)=LEFT('112'!$M$9,2),B526&lt;'112'!$K$9,$N526='112'!$I$6)),"x",""))</f>
        <v/>
      </c>
      <c r="V526" s="84" t="str">
        <f>IF(ISERROR(FIND('112'!$M$9,G526,1)),"",IF((AND(RIGHT(G526,2)=RIGHT('112'!$M$9,2),B526&lt;'112'!$K$9,$O526='112'!$I$6)),"x",""))</f>
        <v/>
      </c>
      <c r="W526" s="84" t="str">
        <f>IF(AND('341-CT'!$H$9=H526,OR(LEFT(N526,3)=$W$7,LEFT(O526,3)=$W$7)),"x","")</f>
        <v/>
      </c>
      <c r="X526" s="84" t="str">
        <f>IF(OR(TH!N526=TH!$X$7,O526=TH!$X$7),"x","")</f>
        <v/>
      </c>
      <c r="Y526" s="84" t="str">
        <f>IF(AND(OR(N526="131",O526="131"),H526='131-CT'!$H$9),"x","")</f>
        <v/>
      </c>
      <c r="Z526" s="84"/>
      <c r="AA526" s="84" t="str">
        <f>IF(AND(MONTH(E526)='IN-NX'!$J$5,'IN-NX'!$D$7=D526),"x","")</f>
        <v/>
      </c>
      <c r="AB526" s="84" t="str">
        <f>IF(AND(OR(LEFT(TH!N526,2)="15",LEFT(TH!O526,2)="15"),LEFT(TH!O526,3)&lt;&gt;"111",'152-CT'!$J$8=TH!F526),"x","")</f>
        <v/>
      </c>
      <c r="AC526" s="84" t="str">
        <f>IF(AND(OR(LEFT(TH!N526,2)="15",LEFT(TH!O526,2)="15"),TK!$E$7=TH!F526),"x","")</f>
        <v/>
      </c>
      <c r="AD526" s="84" t="str">
        <f>IF(AND(N526="1521",MONTH(C526)='BK-NL'!$M$11),"x","")</f>
        <v/>
      </c>
      <c r="AE526" s="1146" t="str">
        <f t="shared" si="115"/>
        <v>x</v>
      </c>
    </row>
    <row r="527" spans="1:31" ht="15.75" hidden="1" customHeight="1">
      <c r="A527" s="336" t="str">
        <f>IF(B527&lt;&gt;"",IF(AND(B527='IN-TC'!$S$4,OR(TH!N527="1111",TH!O527="1111")),TH!D527,""),"")</f>
        <v/>
      </c>
      <c r="B527" s="63">
        <f t="shared" si="112"/>
        <v>4</v>
      </c>
      <c r="C527" s="80">
        <f t="shared" si="113"/>
        <v>42464</v>
      </c>
      <c r="D527" s="80" t="s">
        <v>937</v>
      </c>
      <c r="E527" s="80">
        <v>42464</v>
      </c>
      <c r="F527" s="81" t="s">
        <v>683</v>
      </c>
      <c r="G527" s="81"/>
      <c r="H527" s="82" t="s">
        <v>361</v>
      </c>
      <c r="I527" s="437">
        <v>4572</v>
      </c>
      <c r="J527" s="438">
        <v>15500</v>
      </c>
      <c r="K527" s="428"/>
      <c r="L527" s="437"/>
      <c r="M527" s="83">
        <f t="shared" si="114"/>
        <v>70866000</v>
      </c>
      <c r="N527" s="84" t="s">
        <v>274</v>
      </c>
      <c r="O527" s="84" t="s">
        <v>8</v>
      </c>
      <c r="P527" s="84" t="str">
        <f>IF(AND('331-CT'!$E$7=TH!H527,OR(N527="331",O527="331")),"x","")</f>
        <v/>
      </c>
      <c r="Q527" s="84" t="str">
        <f>IF(AND(B527='111'!$L$11,OR($N527=$Q$7,$O527=$Q$7)),"x","")</f>
        <v/>
      </c>
      <c r="R527" s="84" t="str">
        <f>IF(AND($N527=$Q$7,$B527&lt;'111'!$L$11),"x","")</f>
        <v/>
      </c>
      <c r="S527" s="84" t="str">
        <f>IF(AND($O527=$Q$7,$B527&lt;'111'!$L$11),"x","")</f>
        <v/>
      </c>
      <c r="T527" s="84" t="str">
        <f>IF(ISERROR(FIND('112'!$M$9,G527,1)),"",IF((AND(FIND('112'!$M$9,G527,1)&gt;=1,B527='112'!$K$9,OR($N527='112'!$I$6,$O527='112'!$I$6))),"x",""))</f>
        <v/>
      </c>
      <c r="U527" s="84" t="str">
        <f>IF(ISERROR(FIND('112'!$M$9,G527,1)),"",IF((AND(LEFT(G527,2)=LEFT('112'!$M$9,2),B527&lt;'112'!$K$9,$N527='112'!$I$6)),"x",""))</f>
        <v/>
      </c>
      <c r="V527" s="84" t="str">
        <f>IF(ISERROR(FIND('112'!$M$9,G527,1)),"",IF((AND(RIGHT(G527,2)=RIGHT('112'!$M$9,2),B527&lt;'112'!$K$9,$O527='112'!$I$6)),"x",""))</f>
        <v/>
      </c>
      <c r="W527" s="84" t="str">
        <f>IF(AND('341-CT'!$H$9=H527,OR(LEFT(N527,3)=$W$7,LEFT(O527,3)=$W$7)),"x","")</f>
        <v/>
      </c>
      <c r="X527" s="84" t="str">
        <f>IF(OR(TH!N527=TH!$X$7,O527=TH!$X$7),"x","")</f>
        <v/>
      </c>
      <c r="Y527" s="84" t="str">
        <f>IF(AND(OR(N527="131",O527="131"),H527='131-CT'!$H$9),"x","")</f>
        <v/>
      </c>
      <c r="Z527" s="84"/>
      <c r="AA527" s="84" t="str">
        <f>IF(AND(MONTH(E527)='IN-NX'!$J$5,'IN-NX'!$D$7=D527),"x","")</f>
        <v/>
      </c>
      <c r="AB527" s="84" t="str">
        <f>IF(AND(OR(LEFT(TH!N527,2)="15",LEFT(TH!O527,2)="15"),LEFT(TH!O527,3)&lt;&gt;"111",'152-CT'!$J$8=TH!F527),"x","")</f>
        <v/>
      </c>
      <c r="AC527" s="84" t="str">
        <f>IF(AND(OR(LEFT(TH!N527,2)="15",LEFT(TH!O527,2)="15"),TK!$E$7=TH!F527),"x","")</f>
        <v/>
      </c>
      <c r="AD527" s="84" t="str">
        <f>IF(AND(N527="1521",MONTH(C527)='BK-NL'!$M$11),"x","")</f>
        <v/>
      </c>
      <c r="AE527" s="1146" t="str">
        <f t="shared" si="115"/>
        <v>x</v>
      </c>
    </row>
    <row r="528" spans="1:31" ht="15.75" hidden="1" customHeight="1">
      <c r="A528" s="336" t="str">
        <f>IF(B528&lt;&gt;"",IF(AND(B528='IN-TC'!$S$4,OR(TH!N528="1111",TH!O528="1111")),TH!D528,""),"")</f>
        <v/>
      </c>
      <c r="B528" s="63">
        <f t="shared" si="112"/>
        <v>4</v>
      </c>
      <c r="C528" s="80">
        <f t="shared" si="113"/>
        <v>42464</v>
      </c>
      <c r="D528" s="80" t="s">
        <v>938</v>
      </c>
      <c r="E528" s="80">
        <v>42464</v>
      </c>
      <c r="F528" s="81" t="s">
        <v>683</v>
      </c>
      <c r="G528" s="81"/>
      <c r="H528" s="82" t="s">
        <v>364</v>
      </c>
      <c r="I528" s="437">
        <v>4780</v>
      </c>
      <c r="J528" s="438">
        <v>15500</v>
      </c>
      <c r="K528" s="428"/>
      <c r="L528" s="437"/>
      <c r="M528" s="83">
        <f t="shared" si="114"/>
        <v>74090000</v>
      </c>
      <c r="N528" s="84" t="s">
        <v>274</v>
      </c>
      <c r="O528" s="84" t="s">
        <v>8</v>
      </c>
      <c r="P528" s="84" t="str">
        <f>IF(AND('331-CT'!$E$7=TH!H528,OR(N528="331",O528="331")),"x","")</f>
        <v/>
      </c>
      <c r="Q528" s="84" t="str">
        <f>IF(AND(B528='111'!$L$11,OR($N528=$Q$7,$O528=$Q$7)),"x","")</f>
        <v/>
      </c>
      <c r="R528" s="84" t="str">
        <f>IF(AND($N528=$Q$7,$B528&lt;'111'!$L$11),"x","")</f>
        <v/>
      </c>
      <c r="S528" s="84" t="str">
        <f>IF(AND($O528=$Q$7,$B528&lt;'111'!$L$11),"x","")</f>
        <v/>
      </c>
      <c r="T528" s="84" t="str">
        <f>IF(ISERROR(FIND('112'!$M$9,G528,1)),"",IF((AND(FIND('112'!$M$9,G528,1)&gt;=1,B528='112'!$K$9,OR($N528='112'!$I$6,$O528='112'!$I$6))),"x",""))</f>
        <v/>
      </c>
      <c r="U528" s="84" t="str">
        <f>IF(ISERROR(FIND('112'!$M$9,G528,1)),"",IF((AND(LEFT(G528,2)=LEFT('112'!$M$9,2),B528&lt;'112'!$K$9,$N528='112'!$I$6)),"x",""))</f>
        <v/>
      </c>
      <c r="V528" s="84" t="str">
        <f>IF(ISERROR(FIND('112'!$M$9,G528,1)),"",IF((AND(RIGHT(G528,2)=RIGHT('112'!$M$9,2),B528&lt;'112'!$K$9,$O528='112'!$I$6)),"x",""))</f>
        <v/>
      </c>
      <c r="W528" s="84" t="str">
        <f>IF(AND('341-CT'!$H$9=H528,OR(LEFT(N528,3)=$W$7,LEFT(O528,3)=$W$7)),"x","")</f>
        <v/>
      </c>
      <c r="X528" s="84" t="str">
        <f>IF(OR(TH!N528=TH!$X$7,O528=TH!$X$7),"x","")</f>
        <v/>
      </c>
      <c r="Y528" s="84" t="str">
        <f>IF(AND(OR(N528="131",O528="131"),H528='131-CT'!$H$9),"x","")</f>
        <v/>
      </c>
      <c r="Z528" s="84"/>
      <c r="AA528" s="84" t="str">
        <f>IF(AND(MONTH(E528)='IN-NX'!$J$5,'IN-NX'!$D$7=D528),"x","")</f>
        <v/>
      </c>
      <c r="AB528" s="84" t="str">
        <f>IF(AND(OR(LEFT(TH!N528,2)="15",LEFT(TH!O528,2)="15"),LEFT(TH!O528,3)&lt;&gt;"111",'152-CT'!$J$8=TH!F528),"x","")</f>
        <v/>
      </c>
      <c r="AC528" s="84" t="str">
        <f>IF(AND(OR(LEFT(TH!N528,2)="15",LEFT(TH!O528,2)="15"),TK!$E$7=TH!F528),"x","")</f>
        <v/>
      </c>
      <c r="AD528" s="84" t="str">
        <f>IF(AND(N528="1521",MONTH(C528)='BK-NL'!$M$11),"x","")</f>
        <v/>
      </c>
      <c r="AE528" s="1146" t="str">
        <f t="shared" si="115"/>
        <v>x</v>
      </c>
    </row>
    <row r="529" spans="1:31" ht="15.75" hidden="1" customHeight="1">
      <c r="A529" s="336" t="str">
        <f>IF(B529&lt;&gt;"",IF(AND(B529='IN-TC'!$S$4,OR(TH!N529="1111",TH!O529="1111")),TH!D529,""),"")</f>
        <v/>
      </c>
      <c r="B529" s="63">
        <f t="shared" si="112"/>
        <v>4</v>
      </c>
      <c r="C529" s="80">
        <f t="shared" si="113"/>
        <v>42470</v>
      </c>
      <c r="D529" s="80" t="s">
        <v>939</v>
      </c>
      <c r="E529" s="80">
        <v>42470</v>
      </c>
      <c r="F529" s="81" t="s">
        <v>683</v>
      </c>
      <c r="G529" s="81"/>
      <c r="H529" s="82" t="s">
        <v>367</v>
      </c>
      <c r="I529" s="437">
        <v>4106</v>
      </c>
      <c r="J529" s="438">
        <v>15500</v>
      </c>
      <c r="K529" s="428"/>
      <c r="L529" s="437"/>
      <c r="M529" s="83">
        <f t="shared" si="114"/>
        <v>63643000</v>
      </c>
      <c r="N529" s="84" t="s">
        <v>274</v>
      </c>
      <c r="O529" s="84" t="s">
        <v>8</v>
      </c>
      <c r="P529" s="84" t="str">
        <f>IF(AND('331-CT'!$E$7=TH!H529,OR(N529="331",O529="331")),"x","")</f>
        <v/>
      </c>
      <c r="Q529" s="84" t="str">
        <f>IF(AND(B529='111'!$L$11,OR($N529=$Q$7,$O529=$Q$7)),"x","")</f>
        <v/>
      </c>
      <c r="R529" s="84" t="str">
        <f>IF(AND($N529=$Q$7,$B529&lt;'111'!$L$11),"x","")</f>
        <v/>
      </c>
      <c r="S529" s="84" t="str">
        <f>IF(AND($O529=$Q$7,$B529&lt;'111'!$L$11),"x","")</f>
        <v/>
      </c>
      <c r="T529" s="84" t="str">
        <f>IF(ISERROR(FIND('112'!$M$9,G529,1)),"",IF((AND(FIND('112'!$M$9,G529,1)&gt;=1,B529='112'!$K$9,OR($N529='112'!$I$6,$O529='112'!$I$6))),"x",""))</f>
        <v/>
      </c>
      <c r="U529" s="84" t="str">
        <f>IF(ISERROR(FIND('112'!$M$9,G529,1)),"",IF((AND(LEFT(G529,2)=LEFT('112'!$M$9,2),B529&lt;'112'!$K$9,$N529='112'!$I$6)),"x",""))</f>
        <v/>
      </c>
      <c r="V529" s="84" t="str">
        <f>IF(ISERROR(FIND('112'!$M$9,G529,1)),"",IF((AND(RIGHT(G529,2)=RIGHT('112'!$M$9,2),B529&lt;'112'!$K$9,$O529='112'!$I$6)),"x",""))</f>
        <v/>
      </c>
      <c r="W529" s="84" t="str">
        <f>IF(AND('341-CT'!$H$9=H529,OR(LEFT(N529,3)=$W$7,LEFT(O529,3)=$W$7)),"x","")</f>
        <v/>
      </c>
      <c r="X529" s="84" t="str">
        <f>IF(OR(TH!N529=TH!$X$7,O529=TH!$X$7),"x","")</f>
        <v/>
      </c>
      <c r="Y529" s="84" t="str">
        <f>IF(AND(OR(N529="131",O529="131"),H529='131-CT'!$H$9),"x","")</f>
        <v/>
      </c>
      <c r="Z529" s="84"/>
      <c r="AA529" s="84" t="str">
        <f>IF(AND(MONTH(E529)='IN-NX'!$J$5,'IN-NX'!$D$7=D529),"x","")</f>
        <v/>
      </c>
      <c r="AB529" s="84" t="str">
        <f>IF(AND(OR(LEFT(TH!N529,2)="15",LEFT(TH!O529,2)="15"),LEFT(TH!O529,3)&lt;&gt;"111",'152-CT'!$J$8=TH!F529),"x","")</f>
        <v/>
      </c>
      <c r="AC529" s="84" t="str">
        <f>IF(AND(OR(LEFT(TH!N529,2)="15",LEFT(TH!O529,2)="15"),TK!$E$7=TH!F529),"x","")</f>
        <v/>
      </c>
      <c r="AD529" s="84" t="str">
        <f>IF(AND(N529="1521",MONTH(C529)='BK-NL'!$M$11),"x","")</f>
        <v/>
      </c>
      <c r="AE529" s="1146" t="str">
        <f t="shared" si="115"/>
        <v>x</v>
      </c>
    </row>
    <row r="530" spans="1:31" ht="15.75" hidden="1" customHeight="1">
      <c r="A530" s="336" t="str">
        <f>IF(B530&lt;&gt;"",IF(AND(B530='IN-TC'!$S$4,OR(TH!N530="1111",TH!O530="1111")),TH!D530,""),"")</f>
        <v/>
      </c>
      <c r="B530" s="63">
        <f t="shared" si="112"/>
        <v>4</v>
      </c>
      <c r="C530" s="80">
        <f t="shared" si="113"/>
        <v>42470</v>
      </c>
      <c r="D530" s="80" t="s">
        <v>940</v>
      </c>
      <c r="E530" s="80">
        <v>42470</v>
      </c>
      <c r="F530" s="81" t="s">
        <v>683</v>
      </c>
      <c r="G530" s="81"/>
      <c r="H530" s="82" t="s">
        <v>361</v>
      </c>
      <c r="I530" s="437">
        <v>4795</v>
      </c>
      <c r="J530" s="438">
        <v>15500</v>
      </c>
      <c r="K530" s="428"/>
      <c r="L530" s="437"/>
      <c r="M530" s="83">
        <f t="shared" si="114"/>
        <v>74322500</v>
      </c>
      <c r="N530" s="84" t="s">
        <v>274</v>
      </c>
      <c r="O530" s="84" t="s">
        <v>8</v>
      </c>
      <c r="P530" s="84" t="str">
        <f>IF(AND('331-CT'!$E$7=TH!H530,OR(N530="331",O530="331")),"x","")</f>
        <v/>
      </c>
      <c r="Q530" s="84" t="str">
        <f>IF(AND(B530='111'!$L$11,OR($N530=$Q$7,$O530=$Q$7)),"x","")</f>
        <v/>
      </c>
      <c r="R530" s="84" t="str">
        <f>IF(AND($N530=$Q$7,$B530&lt;'111'!$L$11),"x","")</f>
        <v/>
      </c>
      <c r="S530" s="84" t="str">
        <f>IF(AND($O530=$Q$7,$B530&lt;'111'!$L$11),"x","")</f>
        <v/>
      </c>
      <c r="T530" s="84" t="str">
        <f>IF(ISERROR(FIND('112'!$M$9,G530,1)),"",IF((AND(FIND('112'!$M$9,G530,1)&gt;=1,B530='112'!$K$9,OR($N530='112'!$I$6,$O530='112'!$I$6))),"x",""))</f>
        <v/>
      </c>
      <c r="U530" s="84" t="str">
        <f>IF(ISERROR(FIND('112'!$M$9,G530,1)),"",IF((AND(LEFT(G530,2)=LEFT('112'!$M$9,2),B530&lt;'112'!$K$9,$N530='112'!$I$6)),"x",""))</f>
        <v/>
      </c>
      <c r="V530" s="84" t="str">
        <f>IF(ISERROR(FIND('112'!$M$9,G530,1)),"",IF((AND(RIGHT(G530,2)=RIGHT('112'!$M$9,2),B530&lt;'112'!$K$9,$O530='112'!$I$6)),"x",""))</f>
        <v/>
      </c>
      <c r="W530" s="84" t="str">
        <f>IF(AND('341-CT'!$H$9=H530,OR(LEFT(N530,3)=$W$7,LEFT(O530,3)=$W$7)),"x","")</f>
        <v/>
      </c>
      <c r="X530" s="84" t="str">
        <f>IF(OR(TH!N530=TH!$X$7,O530=TH!$X$7),"x","")</f>
        <v/>
      </c>
      <c r="Y530" s="84" t="str">
        <f>IF(AND(OR(N530="131",O530="131"),H530='131-CT'!$H$9),"x","")</f>
        <v/>
      </c>
      <c r="Z530" s="84"/>
      <c r="AA530" s="84" t="str">
        <f>IF(AND(MONTH(E530)='IN-NX'!$J$5,'IN-NX'!$D$7=D530),"x","")</f>
        <v/>
      </c>
      <c r="AB530" s="84" t="str">
        <f>IF(AND(OR(LEFT(TH!N530,2)="15",LEFT(TH!O530,2)="15"),LEFT(TH!O530,3)&lt;&gt;"111",'152-CT'!$J$8=TH!F530),"x","")</f>
        <v/>
      </c>
      <c r="AC530" s="84" t="str">
        <f>IF(AND(OR(LEFT(TH!N530,2)="15",LEFT(TH!O530,2)="15"),TK!$E$7=TH!F530),"x","")</f>
        <v/>
      </c>
      <c r="AD530" s="84" t="str">
        <f>IF(AND(N530="1521",MONTH(C530)='BK-NL'!$M$11),"x","")</f>
        <v/>
      </c>
      <c r="AE530" s="1146" t="str">
        <f t="shared" si="115"/>
        <v>x</v>
      </c>
    </row>
    <row r="531" spans="1:31" s="341" customFormat="1" ht="15.75" hidden="1" customHeight="1">
      <c r="A531" s="336" t="str">
        <f>IF(B531&lt;&gt;"",IF(AND(B531='IN-TC'!$S$4,OR(TH!N531="1111",TH!O531="1111")),TH!D531,""),"")</f>
        <v/>
      </c>
      <c r="B531" s="63">
        <f t="shared" ref="B531:B555" si="116">IF(C531&lt;&gt;"",MONTH(C531),"")</f>
        <v>4</v>
      </c>
      <c r="C531" s="94">
        <f>E531</f>
        <v>42461</v>
      </c>
      <c r="D531" s="94" t="s">
        <v>685</v>
      </c>
      <c r="E531" s="94">
        <v>42461</v>
      </c>
      <c r="F531" s="95" t="s">
        <v>683</v>
      </c>
      <c r="G531" s="95"/>
      <c r="H531" s="96" t="s">
        <v>449</v>
      </c>
      <c r="I531" s="1188">
        <v>12147</v>
      </c>
      <c r="J531" s="1187">
        <v>15500</v>
      </c>
      <c r="K531" s="1189"/>
      <c r="L531" s="1188"/>
      <c r="M531" s="97">
        <f t="shared" ref="M531:M543" si="117">ROUND(I531*J531,0)</f>
        <v>188278500</v>
      </c>
      <c r="N531" s="85" t="s">
        <v>282</v>
      </c>
      <c r="O531" s="85" t="s">
        <v>274</v>
      </c>
      <c r="P531" s="84" t="str">
        <f>IF(AND('331-CT'!$E$7=TH!H531,OR(N531="331",O531="331")),"x","")</f>
        <v/>
      </c>
      <c r="Q531" s="84" t="str">
        <f>IF(AND(B531='111'!$L$11,OR($N531=$Q$7,$O531=$Q$7)),"x","")</f>
        <v/>
      </c>
      <c r="R531" s="84" t="str">
        <f>IF(AND($N531=$Q$7,$B531&lt;'111'!$L$11),"x","")</f>
        <v/>
      </c>
      <c r="S531" s="84" t="str">
        <f>IF(AND($O531=$Q$7,$B531&lt;'111'!$L$11),"x","")</f>
        <v/>
      </c>
      <c r="T531" s="84" t="str">
        <f>IF(ISERROR(FIND('112'!$M$9,G531,1)),"",IF((AND(FIND('112'!$M$9,G531,1)&gt;=1,B531='112'!$K$9,OR($N531='112'!$I$6,$O531='112'!$I$6))),"x",""))</f>
        <v/>
      </c>
      <c r="U531" s="84" t="str">
        <f>IF(ISERROR(FIND('112'!$M$9,G531,1)),"",IF((AND(LEFT(G531,2)=LEFT('112'!$M$9,2),B531&lt;'112'!$K$9,$N531='112'!$I$6)),"x",""))</f>
        <v/>
      </c>
      <c r="V531" s="84" t="str">
        <f>IF(ISERROR(FIND('112'!$M$9,G531,1)),"",IF((AND(RIGHT(G531,2)=RIGHT('112'!$M$9,2),B531&lt;'112'!$K$9,$O531='112'!$I$6)),"x",""))</f>
        <v/>
      </c>
      <c r="W531" s="84" t="str">
        <f>IF(AND('341-CT'!$H$9=H531,OR(LEFT(N531,3)=$W$7,LEFT(O531,3)=$W$7)),"x","")</f>
        <v/>
      </c>
      <c r="X531" s="84" t="str">
        <f>IF(OR(TH!N531=TH!$X$7,O531=TH!$X$7),"x","")</f>
        <v/>
      </c>
      <c r="Y531" s="84" t="str">
        <f>IF(AND(OR(N531="131",O531="131"),H531='131-CT'!$H$9),"x","")</f>
        <v/>
      </c>
      <c r="Z531" s="84"/>
      <c r="AA531" s="84" t="str">
        <f>IF(AND(MONTH(E531)='IN-NX'!$J$5,'IN-NX'!$D$7=D531),"x","")</f>
        <v/>
      </c>
      <c r="AB531" s="84" t="str">
        <f>IF(AND(OR(LEFT(TH!N531,2)="15",LEFT(TH!O531,2)="15"),LEFT(TH!O531,3)&lt;&gt;"111",'152-CT'!$J$8=TH!F531),"x","")</f>
        <v/>
      </c>
      <c r="AC531" s="84" t="str">
        <f>IF(AND(OR(LEFT(TH!N531,2)="15",LEFT(TH!O531,2)="15"),TK!$E$7=TH!F531),"x","")</f>
        <v/>
      </c>
      <c r="AD531" s="84" t="str">
        <f>IF(AND(N531="1521",MONTH(C531)='BK-NL'!$M$11),"x","")</f>
        <v/>
      </c>
    </row>
    <row r="532" spans="1:31" s="341" customFormat="1" ht="15.75" hidden="1" customHeight="1">
      <c r="A532" s="336" t="str">
        <f>IF(B532&lt;&gt;"",IF(AND(B532='IN-TC'!$S$4,OR(TH!N532="1111",TH!O532="1111")),TH!D532,""),"")</f>
        <v/>
      </c>
      <c r="B532" s="63">
        <f>IF(C532&lt;&gt;"",MONTH(C532),"")</f>
        <v>4</v>
      </c>
      <c r="C532" s="94">
        <f>E532</f>
        <v>42464</v>
      </c>
      <c r="D532" s="94" t="s">
        <v>692</v>
      </c>
      <c r="E532" s="94">
        <v>42464</v>
      </c>
      <c r="F532" s="95" t="s">
        <v>683</v>
      </c>
      <c r="G532" s="95"/>
      <c r="H532" s="96" t="s">
        <v>449</v>
      </c>
      <c r="I532" s="445">
        <v>9352</v>
      </c>
      <c r="J532" s="1187">
        <v>15500</v>
      </c>
      <c r="K532" s="436"/>
      <c r="L532" s="445"/>
      <c r="M532" s="97">
        <f t="shared" si="117"/>
        <v>144956000</v>
      </c>
      <c r="N532" s="85" t="s">
        <v>282</v>
      </c>
      <c r="O532" s="85" t="s">
        <v>274</v>
      </c>
      <c r="P532" s="84" t="str">
        <f>IF(AND('331-CT'!$E$7=TH!H532,OR(N532="331",O532="331")),"x","")</f>
        <v/>
      </c>
      <c r="Q532" s="84" t="str">
        <f>IF(AND(B532='111'!$L$11,OR($N532=$Q$7,$O532=$Q$7)),"x","")</f>
        <v/>
      </c>
      <c r="R532" s="84" t="str">
        <f>IF(AND($N532=$Q$7,$B532&lt;'111'!$L$11),"x","")</f>
        <v/>
      </c>
      <c r="S532" s="84" t="str">
        <f>IF(AND($O532=$Q$7,$B532&lt;'111'!$L$11),"x","")</f>
        <v/>
      </c>
      <c r="T532" s="84" t="str">
        <f>IF(ISERROR(FIND('112'!$M$9,G532,1)),"",IF((AND(FIND('112'!$M$9,G532,1)&gt;=1,B532='112'!$K$9,OR($N532='112'!$I$6,$O532='112'!$I$6))),"x",""))</f>
        <v/>
      </c>
      <c r="U532" s="84" t="str">
        <f>IF(ISERROR(FIND('112'!$M$9,G532,1)),"",IF((AND(LEFT(G532,2)=LEFT('112'!$M$9,2),B532&lt;'112'!$K$9,$N532='112'!$I$6)),"x",""))</f>
        <v/>
      </c>
      <c r="V532" s="84" t="str">
        <f>IF(ISERROR(FIND('112'!$M$9,G532,1)),"",IF((AND(RIGHT(G532,2)=RIGHT('112'!$M$9,2),B532&lt;'112'!$K$9,$O532='112'!$I$6)),"x",""))</f>
        <v/>
      </c>
      <c r="W532" s="84" t="str">
        <f>IF(AND('341-CT'!$H$9=H532,OR(LEFT(N532,3)=$W$7,LEFT(O532,3)=$W$7)),"x","")</f>
        <v/>
      </c>
      <c r="X532" s="84" t="str">
        <f>IF(OR(TH!N532=TH!$X$7,O532=TH!$X$7),"x","")</f>
        <v/>
      </c>
      <c r="Y532" s="84" t="str">
        <f>IF(AND(OR(N532="131",O532="131"),H532='131-CT'!$H$9),"x","")</f>
        <v/>
      </c>
      <c r="Z532" s="84"/>
      <c r="AA532" s="84" t="str">
        <f>IF(AND(MONTH(E532)='IN-NX'!$J$5,'IN-NX'!$D$7=D532),"x","")</f>
        <v/>
      </c>
      <c r="AB532" s="84" t="str">
        <f>IF(AND(OR(LEFT(TH!N532,2)="15",LEFT(TH!O532,2)="15"),LEFT(TH!O532,3)&lt;&gt;"111",'152-CT'!$J$8=TH!F532),"x","")</f>
        <v/>
      </c>
      <c r="AC532" s="84" t="str">
        <f>IF(AND(OR(LEFT(TH!N532,2)="15",LEFT(TH!O532,2)="15"),TK!$E$7=TH!F532),"x","")</f>
        <v/>
      </c>
      <c r="AD532" s="84" t="str">
        <f>IF(AND(N532="1521",MONTH(C532)='BK-NL'!$M$11),"x","")</f>
        <v/>
      </c>
    </row>
    <row r="533" spans="1:31" s="341" customFormat="1" ht="15.75" hidden="1" customHeight="1">
      <c r="A533" s="336" t="str">
        <f>IF(B533&lt;&gt;"",IF(AND(B533='IN-TC'!$S$4,OR(TH!N533="1111",TH!O533="1111")),TH!D533,""),"")</f>
        <v/>
      </c>
      <c r="B533" s="63">
        <f t="shared" si="116"/>
        <v>4</v>
      </c>
      <c r="C533" s="94">
        <f>E533</f>
        <v>42470</v>
      </c>
      <c r="D533" s="94" t="s">
        <v>693</v>
      </c>
      <c r="E533" s="94">
        <v>42470</v>
      </c>
      <c r="F533" s="95" t="s">
        <v>683</v>
      </c>
      <c r="G533" s="95"/>
      <c r="H533" s="96" t="s">
        <v>449</v>
      </c>
      <c r="I533" s="445">
        <v>8901</v>
      </c>
      <c r="J533" s="1187">
        <v>15500</v>
      </c>
      <c r="K533" s="436"/>
      <c r="L533" s="445"/>
      <c r="M533" s="97">
        <f t="shared" si="117"/>
        <v>137965500</v>
      </c>
      <c r="N533" s="85" t="s">
        <v>282</v>
      </c>
      <c r="O533" s="85" t="s">
        <v>274</v>
      </c>
      <c r="P533" s="84" t="str">
        <f>IF(AND('331-CT'!$E$7=TH!H533,OR(N533="331",O533="331")),"x","")</f>
        <v/>
      </c>
      <c r="Q533" s="84" t="str">
        <f>IF(AND(B533='111'!$L$11,OR($N533=$Q$7,$O533=$Q$7)),"x","")</f>
        <v/>
      </c>
      <c r="R533" s="84" t="str">
        <f>IF(AND($N533=$Q$7,$B533&lt;'111'!$L$11),"x","")</f>
        <v/>
      </c>
      <c r="S533" s="84" t="str">
        <f>IF(AND($O533=$Q$7,$B533&lt;'111'!$L$11),"x","")</f>
        <v/>
      </c>
      <c r="T533" s="84" t="str">
        <f>IF(ISERROR(FIND('112'!$M$9,G533,1)),"",IF((AND(FIND('112'!$M$9,G533,1)&gt;=1,B533='112'!$K$9,OR($N533='112'!$I$6,$O533='112'!$I$6))),"x",""))</f>
        <v/>
      </c>
      <c r="U533" s="84" t="str">
        <f>IF(ISERROR(FIND('112'!$M$9,G533,1)),"",IF((AND(LEFT(G533,2)=LEFT('112'!$M$9,2),B533&lt;'112'!$K$9,$N533='112'!$I$6)),"x",""))</f>
        <v/>
      </c>
      <c r="V533" s="84" t="str">
        <f>IF(ISERROR(FIND('112'!$M$9,G533,1)),"",IF((AND(RIGHT(G533,2)=RIGHT('112'!$M$9,2),B533&lt;'112'!$K$9,$O533='112'!$I$6)),"x",""))</f>
        <v/>
      </c>
      <c r="W533" s="84" t="str">
        <f>IF(AND('341-CT'!$H$9=H533,OR(LEFT(N533,3)=$W$7,LEFT(O533,3)=$W$7)),"x","")</f>
        <v/>
      </c>
      <c r="X533" s="84" t="str">
        <f>IF(OR(TH!N533=TH!$X$7,O533=TH!$X$7),"x","")</f>
        <v/>
      </c>
      <c r="Y533" s="84" t="str">
        <f>IF(AND(OR(N533="131",O533="131"),H533='131-CT'!$H$9),"x","")</f>
        <v/>
      </c>
      <c r="Z533" s="84"/>
      <c r="AA533" s="84" t="str">
        <f>IF(AND(MONTH(E533)='IN-NX'!$J$5,'IN-NX'!$D$7=D533),"x","")</f>
        <v/>
      </c>
      <c r="AB533" s="84" t="str">
        <f>IF(AND(OR(LEFT(TH!N533,2)="15",LEFT(TH!O533,2)="15"),LEFT(TH!O533,3)&lt;&gt;"111",'152-CT'!$J$8=TH!F533),"x","")</f>
        <v/>
      </c>
      <c r="AC533" s="84" t="str">
        <f>IF(AND(OR(LEFT(TH!N533,2)="15",LEFT(TH!O533,2)="15"),TK!$E$7=TH!F533),"x","")</f>
        <v/>
      </c>
      <c r="AD533" s="84" t="str">
        <f>IF(AND(N533="1521",MONTH(C533)='BK-NL'!$M$11),"x","")</f>
        <v/>
      </c>
    </row>
    <row r="534" spans="1:31" ht="15.75" hidden="1" customHeight="1">
      <c r="A534" s="336" t="str">
        <f>IF(B534&lt;&gt;"",IF(AND(B534='IN-TC'!$S$4,OR(TH!N534="1111",TH!O534="1111")),TH!D534,""),"")</f>
        <v/>
      </c>
      <c r="B534" s="63">
        <f t="shared" si="116"/>
        <v>5</v>
      </c>
      <c r="C534" s="80">
        <f t="shared" ref="C534:C541" si="118">E534</f>
        <v>42491</v>
      </c>
      <c r="D534" s="80" t="s">
        <v>934</v>
      </c>
      <c r="E534" s="80">
        <v>42491</v>
      </c>
      <c r="F534" s="81" t="s">
        <v>684</v>
      </c>
      <c r="G534" s="81"/>
      <c r="H534" s="82" t="s">
        <v>438</v>
      </c>
      <c r="I534" s="437">
        <v>7186</v>
      </c>
      <c r="J534" s="438">
        <v>13000</v>
      </c>
      <c r="K534" s="428"/>
      <c r="L534" s="437"/>
      <c r="M534" s="83">
        <f t="shared" si="117"/>
        <v>93418000</v>
      </c>
      <c r="N534" s="84" t="s">
        <v>274</v>
      </c>
      <c r="O534" s="84" t="s">
        <v>8</v>
      </c>
      <c r="P534" s="84" t="str">
        <f>IF(AND('331-CT'!$E$7=TH!H534,OR(N534="331",O534="331")),"x","")</f>
        <v/>
      </c>
      <c r="Q534" s="84" t="str">
        <f>IF(AND(B534='111'!$L$11,OR($N534=$Q$7,$O534=$Q$7)),"x","")</f>
        <v/>
      </c>
      <c r="R534" s="84" t="str">
        <f>IF(AND($N534=$Q$7,$B534&lt;'111'!$L$11),"x","")</f>
        <v/>
      </c>
      <c r="S534" s="84" t="str">
        <f>IF(AND($O534=$Q$7,$B534&lt;'111'!$L$11),"x","")</f>
        <v/>
      </c>
      <c r="T534" s="84" t="str">
        <f>IF(ISERROR(FIND('112'!$M$9,G534,1)),"",IF((AND(FIND('112'!$M$9,G534,1)&gt;=1,B534='112'!$K$9,OR($N534='112'!$I$6,$O534='112'!$I$6))),"x",""))</f>
        <v/>
      </c>
      <c r="U534" s="84" t="str">
        <f>IF(ISERROR(FIND('112'!$M$9,G534,1)),"",IF((AND(LEFT(G534,2)=LEFT('112'!$M$9,2),B534&lt;'112'!$K$9,$N534='112'!$I$6)),"x",""))</f>
        <v/>
      </c>
      <c r="V534" s="84" t="str">
        <f>IF(ISERROR(FIND('112'!$M$9,G534,1)),"",IF((AND(RIGHT(G534,2)=RIGHT('112'!$M$9,2),B534&lt;'112'!$K$9,$O534='112'!$I$6)),"x",""))</f>
        <v/>
      </c>
      <c r="W534" s="84" t="str">
        <f>IF(AND('341-CT'!$H$9=H534,OR(LEFT(N534,3)=$W$7,LEFT(O534,3)=$W$7)),"x","")</f>
        <v/>
      </c>
      <c r="X534" s="84" t="str">
        <f>IF(OR(TH!N534=TH!$X$7,O534=TH!$X$7),"x","")</f>
        <v/>
      </c>
      <c r="Y534" s="84" t="str">
        <f>IF(AND(OR(N534="131",O534="131"),H534='131-CT'!$H$9),"x","")</f>
        <v/>
      </c>
      <c r="Z534" s="84"/>
      <c r="AA534" s="84" t="str">
        <f>IF(AND(MONTH(E534)='IN-NX'!$J$5,'IN-NX'!$D$7=D534),"x","")</f>
        <v/>
      </c>
      <c r="AB534" s="84" t="str">
        <f>IF(AND(OR(LEFT(TH!N534,2)="15",LEFT(TH!O534,2)="15"),LEFT(TH!O534,3)&lt;&gt;"111",'152-CT'!$J$8=TH!F534),"x","")</f>
        <v/>
      </c>
      <c r="AC534" s="84" t="str">
        <f>IF(AND(OR(LEFT(TH!N534,2)="15",LEFT(TH!O534,2)="15"),TK!$E$7=TH!F534),"x","")</f>
        <v/>
      </c>
      <c r="AD534" s="84" t="str">
        <f>IF(AND(N534="1521",MONTH(C534)='BK-NL'!$M$11),"x","")</f>
        <v/>
      </c>
      <c r="AE534" s="1146" t="str">
        <f t="shared" ref="AE534:AE539" si="119">IF(H534&lt;&gt;VLOOKUP(H534,DSKH,1,0),"","x")</f>
        <v>x</v>
      </c>
    </row>
    <row r="535" spans="1:31" ht="15.75" hidden="1" customHeight="1">
      <c r="A535" s="336" t="str">
        <f>IF(B535&lt;&gt;"",IF(AND(B535='IN-TC'!$S$4,OR(TH!N535="1111",TH!O535="1111")),TH!D535,""),"")</f>
        <v/>
      </c>
      <c r="B535" s="63">
        <f t="shared" si="116"/>
        <v>5</v>
      </c>
      <c r="C535" s="80">
        <f t="shared" si="118"/>
        <v>42491</v>
      </c>
      <c r="D535" s="80" t="s">
        <v>935</v>
      </c>
      <c r="E535" s="80">
        <v>42491</v>
      </c>
      <c r="F535" s="81" t="s">
        <v>684</v>
      </c>
      <c r="G535" s="81"/>
      <c r="H535" s="82" t="s">
        <v>433</v>
      </c>
      <c r="I535" s="437">
        <v>7290</v>
      </c>
      <c r="J535" s="438">
        <v>13000</v>
      </c>
      <c r="K535" s="428"/>
      <c r="L535" s="437"/>
      <c r="M535" s="83">
        <f t="shared" si="117"/>
        <v>94770000</v>
      </c>
      <c r="N535" s="84" t="s">
        <v>274</v>
      </c>
      <c r="O535" s="84" t="s">
        <v>8</v>
      </c>
      <c r="P535" s="84" t="str">
        <f>IF(AND('331-CT'!$E$7=TH!H535,OR(N535="331",O535="331")),"x","")</f>
        <v/>
      </c>
      <c r="Q535" s="84" t="str">
        <f>IF(AND(B535='111'!$L$11,OR($N535=$Q$7,$O535=$Q$7)),"x","")</f>
        <v/>
      </c>
      <c r="R535" s="84" t="str">
        <f>IF(AND($N535=$Q$7,$B535&lt;'111'!$L$11),"x","")</f>
        <v/>
      </c>
      <c r="S535" s="84" t="str">
        <f>IF(AND($O535=$Q$7,$B535&lt;'111'!$L$11),"x","")</f>
        <v/>
      </c>
      <c r="T535" s="84" t="str">
        <f>IF(ISERROR(FIND('112'!$M$9,G535,1)),"",IF((AND(FIND('112'!$M$9,G535,1)&gt;=1,B535='112'!$K$9,OR($N535='112'!$I$6,$O535='112'!$I$6))),"x",""))</f>
        <v/>
      </c>
      <c r="U535" s="84" t="str">
        <f>IF(ISERROR(FIND('112'!$M$9,G535,1)),"",IF((AND(LEFT(G535,2)=LEFT('112'!$M$9,2),B535&lt;'112'!$K$9,$N535='112'!$I$6)),"x",""))</f>
        <v/>
      </c>
      <c r="V535" s="84" t="str">
        <f>IF(ISERROR(FIND('112'!$M$9,G535,1)),"",IF((AND(RIGHT(G535,2)=RIGHT('112'!$M$9,2),B535&lt;'112'!$K$9,$O535='112'!$I$6)),"x",""))</f>
        <v/>
      </c>
      <c r="W535" s="84" t="str">
        <f>IF(AND('341-CT'!$H$9=H535,OR(LEFT(N535,3)=$W$7,LEFT(O535,3)=$W$7)),"x","")</f>
        <v/>
      </c>
      <c r="X535" s="84" t="str">
        <f>IF(OR(TH!N535=TH!$X$7,O535=TH!$X$7),"x","")</f>
        <v/>
      </c>
      <c r="Y535" s="84" t="str">
        <f>IF(AND(OR(N535="131",O535="131"),H535='131-CT'!$H$9),"x","")</f>
        <v/>
      </c>
      <c r="Z535" s="84"/>
      <c r="AA535" s="84" t="str">
        <f>IF(AND(MONTH(E535)='IN-NX'!$J$5,'IN-NX'!$D$7=D535),"x","")</f>
        <v/>
      </c>
      <c r="AB535" s="84" t="str">
        <f>IF(AND(OR(LEFT(TH!N535,2)="15",LEFT(TH!O535,2)="15"),LEFT(TH!O535,3)&lt;&gt;"111",'152-CT'!$J$8=TH!F535),"x","")</f>
        <v/>
      </c>
      <c r="AC535" s="84" t="str">
        <f>IF(AND(OR(LEFT(TH!N535,2)="15",LEFT(TH!O535,2)="15"),TK!$E$7=TH!F535),"x","")</f>
        <v/>
      </c>
      <c r="AD535" s="84" t="str">
        <f>IF(AND(N535="1521",MONTH(C535)='BK-NL'!$M$11),"x","")</f>
        <v/>
      </c>
      <c r="AE535" s="1146" t="str">
        <f t="shared" si="119"/>
        <v>x</v>
      </c>
    </row>
    <row r="536" spans="1:31" ht="15.75" hidden="1" customHeight="1">
      <c r="A536" s="336" t="str">
        <f>IF(B536&lt;&gt;"",IF(AND(B536='IN-TC'!$S$4,OR(TH!N536="1111",TH!O536="1111")),TH!D536,""),"")</f>
        <v/>
      </c>
      <c r="B536" s="63">
        <f t="shared" si="116"/>
        <v>5</v>
      </c>
      <c r="C536" s="80">
        <f t="shared" si="118"/>
        <v>42491</v>
      </c>
      <c r="D536" s="80" t="s">
        <v>936</v>
      </c>
      <c r="E536" s="80">
        <v>42491</v>
      </c>
      <c r="F536" s="81" t="s">
        <v>684</v>
      </c>
      <c r="G536" s="81"/>
      <c r="H536" s="82" t="s">
        <v>431</v>
      </c>
      <c r="I536" s="437">
        <v>7589</v>
      </c>
      <c r="J536" s="438">
        <v>13000</v>
      </c>
      <c r="K536" s="428"/>
      <c r="L536" s="437"/>
      <c r="M536" s="83">
        <f t="shared" si="117"/>
        <v>98657000</v>
      </c>
      <c r="N536" s="84" t="s">
        <v>274</v>
      </c>
      <c r="O536" s="84" t="s">
        <v>8</v>
      </c>
      <c r="P536" s="84" t="str">
        <f>IF(AND('331-CT'!$E$7=TH!H536,OR(N536="331",O536="331")),"x","")</f>
        <v/>
      </c>
      <c r="Q536" s="84" t="str">
        <f>IF(AND(B536='111'!$L$11,OR($N536=$Q$7,$O536=$Q$7)),"x","")</f>
        <v/>
      </c>
      <c r="R536" s="84" t="str">
        <f>IF(AND($N536=$Q$7,$B536&lt;'111'!$L$11),"x","")</f>
        <v/>
      </c>
      <c r="S536" s="84" t="str">
        <f>IF(AND($O536=$Q$7,$B536&lt;'111'!$L$11),"x","")</f>
        <v/>
      </c>
      <c r="T536" s="84" t="str">
        <f>IF(ISERROR(FIND('112'!$M$9,G536,1)),"",IF((AND(FIND('112'!$M$9,G536,1)&gt;=1,B536='112'!$K$9,OR($N536='112'!$I$6,$O536='112'!$I$6))),"x",""))</f>
        <v/>
      </c>
      <c r="U536" s="84" t="str">
        <f>IF(ISERROR(FIND('112'!$M$9,G536,1)),"",IF((AND(LEFT(G536,2)=LEFT('112'!$M$9,2),B536&lt;'112'!$K$9,$N536='112'!$I$6)),"x",""))</f>
        <v/>
      </c>
      <c r="V536" s="84" t="str">
        <f>IF(ISERROR(FIND('112'!$M$9,G536,1)),"",IF((AND(RIGHT(G536,2)=RIGHT('112'!$M$9,2),B536&lt;'112'!$K$9,$O536='112'!$I$6)),"x",""))</f>
        <v/>
      </c>
      <c r="W536" s="84" t="str">
        <f>IF(AND('341-CT'!$H$9=H536,OR(LEFT(N536,3)=$W$7,LEFT(O536,3)=$W$7)),"x","")</f>
        <v/>
      </c>
      <c r="X536" s="84" t="str">
        <f>IF(OR(TH!N536=TH!$X$7,O536=TH!$X$7),"x","")</f>
        <v/>
      </c>
      <c r="Y536" s="84" t="str">
        <f>IF(AND(OR(N536="131",O536="131"),H536='131-CT'!$H$9),"x","")</f>
        <v/>
      </c>
      <c r="Z536" s="84"/>
      <c r="AA536" s="84" t="str">
        <f>IF(AND(MONTH(E536)='IN-NX'!$J$5,'IN-NX'!$D$7=D536),"x","")</f>
        <v/>
      </c>
      <c r="AB536" s="84" t="str">
        <f>IF(AND(OR(LEFT(TH!N536,2)="15",LEFT(TH!O536,2)="15"),LEFT(TH!O536,3)&lt;&gt;"111",'152-CT'!$J$8=TH!F536),"x","")</f>
        <v/>
      </c>
      <c r="AC536" s="84" t="str">
        <f>IF(AND(OR(LEFT(TH!N536,2)="15",LEFT(TH!O536,2)="15"),TK!$E$7=TH!F536),"x","")</f>
        <v/>
      </c>
      <c r="AD536" s="84" t="str">
        <f>IF(AND(N536="1521",MONTH(C536)='BK-NL'!$M$11),"x","")</f>
        <v/>
      </c>
      <c r="AE536" s="1146" t="str">
        <f t="shared" si="119"/>
        <v>x</v>
      </c>
    </row>
    <row r="537" spans="1:31" ht="15.75" hidden="1" customHeight="1">
      <c r="A537" s="336" t="str">
        <f>IF(B537&lt;&gt;"",IF(AND(B537='IN-TC'!$S$4,OR(TH!N537="1111",TH!O537="1111")),TH!D537,""),"")</f>
        <v/>
      </c>
      <c r="B537" s="63">
        <f t="shared" si="116"/>
        <v>5</v>
      </c>
      <c r="C537" s="80">
        <f t="shared" si="118"/>
        <v>42497</v>
      </c>
      <c r="D537" s="80" t="s">
        <v>951</v>
      </c>
      <c r="E537" s="80">
        <v>42497</v>
      </c>
      <c r="F537" s="81" t="s">
        <v>684</v>
      </c>
      <c r="G537" s="81"/>
      <c r="H537" s="82" t="s">
        <v>433</v>
      </c>
      <c r="I537" s="437">
        <v>8140</v>
      </c>
      <c r="J537" s="438">
        <v>13000</v>
      </c>
      <c r="K537" s="428"/>
      <c r="L537" s="437"/>
      <c r="M537" s="83">
        <f t="shared" si="117"/>
        <v>105820000</v>
      </c>
      <c r="N537" s="84" t="s">
        <v>274</v>
      </c>
      <c r="O537" s="84" t="s">
        <v>8</v>
      </c>
      <c r="P537" s="84" t="str">
        <f>IF(AND('331-CT'!$E$7=TH!H537,OR(N537="331",O537="331")),"x","")</f>
        <v/>
      </c>
      <c r="Q537" s="84" t="str">
        <f>IF(AND(B537='111'!$L$11,OR($N537=$Q$7,$O537=$Q$7)),"x","")</f>
        <v/>
      </c>
      <c r="R537" s="84" t="str">
        <f>IF(AND($N537=$Q$7,$B537&lt;'111'!$L$11),"x","")</f>
        <v/>
      </c>
      <c r="S537" s="84" t="str">
        <f>IF(AND($O537=$Q$7,$B537&lt;'111'!$L$11),"x","")</f>
        <v/>
      </c>
      <c r="T537" s="84" t="str">
        <f>IF(ISERROR(FIND('112'!$M$9,G537,1)),"",IF((AND(FIND('112'!$M$9,G537,1)&gt;=1,B537='112'!$K$9,OR($N537='112'!$I$6,$O537='112'!$I$6))),"x",""))</f>
        <v/>
      </c>
      <c r="U537" s="84" t="str">
        <f>IF(ISERROR(FIND('112'!$M$9,G537,1)),"",IF((AND(LEFT(G537,2)=LEFT('112'!$M$9,2),B537&lt;'112'!$K$9,$N537='112'!$I$6)),"x",""))</f>
        <v/>
      </c>
      <c r="V537" s="84" t="str">
        <f>IF(ISERROR(FIND('112'!$M$9,G537,1)),"",IF((AND(RIGHT(G537,2)=RIGHT('112'!$M$9,2),B537&lt;'112'!$K$9,$O537='112'!$I$6)),"x",""))</f>
        <v/>
      </c>
      <c r="W537" s="84" t="str">
        <f>IF(AND('341-CT'!$H$9=H537,OR(LEFT(N537,3)=$W$7,LEFT(O537,3)=$W$7)),"x","")</f>
        <v/>
      </c>
      <c r="X537" s="84" t="str">
        <f>IF(OR(TH!N537=TH!$X$7,O537=TH!$X$7),"x","")</f>
        <v/>
      </c>
      <c r="Y537" s="84" t="str">
        <f>IF(AND(OR(N537="131",O537="131"),H537='131-CT'!$H$9),"x","")</f>
        <v/>
      </c>
      <c r="Z537" s="84"/>
      <c r="AA537" s="84" t="str">
        <f>IF(AND(MONTH(E537)='IN-NX'!$J$5,'IN-NX'!$D$7=D537),"x","")</f>
        <v/>
      </c>
      <c r="AB537" s="84" t="str">
        <f>IF(AND(OR(LEFT(TH!N537,2)="15",LEFT(TH!O537,2)="15"),LEFT(TH!O537,3)&lt;&gt;"111",'152-CT'!$J$8=TH!F537),"x","")</f>
        <v/>
      </c>
      <c r="AC537" s="84" t="str">
        <f>IF(AND(OR(LEFT(TH!N537,2)="15",LEFT(TH!O537,2)="15"),TK!$E$7=TH!F537),"x","")</f>
        <v/>
      </c>
      <c r="AD537" s="84" t="str">
        <f>IF(AND(N537="1521",MONTH(C537)='BK-NL'!$M$11),"x","")</f>
        <v/>
      </c>
      <c r="AE537" s="1146" t="str">
        <f t="shared" si="119"/>
        <v>x</v>
      </c>
    </row>
    <row r="538" spans="1:31" ht="15.75" hidden="1" customHeight="1">
      <c r="A538" s="336" t="str">
        <f>IF(B538&lt;&gt;"",IF(AND(B538='IN-TC'!$S$4,OR(TH!N538="1111",TH!O538="1111")),TH!D538,""),"")</f>
        <v/>
      </c>
      <c r="B538" s="63">
        <f t="shared" si="116"/>
        <v>5</v>
      </c>
      <c r="C538" s="80">
        <f t="shared" si="118"/>
        <v>42497</v>
      </c>
      <c r="D538" s="80" t="s">
        <v>952</v>
      </c>
      <c r="E538" s="80">
        <v>42497</v>
      </c>
      <c r="F538" s="81" t="s">
        <v>684</v>
      </c>
      <c r="G538" s="81"/>
      <c r="H538" s="82" t="s">
        <v>438</v>
      </c>
      <c r="I538" s="437">
        <v>7948</v>
      </c>
      <c r="J538" s="438">
        <v>13000</v>
      </c>
      <c r="K538" s="428"/>
      <c r="L538" s="437"/>
      <c r="M538" s="83">
        <f t="shared" si="117"/>
        <v>103324000</v>
      </c>
      <c r="N538" s="84" t="s">
        <v>274</v>
      </c>
      <c r="O538" s="84" t="s">
        <v>8</v>
      </c>
      <c r="P538" s="84" t="str">
        <f>IF(AND('331-CT'!$E$7=TH!H538,OR(N538="331",O538="331")),"x","")</f>
        <v/>
      </c>
      <c r="Q538" s="84" t="str">
        <f>IF(AND(B538='111'!$L$11,OR($N538=$Q$7,$O538=$Q$7)),"x","")</f>
        <v/>
      </c>
      <c r="R538" s="84" t="str">
        <f>IF(AND($N538=$Q$7,$B538&lt;'111'!$L$11),"x","")</f>
        <v/>
      </c>
      <c r="S538" s="84" t="str">
        <f>IF(AND($O538=$Q$7,$B538&lt;'111'!$L$11),"x","")</f>
        <v/>
      </c>
      <c r="T538" s="84" t="str">
        <f>IF(ISERROR(FIND('112'!$M$9,G538,1)),"",IF((AND(FIND('112'!$M$9,G538,1)&gt;=1,B538='112'!$K$9,OR($N538='112'!$I$6,$O538='112'!$I$6))),"x",""))</f>
        <v/>
      </c>
      <c r="U538" s="84" t="str">
        <f>IF(ISERROR(FIND('112'!$M$9,G538,1)),"",IF((AND(LEFT(G538,2)=LEFT('112'!$M$9,2),B538&lt;'112'!$K$9,$N538='112'!$I$6)),"x",""))</f>
        <v/>
      </c>
      <c r="V538" s="84" t="str">
        <f>IF(ISERROR(FIND('112'!$M$9,G538,1)),"",IF((AND(RIGHT(G538,2)=RIGHT('112'!$M$9,2),B538&lt;'112'!$K$9,$O538='112'!$I$6)),"x",""))</f>
        <v/>
      </c>
      <c r="W538" s="84" t="str">
        <f>IF(AND('341-CT'!$H$9=H538,OR(LEFT(N538,3)=$W$7,LEFT(O538,3)=$W$7)),"x","")</f>
        <v/>
      </c>
      <c r="X538" s="84" t="str">
        <f>IF(OR(TH!N538=TH!$X$7,O538=TH!$X$7),"x","")</f>
        <v/>
      </c>
      <c r="Y538" s="84" t="str">
        <f>IF(AND(OR(N538="131",O538="131"),H538='131-CT'!$H$9),"x","")</f>
        <v/>
      </c>
      <c r="Z538" s="84"/>
      <c r="AA538" s="84" t="str">
        <f>IF(AND(MONTH(E538)='IN-NX'!$J$5,'IN-NX'!$D$7=D538),"x","")</f>
        <v/>
      </c>
      <c r="AB538" s="84" t="str">
        <f>IF(AND(OR(LEFT(TH!N538,2)="15",LEFT(TH!O538,2)="15"),LEFT(TH!O538,3)&lt;&gt;"111",'152-CT'!$J$8=TH!F538),"x","")</f>
        <v/>
      </c>
      <c r="AC538" s="84" t="str">
        <f>IF(AND(OR(LEFT(TH!N538,2)="15",LEFT(TH!O538,2)="15"),TK!$E$7=TH!F538),"x","")</f>
        <v/>
      </c>
      <c r="AD538" s="84" t="str">
        <f>IF(AND(N538="1521",MONTH(C538)='BK-NL'!$M$11),"x","")</f>
        <v/>
      </c>
      <c r="AE538" s="1146" t="str">
        <f t="shared" si="119"/>
        <v>x</v>
      </c>
    </row>
    <row r="539" spans="1:31" ht="15.75" hidden="1" customHeight="1">
      <c r="A539" s="336" t="str">
        <f>IF(B539&lt;&gt;"",IF(AND(B539='IN-TC'!$S$4,OR(TH!N539="1111",TH!O539="1111")),TH!D539,""),"")</f>
        <v/>
      </c>
      <c r="B539" s="63">
        <f t="shared" si="116"/>
        <v>5</v>
      </c>
      <c r="C539" s="80">
        <f t="shared" si="118"/>
        <v>42497</v>
      </c>
      <c r="D539" s="80" t="s">
        <v>953</v>
      </c>
      <c r="E539" s="80">
        <v>42497</v>
      </c>
      <c r="F539" s="81" t="s">
        <v>684</v>
      </c>
      <c r="G539" s="81"/>
      <c r="H539" s="82" t="s">
        <v>442</v>
      </c>
      <c r="I539" s="437">
        <v>7387</v>
      </c>
      <c r="J539" s="438">
        <v>13000</v>
      </c>
      <c r="K539" s="428"/>
      <c r="L539" s="437"/>
      <c r="M539" s="83">
        <f t="shared" si="117"/>
        <v>96031000</v>
      </c>
      <c r="N539" s="84" t="s">
        <v>274</v>
      </c>
      <c r="O539" s="84" t="s">
        <v>8</v>
      </c>
      <c r="P539" s="84" t="str">
        <f>IF(AND('331-CT'!$E$7=TH!H539,OR(N539="331",O539="331")),"x","")</f>
        <v/>
      </c>
      <c r="Q539" s="84" t="str">
        <f>IF(AND(B539='111'!$L$11,OR($N539=$Q$7,$O539=$Q$7)),"x","")</f>
        <v/>
      </c>
      <c r="R539" s="84" t="str">
        <f>IF(AND($N539=$Q$7,$B539&lt;'111'!$L$11),"x","")</f>
        <v/>
      </c>
      <c r="S539" s="84" t="str">
        <f>IF(AND($O539=$Q$7,$B539&lt;'111'!$L$11),"x","")</f>
        <v/>
      </c>
      <c r="T539" s="84" t="str">
        <f>IF(ISERROR(FIND('112'!$M$9,G539,1)),"",IF((AND(FIND('112'!$M$9,G539,1)&gt;=1,B539='112'!$K$9,OR($N539='112'!$I$6,$O539='112'!$I$6))),"x",""))</f>
        <v/>
      </c>
      <c r="U539" s="84" t="str">
        <f>IF(ISERROR(FIND('112'!$M$9,G539,1)),"",IF((AND(LEFT(G539,2)=LEFT('112'!$M$9,2),B539&lt;'112'!$K$9,$N539='112'!$I$6)),"x",""))</f>
        <v/>
      </c>
      <c r="V539" s="84" t="str">
        <f>IF(ISERROR(FIND('112'!$M$9,G539,1)),"",IF((AND(RIGHT(G539,2)=RIGHT('112'!$M$9,2),B539&lt;'112'!$K$9,$O539='112'!$I$6)),"x",""))</f>
        <v/>
      </c>
      <c r="W539" s="84" t="str">
        <f>IF(AND('341-CT'!$H$9=H539,OR(LEFT(N539,3)=$W$7,LEFT(O539,3)=$W$7)),"x","")</f>
        <v/>
      </c>
      <c r="X539" s="84" t="str">
        <f>IF(OR(TH!N539=TH!$X$7,O539=TH!$X$7),"x","")</f>
        <v/>
      </c>
      <c r="Y539" s="84" t="str">
        <f>IF(AND(OR(N539="131",O539="131"),H539='131-CT'!$H$9),"x","")</f>
        <v/>
      </c>
      <c r="Z539" s="84"/>
      <c r="AA539" s="84" t="str">
        <f>IF(AND(MONTH(E539)='IN-NX'!$J$5,'IN-NX'!$D$7=D539),"x","")</f>
        <v/>
      </c>
      <c r="AB539" s="84" t="str">
        <f>IF(AND(OR(LEFT(TH!N539,2)="15",LEFT(TH!O539,2)="15"),LEFT(TH!O539,3)&lt;&gt;"111",'152-CT'!$J$8=TH!F539),"x","")</f>
        <v/>
      </c>
      <c r="AC539" s="84" t="str">
        <f>IF(AND(OR(LEFT(TH!N539,2)="15",LEFT(TH!O539,2)="15"),TK!$E$7=TH!F539),"x","")</f>
        <v/>
      </c>
      <c r="AD539" s="84" t="str">
        <f>IF(AND(N539="1521",MONTH(C539)='BK-NL'!$M$11),"x","")</f>
        <v/>
      </c>
      <c r="AE539" s="1146" t="str">
        <f t="shared" si="119"/>
        <v>x</v>
      </c>
    </row>
    <row r="540" spans="1:31" s="341" customFormat="1" ht="15.75" hidden="1" customHeight="1">
      <c r="A540" s="336" t="str">
        <f>IF(B540&lt;&gt;"",IF(AND(B540='IN-TC'!$S$4,OR(TH!N540="1111",TH!O540="1111")),TH!D540,""),"")</f>
        <v/>
      </c>
      <c r="B540" s="63">
        <f t="shared" si="116"/>
        <v>5</v>
      </c>
      <c r="C540" s="80">
        <f t="shared" si="118"/>
        <v>42491</v>
      </c>
      <c r="D540" s="94" t="s">
        <v>685</v>
      </c>
      <c r="E540" s="94">
        <v>42491</v>
      </c>
      <c r="F540" s="95" t="s">
        <v>684</v>
      </c>
      <c r="G540" s="95"/>
      <c r="H540" s="96" t="s">
        <v>449</v>
      </c>
      <c r="I540" s="1188">
        <v>22065</v>
      </c>
      <c r="J540" s="1187">
        <v>13000</v>
      </c>
      <c r="K540" s="1189"/>
      <c r="L540" s="1188"/>
      <c r="M540" s="97">
        <f t="shared" si="117"/>
        <v>286845000</v>
      </c>
      <c r="N540" s="85" t="s">
        <v>282</v>
      </c>
      <c r="O540" s="85" t="s">
        <v>274</v>
      </c>
      <c r="P540" s="84" t="str">
        <f>IF(AND('331-CT'!$E$7=TH!H540,OR(N540="331",O540="331")),"x","")</f>
        <v/>
      </c>
      <c r="Q540" s="84" t="str">
        <f>IF(AND(B540='111'!$L$11,OR($N540=$Q$7,$O540=$Q$7)),"x","")</f>
        <v/>
      </c>
      <c r="R540" s="84" t="str">
        <f>IF(AND($N540=$Q$7,$B540&lt;'111'!$L$11),"x","")</f>
        <v/>
      </c>
      <c r="S540" s="84" t="str">
        <f>IF(AND($O540=$Q$7,$B540&lt;'111'!$L$11),"x","")</f>
        <v/>
      </c>
      <c r="T540" s="84" t="str">
        <f>IF(ISERROR(FIND('112'!$M$9,G540,1)),"",IF((AND(FIND('112'!$M$9,G540,1)&gt;=1,B540='112'!$K$9,OR($N540='112'!$I$6,$O540='112'!$I$6))),"x",""))</f>
        <v/>
      </c>
      <c r="U540" s="84" t="str">
        <f>IF(ISERROR(FIND('112'!$M$9,G540,1)),"",IF((AND(LEFT(G540,2)=LEFT('112'!$M$9,2),B540&lt;'112'!$K$9,$N540='112'!$I$6)),"x",""))</f>
        <v/>
      </c>
      <c r="V540" s="84" t="str">
        <f>IF(ISERROR(FIND('112'!$M$9,G540,1)),"",IF((AND(RIGHT(G540,2)=RIGHT('112'!$M$9,2),B540&lt;'112'!$K$9,$O540='112'!$I$6)),"x",""))</f>
        <v/>
      </c>
      <c r="W540" s="84" t="str">
        <f>IF(AND('341-CT'!$H$9=H540,OR(LEFT(N540,3)=$W$7,LEFT(O540,3)=$W$7)),"x","")</f>
        <v/>
      </c>
      <c r="X540" s="84" t="str">
        <f>IF(OR(TH!N540=TH!$X$7,O540=TH!$X$7),"x","")</f>
        <v/>
      </c>
      <c r="Y540" s="84" t="str">
        <f>IF(AND(OR(N540="131",O540="131"),H540='131-CT'!$H$9),"x","")</f>
        <v/>
      </c>
      <c r="Z540" s="84"/>
      <c r="AA540" s="84" t="str">
        <f>IF(AND(MONTH(E540)='IN-NX'!$J$5,'IN-NX'!$D$7=D540),"x","")</f>
        <v/>
      </c>
      <c r="AB540" s="84" t="str">
        <f>IF(AND(OR(LEFT(TH!N540,2)="15",LEFT(TH!O540,2)="15"),LEFT(TH!O540,3)&lt;&gt;"111",'152-CT'!$J$8=TH!F540),"x","")</f>
        <v/>
      </c>
      <c r="AC540" s="84" t="str">
        <f>IF(AND(OR(LEFT(TH!N540,2)="15",LEFT(TH!O540,2)="15"),TK!$E$7=TH!F540),"x","")</f>
        <v/>
      </c>
      <c r="AD540" s="84" t="str">
        <f>IF(AND(N540="1521",MONTH(C540)='BK-NL'!$M$11),"x","")</f>
        <v/>
      </c>
    </row>
    <row r="541" spans="1:31" s="341" customFormat="1" ht="15.75" hidden="1" customHeight="1">
      <c r="A541" s="336" t="str">
        <f>IF(B541&lt;&gt;"",IF(AND(B541='IN-TC'!$S$4,OR(TH!N541="1111",TH!O541="1111")),TH!D541,""),"")</f>
        <v/>
      </c>
      <c r="B541" s="63">
        <f t="shared" si="116"/>
        <v>5</v>
      </c>
      <c r="C541" s="80">
        <f t="shared" si="118"/>
        <v>42497</v>
      </c>
      <c r="D541" s="94" t="s">
        <v>693</v>
      </c>
      <c r="E541" s="94">
        <v>42497</v>
      </c>
      <c r="F541" s="95" t="s">
        <v>684</v>
      </c>
      <c r="G541" s="1148"/>
      <c r="H541" s="96" t="s">
        <v>449</v>
      </c>
      <c r="I541" s="1188">
        <v>23475</v>
      </c>
      <c r="J541" s="1187">
        <v>13000</v>
      </c>
      <c r="K541" s="1189"/>
      <c r="L541" s="1188"/>
      <c r="M541" s="97">
        <f t="shared" si="117"/>
        <v>305175000</v>
      </c>
      <c r="N541" s="85" t="s">
        <v>282</v>
      </c>
      <c r="O541" s="85" t="s">
        <v>274</v>
      </c>
      <c r="P541" s="84" t="str">
        <f>IF(AND('331-CT'!$E$7=TH!H541,OR(N541="331",O541="331")),"x","")</f>
        <v/>
      </c>
      <c r="Q541" s="84" t="str">
        <f>IF(AND(B541='111'!$L$11,OR($N541=$Q$7,$O541=$Q$7)),"x","")</f>
        <v/>
      </c>
      <c r="R541" s="84" t="str">
        <f>IF(AND($N541=$Q$7,$B541&lt;'111'!$L$11),"x","")</f>
        <v/>
      </c>
      <c r="S541" s="84" t="str">
        <f>IF(AND($O541=$Q$7,$B541&lt;'111'!$L$11),"x","")</f>
        <v/>
      </c>
      <c r="T541" s="84" t="str">
        <f>IF(ISERROR(FIND('112'!$M$9,G541,1)),"",IF((AND(FIND('112'!$M$9,G541,1)&gt;=1,B541='112'!$K$9,OR($N541='112'!$I$6,$O541='112'!$I$6))),"x",""))</f>
        <v/>
      </c>
      <c r="U541" s="84" t="str">
        <f>IF(ISERROR(FIND('112'!$M$9,G541,1)),"",IF((AND(LEFT(G541,2)=LEFT('112'!$M$9,2),B541&lt;'112'!$K$9,$N541='112'!$I$6)),"x",""))</f>
        <v/>
      </c>
      <c r="V541" s="84" t="str">
        <f>IF(ISERROR(FIND('112'!$M$9,G541,1)),"",IF((AND(RIGHT(G541,2)=RIGHT('112'!$M$9,2),B541&lt;'112'!$K$9,$O541='112'!$I$6)),"x",""))</f>
        <v/>
      </c>
      <c r="W541" s="84" t="str">
        <f>IF(AND('341-CT'!$H$9=H541,OR(LEFT(N541,3)=$W$7,LEFT(O541,3)=$W$7)),"x","")</f>
        <v/>
      </c>
      <c r="X541" s="84" t="str">
        <f>IF(OR(TH!N541=TH!$X$7,O541=TH!$X$7),"x","")</f>
        <v/>
      </c>
      <c r="Y541" s="84" t="str">
        <f>IF(AND(OR(N541="131",O541="131"),H541='131-CT'!$H$9),"x","")</f>
        <v/>
      </c>
      <c r="Z541" s="84"/>
      <c r="AA541" s="84" t="str">
        <f>IF(AND(MONTH(E541)='IN-NX'!$J$5,'IN-NX'!$D$7=D541),"x","")</f>
        <v/>
      </c>
      <c r="AB541" s="84" t="str">
        <f>IF(AND(OR(LEFT(TH!N541,2)="15",LEFT(TH!O541,2)="15"),LEFT(TH!O541,3)&lt;&gt;"111",'152-CT'!$J$8=TH!F541),"x","")</f>
        <v/>
      </c>
      <c r="AC541" s="84" t="str">
        <f>IF(AND(OR(LEFT(TH!N541,2)="15",LEFT(TH!O541,2)="15"),TK!$E$7=TH!F541),"x","")</f>
        <v/>
      </c>
      <c r="AD541" s="84" t="str">
        <f>IF(AND(N541="1521",MONTH(C541)='BK-NL'!$M$11),"x","")</f>
        <v/>
      </c>
    </row>
    <row r="542" spans="1:31" s="341" customFormat="1" ht="15.75" hidden="1" customHeight="1">
      <c r="A542" s="336" t="str">
        <f>IF(B542&lt;&gt;"",IF(AND(B542='IN-TC'!$S$4,OR(TH!N542="1111",TH!O542="1111")),TH!D542,""),"")</f>
        <v/>
      </c>
      <c r="B542" s="63">
        <f>IF(C542&lt;&gt;"",MONTH(C542),"")</f>
        <v>5</v>
      </c>
      <c r="C542" s="80">
        <f>E542</f>
        <v>42491</v>
      </c>
      <c r="D542" s="80" t="s">
        <v>937</v>
      </c>
      <c r="E542" s="80">
        <v>42491</v>
      </c>
      <c r="F542" s="81" t="s">
        <v>1958</v>
      </c>
      <c r="G542" s="81"/>
      <c r="H542" s="82" t="s">
        <v>1967</v>
      </c>
      <c r="I542" s="437">
        <v>4400</v>
      </c>
      <c r="J542" s="438">
        <v>15000</v>
      </c>
      <c r="K542" s="428"/>
      <c r="L542" s="437"/>
      <c r="M542" s="83">
        <f t="shared" si="117"/>
        <v>66000000</v>
      </c>
      <c r="N542" s="84" t="s">
        <v>274</v>
      </c>
      <c r="O542" s="84" t="s">
        <v>8</v>
      </c>
      <c r="P542" s="84" t="str">
        <f>IF(AND('331-CT'!$E$7=TH!H542,OR(N542="331",O542="331")),"x","")</f>
        <v/>
      </c>
      <c r="Q542" s="84" t="str">
        <f>IF(AND(B542='111'!$L$11,OR($N542=$Q$7,$O542=$Q$7)),"x","")</f>
        <v/>
      </c>
      <c r="R542" s="84" t="str">
        <f>IF(AND($N542=$Q$7,$B542&lt;'111'!$L$11),"x","")</f>
        <v/>
      </c>
      <c r="S542" s="84" t="str">
        <f>IF(AND($O542=$Q$7,$B542&lt;'111'!$L$11),"x","")</f>
        <v/>
      </c>
      <c r="T542" s="84" t="str">
        <f>IF(ISERROR(FIND('112'!$M$9,G542,1)),"",IF((AND(FIND('112'!$M$9,G542,1)&gt;=1,B542='112'!$K$9,OR($N542='112'!$I$6,$O542='112'!$I$6))),"x",""))</f>
        <v/>
      </c>
      <c r="U542" s="84" t="str">
        <f>IF(ISERROR(FIND('112'!$M$9,G542,1)),"",IF((AND(LEFT(G542,2)=LEFT('112'!$M$9,2),B542&lt;'112'!$K$9,$N542='112'!$I$6)),"x",""))</f>
        <v/>
      </c>
      <c r="V542" s="84" t="str">
        <f>IF(ISERROR(FIND('112'!$M$9,G542,1)),"",IF((AND(RIGHT(G542,2)=RIGHT('112'!$M$9,2),B542&lt;'112'!$K$9,$O542='112'!$I$6)),"x",""))</f>
        <v/>
      </c>
      <c r="W542" s="84" t="str">
        <f>IF(AND('341-CT'!$H$9=H542,OR(LEFT(N542,3)=$W$7,LEFT(O542,3)=$W$7)),"x","")</f>
        <v/>
      </c>
      <c r="X542" s="84" t="str">
        <f>IF(OR(TH!N542=TH!$X$7,O542=TH!$X$7),"x","")</f>
        <v/>
      </c>
      <c r="Y542" s="84" t="str">
        <f>IF(AND(OR(N542="131",O542="131"),H542='131-CT'!$H$9),"x","")</f>
        <v/>
      </c>
      <c r="Z542" s="84"/>
      <c r="AA542" s="84" t="str">
        <f>IF(AND(MONTH(E542)='IN-NX'!$J$5,'IN-NX'!$D$7=D542),"x","")</f>
        <v/>
      </c>
      <c r="AB542" s="84" t="str">
        <f>IF(AND(OR(LEFT(TH!N542,2)="15",LEFT(TH!O542,2)="15"),LEFT(TH!O542,3)&lt;&gt;"111",'152-CT'!$J$8=TH!F542),"x","")</f>
        <v/>
      </c>
      <c r="AC542" s="84" t="str">
        <f>IF(AND(OR(LEFT(TH!N542,2)="15",LEFT(TH!O542,2)="15"),TK!$E$7=TH!F542),"x","")</f>
        <v/>
      </c>
      <c r="AD542" s="84" t="str">
        <f>IF(AND(N542="1521",MONTH(C542)='BK-NL'!$M$11),"x","")</f>
        <v/>
      </c>
      <c r="AE542" s="1146" t="str">
        <f t="shared" ref="AE542:AE553" si="120">IF(H542&lt;&gt;VLOOKUP(H542,DSKH,1,0),"","x")</f>
        <v>x</v>
      </c>
    </row>
    <row r="543" spans="1:31" ht="15.75" hidden="1" customHeight="1">
      <c r="A543" s="336" t="str">
        <f>IF(B543&lt;&gt;"",IF(AND(B543='IN-TC'!$S$4,OR(TH!N543="1111",TH!O543="1111")),TH!D543,""),"")</f>
        <v/>
      </c>
      <c r="B543" s="63">
        <f>IF(C543&lt;&gt;"",MONTH(C543),"")</f>
        <v>5</v>
      </c>
      <c r="C543" s="80">
        <f>E543</f>
        <v>42491</v>
      </c>
      <c r="D543" s="80" t="s">
        <v>938</v>
      </c>
      <c r="E543" s="80">
        <v>42491</v>
      </c>
      <c r="F543" s="81" t="s">
        <v>1959</v>
      </c>
      <c r="G543" s="81"/>
      <c r="H543" s="89" t="s">
        <v>1968</v>
      </c>
      <c r="I543" s="438">
        <v>3000</v>
      </c>
      <c r="J543" s="438">
        <v>16500</v>
      </c>
      <c r="K543" s="429"/>
      <c r="L543" s="438"/>
      <c r="M543" s="83">
        <f t="shared" si="117"/>
        <v>49500000</v>
      </c>
      <c r="N543" s="84" t="s">
        <v>274</v>
      </c>
      <c r="O543" s="84" t="s">
        <v>8</v>
      </c>
      <c r="P543" s="84" t="str">
        <f>IF(AND('331-CT'!$E$7=TH!H543,OR(N543="331",O543="331")),"x","")</f>
        <v/>
      </c>
      <c r="Q543" s="84" t="str">
        <f>IF(AND(B543='111'!$L$11,OR($N543=$Q$7,$O543=$Q$7)),"x","")</f>
        <v/>
      </c>
      <c r="R543" s="84" t="str">
        <f>IF(AND($N543=$Q$7,$B543&lt;'111'!$L$11),"x","")</f>
        <v/>
      </c>
      <c r="S543" s="84" t="str">
        <f>IF(AND($O543=$Q$7,$B543&lt;'111'!$L$11),"x","")</f>
        <v/>
      </c>
      <c r="T543" s="84" t="str">
        <f>IF(ISERROR(FIND('112'!$M$9,G543,1)),"",IF((AND(FIND('112'!$M$9,G543,1)&gt;=1,B543='112'!$K$9,OR($N543='112'!$I$6,$O543='112'!$I$6))),"x",""))</f>
        <v/>
      </c>
      <c r="U543" s="84" t="str">
        <f>IF(ISERROR(FIND('112'!$M$9,G543,1)),"",IF((AND(LEFT(G543,2)=LEFT('112'!$M$9,2),B543&lt;'112'!$K$9,$N543='112'!$I$6)),"x",""))</f>
        <v/>
      </c>
      <c r="V543" s="84" t="str">
        <f>IF(ISERROR(FIND('112'!$M$9,G543,1)),"",IF((AND(RIGHT(G543,2)=RIGHT('112'!$M$9,2),B543&lt;'112'!$K$9,$O543='112'!$I$6)),"x",""))</f>
        <v/>
      </c>
      <c r="W543" s="84" t="str">
        <f>IF(AND('341-CT'!$H$9=H543,OR(LEFT(N543,3)=$W$7,LEFT(O543,3)=$W$7)),"x","")</f>
        <v/>
      </c>
      <c r="X543" s="84" t="str">
        <f>IF(OR(TH!N543=TH!$X$7,O543=TH!$X$7),"x","")</f>
        <v/>
      </c>
      <c r="Y543" s="84" t="str">
        <f>IF(AND(OR(N543="131",O543="131"),H543='131-CT'!$H$9),"x","")</f>
        <v/>
      </c>
      <c r="Z543" s="84"/>
      <c r="AA543" s="84" t="str">
        <f>IF(AND(MONTH(E543)='IN-NX'!$J$5,'IN-NX'!$D$7=D543),"x","")</f>
        <v/>
      </c>
      <c r="AB543" s="84" t="str">
        <f>IF(AND(OR(LEFT(TH!N543,2)="15",LEFT(TH!O543,2)="15"),LEFT(TH!O543,3)&lt;&gt;"111",'152-CT'!$J$8=TH!F543),"x","")</f>
        <v/>
      </c>
      <c r="AC543" s="84" t="str">
        <f>IF(AND(OR(LEFT(TH!N543,2)="15",LEFT(TH!O543,2)="15"),TK!$E$7=TH!F543),"x","")</f>
        <v/>
      </c>
      <c r="AD543" s="84" t="str">
        <f>IF(AND(N543="1521",MONTH(C543)='BK-NL'!$M$11),"x","")</f>
        <v/>
      </c>
      <c r="AE543" s="1146" t="str">
        <f t="shared" si="120"/>
        <v>x</v>
      </c>
    </row>
    <row r="544" spans="1:31" s="341" customFormat="1" ht="15.75" hidden="1" customHeight="1">
      <c r="A544" s="336" t="str">
        <f>IF(B544&lt;&gt;"",IF(AND(B544='IN-TC'!$S$4,OR(TH!N544="1111",TH!O544="1111")),TH!D544,""),"")</f>
        <v/>
      </c>
      <c r="B544" s="63">
        <f t="shared" si="116"/>
        <v>5</v>
      </c>
      <c r="C544" s="80">
        <f t="shared" ref="C544:C553" si="121">E544</f>
        <v>42491</v>
      </c>
      <c r="D544" s="80" t="s">
        <v>939</v>
      </c>
      <c r="E544" s="80">
        <v>42491</v>
      </c>
      <c r="F544" s="81" t="s">
        <v>683</v>
      </c>
      <c r="G544" s="81"/>
      <c r="H544" s="82" t="s">
        <v>361</v>
      </c>
      <c r="I544" s="437">
        <v>4426</v>
      </c>
      <c r="J544" s="438">
        <v>14500</v>
      </c>
      <c r="K544" s="428"/>
      <c r="L544" s="437"/>
      <c r="M544" s="83">
        <f t="shared" ref="M544:M553" si="122">ROUND(I544*J544,0)</f>
        <v>64177000</v>
      </c>
      <c r="N544" s="84" t="s">
        <v>274</v>
      </c>
      <c r="O544" s="84" t="s">
        <v>8</v>
      </c>
      <c r="P544" s="84" t="str">
        <f>IF(AND('331-CT'!$E$7=TH!H544,OR(N544="331",O544="331")),"x","")</f>
        <v/>
      </c>
      <c r="Q544" s="84" t="str">
        <f>IF(AND(B544='111'!$L$11,OR($N544=$Q$7,$O544=$Q$7)),"x","")</f>
        <v/>
      </c>
      <c r="R544" s="84" t="str">
        <f>IF(AND($N544=$Q$7,$B544&lt;'111'!$L$11),"x","")</f>
        <v/>
      </c>
      <c r="S544" s="84" t="str">
        <f>IF(AND($O544=$Q$7,$B544&lt;'111'!$L$11),"x","")</f>
        <v/>
      </c>
      <c r="T544" s="84" t="str">
        <f>IF(ISERROR(FIND('112'!$M$9,G544,1)),"",IF((AND(FIND('112'!$M$9,G544,1)&gt;=1,B544='112'!$K$9,OR($N544='112'!$I$6,$O544='112'!$I$6))),"x",""))</f>
        <v/>
      </c>
      <c r="U544" s="84" t="str">
        <f>IF(ISERROR(FIND('112'!$M$9,G544,1)),"",IF((AND(LEFT(G544,2)=LEFT('112'!$M$9,2),B544&lt;'112'!$K$9,$N544='112'!$I$6)),"x",""))</f>
        <v/>
      </c>
      <c r="V544" s="84" t="str">
        <f>IF(ISERROR(FIND('112'!$M$9,G544,1)),"",IF((AND(RIGHT(G544,2)=RIGHT('112'!$M$9,2),B544&lt;'112'!$K$9,$O544='112'!$I$6)),"x",""))</f>
        <v/>
      </c>
      <c r="W544" s="84" t="str">
        <f>IF(AND('341-CT'!$H$9=H544,OR(LEFT(N544,3)=$W$7,LEFT(O544,3)=$W$7)),"x","")</f>
        <v/>
      </c>
      <c r="X544" s="84" t="str">
        <f>IF(OR(TH!N544=TH!$X$7,O544=TH!$X$7),"x","")</f>
        <v/>
      </c>
      <c r="Y544" s="84" t="str">
        <f>IF(AND(OR(N544="131",O544="131"),H544='131-CT'!$H$9),"x","")</f>
        <v/>
      </c>
      <c r="Z544" s="84"/>
      <c r="AA544" s="84" t="str">
        <f>IF(AND(MONTH(E544)='IN-NX'!$J$5,'IN-NX'!$D$7=D544),"x","")</f>
        <v/>
      </c>
      <c r="AB544" s="84" t="str">
        <f>IF(AND(OR(LEFT(TH!N544,2)="15",LEFT(TH!O544,2)="15"),LEFT(TH!O544,3)&lt;&gt;"111",'152-CT'!$J$8=TH!F544),"x","")</f>
        <v/>
      </c>
      <c r="AC544" s="84" t="str">
        <f>IF(AND(OR(LEFT(TH!N544,2)="15",LEFT(TH!O544,2)="15"),TK!$E$7=TH!F544),"x","")</f>
        <v/>
      </c>
      <c r="AD544" s="84" t="str">
        <f>IF(AND(N544="1521",MONTH(C544)='BK-NL'!$M$11),"x","")</f>
        <v/>
      </c>
      <c r="AE544" s="1146" t="str">
        <f t="shared" si="120"/>
        <v>x</v>
      </c>
    </row>
    <row r="545" spans="1:31" ht="15.75" hidden="1" customHeight="1">
      <c r="A545" s="336" t="str">
        <f>IF(B545&lt;&gt;"",IF(AND(B545='IN-TC'!$S$4,OR(TH!N545="1111",TH!O545="1111")),TH!D545,""),"")</f>
        <v/>
      </c>
      <c r="B545" s="63">
        <f t="shared" si="116"/>
        <v>5</v>
      </c>
      <c r="C545" s="80">
        <f t="shared" si="121"/>
        <v>42491</v>
      </c>
      <c r="D545" s="80" t="s">
        <v>940</v>
      </c>
      <c r="E545" s="80">
        <v>42491</v>
      </c>
      <c r="F545" s="81" t="s">
        <v>683</v>
      </c>
      <c r="G545" s="81"/>
      <c r="H545" s="89" t="s">
        <v>346</v>
      </c>
      <c r="I545" s="438">
        <v>4074</v>
      </c>
      <c r="J545" s="438">
        <v>14500</v>
      </c>
      <c r="K545" s="429"/>
      <c r="L545" s="438"/>
      <c r="M545" s="83">
        <f t="shared" si="122"/>
        <v>59073000</v>
      </c>
      <c r="N545" s="84" t="s">
        <v>274</v>
      </c>
      <c r="O545" s="84" t="s">
        <v>8</v>
      </c>
      <c r="P545" s="84" t="str">
        <f>IF(AND('331-CT'!$E$7=TH!H545,OR(N545="331",O545="331")),"x","")</f>
        <v/>
      </c>
      <c r="Q545" s="84" t="str">
        <f>IF(AND(B545='111'!$L$11,OR($N545=$Q$7,$O545=$Q$7)),"x","")</f>
        <v/>
      </c>
      <c r="R545" s="84" t="str">
        <f>IF(AND($N545=$Q$7,$B545&lt;'111'!$L$11),"x","")</f>
        <v/>
      </c>
      <c r="S545" s="84" t="str">
        <f>IF(AND($O545=$Q$7,$B545&lt;'111'!$L$11),"x","")</f>
        <v/>
      </c>
      <c r="T545" s="84" t="str">
        <f>IF(ISERROR(FIND('112'!$M$9,G545,1)),"",IF((AND(FIND('112'!$M$9,G545,1)&gt;=1,B545='112'!$K$9,OR($N545='112'!$I$6,$O545='112'!$I$6))),"x",""))</f>
        <v/>
      </c>
      <c r="U545" s="84" t="str">
        <f>IF(ISERROR(FIND('112'!$M$9,G545,1)),"",IF((AND(LEFT(G545,2)=LEFT('112'!$M$9,2),B545&lt;'112'!$K$9,$N545='112'!$I$6)),"x",""))</f>
        <v/>
      </c>
      <c r="V545" s="84" t="str">
        <f>IF(ISERROR(FIND('112'!$M$9,G545,1)),"",IF((AND(RIGHT(G545,2)=RIGHT('112'!$M$9,2),B545&lt;'112'!$K$9,$O545='112'!$I$6)),"x",""))</f>
        <v/>
      </c>
      <c r="W545" s="84" t="str">
        <f>IF(AND('341-CT'!$H$9=H545,OR(LEFT(N545,3)=$W$7,LEFT(O545,3)=$W$7)),"x","")</f>
        <v/>
      </c>
      <c r="X545" s="84" t="str">
        <f>IF(OR(TH!N545=TH!$X$7,O545=TH!$X$7),"x","")</f>
        <v/>
      </c>
      <c r="Y545" s="84" t="str">
        <f>IF(AND(OR(N545="131",O545="131"),H545='131-CT'!$H$9),"x","")</f>
        <v/>
      </c>
      <c r="Z545" s="84"/>
      <c r="AA545" s="84" t="str">
        <f>IF(AND(MONTH(E545)='IN-NX'!$J$5,'IN-NX'!$D$7=D545),"x","")</f>
        <v/>
      </c>
      <c r="AB545" s="84" t="str">
        <f>IF(AND(OR(LEFT(TH!N545,2)="15",LEFT(TH!O545,2)="15"),LEFT(TH!O545,3)&lt;&gt;"111",'152-CT'!$J$8=TH!F545),"x","")</f>
        <v/>
      </c>
      <c r="AC545" s="84" t="str">
        <f>IF(AND(OR(LEFT(TH!N545,2)="15",LEFT(TH!O545,2)="15"),TK!$E$7=TH!F545),"x","")</f>
        <v/>
      </c>
      <c r="AD545" s="84" t="str">
        <f>IF(AND(N545="1521",MONTH(C545)='BK-NL'!$M$11),"x","")</f>
        <v/>
      </c>
      <c r="AE545" s="1146" t="str">
        <f t="shared" si="120"/>
        <v>x</v>
      </c>
    </row>
    <row r="546" spans="1:31" ht="15.75" hidden="1" customHeight="1">
      <c r="A546" s="336" t="str">
        <f>IF(B546&lt;&gt;"",IF(AND(B546='IN-TC'!$S$4,OR(TH!N546="1111",TH!O546="1111")),TH!D546,""),"")</f>
        <v/>
      </c>
      <c r="B546" s="63">
        <f t="shared" si="116"/>
        <v>5</v>
      </c>
      <c r="C546" s="80">
        <f t="shared" si="121"/>
        <v>42494</v>
      </c>
      <c r="D546" s="80" t="s">
        <v>941</v>
      </c>
      <c r="E546" s="80">
        <v>42494</v>
      </c>
      <c r="F546" s="81" t="s">
        <v>683</v>
      </c>
      <c r="G546" s="81"/>
      <c r="H546" s="82" t="s">
        <v>349</v>
      </c>
      <c r="I546" s="437">
        <v>4790</v>
      </c>
      <c r="J546" s="438">
        <v>14500</v>
      </c>
      <c r="K546" s="428"/>
      <c r="L546" s="437"/>
      <c r="M546" s="83">
        <f t="shared" si="122"/>
        <v>69455000</v>
      </c>
      <c r="N546" s="84" t="s">
        <v>274</v>
      </c>
      <c r="O546" s="84" t="s">
        <v>8</v>
      </c>
      <c r="P546" s="84" t="str">
        <f>IF(AND('331-CT'!$E$7=TH!H546,OR(N546="331",O546="331")),"x","")</f>
        <v/>
      </c>
      <c r="Q546" s="84" t="str">
        <f>IF(AND(B546='111'!$L$11,OR($N546=$Q$7,$O546=$Q$7)),"x","")</f>
        <v/>
      </c>
      <c r="R546" s="84" t="str">
        <f>IF(AND($N546=$Q$7,$B546&lt;'111'!$L$11),"x","")</f>
        <v/>
      </c>
      <c r="S546" s="84" t="str">
        <f>IF(AND($O546=$Q$7,$B546&lt;'111'!$L$11),"x","")</f>
        <v/>
      </c>
      <c r="T546" s="84" t="str">
        <f>IF(ISERROR(FIND('112'!$M$9,G546,1)),"",IF((AND(FIND('112'!$M$9,G546,1)&gt;=1,B546='112'!$K$9,OR($N546='112'!$I$6,$O546='112'!$I$6))),"x",""))</f>
        <v/>
      </c>
      <c r="U546" s="84" t="str">
        <f>IF(ISERROR(FIND('112'!$M$9,G546,1)),"",IF((AND(LEFT(G546,2)=LEFT('112'!$M$9,2),B546&lt;'112'!$K$9,$N546='112'!$I$6)),"x",""))</f>
        <v/>
      </c>
      <c r="V546" s="84" t="str">
        <f>IF(ISERROR(FIND('112'!$M$9,G546,1)),"",IF((AND(RIGHT(G546,2)=RIGHT('112'!$M$9,2),B546&lt;'112'!$K$9,$O546='112'!$I$6)),"x",""))</f>
        <v/>
      </c>
      <c r="W546" s="84" t="str">
        <f>IF(AND('341-CT'!$H$9=H546,OR(LEFT(N546,3)=$W$7,LEFT(O546,3)=$W$7)),"x","")</f>
        <v/>
      </c>
      <c r="X546" s="84" t="str">
        <f>IF(OR(TH!N546=TH!$X$7,O546=TH!$X$7),"x","")</f>
        <v/>
      </c>
      <c r="Y546" s="84" t="str">
        <f>IF(AND(OR(N546="131",O546="131"),H546='131-CT'!$H$9),"x","")</f>
        <v/>
      </c>
      <c r="Z546" s="84"/>
      <c r="AA546" s="84" t="str">
        <f>IF(AND(MONTH(E546)='IN-NX'!$J$5,'IN-NX'!$D$7=D546),"x","")</f>
        <v/>
      </c>
      <c r="AB546" s="84" t="str">
        <f>IF(AND(OR(LEFT(TH!N546,2)="15",LEFT(TH!O546,2)="15"),LEFT(TH!O546,3)&lt;&gt;"111",'152-CT'!$J$8=TH!F546),"x","")</f>
        <v/>
      </c>
      <c r="AC546" s="84" t="str">
        <f>IF(AND(OR(LEFT(TH!N546,2)="15",LEFT(TH!O546,2)="15"),TK!$E$7=TH!F546),"x","")</f>
        <v/>
      </c>
      <c r="AD546" s="84" t="str">
        <f>IF(AND(N546="1521",MONTH(C546)='BK-NL'!$M$11),"x","")</f>
        <v/>
      </c>
      <c r="AE546" s="1146" t="str">
        <f t="shared" si="120"/>
        <v>x</v>
      </c>
    </row>
    <row r="547" spans="1:31" ht="15.75" hidden="1" customHeight="1">
      <c r="A547" s="336" t="str">
        <f>IF(B547&lt;&gt;"",IF(AND(B547='IN-TC'!$S$4,OR(TH!N547="1111",TH!O547="1111")),TH!D547,""),"")</f>
        <v/>
      </c>
      <c r="B547" s="63">
        <f>IF(C547&lt;&gt;"",MONTH(C547),"")</f>
        <v>5</v>
      </c>
      <c r="C547" s="80">
        <f>E547</f>
        <v>42494</v>
      </c>
      <c r="D547" s="80" t="s">
        <v>942</v>
      </c>
      <c r="E547" s="80">
        <v>42494</v>
      </c>
      <c r="F547" s="81" t="s">
        <v>683</v>
      </c>
      <c r="G547" s="81"/>
      <c r="H547" s="82" t="s">
        <v>367</v>
      </c>
      <c r="I547" s="437">
        <v>4859</v>
      </c>
      <c r="J547" s="438">
        <v>14500</v>
      </c>
      <c r="K547" s="428"/>
      <c r="L547" s="437"/>
      <c r="M547" s="83">
        <f>ROUND(I547*J547,0)</f>
        <v>70455500</v>
      </c>
      <c r="N547" s="84" t="s">
        <v>274</v>
      </c>
      <c r="O547" s="84" t="s">
        <v>8</v>
      </c>
      <c r="P547" s="84" t="str">
        <f>IF(AND('331-CT'!$E$7=TH!H547,OR(N547="331",O547="331")),"x","")</f>
        <v/>
      </c>
      <c r="Q547" s="84" t="str">
        <f>IF(AND(B547='111'!$L$11,OR($N547=$Q$7,$O547=$Q$7)),"x","")</f>
        <v/>
      </c>
      <c r="R547" s="84" t="str">
        <f>IF(AND($N547=$Q$7,$B547&lt;'111'!$L$11),"x","")</f>
        <v/>
      </c>
      <c r="S547" s="84" t="str">
        <f>IF(AND($O547=$Q$7,$B547&lt;'111'!$L$11),"x","")</f>
        <v/>
      </c>
      <c r="T547" s="84" t="str">
        <f>IF(ISERROR(FIND('112'!$M$9,G547,1)),"",IF((AND(FIND('112'!$M$9,G547,1)&gt;=1,B547='112'!$K$9,OR($N547='112'!$I$6,$O547='112'!$I$6))),"x",""))</f>
        <v/>
      </c>
      <c r="U547" s="84" t="str">
        <f>IF(ISERROR(FIND('112'!$M$9,G547,1)),"",IF((AND(LEFT(G547,2)=LEFT('112'!$M$9,2),B547&lt;'112'!$K$9,$N547='112'!$I$6)),"x",""))</f>
        <v/>
      </c>
      <c r="V547" s="84" t="str">
        <f>IF(ISERROR(FIND('112'!$M$9,G547,1)),"",IF((AND(RIGHT(G547,2)=RIGHT('112'!$M$9,2),B547&lt;'112'!$K$9,$O547='112'!$I$6)),"x",""))</f>
        <v/>
      </c>
      <c r="W547" s="84" t="str">
        <f>IF(AND('341-CT'!$H$9=H547,OR(LEFT(N547,3)=$W$7,LEFT(O547,3)=$W$7)),"x","")</f>
        <v/>
      </c>
      <c r="X547" s="84" t="str">
        <f>IF(OR(TH!N547=TH!$X$7,O547=TH!$X$7),"x","")</f>
        <v/>
      </c>
      <c r="Y547" s="84" t="str">
        <f>IF(AND(OR(N547="131",O547="131"),H547='131-CT'!$H$9),"x","")</f>
        <v/>
      </c>
      <c r="Z547" s="84"/>
      <c r="AA547" s="84" t="str">
        <f>IF(AND(MONTH(E547)='IN-NX'!$J$5,'IN-NX'!$D$7=D547),"x","")</f>
        <v/>
      </c>
      <c r="AB547" s="84" t="str">
        <f>IF(AND(OR(LEFT(TH!N547,2)="15",LEFT(TH!O547,2)="15"),LEFT(TH!O547,3)&lt;&gt;"111",'152-CT'!$J$8=TH!F547),"x","")</f>
        <v/>
      </c>
      <c r="AC547" s="84" t="str">
        <f>IF(AND(OR(LEFT(TH!N547,2)="15",LEFT(TH!O547,2)="15"),TK!$E$7=TH!F547),"x","")</f>
        <v/>
      </c>
      <c r="AD547" s="84" t="str">
        <f>IF(AND(N547="1521",MONTH(C547)='BK-NL'!$M$11),"x","")</f>
        <v/>
      </c>
      <c r="AE547" s="1146" t="str">
        <f t="shared" si="120"/>
        <v>x</v>
      </c>
    </row>
    <row r="548" spans="1:31" ht="15.75" hidden="1" customHeight="1">
      <c r="A548" s="336" t="str">
        <f>IF(B548&lt;&gt;"",IF(AND(B548='IN-TC'!$S$4,OR(TH!N548="1111",TH!O548="1111")),TH!D548,""),"")</f>
        <v/>
      </c>
      <c r="B548" s="63">
        <f>IF(C548&lt;&gt;"",MONTH(C548),"")</f>
        <v>5</v>
      </c>
      <c r="C548" s="80">
        <f>E548</f>
        <v>42494</v>
      </c>
      <c r="D548" s="80" t="s">
        <v>943</v>
      </c>
      <c r="E548" s="80">
        <v>42494</v>
      </c>
      <c r="F548" s="81" t="s">
        <v>683</v>
      </c>
      <c r="G548" s="81"/>
      <c r="H548" s="82" t="s">
        <v>364</v>
      </c>
      <c r="I548" s="437">
        <v>4960</v>
      </c>
      <c r="J548" s="438">
        <v>14500</v>
      </c>
      <c r="K548" s="428"/>
      <c r="L548" s="437"/>
      <c r="M548" s="83">
        <f>ROUND(I548*J548,0)</f>
        <v>71920000</v>
      </c>
      <c r="N548" s="84" t="s">
        <v>274</v>
      </c>
      <c r="O548" s="84" t="s">
        <v>8</v>
      </c>
      <c r="P548" s="84" t="str">
        <f>IF(AND('331-CT'!$E$7=TH!H548,OR(N548="331",O548="331")),"x","")</f>
        <v/>
      </c>
      <c r="Q548" s="84" t="str">
        <f>IF(AND(B548='111'!$L$11,OR($N548=$Q$7,$O548=$Q$7)),"x","")</f>
        <v/>
      </c>
      <c r="R548" s="84" t="str">
        <f>IF(AND($N548=$Q$7,$B548&lt;'111'!$L$11),"x","")</f>
        <v/>
      </c>
      <c r="S548" s="84" t="str">
        <f>IF(AND($O548=$Q$7,$B548&lt;'111'!$L$11),"x","")</f>
        <v/>
      </c>
      <c r="T548" s="84" t="str">
        <f>IF(ISERROR(FIND('112'!$M$9,G548,1)),"",IF((AND(FIND('112'!$M$9,G548,1)&gt;=1,B548='112'!$K$9,OR($N548='112'!$I$6,$O548='112'!$I$6))),"x",""))</f>
        <v/>
      </c>
      <c r="U548" s="84" t="str">
        <f>IF(ISERROR(FIND('112'!$M$9,G548,1)),"",IF((AND(LEFT(G548,2)=LEFT('112'!$M$9,2),B548&lt;'112'!$K$9,$N548='112'!$I$6)),"x",""))</f>
        <v/>
      </c>
      <c r="V548" s="84" t="str">
        <f>IF(ISERROR(FIND('112'!$M$9,G548,1)),"",IF((AND(RIGHT(G548,2)=RIGHT('112'!$M$9,2),B548&lt;'112'!$K$9,$O548='112'!$I$6)),"x",""))</f>
        <v/>
      </c>
      <c r="W548" s="84" t="str">
        <f>IF(AND('341-CT'!$H$9=H548,OR(LEFT(N548,3)=$W$7,LEFT(O548,3)=$W$7)),"x","")</f>
        <v/>
      </c>
      <c r="X548" s="84" t="str">
        <f>IF(OR(TH!N548=TH!$X$7,O548=TH!$X$7),"x","")</f>
        <v/>
      </c>
      <c r="Y548" s="84" t="str">
        <f>IF(AND(OR(N548="131",O548="131"),H548='131-CT'!$H$9),"x","")</f>
        <v/>
      </c>
      <c r="Z548" s="84"/>
      <c r="AA548" s="84" t="str">
        <f>IF(AND(MONTH(E548)='IN-NX'!$J$5,'IN-NX'!$D$7=D548),"x","")</f>
        <v/>
      </c>
      <c r="AB548" s="84" t="str">
        <f>IF(AND(OR(LEFT(TH!N548,2)="15",LEFT(TH!O548,2)="15"),LEFT(TH!O548,3)&lt;&gt;"111",'152-CT'!$J$8=TH!F548),"x","")</f>
        <v/>
      </c>
      <c r="AC548" s="84" t="str">
        <f>IF(AND(OR(LEFT(TH!N548,2)="15",LEFT(TH!O548,2)="15"),TK!$E$7=TH!F548),"x","")</f>
        <v/>
      </c>
      <c r="AD548" s="84" t="str">
        <f>IF(AND(N548="1521",MONTH(C548)='BK-NL'!$M$11),"x","")</f>
        <v/>
      </c>
      <c r="AE548" s="1146" t="str">
        <f t="shared" si="120"/>
        <v>x</v>
      </c>
    </row>
    <row r="549" spans="1:31" ht="15.75" hidden="1" customHeight="1">
      <c r="A549" s="336" t="str">
        <f>IF(B549&lt;&gt;"",IF(AND(B549='IN-TC'!$S$4,OR(TH!N549="1111",TH!O549="1111")),TH!D549,""),"")</f>
        <v/>
      </c>
      <c r="B549" s="63">
        <f>IF(C549&lt;&gt;"",MONTH(C549),"")</f>
        <v>5</v>
      </c>
      <c r="C549" s="80">
        <f>E549</f>
        <v>42494</v>
      </c>
      <c r="D549" s="80" t="s">
        <v>944</v>
      </c>
      <c r="E549" s="80">
        <v>42494</v>
      </c>
      <c r="F549" s="81" t="s">
        <v>683</v>
      </c>
      <c r="G549" s="81"/>
      <c r="H549" s="89" t="s">
        <v>346</v>
      </c>
      <c r="I549" s="437">
        <v>4586</v>
      </c>
      <c r="J549" s="438">
        <v>14500</v>
      </c>
      <c r="K549" s="428"/>
      <c r="L549" s="437"/>
      <c r="M549" s="83">
        <f>ROUND(I549*J549,0)</f>
        <v>66497000</v>
      </c>
      <c r="N549" s="84" t="s">
        <v>274</v>
      </c>
      <c r="O549" s="84" t="s">
        <v>8</v>
      </c>
      <c r="P549" s="84" t="str">
        <f>IF(AND('331-CT'!$E$7=TH!H549,OR(N549="331",O549="331")),"x","")</f>
        <v/>
      </c>
      <c r="Q549" s="84" t="str">
        <f>IF(AND(B549='111'!$L$11,OR($N549=$Q$7,$O549=$Q$7)),"x","")</f>
        <v/>
      </c>
      <c r="R549" s="84" t="str">
        <f>IF(AND($N549=$Q$7,$B549&lt;'111'!$L$11),"x","")</f>
        <v/>
      </c>
      <c r="S549" s="84" t="str">
        <f>IF(AND($O549=$Q$7,$B549&lt;'111'!$L$11),"x","")</f>
        <v/>
      </c>
      <c r="T549" s="84" t="str">
        <f>IF(ISERROR(FIND('112'!$M$9,G549,1)),"",IF((AND(FIND('112'!$M$9,G549,1)&gt;=1,B549='112'!$K$9,OR($N549='112'!$I$6,$O549='112'!$I$6))),"x",""))</f>
        <v/>
      </c>
      <c r="U549" s="84" t="str">
        <f>IF(ISERROR(FIND('112'!$M$9,G549,1)),"",IF((AND(LEFT(G549,2)=LEFT('112'!$M$9,2),B549&lt;'112'!$K$9,$N549='112'!$I$6)),"x",""))</f>
        <v/>
      </c>
      <c r="V549" s="84" t="str">
        <f>IF(ISERROR(FIND('112'!$M$9,G549,1)),"",IF((AND(RIGHT(G549,2)=RIGHT('112'!$M$9,2),B549&lt;'112'!$K$9,$O549='112'!$I$6)),"x",""))</f>
        <v/>
      </c>
      <c r="W549" s="84" t="str">
        <f>IF(AND('341-CT'!$H$9=H549,OR(LEFT(N549,3)=$W$7,LEFT(O549,3)=$W$7)),"x","")</f>
        <v/>
      </c>
      <c r="X549" s="84" t="str">
        <f>IF(OR(TH!N549=TH!$X$7,O549=TH!$X$7),"x","")</f>
        <v/>
      </c>
      <c r="Y549" s="84" t="str">
        <f>IF(AND(OR(N549="131",O549="131"),H549='131-CT'!$H$9),"x","")</f>
        <v/>
      </c>
      <c r="Z549" s="84"/>
      <c r="AA549" s="84" t="str">
        <f>IF(AND(MONTH(E549)='IN-NX'!$J$5,'IN-NX'!$D$7=D549),"x","")</f>
        <v/>
      </c>
      <c r="AB549" s="84" t="str">
        <f>IF(AND(OR(LEFT(TH!N549,2)="15",LEFT(TH!O549,2)="15"),LEFT(TH!O549,3)&lt;&gt;"111",'152-CT'!$J$8=TH!F549),"x","")</f>
        <v/>
      </c>
      <c r="AC549" s="84" t="str">
        <f>IF(AND(OR(LEFT(TH!N549,2)="15",LEFT(TH!O549,2)="15"),TK!$E$7=TH!F549),"x","")</f>
        <v/>
      </c>
      <c r="AD549" s="84" t="str">
        <f>IF(AND(N549="1521",MONTH(C549)='BK-NL'!$M$11),"x","")</f>
        <v/>
      </c>
      <c r="AE549" s="1146" t="str">
        <f t="shared" si="120"/>
        <v>x</v>
      </c>
    </row>
    <row r="550" spans="1:31" ht="15.75" hidden="1" customHeight="1">
      <c r="A550" s="336" t="str">
        <f>IF(B550&lt;&gt;"",IF(AND(B550='IN-TC'!$S$4,OR(TH!N550="1111",TH!O550="1111")),TH!D550,""),"")</f>
        <v/>
      </c>
      <c r="B550" s="63">
        <f t="shared" si="116"/>
        <v>5</v>
      </c>
      <c r="C550" s="80">
        <f t="shared" si="121"/>
        <v>42494</v>
      </c>
      <c r="D550" s="80" t="s">
        <v>950</v>
      </c>
      <c r="E550" s="80">
        <v>42494</v>
      </c>
      <c r="F550" s="81" t="s">
        <v>683</v>
      </c>
      <c r="G550" s="81"/>
      <c r="H550" s="82" t="s">
        <v>361</v>
      </c>
      <c r="I550" s="437">
        <v>4860</v>
      </c>
      <c r="J550" s="438">
        <v>14500</v>
      </c>
      <c r="K550" s="428"/>
      <c r="L550" s="437"/>
      <c r="M550" s="83">
        <f t="shared" si="122"/>
        <v>70470000</v>
      </c>
      <c r="N550" s="84" t="s">
        <v>274</v>
      </c>
      <c r="O550" s="84" t="s">
        <v>8</v>
      </c>
      <c r="P550" s="84" t="str">
        <f>IF(AND('331-CT'!$E$7=TH!H550,OR(N550="331",O550="331")),"x","")</f>
        <v/>
      </c>
      <c r="Q550" s="84" t="str">
        <f>IF(AND(B550='111'!$L$11,OR($N550=$Q$7,$O550=$Q$7)),"x","")</f>
        <v/>
      </c>
      <c r="R550" s="84" t="str">
        <f>IF(AND($N550=$Q$7,$B550&lt;'111'!$L$11),"x","")</f>
        <v/>
      </c>
      <c r="S550" s="84" t="str">
        <f>IF(AND($O550=$Q$7,$B550&lt;'111'!$L$11),"x","")</f>
        <v/>
      </c>
      <c r="T550" s="84" t="str">
        <f>IF(ISERROR(FIND('112'!$M$9,G550,1)),"",IF((AND(FIND('112'!$M$9,G550,1)&gt;=1,B550='112'!$K$9,OR($N550='112'!$I$6,$O550='112'!$I$6))),"x",""))</f>
        <v/>
      </c>
      <c r="U550" s="84" t="str">
        <f>IF(ISERROR(FIND('112'!$M$9,G550,1)),"",IF((AND(LEFT(G550,2)=LEFT('112'!$M$9,2),B550&lt;'112'!$K$9,$N550='112'!$I$6)),"x",""))</f>
        <v/>
      </c>
      <c r="V550" s="84" t="str">
        <f>IF(ISERROR(FIND('112'!$M$9,G550,1)),"",IF((AND(RIGHT(G550,2)=RIGHT('112'!$M$9,2),B550&lt;'112'!$K$9,$O550='112'!$I$6)),"x",""))</f>
        <v/>
      </c>
      <c r="W550" s="84" t="str">
        <f>IF(AND('341-CT'!$H$9=H550,OR(LEFT(N550,3)=$W$7,LEFT(O550,3)=$W$7)),"x","")</f>
        <v/>
      </c>
      <c r="X550" s="84" t="str">
        <f>IF(OR(TH!N550=TH!$X$7,O550=TH!$X$7),"x","")</f>
        <v/>
      </c>
      <c r="Y550" s="84" t="str">
        <f>IF(AND(OR(N550="131",O550="131"),H550='131-CT'!$H$9),"x","")</f>
        <v/>
      </c>
      <c r="Z550" s="84"/>
      <c r="AA550" s="84" t="str">
        <f>IF(AND(MONTH(E550)='IN-NX'!$J$5,'IN-NX'!$D$7=D550),"x","")</f>
        <v/>
      </c>
      <c r="AB550" s="84" t="str">
        <f>IF(AND(OR(LEFT(TH!N550,2)="15",LEFT(TH!O550,2)="15"),LEFT(TH!O550,3)&lt;&gt;"111",'152-CT'!$J$8=TH!F550),"x","")</f>
        <v/>
      </c>
      <c r="AC550" s="84" t="str">
        <f>IF(AND(OR(LEFT(TH!N550,2)="15",LEFT(TH!O550,2)="15"),TK!$E$7=TH!F550),"x","")</f>
        <v/>
      </c>
      <c r="AD550" s="84" t="str">
        <f>IF(AND(N550="1521",MONTH(C550)='BK-NL'!$M$11),"x","")</f>
        <v/>
      </c>
      <c r="AE550" s="1146" t="str">
        <f t="shared" si="120"/>
        <v>x</v>
      </c>
    </row>
    <row r="551" spans="1:31" ht="15.75" hidden="1" customHeight="1">
      <c r="A551" s="336" t="str">
        <f>IF(B551&lt;&gt;"",IF(AND(B551='IN-TC'!$S$4,OR(TH!N551="1111",TH!O551="1111")),TH!D551,""),"")</f>
        <v/>
      </c>
      <c r="B551" s="63">
        <f t="shared" si="116"/>
        <v>5</v>
      </c>
      <c r="C551" s="80">
        <f t="shared" si="121"/>
        <v>42500</v>
      </c>
      <c r="D551" s="80" t="s">
        <v>954</v>
      </c>
      <c r="E551" s="80">
        <v>42500</v>
      </c>
      <c r="F551" s="81" t="s">
        <v>683</v>
      </c>
      <c r="G551" s="81"/>
      <c r="H551" s="89" t="s">
        <v>346</v>
      </c>
      <c r="I551" s="437">
        <v>4972</v>
      </c>
      <c r="J551" s="438">
        <v>14500</v>
      </c>
      <c r="K551" s="428"/>
      <c r="L551" s="437"/>
      <c r="M551" s="83">
        <f t="shared" si="122"/>
        <v>72094000</v>
      </c>
      <c r="N551" s="84" t="s">
        <v>274</v>
      </c>
      <c r="O551" s="84" t="s">
        <v>8</v>
      </c>
      <c r="P551" s="84" t="str">
        <f>IF(AND('331-CT'!$E$7=TH!H551,OR(N551="331",O551="331")),"x","")</f>
        <v/>
      </c>
      <c r="Q551" s="84" t="str">
        <f>IF(AND(B551='111'!$L$11,OR($N551=$Q$7,$O551=$Q$7)),"x","")</f>
        <v/>
      </c>
      <c r="R551" s="84" t="str">
        <f>IF(AND($N551=$Q$7,$B551&lt;'111'!$L$11),"x","")</f>
        <v/>
      </c>
      <c r="S551" s="84" t="str">
        <f>IF(AND($O551=$Q$7,$B551&lt;'111'!$L$11),"x","")</f>
        <v/>
      </c>
      <c r="T551" s="84" t="str">
        <f>IF(ISERROR(FIND('112'!$M$9,G551,1)),"",IF((AND(FIND('112'!$M$9,G551,1)&gt;=1,B551='112'!$K$9,OR($N551='112'!$I$6,$O551='112'!$I$6))),"x",""))</f>
        <v/>
      </c>
      <c r="U551" s="84" t="str">
        <f>IF(ISERROR(FIND('112'!$M$9,G551,1)),"",IF((AND(LEFT(G551,2)=LEFT('112'!$M$9,2),B551&lt;'112'!$K$9,$N551='112'!$I$6)),"x",""))</f>
        <v/>
      </c>
      <c r="V551" s="84" t="str">
        <f>IF(ISERROR(FIND('112'!$M$9,G551,1)),"",IF((AND(RIGHT(G551,2)=RIGHT('112'!$M$9,2),B551&lt;'112'!$K$9,$O551='112'!$I$6)),"x",""))</f>
        <v/>
      </c>
      <c r="W551" s="84" t="str">
        <f>IF(AND('341-CT'!$H$9=H551,OR(LEFT(N551,3)=$W$7,LEFT(O551,3)=$W$7)),"x","")</f>
        <v/>
      </c>
      <c r="X551" s="84" t="str">
        <f>IF(OR(TH!N551=TH!$X$7,O551=TH!$X$7),"x","")</f>
        <v/>
      </c>
      <c r="Y551" s="84" t="str">
        <f>IF(AND(OR(N551="131",O551="131"),H551='131-CT'!$H$9),"x","")</f>
        <v/>
      </c>
      <c r="Z551" s="84"/>
      <c r="AA551" s="84" t="str">
        <f>IF(AND(MONTH(E551)='IN-NX'!$J$5,'IN-NX'!$D$7=D551),"x","")</f>
        <v/>
      </c>
      <c r="AB551" s="84" t="str">
        <f>IF(AND(OR(LEFT(TH!N551,2)="15",LEFT(TH!O551,2)="15"),LEFT(TH!O551,3)&lt;&gt;"111",'152-CT'!$J$8=TH!F551),"x","")</f>
        <v/>
      </c>
      <c r="AC551" s="84" t="str">
        <f>IF(AND(OR(LEFT(TH!N551,2)="15",LEFT(TH!O551,2)="15"),TK!$E$7=TH!F551),"x","")</f>
        <v/>
      </c>
      <c r="AD551" s="84" t="str">
        <f>IF(AND(N551="1521",MONTH(C551)='BK-NL'!$M$11),"x","")</f>
        <v/>
      </c>
      <c r="AE551" s="1146" t="str">
        <f t="shared" si="120"/>
        <v>x</v>
      </c>
    </row>
    <row r="552" spans="1:31" ht="15.75" hidden="1" customHeight="1">
      <c r="A552" s="336" t="str">
        <f>IF(B552&lt;&gt;"",IF(AND(B552='IN-TC'!$S$4,OR(TH!N552="1111",TH!O552="1111")),TH!D552,""),"")</f>
        <v/>
      </c>
      <c r="B552" s="63">
        <f t="shared" si="116"/>
        <v>5</v>
      </c>
      <c r="C552" s="80">
        <f t="shared" si="121"/>
        <v>42500</v>
      </c>
      <c r="D552" s="80" t="s">
        <v>955</v>
      </c>
      <c r="E552" s="80">
        <v>42500</v>
      </c>
      <c r="F552" s="81" t="s">
        <v>683</v>
      </c>
      <c r="G552" s="81"/>
      <c r="H552" s="82" t="s">
        <v>367</v>
      </c>
      <c r="I552" s="437">
        <v>4860</v>
      </c>
      <c r="J552" s="438">
        <v>14500</v>
      </c>
      <c r="K552" s="428"/>
      <c r="L552" s="437"/>
      <c r="M552" s="83">
        <f t="shared" si="122"/>
        <v>70470000</v>
      </c>
      <c r="N552" s="84" t="s">
        <v>274</v>
      </c>
      <c r="O552" s="84" t="s">
        <v>8</v>
      </c>
      <c r="P552" s="84" t="str">
        <f>IF(AND('331-CT'!$E$7=TH!H552,OR(N552="331",O552="331")),"x","")</f>
        <v/>
      </c>
      <c r="Q552" s="84" t="str">
        <f>IF(AND(B552='111'!$L$11,OR($N552=$Q$7,$O552=$Q$7)),"x","")</f>
        <v/>
      </c>
      <c r="R552" s="84" t="str">
        <f>IF(AND($N552=$Q$7,$B552&lt;'111'!$L$11),"x","")</f>
        <v/>
      </c>
      <c r="S552" s="84" t="str">
        <f>IF(AND($O552=$Q$7,$B552&lt;'111'!$L$11),"x","")</f>
        <v/>
      </c>
      <c r="T552" s="84" t="str">
        <f>IF(ISERROR(FIND('112'!$M$9,G552,1)),"",IF((AND(FIND('112'!$M$9,G552,1)&gt;=1,B552='112'!$K$9,OR($N552='112'!$I$6,$O552='112'!$I$6))),"x",""))</f>
        <v/>
      </c>
      <c r="U552" s="84" t="str">
        <f>IF(ISERROR(FIND('112'!$M$9,G552,1)),"",IF((AND(LEFT(G552,2)=LEFT('112'!$M$9,2),B552&lt;'112'!$K$9,$N552='112'!$I$6)),"x",""))</f>
        <v/>
      </c>
      <c r="V552" s="84" t="str">
        <f>IF(ISERROR(FIND('112'!$M$9,G552,1)),"",IF((AND(RIGHT(G552,2)=RIGHT('112'!$M$9,2),B552&lt;'112'!$K$9,$O552='112'!$I$6)),"x",""))</f>
        <v/>
      </c>
      <c r="W552" s="84" t="str">
        <f>IF(AND('341-CT'!$H$9=H552,OR(LEFT(N552,3)=$W$7,LEFT(O552,3)=$W$7)),"x","")</f>
        <v/>
      </c>
      <c r="X552" s="84" t="str">
        <f>IF(OR(TH!N552=TH!$X$7,O552=TH!$X$7),"x","")</f>
        <v/>
      </c>
      <c r="Y552" s="84" t="str">
        <f>IF(AND(OR(N552="131",O552="131"),H552='131-CT'!$H$9),"x","")</f>
        <v/>
      </c>
      <c r="Z552" s="84"/>
      <c r="AA552" s="84" t="str">
        <f>IF(AND(MONTH(E552)='IN-NX'!$J$5,'IN-NX'!$D$7=D552),"x","")</f>
        <v/>
      </c>
      <c r="AB552" s="84" t="str">
        <f>IF(AND(OR(LEFT(TH!N552,2)="15",LEFT(TH!O552,2)="15"),LEFT(TH!O552,3)&lt;&gt;"111",'152-CT'!$J$8=TH!F552),"x","")</f>
        <v/>
      </c>
      <c r="AC552" s="84" t="str">
        <f>IF(AND(OR(LEFT(TH!N552,2)="15",LEFT(TH!O552,2)="15"),TK!$E$7=TH!F552),"x","")</f>
        <v/>
      </c>
      <c r="AD552" s="84" t="str">
        <f>IF(AND(N552="1521",MONTH(C552)='BK-NL'!$M$11),"x","")</f>
        <v/>
      </c>
      <c r="AE552" s="1146" t="str">
        <f t="shared" si="120"/>
        <v>x</v>
      </c>
    </row>
    <row r="553" spans="1:31" ht="15.75" hidden="1" customHeight="1">
      <c r="A553" s="336" t="str">
        <f>IF(B553&lt;&gt;"",IF(AND(B553='IN-TC'!$S$4,OR(TH!N553="1111",TH!O553="1111")),TH!D553,""),"")</f>
        <v/>
      </c>
      <c r="B553" s="63">
        <f t="shared" si="116"/>
        <v>5</v>
      </c>
      <c r="C553" s="80">
        <f t="shared" si="121"/>
        <v>42500</v>
      </c>
      <c r="D553" s="80" t="s">
        <v>956</v>
      </c>
      <c r="E553" s="80">
        <v>42500</v>
      </c>
      <c r="F553" s="81" t="s">
        <v>683</v>
      </c>
      <c r="G553" s="81"/>
      <c r="H553" s="82" t="s">
        <v>364</v>
      </c>
      <c r="I553" s="437">
        <v>4513</v>
      </c>
      <c r="J553" s="438">
        <v>14500</v>
      </c>
      <c r="K553" s="428"/>
      <c r="L553" s="437"/>
      <c r="M553" s="83">
        <f t="shared" si="122"/>
        <v>65438500</v>
      </c>
      <c r="N553" s="84" t="s">
        <v>274</v>
      </c>
      <c r="O553" s="84" t="s">
        <v>8</v>
      </c>
      <c r="P553" s="84" t="str">
        <f>IF(AND('331-CT'!$E$7=TH!H553,OR(N553="331",O553="331")),"x","")</f>
        <v/>
      </c>
      <c r="Q553" s="84" t="str">
        <f>IF(AND(B553='111'!$L$11,OR($N553=$Q$7,$O553=$Q$7)),"x","")</f>
        <v/>
      </c>
      <c r="R553" s="84" t="str">
        <f>IF(AND($N553=$Q$7,$B553&lt;'111'!$L$11),"x","")</f>
        <v/>
      </c>
      <c r="S553" s="84" t="str">
        <f>IF(AND($O553=$Q$7,$B553&lt;'111'!$L$11),"x","")</f>
        <v/>
      </c>
      <c r="T553" s="84" t="str">
        <f>IF(ISERROR(FIND('112'!$M$9,G553,1)),"",IF((AND(FIND('112'!$M$9,G553,1)&gt;=1,B553='112'!$K$9,OR($N553='112'!$I$6,$O553='112'!$I$6))),"x",""))</f>
        <v/>
      </c>
      <c r="U553" s="84" t="str">
        <f>IF(ISERROR(FIND('112'!$M$9,G553,1)),"",IF((AND(LEFT(G553,2)=LEFT('112'!$M$9,2),B553&lt;'112'!$K$9,$N553='112'!$I$6)),"x",""))</f>
        <v/>
      </c>
      <c r="V553" s="84" t="str">
        <f>IF(ISERROR(FIND('112'!$M$9,G553,1)),"",IF((AND(RIGHT(G553,2)=RIGHT('112'!$M$9,2),B553&lt;'112'!$K$9,$O553='112'!$I$6)),"x",""))</f>
        <v/>
      </c>
      <c r="W553" s="84" t="str">
        <f>IF(AND('341-CT'!$H$9=H553,OR(LEFT(N553,3)=$W$7,LEFT(O553,3)=$W$7)),"x","")</f>
        <v/>
      </c>
      <c r="X553" s="84" t="str">
        <f>IF(OR(TH!N553=TH!$X$7,O553=TH!$X$7),"x","")</f>
        <v/>
      </c>
      <c r="Y553" s="84" t="str">
        <f>IF(AND(OR(N553="131",O553="131"),H553='131-CT'!$H$9),"x","")</f>
        <v/>
      </c>
      <c r="Z553" s="84"/>
      <c r="AA553" s="84" t="str">
        <f>IF(AND(MONTH(E553)='IN-NX'!$J$5,'IN-NX'!$D$7=D553),"x","")</f>
        <v/>
      </c>
      <c r="AB553" s="84" t="str">
        <f>IF(AND(OR(LEFT(TH!N553,2)="15",LEFT(TH!O553,2)="15"),LEFT(TH!O553,3)&lt;&gt;"111",'152-CT'!$J$8=TH!F553),"x","")</f>
        <v/>
      </c>
      <c r="AC553" s="84" t="str">
        <f>IF(AND(OR(LEFT(TH!N553,2)="15",LEFT(TH!O553,2)="15"),TK!$E$7=TH!F553),"x","")</f>
        <v/>
      </c>
      <c r="AD553" s="84" t="str">
        <f>IF(AND(N553="1521",MONTH(C553)='BK-NL'!$M$11),"x","")</f>
        <v/>
      </c>
      <c r="AE553" s="1146" t="str">
        <f t="shared" si="120"/>
        <v>x</v>
      </c>
    </row>
    <row r="554" spans="1:31" s="341" customFormat="1" ht="15.75" hidden="1" customHeight="1">
      <c r="A554" s="336" t="str">
        <f>IF(B554&lt;&gt;"",IF(AND(B554='IN-TC'!$S$4,OR(TH!N554="1111",TH!O554="1111")),TH!D554,""),"")</f>
        <v/>
      </c>
      <c r="B554" s="63">
        <f>IF(C554&lt;&gt;"",MONTH(C554),"")</f>
        <v>5</v>
      </c>
      <c r="C554" s="94">
        <f>E554</f>
        <v>42491</v>
      </c>
      <c r="D554" s="94" t="s">
        <v>685</v>
      </c>
      <c r="E554" s="94">
        <v>42491</v>
      </c>
      <c r="F554" s="95" t="s">
        <v>1958</v>
      </c>
      <c r="G554" s="95"/>
      <c r="H554" s="96" t="s">
        <v>449</v>
      </c>
      <c r="I554" s="1188">
        <v>4400</v>
      </c>
      <c r="J554" s="1187">
        <v>15000</v>
      </c>
      <c r="K554" s="1189"/>
      <c r="L554" s="1188"/>
      <c r="M554" s="97">
        <f>ROUND(I554*J554,0)</f>
        <v>66000000</v>
      </c>
      <c r="N554" s="85" t="s">
        <v>282</v>
      </c>
      <c r="O554" s="85" t="s">
        <v>274</v>
      </c>
      <c r="P554" s="84" t="str">
        <f>IF(AND('331-CT'!$E$7=TH!H554,OR(N554="331",O554="331")),"x","")</f>
        <v/>
      </c>
      <c r="Q554" s="84" t="str">
        <f>IF(AND(B554='111'!$L$11,OR($N554=$Q$7,$O554=$Q$7)),"x","")</f>
        <v/>
      </c>
      <c r="R554" s="84" t="str">
        <f>IF(AND($N554=$Q$7,$B554&lt;'111'!$L$11),"x","")</f>
        <v/>
      </c>
      <c r="S554" s="84" t="str">
        <f>IF(AND($O554=$Q$7,$B554&lt;'111'!$L$11),"x","")</f>
        <v/>
      </c>
      <c r="T554" s="84" t="str">
        <f>IF(ISERROR(FIND('112'!$M$9,G554,1)),"",IF((AND(FIND('112'!$M$9,G554,1)&gt;=1,B554='112'!$K$9,OR($N554='112'!$I$6,$O554='112'!$I$6))),"x",""))</f>
        <v/>
      </c>
      <c r="U554" s="84" t="str">
        <f>IF(ISERROR(FIND('112'!$M$9,G554,1)),"",IF((AND(LEFT(G554,2)=LEFT('112'!$M$9,2),B554&lt;'112'!$K$9,$N554='112'!$I$6)),"x",""))</f>
        <v/>
      </c>
      <c r="V554" s="84" t="str">
        <f>IF(ISERROR(FIND('112'!$M$9,G554,1)),"",IF((AND(RIGHT(G554,2)=RIGHT('112'!$M$9,2),B554&lt;'112'!$K$9,$O554='112'!$I$6)),"x",""))</f>
        <v/>
      </c>
      <c r="W554" s="84" t="str">
        <f>IF(AND('341-CT'!$H$9=H554,OR(LEFT(N554,3)=$W$7,LEFT(O554,3)=$W$7)),"x","")</f>
        <v/>
      </c>
      <c r="X554" s="84" t="str">
        <f>IF(OR(TH!N554=TH!$X$7,O554=TH!$X$7),"x","")</f>
        <v/>
      </c>
      <c r="Y554" s="84" t="str">
        <f>IF(AND(OR(N554="131",O554="131"),H554='131-CT'!$H$9),"x","")</f>
        <v/>
      </c>
      <c r="Z554" s="84"/>
      <c r="AA554" s="84" t="str">
        <f>IF(AND(MONTH(E554)='IN-NX'!$J$5,'IN-NX'!$D$7=D554),"x","")</f>
        <v/>
      </c>
      <c r="AB554" s="84" t="str">
        <f>IF(AND(OR(LEFT(TH!N554,2)="15",LEFT(TH!O554,2)="15"),LEFT(TH!O554,3)&lt;&gt;"111",'152-CT'!$J$8=TH!F554),"x","")</f>
        <v/>
      </c>
      <c r="AC554" s="84" t="str">
        <f>IF(AND(OR(LEFT(TH!N554,2)="15",LEFT(TH!O554,2)="15"),TK!$E$7=TH!F554),"x","")</f>
        <v/>
      </c>
      <c r="AD554" s="84" t="str">
        <f>IF(AND(N554="1521",MONTH(C554)='BK-NL'!$M$11),"x","")</f>
        <v/>
      </c>
    </row>
    <row r="555" spans="1:31" s="341" customFormat="1" ht="15.75" hidden="1" customHeight="1">
      <c r="A555" s="336" t="str">
        <f>IF(B555&lt;&gt;"",IF(AND(B555='IN-TC'!$S$4,OR(TH!N555="1111",TH!O555="1111")),TH!D555,""),"")</f>
        <v/>
      </c>
      <c r="B555" s="63">
        <f t="shared" si="116"/>
        <v>5</v>
      </c>
      <c r="C555" s="94">
        <f>E555</f>
        <v>42491</v>
      </c>
      <c r="D555" s="94" t="s">
        <v>685</v>
      </c>
      <c r="E555" s="94">
        <v>42491</v>
      </c>
      <c r="F555" s="95" t="s">
        <v>1959</v>
      </c>
      <c r="G555" s="95"/>
      <c r="H555" s="96" t="s">
        <v>449</v>
      </c>
      <c r="I555" s="1188">
        <v>3000</v>
      </c>
      <c r="J555" s="1187">
        <v>16500</v>
      </c>
      <c r="K555" s="1189"/>
      <c r="L555" s="1188"/>
      <c r="M555" s="97">
        <f>ROUND(I555*J555,0)</f>
        <v>49500000</v>
      </c>
      <c r="N555" s="85" t="s">
        <v>282</v>
      </c>
      <c r="O555" s="85" t="s">
        <v>274</v>
      </c>
      <c r="P555" s="84" t="str">
        <f>IF(AND('331-CT'!$E$7=TH!H555,OR(N555="331",O555="331")),"x","")</f>
        <v/>
      </c>
      <c r="Q555" s="84" t="str">
        <f>IF(AND(B555='111'!$L$11,OR($N555=$Q$7,$O555=$Q$7)),"x","")</f>
        <v/>
      </c>
      <c r="R555" s="84" t="str">
        <f>IF(AND($N555=$Q$7,$B555&lt;'111'!$L$11),"x","")</f>
        <v/>
      </c>
      <c r="S555" s="84" t="str">
        <f>IF(AND($O555=$Q$7,$B555&lt;'111'!$L$11),"x","")</f>
        <v/>
      </c>
      <c r="T555" s="84" t="str">
        <f>IF(ISERROR(FIND('112'!$M$9,G555,1)),"",IF((AND(FIND('112'!$M$9,G555,1)&gt;=1,B555='112'!$K$9,OR($N555='112'!$I$6,$O555='112'!$I$6))),"x",""))</f>
        <v/>
      </c>
      <c r="U555" s="84" t="str">
        <f>IF(ISERROR(FIND('112'!$M$9,G555,1)),"",IF((AND(LEFT(G555,2)=LEFT('112'!$M$9,2),B555&lt;'112'!$K$9,$N555='112'!$I$6)),"x",""))</f>
        <v/>
      </c>
      <c r="V555" s="84" t="str">
        <f>IF(ISERROR(FIND('112'!$M$9,G555,1)),"",IF((AND(RIGHT(G555,2)=RIGHT('112'!$M$9,2),B555&lt;'112'!$K$9,$O555='112'!$I$6)),"x",""))</f>
        <v/>
      </c>
      <c r="W555" s="84" t="str">
        <f>IF(AND('341-CT'!$H$9=H555,OR(LEFT(N555,3)=$W$7,LEFT(O555,3)=$W$7)),"x","")</f>
        <v/>
      </c>
      <c r="X555" s="84" t="str">
        <f>IF(OR(TH!N555=TH!$X$7,O555=TH!$X$7),"x","")</f>
        <v/>
      </c>
      <c r="Y555" s="84" t="str">
        <f>IF(AND(OR(N555="131",O555="131"),H555='131-CT'!$H$9),"x","")</f>
        <v/>
      </c>
      <c r="Z555" s="84"/>
      <c r="AA555" s="84" t="str">
        <f>IF(AND(MONTH(E555)='IN-NX'!$J$5,'IN-NX'!$D$7=D555),"x","")</f>
        <v/>
      </c>
      <c r="AB555" s="84" t="str">
        <f>IF(AND(OR(LEFT(TH!N555,2)="15",LEFT(TH!O555,2)="15"),LEFT(TH!O555,3)&lt;&gt;"111",'152-CT'!$J$8=TH!F555),"x","")</f>
        <v/>
      </c>
      <c r="AC555" s="84" t="str">
        <f>IF(AND(OR(LEFT(TH!N555,2)="15",LEFT(TH!O555,2)="15"),TK!$E$7=TH!F555),"x","")</f>
        <v/>
      </c>
      <c r="AD555" s="84" t="str">
        <f>IF(AND(N555="1521",MONTH(C555)='BK-NL'!$M$11),"x","")</f>
        <v/>
      </c>
    </row>
    <row r="556" spans="1:31" s="341" customFormat="1" ht="15.75" hidden="1" customHeight="1">
      <c r="A556" s="336" t="str">
        <f>IF(B556&lt;&gt;"",IF(AND(B556='IN-TC'!$S$4,OR(TH!N556="1111",TH!O556="1111")),TH!D556,""),"")</f>
        <v/>
      </c>
      <c r="B556" s="63">
        <f t="shared" ref="B556:B576" si="123">IF(C556&lt;&gt;"",MONTH(C556),"")</f>
        <v>5</v>
      </c>
      <c r="C556" s="94">
        <f>E556</f>
        <v>42491</v>
      </c>
      <c r="D556" s="94" t="s">
        <v>685</v>
      </c>
      <c r="E556" s="94">
        <v>42491</v>
      </c>
      <c r="F556" s="95" t="s">
        <v>683</v>
      </c>
      <c r="G556" s="95"/>
      <c r="H556" s="96" t="s">
        <v>449</v>
      </c>
      <c r="I556" s="1188">
        <v>8500</v>
      </c>
      <c r="J556" s="1187">
        <v>14500</v>
      </c>
      <c r="K556" s="1189"/>
      <c r="L556" s="1188"/>
      <c r="M556" s="97">
        <f>ROUND(I556*J556,0)</f>
        <v>123250000</v>
      </c>
      <c r="N556" s="85" t="s">
        <v>282</v>
      </c>
      <c r="O556" s="85" t="s">
        <v>274</v>
      </c>
      <c r="P556" s="84" t="str">
        <f>IF(AND('331-CT'!$E$7=TH!H556,OR(N556="331",O556="331")),"x","")</f>
        <v/>
      </c>
      <c r="Q556" s="84" t="str">
        <f>IF(AND(B556='111'!$L$11,OR($N556=$Q$7,$O556=$Q$7)),"x","")</f>
        <v/>
      </c>
      <c r="R556" s="84" t="str">
        <f>IF(AND($N556=$Q$7,$B556&lt;'111'!$L$11),"x","")</f>
        <v/>
      </c>
      <c r="S556" s="84" t="str">
        <f>IF(AND($O556=$Q$7,$B556&lt;'111'!$L$11),"x","")</f>
        <v/>
      </c>
      <c r="T556" s="84" t="str">
        <f>IF(ISERROR(FIND('112'!$M$9,G556,1)),"",IF((AND(FIND('112'!$M$9,G556,1)&gt;=1,B556='112'!$K$9,OR($N556='112'!$I$6,$O556='112'!$I$6))),"x",""))</f>
        <v/>
      </c>
      <c r="U556" s="84" t="str">
        <f>IF(ISERROR(FIND('112'!$M$9,G556,1)),"",IF((AND(LEFT(G556,2)=LEFT('112'!$M$9,2),B556&lt;'112'!$K$9,$N556='112'!$I$6)),"x",""))</f>
        <v/>
      </c>
      <c r="V556" s="84" t="str">
        <f>IF(ISERROR(FIND('112'!$M$9,G556,1)),"",IF((AND(RIGHT(G556,2)=RIGHT('112'!$M$9,2),B556&lt;'112'!$K$9,$O556='112'!$I$6)),"x",""))</f>
        <v/>
      </c>
      <c r="W556" s="84" t="str">
        <f>IF(AND('341-CT'!$H$9=H556,OR(LEFT(N556,3)=$W$7,LEFT(O556,3)=$W$7)),"x","")</f>
        <v/>
      </c>
      <c r="X556" s="84" t="str">
        <f>IF(OR(TH!N556=TH!$X$7,O556=TH!$X$7),"x","")</f>
        <v/>
      </c>
      <c r="Y556" s="84" t="str">
        <f>IF(AND(OR(N556="131",O556="131"),H556='131-CT'!$H$9),"x","")</f>
        <v/>
      </c>
      <c r="Z556" s="84"/>
      <c r="AA556" s="84" t="str">
        <f>IF(AND(MONTH(E556)='IN-NX'!$J$5,'IN-NX'!$D$7=D556),"x","")</f>
        <v/>
      </c>
      <c r="AB556" s="84" t="str">
        <f>IF(AND(OR(LEFT(TH!N556,2)="15",LEFT(TH!O556,2)="15"),LEFT(TH!O556,3)&lt;&gt;"111",'152-CT'!$J$8=TH!F556),"x","")</f>
        <v/>
      </c>
      <c r="AC556" s="84" t="str">
        <f>IF(AND(OR(LEFT(TH!N556,2)="15",LEFT(TH!O556,2)="15"),TK!$E$7=TH!F556),"x","")</f>
        <v/>
      </c>
      <c r="AD556" s="84" t="str">
        <f>IF(AND(N556="1521",MONTH(C556)='BK-NL'!$M$11),"x","")</f>
        <v/>
      </c>
    </row>
    <row r="557" spans="1:31" s="341" customFormat="1" ht="15.75" hidden="1" customHeight="1">
      <c r="A557" s="336" t="str">
        <f>IF(B557&lt;&gt;"",IF(AND(B557='IN-TC'!$S$4,OR(TH!N557="1111",TH!O557="1111")),TH!D557,""),"")</f>
        <v/>
      </c>
      <c r="B557" s="63">
        <f t="shared" si="123"/>
        <v>5</v>
      </c>
      <c r="C557" s="94">
        <f>E557</f>
        <v>42494</v>
      </c>
      <c r="D557" s="94" t="s">
        <v>692</v>
      </c>
      <c r="E557" s="94">
        <v>42494</v>
      </c>
      <c r="F557" s="95" t="s">
        <v>683</v>
      </c>
      <c r="G557" s="95"/>
      <c r="H557" s="96" t="s">
        <v>449</v>
      </c>
      <c r="I557" s="445">
        <v>24055</v>
      </c>
      <c r="J557" s="1187">
        <v>14500</v>
      </c>
      <c r="K557" s="436"/>
      <c r="L557" s="445"/>
      <c r="M557" s="97">
        <f>ROUND(I557*J557,0)</f>
        <v>348797500</v>
      </c>
      <c r="N557" s="85" t="s">
        <v>282</v>
      </c>
      <c r="O557" s="85" t="s">
        <v>274</v>
      </c>
      <c r="P557" s="84" t="str">
        <f>IF(AND('331-CT'!$E$7=TH!H557,OR(N557="331",O557="331")),"x","")</f>
        <v/>
      </c>
      <c r="Q557" s="84" t="str">
        <f>IF(AND(B557='111'!$L$11,OR($N557=$Q$7,$O557=$Q$7)),"x","")</f>
        <v/>
      </c>
      <c r="R557" s="84" t="str">
        <f>IF(AND($N557=$Q$7,$B557&lt;'111'!$L$11),"x","")</f>
        <v/>
      </c>
      <c r="S557" s="84" t="str">
        <f>IF(AND($O557=$Q$7,$B557&lt;'111'!$L$11),"x","")</f>
        <v/>
      </c>
      <c r="T557" s="84" t="str">
        <f>IF(ISERROR(FIND('112'!$M$9,G557,1)),"",IF((AND(FIND('112'!$M$9,G557,1)&gt;=1,B557='112'!$K$9,OR($N557='112'!$I$6,$O557='112'!$I$6))),"x",""))</f>
        <v/>
      </c>
      <c r="U557" s="84" t="str">
        <f>IF(ISERROR(FIND('112'!$M$9,G557,1)),"",IF((AND(LEFT(G557,2)=LEFT('112'!$M$9,2),B557&lt;'112'!$K$9,$N557='112'!$I$6)),"x",""))</f>
        <v/>
      </c>
      <c r="V557" s="84" t="str">
        <f>IF(ISERROR(FIND('112'!$M$9,G557,1)),"",IF((AND(RIGHT(G557,2)=RIGHT('112'!$M$9,2),B557&lt;'112'!$K$9,$O557='112'!$I$6)),"x",""))</f>
        <v/>
      </c>
      <c r="W557" s="84" t="str">
        <f>IF(AND('341-CT'!$H$9=H557,OR(LEFT(N557,3)=$W$7,LEFT(O557,3)=$W$7)),"x","")</f>
        <v/>
      </c>
      <c r="X557" s="84" t="str">
        <f>IF(OR(TH!N557=TH!$X$7,O557=TH!$X$7),"x","")</f>
        <v/>
      </c>
      <c r="Y557" s="84" t="str">
        <f>IF(AND(OR(N557="131",O557="131"),H557='131-CT'!$H$9),"x","")</f>
        <v/>
      </c>
      <c r="Z557" s="84"/>
      <c r="AA557" s="84" t="str">
        <f>IF(AND(MONTH(E557)='IN-NX'!$J$5,'IN-NX'!$D$7=D557),"x","")</f>
        <v/>
      </c>
      <c r="AB557" s="84" t="str">
        <f>IF(AND(OR(LEFT(TH!N557,2)="15",LEFT(TH!O557,2)="15"),LEFT(TH!O557,3)&lt;&gt;"111",'152-CT'!$J$8=TH!F557),"x","")</f>
        <v/>
      </c>
      <c r="AC557" s="84" t="str">
        <f>IF(AND(OR(LEFT(TH!N557,2)="15",LEFT(TH!O557,2)="15"),TK!$E$7=TH!F557),"x","")</f>
        <v/>
      </c>
      <c r="AD557" s="84" t="str">
        <f>IF(AND(N557="1521",MONTH(C557)='BK-NL'!$M$11),"x","")</f>
        <v/>
      </c>
    </row>
    <row r="558" spans="1:31" s="341" customFormat="1" ht="15.75" hidden="1" customHeight="1">
      <c r="A558" s="336" t="str">
        <f>IF(B558&lt;&gt;"",IF(AND(B558='IN-TC'!$S$4,OR(TH!N558="1111",TH!O558="1111")),TH!D558,""),"")</f>
        <v/>
      </c>
      <c r="B558" s="63">
        <f t="shared" si="123"/>
        <v>5</v>
      </c>
      <c r="C558" s="94">
        <f>E558</f>
        <v>42500</v>
      </c>
      <c r="D558" s="94" t="s">
        <v>694</v>
      </c>
      <c r="E558" s="94">
        <v>42500</v>
      </c>
      <c r="F558" s="95" t="s">
        <v>683</v>
      </c>
      <c r="G558" s="95"/>
      <c r="H558" s="96" t="s">
        <v>449</v>
      </c>
      <c r="I558" s="445">
        <v>14345</v>
      </c>
      <c r="J558" s="1187">
        <v>14500</v>
      </c>
      <c r="K558" s="436"/>
      <c r="L558" s="445"/>
      <c r="M558" s="97">
        <f>ROUND(I558*J558,0)</f>
        <v>208002500</v>
      </c>
      <c r="N558" s="85" t="s">
        <v>282</v>
      </c>
      <c r="O558" s="85" t="s">
        <v>274</v>
      </c>
      <c r="P558" s="84" t="str">
        <f>IF(AND('331-CT'!$E$7=TH!H558,OR(N558="331",O558="331")),"x","")</f>
        <v/>
      </c>
      <c r="Q558" s="84" t="str">
        <f>IF(AND(B558='111'!$L$11,OR($N558=$Q$7,$O558=$Q$7)),"x","")</f>
        <v/>
      </c>
      <c r="R558" s="84" t="str">
        <f>IF(AND($N558=$Q$7,$B558&lt;'111'!$L$11),"x","")</f>
        <v/>
      </c>
      <c r="S558" s="84" t="str">
        <f>IF(AND($O558=$Q$7,$B558&lt;'111'!$L$11),"x","")</f>
        <v/>
      </c>
      <c r="T558" s="84" t="str">
        <f>IF(ISERROR(FIND('112'!$M$9,G558,1)),"",IF((AND(FIND('112'!$M$9,G558,1)&gt;=1,B558='112'!$K$9,OR($N558='112'!$I$6,$O558='112'!$I$6))),"x",""))</f>
        <v/>
      </c>
      <c r="U558" s="84" t="str">
        <f>IF(ISERROR(FIND('112'!$M$9,G558,1)),"",IF((AND(LEFT(G558,2)=LEFT('112'!$M$9,2),B558&lt;'112'!$K$9,$N558='112'!$I$6)),"x",""))</f>
        <v/>
      </c>
      <c r="V558" s="84" t="str">
        <f>IF(ISERROR(FIND('112'!$M$9,G558,1)),"",IF((AND(RIGHT(G558,2)=RIGHT('112'!$M$9,2),B558&lt;'112'!$K$9,$O558='112'!$I$6)),"x",""))</f>
        <v/>
      </c>
      <c r="W558" s="84" t="str">
        <f>IF(AND('341-CT'!$H$9=H558,OR(LEFT(N558,3)=$W$7,LEFT(O558,3)=$W$7)),"x","")</f>
        <v/>
      </c>
      <c r="X558" s="84" t="str">
        <f>IF(OR(TH!N558=TH!$X$7,O558=TH!$X$7),"x","")</f>
        <v/>
      </c>
      <c r="Y558" s="84" t="str">
        <f>IF(AND(OR(N558="131",O558="131"),H558='131-CT'!$H$9),"x","")</f>
        <v/>
      </c>
      <c r="Z558" s="84"/>
      <c r="AA558" s="84" t="str">
        <f>IF(AND(MONTH(E558)='IN-NX'!$J$5,'IN-NX'!$D$7=D558),"x","")</f>
        <v/>
      </c>
      <c r="AB558" s="84" t="str">
        <f>IF(AND(OR(LEFT(TH!N558,2)="15",LEFT(TH!O558,2)="15"),LEFT(TH!O558,3)&lt;&gt;"111",'152-CT'!$J$8=TH!F558),"x","")</f>
        <v/>
      </c>
      <c r="AC558" s="84" t="str">
        <f>IF(AND(OR(LEFT(TH!N558,2)="15",LEFT(TH!O558,2)="15"),TK!$E$7=TH!F558),"x","")</f>
        <v/>
      </c>
      <c r="AD558" s="84" t="str">
        <f>IF(AND(N558="1521",MONTH(C558)='BK-NL'!$M$11),"x","")</f>
        <v/>
      </c>
    </row>
    <row r="559" spans="1:31" ht="15.75" hidden="1" customHeight="1">
      <c r="A559" s="336" t="str">
        <f>IF(B559&lt;&gt;"",IF(AND(B559='IN-TC'!$S$4,OR(TH!N559="1111",TH!O559="1111")),TH!D559,""),"")</f>
        <v/>
      </c>
      <c r="B559" s="63">
        <f t="shared" si="123"/>
        <v>5</v>
      </c>
      <c r="C559" s="80">
        <f t="shared" ref="C559:C571" si="124">E559</f>
        <v>42505</v>
      </c>
      <c r="D559" s="80" t="s">
        <v>957</v>
      </c>
      <c r="E559" s="80">
        <v>42505</v>
      </c>
      <c r="F559" s="81" t="s">
        <v>684</v>
      </c>
      <c r="G559" s="81"/>
      <c r="H559" s="89" t="s">
        <v>428</v>
      </c>
      <c r="I559" s="438">
        <v>7489</v>
      </c>
      <c r="J559" s="438">
        <v>13500</v>
      </c>
      <c r="K559" s="429"/>
      <c r="L559" s="438"/>
      <c r="M559" s="83">
        <f t="shared" ref="M559:M571" si="125">ROUND(I559*J559,0)</f>
        <v>101101500</v>
      </c>
      <c r="N559" s="84" t="s">
        <v>274</v>
      </c>
      <c r="O559" s="84" t="s">
        <v>8</v>
      </c>
      <c r="P559" s="84" t="str">
        <f>IF(AND('331-CT'!$E$7=TH!H559,OR(N559="331",O559="331")),"x","")</f>
        <v/>
      </c>
      <c r="Q559" s="84" t="str">
        <f>IF(AND(B559='111'!$L$11,OR($N559=$Q$7,$O559=$Q$7)),"x","")</f>
        <v/>
      </c>
      <c r="R559" s="84" t="str">
        <f>IF(AND($N559=$Q$7,$B559&lt;'111'!$L$11),"x","")</f>
        <v/>
      </c>
      <c r="S559" s="84" t="str">
        <f>IF(AND($O559=$Q$7,$B559&lt;'111'!$L$11),"x","")</f>
        <v/>
      </c>
      <c r="T559" s="84" t="str">
        <f>IF(ISERROR(FIND('112'!$M$9,G559,1)),"",IF((AND(FIND('112'!$M$9,G559,1)&gt;=1,B559='112'!$K$9,OR($N559='112'!$I$6,$O559='112'!$I$6))),"x",""))</f>
        <v/>
      </c>
      <c r="U559" s="84" t="str">
        <f>IF(ISERROR(FIND('112'!$M$9,G559,1)),"",IF((AND(LEFT(G559,2)=LEFT('112'!$M$9,2),B559&lt;'112'!$K$9,$N559='112'!$I$6)),"x",""))</f>
        <v/>
      </c>
      <c r="V559" s="84" t="str">
        <f>IF(ISERROR(FIND('112'!$M$9,G559,1)),"",IF((AND(RIGHT(G559,2)=RIGHT('112'!$M$9,2),B559&lt;'112'!$K$9,$O559='112'!$I$6)),"x",""))</f>
        <v/>
      </c>
      <c r="W559" s="84" t="str">
        <f>IF(AND('341-CT'!$H$9=H559,OR(LEFT(N559,3)=$W$7,LEFT(O559,3)=$W$7)),"x","")</f>
        <v/>
      </c>
      <c r="X559" s="84" t="str">
        <f>IF(OR(TH!N559=TH!$X$7,O559=TH!$X$7),"x","")</f>
        <v/>
      </c>
      <c r="Y559" s="84" t="str">
        <f>IF(AND(OR(N559="131",O559="131"),H559='131-CT'!$H$9),"x","")</f>
        <v/>
      </c>
      <c r="Z559" s="84"/>
      <c r="AA559" s="84" t="str">
        <f>IF(AND(MONTH(E559)='IN-NX'!$J$5,'IN-NX'!$D$7=D559),"x","")</f>
        <v/>
      </c>
      <c r="AB559" s="84" t="str">
        <f>IF(AND(OR(LEFT(TH!N559,2)="15",LEFT(TH!O559,2)="15"),LEFT(TH!O559,3)&lt;&gt;"111",'152-CT'!$J$8=TH!F559),"x","")</f>
        <v/>
      </c>
      <c r="AC559" s="84" t="str">
        <f>IF(AND(OR(LEFT(TH!N559,2)="15",LEFT(TH!O559,2)="15"),TK!$E$7=TH!F559),"x","")</f>
        <v/>
      </c>
      <c r="AD559" s="84" t="str">
        <f>IF(AND(N559="1521",MONTH(C559)='BK-NL'!$M$11),"x","")</f>
        <v/>
      </c>
      <c r="AE559" s="1146" t="str">
        <f t="shared" ref="AE559:AE573" si="126">IF(H559&lt;&gt;VLOOKUP(H559,DSKH,1,0),"","x")</f>
        <v>x</v>
      </c>
    </row>
    <row r="560" spans="1:31" ht="15.75" hidden="1" customHeight="1">
      <c r="A560" s="336" t="str">
        <f>IF(B560&lt;&gt;"",IF(AND(B560='IN-TC'!$S$4,OR(TH!N560="1111",TH!O560="1111")),TH!D560,""),"")</f>
        <v/>
      </c>
      <c r="B560" s="63">
        <f t="shared" si="123"/>
        <v>5</v>
      </c>
      <c r="C560" s="80">
        <f t="shared" si="124"/>
        <v>42505</v>
      </c>
      <c r="D560" s="80" t="s">
        <v>958</v>
      </c>
      <c r="E560" s="80">
        <v>42505</v>
      </c>
      <c r="F560" s="81" t="s">
        <v>684</v>
      </c>
      <c r="G560" s="81"/>
      <c r="H560" s="82" t="s">
        <v>431</v>
      </c>
      <c r="I560" s="437">
        <v>7046</v>
      </c>
      <c r="J560" s="438">
        <v>13500</v>
      </c>
      <c r="K560" s="428"/>
      <c r="L560" s="437"/>
      <c r="M560" s="83">
        <f t="shared" si="125"/>
        <v>95121000</v>
      </c>
      <c r="N560" s="84" t="s">
        <v>274</v>
      </c>
      <c r="O560" s="84" t="s">
        <v>8</v>
      </c>
      <c r="P560" s="84" t="str">
        <f>IF(AND('331-CT'!$E$7=TH!H560,OR(N560="331",O560="331")),"x","")</f>
        <v/>
      </c>
      <c r="Q560" s="84" t="str">
        <f>IF(AND(B560='111'!$L$11,OR($N560=$Q$7,$O560=$Q$7)),"x","")</f>
        <v/>
      </c>
      <c r="R560" s="84" t="str">
        <f>IF(AND($N560=$Q$7,$B560&lt;'111'!$L$11),"x","")</f>
        <v/>
      </c>
      <c r="S560" s="84" t="str">
        <f>IF(AND($O560=$Q$7,$B560&lt;'111'!$L$11),"x","")</f>
        <v/>
      </c>
      <c r="T560" s="84" t="str">
        <f>IF(ISERROR(FIND('112'!$M$9,G560,1)),"",IF((AND(FIND('112'!$M$9,G560,1)&gt;=1,B560='112'!$K$9,OR($N560='112'!$I$6,$O560='112'!$I$6))),"x",""))</f>
        <v/>
      </c>
      <c r="U560" s="84" t="str">
        <f>IF(ISERROR(FIND('112'!$M$9,G560,1)),"",IF((AND(LEFT(G560,2)=LEFT('112'!$M$9,2),B560&lt;'112'!$K$9,$N560='112'!$I$6)),"x",""))</f>
        <v/>
      </c>
      <c r="V560" s="84" t="str">
        <f>IF(ISERROR(FIND('112'!$M$9,G560,1)),"",IF((AND(RIGHT(G560,2)=RIGHT('112'!$M$9,2),B560&lt;'112'!$K$9,$O560='112'!$I$6)),"x",""))</f>
        <v/>
      </c>
      <c r="W560" s="84" t="str">
        <f>IF(AND('341-CT'!$H$9=H560,OR(LEFT(N560,3)=$W$7,LEFT(O560,3)=$W$7)),"x","")</f>
        <v/>
      </c>
      <c r="X560" s="84" t="str">
        <f>IF(OR(TH!N560=TH!$X$7,O560=TH!$X$7),"x","")</f>
        <v/>
      </c>
      <c r="Y560" s="84" t="str">
        <f>IF(AND(OR(N560="131",O560="131"),H560='131-CT'!$H$9),"x","")</f>
        <v/>
      </c>
      <c r="Z560" s="84"/>
      <c r="AA560" s="84" t="str">
        <f>IF(AND(MONTH(E560)='IN-NX'!$J$5,'IN-NX'!$D$7=D560),"x","")</f>
        <v/>
      </c>
      <c r="AB560" s="84" t="str">
        <f>IF(AND(OR(LEFT(TH!N560,2)="15",LEFT(TH!O560,2)="15"),LEFT(TH!O560,3)&lt;&gt;"111",'152-CT'!$J$8=TH!F560),"x","")</f>
        <v/>
      </c>
      <c r="AC560" s="84" t="str">
        <f>IF(AND(OR(LEFT(TH!N560,2)="15",LEFT(TH!O560,2)="15"),TK!$E$7=TH!F560),"x","")</f>
        <v/>
      </c>
      <c r="AD560" s="84" t="str">
        <f>IF(AND(N560="1521",MONTH(C560)='BK-NL'!$M$11),"x","")</f>
        <v/>
      </c>
      <c r="AE560" s="1146" t="str">
        <f t="shared" si="126"/>
        <v>x</v>
      </c>
    </row>
    <row r="561" spans="1:31" ht="15.75" hidden="1" customHeight="1">
      <c r="A561" s="336" t="str">
        <f>IF(B561&lt;&gt;"",IF(AND(B561='IN-TC'!$S$4,OR(TH!N561="1111",TH!O561="1111")),TH!D561,""),"")</f>
        <v/>
      </c>
      <c r="B561" s="63">
        <f t="shared" si="123"/>
        <v>5</v>
      </c>
      <c r="C561" s="80">
        <f t="shared" si="124"/>
        <v>42505</v>
      </c>
      <c r="D561" s="80" t="s">
        <v>959</v>
      </c>
      <c r="E561" s="80">
        <v>42505</v>
      </c>
      <c r="F561" s="81" t="s">
        <v>684</v>
      </c>
      <c r="G561" s="81"/>
      <c r="H561" s="82" t="s">
        <v>433</v>
      </c>
      <c r="I561" s="437">
        <v>7596</v>
      </c>
      <c r="J561" s="438">
        <v>13500</v>
      </c>
      <c r="K561" s="428"/>
      <c r="L561" s="437"/>
      <c r="M561" s="83">
        <f t="shared" si="125"/>
        <v>102546000</v>
      </c>
      <c r="N561" s="84" t="s">
        <v>274</v>
      </c>
      <c r="O561" s="84" t="s">
        <v>8</v>
      </c>
      <c r="P561" s="84" t="str">
        <f>IF(AND('331-CT'!$E$7=TH!H561,OR(N561="331",O561="331")),"x","")</f>
        <v/>
      </c>
      <c r="Q561" s="84" t="str">
        <f>IF(AND(B561='111'!$L$11,OR($N561=$Q$7,$O561=$Q$7)),"x","")</f>
        <v/>
      </c>
      <c r="R561" s="84" t="str">
        <f>IF(AND($N561=$Q$7,$B561&lt;'111'!$L$11),"x","")</f>
        <v/>
      </c>
      <c r="S561" s="84" t="str">
        <f>IF(AND($O561=$Q$7,$B561&lt;'111'!$L$11),"x","")</f>
        <v/>
      </c>
      <c r="T561" s="84" t="str">
        <f>IF(ISERROR(FIND('112'!$M$9,G561,1)),"",IF((AND(FIND('112'!$M$9,G561,1)&gt;=1,B561='112'!$K$9,OR($N561='112'!$I$6,$O561='112'!$I$6))),"x",""))</f>
        <v/>
      </c>
      <c r="U561" s="84" t="str">
        <f>IF(ISERROR(FIND('112'!$M$9,G561,1)),"",IF((AND(LEFT(G561,2)=LEFT('112'!$M$9,2),B561&lt;'112'!$K$9,$N561='112'!$I$6)),"x",""))</f>
        <v/>
      </c>
      <c r="V561" s="84" t="str">
        <f>IF(ISERROR(FIND('112'!$M$9,G561,1)),"",IF((AND(RIGHT(G561,2)=RIGHT('112'!$M$9,2),B561&lt;'112'!$K$9,$O561='112'!$I$6)),"x",""))</f>
        <v/>
      </c>
      <c r="W561" s="84" t="str">
        <f>IF(AND('341-CT'!$H$9=H561,OR(LEFT(N561,3)=$W$7,LEFT(O561,3)=$W$7)),"x","")</f>
        <v/>
      </c>
      <c r="X561" s="84" t="str">
        <f>IF(OR(TH!N561=TH!$X$7,O561=TH!$X$7),"x","")</f>
        <v/>
      </c>
      <c r="Y561" s="84" t="str">
        <f>IF(AND(OR(N561="131",O561="131"),H561='131-CT'!$H$9),"x","")</f>
        <v/>
      </c>
      <c r="Z561" s="84"/>
      <c r="AA561" s="84" t="str">
        <f>IF(AND(MONTH(E561)='IN-NX'!$J$5,'IN-NX'!$D$7=D561),"x","")</f>
        <v/>
      </c>
      <c r="AB561" s="84" t="str">
        <f>IF(AND(OR(LEFT(TH!N561,2)="15",LEFT(TH!O561,2)="15"),LEFT(TH!O561,3)&lt;&gt;"111",'152-CT'!$J$8=TH!F561),"x","")</f>
        <v/>
      </c>
      <c r="AC561" s="84" t="str">
        <f>IF(AND(OR(LEFT(TH!N561,2)="15",LEFT(TH!O561,2)="15"),TK!$E$7=TH!F561),"x","")</f>
        <v/>
      </c>
      <c r="AD561" s="84" t="str">
        <f>IF(AND(N561="1521",MONTH(C561)='BK-NL'!$M$11),"x","")</f>
        <v/>
      </c>
      <c r="AE561" s="1146" t="str">
        <f t="shared" si="126"/>
        <v>x</v>
      </c>
    </row>
    <row r="562" spans="1:31" ht="15.75" hidden="1" customHeight="1">
      <c r="A562" s="336" t="str">
        <f>IF(B562&lt;&gt;"",IF(AND(B562='IN-TC'!$S$4,OR(TH!N562="1111",TH!O562="1111")),TH!D562,""),"")</f>
        <v/>
      </c>
      <c r="B562" s="63">
        <f t="shared" si="123"/>
        <v>5</v>
      </c>
      <c r="C562" s="80">
        <f t="shared" si="124"/>
        <v>42505</v>
      </c>
      <c r="D562" s="80" t="s">
        <v>960</v>
      </c>
      <c r="E562" s="80">
        <v>42505</v>
      </c>
      <c r="F562" s="81" t="s">
        <v>684</v>
      </c>
      <c r="G562" s="81"/>
      <c r="H562" s="82" t="s">
        <v>442</v>
      </c>
      <c r="I562" s="437">
        <v>7019</v>
      </c>
      <c r="J562" s="438">
        <v>13500</v>
      </c>
      <c r="K562" s="428"/>
      <c r="L562" s="437"/>
      <c r="M562" s="83">
        <f t="shared" si="125"/>
        <v>94756500</v>
      </c>
      <c r="N562" s="84" t="s">
        <v>274</v>
      </c>
      <c r="O562" s="84" t="s">
        <v>8</v>
      </c>
      <c r="P562" s="84" t="str">
        <f>IF(AND('331-CT'!$E$7=TH!H562,OR(N562="331",O562="331")),"x","")</f>
        <v/>
      </c>
      <c r="Q562" s="84" t="str">
        <f>IF(AND(B562='111'!$L$11,OR($N562=$Q$7,$O562=$Q$7)),"x","")</f>
        <v/>
      </c>
      <c r="R562" s="84" t="str">
        <f>IF(AND($N562=$Q$7,$B562&lt;'111'!$L$11),"x","")</f>
        <v/>
      </c>
      <c r="S562" s="84" t="str">
        <f>IF(AND($O562=$Q$7,$B562&lt;'111'!$L$11),"x","")</f>
        <v/>
      </c>
      <c r="T562" s="84" t="str">
        <f>IF(ISERROR(FIND('112'!$M$9,G562,1)),"",IF((AND(FIND('112'!$M$9,G562,1)&gt;=1,B562='112'!$K$9,OR($N562='112'!$I$6,$O562='112'!$I$6))),"x",""))</f>
        <v/>
      </c>
      <c r="U562" s="84" t="str">
        <f>IF(ISERROR(FIND('112'!$M$9,G562,1)),"",IF((AND(LEFT(G562,2)=LEFT('112'!$M$9,2),B562&lt;'112'!$K$9,$N562='112'!$I$6)),"x",""))</f>
        <v/>
      </c>
      <c r="V562" s="84" t="str">
        <f>IF(ISERROR(FIND('112'!$M$9,G562,1)),"",IF((AND(RIGHT(G562,2)=RIGHT('112'!$M$9,2),B562&lt;'112'!$K$9,$O562='112'!$I$6)),"x",""))</f>
        <v/>
      </c>
      <c r="W562" s="84" t="str">
        <f>IF(AND('341-CT'!$H$9=H562,OR(LEFT(N562,3)=$W$7,LEFT(O562,3)=$W$7)),"x","")</f>
        <v/>
      </c>
      <c r="X562" s="84" t="str">
        <f>IF(OR(TH!N562=TH!$X$7,O562=TH!$X$7),"x","")</f>
        <v/>
      </c>
      <c r="Y562" s="84" t="str">
        <f>IF(AND(OR(N562="131",O562="131"),H562='131-CT'!$H$9),"x","")</f>
        <v/>
      </c>
      <c r="Z562" s="84"/>
      <c r="AA562" s="84" t="str">
        <f>IF(AND(MONTH(E562)='IN-NX'!$J$5,'IN-NX'!$D$7=D562),"x","")</f>
        <v/>
      </c>
      <c r="AB562" s="84" t="str">
        <f>IF(AND(OR(LEFT(TH!N562,2)="15",LEFT(TH!O562,2)="15"),LEFT(TH!O562,3)&lt;&gt;"111",'152-CT'!$J$8=TH!F562),"x","")</f>
        <v/>
      </c>
      <c r="AC562" s="84" t="str">
        <f>IF(AND(OR(LEFT(TH!N562,2)="15",LEFT(TH!O562,2)="15"),TK!$E$7=TH!F562),"x","")</f>
        <v/>
      </c>
      <c r="AD562" s="84" t="str">
        <f>IF(AND(N562="1521",MONTH(C562)='BK-NL'!$M$11),"x","")</f>
        <v/>
      </c>
      <c r="AE562" s="1146" t="str">
        <f t="shared" si="126"/>
        <v>x</v>
      </c>
    </row>
    <row r="563" spans="1:31" ht="15.75" hidden="1" customHeight="1">
      <c r="A563" s="336" t="str">
        <f>IF(B563&lt;&gt;"",IF(AND(B563='IN-TC'!$S$4,OR(TH!N563="1111",TH!O563="1111")),TH!D563,""),"")</f>
        <v/>
      </c>
      <c r="B563" s="63">
        <f t="shared" si="123"/>
        <v>5</v>
      </c>
      <c r="C563" s="80">
        <f t="shared" si="124"/>
        <v>42505</v>
      </c>
      <c r="D563" s="80" t="s">
        <v>961</v>
      </c>
      <c r="E563" s="80">
        <v>42505</v>
      </c>
      <c r="F563" s="81" t="s">
        <v>684</v>
      </c>
      <c r="G563" s="81"/>
      <c r="H563" s="82" t="s">
        <v>446</v>
      </c>
      <c r="I563" s="437">
        <v>7982</v>
      </c>
      <c r="J563" s="438">
        <v>13500</v>
      </c>
      <c r="K563" s="428"/>
      <c r="L563" s="437"/>
      <c r="M563" s="83">
        <f t="shared" si="125"/>
        <v>107757000</v>
      </c>
      <c r="N563" s="84" t="s">
        <v>274</v>
      </c>
      <c r="O563" s="84" t="s">
        <v>8</v>
      </c>
      <c r="P563" s="84" t="str">
        <f>IF(AND('331-CT'!$E$7=TH!H563,OR(N563="331",O563="331")),"x","")</f>
        <v/>
      </c>
      <c r="Q563" s="84" t="str">
        <f>IF(AND(B563='111'!$L$11,OR($N563=$Q$7,$O563=$Q$7)),"x","")</f>
        <v/>
      </c>
      <c r="R563" s="84" t="str">
        <f>IF(AND($N563=$Q$7,$B563&lt;'111'!$L$11),"x","")</f>
        <v/>
      </c>
      <c r="S563" s="84" t="str">
        <f>IF(AND($O563=$Q$7,$B563&lt;'111'!$L$11),"x","")</f>
        <v/>
      </c>
      <c r="T563" s="84" t="str">
        <f>IF(ISERROR(FIND('112'!$M$9,G563,1)),"",IF((AND(FIND('112'!$M$9,G563,1)&gt;=1,B563='112'!$K$9,OR($N563='112'!$I$6,$O563='112'!$I$6))),"x",""))</f>
        <v/>
      </c>
      <c r="U563" s="84" t="str">
        <f>IF(ISERROR(FIND('112'!$M$9,G563,1)),"",IF((AND(LEFT(G563,2)=LEFT('112'!$M$9,2),B563&lt;'112'!$K$9,$N563='112'!$I$6)),"x",""))</f>
        <v/>
      </c>
      <c r="V563" s="84" t="str">
        <f>IF(ISERROR(FIND('112'!$M$9,G563,1)),"",IF((AND(RIGHT(G563,2)=RIGHT('112'!$M$9,2),B563&lt;'112'!$K$9,$O563='112'!$I$6)),"x",""))</f>
        <v/>
      </c>
      <c r="W563" s="84" t="str">
        <f>IF(AND('341-CT'!$H$9=H563,OR(LEFT(N563,3)=$W$7,LEFT(O563,3)=$W$7)),"x","")</f>
        <v/>
      </c>
      <c r="X563" s="84" t="str">
        <f>IF(OR(TH!N563=TH!$X$7,O563=TH!$X$7),"x","")</f>
        <v/>
      </c>
      <c r="Y563" s="84" t="str">
        <f>IF(AND(OR(N563="131",O563="131"),H563='131-CT'!$H$9),"x","")</f>
        <v/>
      </c>
      <c r="Z563" s="84"/>
      <c r="AA563" s="84" t="str">
        <f>IF(AND(MONTH(E563)='IN-NX'!$J$5,'IN-NX'!$D$7=D563),"x","")</f>
        <v/>
      </c>
      <c r="AB563" s="84" t="str">
        <f>IF(AND(OR(LEFT(TH!N563,2)="15",LEFT(TH!O563,2)="15"),LEFT(TH!O563,3)&lt;&gt;"111",'152-CT'!$J$8=TH!F563),"x","")</f>
        <v/>
      </c>
      <c r="AC563" s="84" t="str">
        <f>IF(AND(OR(LEFT(TH!N563,2)="15",LEFT(TH!O563,2)="15"),TK!$E$7=TH!F563),"x","")</f>
        <v/>
      </c>
      <c r="AD563" s="84" t="str">
        <f>IF(AND(N563="1521",MONTH(C563)='BK-NL'!$M$11),"x","")</f>
        <v/>
      </c>
      <c r="AE563" s="1146" t="str">
        <f t="shared" si="126"/>
        <v>x</v>
      </c>
    </row>
    <row r="564" spans="1:31" ht="15.75" hidden="1" customHeight="1">
      <c r="A564" s="336" t="str">
        <f>IF(B564&lt;&gt;"",IF(AND(B564='IN-TC'!$S$4,OR(TH!N564="1111",TH!O564="1111")),TH!D564,""),"")</f>
        <v/>
      </c>
      <c r="B564" s="63">
        <f t="shared" si="123"/>
        <v>5</v>
      </c>
      <c r="C564" s="80">
        <f t="shared" si="124"/>
        <v>42511</v>
      </c>
      <c r="D564" s="80" t="s">
        <v>1969</v>
      </c>
      <c r="E564" s="80">
        <v>42511</v>
      </c>
      <c r="F564" s="81" t="s">
        <v>684</v>
      </c>
      <c r="G564" s="81"/>
      <c r="H564" s="82" t="s">
        <v>437</v>
      </c>
      <c r="I564" s="437">
        <v>7430</v>
      </c>
      <c r="J564" s="438">
        <v>13500</v>
      </c>
      <c r="K564" s="428"/>
      <c r="L564" s="437"/>
      <c r="M564" s="83">
        <f t="shared" si="125"/>
        <v>100305000</v>
      </c>
      <c r="N564" s="84" t="s">
        <v>274</v>
      </c>
      <c r="O564" s="84" t="s">
        <v>8</v>
      </c>
      <c r="P564" s="84" t="str">
        <f>IF(AND('331-CT'!$E$7=TH!H564,OR(N564="331",O564="331")),"x","")</f>
        <v/>
      </c>
      <c r="Q564" s="84" t="str">
        <f>IF(AND(B564='111'!$L$11,OR($N564=$Q$7,$O564=$Q$7)),"x","")</f>
        <v/>
      </c>
      <c r="R564" s="84" t="str">
        <f>IF(AND($N564=$Q$7,$B564&lt;'111'!$L$11),"x","")</f>
        <v/>
      </c>
      <c r="S564" s="84" t="str">
        <f>IF(AND($O564=$Q$7,$B564&lt;'111'!$L$11),"x","")</f>
        <v/>
      </c>
      <c r="T564" s="84" t="str">
        <f>IF(ISERROR(FIND('112'!$M$9,G564,1)),"",IF((AND(FIND('112'!$M$9,G564,1)&gt;=1,B564='112'!$K$9,OR($N564='112'!$I$6,$O564='112'!$I$6))),"x",""))</f>
        <v/>
      </c>
      <c r="U564" s="84" t="str">
        <f>IF(ISERROR(FIND('112'!$M$9,G564,1)),"",IF((AND(LEFT(G564,2)=LEFT('112'!$M$9,2),B564&lt;'112'!$K$9,$N564='112'!$I$6)),"x",""))</f>
        <v/>
      </c>
      <c r="V564" s="84" t="str">
        <f>IF(ISERROR(FIND('112'!$M$9,G564,1)),"",IF((AND(RIGHT(G564,2)=RIGHT('112'!$M$9,2),B564&lt;'112'!$K$9,$O564='112'!$I$6)),"x",""))</f>
        <v/>
      </c>
      <c r="W564" s="84" t="str">
        <f>IF(AND('341-CT'!$H$9=H564,OR(LEFT(N564,3)=$W$7,LEFT(O564,3)=$W$7)),"x","")</f>
        <v/>
      </c>
      <c r="X564" s="84" t="str">
        <f>IF(OR(TH!N564=TH!$X$7,O564=TH!$X$7),"x","")</f>
        <v/>
      </c>
      <c r="Y564" s="84" t="str">
        <f>IF(AND(OR(N564="131",O564="131"),H564='131-CT'!$H$9),"x","")</f>
        <v/>
      </c>
      <c r="Z564" s="84"/>
      <c r="AA564" s="84" t="str">
        <f>IF(AND(MONTH(E564)='IN-NX'!$J$5,'IN-NX'!$D$7=D564),"x","")</f>
        <v/>
      </c>
      <c r="AB564" s="84" t="str">
        <f>IF(AND(OR(LEFT(TH!N564,2)="15",LEFT(TH!O564,2)="15"),LEFT(TH!O564,3)&lt;&gt;"111",'152-CT'!$J$8=TH!F564),"x","")</f>
        <v/>
      </c>
      <c r="AC564" s="84" t="str">
        <f>IF(AND(OR(LEFT(TH!N564,2)="15",LEFT(TH!O564,2)="15"),TK!$E$7=TH!F564),"x","")</f>
        <v/>
      </c>
      <c r="AD564" s="84" t="str">
        <f>IF(AND(N564="1521",MONTH(C564)='BK-NL'!$M$11),"x","")</f>
        <v/>
      </c>
      <c r="AE564" s="1146" t="str">
        <f t="shared" si="126"/>
        <v>x</v>
      </c>
    </row>
    <row r="565" spans="1:31" ht="15.75" hidden="1" customHeight="1">
      <c r="A565" s="336" t="str">
        <f>IF(B565&lt;&gt;"",IF(AND(B565='IN-TC'!$S$4,OR(TH!N565="1111",TH!O565="1111")),TH!D565,""),"")</f>
        <v/>
      </c>
      <c r="B565" s="63">
        <f t="shared" si="123"/>
        <v>5</v>
      </c>
      <c r="C565" s="80">
        <f t="shared" si="124"/>
        <v>42511</v>
      </c>
      <c r="D565" s="80" t="s">
        <v>1970</v>
      </c>
      <c r="E565" s="80">
        <v>42511</v>
      </c>
      <c r="F565" s="81" t="s">
        <v>684</v>
      </c>
      <c r="G565" s="81"/>
      <c r="H565" s="82" t="s">
        <v>438</v>
      </c>
      <c r="I565" s="437">
        <v>7410</v>
      </c>
      <c r="J565" s="438">
        <v>13500</v>
      </c>
      <c r="K565" s="428"/>
      <c r="L565" s="437"/>
      <c r="M565" s="83">
        <f t="shared" si="125"/>
        <v>100035000</v>
      </c>
      <c r="N565" s="84" t="s">
        <v>274</v>
      </c>
      <c r="O565" s="84" t="s">
        <v>8</v>
      </c>
      <c r="P565" s="84" t="str">
        <f>IF(AND('331-CT'!$E$7=TH!H565,OR(N565="331",O565="331")),"x","")</f>
        <v/>
      </c>
      <c r="Q565" s="84" t="str">
        <f>IF(AND(B565='111'!$L$11,OR($N565=$Q$7,$O565=$Q$7)),"x","")</f>
        <v/>
      </c>
      <c r="R565" s="84" t="str">
        <f>IF(AND($N565=$Q$7,$B565&lt;'111'!$L$11),"x","")</f>
        <v/>
      </c>
      <c r="S565" s="84" t="str">
        <f>IF(AND($O565=$Q$7,$B565&lt;'111'!$L$11),"x","")</f>
        <v/>
      </c>
      <c r="T565" s="84" t="str">
        <f>IF(ISERROR(FIND('112'!$M$9,G565,1)),"",IF((AND(FIND('112'!$M$9,G565,1)&gt;=1,B565='112'!$K$9,OR($N565='112'!$I$6,$O565='112'!$I$6))),"x",""))</f>
        <v/>
      </c>
      <c r="U565" s="84" t="str">
        <f>IF(ISERROR(FIND('112'!$M$9,G565,1)),"",IF((AND(LEFT(G565,2)=LEFT('112'!$M$9,2),B565&lt;'112'!$K$9,$N565='112'!$I$6)),"x",""))</f>
        <v/>
      </c>
      <c r="V565" s="84" t="str">
        <f>IF(ISERROR(FIND('112'!$M$9,G565,1)),"",IF((AND(RIGHT(G565,2)=RIGHT('112'!$M$9,2),B565&lt;'112'!$K$9,$O565='112'!$I$6)),"x",""))</f>
        <v/>
      </c>
      <c r="W565" s="84" t="str">
        <f>IF(AND('341-CT'!$H$9=H565,OR(LEFT(N565,3)=$W$7,LEFT(O565,3)=$W$7)),"x","")</f>
        <v/>
      </c>
      <c r="X565" s="84" t="str">
        <f>IF(OR(TH!N565=TH!$X$7,O565=TH!$X$7),"x","")</f>
        <v/>
      </c>
      <c r="Y565" s="84" t="str">
        <f>IF(AND(OR(N565="131",O565="131"),H565='131-CT'!$H$9),"x","")</f>
        <v/>
      </c>
      <c r="Z565" s="84"/>
      <c r="AA565" s="84" t="str">
        <f>IF(AND(MONTH(E565)='IN-NX'!$J$5,'IN-NX'!$D$7=D565),"x","")</f>
        <v/>
      </c>
      <c r="AB565" s="84" t="str">
        <f>IF(AND(OR(LEFT(TH!N565,2)="15",LEFT(TH!O565,2)="15"),LEFT(TH!O565,3)&lt;&gt;"111",'152-CT'!$J$8=TH!F565),"x","")</f>
        <v/>
      </c>
      <c r="AC565" s="84" t="str">
        <f>IF(AND(OR(LEFT(TH!N565,2)="15",LEFT(TH!O565,2)="15"),TK!$E$7=TH!F565),"x","")</f>
        <v/>
      </c>
      <c r="AD565" s="84" t="str">
        <f>IF(AND(N565="1521",MONTH(C565)='BK-NL'!$M$11),"x","")</f>
        <v/>
      </c>
      <c r="AE565" s="1146" t="str">
        <f t="shared" si="126"/>
        <v>x</v>
      </c>
    </row>
    <row r="566" spans="1:31" ht="15.75" hidden="1" customHeight="1">
      <c r="A566" s="336" t="str">
        <f>IF(B566&lt;&gt;"",IF(AND(B566='IN-TC'!$S$4,OR(TH!N566="1111",TH!O566="1111")),TH!D566,""),"")</f>
        <v/>
      </c>
      <c r="B566" s="63">
        <f>IF(C566&lt;&gt;"",MONTH(C566),"")</f>
        <v>5</v>
      </c>
      <c r="C566" s="80">
        <f>E566</f>
        <v>42511</v>
      </c>
      <c r="D566" s="80" t="s">
        <v>1971</v>
      </c>
      <c r="E566" s="80">
        <v>42511</v>
      </c>
      <c r="F566" s="81" t="s">
        <v>684</v>
      </c>
      <c r="G566" s="81"/>
      <c r="H566" s="82" t="s">
        <v>442</v>
      </c>
      <c r="I566" s="437">
        <v>7201</v>
      </c>
      <c r="J566" s="438">
        <v>13500</v>
      </c>
      <c r="K566" s="428"/>
      <c r="L566" s="437"/>
      <c r="M566" s="83">
        <f>ROUND(I566*J566,0)</f>
        <v>97213500</v>
      </c>
      <c r="N566" s="84" t="s">
        <v>274</v>
      </c>
      <c r="O566" s="84" t="s">
        <v>8</v>
      </c>
      <c r="P566" s="84" t="str">
        <f>IF(AND('331-CT'!$E$7=TH!H566,OR(N566="331",O566="331")),"x","")</f>
        <v/>
      </c>
      <c r="Q566" s="84" t="str">
        <f>IF(AND(B566='111'!$L$11,OR($N566=$Q$7,$O566=$Q$7)),"x","")</f>
        <v/>
      </c>
      <c r="R566" s="84" t="str">
        <f>IF(AND($N566=$Q$7,$B566&lt;'111'!$L$11),"x","")</f>
        <v/>
      </c>
      <c r="S566" s="84" t="str">
        <f>IF(AND($O566=$Q$7,$B566&lt;'111'!$L$11),"x","")</f>
        <v/>
      </c>
      <c r="T566" s="84" t="str">
        <f>IF(ISERROR(FIND('112'!$M$9,G566,1)),"",IF((AND(FIND('112'!$M$9,G566,1)&gt;=1,B566='112'!$K$9,OR($N566='112'!$I$6,$O566='112'!$I$6))),"x",""))</f>
        <v/>
      </c>
      <c r="U566" s="84" t="str">
        <f>IF(ISERROR(FIND('112'!$M$9,G566,1)),"",IF((AND(LEFT(G566,2)=LEFT('112'!$M$9,2),B566&lt;'112'!$K$9,$N566='112'!$I$6)),"x",""))</f>
        <v/>
      </c>
      <c r="V566" s="84" t="str">
        <f>IF(ISERROR(FIND('112'!$M$9,G566,1)),"",IF((AND(RIGHT(G566,2)=RIGHT('112'!$M$9,2),B566&lt;'112'!$K$9,$O566='112'!$I$6)),"x",""))</f>
        <v/>
      </c>
      <c r="W566" s="84" t="str">
        <f>IF(AND('341-CT'!$H$9=H566,OR(LEFT(N566,3)=$W$7,LEFT(O566,3)=$W$7)),"x","")</f>
        <v/>
      </c>
      <c r="X566" s="84" t="str">
        <f>IF(OR(TH!N566=TH!$X$7,O566=TH!$X$7),"x","")</f>
        <v/>
      </c>
      <c r="Y566" s="84" t="str">
        <f>IF(AND(OR(N566="131",O566="131"),H566='131-CT'!$H$9),"x","")</f>
        <v/>
      </c>
      <c r="Z566" s="84"/>
      <c r="AA566" s="84" t="str">
        <f>IF(AND(MONTH(E566)='IN-NX'!$J$5,'IN-NX'!$D$7=D566),"x","")</f>
        <v/>
      </c>
      <c r="AB566" s="84" t="str">
        <f>IF(AND(OR(LEFT(TH!N566,2)="15",LEFT(TH!O566,2)="15"),LEFT(TH!O566,3)&lt;&gt;"111",'152-CT'!$J$8=TH!F566),"x","")</f>
        <v/>
      </c>
      <c r="AC566" s="84" t="str">
        <f>IF(AND(OR(LEFT(TH!N566,2)="15",LEFT(TH!O566,2)="15"),TK!$E$7=TH!F566),"x","")</f>
        <v/>
      </c>
      <c r="AD566" s="84" t="str">
        <f>IF(AND(N566="1521",MONTH(C566)='BK-NL'!$M$11),"x","")</f>
        <v/>
      </c>
      <c r="AE566" s="1146" t="str">
        <f t="shared" si="126"/>
        <v>x</v>
      </c>
    </row>
    <row r="567" spans="1:31" ht="15.75" hidden="1" customHeight="1">
      <c r="A567" s="336" t="str">
        <f>IF(B567&lt;&gt;"",IF(AND(B567='IN-TC'!$S$4,OR(TH!N567="1111",TH!O567="1111")),TH!D567,""),"")</f>
        <v/>
      </c>
      <c r="B567" s="63">
        <f>IF(C567&lt;&gt;"",MONTH(C567),"")</f>
        <v>5</v>
      </c>
      <c r="C567" s="80">
        <f>E567</f>
        <v>42511</v>
      </c>
      <c r="D567" s="80" t="s">
        <v>1972</v>
      </c>
      <c r="E567" s="80">
        <v>42511</v>
      </c>
      <c r="F567" s="81" t="s">
        <v>684</v>
      </c>
      <c r="G567" s="81"/>
      <c r="H567" s="82" t="s">
        <v>446</v>
      </c>
      <c r="I567" s="437">
        <v>7015</v>
      </c>
      <c r="J567" s="438">
        <v>13500</v>
      </c>
      <c r="K567" s="428"/>
      <c r="L567" s="437"/>
      <c r="M567" s="83">
        <f>ROUND(I567*J567,0)</f>
        <v>94702500</v>
      </c>
      <c r="N567" s="84" t="s">
        <v>274</v>
      </c>
      <c r="O567" s="84" t="s">
        <v>8</v>
      </c>
      <c r="P567" s="84" t="str">
        <f>IF(AND('331-CT'!$E$7=TH!H567,OR(N567="331",O567="331")),"x","")</f>
        <v/>
      </c>
      <c r="Q567" s="84" t="str">
        <f>IF(AND(B567='111'!$L$11,OR($N567=$Q$7,$O567=$Q$7)),"x","")</f>
        <v/>
      </c>
      <c r="R567" s="84" t="str">
        <f>IF(AND($N567=$Q$7,$B567&lt;'111'!$L$11),"x","")</f>
        <v/>
      </c>
      <c r="S567" s="84" t="str">
        <f>IF(AND($O567=$Q$7,$B567&lt;'111'!$L$11),"x","")</f>
        <v/>
      </c>
      <c r="T567" s="84" t="str">
        <f>IF(ISERROR(FIND('112'!$M$9,G567,1)),"",IF((AND(FIND('112'!$M$9,G567,1)&gt;=1,B567='112'!$K$9,OR($N567='112'!$I$6,$O567='112'!$I$6))),"x",""))</f>
        <v/>
      </c>
      <c r="U567" s="84" t="str">
        <f>IF(ISERROR(FIND('112'!$M$9,G567,1)),"",IF((AND(LEFT(G567,2)=LEFT('112'!$M$9,2),B567&lt;'112'!$K$9,$N567='112'!$I$6)),"x",""))</f>
        <v/>
      </c>
      <c r="V567" s="84" t="str">
        <f>IF(ISERROR(FIND('112'!$M$9,G567,1)),"",IF((AND(RIGHT(G567,2)=RIGHT('112'!$M$9,2),B567&lt;'112'!$K$9,$O567='112'!$I$6)),"x",""))</f>
        <v/>
      </c>
      <c r="W567" s="84" t="str">
        <f>IF(AND('341-CT'!$H$9=H567,OR(LEFT(N567,3)=$W$7,LEFT(O567,3)=$W$7)),"x","")</f>
        <v/>
      </c>
      <c r="X567" s="84" t="str">
        <f>IF(OR(TH!N567=TH!$X$7,O567=TH!$X$7),"x","")</f>
        <v/>
      </c>
      <c r="Y567" s="84" t="str">
        <f>IF(AND(OR(N567="131",O567="131"),H567='131-CT'!$H$9),"x","")</f>
        <v/>
      </c>
      <c r="Z567" s="84"/>
      <c r="AA567" s="84" t="str">
        <f>IF(AND(MONTH(E567)='IN-NX'!$J$5,'IN-NX'!$D$7=D567),"x","")</f>
        <v/>
      </c>
      <c r="AB567" s="84" t="str">
        <f>IF(AND(OR(LEFT(TH!N567,2)="15",LEFT(TH!O567,2)="15"),LEFT(TH!O567,3)&lt;&gt;"111",'152-CT'!$J$8=TH!F567),"x","")</f>
        <v/>
      </c>
      <c r="AC567" s="84" t="str">
        <f>IF(AND(OR(LEFT(TH!N567,2)="15",LEFT(TH!O567,2)="15"),TK!$E$7=TH!F567),"x","")</f>
        <v/>
      </c>
      <c r="AD567" s="84" t="str">
        <f>IF(AND(N567="1521",MONTH(C567)='BK-NL'!$M$11),"x","")</f>
        <v/>
      </c>
      <c r="AE567" s="1146" t="str">
        <f t="shared" si="126"/>
        <v>x</v>
      </c>
    </row>
    <row r="568" spans="1:31" ht="15.75" hidden="1" customHeight="1">
      <c r="A568" s="336" t="str">
        <f>IF(B568&lt;&gt;"",IF(AND(B568='IN-TC'!$S$4,OR(TH!N568="1111",TH!O568="1111")),TH!D568,""),"")</f>
        <v/>
      </c>
      <c r="B568" s="63">
        <f>IF(C568&lt;&gt;"",MONTH(C568),"")</f>
        <v>5</v>
      </c>
      <c r="C568" s="80">
        <f>E568</f>
        <v>42511</v>
      </c>
      <c r="D568" s="80" t="s">
        <v>1973</v>
      </c>
      <c r="E568" s="80">
        <v>42511</v>
      </c>
      <c r="F568" s="81" t="s">
        <v>684</v>
      </c>
      <c r="G568" s="81"/>
      <c r="H568" s="82" t="s">
        <v>438</v>
      </c>
      <c r="I568" s="437">
        <v>7049</v>
      </c>
      <c r="J568" s="438">
        <v>13500</v>
      </c>
      <c r="K568" s="428"/>
      <c r="L568" s="437"/>
      <c r="M568" s="83">
        <f>ROUND(I568*J568,0)</f>
        <v>95161500</v>
      </c>
      <c r="N568" s="84" t="s">
        <v>274</v>
      </c>
      <c r="O568" s="84" t="s">
        <v>8</v>
      </c>
      <c r="P568" s="84" t="str">
        <f>IF(AND('331-CT'!$E$7=TH!H568,OR(N568="331",O568="331")),"x","")</f>
        <v/>
      </c>
      <c r="Q568" s="84" t="str">
        <f>IF(AND(B568='111'!$L$11,OR($N568=$Q$7,$O568=$Q$7)),"x","")</f>
        <v/>
      </c>
      <c r="R568" s="84" t="str">
        <f>IF(AND($N568=$Q$7,$B568&lt;'111'!$L$11),"x","")</f>
        <v/>
      </c>
      <c r="S568" s="84" t="str">
        <f>IF(AND($O568=$Q$7,$B568&lt;'111'!$L$11),"x","")</f>
        <v/>
      </c>
      <c r="T568" s="84" t="str">
        <f>IF(ISERROR(FIND('112'!$M$9,G568,1)),"",IF((AND(FIND('112'!$M$9,G568,1)&gt;=1,B568='112'!$K$9,OR($N568='112'!$I$6,$O568='112'!$I$6))),"x",""))</f>
        <v/>
      </c>
      <c r="U568" s="84" t="str">
        <f>IF(ISERROR(FIND('112'!$M$9,G568,1)),"",IF((AND(LEFT(G568,2)=LEFT('112'!$M$9,2),B568&lt;'112'!$K$9,$N568='112'!$I$6)),"x",""))</f>
        <v/>
      </c>
      <c r="V568" s="84" t="str">
        <f>IF(ISERROR(FIND('112'!$M$9,G568,1)),"",IF((AND(RIGHT(G568,2)=RIGHT('112'!$M$9,2),B568&lt;'112'!$K$9,$O568='112'!$I$6)),"x",""))</f>
        <v/>
      </c>
      <c r="W568" s="84" t="str">
        <f>IF(AND('341-CT'!$H$9=H568,OR(LEFT(N568,3)=$W$7,LEFT(O568,3)=$W$7)),"x","")</f>
        <v/>
      </c>
      <c r="X568" s="84" t="str">
        <f>IF(OR(TH!N568=TH!$X$7,O568=TH!$X$7),"x","")</f>
        <v/>
      </c>
      <c r="Y568" s="84" t="str">
        <f>IF(AND(OR(N568="131",O568="131"),H568='131-CT'!$H$9),"x","")</f>
        <v/>
      </c>
      <c r="Z568" s="84"/>
      <c r="AA568" s="84" t="str">
        <f>IF(AND(MONTH(E568)='IN-NX'!$J$5,'IN-NX'!$D$7=D568),"x","")</f>
        <v/>
      </c>
      <c r="AB568" s="84" t="str">
        <f>IF(AND(OR(LEFT(TH!N568,2)="15",LEFT(TH!O568,2)="15"),LEFT(TH!O568,3)&lt;&gt;"111",'152-CT'!$J$8=TH!F568),"x","")</f>
        <v/>
      </c>
      <c r="AC568" s="84" t="str">
        <f>IF(AND(OR(LEFT(TH!N568,2)="15",LEFT(TH!O568,2)="15"),TK!$E$7=TH!F568),"x","")</f>
        <v/>
      </c>
      <c r="AD568" s="84" t="str">
        <f>IF(AND(N568="1521",MONTH(C568)='BK-NL'!$M$11),"x","")</f>
        <v/>
      </c>
      <c r="AE568" s="1146" t="str">
        <f t="shared" si="126"/>
        <v>x</v>
      </c>
    </row>
    <row r="569" spans="1:31" ht="15.75" hidden="1" customHeight="1">
      <c r="A569" s="336" t="str">
        <f>IF(B569&lt;&gt;"",IF(AND(B569='IN-TC'!$S$4,OR(TH!N569="1111",TH!O569="1111")),TH!D569,""),"")</f>
        <v/>
      </c>
      <c r="B569" s="63">
        <f t="shared" si="123"/>
        <v>5</v>
      </c>
      <c r="C569" s="80">
        <f t="shared" si="124"/>
        <v>42516</v>
      </c>
      <c r="D569" s="80" t="s">
        <v>1974</v>
      </c>
      <c r="E569" s="80">
        <v>42516</v>
      </c>
      <c r="F569" s="81" t="s">
        <v>684</v>
      </c>
      <c r="G569" s="81"/>
      <c r="H569" s="82" t="s">
        <v>433</v>
      </c>
      <c r="I569" s="437">
        <v>7152</v>
      </c>
      <c r="J569" s="438">
        <v>13500</v>
      </c>
      <c r="K569" s="428"/>
      <c r="L569" s="437"/>
      <c r="M569" s="83">
        <f t="shared" si="125"/>
        <v>96552000</v>
      </c>
      <c r="N569" s="84" t="s">
        <v>274</v>
      </c>
      <c r="O569" s="84" t="s">
        <v>8</v>
      </c>
      <c r="P569" s="84" t="str">
        <f>IF(AND('331-CT'!$E$7=TH!H569,OR(N569="331",O569="331")),"x","")</f>
        <v/>
      </c>
      <c r="Q569" s="84" t="str">
        <f>IF(AND(B569='111'!$L$11,OR($N569=$Q$7,$O569=$Q$7)),"x","")</f>
        <v/>
      </c>
      <c r="R569" s="84" t="str">
        <f>IF(AND($N569=$Q$7,$B569&lt;'111'!$L$11),"x","")</f>
        <v/>
      </c>
      <c r="S569" s="84" t="str">
        <f>IF(AND($O569=$Q$7,$B569&lt;'111'!$L$11),"x","")</f>
        <v/>
      </c>
      <c r="T569" s="84" t="str">
        <f>IF(ISERROR(FIND('112'!$M$9,G569,1)),"",IF((AND(FIND('112'!$M$9,G569,1)&gt;=1,B569='112'!$K$9,OR($N569='112'!$I$6,$O569='112'!$I$6))),"x",""))</f>
        <v/>
      </c>
      <c r="U569" s="84" t="str">
        <f>IF(ISERROR(FIND('112'!$M$9,G569,1)),"",IF((AND(LEFT(G569,2)=LEFT('112'!$M$9,2),B569&lt;'112'!$K$9,$N569='112'!$I$6)),"x",""))</f>
        <v/>
      </c>
      <c r="V569" s="84" t="str">
        <f>IF(ISERROR(FIND('112'!$M$9,G569,1)),"",IF((AND(RIGHT(G569,2)=RIGHT('112'!$M$9,2),B569&lt;'112'!$K$9,$O569='112'!$I$6)),"x",""))</f>
        <v/>
      </c>
      <c r="W569" s="84" t="str">
        <f>IF(AND('341-CT'!$H$9=H569,OR(LEFT(N569,3)=$W$7,LEFT(O569,3)=$W$7)),"x","")</f>
        <v/>
      </c>
      <c r="X569" s="84" t="str">
        <f>IF(OR(TH!N569=TH!$X$7,O569=TH!$X$7),"x","")</f>
        <v/>
      </c>
      <c r="Y569" s="84" t="str">
        <f>IF(AND(OR(N569="131",O569="131"),H569='131-CT'!$H$9),"x","")</f>
        <v/>
      </c>
      <c r="Z569" s="84"/>
      <c r="AA569" s="84" t="str">
        <f>IF(AND(MONTH(E569)='IN-NX'!$J$5,'IN-NX'!$D$7=D569),"x","")</f>
        <v/>
      </c>
      <c r="AB569" s="84" t="str">
        <f>IF(AND(OR(LEFT(TH!N569,2)="15",LEFT(TH!O569,2)="15"),LEFT(TH!O569,3)&lt;&gt;"111",'152-CT'!$J$8=TH!F569),"x","")</f>
        <v/>
      </c>
      <c r="AC569" s="84" t="str">
        <f>IF(AND(OR(LEFT(TH!N569,2)="15",LEFT(TH!O569,2)="15"),TK!$E$7=TH!F569),"x","")</f>
        <v/>
      </c>
      <c r="AD569" s="84" t="str">
        <f>IF(AND(N569="1521",MONTH(C569)='BK-NL'!$M$11),"x","")</f>
        <v/>
      </c>
      <c r="AE569" s="1146" t="str">
        <f t="shared" si="126"/>
        <v>x</v>
      </c>
    </row>
    <row r="570" spans="1:31" ht="15.75" hidden="1" customHeight="1">
      <c r="A570" s="336" t="str">
        <f>IF(B570&lt;&gt;"",IF(AND(B570='IN-TC'!$S$4,OR(TH!N570="1111",TH!O570="1111")),TH!D570,""),"")</f>
        <v/>
      </c>
      <c r="B570" s="63">
        <f t="shared" si="123"/>
        <v>5</v>
      </c>
      <c r="C570" s="80">
        <f t="shared" si="124"/>
        <v>42516</v>
      </c>
      <c r="D570" s="80" t="s">
        <v>1975</v>
      </c>
      <c r="E570" s="80">
        <v>42516</v>
      </c>
      <c r="F570" s="81" t="s">
        <v>684</v>
      </c>
      <c r="G570" s="81"/>
      <c r="H570" s="82" t="s">
        <v>431</v>
      </c>
      <c r="I570" s="437">
        <v>7186</v>
      </c>
      <c r="J570" s="438">
        <v>13500</v>
      </c>
      <c r="K570" s="428"/>
      <c r="L570" s="437"/>
      <c r="M570" s="83">
        <f t="shared" si="125"/>
        <v>97011000</v>
      </c>
      <c r="N570" s="84" t="s">
        <v>274</v>
      </c>
      <c r="O570" s="84" t="s">
        <v>8</v>
      </c>
      <c r="P570" s="84" t="str">
        <f>IF(AND('331-CT'!$E$7=TH!H570,OR(N570="331",O570="331")),"x","")</f>
        <v/>
      </c>
      <c r="Q570" s="84" t="str">
        <f>IF(AND(B570='111'!$L$11,OR($N570=$Q$7,$O570=$Q$7)),"x","")</f>
        <v/>
      </c>
      <c r="R570" s="84" t="str">
        <f>IF(AND($N570=$Q$7,$B570&lt;'111'!$L$11),"x","")</f>
        <v/>
      </c>
      <c r="S570" s="84" t="str">
        <f>IF(AND($O570=$Q$7,$B570&lt;'111'!$L$11),"x","")</f>
        <v/>
      </c>
      <c r="T570" s="84" t="str">
        <f>IF(ISERROR(FIND('112'!$M$9,G570,1)),"",IF((AND(FIND('112'!$M$9,G570,1)&gt;=1,B570='112'!$K$9,OR($N570='112'!$I$6,$O570='112'!$I$6))),"x",""))</f>
        <v/>
      </c>
      <c r="U570" s="84" t="str">
        <f>IF(ISERROR(FIND('112'!$M$9,G570,1)),"",IF((AND(LEFT(G570,2)=LEFT('112'!$M$9,2),B570&lt;'112'!$K$9,$N570='112'!$I$6)),"x",""))</f>
        <v/>
      </c>
      <c r="V570" s="84" t="str">
        <f>IF(ISERROR(FIND('112'!$M$9,G570,1)),"",IF((AND(RIGHT(G570,2)=RIGHT('112'!$M$9,2),B570&lt;'112'!$K$9,$O570='112'!$I$6)),"x",""))</f>
        <v/>
      </c>
      <c r="W570" s="84" t="str">
        <f>IF(AND('341-CT'!$H$9=H570,OR(LEFT(N570,3)=$W$7,LEFT(O570,3)=$W$7)),"x","")</f>
        <v/>
      </c>
      <c r="X570" s="84" t="str">
        <f>IF(OR(TH!N570=TH!$X$7,O570=TH!$X$7),"x","")</f>
        <v/>
      </c>
      <c r="Y570" s="84" t="str">
        <f>IF(AND(OR(N570="131",O570="131"),H570='131-CT'!$H$9),"x","")</f>
        <v/>
      </c>
      <c r="Z570" s="84"/>
      <c r="AA570" s="84" t="str">
        <f>IF(AND(MONTH(E570)='IN-NX'!$J$5,'IN-NX'!$D$7=D570),"x","")</f>
        <v/>
      </c>
      <c r="AB570" s="84" t="str">
        <f>IF(AND(OR(LEFT(TH!N570,2)="15",LEFT(TH!O570,2)="15"),LEFT(TH!O570,3)&lt;&gt;"111",'152-CT'!$J$8=TH!F570),"x","")</f>
        <v/>
      </c>
      <c r="AC570" s="84" t="str">
        <f>IF(AND(OR(LEFT(TH!N570,2)="15",LEFT(TH!O570,2)="15"),TK!$E$7=TH!F570),"x","")</f>
        <v/>
      </c>
      <c r="AD570" s="84" t="str">
        <f>IF(AND(N570="1521",MONTH(C570)='BK-NL'!$M$11),"x","")</f>
        <v/>
      </c>
      <c r="AE570" s="1146" t="str">
        <f t="shared" si="126"/>
        <v>x</v>
      </c>
    </row>
    <row r="571" spans="1:31" ht="15.75" hidden="1" customHeight="1">
      <c r="A571" s="336" t="str">
        <f>IF(B571&lt;&gt;"",IF(AND(B571='IN-TC'!$S$4,OR(TH!N571="1111",TH!O571="1111")),TH!D571,""),"")</f>
        <v/>
      </c>
      <c r="B571" s="63">
        <f t="shared" si="123"/>
        <v>5</v>
      </c>
      <c r="C571" s="80">
        <f t="shared" si="124"/>
        <v>42516</v>
      </c>
      <c r="D571" s="80" t="s">
        <v>1976</v>
      </c>
      <c r="E571" s="80">
        <v>42516</v>
      </c>
      <c r="F571" s="81" t="s">
        <v>684</v>
      </c>
      <c r="G571" s="81"/>
      <c r="H571" s="82" t="s">
        <v>446</v>
      </c>
      <c r="I571" s="437">
        <v>7420</v>
      </c>
      <c r="J571" s="438">
        <v>13500</v>
      </c>
      <c r="K571" s="428"/>
      <c r="L571" s="437"/>
      <c r="M571" s="83">
        <f t="shared" si="125"/>
        <v>100170000</v>
      </c>
      <c r="N571" s="84" t="s">
        <v>274</v>
      </c>
      <c r="O571" s="84" t="s">
        <v>8</v>
      </c>
      <c r="P571" s="84" t="str">
        <f>IF(AND('331-CT'!$E$7=TH!H571,OR(N571="331",O571="331")),"x","")</f>
        <v/>
      </c>
      <c r="Q571" s="84" t="str">
        <f>IF(AND(B571='111'!$L$11,OR($N571=$Q$7,$O571=$Q$7)),"x","")</f>
        <v/>
      </c>
      <c r="R571" s="84" t="str">
        <f>IF(AND($N571=$Q$7,$B571&lt;'111'!$L$11),"x","")</f>
        <v/>
      </c>
      <c r="S571" s="84" t="str">
        <f>IF(AND($O571=$Q$7,$B571&lt;'111'!$L$11),"x","")</f>
        <v/>
      </c>
      <c r="T571" s="84" t="str">
        <f>IF(ISERROR(FIND('112'!$M$9,G571,1)),"",IF((AND(FIND('112'!$M$9,G571,1)&gt;=1,B571='112'!$K$9,OR($N571='112'!$I$6,$O571='112'!$I$6))),"x",""))</f>
        <v/>
      </c>
      <c r="U571" s="84" t="str">
        <f>IF(ISERROR(FIND('112'!$M$9,G571,1)),"",IF((AND(LEFT(G571,2)=LEFT('112'!$M$9,2),B571&lt;'112'!$K$9,$N571='112'!$I$6)),"x",""))</f>
        <v/>
      </c>
      <c r="V571" s="84" t="str">
        <f>IF(ISERROR(FIND('112'!$M$9,G571,1)),"",IF((AND(RIGHT(G571,2)=RIGHT('112'!$M$9,2),B571&lt;'112'!$K$9,$O571='112'!$I$6)),"x",""))</f>
        <v/>
      </c>
      <c r="W571" s="84" t="str">
        <f>IF(AND('341-CT'!$H$9=H571,OR(LEFT(N571,3)=$W$7,LEFT(O571,3)=$W$7)),"x","")</f>
        <v/>
      </c>
      <c r="X571" s="84" t="str">
        <f>IF(OR(TH!N571=TH!$X$7,O571=TH!$X$7),"x","")</f>
        <v/>
      </c>
      <c r="Y571" s="84" t="str">
        <f>IF(AND(OR(N571="131",O571="131"),H571='131-CT'!$H$9),"x","")</f>
        <v/>
      </c>
      <c r="Z571" s="84"/>
      <c r="AA571" s="84" t="str">
        <f>IF(AND(MONTH(E571)='IN-NX'!$J$5,'IN-NX'!$D$7=D571),"x","")</f>
        <v/>
      </c>
      <c r="AB571" s="84" t="str">
        <f>IF(AND(OR(LEFT(TH!N571,2)="15",LEFT(TH!O571,2)="15"),LEFT(TH!O571,3)&lt;&gt;"111",'152-CT'!$J$8=TH!F571),"x","")</f>
        <v/>
      </c>
      <c r="AC571" s="84" t="str">
        <f>IF(AND(OR(LEFT(TH!N571,2)="15",LEFT(TH!O571,2)="15"),TK!$E$7=TH!F571),"x","")</f>
        <v/>
      </c>
      <c r="AD571" s="84" t="str">
        <f>IF(AND(N571="1521",MONTH(C571)='BK-NL'!$M$11),"x","")</f>
        <v/>
      </c>
      <c r="AE571" s="1146" t="str">
        <f t="shared" si="126"/>
        <v>x</v>
      </c>
    </row>
    <row r="572" spans="1:31" ht="15.75" hidden="1" customHeight="1">
      <c r="A572" s="336" t="str">
        <f>IF(B572&lt;&gt;"",IF(AND(B572='IN-TC'!$S$4,OR(TH!N572="1111",TH!O572="1111")),TH!D572,""),"")</f>
        <v/>
      </c>
      <c r="B572" s="63">
        <f t="shared" si="123"/>
        <v>5</v>
      </c>
      <c r="C572" s="80">
        <f t="shared" ref="C572:C577" si="127">E572</f>
        <v>42516</v>
      </c>
      <c r="D572" s="80" t="s">
        <v>1977</v>
      </c>
      <c r="E572" s="80">
        <v>42516</v>
      </c>
      <c r="F572" s="81" t="s">
        <v>684</v>
      </c>
      <c r="G572" s="81"/>
      <c r="H572" s="82" t="s">
        <v>438</v>
      </c>
      <c r="I572" s="437">
        <v>7540</v>
      </c>
      <c r="J572" s="438">
        <v>13500</v>
      </c>
      <c r="K572" s="428"/>
      <c r="L572" s="437"/>
      <c r="M572" s="83">
        <f t="shared" ref="M572:M577" si="128">ROUND(I572*J572,0)</f>
        <v>101790000</v>
      </c>
      <c r="N572" s="84" t="s">
        <v>274</v>
      </c>
      <c r="O572" s="84" t="s">
        <v>8</v>
      </c>
      <c r="P572" s="84" t="str">
        <f>IF(AND('331-CT'!$E$7=TH!H572,OR(N572="331",O572="331")),"x","")</f>
        <v/>
      </c>
      <c r="Q572" s="84" t="str">
        <f>IF(AND(B572='111'!$L$11,OR($N572=$Q$7,$O572=$Q$7)),"x","")</f>
        <v/>
      </c>
      <c r="R572" s="84" t="str">
        <f>IF(AND($N572=$Q$7,$B572&lt;'111'!$L$11),"x","")</f>
        <v/>
      </c>
      <c r="S572" s="84" t="str">
        <f>IF(AND($O572=$Q$7,$B572&lt;'111'!$L$11),"x","")</f>
        <v/>
      </c>
      <c r="T572" s="84" t="str">
        <f>IF(ISERROR(FIND('112'!$M$9,G572,1)),"",IF((AND(FIND('112'!$M$9,G572,1)&gt;=1,B572='112'!$K$9,OR($N572='112'!$I$6,$O572='112'!$I$6))),"x",""))</f>
        <v/>
      </c>
      <c r="U572" s="84" t="str">
        <f>IF(ISERROR(FIND('112'!$M$9,G572,1)),"",IF((AND(LEFT(G572,2)=LEFT('112'!$M$9,2),B572&lt;'112'!$K$9,$N572='112'!$I$6)),"x",""))</f>
        <v/>
      </c>
      <c r="V572" s="84" t="str">
        <f>IF(ISERROR(FIND('112'!$M$9,G572,1)),"",IF((AND(RIGHT(G572,2)=RIGHT('112'!$M$9,2),B572&lt;'112'!$K$9,$O572='112'!$I$6)),"x",""))</f>
        <v/>
      </c>
      <c r="W572" s="84" t="str">
        <f>IF(AND('341-CT'!$H$9=H572,OR(LEFT(N572,3)=$W$7,LEFT(O572,3)=$W$7)),"x","")</f>
        <v/>
      </c>
      <c r="X572" s="84" t="str">
        <f>IF(OR(TH!N572=TH!$X$7,O572=TH!$X$7),"x","")</f>
        <v/>
      </c>
      <c r="Y572" s="84" t="str">
        <f>IF(AND(OR(N572="131",O572="131"),H572='131-CT'!$H$9),"x","")</f>
        <v/>
      </c>
      <c r="Z572" s="84"/>
      <c r="AA572" s="84" t="str">
        <f>IF(AND(MONTH(E572)='IN-NX'!$J$5,'IN-NX'!$D$7=D572),"x","")</f>
        <v/>
      </c>
      <c r="AB572" s="84" t="str">
        <f>IF(AND(OR(LEFT(TH!N572,2)="15",LEFT(TH!O572,2)="15"),LEFT(TH!O572,3)&lt;&gt;"111",'152-CT'!$J$8=TH!F572),"x","")</f>
        <v/>
      </c>
      <c r="AC572" s="84" t="str">
        <f>IF(AND(OR(LEFT(TH!N572,2)="15",LEFT(TH!O572,2)="15"),TK!$E$7=TH!F572),"x","")</f>
        <v/>
      </c>
      <c r="AD572" s="84" t="str">
        <f>IF(AND(N572="1521",MONTH(C572)='BK-NL'!$M$11),"x","")</f>
        <v/>
      </c>
      <c r="AE572" s="1146" t="str">
        <f t="shared" si="126"/>
        <v>x</v>
      </c>
    </row>
    <row r="573" spans="1:31" ht="15.75" hidden="1" customHeight="1">
      <c r="A573" s="336" t="str">
        <f>IF(B573&lt;&gt;"",IF(AND(B573='IN-TC'!$S$4,OR(TH!N573="1111",TH!O573="1111")),TH!D573,""),"")</f>
        <v/>
      </c>
      <c r="B573" s="63">
        <f t="shared" si="123"/>
        <v>5</v>
      </c>
      <c r="C573" s="80">
        <f t="shared" si="127"/>
        <v>42516</v>
      </c>
      <c r="D573" s="80" t="s">
        <v>1978</v>
      </c>
      <c r="E573" s="80">
        <v>42516</v>
      </c>
      <c r="F573" s="81" t="s">
        <v>684</v>
      </c>
      <c r="G573" s="81"/>
      <c r="H573" s="82" t="s">
        <v>442</v>
      </c>
      <c r="I573" s="437">
        <v>7465</v>
      </c>
      <c r="J573" s="438">
        <v>13500</v>
      </c>
      <c r="K573" s="428"/>
      <c r="L573" s="437"/>
      <c r="M573" s="83">
        <f t="shared" si="128"/>
        <v>100777500</v>
      </c>
      <c r="N573" s="84" t="s">
        <v>274</v>
      </c>
      <c r="O573" s="84" t="s">
        <v>8</v>
      </c>
      <c r="P573" s="84" t="str">
        <f>IF(AND('331-CT'!$E$7=TH!H573,OR(N573="331",O573="331")),"x","")</f>
        <v/>
      </c>
      <c r="Q573" s="84" t="str">
        <f>IF(AND(B573='111'!$L$11,OR($N573=$Q$7,$O573=$Q$7)),"x","")</f>
        <v/>
      </c>
      <c r="R573" s="84" t="str">
        <f>IF(AND($N573=$Q$7,$B573&lt;'111'!$L$11),"x","")</f>
        <v/>
      </c>
      <c r="S573" s="84" t="str">
        <f>IF(AND($O573=$Q$7,$B573&lt;'111'!$L$11),"x","")</f>
        <v/>
      </c>
      <c r="T573" s="84" t="str">
        <f>IF(ISERROR(FIND('112'!$M$9,G573,1)),"",IF((AND(FIND('112'!$M$9,G573,1)&gt;=1,B573='112'!$K$9,OR($N573='112'!$I$6,$O573='112'!$I$6))),"x",""))</f>
        <v/>
      </c>
      <c r="U573" s="84" t="str">
        <f>IF(ISERROR(FIND('112'!$M$9,G573,1)),"",IF((AND(LEFT(G573,2)=LEFT('112'!$M$9,2),B573&lt;'112'!$K$9,$N573='112'!$I$6)),"x",""))</f>
        <v/>
      </c>
      <c r="V573" s="84" t="str">
        <f>IF(ISERROR(FIND('112'!$M$9,G573,1)),"",IF((AND(RIGHT(G573,2)=RIGHT('112'!$M$9,2),B573&lt;'112'!$K$9,$O573='112'!$I$6)),"x",""))</f>
        <v/>
      </c>
      <c r="W573" s="84" t="str">
        <f>IF(AND('341-CT'!$H$9=H573,OR(LEFT(N573,3)=$W$7,LEFT(O573,3)=$W$7)),"x","")</f>
        <v/>
      </c>
      <c r="X573" s="84" t="str">
        <f>IF(OR(TH!N573=TH!$X$7,O573=TH!$X$7),"x","")</f>
        <v/>
      </c>
      <c r="Y573" s="84" t="str">
        <f>IF(AND(OR(N573="131",O573="131"),H573='131-CT'!$H$9),"x","")</f>
        <v/>
      </c>
      <c r="Z573" s="84"/>
      <c r="AA573" s="84" t="str">
        <f>IF(AND(MONTH(E573)='IN-NX'!$J$5,'IN-NX'!$D$7=D573),"x","")</f>
        <v/>
      </c>
      <c r="AB573" s="84" t="str">
        <f>IF(AND(OR(LEFT(TH!N573,2)="15",LEFT(TH!O573,2)="15"),LEFT(TH!O573,3)&lt;&gt;"111",'152-CT'!$J$8=TH!F573),"x","")</f>
        <v/>
      </c>
      <c r="AC573" s="84" t="str">
        <f>IF(AND(OR(LEFT(TH!N573,2)="15",LEFT(TH!O573,2)="15"),TK!$E$7=TH!F573),"x","")</f>
        <v/>
      </c>
      <c r="AD573" s="84" t="str">
        <f>IF(AND(N573="1521",MONTH(C573)='BK-NL'!$M$11),"x","")</f>
        <v/>
      </c>
      <c r="AE573" s="1146" t="str">
        <f t="shared" si="126"/>
        <v>x</v>
      </c>
    </row>
    <row r="574" spans="1:31" s="341" customFormat="1" ht="15.75" hidden="1" customHeight="1">
      <c r="A574" s="336" t="str">
        <f>IF(B574&lt;&gt;"",IF(AND(B574='IN-TC'!$S$4,OR(TH!N574="1111",TH!O574="1111")),TH!D574,""),"")</f>
        <v/>
      </c>
      <c r="B574" s="63">
        <f t="shared" si="123"/>
        <v>5</v>
      </c>
      <c r="C574" s="94">
        <f t="shared" si="127"/>
        <v>42505</v>
      </c>
      <c r="D574" s="94" t="s">
        <v>695</v>
      </c>
      <c r="E574" s="94">
        <v>42505</v>
      </c>
      <c r="F574" s="95" t="s">
        <v>684</v>
      </c>
      <c r="G574" s="95"/>
      <c r="H574" s="96" t="s">
        <v>449</v>
      </c>
      <c r="I574" s="1188">
        <v>37132</v>
      </c>
      <c r="J574" s="1187">
        <v>13500</v>
      </c>
      <c r="K574" s="1189"/>
      <c r="L574" s="1188"/>
      <c r="M574" s="97">
        <f t="shared" si="128"/>
        <v>501282000</v>
      </c>
      <c r="N574" s="85" t="s">
        <v>282</v>
      </c>
      <c r="O574" s="85" t="s">
        <v>274</v>
      </c>
      <c r="P574" s="84" t="str">
        <f>IF(AND('331-CT'!$E$7=TH!H574,OR(N574="331",O574="331")),"x","")</f>
        <v/>
      </c>
      <c r="Q574" s="84" t="str">
        <f>IF(AND(B574='111'!$L$11,OR($N574=$Q$7,$O574=$Q$7)),"x","")</f>
        <v/>
      </c>
      <c r="R574" s="84" t="str">
        <f>IF(AND($N574=$Q$7,$B574&lt;'111'!$L$11),"x","")</f>
        <v/>
      </c>
      <c r="S574" s="84" t="str">
        <f>IF(AND($O574=$Q$7,$B574&lt;'111'!$L$11),"x","")</f>
        <v/>
      </c>
      <c r="T574" s="84" t="str">
        <f>IF(ISERROR(FIND('112'!$M$9,G574,1)),"",IF((AND(FIND('112'!$M$9,G574,1)&gt;=1,B574='112'!$K$9,OR($N574='112'!$I$6,$O574='112'!$I$6))),"x",""))</f>
        <v/>
      </c>
      <c r="U574" s="84" t="str">
        <f>IF(ISERROR(FIND('112'!$M$9,G574,1)),"",IF((AND(LEFT(G574,2)=LEFT('112'!$M$9,2),B574&lt;'112'!$K$9,$N574='112'!$I$6)),"x",""))</f>
        <v/>
      </c>
      <c r="V574" s="84" t="str">
        <f>IF(ISERROR(FIND('112'!$M$9,G574,1)),"",IF((AND(RIGHT(G574,2)=RIGHT('112'!$M$9,2),B574&lt;'112'!$K$9,$O574='112'!$I$6)),"x",""))</f>
        <v/>
      </c>
      <c r="W574" s="84" t="str">
        <f>IF(AND('341-CT'!$H$9=H574,OR(LEFT(N574,3)=$W$7,LEFT(O574,3)=$W$7)),"x","")</f>
        <v/>
      </c>
      <c r="X574" s="84" t="str">
        <f>IF(OR(TH!N574=TH!$X$7,O574=TH!$X$7),"x","")</f>
        <v/>
      </c>
      <c r="Y574" s="84" t="str">
        <f>IF(AND(OR(N574="131",O574="131"),H574='131-CT'!$H$9),"x","")</f>
        <v/>
      </c>
      <c r="Z574" s="84"/>
      <c r="AA574" s="84" t="str">
        <f>IF(AND(MONTH(E574)='IN-NX'!$J$5,'IN-NX'!$D$7=D574),"x","")</f>
        <v/>
      </c>
      <c r="AB574" s="84" t="str">
        <f>IF(AND(OR(LEFT(TH!N574,2)="15",LEFT(TH!O574,2)="15"),LEFT(TH!O574,3)&lt;&gt;"111",'152-CT'!$J$8=TH!F574),"x","")</f>
        <v/>
      </c>
      <c r="AC574" s="84" t="str">
        <f>IF(AND(OR(LEFT(TH!N574,2)="15",LEFT(TH!O574,2)="15"),TK!$E$7=TH!F574),"x","")</f>
        <v/>
      </c>
      <c r="AD574" s="84" t="str">
        <f>IF(AND(N574="1521",MONTH(C574)='BK-NL'!$M$11),"x","")</f>
        <v/>
      </c>
    </row>
    <row r="575" spans="1:31" s="341" customFormat="1" ht="15.75" hidden="1" customHeight="1">
      <c r="A575" s="336" t="str">
        <f>IF(B575&lt;&gt;"",IF(AND(B575='IN-TC'!$S$4,OR(TH!N575="1111",TH!O575="1111")),TH!D575,""),"")</f>
        <v/>
      </c>
      <c r="B575" s="63">
        <f t="shared" si="123"/>
        <v>5</v>
      </c>
      <c r="C575" s="94">
        <f t="shared" si="127"/>
        <v>42511</v>
      </c>
      <c r="D575" s="94" t="s">
        <v>696</v>
      </c>
      <c r="E575" s="94">
        <v>42511</v>
      </c>
      <c r="F575" s="95" t="s">
        <v>684</v>
      </c>
      <c r="G575" s="1148"/>
      <c r="H575" s="96" t="s">
        <v>449</v>
      </c>
      <c r="I575" s="1188">
        <v>36105</v>
      </c>
      <c r="J575" s="1187">
        <v>13500</v>
      </c>
      <c r="K575" s="1189"/>
      <c r="L575" s="1188"/>
      <c r="M575" s="97">
        <f t="shared" si="128"/>
        <v>487417500</v>
      </c>
      <c r="N575" s="85" t="s">
        <v>282</v>
      </c>
      <c r="O575" s="85" t="s">
        <v>274</v>
      </c>
      <c r="P575" s="84" t="str">
        <f>IF(AND('331-CT'!$E$7=TH!H575,OR(N575="331",O575="331")),"x","")</f>
        <v/>
      </c>
      <c r="Q575" s="84" t="str">
        <f>IF(AND(B575='111'!$L$11,OR($N575=$Q$7,$O575=$Q$7)),"x","")</f>
        <v/>
      </c>
      <c r="R575" s="84" t="str">
        <f>IF(AND($N575=$Q$7,$B575&lt;'111'!$L$11),"x","")</f>
        <v/>
      </c>
      <c r="S575" s="84" t="str">
        <f>IF(AND($O575=$Q$7,$B575&lt;'111'!$L$11),"x","")</f>
        <v/>
      </c>
      <c r="T575" s="84" t="str">
        <f>IF(ISERROR(FIND('112'!$M$9,G575,1)),"",IF((AND(FIND('112'!$M$9,G575,1)&gt;=1,B575='112'!$K$9,OR($N575='112'!$I$6,$O575='112'!$I$6))),"x",""))</f>
        <v/>
      </c>
      <c r="U575" s="84" t="str">
        <f>IF(ISERROR(FIND('112'!$M$9,G575,1)),"",IF((AND(LEFT(G575,2)=LEFT('112'!$M$9,2),B575&lt;'112'!$K$9,$N575='112'!$I$6)),"x",""))</f>
        <v/>
      </c>
      <c r="V575" s="84" t="str">
        <f>IF(ISERROR(FIND('112'!$M$9,G575,1)),"",IF((AND(RIGHT(G575,2)=RIGHT('112'!$M$9,2),B575&lt;'112'!$K$9,$O575='112'!$I$6)),"x",""))</f>
        <v/>
      </c>
      <c r="W575" s="84" t="str">
        <f>IF(AND('341-CT'!$H$9=H575,OR(LEFT(N575,3)=$W$7,LEFT(O575,3)=$W$7)),"x","")</f>
        <v/>
      </c>
      <c r="X575" s="84" t="str">
        <f>IF(OR(TH!N575=TH!$X$7,O575=TH!$X$7),"x","")</f>
        <v/>
      </c>
      <c r="Y575" s="84" t="str">
        <f>IF(AND(OR(N575="131",O575="131"),H575='131-CT'!$H$9),"x","")</f>
        <v/>
      </c>
      <c r="Z575" s="84"/>
      <c r="AA575" s="84" t="str">
        <f>IF(AND(MONTH(E575)='IN-NX'!$J$5,'IN-NX'!$D$7=D575),"x","")</f>
        <v/>
      </c>
      <c r="AB575" s="84" t="str">
        <f>IF(AND(OR(LEFT(TH!N575,2)="15",LEFT(TH!O575,2)="15"),LEFT(TH!O575,3)&lt;&gt;"111",'152-CT'!$J$8=TH!F575),"x","")</f>
        <v/>
      </c>
      <c r="AC575" s="84" t="str">
        <f>IF(AND(OR(LEFT(TH!N575,2)="15",LEFT(TH!O575,2)="15"),TK!$E$7=TH!F575),"x","")</f>
        <v/>
      </c>
      <c r="AD575" s="84" t="str">
        <f>IF(AND(N575="1521",MONTH(C575)='BK-NL'!$M$11),"x","")</f>
        <v/>
      </c>
    </row>
    <row r="576" spans="1:31" s="341" customFormat="1" ht="15.75" hidden="1" customHeight="1">
      <c r="A576" s="336" t="str">
        <f>IF(B576&lt;&gt;"",IF(AND(B576='IN-TC'!$S$4,OR(TH!N576="1111",TH!O576="1111")),TH!D576,""),"")</f>
        <v/>
      </c>
      <c r="B576" s="63">
        <f t="shared" si="123"/>
        <v>5</v>
      </c>
      <c r="C576" s="94">
        <f t="shared" si="127"/>
        <v>42516</v>
      </c>
      <c r="D576" s="94" t="s">
        <v>945</v>
      </c>
      <c r="E576" s="94">
        <v>42516</v>
      </c>
      <c r="F576" s="95" t="s">
        <v>684</v>
      </c>
      <c r="G576" s="95"/>
      <c r="H576" s="96" t="s">
        <v>449</v>
      </c>
      <c r="I576" s="445">
        <v>36763</v>
      </c>
      <c r="J576" s="1187">
        <v>13500</v>
      </c>
      <c r="K576" s="436"/>
      <c r="L576" s="445"/>
      <c r="M576" s="97">
        <f t="shared" si="128"/>
        <v>496300500</v>
      </c>
      <c r="N576" s="85" t="s">
        <v>282</v>
      </c>
      <c r="O576" s="85" t="s">
        <v>274</v>
      </c>
      <c r="P576" s="84" t="str">
        <f>IF(AND('331-CT'!$E$7=TH!H576,OR(N576="331",O576="331")),"x","")</f>
        <v/>
      </c>
      <c r="Q576" s="84" t="str">
        <f>IF(AND(B576='111'!$L$11,OR($N576=$Q$7,$O576=$Q$7)),"x","")</f>
        <v/>
      </c>
      <c r="R576" s="84" t="str">
        <f>IF(AND($N576=$Q$7,$B576&lt;'111'!$L$11),"x","")</f>
        <v/>
      </c>
      <c r="S576" s="84" t="str">
        <f>IF(AND($O576=$Q$7,$B576&lt;'111'!$L$11),"x","")</f>
        <v/>
      </c>
      <c r="T576" s="84" t="str">
        <f>IF(ISERROR(FIND('112'!$M$9,G576,1)),"",IF((AND(FIND('112'!$M$9,G576,1)&gt;=1,B576='112'!$K$9,OR($N576='112'!$I$6,$O576='112'!$I$6))),"x",""))</f>
        <v/>
      </c>
      <c r="U576" s="84" t="str">
        <f>IF(ISERROR(FIND('112'!$M$9,G576,1)),"",IF((AND(LEFT(G576,2)=LEFT('112'!$M$9,2),B576&lt;'112'!$K$9,$N576='112'!$I$6)),"x",""))</f>
        <v/>
      </c>
      <c r="V576" s="84" t="str">
        <f>IF(ISERROR(FIND('112'!$M$9,G576,1)),"",IF((AND(RIGHT(G576,2)=RIGHT('112'!$M$9,2),B576&lt;'112'!$K$9,$O576='112'!$I$6)),"x",""))</f>
        <v/>
      </c>
      <c r="W576" s="84" t="str">
        <f>IF(AND('341-CT'!$H$9=H576,OR(LEFT(N576,3)=$W$7,LEFT(O576,3)=$W$7)),"x","")</f>
        <v/>
      </c>
      <c r="X576" s="84" t="str">
        <f>IF(OR(TH!N576=TH!$X$7,O576=TH!$X$7),"x","")</f>
        <v/>
      </c>
      <c r="Y576" s="84" t="str">
        <f>IF(AND(OR(N576="131",O576="131"),H576='131-CT'!$H$9),"x","")</f>
        <v/>
      </c>
      <c r="Z576" s="84"/>
      <c r="AA576" s="84" t="str">
        <f>IF(AND(MONTH(E576)='IN-NX'!$J$5,'IN-NX'!$D$7=D576),"x","")</f>
        <v/>
      </c>
      <c r="AB576" s="84" t="str">
        <f>IF(AND(OR(LEFT(TH!N576,2)="15",LEFT(TH!O576,2)="15"),LEFT(TH!O576,3)&lt;&gt;"111",'152-CT'!$J$8=TH!F576),"x","")</f>
        <v/>
      </c>
      <c r="AC576" s="84" t="str">
        <f>IF(AND(OR(LEFT(TH!N576,2)="15",LEFT(TH!O576,2)="15"),TK!$E$7=TH!F576),"x","")</f>
        <v/>
      </c>
      <c r="AD576" s="84" t="str">
        <f>IF(AND(N576="1521",MONTH(C576)='BK-NL'!$M$11),"x","")</f>
        <v/>
      </c>
    </row>
    <row r="577" spans="1:31" ht="15.75" hidden="1" customHeight="1">
      <c r="A577" s="336" t="str">
        <f>IF(B577&lt;&gt;"",IF(AND(B577='IN-TC'!$S$4,OR(TH!N577="1111",TH!O577="1111")),TH!D577,""),"")</f>
        <v/>
      </c>
      <c r="B577" s="63">
        <f t="shared" ref="B577:B587" si="129">IF(C577&lt;&gt;"",MONTH(C577),"")</f>
        <v>6</v>
      </c>
      <c r="C577" s="80">
        <f t="shared" si="127"/>
        <v>42522</v>
      </c>
      <c r="D577" s="80" t="s">
        <v>934</v>
      </c>
      <c r="E577" s="80">
        <v>42522</v>
      </c>
      <c r="F577" s="81" t="s">
        <v>684</v>
      </c>
      <c r="G577" s="81"/>
      <c r="H577" s="82" t="s">
        <v>438</v>
      </c>
      <c r="I577" s="437">
        <v>5470</v>
      </c>
      <c r="J577" s="438">
        <v>14500</v>
      </c>
      <c r="K577" s="428"/>
      <c r="L577" s="437"/>
      <c r="M577" s="83">
        <f t="shared" si="128"/>
        <v>79315000</v>
      </c>
      <c r="N577" s="84" t="s">
        <v>274</v>
      </c>
      <c r="O577" s="84" t="s">
        <v>8</v>
      </c>
      <c r="P577" s="84" t="str">
        <f>IF(AND('331-CT'!$E$7=TH!H577,OR(N577="331",O577="331")),"x","")</f>
        <v/>
      </c>
      <c r="Q577" s="84" t="str">
        <f>IF(AND(B577='111'!$L$11,OR($N577=$Q$7,$O577=$Q$7)),"x","")</f>
        <v/>
      </c>
      <c r="R577" s="84" t="str">
        <f>IF(AND($N577=$Q$7,$B577&lt;'111'!$L$11),"x","")</f>
        <v/>
      </c>
      <c r="S577" s="84" t="str">
        <f>IF(AND($O577=$Q$7,$B577&lt;'111'!$L$11),"x","")</f>
        <v/>
      </c>
      <c r="T577" s="84" t="str">
        <f>IF(ISERROR(FIND('112'!$M$9,G577,1)),"",IF((AND(FIND('112'!$M$9,G577,1)&gt;=1,B577='112'!$K$9,OR($N577='112'!$I$6,$O577='112'!$I$6))),"x",""))</f>
        <v/>
      </c>
      <c r="U577" s="84" t="str">
        <f>IF(ISERROR(FIND('112'!$M$9,G577,1)),"",IF((AND(LEFT(G577,2)=LEFT('112'!$M$9,2),B577&lt;'112'!$K$9,$N577='112'!$I$6)),"x",""))</f>
        <v/>
      </c>
      <c r="V577" s="84" t="str">
        <f>IF(ISERROR(FIND('112'!$M$9,G577,1)),"",IF((AND(RIGHT(G577,2)=RIGHT('112'!$M$9,2),B577&lt;'112'!$K$9,$O577='112'!$I$6)),"x",""))</f>
        <v/>
      </c>
      <c r="W577" s="84" t="str">
        <f>IF(AND('341-CT'!$H$9=H577,OR(LEFT(N577,3)=$W$7,LEFT(O577,3)=$W$7)),"x","")</f>
        <v/>
      </c>
      <c r="X577" s="84" t="str">
        <f>IF(OR(TH!N577=TH!$X$7,O577=TH!$X$7),"x","")</f>
        <v/>
      </c>
      <c r="Y577" s="84" t="str">
        <f>IF(AND(OR(N577="131",O577="131"),H577='131-CT'!$H$9),"x","")</f>
        <v/>
      </c>
      <c r="Z577" s="84"/>
      <c r="AA577" s="84" t="str">
        <f>IF(AND(MONTH(E577)='IN-NX'!$J$5,'IN-NX'!$D$7=D577),"x","")</f>
        <v/>
      </c>
      <c r="AB577" s="84" t="str">
        <f>IF(AND(OR(LEFT(TH!N577,2)="15",LEFT(TH!O577,2)="15"),LEFT(TH!O577,3)&lt;&gt;"111",'152-CT'!$J$8=TH!F577),"x","")</f>
        <v/>
      </c>
      <c r="AC577" s="84" t="str">
        <f>IF(AND(OR(LEFT(TH!N577,2)="15",LEFT(TH!O577,2)="15"),TK!$E$7=TH!F577),"x","")</f>
        <v/>
      </c>
      <c r="AD577" s="84" t="str">
        <f>IF(AND(N577="1521",MONTH(C577)='BK-NL'!$M$11),"x","")</f>
        <v/>
      </c>
      <c r="AE577" s="1146" t="str">
        <f>IF(H577&lt;&gt;VLOOKUP(H577,DSKH,1,0),"","x")</f>
        <v>x</v>
      </c>
    </row>
    <row r="578" spans="1:31" ht="15.75" hidden="1" customHeight="1">
      <c r="A578" s="336" t="str">
        <f>IF(B578&lt;&gt;"",IF(AND(B578='IN-TC'!$S$4,OR(TH!N578="1111",TH!O578="1111")),TH!D578,""),"")</f>
        <v/>
      </c>
      <c r="B578" s="63">
        <f t="shared" si="129"/>
        <v>6</v>
      </c>
      <c r="C578" s="80">
        <f t="shared" ref="C578:C585" si="130">E578</f>
        <v>42522</v>
      </c>
      <c r="D578" s="80" t="s">
        <v>935</v>
      </c>
      <c r="E578" s="80">
        <v>42522</v>
      </c>
      <c r="F578" s="81" t="s">
        <v>684</v>
      </c>
      <c r="G578" s="81"/>
      <c r="H578" s="82" t="s">
        <v>442</v>
      </c>
      <c r="I578" s="437">
        <v>5530</v>
      </c>
      <c r="J578" s="438">
        <v>14500</v>
      </c>
      <c r="K578" s="428"/>
      <c r="L578" s="437"/>
      <c r="M578" s="83">
        <f t="shared" ref="M578:M585" si="131">ROUND(I578*J578,0)</f>
        <v>80185000</v>
      </c>
      <c r="N578" s="84" t="s">
        <v>274</v>
      </c>
      <c r="O578" s="84" t="s">
        <v>8</v>
      </c>
      <c r="P578" s="84" t="str">
        <f>IF(AND('331-CT'!$E$7=TH!H578,OR(N578="331",O578="331")),"x","")</f>
        <v/>
      </c>
      <c r="Q578" s="84" t="str">
        <f>IF(AND(B578='111'!$L$11,OR($N578=$Q$7,$O578=$Q$7)),"x","")</f>
        <v/>
      </c>
      <c r="R578" s="84" t="str">
        <f>IF(AND($N578=$Q$7,$B578&lt;'111'!$L$11),"x","")</f>
        <v/>
      </c>
      <c r="S578" s="84" t="str">
        <f>IF(AND($O578=$Q$7,$B578&lt;'111'!$L$11),"x","")</f>
        <v/>
      </c>
      <c r="T578" s="84" t="str">
        <f>IF(ISERROR(FIND('112'!$M$9,G578,1)),"",IF((AND(FIND('112'!$M$9,G578,1)&gt;=1,B578='112'!$K$9,OR($N578='112'!$I$6,$O578='112'!$I$6))),"x",""))</f>
        <v/>
      </c>
      <c r="U578" s="84" t="str">
        <f>IF(ISERROR(FIND('112'!$M$9,G578,1)),"",IF((AND(LEFT(G578,2)=LEFT('112'!$M$9,2),B578&lt;'112'!$K$9,$N578='112'!$I$6)),"x",""))</f>
        <v/>
      </c>
      <c r="V578" s="84" t="str">
        <f>IF(ISERROR(FIND('112'!$M$9,G578,1)),"",IF((AND(RIGHT(G578,2)=RIGHT('112'!$M$9,2),B578&lt;'112'!$K$9,$O578='112'!$I$6)),"x",""))</f>
        <v/>
      </c>
      <c r="W578" s="84" t="str">
        <f>IF(AND('341-CT'!$H$9=H578,OR(LEFT(N578,3)=$W$7,LEFT(O578,3)=$W$7)),"x","")</f>
        <v/>
      </c>
      <c r="X578" s="84" t="str">
        <f>IF(OR(TH!N578=TH!$X$7,O578=TH!$X$7),"x","")</f>
        <v/>
      </c>
      <c r="Y578" s="84" t="str">
        <f>IF(AND(OR(N578="131",O578="131"),H578='131-CT'!$H$9),"x","")</f>
        <v/>
      </c>
      <c r="Z578" s="84"/>
      <c r="AA578" s="84" t="str">
        <f>IF(AND(MONTH(E578)='IN-NX'!$J$5,'IN-NX'!$D$7=D578),"x","")</f>
        <v/>
      </c>
      <c r="AB578" s="84" t="str">
        <f>IF(AND(OR(LEFT(TH!N578,2)="15",LEFT(TH!O578,2)="15"),LEFT(TH!O578,3)&lt;&gt;"111",'152-CT'!$J$8=TH!F578),"x","")</f>
        <v/>
      </c>
      <c r="AC578" s="84" t="str">
        <f>IF(AND(OR(LEFT(TH!N578,2)="15",LEFT(TH!O578,2)="15"),TK!$E$7=TH!F578),"x","")</f>
        <v/>
      </c>
      <c r="AD578" s="84" t="str">
        <f>IF(AND(N578="1521",MONTH(C578)='BK-NL'!$M$11),"x","")</f>
        <v/>
      </c>
      <c r="AE578" s="1146" t="str">
        <f>IF(H578&lt;&gt;VLOOKUP(H578,DSKH,1,0),"","x")</f>
        <v>x</v>
      </c>
    </row>
    <row r="579" spans="1:31" s="341" customFormat="1" ht="15.75" hidden="1" customHeight="1">
      <c r="A579" s="336" t="str">
        <f>IF(B579&lt;&gt;"",IF(AND(B579='IN-TC'!$S$4,OR(TH!N579="1111",TH!O579="1111")),TH!D579,""),"")</f>
        <v/>
      </c>
      <c r="B579" s="63">
        <f t="shared" si="129"/>
        <v>6</v>
      </c>
      <c r="C579" s="94">
        <f t="shared" si="130"/>
        <v>42522</v>
      </c>
      <c r="D579" s="94" t="s">
        <v>685</v>
      </c>
      <c r="E579" s="94">
        <v>42522</v>
      </c>
      <c r="F579" s="95" t="s">
        <v>684</v>
      </c>
      <c r="G579" s="95"/>
      <c r="H579" s="96" t="s">
        <v>449</v>
      </c>
      <c r="I579" s="1188">
        <v>11000</v>
      </c>
      <c r="J579" s="1187">
        <v>14500</v>
      </c>
      <c r="K579" s="1189"/>
      <c r="L579" s="1188"/>
      <c r="M579" s="97">
        <f t="shared" si="131"/>
        <v>159500000</v>
      </c>
      <c r="N579" s="85" t="s">
        <v>282</v>
      </c>
      <c r="O579" s="85" t="s">
        <v>274</v>
      </c>
      <c r="P579" s="84" t="str">
        <f>IF(AND('331-CT'!$E$7=TH!H579,OR(N579="331",O579="331")),"x","")</f>
        <v/>
      </c>
      <c r="Q579" s="84" t="str">
        <f>IF(AND(B579='111'!$L$11,OR($N579=$Q$7,$O579=$Q$7)),"x","")</f>
        <v/>
      </c>
      <c r="R579" s="84" t="str">
        <f>IF(AND($N579=$Q$7,$B579&lt;'111'!$L$11),"x","")</f>
        <v/>
      </c>
      <c r="S579" s="84" t="str">
        <f>IF(AND($O579=$Q$7,$B579&lt;'111'!$L$11),"x","")</f>
        <v/>
      </c>
      <c r="T579" s="84" t="str">
        <f>IF(ISERROR(FIND('112'!$M$9,G579,1)),"",IF((AND(FIND('112'!$M$9,G579,1)&gt;=1,B579='112'!$K$9,OR($N579='112'!$I$6,$O579='112'!$I$6))),"x",""))</f>
        <v/>
      </c>
      <c r="U579" s="84" t="str">
        <f>IF(ISERROR(FIND('112'!$M$9,G579,1)),"",IF((AND(LEFT(G579,2)=LEFT('112'!$M$9,2),B579&lt;'112'!$K$9,$N579='112'!$I$6)),"x",""))</f>
        <v/>
      </c>
      <c r="V579" s="84" t="str">
        <f>IF(ISERROR(FIND('112'!$M$9,G579,1)),"",IF((AND(RIGHT(G579,2)=RIGHT('112'!$M$9,2),B579&lt;'112'!$K$9,$O579='112'!$I$6)),"x",""))</f>
        <v/>
      </c>
      <c r="W579" s="84" t="str">
        <f>IF(AND('341-CT'!$H$9=H579,OR(LEFT(N579,3)=$W$7,LEFT(O579,3)=$W$7)),"x","")</f>
        <v/>
      </c>
      <c r="X579" s="84" t="str">
        <f>IF(OR(TH!N579=TH!$X$7,O579=TH!$X$7),"x","")</f>
        <v/>
      </c>
      <c r="Y579" s="84" t="str">
        <f>IF(AND(OR(N579="131",O579="131"),H579='131-CT'!$H$9),"x","")</f>
        <v/>
      </c>
      <c r="Z579" s="84"/>
      <c r="AA579" s="84" t="str">
        <f>IF(AND(MONTH(E579)='IN-NX'!$J$5,'IN-NX'!$D$7=D579),"x","")</f>
        <v/>
      </c>
      <c r="AB579" s="84" t="str">
        <f>IF(AND(OR(LEFT(TH!N579,2)="15",LEFT(TH!O579,2)="15"),LEFT(TH!O579,3)&lt;&gt;"111",'152-CT'!$J$8=TH!F579),"x","")</f>
        <v/>
      </c>
      <c r="AC579" s="84" t="str">
        <f>IF(AND(OR(LEFT(TH!N579,2)="15",LEFT(TH!O579,2)="15"),TK!$E$7=TH!F579),"x","")</f>
        <v/>
      </c>
      <c r="AD579" s="84" t="str">
        <f>IF(AND(N579="1521",MONTH(C579)='BK-NL'!$M$11),"x","")</f>
        <v/>
      </c>
    </row>
    <row r="580" spans="1:31" ht="15.75" hidden="1" customHeight="1">
      <c r="A580" s="336" t="str">
        <f>IF(B580&lt;&gt;"",IF(AND(B580='IN-TC'!$S$4,OR(TH!N580="1111",TH!O580="1111")),TH!D580,""),"")</f>
        <v/>
      </c>
      <c r="B580" s="63">
        <f t="shared" si="129"/>
        <v>6</v>
      </c>
      <c r="C580" s="80">
        <f t="shared" si="130"/>
        <v>42522</v>
      </c>
      <c r="D580" s="80" t="s">
        <v>936</v>
      </c>
      <c r="E580" s="80">
        <v>42522</v>
      </c>
      <c r="F580" s="81" t="s">
        <v>683</v>
      </c>
      <c r="G580" s="81"/>
      <c r="H580" s="89" t="s">
        <v>346</v>
      </c>
      <c r="I580" s="437">
        <v>4013</v>
      </c>
      <c r="J580" s="438">
        <v>15500</v>
      </c>
      <c r="K580" s="428"/>
      <c r="L580" s="437"/>
      <c r="M580" s="83">
        <f t="shared" si="131"/>
        <v>62201500</v>
      </c>
      <c r="N580" s="84" t="s">
        <v>274</v>
      </c>
      <c r="O580" s="84" t="s">
        <v>8</v>
      </c>
      <c r="P580" s="84" t="str">
        <f>IF(AND('331-CT'!$E$7=TH!H580,OR(N580="331",O580="331")),"x","")</f>
        <v/>
      </c>
      <c r="Q580" s="84" t="str">
        <f>IF(AND(B580='111'!$L$11,OR($N580=$Q$7,$O580=$Q$7)),"x","")</f>
        <v/>
      </c>
      <c r="R580" s="84" t="str">
        <f>IF(AND($N580=$Q$7,$B580&lt;'111'!$L$11),"x","")</f>
        <v/>
      </c>
      <c r="S580" s="84" t="str">
        <f>IF(AND($O580=$Q$7,$B580&lt;'111'!$L$11),"x","")</f>
        <v/>
      </c>
      <c r="T580" s="84" t="str">
        <f>IF(ISERROR(FIND('112'!$M$9,G580,1)),"",IF((AND(FIND('112'!$M$9,G580,1)&gt;=1,B580='112'!$K$9,OR($N580='112'!$I$6,$O580='112'!$I$6))),"x",""))</f>
        <v/>
      </c>
      <c r="U580" s="84" t="str">
        <f>IF(ISERROR(FIND('112'!$M$9,G580,1)),"",IF((AND(LEFT(G580,2)=LEFT('112'!$M$9,2),B580&lt;'112'!$K$9,$N580='112'!$I$6)),"x",""))</f>
        <v/>
      </c>
      <c r="V580" s="84" t="str">
        <f>IF(ISERROR(FIND('112'!$M$9,G580,1)),"",IF((AND(RIGHT(G580,2)=RIGHT('112'!$M$9,2),B580&lt;'112'!$K$9,$O580='112'!$I$6)),"x",""))</f>
        <v/>
      </c>
      <c r="W580" s="84" t="str">
        <f>IF(AND('341-CT'!$H$9=H580,OR(LEFT(N580,3)=$W$7,LEFT(O580,3)=$W$7)),"x","")</f>
        <v/>
      </c>
      <c r="X580" s="84" t="str">
        <f>IF(OR(TH!N580=TH!$X$7,O580=TH!$X$7),"x","")</f>
        <v/>
      </c>
      <c r="Y580" s="84" t="str">
        <f>IF(AND(OR(N580="131",O580="131"),H580='131-CT'!$H$9),"x","")</f>
        <v/>
      </c>
      <c r="Z580" s="84"/>
      <c r="AA580" s="84" t="str">
        <f>IF(AND(MONTH(E580)='IN-NX'!$J$5,'IN-NX'!$D$7=D580),"x","")</f>
        <v/>
      </c>
      <c r="AB580" s="84" t="str">
        <f>IF(AND(OR(LEFT(TH!N580,2)="15",LEFT(TH!O580,2)="15"),LEFT(TH!O580,3)&lt;&gt;"111",'152-CT'!$J$8=TH!F580),"x","")</f>
        <v/>
      </c>
      <c r="AC580" s="84" t="str">
        <f>IF(AND(OR(LEFT(TH!N580,2)="15",LEFT(TH!O580,2)="15"),TK!$E$7=TH!F580),"x","")</f>
        <v/>
      </c>
      <c r="AD580" s="84" t="str">
        <f>IF(AND(N580="1521",MONTH(C580)='BK-NL'!$M$11),"x","")</f>
        <v/>
      </c>
      <c r="AE580" s="1146" t="str">
        <f t="shared" ref="AE580:AE585" si="132">IF(H580&lt;&gt;VLOOKUP(H580,DSKH,1,0),"","x")</f>
        <v>x</v>
      </c>
    </row>
    <row r="581" spans="1:31" ht="15.75" hidden="1" customHeight="1">
      <c r="A581" s="336" t="str">
        <f>IF(B581&lt;&gt;"",IF(AND(B581='IN-TC'!$S$4,OR(TH!N581="1111",TH!O581="1111")),TH!D581,""),"")</f>
        <v/>
      </c>
      <c r="B581" s="63">
        <f t="shared" si="129"/>
        <v>6</v>
      </c>
      <c r="C581" s="80">
        <f t="shared" si="130"/>
        <v>42522</v>
      </c>
      <c r="D581" s="80" t="s">
        <v>937</v>
      </c>
      <c r="E581" s="80">
        <v>42522</v>
      </c>
      <c r="F581" s="81" t="s">
        <v>683</v>
      </c>
      <c r="G581" s="81"/>
      <c r="H581" s="82" t="s">
        <v>349</v>
      </c>
      <c r="I581" s="437">
        <v>3980</v>
      </c>
      <c r="J581" s="438">
        <v>15500</v>
      </c>
      <c r="K581" s="428"/>
      <c r="L581" s="437"/>
      <c r="M581" s="83">
        <f t="shared" si="131"/>
        <v>61690000</v>
      </c>
      <c r="N581" s="84" t="s">
        <v>274</v>
      </c>
      <c r="O581" s="84" t="s">
        <v>8</v>
      </c>
      <c r="P581" s="84" t="str">
        <f>IF(AND('331-CT'!$E$7=TH!H581,OR(N581="331",O581="331")),"x","")</f>
        <v/>
      </c>
      <c r="Q581" s="84" t="str">
        <f>IF(AND(B581='111'!$L$11,OR($N581=$Q$7,$O581=$Q$7)),"x","")</f>
        <v/>
      </c>
      <c r="R581" s="84" t="str">
        <f>IF(AND($N581=$Q$7,$B581&lt;'111'!$L$11),"x","")</f>
        <v/>
      </c>
      <c r="S581" s="84" t="str">
        <f>IF(AND($O581=$Q$7,$B581&lt;'111'!$L$11),"x","")</f>
        <v/>
      </c>
      <c r="T581" s="84" t="str">
        <f>IF(ISERROR(FIND('112'!$M$9,G581,1)),"",IF((AND(FIND('112'!$M$9,G581,1)&gt;=1,B581='112'!$K$9,OR($N581='112'!$I$6,$O581='112'!$I$6))),"x",""))</f>
        <v/>
      </c>
      <c r="U581" s="84" t="str">
        <f>IF(ISERROR(FIND('112'!$M$9,G581,1)),"",IF((AND(LEFT(G581,2)=LEFT('112'!$M$9,2),B581&lt;'112'!$K$9,$N581='112'!$I$6)),"x",""))</f>
        <v/>
      </c>
      <c r="V581" s="84" t="str">
        <f>IF(ISERROR(FIND('112'!$M$9,G581,1)),"",IF((AND(RIGHT(G581,2)=RIGHT('112'!$M$9,2),B581&lt;'112'!$K$9,$O581='112'!$I$6)),"x",""))</f>
        <v/>
      </c>
      <c r="W581" s="84" t="str">
        <f>IF(AND('341-CT'!$H$9=H581,OR(LEFT(N581,3)=$W$7,LEFT(O581,3)=$W$7)),"x","")</f>
        <v/>
      </c>
      <c r="X581" s="84" t="str">
        <f>IF(OR(TH!N581=TH!$X$7,O581=TH!$X$7),"x","")</f>
        <v/>
      </c>
      <c r="Y581" s="84" t="str">
        <f>IF(AND(OR(N581="131",O581="131"),H581='131-CT'!$H$9),"x","")</f>
        <v/>
      </c>
      <c r="Z581" s="84"/>
      <c r="AA581" s="84" t="str">
        <f>IF(AND(MONTH(E581)='IN-NX'!$J$5,'IN-NX'!$D$7=D581),"x","")</f>
        <v/>
      </c>
      <c r="AB581" s="84" t="str">
        <f>IF(AND(OR(LEFT(TH!N581,2)="15",LEFT(TH!O581,2)="15"),LEFT(TH!O581,3)&lt;&gt;"111",'152-CT'!$J$8=TH!F581),"x","")</f>
        <v/>
      </c>
      <c r="AC581" s="84" t="str">
        <f>IF(AND(OR(LEFT(TH!N581,2)="15",LEFT(TH!O581,2)="15"),TK!$E$7=TH!F581),"x","")</f>
        <v/>
      </c>
      <c r="AD581" s="84" t="str">
        <f>IF(AND(N581="1521",MONTH(C581)='BK-NL'!$M$11),"x","")</f>
        <v/>
      </c>
      <c r="AE581" s="1146" t="str">
        <f t="shared" si="132"/>
        <v>x</v>
      </c>
    </row>
    <row r="582" spans="1:31" ht="15.75" hidden="1" customHeight="1">
      <c r="A582" s="336" t="str">
        <f>IF(B582&lt;&gt;"",IF(AND(B582='IN-TC'!$S$4,OR(TH!N582="1111",TH!O582="1111")),TH!D582,""),"")</f>
        <v/>
      </c>
      <c r="B582" s="63">
        <f t="shared" si="129"/>
        <v>6</v>
      </c>
      <c r="C582" s="80">
        <f t="shared" si="130"/>
        <v>42522</v>
      </c>
      <c r="D582" s="80" t="s">
        <v>938</v>
      </c>
      <c r="E582" s="80">
        <v>42522</v>
      </c>
      <c r="F582" s="81" t="s">
        <v>683</v>
      </c>
      <c r="G582" s="81"/>
      <c r="H582" s="82" t="s">
        <v>367</v>
      </c>
      <c r="I582" s="437">
        <v>3590</v>
      </c>
      <c r="J582" s="438">
        <v>15500</v>
      </c>
      <c r="K582" s="428"/>
      <c r="L582" s="437"/>
      <c r="M582" s="83">
        <f t="shared" si="131"/>
        <v>55645000</v>
      </c>
      <c r="N582" s="84" t="s">
        <v>274</v>
      </c>
      <c r="O582" s="84" t="s">
        <v>8</v>
      </c>
      <c r="P582" s="84" t="str">
        <f>IF(AND('331-CT'!$E$7=TH!H582,OR(N582="331",O582="331")),"x","")</f>
        <v/>
      </c>
      <c r="Q582" s="84" t="str">
        <f>IF(AND(B582='111'!$L$11,OR($N582=$Q$7,$O582=$Q$7)),"x","")</f>
        <v/>
      </c>
      <c r="R582" s="84" t="str">
        <f>IF(AND($N582=$Q$7,$B582&lt;'111'!$L$11),"x","")</f>
        <v/>
      </c>
      <c r="S582" s="84" t="str">
        <f>IF(AND($O582=$Q$7,$B582&lt;'111'!$L$11),"x","")</f>
        <v/>
      </c>
      <c r="T582" s="84" t="str">
        <f>IF(ISERROR(FIND('112'!$M$9,G582,1)),"",IF((AND(FIND('112'!$M$9,G582,1)&gt;=1,B582='112'!$K$9,OR($N582='112'!$I$6,$O582='112'!$I$6))),"x",""))</f>
        <v/>
      </c>
      <c r="U582" s="84" t="str">
        <f>IF(ISERROR(FIND('112'!$M$9,G582,1)),"",IF((AND(LEFT(G582,2)=LEFT('112'!$M$9,2),B582&lt;'112'!$K$9,$N582='112'!$I$6)),"x",""))</f>
        <v/>
      </c>
      <c r="V582" s="84" t="str">
        <f>IF(ISERROR(FIND('112'!$M$9,G582,1)),"",IF((AND(RIGHT(G582,2)=RIGHT('112'!$M$9,2),B582&lt;'112'!$K$9,$O582='112'!$I$6)),"x",""))</f>
        <v/>
      </c>
      <c r="W582" s="84" t="str">
        <f>IF(AND('341-CT'!$H$9=H582,OR(LEFT(N582,3)=$W$7,LEFT(O582,3)=$W$7)),"x","")</f>
        <v/>
      </c>
      <c r="X582" s="84" t="str">
        <f>IF(OR(TH!N582=TH!$X$7,O582=TH!$X$7),"x","")</f>
        <v/>
      </c>
      <c r="Y582" s="84" t="str">
        <f>IF(AND(OR(N582="131",O582="131"),H582='131-CT'!$H$9),"x","")</f>
        <v/>
      </c>
      <c r="Z582" s="84"/>
      <c r="AA582" s="84" t="str">
        <f>IF(AND(MONTH(E582)='IN-NX'!$J$5,'IN-NX'!$D$7=D582),"x","")</f>
        <v/>
      </c>
      <c r="AB582" s="84" t="str">
        <f>IF(AND(OR(LEFT(TH!N582,2)="15",LEFT(TH!O582,2)="15"),LEFT(TH!O582,3)&lt;&gt;"111",'152-CT'!$J$8=TH!F582),"x","")</f>
        <v/>
      </c>
      <c r="AC582" s="84" t="str">
        <f>IF(AND(OR(LEFT(TH!N582,2)="15",LEFT(TH!O582,2)="15"),TK!$E$7=TH!F582),"x","")</f>
        <v/>
      </c>
      <c r="AD582" s="84" t="str">
        <f>IF(AND(N582="1521",MONTH(C582)='BK-NL'!$M$11),"x","")</f>
        <v/>
      </c>
      <c r="AE582" s="1146" t="str">
        <f t="shared" si="132"/>
        <v>x</v>
      </c>
    </row>
    <row r="583" spans="1:31" ht="15.75" hidden="1" customHeight="1">
      <c r="A583" s="336" t="str">
        <f>IF(B583&lt;&gt;"",IF(AND(B583='IN-TC'!$S$4,OR(TH!N583="1111",TH!O583="1111")),TH!D583,""),"")</f>
        <v/>
      </c>
      <c r="B583" s="63">
        <f t="shared" si="129"/>
        <v>6</v>
      </c>
      <c r="C583" s="80">
        <f t="shared" si="130"/>
        <v>42525</v>
      </c>
      <c r="D583" s="80" t="s">
        <v>939</v>
      </c>
      <c r="E583" s="80">
        <v>42525</v>
      </c>
      <c r="F583" s="81" t="s">
        <v>683</v>
      </c>
      <c r="G583" s="81"/>
      <c r="H583" s="82" t="s">
        <v>349</v>
      </c>
      <c r="I583" s="437">
        <v>4012</v>
      </c>
      <c r="J583" s="438">
        <v>15500</v>
      </c>
      <c r="K583" s="428"/>
      <c r="L583" s="437"/>
      <c r="M583" s="83">
        <f t="shared" si="131"/>
        <v>62186000</v>
      </c>
      <c r="N583" s="84" t="s">
        <v>274</v>
      </c>
      <c r="O583" s="84" t="s">
        <v>8</v>
      </c>
      <c r="P583" s="84" t="str">
        <f>IF(AND('331-CT'!$E$7=TH!H583,OR(N583="331",O583="331")),"x","")</f>
        <v/>
      </c>
      <c r="Q583" s="84" t="str">
        <f>IF(AND(B583='111'!$L$11,OR($N583=$Q$7,$O583=$Q$7)),"x","")</f>
        <v/>
      </c>
      <c r="R583" s="84" t="str">
        <f>IF(AND($N583=$Q$7,$B583&lt;'111'!$L$11),"x","")</f>
        <v/>
      </c>
      <c r="S583" s="84" t="str">
        <f>IF(AND($O583=$Q$7,$B583&lt;'111'!$L$11),"x","")</f>
        <v/>
      </c>
      <c r="T583" s="84" t="str">
        <f>IF(ISERROR(FIND('112'!$M$9,G583,1)),"",IF((AND(FIND('112'!$M$9,G583,1)&gt;=1,B583='112'!$K$9,OR($N583='112'!$I$6,$O583='112'!$I$6))),"x",""))</f>
        <v/>
      </c>
      <c r="U583" s="84" t="str">
        <f>IF(ISERROR(FIND('112'!$M$9,G583,1)),"",IF((AND(LEFT(G583,2)=LEFT('112'!$M$9,2),B583&lt;'112'!$K$9,$N583='112'!$I$6)),"x",""))</f>
        <v/>
      </c>
      <c r="V583" s="84" t="str">
        <f>IF(ISERROR(FIND('112'!$M$9,G583,1)),"",IF((AND(RIGHT(G583,2)=RIGHT('112'!$M$9,2),B583&lt;'112'!$K$9,$O583='112'!$I$6)),"x",""))</f>
        <v/>
      </c>
      <c r="W583" s="84" t="str">
        <f>IF(AND('341-CT'!$H$9=H583,OR(LEFT(N583,3)=$W$7,LEFT(O583,3)=$W$7)),"x","")</f>
        <v/>
      </c>
      <c r="X583" s="84" t="str">
        <f>IF(OR(TH!N583=TH!$X$7,O583=TH!$X$7),"x","")</f>
        <v/>
      </c>
      <c r="Y583" s="84" t="str">
        <f>IF(AND(OR(N583="131",O583="131"),H583='131-CT'!$H$9),"x","")</f>
        <v/>
      </c>
      <c r="Z583" s="84"/>
      <c r="AA583" s="84" t="str">
        <f>IF(AND(MONTH(E583)='IN-NX'!$J$5,'IN-NX'!$D$7=D583),"x","")</f>
        <v/>
      </c>
      <c r="AB583" s="84" t="str">
        <f>IF(AND(OR(LEFT(TH!N583,2)="15",LEFT(TH!O583,2)="15"),LEFT(TH!O583,3)&lt;&gt;"111",'152-CT'!$J$8=TH!F583),"x","")</f>
        <v/>
      </c>
      <c r="AC583" s="84" t="str">
        <f>IF(AND(OR(LEFT(TH!N583,2)="15",LEFT(TH!O583,2)="15"),TK!$E$7=TH!F583),"x","")</f>
        <v/>
      </c>
      <c r="AD583" s="84" t="str">
        <f>IF(AND(N583="1521",MONTH(C583)='BK-NL'!$M$11),"x","")</f>
        <v/>
      </c>
      <c r="AE583" s="1146" t="str">
        <f t="shared" si="132"/>
        <v>x</v>
      </c>
    </row>
    <row r="584" spans="1:31" ht="15.75" hidden="1" customHeight="1">
      <c r="A584" s="336" t="str">
        <f>IF(B584&lt;&gt;"",IF(AND(B584='IN-TC'!$S$4,OR(TH!N584="1111",TH!O584="1111")),TH!D584,""),"")</f>
        <v/>
      </c>
      <c r="B584" s="63">
        <f t="shared" si="129"/>
        <v>6</v>
      </c>
      <c r="C584" s="80">
        <f t="shared" si="130"/>
        <v>42525</v>
      </c>
      <c r="D584" s="80" t="s">
        <v>940</v>
      </c>
      <c r="E584" s="80">
        <v>42525</v>
      </c>
      <c r="F584" s="81" t="s">
        <v>683</v>
      </c>
      <c r="G584" s="81"/>
      <c r="H584" s="82" t="s">
        <v>361</v>
      </c>
      <c r="I584" s="437">
        <v>3520</v>
      </c>
      <c r="J584" s="438">
        <v>15500</v>
      </c>
      <c r="K584" s="428"/>
      <c r="L584" s="437"/>
      <c r="M584" s="83">
        <f t="shared" si="131"/>
        <v>54560000</v>
      </c>
      <c r="N584" s="84" t="s">
        <v>274</v>
      </c>
      <c r="O584" s="84" t="s">
        <v>8</v>
      </c>
      <c r="P584" s="84" t="str">
        <f>IF(AND('331-CT'!$E$7=TH!H584,OR(N584="331",O584="331")),"x","")</f>
        <v/>
      </c>
      <c r="Q584" s="84" t="str">
        <f>IF(AND(B584='111'!$L$11,OR($N584=$Q$7,$O584=$Q$7)),"x","")</f>
        <v/>
      </c>
      <c r="R584" s="84" t="str">
        <f>IF(AND($N584=$Q$7,$B584&lt;'111'!$L$11),"x","")</f>
        <v/>
      </c>
      <c r="S584" s="84" t="str">
        <f>IF(AND($O584=$Q$7,$B584&lt;'111'!$L$11),"x","")</f>
        <v/>
      </c>
      <c r="T584" s="84" t="str">
        <f>IF(ISERROR(FIND('112'!$M$9,G584,1)),"",IF((AND(FIND('112'!$M$9,G584,1)&gt;=1,B584='112'!$K$9,OR($N584='112'!$I$6,$O584='112'!$I$6))),"x",""))</f>
        <v/>
      </c>
      <c r="U584" s="84" t="str">
        <f>IF(ISERROR(FIND('112'!$M$9,G584,1)),"",IF((AND(LEFT(G584,2)=LEFT('112'!$M$9,2),B584&lt;'112'!$K$9,$N584='112'!$I$6)),"x",""))</f>
        <v/>
      </c>
      <c r="V584" s="84" t="str">
        <f>IF(ISERROR(FIND('112'!$M$9,G584,1)),"",IF((AND(RIGHT(G584,2)=RIGHT('112'!$M$9,2),B584&lt;'112'!$K$9,$O584='112'!$I$6)),"x",""))</f>
        <v/>
      </c>
      <c r="W584" s="84" t="str">
        <f>IF(AND('341-CT'!$H$9=H584,OR(LEFT(N584,3)=$W$7,LEFT(O584,3)=$W$7)),"x","")</f>
        <v/>
      </c>
      <c r="X584" s="84" t="str">
        <f>IF(OR(TH!N584=TH!$X$7,O584=TH!$X$7),"x","")</f>
        <v/>
      </c>
      <c r="Y584" s="84" t="str">
        <f>IF(AND(OR(N584="131",O584="131"),H584='131-CT'!$H$9),"x","")</f>
        <v/>
      </c>
      <c r="Z584" s="84"/>
      <c r="AA584" s="84" t="str">
        <f>IF(AND(MONTH(E584)='IN-NX'!$J$5,'IN-NX'!$D$7=D584),"x","")</f>
        <v/>
      </c>
      <c r="AB584" s="84" t="str">
        <f>IF(AND(OR(LEFT(TH!N584,2)="15",LEFT(TH!O584,2)="15"),LEFT(TH!O584,3)&lt;&gt;"111",'152-CT'!$J$8=TH!F584),"x","")</f>
        <v/>
      </c>
      <c r="AC584" s="84" t="str">
        <f>IF(AND(OR(LEFT(TH!N584,2)="15",LEFT(TH!O584,2)="15"),TK!$E$7=TH!F584),"x","")</f>
        <v/>
      </c>
      <c r="AD584" s="84" t="str">
        <f>IF(AND(N584="1521",MONTH(C584)='BK-NL'!$M$11),"x","")</f>
        <v/>
      </c>
      <c r="AE584" s="1146" t="str">
        <f t="shared" si="132"/>
        <v>x</v>
      </c>
    </row>
    <row r="585" spans="1:31" ht="15.75" hidden="1" customHeight="1">
      <c r="A585" s="336" t="str">
        <f>IF(B585&lt;&gt;"",IF(AND(B585='IN-TC'!$S$4,OR(TH!N585="1111",TH!O585="1111")),TH!D585,""),"")</f>
        <v/>
      </c>
      <c r="B585" s="63">
        <f t="shared" si="129"/>
        <v>6</v>
      </c>
      <c r="C585" s="80">
        <f t="shared" si="130"/>
        <v>42525</v>
      </c>
      <c r="D585" s="80" t="s">
        <v>941</v>
      </c>
      <c r="E585" s="80">
        <v>42525</v>
      </c>
      <c r="F585" s="81" t="s">
        <v>683</v>
      </c>
      <c r="G585" s="81"/>
      <c r="H585" s="82" t="s">
        <v>364</v>
      </c>
      <c r="I585" s="437">
        <v>3325</v>
      </c>
      <c r="J585" s="438">
        <v>15500</v>
      </c>
      <c r="K585" s="428"/>
      <c r="L585" s="437"/>
      <c r="M585" s="83">
        <f t="shared" si="131"/>
        <v>51537500</v>
      </c>
      <c r="N585" s="84" t="s">
        <v>274</v>
      </c>
      <c r="O585" s="84" t="s">
        <v>8</v>
      </c>
      <c r="P585" s="84" t="str">
        <f>IF(AND('331-CT'!$E$7=TH!H585,OR(N585="331",O585="331")),"x","")</f>
        <v/>
      </c>
      <c r="Q585" s="84" t="str">
        <f>IF(AND(B585='111'!$L$11,OR($N585=$Q$7,$O585=$Q$7)),"x","")</f>
        <v/>
      </c>
      <c r="R585" s="84" t="str">
        <f>IF(AND($N585=$Q$7,$B585&lt;'111'!$L$11),"x","")</f>
        <v/>
      </c>
      <c r="S585" s="84" t="str">
        <f>IF(AND($O585=$Q$7,$B585&lt;'111'!$L$11),"x","")</f>
        <v/>
      </c>
      <c r="T585" s="84" t="str">
        <f>IF(ISERROR(FIND('112'!$M$9,G585,1)),"",IF((AND(FIND('112'!$M$9,G585,1)&gt;=1,B585='112'!$K$9,OR($N585='112'!$I$6,$O585='112'!$I$6))),"x",""))</f>
        <v/>
      </c>
      <c r="U585" s="84" t="str">
        <f>IF(ISERROR(FIND('112'!$M$9,G585,1)),"",IF((AND(LEFT(G585,2)=LEFT('112'!$M$9,2),B585&lt;'112'!$K$9,$N585='112'!$I$6)),"x",""))</f>
        <v/>
      </c>
      <c r="V585" s="84" t="str">
        <f>IF(ISERROR(FIND('112'!$M$9,G585,1)),"",IF((AND(RIGHT(G585,2)=RIGHT('112'!$M$9,2),B585&lt;'112'!$K$9,$O585='112'!$I$6)),"x",""))</f>
        <v/>
      </c>
      <c r="W585" s="84" t="str">
        <f>IF(AND('341-CT'!$H$9=H585,OR(LEFT(N585,3)=$W$7,LEFT(O585,3)=$W$7)),"x","")</f>
        <v/>
      </c>
      <c r="X585" s="84" t="str">
        <f>IF(OR(TH!N585=TH!$X$7,O585=TH!$X$7),"x","")</f>
        <v/>
      </c>
      <c r="Y585" s="84" t="str">
        <f>IF(AND(OR(N585="131",O585="131"),H585='131-CT'!$H$9),"x","")</f>
        <v/>
      </c>
      <c r="Z585" s="84"/>
      <c r="AA585" s="84" t="str">
        <f>IF(AND(MONTH(E585)='IN-NX'!$J$5,'IN-NX'!$D$7=D585),"x","")</f>
        <v/>
      </c>
      <c r="AB585" s="84" t="str">
        <f>IF(AND(OR(LEFT(TH!N585,2)="15",LEFT(TH!O585,2)="15"),LEFT(TH!O585,3)&lt;&gt;"111",'152-CT'!$J$8=TH!F585),"x","")</f>
        <v/>
      </c>
      <c r="AC585" s="84" t="str">
        <f>IF(AND(OR(LEFT(TH!N585,2)="15",LEFT(TH!O585,2)="15"),TK!$E$7=TH!F585),"x","")</f>
        <v/>
      </c>
      <c r="AD585" s="84" t="str">
        <f>IF(AND(N585="1521",MONTH(C585)='BK-NL'!$M$11),"x","")</f>
        <v/>
      </c>
      <c r="AE585" s="1146" t="str">
        <f t="shared" si="132"/>
        <v>x</v>
      </c>
    </row>
    <row r="586" spans="1:31" s="341" customFormat="1" ht="15.75" hidden="1" customHeight="1">
      <c r="A586" s="336" t="str">
        <f>IF(B586&lt;&gt;"",IF(AND(B586='IN-TC'!$S$4,OR(TH!N586="1111",TH!O586="1111")),TH!D586,""),"")</f>
        <v/>
      </c>
      <c r="B586" s="63">
        <f t="shared" si="129"/>
        <v>6</v>
      </c>
      <c r="C586" s="94">
        <f>E586</f>
        <v>42522</v>
      </c>
      <c r="D586" s="94" t="s">
        <v>685</v>
      </c>
      <c r="E586" s="94">
        <v>42522</v>
      </c>
      <c r="F586" s="95" t="s">
        <v>683</v>
      </c>
      <c r="G586" s="95"/>
      <c r="H586" s="96" t="s">
        <v>449</v>
      </c>
      <c r="I586" s="1188">
        <v>11583</v>
      </c>
      <c r="J586" s="1187">
        <v>15500</v>
      </c>
      <c r="K586" s="1189"/>
      <c r="L586" s="1188"/>
      <c r="M586" s="97">
        <f>ROUND(I586*J586,0)</f>
        <v>179536500</v>
      </c>
      <c r="N586" s="85" t="s">
        <v>282</v>
      </c>
      <c r="O586" s="85" t="s">
        <v>274</v>
      </c>
      <c r="P586" s="84" t="str">
        <f>IF(AND('331-CT'!$E$7=TH!H586,OR(N586="331",O586="331")),"x","")</f>
        <v/>
      </c>
      <c r="Q586" s="84" t="str">
        <f>IF(AND(B586='111'!$L$11,OR($N586=$Q$7,$O586=$Q$7)),"x","")</f>
        <v/>
      </c>
      <c r="R586" s="84" t="str">
        <f>IF(AND($N586=$Q$7,$B586&lt;'111'!$L$11),"x","")</f>
        <v/>
      </c>
      <c r="S586" s="84" t="str">
        <f>IF(AND($O586=$Q$7,$B586&lt;'111'!$L$11),"x","")</f>
        <v/>
      </c>
      <c r="T586" s="84" t="str">
        <f>IF(ISERROR(FIND('112'!$M$9,G586,1)),"",IF((AND(FIND('112'!$M$9,G586,1)&gt;=1,B586='112'!$K$9,OR($N586='112'!$I$6,$O586='112'!$I$6))),"x",""))</f>
        <v/>
      </c>
      <c r="U586" s="84" t="str">
        <f>IF(ISERROR(FIND('112'!$M$9,G586,1)),"",IF((AND(LEFT(G586,2)=LEFT('112'!$M$9,2),B586&lt;'112'!$K$9,$N586='112'!$I$6)),"x",""))</f>
        <v/>
      </c>
      <c r="V586" s="84" t="str">
        <f>IF(ISERROR(FIND('112'!$M$9,G586,1)),"",IF((AND(RIGHT(G586,2)=RIGHT('112'!$M$9,2),B586&lt;'112'!$K$9,$O586='112'!$I$6)),"x",""))</f>
        <v/>
      </c>
      <c r="W586" s="84" t="str">
        <f>IF(AND('341-CT'!$H$9=H586,OR(LEFT(N586,3)=$W$7,LEFT(O586,3)=$W$7)),"x","")</f>
        <v/>
      </c>
      <c r="X586" s="84" t="str">
        <f>IF(OR(TH!N586=TH!$X$7,O586=TH!$X$7),"x","")</f>
        <v/>
      </c>
      <c r="Y586" s="84" t="str">
        <f>IF(AND(OR(N586="131",O586="131"),H586='131-CT'!$H$9),"x","")</f>
        <v/>
      </c>
      <c r="Z586" s="84"/>
      <c r="AA586" s="84" t="str">
        <f>IF(AND(MONTH(E586)='IN-NX'!$J$5,'IN-NX'!$D$7=D586),"x","")</f>
        <v/>
      </c>
      <c r="AB586" s="84" t="str">
        <f>IF(AND(OR(LEFT(TH!N586,2)="15",LEFT(TH!O586,2)="15"),LEFT(TH!O586,3)&lt;&gt;"111",'152-CT'!$J$8=TH!F586),"x","")</f>
        <v/>
      </c>
      <c r="AC586" s="84" t="str">
        <f>IF(AND(OR(LEFT(TH!N586,2)="15",LEFT(TH!O586,2)="15"),TK!$E$7=TH!F586),"x","")</f>
        <v/>
      </c>
      <c r="AD586" s="84" t="str">
        <f>IF(AND(N586="1521",MONTH(C586)='BK-NL'!$M$11),"x","")</f>
        <v/>
      </c>
    </row>
    <row r="587" spans="1:31" s="341" customFormat="1" ht="15.75" hidden="1" customHeight="1">
      <c r="A587" s="336" t="str">
        <f>IF(B587&lt;&gt;"",IF(AND(B587='IN-TC'!$S$4,OR(TH!N587="1111",TH!O587="1111")),TH!D587,""),"")</f>
        <v/>
      </c>
      <c r="B587" s="63">
        <f t="shared" si="129"/>
        <v>6</v>
      </c>
      <c r="C587" s="94">
        <f>E587</f>
        <v>42525</v>
      </c>
      <c r="D587" s="94" t="s">
        <v>693</v>
      </c>
      <c r="E587" s="94">
        <v>42525</v>
      </c>
      <c r="F587" s="95" t="s">
        <v>683</v>
      </c>
      <c r="G587" s="95"/>
      <c r="H587" s="96" t="s">
        <v>449</v>
      </c>
      <c r="I587" s="445">
        <v>10857</v>
      </c>
      <c r="J587" s="1187">
        <v>15500</v>
      </c>
      <c r="K587" s="436"/>
      <c r="L587" s="445"/>
      <c r="M587" s="97">
        <f>ROUND(I587*J587,0)</f>
        <v>168283500</v>
      </c>
      <c r="N587" s="85" t="s">
        <v>282</v>
      </c>
      <c r="O587" s="85" t="s">
        <v>274</v>
      </c>
      <c r="P587" s="84" t="str">
        <f>IF(AND('331-CT'!$E$7=TH!H587,OR(N587="331",O587="331")),"x","")</f>
        <v/>
      </c>
      <c r="Q587" s="84" t="str">
        <f>IF(AND(B587='111'!$L$11,OR($N587=$Q$7,$O587=$Q$7)),"x","")</f>
        <v/>
      </c>
      <c r="R587" s="84" t="str">
        <f>IF(AND($N587=$Q$7,$B587&lt;'111'!$L$11),"x","")</f>
        <v/>
      </c>
      <c r="S587" s="84" t="str">
        <f>IF(AND($O587=$Q$7,$B587&lt;'111'!$L$11),"x","")</f>
        <v/>
      </c>
      <c r="T587" s="84" t="str">
        <f>IF(ISERROR(FIND('112'!$M$9,G587,1)),"",IF((AND(FIND('112'!$M$9,G587,1)&gt;=1,B587='112'!$K$9,OR($N587='112'!$I$6,$O587='112'!$I$6))),"x",""))</f>
        <v/>
      </c>
      <c r="U587" s="84" t="str">
        <f>IF(ISERROR(FIND('112'!$M$9,G587,1)),"",IF((AND(LEFT(G587,2)=LEFT('112'!$M$9,2),B587&lt;'112'!$K$9,$N587='112'!$I$6)),"x",""))</f>
        <v/>
      </c>
      <c r="V587" s="84" t="str">
        <f>IF(ISERROR(FIND('112'!$M$9,G587,1)),"",IF((AND(RIGHT(G587,2)=RIGHT('112'!$M$9,2),B587&lt;'112'!$K$9,$O587='112'!$I$6)),"x",""))</f>
        <v/>
      </c>
      <c r="W587" s="84" t="str">
        <f>IF(AND('341-CT'!$H$9=H587,OR(LEFT(N587,3)=$W$7,LEFT(O587,3)=$W$7)),"x","")</f>
        <v/>
      </c>
      <c r="X587" s="84" t="str">
        <f>IF(OR(TH!N587=TH!$X$7,O587=TH!$X$7),"x","")</f>
        <v/>
      </c>
      <c r="Y587" s="84" t="str">
        <f>IF(AND(OR(N587="131",O587="131"),H587='131-CT'!$H$9),"x","")</f>
        <v/>
      </c>
      <c r="Z587" s="84"/>
      <c r="AA587" s="84" t="str">
        <f>IF(AND(MONTH(E587)='IN-NX'!$J$5,'IN-NX'!$D$7=D587),"x","")</f>
        <v/>
      </c>
      <c r="AB587" s="84" t="str">
        <f>IF(AND(OR(LEFT(TH!N587,2)="15",LEFT(TH!O587,2)="15"),LEFT(TH!O587,3)&lt;&gt;"111",'152-CT'!$J$8=TH!F587),"x","")</f>
        <v/>
      </c>
      <c r="AC587" s="84" t="str">
        <f>IF(AND(OR(LEFT(TH!N587,2)="15",LEFT(TH!O587,2)="15"),TK!$E$7=TH!F587),"x","")</f>
        <v/>
      </c>
      <c r="AD587" s="84" t="str">
        <f>IF(AND(N587="1521",MONTH(C587)='BK-NL'!$M$11),"x","")</f>
        <v/>
      </c>
    </row>
    <row r="588" spans="1:31" s="341" customFormat="1" ht="15.75" hidden="1" customHeight="1">
      <c r="A588" s="336" t="str">
        <f>IF(B588&lt;&gt;"",IF(AND(B588='IN-TC'!$S$4,OR(TH!N588="1111",TH!O588="1111")),TH!D588,""),"")</f>
        <v/>
      </c>
      <c r="B588" s="63">
        <f t="shared" ref="B588:B611" si="133">IF(C588&lt;&gt;"",MONTH(C588),"")</f>
        <v>6</v>
      </c>
      <c r="C588" s="94">
        <f>E588</f>
        <v>42522</v>
      </c>
      <c r="D588" s="94" t="s">
        <v>692</v>
      </c>
      <c r="E588" s="94">
        <v>42522</v>
      </c>
      <c r="F588" s="95" t="s">
        <v>1964</v>
      </c>
      <c r="G588" s="95"/>
      <c r="H588" s="96" t="s">
        <v>449</v>
      </c>
      <c r="I588" s="1188">
        <v>2027</v>
      </c>
      <c r="J588" s="1187">
        <v>11165</v>
      </c>
      <c r="K588" s="1189"/>
      <c r="L588" s="1188"/>
      <c r="M588" s="97">
        <f>ROUND(I588*J588,0)</f>
        <v>22631455</v>
      </c>
      <c r="N588" s="85" t="s">
        <v>282</v>
      </c>
      <c r="O588" s="85" t="s">
        <v>274</v>
      </c>
      <c r="P588" s="84" t="str">
        <f>IF(AND('331-CT'!$E$7=TH!H588,OR(N588="331",O588="331")),"x","")</f>
        <v/>
      </c>
      <c r="Q588" s="84" t="str">
        <f>IF(AND(B588='111'!$L$11,OR($N588=$Q$7,$O588=$Q$7)),"x","")</f>
        <v/>
      </c>
      <c r="R588" s="84" t="str">
        <f>IF(AND($N588=$Q$7,$B588&lt;'111'!$L$11),"x","")</f>
        <v/>
      </c>
      <c r="S588" s="84" t="str">
        <f>IF(AND($O588=$Q$7,$B588&lt;'111'!$L$11),"x","")</f>
        <v/>
      </c>
      <c r="T588" s="84" t="str">
        <f>IF(ISERROR(FIND('112'!$M$9,G588,1)),"",IF((AND(FIND('112'!$M$9,G588,1)&gt;=1,B588='112'!$K$9,OR($N588='112'!$I$6,$O588='112'!$I$6))),"x",""))</f>
        <v/>
      </c>
      <c r="U588" s="84" t="str">
        <f>IF(ISERROR(FIND('112'!$M$9,G588,1)),"",IF((AND(LEFT(G588,2)=LEFT('112'!$M$9,2),B588&lt;'112'!$K$9,$N588='112'!$I$6)),"x",""))</f>
        <v/>
      </c>
      <c r="V588" s="84" t="str">
        <f>IF(ISERROR(FIND('112'!$M$9,G588,1)),"",IF((AND(RIGHT(G588,2)=RIGHT('112'!$M$9,2),B588&lt;'112'!$K$9,$O588='112'!$I$6)),"x",""))</f>
        <v/>
      </c>
      <c r="W588" s="84" t="str">
        <f>IF(AND('341-CT'!$H$9=H588,OR(LEFT(N588,3)=$W$7,LEFT(O588,3)=$W$7)),"x","")</f>
        <v/>
      </c>
      <c r="X588" s="84" t="str">
        <f>IF(OR(TH!N588=TH!$X$7,O588=TH!$X$7),"x","")</f>
        <v/>
      </c>
      <c r="Y588" s="84" t="str">
        <f>IF(AND(OR(N588="131",O588="131"),H588='131-CT'!$H$9),"x","")</f>
        <v/>
      </c>
      <c r="Z588" s="84"/>
      <c r="AA588" s="84" t="str">
        <f>IF(AND(MONTH(E588)='IN-NX'!$J$5,'IN-NX'!$D$7=D588),"x","")</f>
        <v/>
      </c>
      <c r="AB588" s="84" t="str">
        <f>IF(AND(OR(LEFT(TH!N588,2)="15",LEFT(TH!O588,2)="15"),LEFT(TH!O588,3)&lt;&gt;"111",'152-CT'!$J$8=TH!F588),"x","")</f>
        <v/>
      </c>
      <c r="AC588" s="84" t="str">
        <f>IF(AND(OR(LEFT(TH!N588,2)="15",LEFT(TH!O588,2)="15"),TK!$E$7=TH!F588),"x","")</f>
        <v/>
      </c>
      <c r="AD588" s="84" t="str">
        <f>IF(AND(N588="1521",MONTH(C588)='BK-NL'!$M$11),"x","")</f>
        <v/>
      </c>
    </row>
    <row r="589" spans="1:31" s="341" customFormat="1" ht="15.75" hidden="1" customHeight="1">
      <c r="A589" s="336" t="str">
        <f>IF(B589&lt;&gt;"",IF(AND(B589='IN-TC'!$S$4,OR(TH!N589="1111",TH!O589="1111")),TH!D589,""),"")</f>
        <v/>
      </c>
      <c r="B589" s="63">
        <f t="shared" si="133"/>
        <v>6</v>
      </c>
      <c r="C589" s="94">
        <f>E589</f>
        <v>42522</v>
      </c>
      <c r="D589" s="94" t="s">
        <v>692</v>
      </c>
      <c r="E589" s="94">
        <v>42522</v>
      </c>
      <c r="F589" s="95" t="s">
        <v>1965</v>
      </c>
      <c r="G589" s="95"/>
      <c r="H589" s="96" t="s">
        <v>449</v>
      </c>
      <c r="I589" s="445">
        <v>7700</v>
      </c>
      <c r="J589" s="1187">
        <v>11165</v>
      </c>
      <c r="K589" s="436"/>
      <c r="L589" s="445"/>
      <c r="M589" s="97">
        <f>ROUND(I589*J589,0)</f>
        <v>85970500</v>
      </c>
      <c r="N589" s="85" t="s">
        <v>282</v>
      </c>
      <c r="O589" s="85" t="s">
        <v>274</v>
      </c>
      <c r="P589" s="84" t="str">
        <f>IF(AND('331-CT'!$E$7=TH!H589,OR(N589="331",O589="331")),"x","")</f>
        <v/>
      </c>
      <c r="Q589" s="84" t="str">
        <f>IF(AND(B589='111'!$L$11,OR($N589=$Q$7,$O589=$Q$7)),"x","")</f>
        <v/>
      </c>
      <c r="R589" s="84" t="str">
        <f>IF(AND($N589=$Q$7,$B589&lt;'111'!$L$11),"x","")</f>
        <v/>
      </c>
      <c r="S589" s="84" t="str">
        <f>IF(AND($O589=$Q$7,$B589&lt;'111'!$L$11),"x","")</f>
        <v/>
      </c>
      <c r="T589" s="84" t="str">
        <f>IF(ISERROR(FIND('112'!$M$9,G589,1)),"",IF((AND(FIND('112'!$M$9,G589,1)&gt;=1,B589='112'!$K$9,OR($N589='112'!$I$6,$O589='112'!$I$6))),"x",""))</f>
        <v/>
      </c>
      <c r="U589" s="84" t="str">
        <f>IF(ISERROR(FIND('112'!$M$9,G589,1)),"",IF((AND(LEFT(G589,2)=LEFT('112'!$M$9,2),B589&lt;'112'!$K$9,$N589='112'!$I$6)),"x",""))</f>
        <v/>
      </c>
      <c r="V589" s="84" t="str">
        <f>IF(ISERROR(FIND('112'!$M$9,G589,1)),"",IF((AND(RIGHT(G589,2)=RIGHT('112'!$M$9,2),B589&lt;'112'!$K$9,$O589='112'!$I$6)),"x",""))</f>
        <v/>
      </c>
      <c r="W589" s="84" t="str">
        <f>IF(AND('341-CT'!$H$9=H589,OR(LEFT(N589,3)=$W$7,LEFT(O589,3)=$W$7)),"x","")</f>
        <v/>
      </c>
      <c r="X589" s="84" t="str">
        <f>IF(OR(TH!N589=TH!$X$7,O589=TH!$X$7),"x","")</f>
        <v/>
      </c>
      <c r="Y589" s="84" t="str">
        <f>IF(AND(OR(N589="131",O589="131"),H589='131-CT'!$H$9),"x","")</f>
        <v/>
      </c>
      <c r="Z589" s="84"/>
      <c r="AA589" s="84" t="str">
        <f>IF(AND(MONTH(E589)='IN-NX'!$J$5,'IN-NX'!$D$7=D589),"x","")</f>
        <v/>
      </c>
      <c r="AB589" s="84" t="str">
        <f>IF(AND(OR(LEFT(TH!N589,2)="15",LEFT(TH!O589,2)="15"),LEFT(TH!O589,3)&lt;&gt;"111",'152-CT'!$J$8=TH!F589),"x","")</f>
        <v/>
      </c>
      <c r="AC589" s="84" t="str">
        <f>IF(AND(OR(LEFT(TH!N589,2)="15",LEFT(TH!O589,2)="15"),TK!$E$7=TH!F589),"x","")</f>
        <v/>
      </c>
      <c r="AD589" s="84" t="str">
        <f>IF(AND(N589="1521",MONTH(C589)='BK-NL'!$M$11),"x","")</f>
        <v/>
      </c>
    </row>
    <row r="590" spans="1:31" ht="15.75" hidden="1" customHeight="1">
      <c r="A590" s="336" t="str">
        <f>IF(B590&lt;&gt;"",IF(AND(B590='IN-TC'!$S$4,OR(TH!N590="1111",TH!O590="1111")),TH!D590,""),"")</f>
        <v/>
      </c>
      <c r="B590" s="63">
        <f t="shared" si="133"/>
        <v>6</v>
      </c>
      <c r="C590" s="80">
        <f t="shared" ref="C590:C598" si="134">E590</f>
        <v>42522</v>
      </c>
      <c r="D590" s="80" t="s">
        <v>957</v>
      </c>
      <c r="E590" s="80">
        <v>42522</v>
      </c>
      <c r="F590" s="81" t="s">
        <v>1963</v>
      </c>
      <c r="G590" s="81"/>
      <c r="H590" s="82" t="s">
        <v>446</v>
      </c>
      <c r="I590" s="438">
        <v>2750</v>
      </c>
      <c r="J590" s="438">
        <v>105000</v>
      </c>
      <c r="K590" s="429"/>
      <c r="L590" s="438"/>
      <c r="M590" s="83">
        <f t="shared" ref="M590:M598" si="135">ROUND(I590*J590,0)</f>
        <v>288750000</v>
      </c>
      <c r="N590" s="84" t="s">
        <v>274</v>
      </c>
      <c r="O590" s="84" t="s">
        <v>8</v>
      </c>
      <c r="P590" s="84" t="str">
        <f>IF(AND('331-CT'!$E$7=TH!H590,OR(N590="331",O590="331")),"x","")</f>
        <v/>
      </c>
      <c r="Q590" s="84" t="str">
        <f>IF(AND(B590='111'!$L$11,OR($N590=$Q$7,$O590=$Q$7)),"x","")</f>
        <v/>
      </c>
      <c r="R590" s="84" t="str">
        <f>IF(AND($N590=$Q$7,$B590&lt;'111'!$L$11),"x","")</f>
        <v/>
      </c>
      <c r="S590" s="84" t="str">
        <f>IF(AND($O590=$Q$7,$B590&lt;'111'!$L$11),"x","")</f>
        <v/>
      </c>
      <c r="T590" s="84" t="str">
        <f>IF(ISERROR(FIND('112'!$M$9,G590,1)),"",IF((AND(FIND('112'!$M$9,G590,1)&gt;=1,B590='112'!$K$9,OR($N590='112'!$I$6,$O590='112'!$I$6))),"x",""))</f>
        <v/>
      </c>
      <c r="U590" s="84" t="str">
        <f>IF(ISERROR(FIND('112'!$M$9,G590,1)),"",IF((AND(LEFT(G590,2)=LEFT('112'!$M$9,2),B590&lt;'112'!$K$9,$N590='112'!$I$6)),"x",""))</f>
        <v/>
      </c>
      <c r="V590" s="84" t="str">
        <f>IF(ISERROR(FIND('112'!$M$9,G590,1)),"",IF((AND(RIGHT(G590,2)=RIGHT('112'!$M$9,2),B590&lt;'112'!$K$9,$O590='112'!$I$6)),"x",""))</f>
        <v/>
      </c>
      <c r="W590" s="84" t="str">
        <f>IF(AND('341-CT'!$H$9=H590,OR(LEFT(N590,3)=$W$7,LEFT(O590,3)=$W$7)),"x","")</f>
        <v/>
      </c>
      <c r="X590" s="84" t="str">
        <f>IF(OR(TH!N590=TH!$X$7,O590=TH!$X$7),"x","")</f>
        <v/>
      </c>
      <c r="Y590" s="84" t="str">
        <f>IF(AND(OR(N590="131",O590="131"),H590='131-CT'!$H$9),"x","")</f>
        <v/>
      </c>
      <c r="Z590" s="84"/>
      <c r="AA590" s="84" t="str">
        <f>IF(AND(MONTH(E590)='IN-NX'!$J$5,'IN-NX'!$D$7=D590),"x","")</f>
        <v/>
      </c>
      <c r="AB590" s="84" t="str">
        <f>IF(AND(OR(LEFT(TH!N590,2)="15",LEFT(TH!O590,2)="15"),LEFT(TH!O590,3)&lt;&gt;"111",'152-CT'!$J$8=TH!F590),"x","")</f>
        <v/>
      </c>
      <c r="AC590" s="84" t="str">
        <f>IF(AND(OR(LEFT(TH!N590,2)="15",LEFT(TH!O590,2)="15"),TK!$E$7=TH!F590),"x","")</f>
        <v/>
      </c>
      <c r="AD590" s="84" t="str">
        <f>IF(AND(N590="1521",MONTH(C590)='BK-NL'!$M$11),"x","")</f>
        <v/>
      </c>
      <c r="AE590" s="1146" t="str">
        <f t="shared" ref="AE590:AE600" si="136">IF(H590&lt;&gt;VLOOKUP(H590,DSKH,1,0),"","x")</f>
        <v>x</v>
      </c>
    </row>
    <row r="591" spans="1:31" ht="15.75" hidden="1" customHeight="1">
      <c r="A591" s="336" t="str">
        <f>IF(B591&lt;&gt;"",IF(AND(B591='IN-TC'!$S$4,OR(TH!N591="1111",TH!O591="1111")),TH!D591,""),"")</f>
        <v/>
      </c>
      <c r="B591" s="63">
        <f t="shared" si="133"/>
        <v>6</v>
      </c>
      <c r="C591" s="80">
        <f t="shared" si="134"/>
        <v>42522</v>
      </c>
      <c r="D591" s="80" t="s">
        <v>958</v>
      </c>
      <c r="E591" s="80">
        <v>42522</v>
      </c>
      <c r="F591" s="81" t="s">
        <v>1963</v>
      </c>
      <c r="G591" s="81"/>
      <c r="H591" s="82" t="s">
        <v>1979</v>
      </c>
      <c r="I591" s="437">
        <v>2589</v>
      </c>
      <c r="J591" s="438">
        <v>105000</v>
      </c>
      <c r="K591" s="428"/>
      <c r="L591" s="437"/>
      <c r="M591" s="83">
        <f t="shared" si="135"/>
        <v>271845000</v>
      </c>
      <c r="N591" s="84" t="s">
        <v>274</v>
      </c>
      <c r="O591" s="84" t="s">
        <v>8</v>
      </c>
      <c r="P591" s="84" t="str">
        <f>IF(AND('331-CT'!$E$7=TH!H591,OR(N591="331",O591="331")),"x","")</f>
        <v/>
      </c>
      <c r="Q591" s="84" t="str">
        <f>IF(AND(B591='111'!$L$11,OR($N591=$Q$7,$O591=$Q$7)),"x","")</f>
        <v/>
      </c>
      <c r="R591" s="84" t="str">
        <f>IF(AND($N591=$Q$7,$B591&lt;'111'!$L$11),"x","")</f>
        <v/>
      </c>
      <c r="S591" s="84" t="str">
        <f>IF(AND($O591=$Q$7,$B591&lt;'111'!$L$11),"x","")</f>
        <v/>
      </c>
      <c r="T591" s="84" t="str">
        <f>IF(ISERROR(FIND('112'!$M$9,G591,1)),"",IF((AND(FIND('112'!$M$9,G591,1)&gt;=1,B591='112'!$K$9,OR($N591='112'!$I$6,$O591='112'!$I$6))),"x",""))</f>
        <v/>
      </c>
      <c r="U591" s="84" t="str">
        <f>IF(ISERROR(FIND('112'!$M$9,G591,1)),"",IF((AND(LEFT(G591,2)=LEFT('112'!$M$9,2),B591&lt;'112'!$K$9,$N591='112'!$I$6)),"x",""))</f>
        <v/>
      </c>
      <c r="V591" s="84" t="str">
        <f>IF(ISERROR(FIND('112'!$M$9,G591,1)),"",IF((AND(RIGHT(G591,2)=RIGHT('112'!$M$9,2),B591&lt;'112'!$K$9,$O591='112'!$I$6)),"x",""))</f>
        <v/>
      </c>
      <c r="W591" s="84" t="str">
        <f>IF(AND('341-CT'!$H$9=H591,OR(LEFT(N591,3)=$W$7,LEFT(O591,3)=$W$7)),"x","")</f>
        <v/>
      </c>
      <c r="X591" s="84" t="str">
        <f>IF(OR(TH!N591=TH!$X$7,O591=TH!$X$7),"x","")</f>
        <v/>
      </c>
      <c r="Y591" s="84" t="str">
        <f>IF(AND(OR(N591="131",O591="131"),H591='131-CT'!$H$9),"x","")</f>
        <v/>
      </c>
      <c r="Z591" s="84"/>
      <c r="AA591" s="84" t="str">
        <f>IF(AND(MONTH(E591)='IN-NX'!$J$5,'IN-NX'!$D$7=D591),"x","")</f>
        <v/>
      </c>
      <c r="AB591" s="84" t="str">
        <f>IF(AND(OR(LEFT(TH!N591,2)="15",LEFT(TH!O591,2)="15"),LEFT(TH!O591,3)&lt;&gt;"111",'152-CT'!$J$8=TH!F591),"x","")</f>
        <v/>
      </c>
      <c r="AC591" s="84" t="str">
        <f>IF(AND(OR(LEFT(TH!N591,2)="15",LEFT(TH!O591,2)="15"),TK!$E$7=TH!F591),"x","")</f>
        <v/>
      </c>
      <c r="AD591" s="84" t="str">
        <f>IF(AND(N591="1521",MONTH(C591)='BK-NL'!$M$11),"x","")</f>
        <v/>
      </c>
      <c r="AE591" s="1146" t="str">
        <f t="shared" si="136"/>
        <v>x</v>
      </c>
    </row>
    <row r="592" spans="1:31" ht="15.75" hidden="1" customHeight="1">
      <c r="A592" s="336" t="str">
        <f>IF(B592&lt;&gt;"",IF(AND(B592='IN-TC'!$S$4,OR(TH!N592="1111",TH!O592="1111")),TH!D592,""),"")</f>
        <v/>
      </c>
      <c r="B592" s="63">
        <f t="shared" si="133"/>
        <v>6</v>
      </c>
      <c r="C592" s="80">
        <f t="shared" si="134"/>
        <v>42522</v>
      </c>
      <c r="D592" s="80" t="s">
        <v>959</v>
      </c>
      <c r="E592" s="80">
        <v>42522</v>
      </c>
      <c r="F592" s="81" t="s">
        <v>1963</v>
      </c>
      <c r="G592" s="81"/>
      <c r="H592" s="82" t="s">
        <v>1980</v>
      </c>
      <c r="I592" s="437">
        <v>2472</v>
      </c>
      <c r="J592" s="438">
        <v>105000</v>
      </c>
      <c r="K592" s="428"/>
      <c r="L592" s="437"/>
      <c r="M592" s="83">
        <f t="shared" si="135"/>
        <v>259560000</v>
      </c>
      <c r="N592" s="84" t="s">
        <v>274</v>
      </c>
      <c r="O592" s="84" t="s">
        <v>8</v>
      </c>
      <c r="P592" s="84" t="str">
        <f>IF(AND('331-CT'!$E$7=TH!H592,OR(N592="331",O592="331")),"x","")</f>
        <v/>
      </c>
      <c r="Q592" s="84" t="str">
        <f>IF(AND(B592='111'!$L$11,OR($N592=$Q$7,$O592=$Q$7)),"x","")</f>
        <v/>
      </c>
      <c r="R592" s="84" t="str">
        <f>IF(AND($N592=$Q$7,$B592&lt;'111'!$L$11),"x","")</f>
        <v/>
      </c>
      <c r="S592" s="84" t="str">
        <f>IF(AND($O592=$Q$7,$B592&lt;'111'!$L$11),"x","")</f>
        <v/>
      </c>
      <c r="T592" s="84" t="str">
        <f>IF(ISERROR(FIND('112'!$M$9,G592,1)),"",IF((AND(FIND('112'!$M$9,G592,1)&gt;=1,B592='112'!$K$9,OR($N592='112'!$I$6,$O592='112'!$I$6))),"x",""))</f>
        <v/>
      </c>
      <c r="U592" s="84" t="str">
        <f>IF(ISERROR(FIND('112'!$M$9,G592,1)),"",IF((AND(LEFT(G592,2)=LEFT('112'!$M$9,2),B592&lt;'112'!$K$9,$N592='112'!$I$6)),"x",""))</f>
        <v/>
      </c>
      <c r="V592" s="84" t="str">
        <f>IF(ISERROR(FIND('112'!$M$9,G592,1)),"",IF((AND(RIGHT(G592,2)=RIGHT('112'!$M$9,2),B592&lt;'112'!$K$9,$O592='112'!$I$6)),"x",""))</f>
        <v/>
      </c>
      <c r="W592" s="84" t="str">
        <f>IF(AND('341-CT'!$H$9=H592,OR(LEFT(N592,3)=$W$7,LEFT(O592,3)=$W$7)),"x","")</f>
        <v/>
      </c>
      <c r="X592" s="84" t="str">
        <f>IF(OR(TH!N592=TH!$X$7,O592=TH!$X$7),"x","")</f>
        <v/>
      </c>
      <c r="Y592" s="84" t="str">
        <f>IF(AND(OR(N592="131",O592="131"),H592='131-CT'!$H$9),"x","")</f>
        <v/>
      </c>
      <c r="Z592" s="84"/>
      <c r="AA592" s="84" t="str">
        <f>IF(AND(MONTH(E592)='IN-NX'!$J$5,'IN-NX'!$D$7=D592),"x","")</f>
        <v/>
      </c>
      <c r="AB592" s="84" t="str">
        <f>IF(AND(OR(LEFT(TH!N592,2)="15",LEFT(TH!O592,2)="15"),LEFT(TH!O592,3)&lt;&gt;"111",'152-CT'!$J$8=TH!F592),"x","")</f>
        <v/>
      </c>
      <c r="AC592" s="84" t="str">
        <f>IF(AND(OR(LEFT(TH!N592,2)="15",LEFT(TH!O592,2)="15"),TK!$E$7=TH!F592),"x","")</f>
        <v/>
      </c>
      <c r="AD592" s="84" t="str">
        <f>IF(AND(N592="1521",MONTH(C592)='BK-NL'!$M$11),"x","")</f>
        <v/>
      </c>
      <c r="AE592" s="1146" t="str">
        <f t="shared" si="136"/>
        <v>x</v>
      </c>
    </row>
    <row r="593" spans="1:31" ht="15.75" hidden="1" customHeight="1">
      <c r="A593" s="336" t="str">
        <f>IF(B593&lt;&gt;"",IF(AND(B593='IN-TC'!$S$4,OR(TH!N593="1111",TH!O593="1111")),TH!D593,""),"")</f>
        <v/>
      </c>
      <c r="B593" s="63">
        <f t="shared" si="133"/>
        <v>6</v>
      </c>
      <c r="C593" s="80">
        <f t="shared" si="134"/>
        <v>42522</v>
      </c>
      <c r="D593" s="80" t="s">
        <v>960</v>
      </c>
      <c r="E593" s="80">
        <v>42522</v>
      </c>
      <c r="F593" s="81" t="s">
        <v>1963</v>
      </c>
      <c r="G593" s="81"/>
      <c r="H593" s="82" t="s">
        <v>1981</v>
      </c>
      <c r="I593" s="437">
        <v>1579</v>
      </c>
      <c r="J593" s="438">
        <v>105000</v>
      </c>
      <c r="K593" s="428"/>
      <c r="L593" s="437"/>
      <c r="M593" s="83">
        <f t="shared" si="135"/>
        <v>165795000</v>
      </c>
      <c r="N593" s="84" t="s">
        <v>274</v>
      </c>
      <c r="O593" s="84" t="s">
        <v>8</v>
      </c>
      <c r="P593" s="84" t="str">
        <f>IF(AND('331-CT'!$E$7=TH!H593,OR(N593="331",O593="331")),"x","")</f>
        <v/>
      </c>
      <c r="Q593" s="84" t="str">
        <f>IF(AND(B593='111'!$L$11,OR($N593=$Q$7,$O593=$Q$7)),"x","")</f>
        <v/>
      </c>
      <c r="R593" s="84" t="str">
        <f>IF(AND($N593=$Q$7,$B593&lt;'111'!$L$11),"x","")</f>
        <v/>
      </c>
      <c r="S593" s="84" t="str">
        <f>IF(AND($O593=$Q$7,$B593&lt;'111'!$L$11),"x","")</f>
        <v/>
      </c>
      <c r="T593" s="84" t="str">
        <f>IF(ISERROR(FIND('112'!$M$9,G593,1)),"",IF((AND(FIND('112'!$M$9,G593,1)&gt;=1,B593='112'!$K$9,OR($N593='112'!$I$6,$O593='112'!$I$6))),"x",""))</f>
        <v/>
      </c>
      <c r="U593" s="84" t="str">
        <f>IF(ISERROR(FIND('112'!$M$9,G593,1)),"",IF((AND(LEFT(G593,2)=LEFT('112'!$M$9,2),B593&lt;'112'!$K$9,$N593='112'!$I$6)),"x",""))</f>
        <v/>
      </c>
      <c r="V593" s="84" t="str">
        <f>IF(ISERROR(FIND('112'!$M$9,G593,1)),"",IF((AND(RIGHT(G593,2)=RIGHT('112'!$M$9,2),B593&lt;'112'!$K$9,$O593='112'!$I$6)),"x",""))</f>
        <v/>
      </c>
      <c r="W593" s="84" t="str">
        <f>IF(AND('341-CT'!$H$9=H593,OR(LEFT(N593,3)=$W$7,LEFT(O593,3)=$W$7)),"x","")</f>
        <v/>
      </c>
      <c r="X593" s="84" t="str">
        <f>IF(OR(TH!N593=TH!$X$7,O593=TH!$X$7),"x","")</f>
        <v/>
      </c>
      <c r="Y593" s="84" t="str">
        <f>IF(AND(OR(N593="131",O593="131"),H593='131-CT'!$H$9),"x","")</f>
        <v/>
      </c>
      <c r="Z593" s="84"/>
      <c r="AA593" s="84" t="str">
        <f>IF(AND(MONTH(E593)='IN-NX'!$J$5,'IN-NX'!$D$7=D593),"x","")</f>
        <v/>
      </c>
      <c r="AB593" s="84" t="str">
        <f>IF(AND(OR(LEFT(TH!N593,2)="15",LEFT(TH!O593,2)="15"),LEFT(TH!O593,3)&lt;&gt;"111",'152-CT'!$J$8=TH!F593),"x","")</f>
        <v/>
      </c>
      <c r="AC593" s="84" t="str">
        <f>IF(AND(OR(LEFT(TH!N593,2)="15",LEFT(TH!O593,2)="15"),TK!$E$7=TH!F593),"x","")</f>
        <v/>
      </c>
      <c r="AD593" s="84" t="str">
        <f>IF(AND(N593="1521",MONTH(C593)='BK-NL'!$M$11),"x","")</f>
        <v/>
      </c>
      <c r="AE593" s="1146" t="str">
        <f t="shared" si="136"/>
        <v>x</v>
      </c>
    </row>
    <row r="594" spans="1:31" ht="15.75" hidden="1" customHeight="1">
      <c r="A594" s="336" t="str">
        <f>IF(B594&lt;&gt;"",IF(AND(B594='IN-TC'!$S$4,OR(TH!N594="1111",TH!O594="1111")),TH!D594,""),"")</f>
        <v/>
      </c>
      <c r="B594" s="63">
        <f t="shared" si="133"/>
        <v>6</v>
      </c>
      <c r="C594" s="80">
        <f t="shared" si="134"/>
        <v>42526</v>
      </c>
      <c r="D594" s="80" t="s">
        <v>961</v>
      </c>
      <c r="E594" s="80">
        <v>42526</v>
      </c>
      <c r="F594" s="81" t="s">
        <v>1963</v>
      </c>
      <c r="G594" s="81"/>
      <c r="H594" s="82" t="s">
        <v>1982</v>
      </c>
      <c r="I594" s="437">
        <v>1790</v>
      </c>
      <c r="J594" s="438">
        <v>105000</v>
      </c>
      <c r="K594" s="428"/>
      <c r="L594" s="437"/>
      <c r="M594" s="83">
        <f t="shared" si="135"/>
        <v>187950000</v>
      </c>
      <c r="N594" s="84" t="s">
        <v>274</v>
      </c>
      <c r="O594" s="84" t="s">
        <v>8</v>
      </c>
      <c r="P594" s="84" t="str">
        <f>IF(AND('331-CT'!$E$7=TH!H594,OR(N594="331",O594="331")),"x","")</f>
        <v/>
      </c>
      <c r="Q594" s="84" t="str">
        <f>IF(AND(B594='111'!$L$11,OR($N594=$Q$7,$O594=$Q$7)),"x","")</f>
        <v/>
      </c>
      <c r="R594" s="84" t="str">
        <f>IF(AND($N594=$Q$7,$B594&lt;'111'!$L$11),"x","")</f>
        <v/>
      </c>
      <c r="S594" s="84" t="str">
        <f>IF(AND($O594=$Q$7,$B594&lt;'111'!$L$11),"x","")</f>
        <v/>
      </c>
      <c r="T594" s="84" t="str">
        <f>IF(ISERROR(FIND('112'!$M$9,G594,1)),"",IF((AND(FIND('112'!$M$9,G594,1)&gt;=1,B594='112'!$K$9,OR($N594='112'!$I$6,$O594='112'!$I$6))),"x",""))</f>
        <v/>
      </c>
      <c r="U594" s="84" t="str">
        <f>IF(ISERROR(FIND('112'!$M$9,G594,1)),"",IF((AND(LEFT(G594,2)=LEFT('112'!$M$9,2),B594&lt;'112'!$K$9,$N594='112'!$I$6)),"x",""))</f>
        <v/>
      </c>
      <c r="V594" s="84" t="str">
        <f>IF(ISERROR(FIND('112'!$M$9,G594,1)),"",IF((AND(RIGHT(G594,2)=RIGHT('112'!$M$9,2),B594&lt;'112'!$K$9,$O594='112'!$I$6)),"x",""))</f>
        <v/>
      </c>
      <c r="W594" s="84" t="str">
        <f>IF(AND('341-CT'!$H$9=H594,OR(LEFT(N594,3)=$W$7,LEFT(O594,3)=$W$7)),"x","")</f>
        <v/>
      </c>
      <c r="X594" s="84" t="str">
        <f>IF(OR(TH!N594=TH!$X$7,O594=TH!$X$7),"x","")</f>
        <v/>
      </c>
      <c r="Y594" s="84" t="str">
        <f>IF(AND(OR(N594="131",O594="131"),H594='131-CT'!$H$9),"x","")</f>
        <v/>
      </c>
      <c r="Z594" s="84"/>
      <c r="AA594" s="84" t="str">
        <f>IF(AND(MONTH(E594)='IN-NX'!$J$5,'IN-NX'!$D$7=D594),"x","")</f>
        <v/>
      </c>
      <c r="AB594" s="84" t="str">
        <f>IF(AND(OR(LEFT(TH!N594,2)="15",LEFT(TH!O594,2)="15"),LEFT(TH!O594,3)&lt;&gt;"111",'152-CT'!$J$8=TH!F594),"x","")</f>
        <v/>
      </c>
      <c r="AC594" s="84" t="str">
        <f>IF(AND(OR(LEFT(TH!N594,2)="15",LEFT(TH!O594,2)="15"),TK!$E$7=TH!F594),"x","")</f>
        <v/>
      </c>
      <c r="AD594" s="84" t="str">
        <f>IF(AND(N594="1521",MONTH(C594)='BK-NL'!$M$11),"x","")</f>
        <v/>
      </c>
      <c r="AE594" s="1146" t="str">
        <f t="shared" si="136"/>
        <v>x</v>
      </c>
    </row>
    <row r="595" spans="1:31" ht="15.75" hidden="1" customHeight="1">
      <c r="A595" s="336" t="str">
        <f>IF(B595&lt;&gt;"",IF(AND(B595='IN-TC'!$S$4,OR(TH!N595="1111",TH!O595="1111")),TH!D595,""),"")</f>
        <v/>
      </c>
      <c r="B595" s="63">
        <f t="shared" si="133"/>
        <v>6</v>
      </c>
      <c r="C595" s="80">
        <f t="shared" si="134"/>
        <v>42526</v>
      </c>
      <c r="D595" s="80" t="s">
        <v>1969</v>
      </c>
      <c r="E595" s="80">
        <v>42526</v>
      </c>
      <c r="F595" s="81" t="s">
        <v>1963</v>
      </c>
      <c r="G595" s="81"/>
      <c r="H595" s="82" t="s">
        <v>1979</v>
      </c>
      <c r="I595" s="437">
        <v>1980</v>
      </c>
      <c r="J595" s="438">
        <v>105000</v>
      </c>
      <c r="K595" s="428"/>
      <c r="L595" s="437"/>
      <c r="M595" s="83">
        <f t="shared" si="135"/>
        <v>207900000</v>
      </c>
      <c r="N595" s="84" t="s">
        <v>274</v>
      </c>
      <c r="O595" s="84" t="s">
        <v>8</v>
      </c>
      <c r="P595" s="84" t="str">
        <f>IF(AND('331-CT'!$E$7=TH!H595,OR(N595="331",O595="331")),"x","")</f>
        <v/>
      </c>
      <c r="Q595" s="84" t="str">
        <f>IF(AND(B595='111'!$L$11,OR($N595=$Q$7,$O595=$Q$7)),"x","")</f>
        <v/>
      </c>
      <c r="R595" s="84" t="str">
        <f>IF(AND($N595=$Q$7,$B595&lt;'111'!$L$11),"x","")</f>
        <v/>
      </c>
      <c r="S595" s="84" t="str">
        <f>IF(AND($O595=$Q$7,$B595&lt;'111'!$L$11),"x","")</f>
        <v/>
      </c>
      <c r="T595" s="84" t="str">
        <f>IF(ISERROR(FIND('112'!$M$9,G595,1)),"",IF((AND(FIND('112'!$M$9,G595,1)&gt;=1,B595='112'!$K$9,OR($N595='112'!$I$6,$O595='112'!$I$6))),"x",""))</f>
        <v/>
      </c>
      <c r="U595" s="84" t="str">
        <f>IF(ISERROR(FIND('112'!$M$9,G595,1)),"",IF((AND(LEFT(G595,2)=LEFT('112'!$M$9,2),B595&lt;'112'!$K$9,$N595='112'!$I$6)),"x",""))</f>
        <v/>
      </c>
      <c r="V595" s="84" t="str">
        <f>IF(ISERROR(FIND('112'!$M$9,G595,1)),"",IF((AND(RIGHT(G595,2)=RIGHT('112'!$M$9,2),B595&lt;'112'!$K$9,$O595='112'!$I$6)),"x",""))</f>
        <v/>
      </c>
      <c r="W595" s="84" t="str">
        <f>IF(AND('341-CT'!$H$9=H595,OR(LEFT(N595,3)=$W$7,LEFT(O595,3)=$W$7)),"x","")</f>
        <v/>
      </c>
      <c r="X595" s="84" t="str">
        <f>IF(OR(TH!N595=TH!$X$7,O595=TH!$X$7),"x","")</f>
        <v/>
      </c>
      <c r="Y595" s="84" t="str">
        <f>IF(AND(OR(N595="131",O595="131"),H595='131-CT'!$H$9),"x","")</f>
        <v/>
      </c>
      <c r="Z595" s="84"/>
      <c r="AA595" s="84" t="str">
        <f>IF(AND(MONTH(E595)='IN-NX'!$J$5,'IN-NX'!$D$7=D595),"x","")</f>
        <v/>
      </c>
      <c r="AB595" s="84" t="str">
        <f>IF(AND(OR(LEFT(TH!N595,2)="15",LEFT(TH!O595,2)="15"),LEFT(TH!O595,3)&lt;&gt;"111",'152-CT'!$J$8=TH!F595),"x","")</f>
        <v/>
      </c>
      <c r="AC595" s="84" t="str">
        <f>IF(AND(OR(LEFT(TH!N595,2)="15",LEFT(TH!O595,2)="15"),TK!$E$7=TH!F595),"x","")</f>
        <v/>
      </c>
      <c r="AD595" s="84" t="str">
        <f>IF(AND(N595="1521",MONTH(C595)='BK-NL'!$M$11),"x","")</f>
        <v/>
      </c>
      <c r="AE595" s="1146" t="str">
        <f t="shared" si="136"/>
        <v>x</v>
      </c>
    </row>
    <row r="596" spans="1:31" ht="15.75" hidden="1" customHeight="1">
      <c r="A596" s="336" t="str">
        <f>IF(B596&lt;&gt;"",IF(AND(B596='IN-TC'!$S$4,OR(TH!N596="1111",TH!O596="1111")),TH!D596,""),"")</f>
        <v/>
      </c>
      <c r="B596" s="63">
        <f t="shared" si="133"/>
        <v>6</v>
      </c>
      <c r="C596" s="80">
        <f t="shared" si="134"/>
        <v>42526</v>
      </c>
      <c r="D596" s="80" t="s">
        <v>1970</v>
      </c>
      <c r="E596" s="80">
        <v>42526</v>
      </c>
      <c r="F596" s="81" t="s">
        <v>1963</v>
      </c>
      <c r="G596" s="81"/>
      <c r="H596" s="82" t="s">
        <v>1981</v>
      </c>
      <c r="I596" s="437">
        <v>2016</v>
      </c>
      <c r="J596" s="438">
        <v>105000</v>
      </c>
      <c r="K596" s="428"/>
      <c r="L596" s="437"/>
      <c r="M596" s="83">
        <f t="shared" si="135"/>
        <v>211680000</v>
      </c>
      <c r="N596" s="84" t="s">
        <v>274</v>
      </c>
      <c r="O596" s="84" t="s">
        <v>8</v>
      </c>
      <c r="P596" s="84" t="str">
        <f>IF(AND('331-CT'!$E$7=TH!H596,OR(N596="331",O596="331")),"x","")</f>
        <v/>
      </c>
      <c r="Q596" s="84" t="str">
        <f>IF(AND(B596='111'!$L$11,OR($N596=$Q$7,$O596=$Q$7)),"x","")</f>
        <v/>
      </c>
      <c r="R596" s="84" t="str">
        <f>IF(AND($N596=$Q$7,$B596&lt;'111'!$L$11),"x","")</f>
        <v/>
      </c>
      <c r="S596" s="84" t="str">
        <f>IF(AND($O596=$Q$7,$B596&lt;'111'!$L$11),"x","")</f>
        <v/>
      </c>
      <c r="T596" s="84" t="str">
        <f>IF(ISERROR(FIND('112'!$M$9,G596,1)),"",IF((AND(FIND('112'!$M$9,G596,1)&gt;=1,B596='112'!$K$9,OR($N596='112'!$I$6,$O596='112'!$I$6))),"x",""))</f>
        <v/>
      </c>
      <c r="U596" s="84" t="str">
        <f>IF(ISERROR(FIND('112'!$M$9,G596,1)),"",IF((AND(LEFT(G596,2)=LEFT('112'!$M$9,2),B596&lt;'112'!$K$9,$N596='112'!$I$6)),"x",""))</f>
        <v/>
      </c>
      <c r="V596" s="84" t="str">
        <f>IF(ISERROR(FIND('112'!$M$9,G596,1)),"",IF((AND(RIGHT(G596,2)=RIGHT('112'!$M$9,2),B596&lt;'112'!$K$9,$O596='112'!$I$6)),"x",""))</f>
        <v/>
      </c>
      <c r="W596" s="84" t="str">
        <f>IF(AND('341-CT'!$H$9=H596,OR(LEFT(N596,3)=$W$7,LEFT(O596,3)=$W$7)),"x","")</f>
        <v/>
      </c>
      <c r="X596" s="84" t="str">
        <f>IF(OR(TH!N596=TH!$X$7,O596=TH!$X$7),"x","")</f>
        <v/>
      </c>
      <c r="Y596" s="84" t="str">
        <f>IF(AND(OR(N596="131",O596="131"),H596='131-CT'!$H$9),"x","")</f>
        <v/>
      </c>
      <c r="Z596" s="84"/>
      <c r="AA596" s="84" t="str">
        <f>IF(AND(MONTH(E596)='IN-NX'!$J$5,'IN-NX'!$D$7=D596),"x","")</f>
        <v/>
      </c>
      <c r="AB596" s="84" t="str">
        <f>IF(AND(OR(LEFT(TH!N596,2)="15",LEFT(TH!O596,2)="15"),LEFT(TH!O596,3)&lt;&gt;"111",'152-CT'!$J$8=TH!F596),"x","")</f>
        <v/>
      </c>
      <c r="AC596" s="84" t="str">
        <f>IF(AND(OR(LEFT(TH!N596,2)="15",LEFT(TH!O596,2)="15"),TK!$E$7=TH!F596),"x","")</f>
        <v/>
      </c>
      <c r="AD596" s="84" t="str">
        <f>IF(AND(N596="1521",MONTH(C596)='BK-NL'!$M$11),"x","")</f>
        <v/>
      </c>
      <c r="AE596" s="1146" t="str">
        <f t="shared" si="136"/>
        <v>x</v>
      </c>
    </row>
    <row r="597" spans="1:31" ht="15.75" hidden="1" customHeight="1">
      <c r="A597" s="336" t="str">
        <f>IF(B597&lt;&gt;"",IF(AND(B597='IN-TC'!$S$4,OR(TH!N597="1111",TH!O597="1111")),TH!D597,""),"")</f>
        <v/>
      </c>
      <c r="B597" s="63">
        <f t="shared" si="133"/>
        <v>6</v>
      </c>
      <c r="C597" s="80">
        <f t="shared" si="134"/>
        <v>42528</v>
      </c>
      <c r="D597" s="80" t="s">
        <v>1975</v>
      </c>
      <c r="E597" s="80">
        <v>42528</v>
      </c>
      <c r="F597" s="81" t="s">
        <v>1963</v>
      </c>
      <c r="G597" s="81"/>
      <c r="H597" s="82" t="s">
        <v>1981</v>
      </c>
      <c r="I597" s="437">
        <v>1980</v>
      </c>
      <c r="J597" s="438">
        <v>105000</v>
      </c>
      <c r="K597" s="428"/>
      <c r="L597" s="437"/>
      <c r="M597" s="83">
        <f t="shared" si="135"/>
        <v>207900000</v>
      </c>
      <c r="N597" s="84" t="s">
        <v>274</v>
      </c>
      <c r="O597" s="84" t="s">
        <v>8</v>
      </c>
      <c r="P597" s="84" t="str">
        <f>IF(AND('331-CT'!$E$7=TH!H597,OR(N597="331",O597="331")),"x","")</f>
        <v/>
      </c>
      <c r="Q597" s="84" t="str">
        <f>IF(AND(B597='111'!$L$11,OR($N597=$Q$7,$O597=$Q$7)),"x","")</f>
        <v/>
      </c>
      <c r="R597" s="84" t="str">
        <f>IF(AND($N597=$Q$7,$B597&lt;'111'!$L$11),"x","")</f>
        <v/>
      </c>
      <c r="S597" s="84" t="str">
        <f>IF(AND($O597=$Q$7,$B597&lt;'111'!$L$11),"x","")</f>
        <v/>
      </c>
      <c r="T597" s="84" t="str">
        <f>IF(ISERROR(FIND('112'!$M$9,G597,1)),"",IF((AND(FIND('112'!$M$9,G597,1)&gt;=1,B597='112'!$K$9,OR($N597='112'!$I$6,$O597='112'!$I$6))),"x",""))</f>
        <v/>
      </c>
      <c r="U597" s="84" t="str">
        <f>IF(ISERROR(FIND('112'!$M$9,G597,1)),"",IF((AND(LEFT(G597,2)=LEFT('112'!$M$9,2),B597&lt;'112'!$K$9,$N597='112'!$I$6)),"x",""))</f>
        <v/>
      </c>
      <c r="V597" s="84" t="str">
        <f>IF(ISERROR(FIND('112'!$M$9,G597,1)),"",IF((AND(RIGHT(G597,2)=RIGHT('112'!$M$9,2),B597&lt;'112'!$K$9,$O597='112'!$I$6)),"x",""))</f>
        <v/>
      </c>
      <c r="W597" s="84" t="str">
        <f>IF(AND('341-CT'!$H$9=H597,OR(LEFT(N597,3)=$W$7,LEFT(O597,3)=$W$7)),"x","")</f>
        <v/>
      </c>
      <c r="X597" s="84" t="str">
        <f>IF(OR(TH!N597=TH!$X$7,O597=TH!$X$7),"x","")</f>
        <v/>
      </c>
      <c r="Y597" s="84" t="str">
        <f>IF(AND(OR(N597="131",O597="131"),H597='131-CT'!$H$9),"x","")</f>
        <v/>
      </c>
      <c r="Z597" s="84"/>
      <c r="AA597" s="84" t="str">
        <f>IF(AND(MONTH(E597)='IN-NX'!$J$5,'IN-NX'!$D$7=D597),"x","")</f>
        <v/>
      </c>
      <c r="AB597" s="84" t="str">
        <f>IF(AND(OR(LEFT(TH!N597,2)="15",LEFT(TH!O597,2)="15"),LEFT(TH!O597,3)&lt;&gt;"111",'152-CT'!$J$8=TH!F597),"x","")</f>
        <v/>
      </c>
      <c r="AC597" s="84" t="str">
        <f>IF(AND(OR(LEFT(TH!N597,2)="15",LEFT(TH!O597,2)="15"),TK!$E$7=TH!F597),"x","")</f>
        <v/>
      </c>
      <c r="AD597" s="84" t="str">
        <f>IF(AND(N597="1521",MONTH(C597)='BK-NL'!$M$11),"x","")</f>
        <v/>
      </c>
      <c r="AE597" s="1146" t="str">
        <f t="shared" si="136"/>
        <v>x</v>
      </c>
    </row>
    <row r="598" spans="1:31" ht="15.75" hidden="1" customHeight="1">
      <c r="A598" s="336" t="str">
        <f>IF(B598&lt;&gt;"",IF(AND(B598='IN-TC'!$S$4,OR(TH!N598="1111",TH!O598="1111")),TH!D598,""),"")</f>
        <v/>
      </c>
      <c r="B598" s="63">
        <f t="shared" si="133"/>
        <v>6</v>
      </c>
      <c r="C598" s="80">
        <f t="shared" si="134"/>
        <v>42528</v>
      </c>
      <c r="D598" s="80" t="s">
        <v>1976</v>
      </c>
      <c r="E598" s="80">
        <v>42528</v>
      </c>
      <c r="F598" s="81" t="s">
        <v>1963</v>
      </c>
      <c r="G598" s="81"/>
      <c r="H598" s="82" t="s">
        <v>1982</v>
      </c>
      <c r="I598" s="437">
        <v>2540</v>
      </c>
      <c r="J598" s="438">
        <v>105000</v>
      </c>
      <c r="K598" s="428"/>
      <c r="L598" s="437"/>
      <c r="M598" s="83">
        <f t="shared" si="135"/>
        <v>266700000</v>
      </c>
      <c r="N598" s="84" t="s">
        <v>274</v>
      </c>
      <c r="O598" s="84" t="s">
        <v>8</v>
      </c>
      <c r="P598" s="84" t="str">
        <f>IF(AND('331-CT'!$E$7=TH!H598,OR(N598="331",O598="331")),"x","")</f>
        <v/>
      </c>
      <c r="Q598" s="84" t="str">
        <f>IF(AND(B598='111'!$L$11,OR($N598=$Q$7,$O598=$Q$7)),"x","")</f>
        <v/>
      </c>
      <c r="R598" s="84" t="str">
        <f>IF(AND($N598=$Q$7,$B598&lt;'111'!$L$11),"x","")</f>
        <v/>
      </c>
      <c r="S598" s="84" t="str">
        <f>IF(AND($O598=$Q$7,$B598&lt;'111'!$L$11),"x","")</f>
        <v/>
      </c>
      <c r="T598" s="84" t="str">
        <f>IF(ISERROR(FIND('112'!$M$9,G598,1)),"",IF((AND(FIND('112'!$M$9,G598,1)&gt;=1,B598='112'!$K$9,OR($N598='112'!$I$6,$O598='112'!$I$6))),"x",""))</f>
        <v/>
      </c>
      <c r="U598" s="84" t="str">
        <f>IF(ISERROR(FIND('112'!$M$9,G598,1)),"",IF((AND(LEFT(G598,2)=LEFT('112'!$M$9,2),B598&lt;'112'!$K$9,$N598='112'!$I$6)),"x",""))</f>
        <v/>
      </c>
      <c r="V598" s="84" t="str">
        <f>IF(ISERROR(FIND('112'!$M$9,G598,1)),"",IF((AND(RIGHT(G598,2)=RIGHT('112'!$M$9,2),B598&lt;'112'!$K$9,$O598='112'!$I$6)),"x",""))</f>
        <v/>
      </c>
      <c r="W598" s="84" t="str">
        <f>IF(AND('341-CT'!$H$9=H598,OR(LEFT(N598,3)=$W$7,LEFT(O598,3)=$W$7)),"x","")</f>
        <v/>
      </c>
      <c r="X598" s="84" t="str">
        <f>IF(OR(TH!N598=TH!$X$7,O598=TH!$X$7),"x","")</f>
        <v/>
      </c>
      <c r="Y598" s="84" t="str">
        <f>IF(AND(OR(N598="131",O598="131"),H598='131-CT'!$H$9),"x","")</f>
        <v/>
      </c>
      <c r="Z598" s="84"/>
      <c r="AA598" s="84" t="str">
        <f>IF(AND(MONTH(E598)='IN-NX'!$J$5,'IN-NX'!$D$7=D598),"x","")</f>
        <v/>
      </c>
      <c r="AB598" s="84" t="str">
        <f>IF(AND(OR(LEFT(TH!N598,2)="15",LEFT(TH!O598,2)="15"),LEFT(TH!O598,3)&lt;&gt;"111",'152-CT'!$J$8=TH!F598),"x","")</f>
        <v/>
      </c>
      <c r="AC598" s="84" t="str">
        <f>IF(AND(OR(LEFT(TH!N598,2)="15",LEFT(TH!O598,2)="15"),TK!$E$7=TH!F598),"x","")</f>
        <v/>
      </c>
      <c r="AD598" s="84" t="str">
        <f>IF(AND(N598="1521",MONTH(C598)='BK-NL'!$M$11),"x","")</f>
        <v/>
      </c>
      <c r="AE598" s="1146" t="str">
        <f t="shared" si="136"/>
        <v>x</v>
      </c>
    </row>
    <row r="599" spans="1:31" ht="15.75" hidden="1" customHeight="1">
      <c r="A599" s="336" t="str">
        <f>IF(B599&lt;&gt;"",IF(AND(B599='IN-TC'!$S$4,OR(TH!N599="1111",TH!O599="1111")),TH!D599,""),"")</f>
        <v/>
      </c>
      <c r="B599" s="63">
        <f t="shared" si="133"/>
        <v>6</v>
      </c>
      <c r="C599" s="80">
        <f>E599</f>
        <v>42528</v>
      </c>
      <c r="D599" s="80" t="s">
        <v>1977</v>
      </c>
      <c r="E599" s="80">
        <v>42528</v>
      </c>
      <c r="F599" s="81" t="s">
        <v>1963</v>
      </c>
      <c r="G599" s="81"/>
      <c r="H599" s="82" t="s">
        <v>1980</v>
      </c>
      <c r="I599" s="437">
        <v>1940</v>
      </c>
      <c r="J599" s="438">
        <v>105000</v>
      </c>
      <c r="K599" s="428"/>
      <c r="L599" s="437"/>
      <c r="M599" s="83">
        <f>ROUND(I599*J599,0)</f>
        <v>203700000</v>
      </c>
      <c r="N599" s="84" t="s">
        <v>274</v>
      </c>
      <c r="O599" s="84" t="s">
        <v>8</v>
      </c>
      <c r="P599" s="84" t="str">
        <f>IF(AND('331-CT'!$E$7=TH!H599,OR(N599="331",O599="331")),"x","")</f>
        <v/>
      </c>
      <c r="Q599" s="84" t="str">
        <f>IF(AND(B599='111'!$L$11,OR($N599=$Q$7,$O599=$Q$7)),"x","")</f>
        <v/>
      </c>
      <c r="R599" s="84" t="str">
        <f>IF(AND($N599=$Q$7,$B599&lt;'111'!$L$11),"x","")</f>
        <v/>
      </c>
      <c r="S599" s="84" t="str">
        <f>IF(AND($O599=$Q$7,$B599&lt;'111'!$L$11),"x","")</f>
        <v/>
      </c>
      <c r="T599" s="84" t="str">
        <f>IF(ISERROR(FIND('112'!$M$9,G599,1)),"",IF((AND(FIND('112'!$M$9,G599,1)&gt;=1,B599='112'!$K$9,OR($N599='112'!$I$6,$O599='112'!$I$6))),"x",""))</f>
        <v/>
      </c>
      <c r="U599" s="84" t="str">
        <f>IF(ISERROR(FIND('112'!$M$9,G599,1)),"",IF((AND(LEFT(G599,2)=LEFT('112'!$M$9,2),B599&lt;'112'!$K$9,$N599='112'!$I$6)),"x",""))</f>
        <v/>
      </c>
      <c r="V599" s="84" t="str">
        <f>IF(ISERROR(FIND('112'!$M$9,G599,1)),"",IF((AND(RIGHT(G599,2)=RIGHT('112'!$M$9,2),B599&lt;'112'!$K$9,$O599='112'!$I$6)),"x",""))</f>
        <v/>
      </c>
      <c r="W599" s="84" t="str">
        <f>IF(AND('341-CT'!$H$9=H599,OR(LEFT(N599,3)=$W$7,LEFT(O599,3)=$W$7)),"x","")</f>
        <v/>
      </c>
      <c r="X599" s="84" t="str">
        <f>IF(OR(TH!N599=TH!$X$7,O599=TH!$X$7),"x","")</f>
        <v/>
      </c>
      <c r="Y599" s="84" t="str">
        <f>IF(AND(OR(N599="131",O599="131"),H599='131-CT'!$H$9),"x","")</f>
        <v/>
      </c>
      <c r="Z599" s="84"/>
      <c r="AA599" s="84" t="str">
        <f>IF(AND(MONTH(E599)='IN-NX'!$J$5,'IN-NX'!$D$7=D599),"x","")</f>
        <v/>
      </c>
      <c r="AB599" s="84" t="str">
        <f>IF(AND(OR(LEFT(TH!N599,2)="15",LEFT(TH!O599,2)="15"),LEFT(TH!O599,3)&lt;&gt;"111",'152-CT'!$J$8=TH!F599),"x","")</f>
        <v/>
      </c>
      <c r="AC599" s="84" t="str">
        <f>IF(AND(OR(LEFT(TH!N599,2)="15",LEFT(TH!O599,2)="15"),TK!$E$7=TH!F599),"x","")</f>
        <v/>
      </c>
      <c r="AD599" s="84" t="str">
        <f>IF(AND(N599="1521",MONTH(C599)='BK-NL'!$M$11),"x","")</f>
        <v/>
      </c>
      <c r="AE599" s="1146" t="str">
        <f t="shared" si="136"/>
        <v>x</v>
      </c>
    </row>
    <row r="600" spans="1:31" ht="15.75" hidden="1" customHeight="1">
      <c r="A600" s="336" t="str">
        <f>IF(B600&lt;&gt;"",IF(AND(B600='IN-TC'!$S$4,OR(TH!N600="1111",TH!O600="1111")),TH!D600,""),"")</f>
        <v/>
      </c>
      <c r="B600" s="63">
        <f t="shared" si="133"/>
        <v>6</v>
      </c>
      <c r="C600" s="80">
        <f t="shared" ref="C600:C609" si="137">E600</f>
        <v>42528</v>
      </c>
      <c r="D600" s="80" t="s">
        <v>1978</v>
      </c>
      <c r="E600" s="80">
        <v>42528</v>
      </c>
      <c r="F600" s="81" t="s">
        <v>1963</v>
      </c>
      <c r="G600" s="81"/>
      <c r="H600" s="82" t="s">
        <v>1979</v>
      </c>
      <c r="I600" s="437">
        <v>2532</v>
      </c>
      <c r="J600" s="438">
        <v>105000</v>
      </c>
      <c r="K600" s="428"/>
      <c r="L600" s="437"/>
      <c r="M600" s="83">
        <f t="shared" ref="M600:M609" si="138">ROUND(I600*J600,0)</f>
        <v>265860000</v>
      </c>
      <c r="N600" s="84" t="s">
        <v>274</v>
      </c>
      <c r="O600" s="84" t="s">
        <v>8</v>
      </c>
      <c r="P600" s="84" t="str">
        <f>IF(AND('331-CT'!$E$7=TH!H600,OR(N600="331",O600="331")),"x","")</f>
        <v/>
      </c>
      <c r="Q600" s="84" t="str">
        <f>IF(AND(B600='111'!$L$11,OR($N600=$Q$7,$O600=$Q$7)),"x","")</f>
        <v/>
      </c>
      <c r="R600" s="84" t="str">
        <f>IF(AND($N600=$Q$7,$B600&lt;'111'!$L$11),"x","")</f>
        <v/>
      </c>
      <c r="S600" s="84" t="str">
        <f>IF(AND($O600=$Q$7,$B600&lt;'111'!$L$11),"x","")</f>
        <v/>
      </c>
      <c r="T600" s="84" t="str">
        <f>IF(ISERROR(FIND('112'!$M$9,G600,1)),"",IF((AND(FIND('112'!$M$9,G600,1)&gt;=1,B600='112'!$K$9,OR($N600='112'!$I$6,$O600='112'!$I$6))),"x",""))</f>
        <v/>
      </c>
      <c r="U600" s="84" t="str">
        <f>IF(ISERROR(FIND('112'!$M$9,G600,1)),"",IF((AND(LEFT(G600,2)=LEFT('112'!$M$9,2),B600&lt;'112'!$K$9,$N600='112'!$I$6)),"x",""))</f>
        <v/>
      </c>
      <c r="V600" s="84" t="str">
        <f>IF(ISERROR(FIND('112'!$M$9,G600,1)),"",IF((AND(RIGHT(G600,2)=RIGHT('112'!$M$9,2),B600&lt;'112'!$K$9,$O600='112'!$I$6)),"x",""))</f>
        <v/>
      </c>
      <c r="W600" s="84" t="str">
        <f>IF(AND('341-CT'!$H$9=H600,OR(LEFT(N600,3)=$W$7,LEFT(O600,3)=$W$7)),"x","")</f>
        <v/>
      </c>
      <c r="X600" s="84" t="str">
        <f>IF(OR(TH!N600=TH!$X$7,O600=TH!$X$7),"x","")</f>
        <v/>
      </c>
      <c r="Y600" s="84" t="str">
        <f>IF(AND(OR(N600="131",O600="131"),H600='131-CT'!$H$9),"x","")</f>
        <v/>
      </c>
      <c r="Z600" s="84"/>
      <c r="AA600" s="84" t="str">
        <f>IF(AND(MONTH(E600)='IN-NX'!$J$5,'IN-NX'!$D$7=D600),"x","")</f>
        <v/>
      </c>
      <c r="AB600" s="84" t="str">
        <f>IF(AND(OR(LEFT(TH!N600,2)="15",LEFT(TH!O600,2)="15"),LEFT(TH!O600,3)&lt;&gt;"111",'152-CT'!$J$8=TH!F600),"x","")</f>
        <v/>
      </c>
      <c r="AC600" s="84" t="str">
        <f>IF(AND(OR(LEFT(TH!N600,2)="15",LEFT(TH!O600,2)="15"),TK!$E$7=TH!F600),"x","")</f>
        <v/>
      </c>
      <c r="AD600" s="84" t="str">
        <f>IF(AND(N600="1521",MONTH(C600)='BK-NL'!$M$11),"x","")</f>
        <v/>
      </c>
      <c r="AE600" s="1146" t="str">
        <f t="shared" si="136"/>
        <v>x</v>
      </c>
    </row>
    <row r="601" spans="1:31" s="341" customFormat="1" ht="15.75" hidden="1" customHeight="1">
      <c r="A601" s="336" t="str">
        <f>IF(B601&lt;&gt;"",IF(AND(B601='IN-TC'!$S$4,OR(TH!N601="1111",TH!O601="1111")),TH!D601,""),"")</f>
        <v/>
      </c>
      <c r="B601" s="63">
        <f t="shared" si="133"/>
        <v>6</v>
      </c>
      <c r="C601" s="94">
        <f t="shared" si="137"/>
        <v>42522</v>
      </c>
      <c r="D601" s="94" t="s">
        <v>692</v>
      </c>
      <c r="E601" s="94">
        <v>42522</v>
      </c>
      <c r="F601" s="95" t="s">
        <v>1963</v>
      </c>
      <c r="G601" s="95"/>
      <c r="H601" s="96" t="s">
        <v>449</v>
      </c>
      <c r="I601" s="1188">
        <v>9390</v>
      </c>
      <c r="J601" s="1187">
        <v>105000</v>
      </c>
      <c r="K601" s="1189"/>
      <c r="L601" s="1188"/>
      <c r="M601" s="97">
        <f t="shared" si="138"/>
        <v>985950000</v>
      </c>
      <c r="N601" s="85" t="s">
        <v>282</v>
      </c>
      <c r="O601" s="85" t="s">
        <v>274</v>
      </c>
      <c r="P601" s="84" t="str">
        <f>IF(AND('331-CT'!$E$7=TH!H601,OR(N601="331",O601="331")),"x","")</f>
        <v/>
      </c>
      <c r="Q601" s="84" t="str">
        <f>IF(AND(B601='111'!$L$11,OR($N601=$Q$7,$O601=$Q$7)),"x","")</f>
        <v/>
      </c>
      <c r="R601" s="84" t="str">
        <f>IF(AND($N601=$Q$7,$B601&lt;'111'!$L$11),"x","")</f>
        <v/>
      </c>
      <c r="S601" s="84" t="str">
        <f>IF(AND($O601=$Q$7,$B601&lt;'111'!$L$11),"x","")</f>
        <v/>
      </c>
      <c r="T601" s="84" t="str">
        <f>IF(ISERROR(FIND('112'!$M$9,G601,1)),"",IF((AND(FIND('112'!$M$9,G601,1)&gt;=1,B601='112'!$K$9,OR($N601='112'!$I$6,$O601='112'!$I$6))),"x",""))</f>
        <v/>
      </c>
      <c r="U601" s="84" t="str">
        <f>IF(ISERROR(FIND('112'!$M$9,G601,1)),"",IF((AND(LEFT(G601,2)=LEFT('112'!$M$9,2),B601&lt;'112'!$K$9,$N601='112'!$I$6)),"x",""))</f>
        <v/>
      </c>
      <c r="V601" s="84" t="str">
        <f>IF(ISERROR(FIND('112'!$M$9,G601,1)),"",IF((AND(RIGHT(G601,2)=RIGHT('112'!$M$9,2),B601&lt;'112'!$K$9,$O601='112'!$I$6)),"x",""))</f>
        <v/>
      </c>
      <c r="W601" s="84" t="str">
        <f>IF(AND('341-CT'!$H$9=H601,OR(LEFT(N601,3)=$W$7,LEFT(O601,3)=$W$7)),"x","")</f>
        <v/>
      </c>
      <c r="X601" s="84" t="str">
        <f>IF(OR(TH!N601=TH!$X$7,O601=TH!$X$7),"x","")</f>
        <v/>
      </c>
      <c r="Y601" s="84" t="str">
        <f>IF(AND(OR(N601="131",O601="131"),H601='131-CT'!$H$9),"x","")</f>
        <v/>
      </c>
      <c r="Z601" s="84"/>
      <c r="AA601" s="84" t="str">
        <f>IF(AND(MONTH(E601)='IN-NX'!$J$5,'IN-NX'!$D$7=D601),"x","")</f>
        <v/>
      </c>
      <c r="AB601" s="84" t="str">
        <f>IF(AND(OR(LEFT(TH!N601,2)="15",LEFT(TH!O601,2)="15"),LEFT(TH!O601,3)&lt;&gt;"111",'152-CT'!$J$8=TH!F601),"x","")</f>
        <v/>
      </c>
      <c r="AC601" s="84" t="str">
        <f>IF(AND(OR(LEFT(TH!N601,2)="15",LEFT(TH!O601,2)="15"),TK!$E$7=TH!F601),"x","")</f>
        <v/>
      </c>
      <c r="AD601" s="84" t="str">
        <f>IF(AND(N601="1521",MONTH(C601)='BK-NL'!$M$11),"x","")</f>
        <v/>
      </c>
    </row>
    <row r="602" spans="1:31" s="341" customFormat="1" ht="15.75" hidden="1" customHeight="1">
      <c r="A602" s="336" t="str">
        <f>IF(B602&lt;&gt;"",IF(AND(B602='IN-TC'!$S$4,OR(TH!N602="1111",TH!O602="1111")),TH!D602,""),"")</f>
        <v/>
      </c>
      <c r="B602" s="63">
        <f t="shared" si="133"/>
        <v>6</v>
      </c>
      <c r="C602" s="94">
        <f t="shared" si="137"/>
        <v>42526</v>
      </c>
      <c r="D602" s="94" t="s">
        <v>694</v>
      </c>
      <c r="E602" s="94">
        <v>42526</v>
      </c>
      <c r="F602" s="95" t="s">
        <v>1963</v>
      </c>
      <c r="G602" s="1148"/>
      <c r="H602" s="96" t="s">
        <v>449</v>
      </c>
      <c r="I602" s="1188">
        <v>5786</v>
      </c>
      <c r="J602" s="1187">
        <v>105000</v>
      </c>
      <c r="K602" s="1189"/>
      <c r="L602" s="1188"/>
      <c r="M602" s="97">
        <f t="shared" si="138"/>
        <v>607530000</v>
      </c>
      <c r="N602" s="85" t="s">
        <v>282</v>
      </c>
      <c r="O602" s="85" t="s">
        <v>274</v>
      </c>
      <c r="P602" s="84" t="str">
        <f>IF(AND('331-CT'!$E$7=TH!H602,OR(N602="331",O602="331")),"x","")</f>
        <v/>
      </c>
      <c r="Q602" s="84" t="str">
        <f>IF(AND(B602='111'!$L$11,OR($N602=$Q$7,$O602=$Q$7)),"x","")</f>
        <v/>
      </c>
      <c r="R602" s="84" t="str">
        <f>IF(AND($N602=$Q$7,$B602&lt;'111'!$L$11),"x","")</f>
        <v/>
      </c>
      <c r="S602" s="84" t="str">
        <f>IF(AND($O602=$Q$7,$B602&lt;'111'!$L$11),"x","")</f>
        <v/>
      </c>
      <c r="T602" s="84" t="str">
        <f>IF(ISERROR(FIND('112'!$M$9,G602,1)),"",IF((AND(FIND('112'!$M$9,G602,1)&gt;=1,B602='112'!$K$9,OR($N602='112'!$I$6,$O602='112'!$I$6))),"x",""))</f>
        <v/>
      </c>
      <c r="U602" s="84" t="str">
        <f>IF(ISERROR(FIND('112'!$M$9,G602,1)),"",IF((AND(LEFT(G602,2)=LEFT('112'!$M$9,2),B602&lt;'112'!$K$9,$N602='112'!$I$6)),"x",""))</f>
        <v/>
      </c>
      <c r="V602" s="84" t="str">
        <f>IF(ISERROR(FIND('112'!$M$9,G602,1)),"",IF((AND(RIGHT(G602,2)=RIGHT('112'!$M$9,2),B602&lt;'112'!$K$9,$O602='112'!$I$6)),"x",""))</f>
        <v/>
      </c>
      <c r="W602" s="84" t="str">
        <f>IF(AND('341-CT'!$H$9=H602,OR(LEFT(N602,3)=$W$7,LEFT(O602,3)=$W$7)),"x","")</f>
        <v/>
      </c>
      <c r="X602" s="84" t="str">
        <f>IF(OR(TH!N602=TH!$X$7,O602=TH!$X$7),"x","")</f>
        <v/>
      </c>
      <c r="Y602" s="84" t="str">
        <f>IF(AND(OR(N602="131",O602="131"),H602='131-CT'!$H$9),"x","")</f>
        <v/>
      </c>
      <c r="Z602" s="84"/>
      <c r="AA602" s="84" t="str">
        <f>IF(AND(MONTH(E602)='IN-NX'!$J$5,'IN-NX'!$D$7=D602),"x","")</f>
        <v/>
      </c>
      <c r="AB602" s="84" t="str">
        <f>IF(AND(OR(LEFT(TH!N602,2)="15",LEFT(TH!O602,2)="15"),LEFT(TH!O602,3)&lt;&gt;"111",'152-CT'!$J$8=TH!F602),"x","")</f>
        <v/>
      </c>
      <c r="AC602" s="84" t="str">
        <f>IF(AND(OR(LEFT(TH!N602,2)="15",LEFT(TH!O602,2)="15"),TK!$E$7=TH!F602),"x","")</f>
        <v/>
      </c>
      <c r="AD602" s="84" t="str">
        <f>IF(AND(N602="1521",MONTH(C602)='BK-NL'!$M$11),"x","")</f>
        <v/>
      </c>
    </row>
    <row r="603" spans="1:31" s="341" customFormat="1" ht="15.75" hidden="1" customHeight="1">
      <c r="A603" s="336" t="str">
        <f>IF(B603&lt;&gt;"",IF(AND(B603='IN-TC'!$S$4,OR(TH!N603="1111",TH!O603="1111")),TH!D603,""),"")</f>
        <v/>
      </c>
      <c r="B603" s="63">
        <f t="shared" si="133"/>
        <v>6</v>
      </c>
      <c r="C603" s="94">
        <f t="shared" si="137"/>
        <v>42528</v>
      </c>
      <c r="D603" s="94" t="s">
        <v>695</v>
      </c>
      <c r="E603" s="94">
        <v>42528</v>
      </c>
      <c r="F603" s="95" t="s">
        <v>1963</v>
      </c>
      <c r="G603" s="95"/>
      <c r="H603" s="96" t="s">
        <v>449</v>
      </c>
      <c r="I603" s="445">
        <v>8992</v>
      </c>
      <c r="J603" s="1187">
        <v>105000</v>
      </c>
      <c r="K603" s="436"/>
      <c r="L603" s="445"/>
      <c r="M603" s="97">
        <f t="shared" si="138"/>
        <v>944160000</v>
      </c>
      <c r="N603" s="85" t="s">
        <v>282</v>
      </c>
      <c r="O603" s="85" t="s">
        <v>274</v>
      </c>
      <c r="P603" s="84" t="str">
        <f>IF(AND('331-CT'!$E$7=TH!H603,OR(N603="331",O603="331")),"x","")</f>
        <v/>
      </c>
      <c r="Q603" s="84" t="str">
        <f>IF(AND(B603='111'!$L$11,OR($N603=$Q$7,$O603=$Q$7)),"x","")</f>
        <v/>
      </c>
      <c r="R603" s="84" t="str">
        <f>IF(AND($N603=$Q$7,$B603&lt;'111'!$L$11),"x","")</f>
        <v/>
      </c>
      <c r="S603" s="84" t="str">
        <f>IF(AND($O603=$Q$7,$B603&lt;'111'!$L$11),"x","")</f>
        <v/>
      </c>
      <c r="T603" s="84" t="str">
        <f>IF(ISERROR(FIND('112'!$M$9,G603,1)),"",IF((AND(FIND('112'!$M$9,G603,1)&gt;=1,B603='112'!$K$9,OR($N603='112'!$I$6,$O603='112'!$I$6))),"x",""))</f>
        <v/>
      </c>
      <c r="U603" s="84" t="str">
        <f>IF(ISERROR(FIND('112'!$M$9,G603,1)),"",IF((AND(LEFT(G603,2)=LEFT('112'!$M$9,2),B603&lt;'112'!$K$9,$N603='112'!$I$6)),"x",""))</f>
        <v/>
      </c>
      <c r="V603" s="84" t="str">
        <f>IF(ISERROR(FIND('112'!$M$9,G603,1)),"",IF((AND(RIGHT(G603,2)=RIGHT('112'!$M$9,2),B603&lt;'112'!$K$9,$O603='112'!$I$6)),"x",""))</f>
        <v/>
      </c>
      <c r="W603" s="84" t="str">
        <f>IF(AND('341-CT'!$H$9=H603,OR(LEFT(N603,3)=$W$7,LEFT(O603,3)=$W$7)),"x","")</f>
        <v/>
      </c>
      <c r="X603" s="84" t="str">
        <f>IF(OR(TH!N603=TH!$X$7,O603=TH!$X$7),"x","")</f>
        <v/>
      </c>
      <c r="Y603" s="84" t="str">
        <f>IF(AND(OR(N603="131",O603="131"),H603='131-CT'!$H$9),"x","")</f>
        <v/>
      </c>
      <c r="Z603" s="84"/>
      <c r="AA603" s="84" t="str">
        <f>IF(AND(MONTH(E603)='IN-NX'!$J$5,'IN-NX'!$D$7=D603),"x","")</f>
        <v/>
      </c>
      <c r="AB603" s="84" t="str">
        <f>IF(AND(OR(LEFT(TH!N603,2)="15",LEFT(TH!O603,2)="15"),LEFT(TH!O603,3)&lt;&gt;"111",'152-CT'!$J$8=TH!F603),"x","")</f>
        <v/>
      </c>
      <c r="AC603" s="84" t="str">
        <f>IF(AND(OR(LEFT(TH!N603,2)="15",LEFT(TH!O603,2)="15"),TK!$E$7=TH!F603),"x","")</f>
        <v/>
      </c>
      <c r="AD603" s="84" t="str">
        <f>IF(AND(N603="1521",MONTH(C603)='BK-NL'!$M$11),"x","")</f>
        <v/>
      </c>
    </row>
    <row r="604" spans="1:31" ht="15.75" hidden="1" customHeight="1">
      <c r="A604" s="336" t="str">
        <f>IF(B604&lt;&gt;"",IF(AND(B604='IN-TC'!$S$4,OR(TH!N604="1111",TH!O604="1111")),TH!D604,""),"")</f>
        <v/>
      </c>
      <c r="B604" s="63">
        <f t="shared" si="133"/>
        <v>6</v>
      </c>
      <c r="C604" s="80">
        <f t="shared" si="137"/>
        <v>42546</v>
      </c>
      <c r="D604" s="80" t="s">
        <v>936</v>
      </c>
      <c r="E604" s="80">
        <v>42546</v>
      </c>
      <c r="F604" s="81" t="s">
        <v>683</v>
      </c>
      <c r="G604" s="81"/>
      <c r="H604" s="89" t="s">
        <v>346</v>
      </c>
      <c r="I604" s="437">
        <v>6750</v>
      </c>
      <c r="J604" s="438">
        <v>15500</v>
      </c>
      <c r="K604" s="428"/>
      <c r="L604" s="437"/>
      <c r="M604" s="83">
        <f t="shared" si="138"/>
        <v>104625000</v>
      </c>
      <c r="N604" s="84" t="s">
        <v>274</v>
      </c>
      <c r="O604" s="84" t="s">
        <v>8</v>
      </c>
      <c r="P604" s="84" t="str">
        <f>IF(AND('331-CT'!$E$7=TH!H604,OR(N604="331",O604="331")),"x","")</f>
        <v/>
      </c>
      <c r="Q604" s="84" t="str">
        <f>IF(AND(B604='111'!$L$11,OR($N604=$Q$7,$O604=$Q$7)),"x","")</f>
        <v/>
      </c>
      <c r="R604" s="84" t="str">
        <f>IF(AND($N604=$Q$7,$B604&lt;'111'!$L$11),"x","")</f>
        <v/>
      </c>
      <c r="S604" s="84" t="str">
        <f>IF(AND($O604=$Q$7,$B604&lt;'111'!$L$11),"x","")</f>
        <v/>
      </c>
      <c r="T604" s="84" t="str">
        <f>IF(ISERROR(FIND('112'!$M$9,G604,1)),"",IF((AND(FIND('112'!$M$9,G604,1)&gt;=1,B604='112'!$K$9,OR($N604='112'!$I$6,$O604='112'!$I$6))),"x",""))</f>
        <v/>
      </c>
      <c r="U604" s="84" t="str">
        <f>IF(ISERROR(FIND('112'!$M$9,G604,1)),"",IF((AND(LEFT(G604,2)=LEFT('112'!$M$9,2),B604&lt;'112'!$K$9,$N604='112'!$I$6)),"x",""))</f>
        <v/>
      </c>
      <c r="V604" s="84" t="str">
        <f>IF(ISERROR(FIND('112'!$M$9,G604,1)),"",IF((AND(RIGHT(G604,2)=RIGHT('112'!$M$9,2),B604&lt;'112'!$K$9,$O604='112'!$I$6)),"x",""))</f>
        <v/>
      </c>
      <c r="W604" s="84" t="str">
        <f>IF(AND('341-CT'!$H$9=H604,OR(LEFT(N604,3)=$W$7,LEFT(O604,3)=$W$7)),"x","")</f>
        <v/>
      </c>
      <c r="X604" s="84" t="str">
        <f>IF(OR(TH!N604=TH!$X$7,O604=TH!$X$7),"x","")</f>
        <v/>
      </c>
      <c r="Y604" s="84" t="str">
        <f>IF(AND(OR(N604="131",O604="131"),H604='131-CT'!$H$9),"x","")</f>
        <v/>
      </c>
      <c r="Z604" s="84"/>
      <c r="AA604" s="84" t="str">
        <f>IF(AND(MONTH(E604)='IN-NX'!$J$5,'IN-NX'!$D$7=D604),"x","")</f>
        <v/>
      </c>
      <c r="AB604" s="84" t="str">
        <f>IF(AND(OR(LEFT(TH!N604,2)="15",LEFT(TH!O604,2)="15"),LEFT(TH!O604,3)&lt;&gt;"111",'152-CT'!$J$8=TH!F604),"x","")</f>
        <v/>
      </c>
      <c r="AC604" s="84" t="str">
        <f>IF(AND(OR(LEFT(TH!N604,2)="15",LEFT(TH!O604,2)="15"),TK!$E$7=TH!F604),"x","")</f>
        <v/>
      </c>
      <c r="AD604" s="84" t="str">
        <f>IF(AND(N604="1521",MONTH(C604)='BK-NL'!$M$11),"x","")</f>
        <v/>
      </c>
      <c r="AE604" s="1146" t="str">
        <f t="shared" ref="AE604:AE609" si="139">IF(H604&lt;&gt;VLOOKUP(H604,DSKH,1,0),"","x")</f>
        <v>x</v>
      </c>
    </row>
    <row r="605" spans="1:31" ht="15.75" hidden="1" customHeight="1">
      <c r="A605" s="336" t="str">
        <f>IF(B605&lt;&gt;"",IF(AND(B605='IN-TC'!$S$4,OR(TH!N605="1111",TH!O605="1111")),TH!D605,""),"")</f>
        <v/>
      </c>
      <c r="B605" s="63">
        <f t="shared" si="133"/>
        <v>6</v>
      </c>
      <c r="C605" s="80">
        <f t="shared" si="137"/>
        <v>42546</v>
      </c>
      <c r="D605" s="80" t="s">
        <v>937</v>
      </c>
      <c r="E605" s="80">
        <v>42546</v>
      </c>
      <c r="F605" s="81" t="s">
        <v>683</v>
      </c>
      <c r="G605" s="81"/>
      <c r="H605" s="82" t="s">
        <v>349</v>
      </c>
      <c r="I605" s="437">
        <v>6680</v>
      </c>
      <c r="J605" s="438">
        <v>15500</v>
      </c>
      <c r="K605" s="428"/>
      <c r="L605" s="437"/>
      <c r="M605" s="83">
        <f t="shared" si="138"/>
        <v>103540000</v>
      </c>
      <c r="N605" s="84" t="s">
        <v>274</v>
      </c>
      <c r="O605" s="84" t="s">
        <v>8</v>
      </c>
      <c r="P605" s="84" t="str">
        <f>IF(AND('331-CT'!$E$7=TH!H605,OR(N605="331",O605="331")),"x","")</f>
        <v/>
      </c>
      <c r="Q605" s="84" t="str">
        <f>IF(AND(B605='111'!$L$11,OR($N605=$Q$7,$O605=$Q$7)),"x","")</f>
        <v/>
      </c>
      <c r="R605" s="84" t="str">
        <f>IF(AND($N605=$Q$7,$B605&lt;'111'!$L$11),"x","")</f>
        <v/>
      </c>
      <c r="S605" s="84" t="str">
        <f>IF(AND($O605=$Q$7,$B605&lt;'111'!$L$11),"x","")</f>
        <v/>
      </c>
      <c r="T605" s="84" t="str">
        <f>IF(ISERROR(FIND('112'!$M$9,G605,1)),"",IF((AND(FIND('112'!$M$9,G605,1)&gt;=1,B605='112'!$K$9,OR($N605='112'!$I$6,$O605='112'!$I$6))),"x",""))</f>
        <v/>
      </c>
      <c r="U605" s="84" t="str">
        <f>IF(ISERROR(FIND('112'!$M$9,G605,1)),"",IF((AND(LEFT(G605,2)=LEFT('112'!$M$9,2),B605&lt;'112'!$K$9,$N605='112'!$I$6)),"x",""))</f>
        <v/>
      </c>
      <c r="V605" s="84" t="str">
        <f>IF(ISERROR(FIND('112'!$M$9,G605,1)),"",IF((AND(RIGHT(G605,2)=RIGHT('112'!$M$9,2),B605&lt;'112'!$K$9,$O605='112'!$I$6)),"x",""))</f>
        <v/>
      </c>
      <c r="W605" s="84" t="str">
        <f>IF(AND('341-CT'!$H$9=H605,OR(LEFT(N605,3)=$W$7,LEFT(O605,3)=$W$7)),"x","")</f>
        <v/>
      </c>
      <c r="X605" s="84" t="str">
        <f>IF(OR(TH!N605=TH!$X$7,O605=TH!$X$7),"x","")</f>
        <v/>
      </c>
      <c r="Y605" s="84" t="str">
        <f>IF(AND(OR(N605="131",O605="131"),H605='131-CT'!$H$9),"x","")</f>
        <v/>
      </c>
      <c r="Z605" s="84"/>
      <c r="AA605" s="84" t="str">
        <f>IF(AND(MONTH(E605)='IN-NX'!$J$5,'IN-NX'!$D$7=D605),"x","")</f>
        <v/>
      </c>
      <c r="AB605" s="84" t="str">
        <f>IF(AND(OR(LEFT(TH!N605,2)="15",LEFT(TH!O605,2)="15"),LEFT(TH!O605,3)&lt;&gt;"111",'152-CT'!$J$8=TH!F605),"x","")</f>
        <v/>
      </c>
      <c r="AC605" s="84" t="str">
        <f>IF(AND(OR(LEFT(TH!N605,2)="15",LEFT(TH!O605,2)="15"),TK!$E$7=TH!F605),"x","")</f>
        <v/>
      </c>
      <c r="AD605" s="84" t="str">
        <f>IF(AND(N605="1521",MONTH(C605)='BK-NL'!$M$11),"x","")</f>
        <v/>
      </c>
      <c r="AE605" s="1146" t="str">
        <f t="shared" si="139"/>
        <v>x</v>
      </c>
    </row>
    <row r="606" spans="1:31" ht="15.75" hidden="1" customHeight="1">
      <c r="A606" s="336" t="str">
        <f>IF(B606&lt;&gt;"",IF(AND(B606='IN-TC'!$S$4,OR(TH!N606="1111",TH!O606="1111")),TH!D606,""),"")</f>
        <v/>
      </c>
      <c r="B606" s="63">
        <f t="shared" si="133"/>
        <v>6</v>
      </c>
      <c r="C606" s="80">
        <f t="shared" si="137"/>
        <v>42546</v>
      </c>
      <c r="D606" s="80" t="s">
        <v>938</v>
      </c>
      <c r="E606" s="80">
        <v>42546</v>
      </c>
      <c r="F606" s="81" t="s">
        <v>683</v>
      </c>
      <c r="G606" s="81"/>
      <c r="H606" s="82" t="s">
        <v>367</v>
      </c>
      <c r="I606" s="437">
        <v>5923</v>
      </c>
      <c r="J606" s="438">
        <v>15500</v>
      </c>
      <c r="K606" s="428"/>
      <c r="L606" s="437"/>
      <c r="M606" s="83">
        <f t="shared" si="138"/>
        <v>91806500</v>
      </c>
      <c r="N606" s="84" t="s">
        <v>274</v>
      </c>
      <c r="O606" s="84" t="s">
        <v>8</v>
      </c>
      <c r="P606" s="84" t="str">
        <f>IF(AND('331-CT'!$E$7=TH!H606,OR(N606="331",O606="331")),"x","")</f>
        <v/>
      </c>
      <c r="Q606" s="84" t="str">
        <f>IF(AND(B606='111'!$L$11,OR($N606=$Q$7,$O606=$Q$7)),"x","")</f>
        <v/>
      </c>
      <c r="R606" s="84" t="str">
        <f>IF(AND($N606=$Q$7,$B606&lt;'111'!$L$11),"x","")</f>
        <v/>
      </c>
      <c r="S606" s="84" t="str">
        <f>IF(AND($O606=$Q$7,$B606&lt;'111'!$L$11),"x","")</f>
        <v/>
      </c>
      <c r="T606" s="84" t="str">
        <f>IF(ISERROR(FIND('112'!$M$9,G606,1)),"",IF((AND(FIND('112'!$M$9,G606,1)&gt;=1,B606='112'!$K$9,OR($N606='112'!$I$6,$O606='112'!$I$6))),"x",""))</f>
        <v/>
      </c>
      <c r="U606" s="84" t="str">
        <f>IF(ISERROR(FIND('112'!$M$9,G606,1)),"",IF((AND(LEFT(G606,2)=LEFT('112'!$M$9,2),B606&lt;'112'!$K$9,$N606='112'!$I$6)),"x",""))</f>
        <v/>
      </c>
      <c r="V606" s="84" t="str">
        <f>IF(ISERROR(FIND('112'!$M$9,G606,1)),"",IF((AND(RIGHT(G606,2)=RIGHT('112'!$M$9,2),B606&lt;'112'!$K$9,$O606='112'!$I$6)),"x",""))</f>
        <v/>
      </c>
      <c r="W606" s="84" t="str">
        <f>IF(AND('341-CT'!$H$9=H606,OR(LEFT(N606,3)=$W$7,LEFT(O606,3)=$W$7)),"x","")</f>
        <v/>
      </c>
      <c r="X606" s="84" t="str">
        <f>IF(OR(TH!N606=TH!$X$7,O606=TH!$X$7),"x","")</f>
        <v/>
      </c>
      <c r="Y606" s="84" t="str">
        <f>IF(AND(OR(N606="131",O606="131"),H606='131-CT'!$H$9),"x","")</f>
        <v/>
      </c>
      <c r="Z606" s="84"/>
      <c r="AA606" s="84" t="str">
        <f>IF(AND(MONTH(E606)='IN-NX'!$J$5,'IN-NX'!$D$7=D606),"x","")</f>
        <v/>
      </c>
      <c r="AB606" s="84" t="str">
        <f>IF(AND(OR(LEFT(TH!N606,2)="15",LEFT(TH!O606,2)="15"),LEFT(TH!O606,3)&lt;&gt;"111",'152-CT'!$J$8=TH!F606),"x","")</f>
        <v/>
      </c>
      <c r="AC606" s="84" t="str">
        <f>IF(AND(OR(LEFT(TH!N606,2)="15",LEFT(TH!O606,2)="15"),TK!$E$7=TH!F606),"x","")</f>
        <v/>
      </c>
      <c r="AD606" s="84" t="str">
        <f>IF(AND(N606="1521",MONTH(C606)='BK-NL'!$M$11),"x","")</f>
        <v/>
      </c>
      <c r="AE606" s="1146" t="str">
        <f t="shared" si="139"/>
        <v>x</v>
      </c>
    </row>
    <row r="607" spans="1:31" ht="15.75" hidden="1" customHeight="1">
      <c r="A607" s="336" t="str">
        <f>IF(B607&lt;&gt;"",IF(AND(B607='IN-TC'!$S$4,OR(TH!N607="1111",TH!O607="1111")),TH!D607,""),"")</f>
        <v/>
      </c>
      <c r="B607" s="63">
        <f t="shared" si="133"/>
        <v>6</v>
      </c>
      <c r="C607" s="80">
        <f t="shared" si="137"/>
        <v>42550</v>
      </c>
      <c r="D607" s="80" t="s">
        <v>939</v>
      </c>
      <c r="E607" s="80">
        <v>42550</v>
      </c>
      <c r="F607" s="81" t="s">
        <v>683</v>
      </c>
      <c r="G607" s="81"/>
      <c r="H607" s="82" t="s">
        <v>349</v>
      </c>
      <c r="I607" s="437">
        <v>6450</v>
      </c>
      <c r="J607" s="438">
        <v>15500</v>
      </c>
      <c r="K607" s="428"/>
      <c r="L607" s="437"/>
      <c r="M607" s="83">
        <f t="shared" si="138"/>
        <v>99975000</v>
      </c>
      <c r="N607" s="84" t="s">
        <v>274</v>
      </c>
      <c r="O607" s="84" t="s">
        <v>8</v>
      </c>
      <c r="P607" s="84" t="str">
        <f>IF(AND('331-CT'!$E$7=TH!H607,OR(N607="331",O607="331")),"x","")</f>
        <v/>
      </c>
      <c r="Q607" s="84" t="str">
        <f>IF(AND(B607='111'!$L$11,OR($N607=$Q$7,$O607=$Q$7)),"x","")</f>
        <v/>
      </c>
      <c r="R607" s="84" t="str">
        <f>IF(AND($N607=$Q$7,$B607&lt;'111'!$L$11),"x","")</f>
        <v/>
      </c>
      <c r="S607" s="84" t="str">
        <f>IF(AND($O607=$Q$7,$B607&lt;'111'!$L$11),"x","")</f>
        <v/>
      </c>
      <c r="T607" s="84" t="str">
        <f>IF(ISERROR(FIND('112'!$M$9,G607,1)),"",IF((AND(FIND('112'!$M$9,G607,1)&gt;=1,B607='112'!$K$9,OR($N607='112'!$I$6,$O607='112'!$I$6))),"x",""))</f>
        <v/>
      </c>
      <c r="U607" s="84" t="str">
        <f>IF(ISERROR(FIND('112'!$M$9,G607,1)),"",IF((AND(LEFT(G607,2)=LEFT('112'!$M$9,2),B607&lt;'112'!$K$9,$N607='112'!$I$6)),"x",""))</f>
        <v/>
      </c>
      <c r="V607" s="84" t="str">
        <f>IF(ISERROR(FIND('112'!$M$9,G607,1)),"",IF((AND(RIGHT(G607,2)=RIGHT('112'!$M$9,2),B607&lt;'112'!$K$9,$O607='112'!$I$6)),"x",""))</f>
        <v/>
      </c>
      <c r="W607" s="84" t="str">
        <f>IF(AND('341-CT'!$H$9=H607,OR(LEFT(N607,3)=$W$7,LEFT(O607,3)=$W$7)),"x","")</f>
        <v/>
      </c>
      <c r="X607" s="84" t="str">
        <f>IF(OR(TH!N607=TH!$X$7,O607=TH!$X$7),"x","")</f>
        <v/>
      </c>
      <c r="Y607" s="84" t="str">
        <f>IF(AND(OR(N607="131",O607="131"),H607='131-CT'!$H$9),"x","")</f>
        <v/>
      </c>
      <c r="Z607" s="84"/>
      <c r="AA607" s="84" t="str">
        <f>IF(AND(MONTH(E607)='IN-NX'!$J$5,'IN-NX'!$D$7=D607),"x","")</f>
        <v/>
      </c>
      <c r="AB607" s="84" t="str">
        <f>IF(AND(OR(LEFT(TH!N607,2)="15",LEFT(TH!O607,2)="15"),LEFT(TH!O607,3)&lt;&gt;"111",'152-CT'!$J$8=TH!F607),"x","")</f>
        <v/>
      </c>
      <c r="AC607" s="84" t="str">
        <f>IF(AND(OR(LEFT(TH!N607,2)="15",LEFT(TH!O607,2)="15"),TK!$E$7=TH!F607),"x","")</f>
        <v/>
      </c>
      <c r="AD607" s="84" t="str">
        <f>IF(AND(N607="1521",MONTH(C607)='BK-NL'!$M$11),"x","")</f>
        <v/>
      </c>
      <c r="AE607" s="1146" t="str">
        <f t="shared" si="139"/>
        <v>x</v>
      </c>
    </row>
    <row r="608" spans="1:31" ht="15.75" hidden="1" customHeight="1">
      <c r="A608" s="336" t="str">
        <f>IF(B608&lt;&gt;"",IF(AND(B608='IN-TC'!$S$4,OR(TH!N608="1111",TH!O608="1111")),TH!D608,""),"")</f>
        <v/>
      </c>
      <c r="B608" s="63">
        <f t="shared" si="133"/>
        <v>6</v>
      </c>
      <c r="C608" s="80">
        <f t="shared" si="137"/>
        <v>42550</v>
      </c>
      <c r="D608" s="80" t="s">
        <v>940</v>
      </c>
      <c r="E608" s="80">
        <v>42550</v>
      </c>
      <c r="F608" s="81" t="s">
        <v>683</v>
      </c>
      <c r="G608" s="81"/>
      <c r="H608" s="82" t="s">
        <v>361</v>
      </c>
      <c r="I608" s="437">
        <v>6580</v>
      </c>
      <c r="J608" s="438">
        <v>15500</v>
      </c>
      <c r="K608" s="428"/>
      <c r="L608" s="437"/>
      <c r="M608" s="83">
        <f t="shared" si="138"/>
        <v>101990000</v>
      </c>
      <c r="N608" s="84" t="s">
        <v>274</v>
      </c>
      <c r="O608" s="84" t="s">
        <v>8</v>
      </c>
      <c r="P608" s="84" t="str">
        <f>IF(AND('331-CT'!$E$7=TH!H608,OR(N608="331",O608="331")),"x","")</f>
        <v/>
      </c>
      <c r="Q608" s="84" t="str">
        <f>IF(AND(B608='111'!$L$11,OR($N608=$Q$7,$O608=$Q$7)),"x","")</f>
        <v/>
      </c>
      <c r="R608" s="84" t="str">
        <f>IF(AND($N608=$Q$7,$B608&lt;'111'!$L$11),"x","")</f>
        <v/>
      </c>
      <c r="S608" s="84" t="str">
        <f>IF(AND($O608=$Q$7,$B608&lt;'111'!$L$11),"x","")</f>
        <v/>
      </c>
      <c r="T608" s="84" t="str">
        <f>IF(ISERROR(FIND('112'!$M$9,G608,1)),"",IF((AND(FIND('112'!$M$9,G608,1)&gt;=1,B608='112'!$K$9,OR($N608='112'!$I$6,$O608='112'!$I$6))),"x",""))</f>
        <v/>
      </c>
      <c r="U608" s="84" t="str">
        <f>IF(ISERROR(FIND('112'!$M$9,G608,1)),"",IF((AND(LEFT(G608,2)=LEFT('112'!$M$9,2),B608&lt;'112'!$K$9,$N608='112'!$I$6)),"x",""))</f>
        <v/>
      </c>
      <c r="V608" s="84" t="str">
        <f>IF(ISERROR(FIND('112'!$M$9,G608,1)),"",IF((AND(RIGHT(G608,2)=RIGHT('112'!$M$9,2),B608&lt;'112'!$K$9,$O608='112'!$I$6)),"x",""))</f>
        <v/>
      </c>
      <c r="W608" s="84" t="str">
        <f>IF(AND('341-CT'!$H$9=H608,OR(LEFT(N608,3)=$W$7,LEFT(O608,3)=$W$7)),"x","")</f>
        <v/>
      </c>
      <c r="X608" s="84" t="str">
        <f>IF(OR(TH!N608=TH!$X$7,O608=TH!$X$7),"x","")</f>
        <v/>
      </c>
      <c r="Y608" s="84" t="str">
        <f>IF(AND(OR(N608="131",O608="131"),H608='131-CT'!$H$9),"x","")</f>
        <v/>
      </c>
      <c r="Z608" s="84"/>
      <c r="AA608" s="84" t="str">
        <f>IF(AND(MONTH(E608)='IN-NX'!$J$5,'IN-NX'!$D$7=D608),"x","")</f>
        <v/>
      </c>
      <c r="AB608" s="84" t="str">
        <f>IF(AND(OR(LEFT(TH!N608,2)="15",LEFT(TH!O608,2)="15"),LEFT(TH!O608,3)&lt;&gt;"111",'152-CT'!$J$8=TH!F608),"x","")</f>
        <v/>
      </c>
      <c r="AC608" s="84" t="str">
        <f>IF(AND(OR(LEFT(TH!N608,2)="15",LEFT(TH!O608,2)="15"),TK!$E$7=TH!F608),"x","")</f>
        <v/>
      </c>
      <c r="AD608" s="84" t="str">
        <f>IF(AND(N608="1521",MONTH(C608)='BK-NL'!$M$11),"x","")</f>
        <v/>
      </c>
      <c r="AE608" s="1146" t="str">
        <f t="shared" si="139"/>
        <v>x</v>
      </c>
    </row>
    <row r="609" spans="1:31" ht="15.75" hidden="1" customHeight="1">
      <c r="A609" s="336" t="str">
        <f>IF(B609&lt;&gt;"",IF(AND(B609='IN-TC'!$S$4,OR(TH!N609="1111",TH!O609="1111")),TH!D609,""),"")</f>
        <v/>
      </c>
      <c r="B609" s="63">
        <f t="shared" si="133"/>
        <v>6</v>
      </c>
      <c r="C609" s="80">
        <f t="shared" si="137"/>
        <v>42550</v>
      </c>
      <c r="D609" s="80" t="s">
        <v>941</v>
      </c>
      <c r="E609" s="80">
        <v>42550</v>
      </c>
      <c r="F609" s="81" t="s">
        <v>683</v>
      </c>
      <c r="G609" s="81"/>
      <c r="H609" s="82" t="s">
        <v>364</v>
      </c>
      <c r="I609" s="437">
        <v>6017</v>
      </c>
      <c r="J609" s="438">
        <v>15500</v>
      </c>
      <c r="K609" s="428"/>
      <c r="L609" s="437"/>
      <c r="M609" s="83">
        <f t="shared" si="138"/>
        <v>93263500</v>
      </c>
      <c r="N609" s="84" t="s">
        <v>274</v>
      </c>
      <c r="O609" s="84" t="s">
        <v>8</v>
      </c>
      <c r="P609" s="84" t="str">
        <f>IF(AND('331-CT'!$E$7=TH!H609,OR(N609="331",O609="331")),"x","")</f>
        <v/>
      </c>
      <c r="Q609" s="84" t="str">
        <f>IF(AND(B609='111'!$L$11,OR($N609=$Q$7,$O609=$Q$7)),"x","")</f>
        <v/>
      </c>
      <c r="R609" s="84" t="str">
        <f>IF(AND($N609=$Q$7,$B609&lt;'111'!$L$11),"x","")</f>
        <v/>
      </c>
      <c r="S609" s="84" t="str">
        <f>IF(AND($O609=$Q$7,$B609&lt;'111'!$L$11),"x","")</f>
        <v/>
      </c>
      <c r="T609" s="84" t="str">
        <f>IF(ISERROR(FIND('112'!$M$9,G609,1)),"",IF((AND(FIND('112'!$M$9,G609,1)&gt;=1,B609='112'!$K$9,OR($N609='112'!$I$6,$O609='112'!$I$6))),"x",""))</f>
        <v/>
      </c>
      <c r="U609" s="84" t="str">
        <f>IF(ISERROR(FIND('112'!$M$9,G609,1)),"",IF((AND(LEFT(G609,2)=LEFT('112'!$M$9,2),B609&lt;'112'!$K$9,$N609='112'!$I$6)),"x",""))</f>
        <v/>
      </c>
      <c r="V609" s="84" t="str">
        <f>IF(ISERROR(FIND('112'!$M$9,G609,1)),"",IF((AND(RIGHT(G609,2)=RIGHT('112'!$M$9,2),B609&lt;'112'!$K$9,$O609='112'!$I$6)),"x",""))</f>
        <v/>
      </c>
      <c r="W609" s="84" t="str">
        <f>IF(AND('341-CT'!$H$9=H609,OR(LEFT(N609,3)=$W$7,LEFT(O609,3)=$W$7)),"x","")</f>
        <v/>
      </c>
      <c r="X609" s="84" t="str">
        <f>IF(OR(TH!N609=TH!$X$7,O609=TH!$X$7),"x","")</f>
        <v/>
      </c>
      <c r="Y609" s="84" t="str">
        <f>IF(AND(OR(N609="131",O609="131"),H609='131-CT'!$H$9),"x","")</f>
        <v/>
      </c>
      <c r="Z609" s="84"/>
      <c r="AA609" s="84" t="str">
        <f>IF(AND(MONTH(E609)='IN-NX'!$J$5,'IN-NX'!$D$7=D609),"x","")</f>
        <v/>
      </c>
      <c r="AB609" s="84" t="str">
        <f>IF(AND(OR(LEFT(TH!N609,2)="15",LEFT(TH!O609,2)="15"),LEFT(TH!O609,3)&lt;&gt;"111",'152-CT'!$J$8=TH!F609),"x","")</f>
        <v/>
      </c>
      <c r="AC609" s="84" t="str">
        <f>IF(AND(OR(LEFT(TH!N609,2)="15",LEFT(TH!O609,2)="15"),TK!$E$7=TH!F609),"x","")</f>
        <v/>
      </c>
      <c r="AD609" s="84" t="str">
        <f>IF(AND(N609="1521",MONTH(C609)='BK-NL'!$M$11),"x","")</f>
        <v/>
      </c>
      <c r="AE609" s="1146" t="str">
        <f t="shared" si="139"/>
        <v>x</v>
      </c>
    </row>
    <row r="610" spans="1:31" s="341" customFormat="1" ht="15.75" hidden="1" customHeight="1">
      <c r="A610" s="336" t="str">
        <f>IF(B610&lt;&gt;"",IF(AND(B610='IN-TC'!$S$4,OR(TH!N610="1111",TH!O610="1111")),TH!D610,""),"")</f>
        <v/>
      </c>
      <c r="B610" s="63">
        <f t="shared" si="133"/>
        <v>6</v>
      </c>
      <c r="C610" s="94">
        <f t="shared" ref="C610:C632" si="140">E610</f>
        <v>42546</v>
      </c>
      <c r="D610" s="94" t="s">
        <v>696</v>
      </c>
      <c r="E610" s="94">
        <v>42546</v>
      </c>
      <c r="F610" s="95" t="s">
        <v>683</v>
      </c>
      <c r="G610" s="95"/>
      <c r="H610" s="96" t="s">
        <v>449</v>
      </c>
      <c r="I610" s="1188">
        <v>19353</v>
      </c>
      <c r="J610" s="1187">
        <v>15500</v>
      </c>
      <c r="K610" s="1189"/>
      <c r="L610" s="1188"/>
      <c r="M610" s="97">
        <f t="shared" ref="M610:M632" si="141">ROUND(I610*J610,0)</f>
        <v>299971500</v>
      </c>
      <c r="N610" s="85" t="s">
        <v>282</v>
      </c>
      <c r="O610" s="85" t="s">
        <v>274</v>
      </c>
      <c r="P610" s="84" t="str">
        <f>IF(AND('331-CT'!$E$7=TH!H610,OR(N610="331",O610="331")),"x","")</f>
        <v/>
      </c>
      <c r="Q610" s="84" t="str">
        <f>IF(AND(B610='111'!$L$11,OR($N610=$Q$7,$O610=$Q$7)),"x","")</f>
        <v/>
      </c>
      <c r="R610" s="84" t="str">
        <f>IF(AND($N610=$Q$7,$B610&lt;'111'!$L$11),"x","")</f>
        <v/>
      </c>
      <c r="S610" s="84" t="str">
        <f>IF(AND($O610=$Q$7,$B610&lt;'111'!$L$11),"x","")</f>
        <v/>
      </c>
      <c r="T610" s="84" t="str">
        <f>IF(ISERROR(FIND('112'!$M$9,G610,1)),"",IF((AND(FIND('112'!$M$9,G610,1)&gt;=1,B610='112'!$K$9,OR($N610='112'!$I$6,$O610='112'!$I$6))),"x",""))</f>
        <v/>
      </c>
      <c r="U610" s="84" t="str">
        <f>IF(ISERROR(FIND('112'!$M$9,G610,1)),"",IF((AND(LEFT(G610,2)=LEFT('112'!$M$9,2),B610&lt;'112'!$K$9,$N610='112'!$I$6)),"x",""))</f>
        <v/>
      </c>
      <c r="V610" s="84" t="str">
        <f>IF(ISERROR(FIND('112'!$M$9,G610,1)),"",IF((AND(RIGHT(G610,2)=RIGHT('112'!$M$9,2),B610&lt;'112'!$K$9,$O610='112'!$I$6)),"x",""))</f>
        <v/>
      </c>
      <c r="W610" s="84" t="str">
        <f>IF(AND('341-CT'!$H$9=H610,OR(LEFT(N610,3)=$W$7,LEFT(O610,3)=$W$7)),"x","")</f>
        <v/>
      </c>
      <c r="X610" s="84" t="str">
        <f>IF(OR(TH!N610=TH!$X$7,O610=TH!$X$7),"x","")</f>
        <v/>
      </c>
      <c r="Y610" s="84" t="str">
        <f>IF(AND(OR(N610="131",O610="131"),H610='131-CT'!$H$9),"x","")</f>
        <v/>
      </c>
      <c r="Z610" s="84"/>
      <c r="AA610" s="84" t="str">
        <f>IF(AND(MONTH(E610)='IN-NX'!$J$5,'IN-NX'!$D$7=D610),"x","")</f>
        <v/>
      </c>
      <c r="AB610" s="84" t="str">
        <f>IF(AND(OR(LEFT(TH!N610,2)="15",LEFT(TH!O610,2)="15"),LEFT(TH!O610,3)&lt;&gt;"111",'152-CT'!$J$8=TH!F610),"x","")</f>
        <v/>
      </c>
      <c r="AC610" s="84" t="str">
        <f>IF(AND(OR(LEFT(TH!N610,2)="15",LEFT(TH!O610,2)="15"),TK!$E$7=TH!F610),"x","")</f>
        <v/>
      </c>
      <c r="AD610" s="84" t="str">
        <f>IF(AND(N610="1521",MONTH(C610)='BK-NL'!$M$11),"x","")</f>
        <v/>
      </c>
    </row>
    <row r="611" spans="1:31" s="341" customFormat="1" ht="15.75" hidden="1" customHeight="1">
      <c r="A611" s="336" t="str">
        <f>IF(B611&lt;&gt;"",IF(AND(B611='IN-TC'!$S$4,OR(TH!N611="1111",TH!O611="1111")),TH!D611,""),"")</f>
        <v/>
      </c>
      <c r="B611" s="63">
        <f t="shared" si="133"/>
        <v>6</v>
      </c>
      <c r="C611" s="94">
        <f t="shared" si="140"/>
        <v>42550</v>
      </c>
      <c r="D611" s="94" t="s">
        <v>945</v>
      </c>
      <c r="E611" s="94">
        <v>42550</v>
      </c>
      <c r="F611" s="95" t="s">
        <v>683</v>
      </c>
      <c r="G611" s="95"/>
      <c r="H611" s="96" t="s">
        <v>449</v>
      </c>
      <c r="I611" s="445">
        <v>19047</v>
      </c>
      <c r="J611" s="1187">
        <v>15500</v>
      </c>
      <c r="K611" s="436"/>
      <c r="L611" s="445"/>
      <c r="M611" s="97">
        <f t="shared" si="141"/>
        <v>295228500</v>
      </c>
      <c r="N611" s="85" t="s">
        <v>282</v>
      </c>
      <c r="O611" s="85" t="s">
        <v>274</v>
      </c>
      <c r="P611" s="84" t="str">
        <f>IF(AND('331-CT'!$E$7=TH!H611,OR(N611="331",O611="331")),"x","")</f>
        <v/>
      </c>
      <c r="Q611" s="84" t="str">
        <f>IF(AND(B611='111'!$L$11,OR($N611=$Q$7,$O611=$Q$7)),"x","")</f>
        <v/>
      </c>
      <c r="R611" s="84" t="str">
        <f>IF(AND($N611=$Q$7,$B611&lt;'111'!$L$11),"x","")</f>
        <v/>
      </c>
      <c r="S611" s="84" t="str">
        <f>IF(AND($O611=$Q$7,$B611&lt;'111'!$L$11),"x","")</f>
        <v/>
      </c>
      <c r="T611" s="84" t="str">
        <f>IF(ISERROR(FIND('112'!$M$9,G611,1)),"",IF((AND(FIND('112'!$M$9,G611,1)&gt;=1,B611='112'!$K$9,OR($N611='112'!$I$6,$O611='112'!$I$6))),"x",""))</f>
        <v/>
      </c>
      <c r="U611" s="84" t="str">
        <f>IF(ISERROR(FIND('112'!$M$9,G611,1)),"",IF((AND(LEFT(G611,2)=LEFT('112'!$M$9,2),B611&lt;'112'!$K$9,$N611='112'!$I$6)),"x",""))</f>
        <v/>
      </c>
      <c r="V611" s="84" t="str">
        <f>IF(ISERROR(FIND('112'!$M$9,G611,1)),"",IF((AND(RIGHT(G611,2)=RIGHT('112'!$M$9,2),B611&lt;'112'!$K$9,$O611='112'!$I$6)),"x",""))</f>
        <v/>
      </c>
      <c r="W611" s="84" t="str">
        <f>IF(AND('341-CT'!$H$9=H611,OR(LEFT(N611,3)=$W$7,LEFT(O611,3)=$W$7)),"x","")</f>
        <v/>
      </c>
      <c r="X611" s="84" t="str">
        <f>IF(OR(TH!N611=TH!$X$7,O611=TH!$X$7),"x","")</f>
        <v/>
      </c>
      <c r="Y611" s="84" t="str">
        <f>IF(AND(OR(N611="131",O611="131"),H611='131-CT'!$H$9),"x","")</f>
        <v/>
      </c>
      <c r="Z611" s="84"/>
      <c r="AA611" s="84" t="str">
        <f>IF(AND(MONTH(E611)='IN-NX'!$J$5,'IN-NX'!$D$7=D611),"x","")</f>
        <v/>
      </c>
      <c r="AB611" s="84" t="str">
        <f>IF(AND(OR(LEFT(TH!N611,2)="15",LEFT(TH!O611,2)="15"),LEFT(TH!O611,3)&lt;&gt;"111",'152-CT'!$J$8=TH!F611),"x","")</f>
        <v/>
      </c>
      <c r="AC611" s="84" t="str">
        <f>IF(AND(OR(LEFT(TH!N611,2)="15",LEFT(TH!O611,2)="15"),TK!$E$7=TH!F611),"x","")</f>
        <v/>
      </c>
      <c r="AD611" s="84" t="str">
        <f>IF(AND(N611="1521",MONTH(C611)='BK-NL'!$M$11),"x","")</f>
        <v/>
      </c>
    </row>
    <row r="612" spans="1:31" ht="15.75" hidden="1" customHeight="1">
      <c r="A612" s="336" t="str">
        <f>IF(B612&lt;&gt;"",IF(AND(B612='IN-TC'!$S$4,OR(TH!N612="1111",TH!O612="1111")),TH!D612,""),"")</f>
        <v/>
      </c>
      <c r="B612" s="63">
        <f t="shared" ref="B612:B647" si="142">IF(C612&lt;&gt;"",MONTH(C612),"")</f>
        <v>7</v>
      </c>
      <c r="C612" s="80">
        <f t="shared" si="140"/>
        <v>42552</v>
      </c>
      <c r="D612" s="80" t="s">
        <v>934</v>
      </c>
      <c r="E612" s="80">
        <v>42552</v>
      </c>
      <c r="F612" s="81" t="s">
        <v>1983</v>
      </c>
      <c r="G612" s="81"/>
      <c r="H612" s="82" t="s">
        <v>1984</v>
      </c>
      <c r="I612" s="437">
        <v>4580</v>
      </c>
      <c r="J612" s="438">
        <v>17500</v>
      </c>
      <c r="K612" s="428"/>
      <c r="L612" s="437"/>
      <c r="M612" s="83">
        <f t="shared" si="141"/>
        <v>80150000</v>
      </c>
      <c r="N612" s="84" t="s">
        <v>274</v>
      </c>
      <c r="O612" s="84" t="s">
        <v>8</v>
      </c>
      <c r="P612" s="84" t="str">
        <f>IF(AND('331-CT'!$E$7=TH!H612,OR(N612="331",O612="331")),"x","")</f>
        <v/>
      </c>
      <c r="Q612" s="84" t="str">
        <f>IF(AND(B612='111'!$L$11,OR($N612=$Q$7,$O612=$Q$7)),"x","")</f>
        <v/>
      </c>
      <c r="R612" s="84" t="str">
        <f>IF(AND($N612=$Q$7,$B612&lt;'111'!$L$11),"x","")</f>
        <v/>
      </c>
      <c r="S612" s="84" t="str">
        <f>IF(AND($O612=$Q$7,$B612&lt;'111'!$L$11),"x","")</f>
        <v/>
      </c>
      <c r="T612" s="84" t="str">
        <f>IF(ISERROR(FIND('112'!$M$9,G612,1)),"",IF((AND(FIND('112'!$M$9,G612,1)&gt;=1,B612='112'!$K$9,OR($N612='112'!$I$6,$O612='112'!$I$6))),"x",""))</f>
        <v/>
      </c>
      <c r="U612" s="84" t="str">
        <f>IF(ISERROR(FIND('112'!$M$9,G612,1)),"",IF((AND(LEFT(G612,2)=LEFT('112'!$M$9,2),B612&lt;'112'!$K$9,$N612='112'!$I$6)),"x",""))</f>
        <v/>
      </c>
      <c r="V612" s="84" t="str">
        <f>IF(ISERROR(FIND('112'!$M$9,G612,1)),"",IF((AND(RIGHT(G612,2)=RIGHT('112'!$M$9,2),B612&lt;'112'!$K$9,$O612='112'!$I$6)),"x",""))</f>
        <v/>
      </c>
      <c r="W612" s="84" t="str">
        <f>IF(AND('341-CT'!$H$9=H612,OR(LEFT(N612,3)=$W$7,LEFT(O612,3)=$W$7)),"x","")</f>
        <v/>
      </c>
      <c r="X612" s="84" t="str">
        <f>IF(OR(TH!N612=TH!$X$7,O612=TH!$X$7),"x","")</f>
        <v/>
      </c>
      <c r="Y612" s="84" t="str">
        <f>IF(AND(OR(N612="131",O612="131"),H612='131-CT'!$H$9),"x","")</f>
        <v/>
      </c>
      <c r="Z612" s="84"/>
      <c r="AA612" s="84" t="str">
        <f>IF(AND(MONTH(E612)='IN-NX'!$J$5,'IN-NX'!$D$7=D612),"x","")</f>
        <v/>
      </c>
      <c r="AB612" s="84" t="str">
        <f>IF(AND(OR(LEFT(TH!N612,2)="15",LEFT(TH!O612,2)="15"),LEFT(TH!O612,3)&lt;&gt;"111",'152-CT'!$J$8=TH!F612),"x","")</f>
        <v/>
      </c>
      <c r="AC612" s="84" t="str">
        <f>IF(AND(OR(LEFT(TH!N612,2)="15",LEFT(TH!O612,2)="15"),TK!$E$7=TH!F612),"x","")</f>
        <v/>
      </c>
      <c r="AD612" s="84" t="str">
        <f>IF(AND(N612="1521",MONTH(C612)='BK-NL'!$M$11),"x","")</f>
        <v/>
      </c>
      <c r="AE612" s="1146" t="str">
        <f>IF(H612&lt;&gt;VLOOKUP(H612,DSKH,1,0),"","x")</f>
        <v>x</v>
      </c>
    </row>
    <row r="613" spans="1:31" ht="15.75" hidden="1" customHeight="1">
      <c r="A613" s="336" t="str">
        <f>IF(B613&lt;&gt;"",IF(AND(B613='IN-TC'!$S$4,OR(TH!N613="1111",TH!O613="1111")),TH!D613,""),"")</f>
        <v/>
      </c>
      <c r="B613" s="63">
        <f t="shared" si="142"/>
        <v>7</v>
      </c>
      <c r="C613" s="80">
        <f t="shared" si="140"/>
        <v>42552</v>
      </c>
      <c r="D613" s="80" t="s">
        <v>935</v>
      </c>
      <c r="E613" s="80">
        <v>42552</v>
      </c>
      <c r="F613" s="81" t="s">
        <v>1983</v>
      </c>
      <c r="G613" s="81"/>
      <c r="H613" s="82" t="s">
        <v>1985</v>
      </c>
      <c r="I613" s="437">
        <v>5540</v>
      </c>
      <c r="J613" s="438">
        <v>17500</v>
      </c>
      <c r="K613" s="428"/>
      <c r="L613" s="437"/>
      <c r="M613" s="83">
        <f t="shared" si="141"/>
        <v>96950000</v>
      </c>
      <c r="N613" s="84" t="s">
        <v>274</v>
      </c>
      <c r="O613" s="84" t="s">
        <v>8</v>
      </c>
      <c r="P613" s="84" t="str">
        <f>IF(AND('331-CT'!$E$7=TH!H613,OR(N613="331",O613="331")),"x","")</f>
        <v/>
      </c>
      <c r="Q613" s="84" t="str">
        <f>IF(AND(B613='111'!$L$11,OR($N613=$Q$7,$O613=$Q$7)),"x","")</f>
        <v/>
      </c>
      <c r="R613" s="84" t="str">
        <f>IF(AND($N613=$Q$7,$B613&lt;'111'!$L$11),"x","")</f>
        <v/>
      </c>
      <c r="S613" s="84" t="str">
        <f>IF(AND($O613=$Q$7,$B613&lt;'111'!$L$11),"x","")</f>
        <v/>
      </c>
      <c r="T613" s="84" t="str">
        <f>IF(ISERROR(FIND('112'!$M$9,G613,1)),"",IF((AND(FIND('112'!$M$9,G613,1)&gt;=1,B613='112'!$K$9,OR($N613='112'!$I$6,$O613='112'!$I$6))),"x",""))</f>
        <v/>
      </c>
      <c r="U613" s="84" t="str">
        <f>IF(ISERROR(FIND('112'!$M$9,G613,1)),"",IF((AND(LEFT(G613,2)=LEFT('112'!$M$9,2),B613&lt;'112'!$K$9,$N613='112'!$I$6)),"x",""))</f>
        <v/>
      </c>
      <c r="V613" s="84" t="str">
        <f>IF(ISERROR(FIND('112'!$M$9,G613,1)),"",IF((AND(RIGHT(G613,2)=RIGHT('112'!$M$9,2),B613&lt;'112'!$K$9,$O613='112'!$I$6)),"x",""))</f>
        <v/>
      </c>
      <c r="W613" s="84" t="str">
        <f>IF(AND('341-CT'!$H$9=H613,OR(LEFT(N613,3)=$W$7,LEFT(O613,3)=$W$7)),"x","")</f>
        <v/>
      </c>
      <c r="X613" s="84" t="str">
        <f>IF(OR(TH!N613=TH!$X$7,O613=TH!$X$7),"x","")</f>
        <v/>
      </c>
      <c r="Y613" s="84" t="str">
        <f>IF(AND(OR(N613="131",O613="131"),H613='131-CT'!$H$9),"x","")</f>
        <v/>
      </c>
      <c r="Z613" s="84"/>
      <c r="AA613" s="84" t="str">
        <f>IF(AND(MONTH(E613)='IN-NX'!$J$5,'IN-NX'!$D$7=D613),"x","")</f>
        <v/>
      </c>
      <c r="AB613" s="84" t="str">
        <f>IF(AND(OR(LEFT(TH!N613,2)="15",LEFT(TH!O613,2)="15"),LEFT(TH!O613,3)&lt;&gt;"111",'152-CT'!$J$8=TH!F613),"x","")</f>
        <v/>
      </c>
      <c r="AC613" s="84" t="str">
        <f>IF(AND(OR(LEFT(TH!N613,2)="15",LEFT(TH!O613,2)="15"),TK!$E$7=TH!F613),"x","")</f>
        <v/>
      </c>
      <c r="AD613" s="84" t="str">
        <f>IF(AND(N613="1521",MONTH(C613)='BK-NL'!$M$11),"x","")</f>
        <v/>
      </c>
      <c r="AE613" s="1146" t="str">
        <f>IF(H613&lt;&gt;VLOOKUP(H613,DSKH,1,0),"","x")</f>
        <v>x</v>
      </c>
    </row>
    <row r="614" spans="1:31" ht="15.75" hidden="1" customHeight="1">
      <c r="A614" s="336" t="str">
        <f>IF(B614&lt;&gt;"",IF(AND(B614='IN-TC'!$S$4,OR(TH!N614="1111",TH!O614="1111")),TH!D614,""),"")</f>
        <v/>
      </c>
      <c r="B614" s="63">
        <f t="shared" si="142"/>
        <v>7</v>
      </c>
      <c r="C614" s="80">
        <f t="shared" si="140"/>
        <v>42558</v>
      </c>
      <c r="D614" s="80" t="s">
        <v>936</v>
      </c>
      <c r="E614" s="80">
        <v>42558</v>
      </c>
      <c r="F614" s="81" t="s">
        <v>1983</v>
      </c>
      <c r="G614" s="81"/>
      <c r="H614" s="82" t="s">
        <v>1986</v>
      </c>
      <c r="I614" s="437">
        <v>4980</v>
      </c>
      <c r="J614" s="438">
        <v>17500</v>
      </c>
      <c r="K614" s="428"/>
      <c r="L614" s="437"/>
      <c r="M614" s="83">
        <f t="shared" si="141"/>
        <v>87150000</v>
      </c>
      <c r="N614" s="84" t="s">
        <v>274</v>
      </c>
      <c r="O614" s="84" t="s">
        <v>8</v>
      </c>
      <c r="P614" s="84" t="str">
        <f>IF(AND('331-CT'!$E$7=TH!H614,OR(N614="331",O614="331")),"x","")</f>
        <v/>
      </c>
      <c r="Q614" s="84" t="str">
        <f>IF(AND(B614='111'!$L$11,OR($N614=$Q$7,$O614=$Q$7)),"x","")</f>
        <v/>
      </c>
      <c r="R614" s="84" t="str">
        <f>IF(AND($N614=$Q$7,$B614&lt;'111'!$L$11),"x","")</f>
        <v/>
      </c>
      <c r="S614" s="84" t="str">
        <f>IF(AND($O614=$Q$7,$B614&lt;'111'!$L$11),"x","")</f>
        <v/>
      </c>
      <c r="T614" s="84" t="str">
        <f>IF(ISERROR(FIND('112'!$M$9,G614,1)),"",IF((AND(FIND('112'!$M$9,G614,1)&gt;=1,B614='112'!$K$9,OR($N614='112'!$I$6,$O614='112'!$I$6))),"x",""))</f>
        <v/>
      </c>
      <c r="U614" s="84" t="str">
        <f>IF(ISERROR(FIND('112'!$M$9,G614,1)),"",IF((AND(LEFT(G614,2)=LEFT('112'!$M$9,2),B614&lt;'112'!$K$9,$N614='112'!$I$6)),"x",""))</f>
        <v/>
      </c>
      <c r="V614" s="84" t="str">
        <f>IF(ISERROR(FIND('112'!$M$9,G614,1)),"",IF((AND(RIGHT(G614,2)=RIGHT('112'!$M$9,2),B614&lt;'112'!$K$9,$O614='112'!$I$6)),"x",""))</f>
        <v/>
      </c>
      <c r="W614" s="84" t="str">
        <f>IF(AND('341-CT'!$H$9=H614,OR(LEFT(N614,3)=$W$7,LEFT(O614,3)=$W$7)),"x","")</f>
        <v/>
      </c>
      <c r="X614" s="84" t="str">
        <f>IF(OR(TH!N614=TH!$X$7,O614=TH!$X$7),"x","")</f>
        <v/>
      </c>
      <c r="Y614" s="84" t="str">
        <f>IF(AND(OR(N614="131",O614="131"),H614='131-CT'!$H$9),"x","")</f>
        <v/>
      </c>
      <c r="Z614" s="84"/>
      <c r="AA614" s="84" t="str">
        <f>IF(AND(MONTH(E614)='IN-NX'!$J$5,'IN-NX'!$D$7=D614),"x","")</f>
        <v/>
      </c>
      <c r="AB614" s="84" t="str">
        <f>IF(AND(OR(LEFT(TH!N614,2)="15",LEFT(TH!O614,2)="15"),LEFT(TH!O614,3)&lt;&gt;"111",'152-CT'!$J$8=TH!F614),"x","")</f>
        <v/>
      </c>
      <c r="AC614" s="84" t="str">
        <f>IF(AND(OR(LEFT(TH!N614,2)="15",LEFT(TH!O614,2)="15"),TK!$E$7=TH!F614),"x","")</f>
        <v/>
      </c>
      <c r="AD614" s="84" t="str">
        <f>IF(AND(N614="1521",MONTH(C614)='BK-NL'!$M$11),"x","")</f>
        <v/>
      </c>
      <c r="AE614" s="1146" t="str">
        <f>IF(H614&lt;&gt;VLOOKUP(H614,DSKH,1,0),"","x")</f>
        <v>x</v>
      </c>
    </row>
    <row r="615" spans="1:31" ht="15.75" hidden="1" customHeight="1">
      <c r="A615" s="336" t="str">
        <f>IF(B615&lt;&gt;"",IF(AND(B615='IN-TC'!$S$4,OR(TH!N615="1111",TH!O615="1111")),TH!D615,""),"")</f>
        <v/>
      </c>
      <c r="B615" s="63">
        <f t="shared" si="142"/>
        <v>7</v>
      </c>
      <c r="C615" s="80">
        <f t="shared" si="140"/>
        <v>42558</v>
      </c>
      <c r="D615" s="80" t="s">
        <v>937</v>
      </c>
      <c r="E615" s="80">
        <v>42558</v>
      </c>
      <c r="F615" s="81" t="s">
        <v>1983</v>
      </c>
      <c r="G615" s="81"/>
      <c r="H615" s="82" t="s">
        <v>1985</v>
      </c>
      <c r="I615" s="437">
        <v>5330</v>
      </c>
      <c r="J615" s="438">
        <v>17500</v>
      </c>
      <c r="K615" s="428"/>
      <c r="L615" s="437"/>
      <c r="M615" s="83">
        <f t="shared" si="141"/>
        <v>93275000</v>
      </c>
      <c r="N615" s="84" t="s">
        <v>274</v>
      </c>
      <c r="O615" s="84" t="s">
        <v>8</v>
      </c>
      <c r="P615" s="84" t="str">
        <f>IF(AND('331-CT'!$E$7=TH!H615,OR(N615="331",O615="331")),"x","")</f>
        <v/>
      </c>
      <c r="Q615" s="84" t="str">
        <f>IF(AND(B615='111'!$L$11,OR($N615=$Q$7,$O615=$Q$7)),"x","")</f>
        <v/>
      </c>
      <c r="R615" s="84" t="str">
        <f>IF(AND($N615=$Q$7,$B615&lt;'111'!$L$11),"x","")</f>
        <v/>
      </c>
      <c r="S615" s="84" t="str">
        <f>IF(AND($O615=$Q$7,$B615&lt;'111'!$L$11),"x","")</f>
        <v/>
      </c>
      <c r="T615" s="84" t="str">
        <f>IF(ISERROR(FIND('112'!$M$9,G615,1)),"",IF((AND(FIND('112'!$M$9,G615,1)&gt;=1,B615='112'!$K$9,OR($N615='112'!$I$6,$O615='112'!$I$6))),"x",""))</f>
        <v/>
      </c>
      <c r="U615" s="84" t="str">
        <f>IF(ISERROR(FIND('112'!$M$9,G615,1)),"",IF((AND(LEFT(G615,2)=LEFT('112'!$M$9,2),B615&lt;'112'!$K$9,$N615='112'!$I$6)),"x",""))</f>
        <v/>
      </c>
      <c r="V615" s="84" t="str">
        <f>IF(ISERROR(FIND('112'!$M$9,G615,1)),"",IF((AND(RIGHT(G615,2)=RIGHT('112'!$M$9,2),B615&lt;'112'!$K$9,$O615='112'!$I$6)),"x",""))</f>
        <v/>
      </c>
      <c r="W615" s="84" t="str">
        <f>IF(AND('341-CT'!$H$9=H615,OR(LEFT(N615,3)=$W$7,LEFT(O615,3)=$W$7)),"x","")</f>
        <v/>
      </c>
      <c r="X615" s="84" t="str">
        <f>IF(OR(TH!N615=TH!$X$7,O615=TH!$X$7),"x","")</f>
        <v/>
      </c>
      <c r="Y615" s="84" t="str">
        <f>IF(AND(OR(N615="131",O615="131"),H615='131-CT'!$H$9),"x","")</f>
        <v/>
      </c>
      <c r="Z615" s="84"/>
      <c r="AA615" s="84" t="str">
        <f>IF(AND(MONTH(E615)='IN-NX'!$J$5,'IN-NX'!$D$7=D615),"x","")</f>
        <v/>
      </c>
      <c r="AB615" s="84" t="str">
        <f>IF(AND(OR(LEFT(TH!N615,2)="15",LEFT(TH!O615,2)="15"),LEFT(TH!O615,3)&lt;&gt;"111",'152-CT'!$J$8=TH!F615),"x","")</f>
        <v/>
      </c>
      <c r="AC615" s="84" t="str">
        <f>IF(AND(OR(LEFT(TH!N615,2)="15",LEFT(TH!O615,2)="15"),TK!$E$7=TH!F615),"x","")</f>
        <v/>
      </c>
      <c r="AD615" s="84" t="str">
        <f>IF(AND(N615="1521",MONTH(C615)='BK-NL'!$M$11),"x","")</f>
        <v/>
      </c>
      <c r="AE615" s="1146" t="str">
        <f>IF(H615&lt;&gt;VLOOKUP(H615,DSKH,1,0),"","x")</f>
        <v>x</v>
      </c>
    </row>
    <row r="616" spans="1:31" s="341" customFormat="1" ht="15.75" hidden="1" customHeight="1">
      <c r="A616" s="336" t="str">
        <f>IF(B616&lt;&gt;"",IF(AND(B616='IN-TC'!$S$4,OR(TH!N616="1111",TH!O616="1111")),TH!D616,""),"")</f>
        <v/>
      </c>
      <c r="B616" s="63">
        <f t="shared" si="142"/>
        <v>7</v>
      </c>
      <c r="C616" s="94">
        <f t="shared" si="140"/>
        <v>42552</v>
      </c>
      <c r="D616" s="94" t="s">
        <v>685</v>
      </c>
      <c r="E616" s="94">
        <v>42552</v>
      </c>
      <c r="F616" s="95" t="s">
        <v>1983</v>
      </c>
      <c r="G616" s="95"/>
      <c r="H616" s="96" t="s">
        <v>449</v>
      </c>
      <c r="I616" s="1188">
        <v>10120</v>
      </c>
      <c r="J616" s="1187">
        <v>17500</v>
      </c>
      <c r="K616" s="1189"/>
      <c r="L616" s="1188"/>
      <c r="M616" s="97">
        <f t="shared" si="141"/>
        <v>177100000</v>
      </c>
      <c r="N616" s="85" t="s">
        <v>282</v>
      </c>
      <c r="O616" s="85" t="s">
        <v>274</v>
      </c>
      <c r="P616" s="84" t="str">
        <f>IF(AND('331-CT'!$E$7=TH!H616,OR(N616="331",O616="331")),"x","")</f>
        <v/>
      </c>
      <c r="Q616" s="84" t="str">
        <f>IF(AND(B616='111'!$L$11,OR($N616=$Q$7,$O616=$Q$7)),"x","")</f>
        <v/>
      </c>
      <c r="R616" s="84" t="str">
        <f>IF(AND($N616=$Q$7,$B616&lt;'111'!$L$11),"x","")</f>
        <v/>
      </c>
      <c r="S616" s="84" t="str">
        <f>IF(AND($O616=$Q$7,$B616&lt;'111'!$L$11),"x","")</f>
        <v/>
      </c>
      <c r="T616" s="84" t="str">
        <f>IF(ISERROR(FIND('112'!$M$9,G616,1)),"",IF((AND(FIND('112'!$M$9,G616,1)&gt;=1,B616='112'!$K$9,OR($N616='112'!$I$6,$O616='112'!$I$6))),"x",""))</f>
        <v/>
      </c>
      <c r="U616" s="84" t="str">
        <f>IF(ISERROR(FIND('112'!$M$9,G616,1)),"",IF((AND(LEFT(G616,2)=LEFT('112'!$M$9,2),B616&lt;'112'!$K$9,$N616='112'!$I$6)),"x",""))</f>
        <v/>
      </c>
      <c r="V616" s="84" t="str">
        <f>IF(ISERROR(FIND('112'!$M$9,G616,1)),"",IF((AND(RIGHT(G616,2)=RIGHT('112'!$M$9,2),B616&lt;'112'!$K$9,$O616='112'!$I$6)),"x",""))</f>
        <v/>
      </c>
      <c r="W616" s="84" t="str">
        <f>IF(AND('341-CT'!$H$9=H616,OR(LEFT(N616,3)=$W$7,LEFT(O616,3)=$W$7)),"x","")</f>
        <v/>
      </c>
      <c r="X616" s="84" t="str">
        <f>IF(OR(TH!N616=TH!$X$7,O616=TH!$X$7),"x","")</f>
        <v/>
      </c>
      <c r="Y616" s="84" t="str">
        <f>IF(AND(OR(N616="131",O616="131"),H616='131-CT'!$H$9),"x","")</f>
        <v/>
      </c>
      <c r="Z616" s="84"/>
      <c r="AA616" s="84" t="str">
        <f>IF(AND(MONTH(E616)='IN-NX'!$J$5,'IN-NX'!$D$7=D616),"x","")</f>
        <v/>
      </c>
      <c r="AB616" s="84" t="str">
        <f>IF(AND(OR(LEFT(TH!N616,2)="15",LEFT(TH!O616,2)="15"),LEFT(TH!O616,3)&lt;&gt;"111",'152-CT'!$J$8=TH!F616),"x","")</f>
        <v/>
      </c>
      <c r="AC616" s="84" t="str">
        <f>IF(AND(OR(LEFT(TH!N616,2)="15",LEFT(TH!O616,2)="15"),TK!$E$7=TH!F616),"x","")</f>
        <v/>
      </c>
      <c r="AD616" s="84" t="str">
        <f>IF(AND(N616="1521",MONTH(C616)='BK-NL'!$M$11),"x","")</f>
        <v/>
      </c>
    </row>
    <row r="617" spans="1:31" s="341" customFormat="1" ht="15.75" hidden="1" customHeight="1">
      <c r="A617" s="336" t="str">
        <f>IF(B617&lt;&gt;"",IF(AND(B617='IN-TC'!$S$4,OR(TH!N617="1111",TH!O617="1111")),TH!D617,""),"")</f>
        <v/>
      </c>
      <c r="B617" s="63">
        <f t="shared" si="142"/>
        <v>7</v>
      </c>
      <c r="C617" s="94">
        <f t="shared" si="140"/>
        <v>42558</v>
      </c>
      <c r="D617" s="94" t="s">
        <v>692</v>
      </c>
      <c r="E617" s="94">
        <v>42558</v>
      </c>
      <c r="F617" s="95" t="s">
        <v>1983</v>
      </c>
      <c r="G617" s="95"/>
      <c r="H617" s="96" t="s">
        <v>449</v>
      </c>
      <c r="I617" s="445">
        <v>10310</v>
      </c>
      <c r="J617" s="1187">
        <v>17500</v>
      </c>
      <c r="K617" s="436"/>
      <c r="L617" s="445"/>
      <c r="M617" s="97">
        <f t="shared" si="141"/>
        <v>180425000</v>
      </c>
      <c r="N617" s="85" t="s">
        <v>282</v>
      </c>
      <c r="O617" s="85" t="s">
        <v>274</v>
      </c>
      <c r="P617" s="84" t="str">
        <f>IF(AND('331-CT'!$E$7=TH!H617,OR(N617="331",O617="331")),"x","")</f>
        <v/>
      </c>
      <c r="Q617" s="84" t="str">
        <f>IF(AND(B617='111'!$L$11,OR($N617=$Q$7,$O617=$Q$7)),"x","")</f>
        <v/>
      </c>
      <c r="R617" s="84" t="str">
        <f>IF(AND($N617=$Q$7,$B617&lt;'111'!$L$11),"x","")</f>
        <v/>
      </c>
      <c r="S617" s="84" t="str">
        <f>IF(AND($O617=$Q$7,$B617&lt;'111'!$L$11),"x","")</f>
        <v/>
      </c>
      <c r="T617" s="84" t="str">
        <f>IF(ISERROR(FIND('112'!$M$9,G617,1)),"",IF((AND(FIND('112'!$M$9,G617,1)&gt;=1,B617='112'!$K$9,OR($N617='112'!$I$6,$O617='112'!$I$6))),"x",""))</f>
        <v/>
      </c>
      <c r="U617" s="84" t="str">
        <f>IF(ISERROR(FIND('112'!$M$9,G617,1)),"",IF((AND(LEFT(G617,2)=LEFT('112'!$M$9,2),B617&lt;'112'!$K$9,$N617='112'!$I$6)),"x",""))</f>
        <v/>
      </c>
      <c r="V617" s="84" t="str">
        <f>IF(ISERROR(FIND('112'!$M$9,G617,1)),"",IF((AND(RIGHT(G617,2)=RIGHT('112'!$M$9,2),B617&lt;'112'!$K$9,$O617='112'!$I$6)),"x",""))</f>
        <v/>
      </c>
      <c r="W617" s="84" t="str">
        <f>IF(AND('341-CT'!$H$9=H617,OR(LEFT(N617,3)=$W$7,LEFT(O617,3)=$W$7)),"x","")</f>
        <v/>
      </c>
      <c r="X617" s="84" t="str">
        <f>IF(OR(TH!N617=TH!$X$7,O617=TH!$X$7),"x","")</f>
        <v/>
      </c>
      <c r="Y617" s="84" t="str">
        <f>IF(AND(OR(N617="131",O617="131"),H617='131-CT'!$H$9),"x","")</f>
        <v/>
      </c>
      <c r="Z617" s="84"/>
      <c r="AA617" s="84" t="str">
        <f>IF(AND(MONTH(E617)='IN-NX'!$J$5,'IN-NX'!$D$7=D617),"x","")</f>
        <v/>
      </c>
      <c r="AB617" s="84" t="str">
        <f>IF(AND(OR(LEFT(TH!N617,2)="15",LEFT(TH!O617,2)="15"),LEFT(TH!O617,3)&lt;&gt;"111",'152-CT'!$J$8=TH!F617),"x","")</f>
        <v/>
      </c>
      <c r="AC617" s="84" t="str">
        <f>IF(AND(OR(LEFT(TH!N617,2)="15",LEFT(TH!O617,2)="15"),TK!$E$7=TH!F617),"x","")</f>
        <v/>
      </c>
      <c r="AD617" s="84" t="str">
        <f>IF(AND(N617="1521",MONTH(C617)='BK-NL'!$M$11),"x","")</f>
        <v/>
      </c>
    </row>
    <row r="618" spans="1:31" s="341" customFormat="1" ht="15.75" hidden="1" customHeight="1">
      <c r="A618" s="336" t="str">
        <f>IF(B618&lt;&gt;"",IF(AND(B618='IN-TC'!$S$4,OR(TH!N618="1111",TH!O618="1111")),TH!D618,""),"")</f>
        <v/>
      </c>
      <c r="B618" s="63">
        <f t="shared" si="142"/>
        <v>7</v>
      </c>
      <c r="C618" s="94">
        <f t="shared" si="140"/>
        <v>42561</v>
      </c>
      <c r="D618" s="94" t="s">
        <v>693</v>
      </c>
      <c r="E618" s="94">
        <v>42561</v>
      </c>
      <c r="F618" s="95" t="s">
        <v>1964</v>
      </c>
      <c r="G618" s="95"/>
      <c r="H618" s="96" t="s">
        <v>449</v>
      </c>
      <c r="I618" s="1188">
        <v>1042</v>
      </c>
      <c r="J618" s="1187">
        <v>11165</v>
      </c>
      <c r="K618" s="1189"/>
      <c r="L618" s="1188"/>
      <c r="M618" s="97">
        <f t="shared" si="141"/>
        <v>11633930</v>
      </c>
      <c r="N618" s="85" t="s">
        <v>282</v>
      </c>
      <c r="O618" s="85" t="s">
        <v>274</v>
      </c>
      <c r="P618" s="84" t="str">
        <f>IF(AND('331-CT'!$E$7=TH!H618,OR(N618="331",O618="331")),"x","")</f>
        <v/>
      </c>
      <c r="Q618" s="84" t="str">
        <f>IF(AND(B618='111'!$L$11,OR($N618=$Q$7,$O618=$Q$7)),"x","")</f>
        <v/>
      </c>
      <c r="R618" s="84" t="str">
        <f>IF(AND($N618=$Q$7,$B618&lt;'111'!$L$11),"x","")</f>
        <v/>
      </c>
      <c r="S618" s="84" t="str">
        <f>IF(AND($O618=$Q$7,$B618&lt;'111'!$L$11),"x","")</f>
        <v/>
      </c>
      <c r="T618" s="84" t="str">
        <f>IF(ISERROR(FIND('112'!$M$9,G618,1)),"",IF((AND(FIND('112'!$M$9,G618,1)&gt;=1,B618='112'!$K$9,OR($N618='112'!$I$6,$O618='112'!$I$6))),"x",""))</f>
        <v/>
      </c>
      <c r="U618" s="84" t="str">
        <f>IF(ISERROR(FIND('112'!$M$9,G618,1)),"",IF((AND(LEFT(G618,2)=LEFT('112'!$M$9,2),B618&lt;'112'!$K$9,$N618='112'!$I$6)),"x",""))</f>
        <v/>
      </c>
      <c r="V618" s="84" t="str">
        <f>IF(ISERROR(FIND('112'!$M$9,G618,1)),"",IF((AND(RIGHT(G618,2)=RIGHT('112'!$M$9,2),B618&lt;'112'!$K$9,$O618='112'!$I$6)),"x",""))</f>
        <v/>
      </c>
      <c r="W618" s="84" t="str">
        <f>IF(AND('341-CT'!$H$9=H618,OR(LEFT(N618,3)=$W$7,LEFT(O618,3)=$W$7)),"x","")</f>
        <v/>
      </c>
      <c r="X618" s="84" t="str">
        <f>IF(OR(TH!N618=TH!$X$7,O618=TH!$X$7),"x","")</f>
        <v/>
      </c>
      <c r="Y618" s="84" t="str">
        <f>IF(AND(OR(N618="131",O618="131"),H618='131-CT'!$H$9),"x","")</f>
        <v/>
      </c>
      <c r="Z618" s="84"/>
      <c r="AA618" s="84" t="str">
        <f>IF(AND(MONTH(E618)='IN-NX'!$J$5,'IN-NX'!$D$7=D618),"x","")</f>
        <v/>
      </c>
      <c r="AB618" s="84" t="str">
        <f>IF(AND(OR(LEFT(TH!N618,2)="15",LEFT(TH!O618,2)="15"),LEFT(TH!O618,3)&lt;&gt;"111",'152-CT'!$J$8=TH!F618),"x","")</f>
        <v/>
      </c>
      <c r="AC618" s="84" t="str">
        <f>IF(AND(OR(LEFT(TH!N618,2)="15",LEFT(TH!O618,2)="15"),TK!$E$7=TH!F618),"x","")</f>
        <v/>
      </c>
      <c r="AD618" s="84" t="str">
        <f>IF(AND(N618="1521",MONTH(C618)='BK-NL'!$M$11),"x","")</f>
        <v/>
      </c>
    </row>
    <row r="619" spans="1:31" ht="15.75" hidden="1" customHeight="1">
      <c r="A619" s="336" t="str">
        <f>IF(B619&lt;&gt;"",IF(AND(B619='IN-TC'!$S$4,OR(TH!N619="1111",TH!O619="1111")),TH!D619,""),"")</f>
        <v/>
      </c>
      <c r="B619" s="63">
        <f t="shared" si="142"/>
        <v>7</v>
      </c>
      <c r="C619" s="80">
        <f t="shared" si="140"/>
        <v>42566</v>
      </c>
      <c r="D619" s="80" t="s">
        <v>942</v>
      </c>
      <c r="E619" s="80">
        <v>42566</v>
      </c>
      <c r="F619" s="81" t="s">
        <v>683</v>
      </c>
      <c r="G619" s="81"/>
      <c r="H619" s="82" t="s">
        <v>349</v>
      </c>
      <c r="I619" s="437">
        <v>3040</v>
      </c>
      <c r="J619" s="438">
        <v>15500</v>
      </c>
      <c r="K619" s="428"/>
      <c r="L619" s="437"/>
      <c r="M619" s="83">
        <f t="shared" si="141"/>
        <v>47120000</v>
      </c>
      <c r="N619" s="84" t="s">
        <v>274</v>
      </c>
      <c r="O619" s="84" t="s">
        <v>8</v>
      </c>
      <c r="P619" s="84" t="str">
        <f>IF(AND('331-CT'!$E$7=TH!H619,OR(N619="331",O619="331")),"x","")</f>
        <v/>
      </c>
      <c r="Q619" s="84" t="str">
        <f>IF(AND(B619='111'!$L$11,OR($N619=$Q$7,$O619=$Q$7)),"x","")</f>
        <v/>
      </c>
      <c r="R619" s="84" t="str">
        <f>IF(AND($N619=$Q$7,$B619&lt;'111'!$L$11),"x","")</f>
        <v/>
      </c>
      <c r="S619" s="84" t="str">
        <f>IF(AND($O619=$Q$7,$B619&lt;'111'!$L$11),"x","")</f>
        <v/>
      </c>
      <c r="T619" s="84" t="str">
        <f>IF(ISERROR(FIND('112'!$M$9,G619,1)),"",IF((AND(FIND('112'!$M$9,G619,1)&gt;=1,B619='112'!$K$9,OR($N619='112'!$I$6,$O619='112'!$I$6))),"x",""))</f>
        <v/>
      </c>
      <c r="U619" s="84" t="str">
        <f>IF(ISERROR(FIND('112'!$M$9,G619,1)),"",IF((AND(LEFT(G619,2)=LEFT('112'!$M$9,2),B619&lt;'112'!$K$9,$N619='112'!$I$6)),"x",""))</f>
        <v/>
      </c>
      <c r="V619" s="84" t="str">
        <f>IF(ISERROR(FIND('112'!$M$9,G619,1)),"",IF((AND(RIGHT(G619,2)=RIGHT('112'!$M$9,2),B619&lt;'112'!$K$9,$O619='112'!$I$6)),"x",""))</f>
        <v/>
      </c>
      <c r="W619" s="84" t="str">
        <f>IF(AND('341-CT'!$H$9=H619,OR(LEFT(N619,3)=$W$7,LEFT(O619,3)=$W$7)),"x","")</f>
        <v/>
      </c>
      <c r="X619" s="84" t="str">
        <f>IF(OR(TH!N619=TH!$X$7,O619=TH!$X$7),"x","")</f>
        <v/>
      </c>
      <c r="Y619" s="84" t="str">
        <f>IF(AND(OR(N619="131",O619="131"),H619='131-CT'!$H$9),"x","")</f>
        <v/>
      </c>
      <c r="Z619" s="84"/>
      <c r="AA619" s="84" t="str">
        <f>IF(AND(MONTH(E619)='IN-NX'!$J$5,'IN-NX'!$D$7=D619),"x","")</f>
        <v/>
      </c>
      <c r="AB619" s="84" t="str">
        <f>IF(AND(OR(LEFT(TH!N619,2)="15",LEFT(TH!O619,2)="15"),LEFT(TH!O619,3)&lt;&gt;"111",'152-CT'!$J$8=TH!F619),"x","")</f>
        <v/>
      </c>
      <c r="AC619" s="84" t="str">
        <f>IF(AND(OR(LEFT(TH!N619,2)="15",LEFT(TH!O619,2)="15"),TK!$E$7=TH!F619),"x","")</f>
        <v/>
      </c>
      <c r="AD619" s="84" t="str">
        <f>IF(AND(N619="1521",MONTH(C619)='BK-NL'!$M$11),"x","")</f>
        <v/>
      </c>
      <c r="AE619" s="1146" t="str">
        <f>IF(H619&lt;&gt;VLOOKUP(H619,DSKH,1,0),"","x")</f>
        <v>x</v>
      </c>
    </row>
    <row r="620" spans="1:31" ht="15.75" hidden="1" customHeight="1">
      <c r="A620" s="336" t="str">
        <f>IF(B620&lt;&gt;"",IF(AND(B620='IN-TC'!$S$4,OR(TH!N620="1111",TH!O620="1111")),TH!D620,""),"")</f>
        <v/>
      </c>
      <c r="B620" s="63">
        <f t="shared" si="142"/>
        <v>7</v>
      </c>
      <c r="C620" s="80">
        <f t="shared" si="140"/>
        <v>42566</v>
      </c>
      <c r="D620" s="80" t="s">
        <v>943</v>
      </c>
      <c r="E620" s="80">
        <v>42566</v>
      </c>
      <c r="F620" s="81" t="s">
        <v>683</v>
      </c>
      <c r="G620" s="81"/>
      <c r="H620" s="82" t="s">
        <v>367</v>
      </c>
      <c r="I620" s="437">
        <v>3150</v>
      </c>
      <c r="J620" s="438">
        <v>15500</v>
      </c>
      <c r="K620" s="428"/>
      <c r="L620" s="437"/>
      <c r="M620" s="83">
        <f t="shared" si="141"/>
        <v>48825000</v>
      </c>
      <c r="N620" s="84" t="s">
        <v>274</v>
      </c>
      <c r="O620" s="84" t="s">
        <v>8</v>
      </c>
      <c r="P620" s="84" t="str">
        <f>IF(AND('331-CT'!$E$7=TH!H620,OR(N620="331",O620="331")),"x","")</f>
        <v/>
      </c>
      <c r="Q620" s="84" t="str">
        <f>IF(AND(B620='111'!$L$11,OR($N620=$Q$7,$O620=$Q$7)),"x","")</f>
        <v/>
      </c>
      <c r="R620" s="84" t="str">
        <f>IF(AND($N620=$Q$7,$B620&lt;'111'!$L$11),"x","")</f>
        <v/>
      </c>
      <c r="S620" s="84" t="str">
        <f>IF(AND($O620=$Q$7,$B620&lt;'111'!$L$11),"x","")</f>
        <v/>
      </c>
      <c r="T620" s="84" t="str">
        <f>IF(ISERROR(FIND('112'!$M$9,G620,1)),"",IF((AND(FIND('112'!$M$9,G620,1)&gt;=1,B620='112'!$K$9,OR($N620='112'!$I$6,$O620='112'!$I$6))),"x",""))</f>
        <v/>
      </c>
      <c r="U620" s="84" t="str">
        <f>IF(ISERROR(FIND('112'!$M$9,G620,1)),"",IF((AND(LEFT(G620,2)=LEFT('112'!$M$9,2),B620&lt;'112'!$K$9,$N620='112'!$I$6)),"x",""))</f>
        <v/>
      </c>
      <c r="V620" s="84" t="str">
        <f>IF(ISERROR(FIND('112'!$M$9,G620,1)),"",IF((AND(RIGHT(G620,2)=RIGHT('112'!$M$9,2),B620&lt;'112'!$K$9,$O620='112'!$I$6)),"x",""))</f>
        <v/>
      </c>
      <c r="W620" s="84" t="str">
        <f>IF(AND('341-CT'!$H$9=H620,OR(LEFT(N620,3)=$W$7,LEFT(O620,3)=$W$7)),"x","")</f>
        <v/>
      </c>
      <c r="X620" s="84" t="str">
        <f>IF(OR(TH!N620=TH!$X$7,O620=TH!$X$7),"x","")</f>
        <v/>
      </c>
      <c r="Y620" s="84" t="str">
        <f>IF(AND(OR(N620="131",O620="131"),H620='131-CT'!$H$9),"x","")</f>
        <v/>
      </c>
      <c r="Z620" s="84"/>
      <c r="AA620" s="84" t="str">
        <f>IF(AND(MONTH(E620)='IN-NX'!$J$5,'IN-NX'!$D$7=D620),"x","")</f>
        <v/>
      </c>
      <c r="AB620" s="84" t="str">
        <f>IF(AND(OR(LEFT(TH!N620,2)="15",LEFT(TH!O620,2)="15"),LEFT(TH!O620,3)&lt;&gt;"111",'152-CT'!$J$8=TH!F620),"x","")</f>
        <v/>
      </c>
      <c r="AC620" s="84" t="str">
        <f>IF(AND(OR(LEFT(TH!N620,2)="15",LEFT(TH!O620,2)="15"),TK!$E$7=TH!F620),"x","")</f>
        <v/>
      </c>
      <c r="AD620" s="84" t="str">
        <f>IF(AND(N620="1521",MONTH(C620)='BK-NL'!$M$11),"x","")</f>
        <v/>
      </c>
      <c r="AE620" s="1146" t="str">
        <f>IF(H620&lt;&gt;VLOOKUP(H620,DSKH,1,0),"","x")</f>
        <v>x</v>
      </c>
    </row>
    <row r="621" spans="1:31" ht="15.75" hidden="1" customHeight="1">
      <c r="A621" s="336" t="str">
        <f>IF(B621&lt;&gt;"",IF(AND(B621='IN-TC'!$S$4,OR(TH!N621="1111",TH!O621="1111")),TH!D621,""),"")</f>
        <v/>
      </c>
      <c r="B621" s="63">
        <f t="shared" si="142"/>
        <v>7</v>
      </c>
      <c r="C621" s="80">
        <f t="shared" si="140"/>
        <v>42566</v>
      </c>
      <c r="D621" s="80" t="s">
        <v>944</v>
      </c>
      <c r="E621" s="80">
        <v>42566</v>
      </c>
      <c r="F621" s="81" t="s">
        <v>683</v>
      </c>
      <c r="G621" s="81"/>
      <c r="H621" s="82" t="s">
        <v>361</v>
      </c>
      <c r="I621" s="437">
        <v>4160</v>
      </c>
      <c r="J621" s="438">
        <v>15500</v>
      </c>
      <c r="K621" s="428"/>
      <c r="L621" s="437"/>
      <c r="M621" s="83">
        <f t="shared" si="141"/>
        <v>64480000</v>
      </c>
      <c r="N621" s="84" t="s">
        <v>274</v>
      </c>
      <c r="O621" s="84" t="s">
        <v>8</v>
      </c>
      <c r="P621" s="84" t="str">
        <f>IF(AND('331-CT'!$E$7=TH!H621,OR(N621="331",O621="331")),"x","")</f>
        <v/>
      </c>
      <c r="Q621" s="84" t="str">
        <f>IF(AND(B621='111'!$L$11,OR($N621=$Q$7,$O621=$Q$7)),"x","")</f>
        <v/>
      </c>
      <c r="R621" s="84" t="str">
        <f>IF(AND($N621=$Q$7,$B621&lt;'111'!$L$11),"x","")</f>
        <v/>
      </c>
      <c r="S621" s="84" t="str">
        <f>IF(AND($O621=$Q$7,$B621&lt;'111'!$L$11),"x","")</f>
        <v/>
      </c>
      <c r="T621" s="84" t="str">
        <f>IF(ISERROR(FIND('112'!$M$9,G621,1)),"",IF((AND(FIND('112'!$M$9,G621,1)&gt;=1,B621='112'!$K$9,OR($N621='112'!$I$6,$O621='112'!$I$6))),"x",""))</f>
        <v/>
      </c>
      <c r="U621" s="84" t="str">
        <f>IF(ISERROR(FIND('112'!$M$9,G621,1)),"",IF((AND(LEFT(G621,2)=LEFT('112'!$M$9,2),B621&lt;'112'!$K$9,$N621='112'!$I$6)),"x",""))</f>
        <v/>
      </c>
      <c r="V621" s="84" t="str">
        <f>IF(ISERROR(FIND('112'!$M$9,G621,1)),"",IF((AND(RIGHT(G621,2)=RIGHT('112'!$M$9,2),B621&lt;'112'!$K$9,$O621='112'!$I$6)),"x",""))</f>
        <v/>
      </c>
      <c r="W621" s="84" t="str">
        <f>IF(AND('341-CT'!$H$9=H621,OR(LEFT(N621,3)=$W$7,LEFT(O621,3)=$W$7)),"x","")</f>
        <v/>
      </c>
      <c r="X621" s="84" t="str">
        <f>IF(OR(TH!N621=TH!$X$7,O621=TH!$X$7),"x","")</f>
        <v/>
      </c>
      <c r="Y621" s="84" t="str">
        <f>IF(AND(OR(N621="131",O621="131"),H621='131-CT'!$H$9),"x","")</f>
        <v/>
      </c>
      <c r="Z621" s="84"/>
      <c r="AA621" s="84" t="str">
        <f>IF(AND(MONTH(E621)='IN-NX'!$J$5,'IN-NX'!$D$7=D621),"x","")</f>
        <v/>
      </c>
      <c r="AB621" s="84" t="str">
        <f>IF(AND(OR(LEFT(TH!N621,2)="15",LEFT(TH!O621,2)="15"),LEFT(TH!O621,3)&lt;&gt;"111",'152-CT'!$J$8=TH!F621),"x","")</f>
        <v/>
      </c>
      <c r="AC621" s="84" t="str">
        <f>IF(AND(OR(LEFT(TH!N621,2)="15",LEFT(TH!O621,2)="15"),TK!$E$7=TH!F621),"x","")</f>
        <v/>
      </c>
      <c r="AD621" s="84" t="str">
        <f>IF(AND(N621="1521",MONTH(C621)='BK-NL'!$M$11),"x","")</f>
        <v/>
      </c>
      <c r="AE621" s="1146" t="str">
        <f>IF(H621&lt;&gt;VLOOKUP(H621,DSKH,1,0),"","x")</f>
        <v>x</v>
      </c>
    </row>
    <row r="622" spans="1:31" ht="15.75" hidden="1" customHeight="1">
      <c r="A622" s="336" t="str">
        <f>IF(B622&lt;&gt;"",IF(AND(B622='IN-TC'!$S$4,OR(TH!N622="1111",TH!O622="1111")),TH!D622,""),"")</f>
        <v/>
      </c>
      <c r="B622" s="63">
        <f t="shared" si="142"/>
        <v>7</v>
      </c>
      <c r="C622" s="80">
        <f t="shared" si="140"/>
        <v>42566</v>
      </c>
      <c r="D622" s="80" t="s">
        <v>950</v>
      </c>
      <c r="E622" s="80">
        <v>42566</v>
      </c>
      <c r="F622" s="81" t="s">
        <v>683</v>
      </c>
      <c r="G622" s="81"/>
      <c r="H622" s="82" t="s">
        <v>364</v>
      </c>
      <c r="I622" s="437">
        <v>4610</v>
      </c>
      <c r="J622" s="438">
        <v>15500</v>
      </c>
      <c r="K622" s="428"/>
      <c r="L622" s="437"/>
      <c r="M622" s="83">
        <f t="shared" si="141"/>
        <v>71455000</v>
      </c>
      <c r="N622" s="84" t="s">
        <v>274</v>
      </c>
      <c r="O622" s="84" t="s">
        <v>8</v>
      </c>
      <c r="P622" s="84" t="str">
        <f>IF(AND('331-CT'!$E$7=TH!H622,OR(N622="331",O622="331")),"x","")</f>
        <v/>
      </c>
      <c r="Q622" s="84" t="str">
        <f>IF(AND(B622='111'!$L$11,OR($N622=$Q$7,$O622=$Q$7)),"x","")</f>
        <v/>
      </c>
      <c r="R622" s="84" t="str">
        <f>IF(AND($N622=$Q$7,$B622&lt;'111'!$L$11),"x","")</f>
        <v/>
      </c>
      <c r="S622" s="84" t="str">
        <f>IF(AND($O622=$Q$7,$B622&lt;'111'!$L$11),"x","")</f>
        <v/>
      </c>
      <c r="T622" s="84" t="str">
        <f>IF(ISERROR(FIND('112'!$M$9,G622,1)),"",IF((AND(FIND('112'!$M$9,G622,1)&gt;=1,B622='112'!$K$9,OR($N622='112'!$I$6,$O622='112'!$I$6))),"x",""))</f>
        <v/>
      </c>
      <c r="U622" s="84" t="str">
        <f>IF(ISERROR(FIND('112'!$M$9,G622,1)),"",IF((AND(LEFT(G622,2)=LEFT('112'!$M$9,2),B622&lt;'112'!$K$9,$N622='112'!$I$6)),"x",""))</f>
        <v/>
      </c>
      <c r="V622" s="84" t="str">
        <f>IF(ISERROR(FIND('112'!$M$9,G622,1)),"",IF((AND(RIGHT(G622,2)=RIGHT('112'!$M$9,2),B622&lt;'112'!$K$9,$O622='112'!$I$6)),"x",""))</f>
        <v/>
      </c>
      <c r="W622" s="84" t="str">
        <f>IF(AND('341-CT'!$H$9=H622,OR(LEFT(N622,3)=$W$7,LEFT(O622,3)=$W$7)),"x","")</f>
        <v/>
      </c>
      <c r="X622" s="84" t="str">
        <f>IF(OR(TH!N622=TH!$X$7,O622=TH!$X$7),"x","")</f>
        <v/>
      </c>
      <c r="Y622" s="84" t="str">
        <f>IF(AND(OR(N622="131",O622="131"),H622='131-CT'!$H$9),"x","")</f>
        <v/>
      </c>
      <c r="Z622" s="84"/>
      <c r="AA622" s="84" t="str">
        <f>IF(AND(MONTH(E622)='IN-NX'!$J$5,'IN-NX'!$D$7=D622),"x","")</f>
        <v/>
      </c>
      <c r="AB622" s="84" t="str">
        <f>IF(AND(OR(LEFT(TH!N622,2)="15",LEFT(TH!O622,2)="15"),LEFT(TH!O622,3)&lt;&gt;"111",'152-CT'!$J$8=TH!F622),"x","")</f>
        <v/>
      </c>
      <c r="AC622" s="84" t="str">
        <f>IF(AND(OR(LEFT(TH!N622,2)="15",LEFT(TH!O622,2)="15"),TK!$E$7=TH!F622),"x","")</f>
        <v/>
      </c>
      <c r="AD622" s="84" t="str">
        <f>IF(AND(N622="1521",MONTH(C622)='BK-NL'!$M$11),"x","")</f>
        <v/>
      </c>
      <c r="AE622" s="1146" t="str">
        <f>IF(H622&lt;&gt;VLOOKUP(H622,DSKH,1,0),"","x")</f>
        <v>x</v>
      </c>
    </row>
    <row r="623" spans="1:31" s="341" customFormat="1" ht="15.75" hidden="1" customHeight="1">
      <c r="A623" s="336" t="str">
        <f>IF(B623&lt;&gt;"",IF(AND(B623='IN-TC'!$S$4,OR(TH!N623="1111",TH!O623="1111")),TH!D623,""),"")</f>
        <v/>
      </c>
      <c r="B623" s="63">
        <f t="shared" si="142"/>
        <v>7</v>
      </c>
      <c r="C623" s="94">
        <f t="shared" si="140"/>
        <v>42566</v>
      </c>
      <c r="D623" s="94" t="s">
        <v>695</v>
      </c>
      <c r="E623" s="94">
        <v>42566</v>
      </c>
      <c r="F623" s="95" t="s">
        <v>683</v>
      </c>
      <c r="G623" s="95"/>
      <c r="H623" s="96" t="s">
        <v>449</v>
      </c>
      <c r="I623" s="1188">
        <v>14960</v>
      </c>
      <c r="J623" s="1187">
        <v>15500</v>
      </c>
      <c r="K623" s="1189"/>
      <c r="L623" s="1188"/>
      <c r="M623" s="97">
        <f t="shared" si="141"/>
        <v>231880000</v>
      </c>
      <c r="N623" s="85" t="s">
        <v>282</v>
      </c>
      <c r="O623" s="85" t="s">
        <v>274</v>
      </c>
      <c r="P623" s="84" t="str">
        <f>IF(AND('331-CT'!$E$7=TH!H623,OR(N623="331",O623="331")),"x","")</f>
        <v/>
      </c>
      <c r="Q623" s="84" t="str">
        <f>IF(AND(B623='111'!$L$11,OR($N623=$Q$7,$O623=$Q$7)),"x","")</f>
        <v/>
      </c>
      <c r="R623" s="84" t="str">
        <f>IF(AND($N623=$Q$7,$B623&lt;'111'!$L$11),"x","")</f>
        <v/>
      </c>
      <c r="S623" s="84" t="str">
        <f>IF(AND($O623=$Q$7,$B623&lt;'111'!$L$11),"x","")</f>
        <v/>
      </c>
      <c r="T623" s="84" t="str">
        <f>IF(ISERROR(FIND('112'!$M$9,G623,1)),"",IF((AND(FIND('112'!$M$9,G623,1)&gt;=1,B623='112'!$K$9,OR($N623='112'!$I$6,$O623='112'!$I$6))),"x",""))</f>
        <v/>
      </c>
      <c r="U623" s="84" t="str">
        <f>IF(ISERROR(FIND('112'!$M$9,G623,1)),"",IF((AND(LEFT(G623,2)=LEFT('112'!$M$9,2),B623&lt;'112'!$K$9,$N623='112'!$I$6)),"x",""))</f>
        <v/>
      </c>
      <c r="V623" s="84" t="str">
        <f>IF(ISERROR(FIND('112'!$M$9,G623,1)),"",IF((AND(RIGHT(G623,2)=RIGHT('112'!$M$9,2),B623&lt;'112'!$K$9,$O623='112'!$I$6)),"x",""))</f>
        <v/>
      </c>
      <c r="W623" s="84" t="str">
        <f>IF(AND('341-CT'!$H$9=H623,OR(LEFT(N623,3)=$W$7,LEFT(O623,3)=$W$7)),"x","")</f>
        <v/>
      </c>
      <c r="X623" s="84" t="str">
        <f>IF(OR(TH!N623=TH!$X$7,O623=TH!$X$7),"x","")</f>
        <v/>
      </c>
      <c r="Y623" s="84" t="str">
        <f>IF(AND(OR(N623="131",O623="131"),H623='131-CT'!$H$9),"x","")</f>
        <v/>
      </c>
      <c r="Z623" s="84"/>
      <c r="AA623" s="84" t="str">
        <f>IF(AND(MONTH(E623)='IN-NX'!$J$5,'IN-NX'!$D$7=D623),"x","")</f>
        <v/>
      </c>
      <c r="AB623" s="84" t="str">
        <f>IF(AND(OR(LEFT(TH!N623,2)="15",LEFT(TH!O623,2)="15"),LEFT(TH!O623,3)&lt;&gt;"111",'152-CT'!$J$8=TH!F623),"x","")</f>
        <v/>
      </c>
      <c r="AC623" s="84" t="str">
        <f>IF(AND(OR(LEFT(TH!N623,2)="15",LEFT(TH!O623,2)="15"),TK!$E$7=TH!F623),"x","")</f>
        <v/>
      </c>
      <c r="AD623" s="84" t="str">
        <f>IF(AND(N623="1521",MONTH(C623)='BK-NL'!$M$11),"x","")</f>
        <v/>
      </c>
    </row>
    <row r="624" spans="1:31" ht="15.75" hidden="1" customHeight="1">
      <c r="A624" s="336" t="str">
        <f>IF(B624&lt;&gt;"",IF(AND(B624='IN-TC'!$S$4,OR(TH!N624="1111",TH!O624="1111")),TH!D624,""),"")</f>
        <v/>
      </c>
      <c r="B624" s="63">
        <f t="shared" si="142"/>
        <v>7</v>
      </c>
      <c r="C624" s="80">
        <f t="shared" si="140"/>
        <v>42570</v>
      </c>
      <c r="D624" s="80" t="s">
        <v>955</v>
      </c>
      <c r="E624" s="80">
        <v>42570</v>
      </c>
      <c r="F624" s="81" t="s">
        <v>684</v>
      </c>
      <c r="G624" s="81"/>
      <c r="H624" s="82" t="s">
        <v>431</v>
      </c>
      <c r="I624" s="437">
        <v>4102</v>
      </c>
      <c r="J624" s="438">
        <v>13500</v>
      </c>
      <c r="K624" s="428"/>
      <c r="L624" s="437"/>
      <c r="M624" s="83">
        <f t="shared" si="141"/>
        <v>55377000</v>
      </c>
      <c r="N624" s="84" t="s">
        <v>274</v>
      </c>
      <c r="O624" s="84" t="s">
        <v>8</v>
      </c>
      <c r="P624" s="84" t="str">
        <f>IF(AND('331-CT'!$E$7=TH!H624,OR(N624="331",O624="331")),"x","")</f>
        <v/>
      </c>
      <c r="Q624" s="84" t="str">
        <f>IF(AND(B624='111'!$L$11,OR($N624=$Q$7,$O624=$Q$7)),"x","")</f>
        <v/>
      </c>
      <c r="R624" s="84" t="str">
        <f>IF(AND($N624=$Q$7,$B624&lt;'111'!$L$11),"x","")</f>
        <v/>
      </c>
      <c r="S624" s="84" t="str">
        <f>IF(AND($O624=$Q$7,$B624&lt;'111'!$L$11),"x","")</f>
        <v/>
      </c>
      <c r="T624" s="84" t="str">
        <f>IF(ISERROR(FIND('112'!$M$9,G624,1)),"",IF((AND(FIND('112'!$M$9,G624,1)&gt;=1,B624='112'!$K$9,OR($N624='112'!$I$6,$O624='112'!$I$6))),"x",""))</f>
        <v/>
      </c>
      <c r="U624" s="84" t="str">
        <f>IF(ISERROR(FIND('112'!$M$9,G624,1)),"",IF((AND(LEFT(G624,2)=LEFT('112'!$M$9,2),B624&lt;'112'!$K$9,$N624='112'!$I$6)),"x",""))</f>
        <v/>
      </c>
      <c r="V624" s="84" t="str">
        <f>IF(ISERROR(FIND('112'!$M$9,G624,1)),"",IF((AND(RIGHT(G624,2)=RIGHT('112'!$M$9,2),B624&lt;'112'!$K$9,$O624='112'!$I$6)),"x",""))</f>
        <v/>
      </c>
      <c r="W624" s="84" t="str">
        <f>IF(AND('341-CT'!$H$9=H624,OR(LEFT(N624,3)=$W$7,LEFT(O624,3)=$W$7)),"x","")</f>
        <v/>
      </c>
      <c r="X624" s="84" t="str">
        <f>IF(OR(TH!N624=TH!$X$7,O624=TH!$X$7),"x","")</f>
        <v/>
      </c>
      <c r="Y624" s="84" t="str">
        <f>IF(AND(OR(N624="131",O624="131"),H624='131-CT'!$H$9),"x","")</f>
        <v/>
      </c>
      <c r="Z624" s="84"/>
      <c r="AA624" s="84" t="str">
        <f>IF(AND(MONTH(E624)='IN-NX'!$J$5,'IN-NX'!$D$7=D624),"x","")</f>
        <v/>
      </c>
      <c r="AB624" s="84" t="str">
        <f>IF(AND(OR(LEFT(TH!N624,2)="15",LEFT(TH!O624,2)="15"),LEFT(TH!O624,3)&lt;&gt;"111",'152-CT'!$J$8=TH!F624),"x","")</f>
        <v/>
      </c>
      <c r="AC624" s="84" t="str">
        <f>IF(AND(OR(LEFT(TH!N624,2)="15",LEFT(TH!O624,2)="15"),TK!$E$7=TH!F624),"x","")</f>
        <v/>
      </c>
      <c r="AD624" s="84" t="str">
        <f>IF(AND(N624="1521",MONTH(C624)='BK-NL'!$M$11),"x","")</f>
        <v/>
      </c>
      <c r="AE624" s="1146" t="str">
        <f>IF(H624&lt;&gt;VLOOKUP(H624,DSKH,1,0),"","x")</f>
        <v>x</v>
      </c>
    </row>
    <row r="625" spans="1:31" ht="15.75" hidden="1" customHeight="1">
      <c r="A625" s="336" t="str">
        <f>IF(B625&lt;&gt;"",IF(AND(B625='IN-TC'!$S$4,OR(TH!N625="1111",TH!O625="1111")),TH!D625,""),"")</f>
        <v/>
      </c>
      <c r="B625" s="63">
        <f t="shared" si="142"/>
        <v>7</v>
      </c>
      <c r="C625" s="80">
        <f t="shared" si="140"/>
        <v>42570</v>
      </c>
      <c r="D625" s="80" t="s">
        <v>956</v>
      </c>
      <c r="E625" s="80">
        <v>42570</v>
      </c>
      <c r="F625" s="81" t="s">
        <v>684</v>
      </c>
      <c r="G625" s="81"/>
      <c r="H625" s="82" t="s">
        <v>446</v>
      </c>
      <c r="I625" s="437">
        <v>4830</v>
      </c>
      <c r="J625" s="438">
        <v>13500</v>
      </c>
      <c r="K625" s="428"/>
      <c r="L625" s="437"/>
      <c r="M625" s="83">
        <f t="shared" si="141"/>
        <v>65205000</v>
      </c>
      <c r="N625" s="84" t="s">
        <v>274</v>
      </c>
      <c r="O625" s="84" t="s">
        <v>8</v>
      </c>
      <c r="P625" s="84" t="str">
        <f>IF(AND('331-CT'!$E$7=TH!H625,OR(N625="331",O625="331")),"x","")</f>
        <v/>
      </c>
      <c r="Q625" s="84" t="str">
        <f>IF(AND(B625='111'!$L$11,OR($N625=$Q$7,$O625=$Q$7)),"x","")</f>
        <v/>
      </c>
      <c r="R625" s="84" t="str">
        <f>IF(AND($N625=$Q$7,$B625&lt;'111'!$L$11),"x","")</f>
        <v/>
      </c>
      <c r="S625" s="84" t="str">
        <f>IF(AND($O625=$Q$7,$B625&lt;'111'!$L$11),"x","")</f>
        <v/>
      </c>
      <c r="T625" s="84" t="str">
        <f>IF(ISERROR(FIND('112'!$M$9,G625,1)),"",IF((AND(FIND('112'!$M$9,G625,1)&gt;=1,B625='112'!$K$9,OR($N625='112'!$I$6,$O625='112'!$I$6))),"x",""))</f>
        <v/>
      </c>
      <c r="U625" s="84" t="str">
        <f>IF(ISERROR(FIND('112'!$M$9,G625,1)),"",IF((AND(LEFT(G625,2)=LEFT('112'!$M$9,2),B625&lt;'112'!$K$9,$N625='112'!$I$6)),"x",""))</f>
        <v/>
      </c>
      <c r="V625" s="84" t="str">
        <f>IF(ISERROR(FIND('112'!$M$9,G625,1)),"",IF((AND(RIGHT(G625,2)=RIGHT('112'!$M$9,2),B625&lt;'112'!$K$9,$O625='112'!$I$6)),"x",""))</f>
        <v/>
      </c>
      <c r="W625" s="84" t="str">
        <f>IF(AND('341-CT'!$H$9=H625,OR(LEFT(N625,3)=$W$7,LEFT(O625,3)=$W$7)),"x","")</f>
        <v/>
      </c>
      <c r="X625" s="84" t="str">
        <f>IF(OR(TH!N625=TH!$X$7,O625=TH!$X$7),"x","")</f>
        <v/>
      </c>
      <c r="Y625" s="84" t="str">
        <f>IF(AND(OR(N625="131",O625="131"),H625='131-CT'!$H$9),"x","")</f>
        <v/>
      </c>
      <c r="Z625" s="84"/>
      <c r="AA625" s="84" t="str">
        <f>IF(AND(MONTH(E625)='IN-NX'!$J$5,'IN-NX'!$D$7=D625),"x","")</f>
        <v/>
      </c>
      <c r="AB625" s="84" t="str">
        <f>IF(AND(OR(LEFT(TH!N625,2)="15",LEFT(TH!O625,2)="15"),LEFT(TH!O625,3)&lt;&gt;"111",'152-CT'!$J$8=TH!F625),"x","")</f>
        <v/>
      </c>
      <c r="AC625" s="84" t="str">
        <f>IF(AND(OR(LEFT(TH!N625,2)="15",LEFT(TH!O625,2)="15"),TK!$E$7=TH!F625),"x","")</f>
        <v/>
      </c>
      <c r="AD625" s="84" t="str">
        <f>IF(AND(N625="1521",MONTH(C625)='BK-NL'!$M$11),"x","")</f>
        <v/>
      </c>
      <c r="AE625" s="1146" t="str">
        <f>IF(H625&lt;&gt;VLOOKUP(H625,DSKH,1,0),"","x")</f>
        <v>x</v>
      </c>
    </row>
    <row r="626" spans="1:31" ht="15.75" hidden="1" customHeight="1">
      <c r="A626" s="336" t="str">
        <f>IF(B626&lt;&gt;"",IF(AND(B626='IN-TC'!$S$4,OR(TH!N626="1111",TH!O626="1111")),TH!D626,""),"")</f>
        <v/>
      </c>
      <c r="B626" s="63">
        <f t="shared" si="142"/>
        <v>7</v>
      </c>
      <c r="C626" s="80">
        <f t="shared" si="140"/>
        <v>42570</v>
      </c>
      <c r="D626" s="80" t="s">
        <v>957</v>
      </c>
      <c r="E626" s="80">
        <v>42570</v>
      </c>
      <c r="F626" s="81" t="s">
        <v>684</v>
      </c>
      <c r="G626" s="81"/>
      <c r="H626" s="82" t="s">
        <v>438</v>
      </c>
      <c r="I626" s="437">
        <v>4980</v>
      </c>
      <c r="J626" s="438">
        <v>13500</v>
      </c>
      <c r="K626" s="428"/>
      <c r="L626" s="437"/>
      <c r="M626" s="83">
        <f t="shared" si="141"/>
        <v>67230000</v>
      </c>
      <c r="N626" s="84" t="s">
        <v>274</v>
      </c>
      <c r="O626" s="84" t="s">
        <v>8</v>
      </c>
      <c r="P626" s="84" t="str">
        <f>IF(AND('331-CT'!$E$7=TH!H626,OR(N626="331",O626="331")),"x","")</f>
        <v/>
      </c>
      <c r="Q626" s="84" t="str">
        <f>IF(AND(B626='111'!$L$11,OR($N626=$Q$7,$O626=$Q$7)),"x","")</f>
        <v/>
      </c>
      <c r="R626" s="84" t="str">
        <f>IF(AND($N626=$Q$7,$B626&lt;'111'!$L$11),"x","")</f>
        <v/>
      </c>
      <c r="S626" s="84" t="str">
        <f>IF(AND($O626=$Q$7,$B626&lt;'111'!$L$11),"x","")</f>
        <v/>
      </c>
      <c r="T626" s="84" t="str">
        <f>IF(ISERROR(FIND('112'!$M$9,G626,1)),"",IF((AND(FIND('112'!$M$9,G626,1)&gt;=1,B626='112'!$K$9,OR($N626='112'!$I$6,$O626='112'!$I$6))),"x",""))</f>
        <v/>
      </c>
      <c r="U626" s="84" t="str">
        <f>IF(ISERROR(FIND('112'!$M$9,G626,1)),"",IF((AND(LEFT(G626,2)=LEFT('112'!$M$9,2),B626&lt;'112'!$K$9,$N626='112'!$I$6)),"x",""))</f>
        <v/>
      </c>
      <c r="V626" s="84" t="str">
        <f>IF(ISERROR(FIND('112'!$M$9,G626,1)),"",IF((AND(RIGHT(G626,2)=RIGHT('112'!$M$9,2),B626&lt;'112'!$K$9,$O626='112'!$I$6)),"x",""))</f>
        <v/>
      </c>
      <c r="W626" s="84" t="str">
        <f>IF(AND('341-CT'!$H$9=H626,OR(LEFT(N626,3)=$W$7,LEFT(O626,3)=$W$7)),"x","")</f>
        <v/>
      </c>
      <c r="X626" s="84" t="str">
        <f>IF(OR(TH!N626=TH!$X$7,O626=TH!$X$7),"x","")</f>
        <v/>
      </c>
      <c r="Y626" s="84" t="str">
        <f>IF(AND(OR(N626="131",O626="131"),H626='131-CT'!$H$9),"x","")</f>
        <v/>
      </c>
      <c r="Z626" s="84"/>
      <c r="AA626" s="84" t="str">
        <f>IF(AND(MONTH(E626)='IN-NX'!$J$5,'IN-NX'!$D$7=D626),"x","")</f>
        <v/>
      </c>
      <c r="AB626" s="84" t="str">
        <f>IF(AND(OR(LEFT(TH!N626,2)="15",LEFT(TH!O626,2)="15"),LEFT(TH!O626,3)&lt;&gt;"111",'152-CT'!$J$8=TH!F626),"x","")</f>
        <v/>
      </c>
      <c r="AC626" s="84" t="str">
        <f>IF(AND(OR(LEFT(TH!N626,2)="15",LEFT(TH!O626,2)="15"),TK!$E$7=TH!F626),"x","")</f>
        <v/>
      </c>
      <c r="AD626" s="84" t="str">
        <f>IF(AND(N626="1521",MONTH(C626)='BK-NL'!$M$11),"x","")</f>
        <v/>
      </c>
      <c r="AE626" s="1146" t="str">
        <f>IF(H626&lt;&gt;VLOOKUP(H626,DSKH,1,0),"","x")</f>
        <v>x</v>
      </c>
    </row>
    <row r="627" spans="1:31" ht="15.75" hidden="1" customHeight="1">
      <c r="A627" s="336" t="str">
        <f>IF(B627&lt;&gt;"",IF(AND(B627='IN-TC'!$S$4,OR(TH!N627="1111",TH!O627="1111")),TH!D627,""),"")</f>
        <v/>
      </c>
      <c r="B627" s="63">
        <f t="shared" si="142"/>
        <v>7</v>
      </c>
      <c r="C627" s="80">
        <f t="shared" si="140"/>
        <v>42570</v>
      </c>
      <c r="D627" s="80" t="s">
        <v>958</v>
      </c>
      <c r="E627" s="80">
        <v>42570</v>
      </c>
      <c r="F627" s="81" t="s">
        <v>684</v>
      </c>
      <c r="G627" s="81"/>
      <c r="H627" s="82" t="s">
        <v>442</v>
      </c>
      <c r="I627" s="437">
        <v>4788</v>
      </c>
      <c r="J627" s="438">
        <v>13500</v>
      </c>
      <c r="K627" s="428"/>
      <c r="L627" s="437"/>
      <c r="M627" s="83">
        <f t="shared" si="141"/>
        <v>64638000</v>
      </c>
      <c r="N627" s="84" t="s">
        <v>274</v>
      </c>
      <c r="O627" s="84" t="s">
        <v>8</v>
      </c>
      <c r="P627" s="84" t="str">
        <f>IF(AND('331-CT'!$E$7=TH!H627,OR(N627="331",O627="331")),"x","")</f>
        <v/>
      </c>
      <c r="Q627" s="84" t="str">
        <f>IF(AND(B627='111'!$L$11,OR($N627=$Q$7,$O627=$Q$7)),"x","")</f>
        <v/>
      </c>
      <c r="R627" s="84" t="str">
        <f>IF(AND($N627=$Q$7,$B627&lt;'111'!$L$11),"x","")</f>
        <v/>
      </c>
      <c r="S627" s="84" t="str">
        <f>IF(AND($O627=$Q$7,$B627&lt;'111'!$L$11),"x","")</f>
        <v/>
      </c>
      <c r="T627" s="84" t="str">
        <f>IF(ISERROR(FIND('112'!$M$9,G627,1)),"",IF((AND(FIND('112'!$M$9,G627,1)&gt;=1,B627='112'!$K$9,OR($N627='112'!$I$6,$O627='112'!$I$6))),"x",""))</f>
        <v/>
      </c>
      <c r="U627" s="84" t="str">
        <f>IF(ISERROR(FIND('112'!$M$9,G627,1)),"",IF((AND(LEFT(G627,2)=LEFT('112'!$M$9,2),B627&lt;'112'!$K$9,$N627='112'!$I$6)),"x",""))</f>
        <v/>
      </c>
      <c r="V627" s="84" t="str">
        <f>IF(ISERROR(FIND('112'!$M$9,G627,1)),"",IF((AND(RIGHT(G627,2)=RIGHT('112'!$M$9,2),B627&lt;'112'!$K$9,$O627='112'!$I$6)),"x",""))</f>
        <v/>
      </c>
      <c r="W627" s="84" t="str">
        <f>IF(AND('341-CT'!$H$9=H627,OR(LEFT(N627,3)=$W$7,LEFT(O627,3)=$W$7)),"x","")</f>
        <v/>
      </c>
      <c r="X627" s="84" t="str">
        <f>IF(OR(TH!N627=TH!$X$7,O627=TH!$X$7),"x","")</f>
        <v/>
      </c>
      <c r="Y627" s="84" t="str">
        <f>IF(AND(OR(N627="131",O627="131"),H627='131-CT'!$H$9),"x","")</f>
        <v/>
      </c>
      <c r="Z627" s="84"/>
      <c r="AA627" s="84" t="str">
        <f>IF(AND(MONTH(E627)='IN-NX'!$J$5,'IN-NX'!$D$7=D627),"x","")</f>
        <v/>
      </c>
      <c r="AB627" s="84" t="str">
        <f>IF(AND(OR(LEFT(TH!N627,2)="15",LEFT(TH!O627,2)="15"),LEFT(TH!O627,3)&lt;&gt;"111",'152-CT'!$J$8=TH!F627),"x","")</f>
        <v/>
      </c>
      <c r="AC627" s="84" t="str">
        <f>IF(AND(OR(LEFT(TH!N627,2)="15",LEFT(TH!O627,2)="15"),TK!$E$7=TH!F627),"x","")</f>
        <v/>
      </c>
      <c r="AD627" s="84" t="str">
        <f>IF(AND(N627="1521",MONTH(C627)='BK-NL'!$M$11),"x","")</f>
        <v/>
      </c>
      <c r="AE627" s="1146" t="str">
        <f>IF(H627&lt;&gt;VLOOKUP(H627,DSKH,1,0),"","x")</f>
        <v>x</v>
      </c>
    </row>
    <row r="628" spans="1:31" s="341" customFormat="1" ht="15.75" hidden="1" customHeight="1">
      <c r="A628" s="336" t="str">
        <f>IF(B628&lt;&gt;"",IF(AND(B628='IN-TC'!$S$4,OR(TH!N628="1111",TH!O628="1111")),TH!D628,""),"")</f>
        <v/>
      </c>
      <c r="B628" s="63">
        <f t="shared" si="142"/>
        <v>7</v>
      </c>
      <c r="C628" s="94">
        <f t="shared" si="140"/>
        <v>42570</v>
      </c>
      <c r="D628" s="94" t="s">
        <v>945</v>
      </c>
      <c r="E628" s="94">
        <v>42570</v>
      </c>
      <c r="F628" s="95" t="s">
        <v>684</v>
      </c>
      <c r="G628" s="95"/>
      <c r="H628" s="96" t="s">
        <v>449</v>
      </c>
      <c r="I628" s="1188">
        <v>18700</v>
      </c>
      <c r="J628" s="1187">
        <v>13500</v>
      </c>
      <c r="K628" s="1189"/>
      <c r="L628" s="1188"/>
      <c r="M628" s="97">
        <f t="shared" si="141"/>
        <v>252450000</v>
      </c>
      <c r="N628" s="85" t="s">
        <v>282</v>
      </c>
      <c r="O628" s="85" t="s">
        <v>274</v>
      </c>
      <c r="P628" s="84" t="str">
        <f>IF(AND('331-CT'!$E$7=TH!H628,OR(N628="331",O628="331")),"x","")</f>
        <v/>
      </c>
      <c r="Q628" s="84" t="str">
        <f>IF(AND(B628='111'!$L$11,OR($N628=$Q$7,$O628=$Q$7)),"x","")</f>
        <v/>
      </c>
      <c r="R628" s="84" t="str">
        <f>IF(AND($N628=$Q$7,$B628&lt;'111'!$L$11),"x","")</f>
        <v/>
      </c>
      <c r="S628" s="84" t="str">
        <f>IF(AND($O628=$Q$7,$B628&lt;'111'!$L$11),"x","")</f>
        <v/>
      </c>
      <c r="T628" s="84" t="str">
        <f>IF(ISERROR(FIND('112'!$M$9,G628,1)),"",IF((AND(FIND('112'!$M$9,G628,1)&gt;=1,B628='112'!$K$9,OR($N628='112'!$I$6,$O628='112'!$I$6))),"x",""))</f>
        <v/>
      </c>
      <c r="U628" s="84" t="str">
        <f>IF(ISERROR(FIND('112'!$M$9,G628,1)),"",IF((AND(LEFT(G628,2)=LEFT('112'!$M$9,2),B628&lt;'112'!$K$9,$N628='112'!$I$6)),"x",""))</f>
        <v/>
      </c>
      <c r="V628" s="84" t="str">
        <f>IF(ISERROR(FIND('112'!$M$9,G628,1)),"",IF((AND(RIGHT(G628,2)=RIGHT('112'!$M$9,2),B628&lt;'112'!$K$9,$O628='112'!$I$6)),"x",""))</f>
        <v/>
      </c>
      <c r="W628" s="84" t="str">
        <f>IF(AND('341-CT'!$H$9=H628,OR(LEFT(N628,3)=$W$7,LEFT(O628,3)=$W$7)),"x","")</f>
        <v/>
      </c>
      <c r="X628" s="84" t="str">
        <f>IF(OR(TH!N628=TH!$X$7,O628=TH!$X$7),"x","")</f>
        <v/>
      </c>
      <c r="Y628" s="84" t="str">
        <f>IF(AND(OR(N628="131",O628="131"),H628='131-CT'!$H$9),"x","")</f>
        <v/>
      </c>
      <c r="Z628" s="84"/>
      <c r="AA628" s="84" t="str">
        <f>IF(AND(MONTH(E628)='IN-NX'!$J$5,'IN-NX'!$D$7=D628),"x","")</f>
        <v/>
      </c>
      <c r="AB628" s="84" t="str">
        <f>IF(AND(OR(LEFT(TH!N628,2)="15",LEFT(TH!O628,2)="15"),LEFT(TH!O628,3)&lt;&gt;"111",'152-CT'!$J$8=TH!F628),"x","")</f>
        <v/>
      </c>
      <c r="AC628" s="84" t="str">
        <f>IF(AND(OR(LEFT(TH!N628,2)="15",LEFT(TH!O628,2)="15"),TK!$E$7=TH!F628),"x","")</f>
        <v/>
      </c>
      <c r="AD628" s="84" t="str">
        <f>IF(AND(N628="1521",MONTH(C628)='BK-NL'!$M$11),"x","")</f>
        <v/>
      </c>
    </row>
    <row r="629" spans="1:31" s="341" customFormat="1" ht="15.75" hidden="1" customHeight="1">
      <c r="A629" s="336" t="str">
        <f>IF(B629&lt;&gt;"",IF(AND(B629='IN-TC'!$S$4,OR(TH!N629="1111",TH!O629="1111")),TH!D629,""),"")</f>
        <v/>
      </c>
      <c r="B629" s="63">
        <f t="shared" si="142"/>
        <v>7</v>
      </c>
      <c r="C629" s="80">
        <f t="shared" si="140"/>
        <v>42571</v>
      </c>
      <c r="D629" s="80" t="s">
        <v>1970</v>
      </c>
      <c r="E629" s="80">
        <v>42571</v>
      </c>
      <c r="F629" s="81" t="s">
        <v>1958</v>
      </c>
      <c r="G629" s="81"/>
      <c r="H629" s="82" t="s">
        <v>1967</v>
      </c>
      <c r="I629" s="437">
        <v>5450</v>
      </c>
      <c r="J629" s="438">
        <v>15000</v>
      </c>
      <c r="K629" s="428"/>
      <c r="L629" s="437"/>
      <c r="M629" s="83">
        <f t="shared" si="141"/>
        <v>81750000</v>
      </c>
      <c r="N629" s="84" t="s">
        <v>274</v>
      </c>
      <c r="O629" s="84" t="s">
        <v>8</v>
      </c>
      <c r="P629" s="84" t="str">
        <f>IF(AND('331-CT'!$E$7=TH!H629,OR(N629="331",O629="331")),"x","")</f>
        <v/>
      </c>
      <c r="Q629" s="84" t="str">
        <f>IF(AND(B629='111'!$L$11,OR($N629=$Q$7,$O629=$Q$7)),"x","")</f>
        <v/>
      </c>
      <c r="R629" s="84" t="str">
        <f>IF(AND($N629=$Q$7,$B629&lt;'111'!$L$11),"x","")</f>
        <v/>
      </c>
      <c r="S629" s="84" t="str">
        <f>IF(AND($O629=$Q$7,$B629&lt;'111'!$L$11),"x","")</f>
        <v/>
      </c>
      <c r="T629" s="84" t="str">
        <f>IF(ISERROR(FIND('112'!$M$9,G629,1)),"",IF((AND(FIND('112'!$M$9,G629,1)&gt;=1,B629='112'!$K$9,OR($N629='112'!$I$6,$O629='112'!$I$6))),"x",""))</f>
        <v/>
      </c>
      <c r="U629" s="84" t="str">
        <f>IF(ISERROR(FIND('112'!$M$9,G629,1)),"",IF((AND(LEFT(G629,2)=LEFT('112'!$M$9,2),B629&lt;'112'!$K$9,$N629='112'!$I$6)),"x",""))</f>
        <v/>
      </c>
      <c r="V629" s="84" t="str">
        <f>IF(ISERROR(FIND('112'!$M$9,G629,1)),"",IF((AND(RIGHT(G629,2)=RIGHT('112'!$M$9,2),B629&lt;'112'!$K$9,$O629='112'!$I$6)),"x",""))</f>
        <v/>
      </c>
      <c r="W629" s="84" t="str">
        <f>IF(AND('341-CT'!$H$9=H629,OR(LEFT(N629,3)=$W$7,LEFT(O629,3)=$W$7)),"x","")</f>
        <v/>
      </c>
      <c r="X629" s="84" t="str">
        <f>IF(OR(TH!N629=TH!$X$7,O629=TH!$X$7),"x","")</f>
        <v/>
      </c>
      <c r="Y629" s="84" t="str">
        <f>IF(AND(OR(N629="131",O629="131"),H629='131-CT'!$H$9),"x","")</f>
        <v/>
      </c>
      <c r="Z629" s="84"/>
      <c r="AA629" s="84" t="str">
        <f>IF(AND(MONTH(E629)='IN-NX'!$J$5,'IN-NX'!$D$7=D629),"x","")</f>
        <v/>
      </c>
      <c r="AB629" s="84" t="str">
        <f>IF(AND(OR(LEFT(TH!N629,2)="15",LEFT(TH!O629,2)="15"),LEFT(TH!O629,3)&lt;&gt;"111",'152-CT'!$J$8=TH!F629),"x","")</f>
        <v/>
      </c>
      <c r="AC629" s="84" t="str">
        <f>IF(AND(OR(LEFT(TH!N629,2)="15",LEFT(TH!O629,2)="15"),TK!$E$7=TH!F629),"x","")</f>
        <v/>
      </c>
      <c r="AD629" s="84" t="str">
        <f>IF(AND(N629="1521",MONTH(C629)='BK-NL'!$M$11),"x","")</f>
        <v/>
      </c>
      <c r="AE629" s="1146" t="str">
        <f>IF(H629&lt;&gt;VLOOKUP(H629,DSKH,1,0),"","x")</f>
        <v>x</v>
      </c>
    </row>
    <row r="630" spans="1:31" ht="15.75" hidden="1" customHeight="1">
      <c r="A630" s="336" t="str">
        <f>IF(B630&lt;&gt;"",IF(AND(B630='IN-TC'!$S$4,OR(TH!N630="1111",TH!O630="1111")),TH!D630,""),"")</f>
        <v/>
      </c>
      <c r="B630" s="63">
        <f t="shared" si="142"/>
        <v>7</v>
      </c>
      <c r="C630" s="80">
        <f t="shared" si="140"/>
        <v>42571</v>
      </c>
      <c r="D630" s="80" t="s">
        <v>1971</v>
      </c>
      <c r="E630" s="80">
        <v>42571</v>
      </c>
      <c r="F630" s="81" t="s">
        <v>1961</v>
      </c>
      <c r="G630" s="81"/>
      <c r="H630" s="89" t="s">
        <v>1968</v>
      </c>
      <c r="I630" s="438">
        <v>1950</v>
      </c>
      <c r="J630" s="438">
        <v>19000</v>
      </c>
      <c r="K630" s="429"/>
      <c r="L630" s="438"/>
      <c r="M630" s="83">
        <f t="shared" si="141"/>
        <v>37050000</v>
      </c>
      <c r="N630" s="84" t="s">
        <v>274</v>
      </c>
      <c r="O630" s="84" t="s">
        <v>8</v>
      </c>
      <c r="P630" s="84" t="str">
        <f>IF(AND('331-CT'!$E$7=TH!H630,OR(N630="331",O630="331")),"x","")</f>
        <v/>
      </c>
      <c r="Q630" s="84" t="str">
        <f>IF(AND(B630='111'!$L$11,OR($N630=$Q$7,$O630=$Q$7)),"x","")</f>
        <v/>
      </c>
      <c r="R630" s="84" t="str">
        <f>IF(AND($N630=$Q$7,$B630&lt;'111'!$L$11),"x","")</f>
        <v/>
      </c>
      <c r="S630" s="84" t="str">
        <f>IF(AND($O630=$Q$7,$B630&lt;'111'!$L$11),"x","")</f>
        <v/>
      </c>
      <c r="T630" s="84" t="str">
        <f>IF(ISERROR(FIND('112'!$M$9,G630,1)),"",IF((AND(FIND('112'!$M$9,G630,1)&gt;=1,B630='112'!$K$9,OR($N630='112'!$I$6,$O630='112'!$I$6))),"x",""))</f>
        <v/>
      </c>
      <c r="U630" s="84" t="str">
        <f>IF(ISERROR(FIND('112'!$M$9,G630,1)),"",IF((AND(LEFT(G630,2)=LEFT('112'!$M$9,2),B630&lt;'112'!$K$9,$N630='112'!$I$6)),"x",""))</f>
        <v/>
      </c>
      <c r="V630" s="84" t="str">
        <f>IF(ISERROR(FIND('112'!$M$9,G630,1)),"",IF((AND(RIGHT(G630,2)=RIGHT('112'!$M$9,2),B630&lt;'112'!$K$9,$O630='112'!$I$6)),"x",""))</f>
        <v/>
      </c>
      <c r="W630" s="84" t="str">
        <f>IF(AND('341-CT'!$H$9=H630,OR(LEFT(N630,3)=$W$7,LEFT(O630,3)=$W$7)),"x","")</f>
        <v/>
      </c>
      <c r="X630" s="84" t="str">
        <f>IF(OR(TH!N630=TH!$X$7,O630=TH!$X$7),"x","")</f>
        <v/>
      </c>
      <c r="Y630" s="84" t="str">
        <f>IF(AND(OR(N630="131",O630="131"),H630='131-CT'!$H$9),"x","")</f>
        <v/>
      </c>
      <c r="Z630" s="84"/>
      <c r="AA630" s="84" t="str">
        <f>IF(AND(MONTH(E630)='IN-NX'!$J$5,'IN-NX'!$D$7=D630),"x","")</f>
        <v/>
      </c>
      <c r="AB630" s="84" t="str">
        <f>IF(AND(OR(LEFT(TH!N630,2)="15",LEFT(TH!O630,2)="15"),LEFT(TH!O630,3)&lt;&gt;"111",'152-CT'!$J$8=TH!F630),"x","")</f>
        <v/>
      </c>
      <c r="AC630" s="84" t="str">
        <f>IF(AND(OR(LEFT(TH!N630,2)="15",LEFT(TH!O630,2)="15"),TK!$E$7=TH!F630),"x","")</f>
        <v/>
      </c>
      <c r="AD630" s="84" t="str">
        <f>IF(AND(N630="1521",MONTH(C630)='BK-NL'!$M$11),"x","")</f>
        <v/>
      </c>
      <c r="AE630" s="1146" t="str">
        <f>IF(H630&lt;&gt;VLOOKUP(H630,DSKH,1,0),"","x")</f>
        <v>x</v>
      </c>
    </row>
    <row r="631" spans="1:31" s="341" customFormat="1" ht="15.75" hidden="1" customHeight="1">
      <c r="A631" s="336" t="str">
        <f>IF(B631&lt;&gt;"",IF(AND(B631='IN-TC'!$S$4,OR(TH!N631="1111",TH!O631="1111")),TH!D631,""),"")</f>
        <v/>
      </c>
      <c r="B631" s="63">
        <f t="shared" si="142"/>
        <v>7</v>
      </c>
      <c r="C631" s="94">
        <f t="shared" si="140"/>
        <v>42571</v>
      </c>
      <c r="D631" s="94" t="s">
        <v>946</v>
      </c>
      <c r="E631" s="94">
        <v>42571</v>
      </c>
      <c r="F631" s="95" t="s">
        <v>1958</v>
      </c>
      <c r="G631" s="95"/>
      <c r="H631" s="96" t="s">
        <v>449</v>
      </c>
      <c r="I631" s="1188">
        <v>5450</v>
      </c>
      <c r="J631" s="1187">
        <v>15000</v>
      </c>
      <c r="K631" s="1189"/>
      <c r="L631" s="1188"/>
      <c r="M631" s="97">
        <f t="shared" si="141"/>
        <v>81750000</v>
      </c>
      <c r="N631" s="85" t="s">
        <v>282</v>
      </c>
      <c r="O631" s="85" t="s">
        <v>274</v>
      </c>
      <c r="P631" s="84" t="str">
        <f>IF(AND('331-CT'!$E$7=TH!H631,OR(N631="331",O631="331")),"x","")</f>
        <v/>
      </c>
      <c r="Q631" s="84" t="str">
        <f>IF(AND(B631='111'!$L$11,OR($N631=$Q$7,$O631=$Q$7)),"x","")</f>
        <v/>
      </c>
      <c r="R631" s="84" t="str">
        <f>IF(AND($N631=$Q$7,$B631&lt;'111'!$L$11),"x","")</f>
        <v/>
      </c>
      <c r="S631" s="84" t="str">
        <f>IF(AND($O631=$Q$7,$B631&lt;'111'!$L$11),"x","")</f>
        <v/>
      </c>
      <c r="T631" s="84" t="str">
        <f>IF(ISERROR(FIND('112'!$M$9,G631,1)),"",IF((AND(FIND('112'!$M$9,G631,1)&gt;=1,B631='112'!$K$9,OR($N631='112'!$I$6,$O631='112'!$I$6))),"x",""))</f>
        <v/>
      </c>
      <c r="U631" s="84" t="str">
        <f>IF(ISERROR(FIND('112'!$M$9,G631,1)),"",IF((AND(LEFT(G631,2)=LEFT('112'!$M$9,2),B631&lt;'112'!$K$9,$N631='112'!$I$6)),"x",""))</f>
        <v/>
      </c>
      <c r="V631" s="84" t="str">
        <f>IF(ISERROR(FIND('112'!$M$9,G631,1)),"",IF((AND(RIGHT(G631,2)=RIGHT('112'!$M$9,2),B631&lt;'112'!$K$9,$O631='112'!$I$6)),"x",""))</f>
        <v/>
      </c>
      <c r="W631" s="84" t="str">
        <f>IF(AND('341-CT'!$H$9=H631,OR(LEFT(N631,3)=$W$7,LEFT(O631,3)=$W$7)),"x","")</f>
        <v/>
      </c>
      <c r="X631" s="84" t="str">
        <f>IF(OR(TH!N631=TH!$X$7,O631=TH!$X$7),"x","")</f>
        <v/>
      </c>
      <c r="Y631" s="84" t="str">
        <f>IF(AND(OR(N631="131",O631="131"),H631='131-CT'!$H$9),"x","")</f>
        <v/>
      </c>
      <c r="Z631" s="84"/>
      <c r="AA631" s="84" t="str">
        <f>IF(AND(MONTH(E631)='IN-NX'!$J$5,'IN-NX'!$D$7=D631),"x","")</f>
        <v/>
      </c>
      <c r="AB631" s="84" t="str">
        <f>IF(AND(OR(LEFT(TH!N631,2)="15",LEFT(TH!O631,2)="15"),LEFT(TH!O631,3)&lt;&gt;"111",'152-CT'!$J$8=TH!F631),"x","")</f>
        <v/>
      </c>
      <c r="AC631" s="84" t="str">
        <f>IF(AND(OR(LEFT(TH!N631,2)="15",LEFT(TH!O631,2)="15"),TK!$E$7=TH!F631),"x","")</f>
        <v/>
      </c>
      <c r="AD631" s="84" t="str">
        <f>IF(AND(N631="1521",MONTH(C631)='BK-NL'!$M$11),"x","")</f>
        <v/>
      </c>
    </row>
    <row r="632" spans="1:31" s="341" customFormat="1" ht="15.75" hidden="1" customHeight="1">
      <c r="A632" s="336" t="str">
        <f>IF(B632&lt;&gt;"",IF(AND(B632='IN-TC'!$S$4,OR(TH!N632="1111",TH!O632="1111")),TH!D632,""),"")</f>
        <v/>
      </c>
      <c r="B632" s="63">
        <f t="shared" si="142"/>
        <v>7</v>
      </c>
      <c r="C632" s="94">
        <f t="shared" si="140"/>
        <v>42571</v>
      </c>
      <c r="D632" s="94" t="s">
        <v>946</v>
      </c>
      <c r="E632" s="94">
        <v>42571</v>
      </c>
      <c r="F632" s="95" t="s">
        <v>1961</v>
      </c>
      <c r="G632" s="95"/>
      <c r="H632" s="96" t="s">
        <v>449</v>
      </c>
      <c r="I632" s="1188">
        <v>1950</v>
      </c>
      <c r="J632" s="1187">
        <v>19000</v>
      </c>
      <c r="K632" s="1189"/>
      <c r="L632" s="1188"/>
      <c r="M632" s="97">
        <f t="shared" si="141"/>
        <v>37050000</v>
      </c>
      <c r="N632" s="85" t="s">
        <v>282</v>
      </c>
      <c r="O632" s="85" t="s">
        <v>274</v>
      </c>
      <c r="P632" s="84" t="str">
        <f>IF(AND('331-CT'!$E$7=TH!H632,OR(N632="331",O632="331")),"x","")</f>
        <v/>
      </c>
      <c r="Q632" s="84" t="str">
        <f>IF(AND(B632='111'!$L$11,OR($N632=$Q$7,$O632=$Q$7)),"x","")</f>
        <v/>
      </c>
      <c r="R632" s="84" t="str">
        <f>IF(AND($N632=$Q$7,$B632&lt;'111'!$L$11),"x","")</f>
        <v/>
      </c>
      <c r="S632" s="84" t="str">
        <f>IF(AND($O632=$Q$7,$B632&lt;'111'!$L$11),"x","")</f>
        <v/>
      </c>
      <c r="T632" s="84" t="str">
        <f>IF(ISERROR(FIND('112'!$M$9,G632,1)),"",IF((AND(FIND('112'!$M$9,G632,1)&gt;=1,B632='112'!$K$9,OR($N632='112'!$I$6,$O632='112'!$I$6))),"x",""))</f>
        <v/>
      </c>
      <c r="U632" s="84" t="str">
        <f>IF(ISERROR(FIND('112'!$M$9,G632,1)),"",IF((AND(LEFT(G632,2)=LEFT('112'!$M$9,2),B632&lt;'112'!$K$9,$N632='112'!$I$6)),"x",""))</f>
        <v/>
      </c>
      <c r="V632" s="84" t="str">
        <f>IF(ISERROR(FIND('112'!$M$9,G632,1)),"",IF((AND(RIGHT(G632,2)=RIGHT('112'!$M$9,2),B632&lt;'112'!$K$9,$O632='112'!$I$6)),"x",""))</f>
        <v/>
      </c>
      <c r="W632" s="84" t="str">
        <f>IF(AND('341-CT'!$H$9=H632,OR(LEFT(N632,3)=$W$7,LEFT(O632,3)=$W$7)),"x","")</f>
        <v/>
      </c>
      <c r="X632" s="84" t="str">
        <f>IF(OR(TH!N632=TH!$X$7,O632=TH!$X$7),"x","")</f>
        <v/>
      </c>
      <c r="Y632" s="84" t="str">
        <f>IF(AND(OR(N632="131",O632="131"),H632='131-CT'!$H$9),"x","")</f>
        <v/>
      </c>
      <c r="Z632" s="84"/>
      <c r="AA632" s="84" t="str">
        <f>IF(AND(MONTH(E632)='IN-NX'!$J$5,'IN-NX'!$D$7=D632),"x","")</f>
        <v/>
      </c>
      <c r="AB632" s="84" t="str">
        <f>IF(AND(OR(LEFT(TH!N632,2)="15",LEFT(TH!O632,2)="15"),LEFT(TH!O632,3)&lt;&gt;"111",'152-CT'!$J$8=TH!F632),"x","")</f>
        <v/>
      </c>
      <c r="AC632" s="84" t="str">
        <f>IF(AND(OR(LEFT(TH!N632,2)="15",LEFT(TH!O632,2)="15"),TK!$E$7=TH!F632),"x","")</f>
        <v/>
      </c>
      <c r="AD632" s="84" t="str">
        <f>IF(AND(N632="1521",MONTH(C632)='BK-NL'!$M$11),"x","")</f>
        <v/>
      </c>
    </row>
    <row r="633" spans="1:31" ht="15.75" hidden="1" customHeight="1">
      <c r="A633" s="336" t="str">
        <f>IF(B633&lt;&gt;"",IF(AND(B633='IN-TC'!$S$4,OR(TH!N633="1111",TH!O633="1111")),TH!D633,""),"")</f>
        <v/>
      </c>
      <c r="B633" s="63">
        <f t="shared" si="142"/>
        <v>7</v>
      </c>
      <c r="C633" s="80">
        <f t="shared" ref="C633:C640" si="143">E633</f>
        <v>42561</v>
      </c>
      <c r="D633" s="80" t="s">
        <v>938</v>
      </c>
      <c r="E633" s="80">
        <v>42561</v>
      </c>
      <c r="F633" s="81" t="s">
        <v>1987</v>
      </c>
      <c r="G633" s="81"/>
      <c r="H633" s="89" t="s">
        <v>383</v>
      </c>
      <c r="I633" s="438">
        <v>10790</v>
      </c>
      <c r="J633" s="438">
        <v>20000</v>
      </c>
      <c r="K633" s="429"/>
      <c r="L633" s="438"/>
      <c r="M633" s="83">
        <f t="shared" ref="M633:M640" si="144">ROUND(I633*J633,0)</f>
        <v>215800000</v>
      </c>
      <c r="N633" s="84" t="s">
        <v>274</v>
      </c>
      <c r="O633" s="84" t="s">
        <v>8</v>
      </c>
      <c r="P633" s="84" t="str">
        <f>IF(AND('331-CT'!$E$7=TH!H633,OR(N633="331",O633="331")),"x","")</f>
        <v/>
      </c>
      <c r="Q633" s="84" t="str">
        <f>IF(AND(B633='111'!$L$11,OR($N633=$Q$7,$O633=$Q$7)),"x","")</f>
        <v/>
      </c>
      <c r="R633" s="84" t="str">
        <f>IF(AND($N633=$Q$7,$B633&lt;'111'!$L$11),"x","")</f>
        <v/>
      </c>
      <c r="S633" s="84" t="str">
        <f>IF(AND($O633=$Q$7,$B633&lt;'111'!$L$11),"x","")</f>
        <v/>
      </c>
      <c r="T633" s="84" t="str">
        <f>IF(ISERROR(FIND('112'!$M$9,G633,1)),"",IF((AND(FIND('112'!$M$9,G633,1)&gt;=1,B633='112'!$K$9,OR($N633='112'!$I$6,$O633='112'!$I$6))),"x",""))</f>
        <v/>
      </c>
      <c r="U633" s="84" t="str">
        <f>IF(ISERROR(FIND('112'!$M$9,G633,1)),"",IF((AND(LEFT(G633,2)=LEFT('112'!$M$9,2),B633&lt;'112'!$K$9,$N633='112'!$I$6)),"x",""))</f>
        <v/>
      </c>
      <c r="V633" s="84" t="str">
        <f>IF(ISERROR(FIND('112'!$M$9,G633,1)),"",IF((AND(RIGHT(G633,2)=RIGHT('112'!$M$9,2),B633&lt;'112'!$K$9,$O633='112'!$I$6)),"x",""))</f>
        <v/>
      </c>
      <c r="W633" s="84" t="str">
        <f>IF(AND('341-CT'!$H$9=H633,OR(LEFT(N633,3)=$W$7,LEFT(O633,3)=$W$7)),"x","")</f>
        <v/>
      </c>
      <c r="X633" s="84" t="str">
        <f>IF(OR(TH!N633=TH!$X$7,O633=TH!$X$7),"x","")</f>
        <v/>
      </c>
      <c r="Y633" s="84" t="str">
        <f>IF(AND(OR(N633="131",O633="131"),H633='131-CT'!$H$9),"x","")</f>
        <v/>
      </c>
      <c r="Z633" s="84"/>
      <c r="AA633" s="84" t="str">
        <f>IF(AND(MONTH(E633)='IN-NX'!$J$5,'IN-NX'!$D$7=D633),"x","")</f>
        <v/>
      </c>
      <c r="AB633" s="84" t="str">
        <f>IF(AND(OR(LEFT(TH!N633,2)="15",LEFT(TH!O633,2)="15"),LEFT(TH!O633,3)&lt;&gt;"111",'152-CT'!$J$8=TH!F633),"x","")</f>
        <v/>
      </c>
      <c r="AC633" s="84" t="str">
        <f>IF(AND(OR(LEFT(TH!N633,2)="15",LEFT(TH!O633,2)="15"),TK!$E$7=TH!F633),"x","")</f>
        <v/>
      </c>
      <c r="AD633" s="84" t="str">
        <f>IF(AND(N633="1521",MONTH(C633)='BK-NL'!$M$11),"x","")</f>
        <v/>
      </c>
      <c r="AE633" s="1146" t="str">
        <f t="shared" ref="AE633:AE644" si="145">IF(H633&lt;&gt;VLOOKUP(H633,DSKH,1,0),"","x")</f>
        <v>x</v>
      </c>
    </row>
    <row r="634" spans="1:31" ht="15.75" hidden="1" customHeight="1">
      <c r="A634" s="336" t="str">
        <f>IF(B634&lt;&gt;"",IF(AND(B634='IN-TC'!$S$4,OR(TH!N634="1111",TH!O634="1111")),TH!D634,""),"")</f>
        <v/>
      </c>
      <c r="B634" s="63">
        <f t="shared" si="142"/>
        <v>7</v>
      </c>
      <c r="C634" s="80">
        <f t="shared" si="143"/>
        <v>42561</v>
      </c>
      <c r="D634" s="80" t="s">
        <v>939</v>
      </c>
      <c r="E634" s="80">
        <v>42561</v>
      </c>
      <c r="F634" s="81" t="s">
        <v>1987</v>
      </c>
      <c r="G634" s="81"/>
      <c r="H634" s="82" t="s">
        <v>385</v>
      </c>
      <c r="I634" s="437">
        <v>10460</v>
      </c>
      <c r="J634" s="438">
        <v>20000</v>
      </c>
      <c r="K634" s="428"/>
      <c r="L634" s="437"/>
      <c r="M634" s="83">
        <f t="shared" si="144"/>
        <v>209200000</v>
      </c>
      <c r="N634" s="84" t="s">
        <v>274</v>
      </c>
      <c r="O634" s="84" t="s">
        <v>8</v>
      </c>
      <c r="P634" s="84" t="str">
        <f>IF(AND('331-CT'!$E$7=TH!H634,OR(N634="331",O634="331")),"x","")</f>
        <v/>
      </c>
      <c r="Q634" s="84" t="str">
        <f>IF(AND(B634='111'!$L$11,OR($N634=$Q$7,$O634=$Q$7)),"x","")</f>
        <v/>
      </c>
      <c r="R634" s="84" t="str">
        <f>IF(AND($N634=$Q$7,$B634&lt;'111'!$L$11),"x","")</f>
        <v/>
      </c>
      <c r="S634" s="84" t="str">
        <f>IF(AND($O634=$Q$7,$B634&lt;'111'!$L$11),"x","")</f>
        <v/>
      </c>
      <c r="T634" s="84" t="str">
        <f>IF(ISERROR(FIND('112'!$M$9,G634,1)),"",IF((AND(FIND('112'!$M$9,G634,1)&gt;=1,B634='112'!$K$9,OR($N634='112'!$I$6,$O634='112'!$I$6))),"x",""))</f>
        <v/>
      </c>
      <c r="U634" s="84" t="str">
        <f>IF(ISERROR(FIND('112'!$M$9,G634,1)),"",IF((AND(LEFT(G634,2)=LEFT('112'!$M$9,2),B634&lt;'112'!$K$9,$N634='112'!$I$6)),"x",""))</f>
        <v/>
      </c>
      <c r="V634" s="84" t="str">
        <f>IF(ISERROR(FIND('112'!$M$9,G634,1)),"",IF((AND(RIGHT(G634,2)=RIGHT('112'!$M$9,2),B634&lt;'112'!$K$9,$O634='112'!$I$6)),"x",""))</f>
        <v/>
      </c>
      <c r="W634" s="84" t="str">
        <f>IF(AND('341-CT'!$H$9=H634,OR(LEFT(N634,3)=$W$7,LEFT(O634,3)=$W$7)),"x","")</f>
        <v/>
      </c>
      <c r="X634" s="84" t="str">
        <f>IF(OR(TH!N634=TH!$X$7,O634=TH!$X$7),"x","")</f>
        <v/>
      </c>
      <c r="Y634" s="84" t="str">
        <f>IF(AND(OR(N634="131",O634="131"),H634='131-CT'!$H$9),"x","")</f>
        <v/>
      </c>
      <c r="Z634" s="84"/>
      <c r="AA634" s="84" t="str">
        <f>IF(AND(MONTH(E634)='IN-NX'!$J$5,'IN-NX'!$D$7=D634),"x","")</f>
        <v/>
      </c>
      <c r="AB634" s="84" t="str">
        <f>IF(AND(OR(LEFT(TH!N634,2)="15",LEFT(TH!O634,2)="15"),LEFT(TH!O634,3)&lt;&gt;"111",'152-CT'!$J$8=TH!F634),"x","")</f>
        <v/>
      </c>
      <c r="AC634" s="84" t="str">
        <f>IF(AND(OR(LEFT(TH!N634,2)="15",LEFT(TH!O634,2)="15"),TK!$E$7=TH!F634),"x","")</f>
        <v/>
      </c>
      <c r="AD634" s="84" t="str">
        <f>IF(AND(N634="1521",MONTH(C634)='BK-NL'!$M$11),"x","")</f>
        <v/>
      </c>
      <c r="AE634" s="1146" t="str">
        <f t="shared" si="145"/>
        <v>x</v>
      </c>
    </row>
    <row r="635" spans="1:31" ht="15.75" hidden="1" customHeight="1">
      <c r="A635" s="336" t="str">
        <f>IF(B635&lt;&gt;"",IF(AND(B635='IN-TC'!$S$4,OR(TH!N635="1111",TH!O635="1111")),TH!D635,""),"")</f>
        <v/>
      </c>
      <c r="B635" s="63">
        <f t="shared" si="142"/>
        <v>7</v>
      </c>
      <c r="C635" s="80">
        <f t="shared" si="143"/>
        <v>42561</v>
      </c>
      <c r="D635" s="80" t="s">
        <v>940</v>
      </c>
      <c r="E635" s="80">
        <v>42561</v>
      </c>
      <c r="F635" s="81" t="s">
        <v>1987</v>
      </c>
      <c r="G635" s="81"/>
      <c r="H635" s="82" t="s">
        <v>1988</v>
      </c>
      <c r="I635" s="437">
        <v>11450</v>
      </c>
      <c r="J635" s="438">
        <v>20000</v>
      </c>
      <c r="K635" s="428"/>
      <c r="L635" s="437"/>
      <c r="M635" s="83">
        <f t="shared" si="144"/>
        <v>229000000</v>
      </c>
      <c r="N635" s="84" t="s">
        <v>274</v>
      </c>
      <c r="O635" s="84" t="s">
        <v>8</v>
      </c>
      <c r="P635" s="84" t="str">
        <f>IF(AND('331-CT'!$E$7=TH!H635,OR(N635="331",O635="331")),"x","")</f>
        <v/>
      </c>
      <c r="Q635" s="84" t="str">
        <f>IF(AND(B635='111'!$L$11,OR($N635=$Q$7,$O635=$Q$7)),"x","")</f>
        <v/>
      </c>
      <c r="R635" s="84" t="str">
        <f>IF(AND($N635=$Q$7,$B635&lt;'111'!$L$11),"x","")</f>
        <v/>
      </c>
      <c r="S635" s="84" t="str">
        <f>IF(AND($O635=$Q$7,$B635&lt;'111'!$L$11),"x","")</f>
        <v/>
      </c>
      <c r="T635" s="84" t="str">
        <f>IF(ISERROR(FIND('112'!$M$9,G635,1)),"",IF((AND(FIND('112'!$M$9,G635,1)&gt;=1,B635='112'!$K$9,OR($N635='112'!$I$6,$O635='112'!$I$6))),"x",""))</f>
        <v/>
      </c>
      <c r="U635" s="84" t="str">
        <f>IF(ISERROR(FIND('112'!$M$9,G635,1)),"",IF((AND(LEFT(G635,2)=LEFT('112'!$M$9,2),B635&lt;'112'!$K$9,$N635='112'!$I$6)),"x",""))</f>
        <v/>
      </c>
      <c r="V635" s="84" t="str">
        <f>IF(ISERROR(FIND('112'!$M$9,G635,1)),"",IF((AND(RIGHT(G635,2)=RIGHT('112'!$M$9,2),B635&lt;'112'!$K$9,$O635='112'!$I$6)),"x",""))</f>
        <v/>
      </c>
      <c r="W635" s="84" t="str">
        <f>IF(AND('341-CT'!$H$9=H635,OR(LEFT(N635,3)=$W$7,LEFT(O635,3)=$W$7)),"x","")</f>
        <v/>
      </c>
      <c r="X635" s="84" t="str">
        <f>IF(OR(TH!N635=TH!$X$7,O635=TH!$X$7),"x","")</f>
        <v/>
      </c>
      <c r="Y635" s="84" t="str">
        <f>IF(AND(OR(N635="131",O635="131"),H635='131-CT'!$H$9),"x","")</f>
        <v/>
      </c>
      <c r="Z635" s="84"/>
      <c r="AA635" s="84" t="str">
        <f>IF(AND(MONTH(E635)='IN-NX'!$J$5,'IN-NX'!$D$7=D635),"x","")</f>
        <v/>
      </c>
      <c r="AB635" s="84" t="str">
        <f>IF(AND(OR(LEFT(TH!N635,2)="15",LEFT(TH!O635,2)="15"),LEFT(TH!O635,3)&lt;&gt;"111",'152-CT'!$J$8=TH!F635),"x","")</f>
        <v/>
      </c>
      <c r="AC635" s="84" t="str">
        <f>IF(AND(OR(LEFT(TH!N635,2)="15",LEFT(TH!O635,2)="15"),TK!$E$7=TH!F635),"x","")</f>
        <v/>
      </c>
      <c r="AD635" s="84" t="str">
        <f>IF(AND(N635="1521",MONTH(C635)='BK-NL'!$M$11),"x","")</f>
        <v/>
      </c>
      <c r="AE635" s="1146" t="str">
        <f t="shared" si="145"/>
        <v>x</v>
      </c>
    </row>
    <row r="636" spans="1:31" ht="15.75" hidden="1" customHeight="1">
      <c r="A636" s="336" t="str">
        <f>IF(B636&lt;&gt;"",IF(AND(B636='IN-TC'!$S$4,OR(TH!N636="1111",TH!O636="1111")),TH!D636,""),"")</f>
        <v/>
      </c>
      <c r="B636" s="63">
        <f t="shared" si="142"/>
        <v>7</v>
      </c>
      <c r="C636" s="80">
        <f t="shared" si="143"/>
        <v>42561</v>
      </c>
      <c r="D636" s="80" t="s">
        <v>941</v>
      </c>
      <c r="E636" s="80">
        <v>42561</v>
      </c>
      <c r="F636" s="81" t="s">
        <v>1987</v>
      </c>
      <c r="G636" s="81"/>
      <c r="H636" s="82" t="s">
        <v>388</v>
      </c>
      <c r="I636" s="437">
        <v>10790</v>
      </c>
      <c r="J636" s="438">
        <v>20000</v>
      </c>
      <c r="K636" s="428"/>
      <c r="L636" s="437"/>
      <c r="M636" s="83">
        <f t="shared" si="144"/>
        <v>215800000</v>
      </c>
      <c r="N636" s="84" t="s">
        <v>274</v>
      </c>
      <c r="O636" s="84" t="s">
        <v>8</v>
      </c>
      <c r="P636" s="84" t="str">
        <f>IF(AND('331-CT'!$E$7=TH!H636,OR(N636="331",O636="331")),"x","")</f>
        <v/>
      </c>
      <c r="Q636" s="84" t="str">
        <f>IF(AND(B636='111'!$L$11,OR($N636=$Q$7,$O636=$Q$7)),"x","")</f>
        <v/>
      </c>
      <c r="R636" s="84" t="str">
        <f>IF(AND($N636=$Q$7,$B636&lt;'111'!$L$11),"x","")</f>
        <v/>
      </c>
      <c r="S636" s="84" t="str">
        <f>IF(AND($O636=$Q$7,$B636&lt;'111'!$L$11),"x","")</f>
        <v/>
      </c>
      <c r="T636" s="84" t="str">
        <f>IF(ISERROR(FIND('112'!$M$9,G636,1)),"",IF((AND(FIND('112'!$M$9,G636,1)&gt;=1,B636='112'!$K$9,OR($N636='112'!$I$6,$O636='112'!$I$6))),"x",""))</f>
        <v/>
      </c>
      <c r="U636" s="84" t="str">
        <f>IF(ISERROR(FIND('112'!$M$9,G636,1)),"",IF((AND(LEFT(G636,2)=LEFT('112'!$M$9,2),B636&lt;'112'!$K$9,$N636='112'!$I$6)),"x",""))</f>
        <v/>
      </c>
      <c r="V636" s="84" t="str">
        <f>IF(ISERROR(FIND('112'!$M$9,G636,1)),"",IF((AND(RIGHT(G636,2)=RIGHT('112'!$M$9,2),B636&lt;'112'!$K$9,$O636='112'!$I$6)),"x",""))</f>
        <v/>
      </c>
      <c r="W636" s="84" t="str">
        <f>IF(AND('341-CT'!$H$9=H636,OR(LEFT(N636,3)=$W$7,LEFT(O636,3)=$W$7)),"x","")</f>
        <v/>
      </c>
      <c r="X636" s="84" t="str">
        <f>IF(OR(TH!N636=TH!$X$7,O636=TH!$X$7),"x","")</f>
        <v/>
      </c>
      <c r="Y636" s="84" t="str">
        <f>IF(AND(OR(N636="131",O636="131"),H636='131-CT'!$H$9),"x","")</f>
        <v/>
      </c>
      <c r="Z636" s="84"/>
      <c r="AA636" s="84" t="str">
        <f>IF(AND(MONTH(E636)='IN-NX'!$J$5,'IN-NX'!$D$7=D636),"x","")</f>
        <v/>
      </c>
      <c r="AB636" s="84" t="str">
        <f>IF(AND(OR(LEFT(TH!N636,2)="15",LEFT(TH!O636,2)="15"),LEFT(TH!O636,3)&lt;&gt;"111",'152-CT'!$J$8=TH!F636),"x","")</f>
        <v/>
      </c>
      <c r="AC636" s="84" t="str">
        <f>IF(AND(OR(LEFT(TH!N636,2)="15",LEFT(TH!O636,2)="15"),TK!$E$7=TH!F636),"x","")</f>
        <v/>
      </c>
      <c r="AD636" s="84" t="str">
        <f>IF(AND(N636="1521",MONTH(C636)='BK-NL'!$M$11),"x","")</f>
        <v/>
      </c>
      <c r="AE636" s="1146" t="str">
        <f t="shared" si="145"/>
        <v>x</v>
      </c>
    </row>
    <row r="637" spans="1:31" ht="15.75" hidden="1" customHeight="1">
      <c r="A637" s="336" t="str">
        <f>IF(B637&lt;&gt;"",IF(AND(B637='IN-TC'!$S$4,OR(TH!N637="1111",TH!O637="1111")),TH!D637,""),"")</f>
        <v/>
      </c>
      <c r="B637" s="63">
        <f t="shared" si="142"/>
        <v>7</v>
      </c>
      <c r="C637" s="80">
        <f t="shared" si="143"/>
        <v>42567</v>
      </c>
      <c r="D637" s="80" t="s">
        <v>951</v>
      </c>
      <c r="E637" s="80">
        <v>42567</v>
      </c>
      <c r="F637" s="81" t="s">
        <v>1987</v>
      </c>
      <c r="G637" s="81"/>
      <c r="H637" s="82" t="s">
        <v>391</v>
      </c>
      <c r="I637" s="437">
        <v>10120</v>
      </c>
      <c r="J637" s="438">
        <v>20000</v>
      </c>
      <c r="K637" s="428"/>
      <c r="L637" s="437"/>
      <c r="M637" s="83">
        <f t="shared" si="144"/>
        <v>202400000</v>
      </c>
      <c r="N637" s="84" t="s">
        <v>274</v>
      </c>
      <c r="O637" s="84" t="s">
        <v>8</v>
      </c>
      <c r="P637" s="84" t="str">
        <f>IF(AND('331-CT'!$E$7=TH!H637,OR(N637="331",O637="331")),"x","")</f>
        <v/>
      </c>
      <c r="Q637" s="84" t="str">
        <f>IF(AND(B637='111'!$L$11,OR($N637=$Q$7,$O637=$Q$7)),"x","")</f>
        <v/>
      </c>
      <c r="R637" s="84" t="str">
        <f>IF(AND($N637=$Q$7,$B637&lt;'111'!$L$11),"x","")</f>
        <v/>
      </c>
      <c r="S637" s="84" t="str">
        <f>IF(AND($O637=$Q$7,$B637&lt;'111'!$L$11),"x","")</f>
        <v/>
      </c>
      <c r="T637" s="84" t="str">
        <f>IF(ISERROR(FIND('112'!$M$9,G637,1)),"",IF((AND(FIND('112'!$M$9,G637,1)&gt;=1,B637='112'!$K$9,OR($N637='112'!$I$6,$O637='112'!$I$6))),"x",""))</f>
        <v/>
      </c>
      <c r="U637" s="84" t="str">
        <f>IF(ISERROR(FIND('112'!$M$9,G637,1)),"",IF((AND(LEFT(G637,2)=LEFT('112'!$M$9,2),B637&lt;'112'!$K$9,$N637='112'!$I$6)),"x",""))</f>
        <v/>
      </c>
      <c r="V637" s="84" t="str">
        <f>IF(ISERROR(FIND('112'!$M$9,G637,1)),"",IF((AND(RIGHT(G637,2)=RIGHT('112'!$M$9,2),B637&lt;'112'!$K$9,$O637='112'!$I$6)),"x",""))</f>
        <v/>
      </c>
      <c r="W637" s="84" t="str">
        <f>IF(AND('341-CT'!$H$9=H637,OR(LEFT(N637,3)=$W$7,LEFT(O637,3)=$W$7)),"x","")</f>
        <v/>
      </c>
      <c r="X637" s="84" t="str">
        <f>IF(OR(TH!N637=TH!$X$7,O637=TH!$X$7),"x","")</f>
        <v/>
      </c>
      <c r="Y637" s="84" t="str">
        <f>IF(AND(OR(N637="131",O637="131"),H637='131-CT'!$H$9),"x","")</f>
        <v/>
      </c>
      <c r="Z637" s="84"/>
      <c r="AA637" s="84" t="str">
        <f>IF(AND(MONTH(E637)='IN-NX'!$J$5,'IN-NX'!$D$7=D637),"x","")</f>
        <v/>
      </c>
      <c r="AB637" s="84" t="str">
        <f>IF(AND(OR(LEFT(TH!N637,2)="15",LEFT(TH!O637,2)="15"),LEFT(TH!O637,3)&lt;&gt;"111",'152-CT'!$J$8=TH!F637),"x","")</f>
        <v/>
      </c>
      <c r="AC637" s="84" t="str">
        <f>IF(AND(OR(LEFT(TH!N637,2)="15",LEFT(TH!O637,2)="15"),TK!$E$7=TH!F637),"x","")</f>
        <v/>
      </c>
      <c r="AD637" s="84" t="str">
        <f>IF(AND(N637="1521",MONTH(C637)='BK-NL'!$M$11),"x","")</f>
        <v/>
      </c>
      <c r="AE637" s="1146" t="str">
        <f t="shared" si="145"/>
        <v>x</v>
      </c>
    </row>
    <row r="638" spans="1:31" ht="15.75" hidden="1" customHeight="1">
      <c r="A638" s="336" t="str">
        <f>IF(B638&lt;&gt;"",IF(AND(B638='IN-TC'!$S$4,OR(TH!N638="1111",TH!O638="1111")),TH!D638,""),"")</f>
        <v/>
      </c>
      <c r="B638" s="63">
        <f t="shared" si="142"/>
        <v>7</v>
      </c>
      <c r="C638" s="80">
        <f t="shared" si="143"/>
        <v>42567</v>
      </c>
      <c r="D638" s="80" t="s">
        <v>952</v>
      </c>
      <c r="E638" s="80">
        <v>42567</v>
      </c>
      <c r="F638" s="81" t="s">
        <v>1987</v>
      </c>
      <c r="G638" s="81"/>
      <c r="H638" s="82" t="s">
        <v>393</v>
      </c>
      <c r="I638" s="437">
        <v>11460</v>
      </c>
      <c r="J638" s="438">
        <v>20000</v>
      </c>
      <c r="K638" s="428"/>
      <c r="L638" s="437"/>
      <c r="M638" s="83">
        <f t="shared" si="144"/>
        <v>229200000</v>
      </c>
      <c r="N638" s="84" t="s">
        <v>274</v>
      </c>
      <c r="O638" s="84" t="s">
        <v>8</v>
      </c>
      <c r="P638" s="84" t="str">
        <f>IF(AND('331-CT'!$E$7=TH!H638,OR(N638="331",O638="331")),"x","")</f>
        <v/>
      </c>
      <c r="Q638" s="84" t="str">
        <f>IF(AND(B638='111'!$L$11,OR($N638=$Q$7,$O638=$Q$7)),"x","")</f>
        <v/>
      </c>
      <c r="R638" s="84" t="str">
        <f>IF(AND($N638=$Q$7,$B638&lt;'111'!$L$11),"x","")</f>
        <v/>
      </c>
      <c r="S638" s="84" t="str">
        <f>IF(AND($O638=$Q$7,$B638&lt;'111'!$L$11),"x","")</f>
        <v/>
      </c>
      <c r="T638" s="84" t="str">
        <f>IF(ISERROR(FIND('112'!$M$9,G638,1)),"",IF((AND(FIND('112'!$M$9,G638,1)&gt;=1,B638='112'!$K$9,OR($N638='112'!$I$6,$O638='112'!$I$6))),"x",""))</f>
        <v/>
      </c>
      <c r="U638" s="84" t="str">
        <f>IF(ISERROR(FIND('112'!$M$9,G638,1)),"",IF((AND(LEFT(G638,2)=LEFT('112'!$M$9,2),B638&lt;'112'!$K$9,$N638='112'!$I$6)),"x",""))</f>
        <v/>
      </c>
      <c r="V638" s="84" t="str">
        <f>IF(ISERROR(FIND('112'!$M$9,G638,1)),"",IF((AND(RIGHT(G638,2)=RIGHT('112'!$M$9,2),B638&lt;'112'!$K$9,$O638='112'!$I$6)),"x",""))</f>
        <v/>
      </c>
      <c r="W638" s="84" t="str">
        <f>IF(AND('341-CT'!$H$9=H638,OR(LEFT(N638,3)=$W$7,LEFT(O638,3)=$W$7)),"x","")</f>
        <v/>
      </c>
      <c r="X638" s="84" t="str">
        <f>IF(OR(TH!N638=TH!$X$7,O638=TH!$X$7),"x","")</f>
        <v/>
      </c>
      <c r="Y638" s="84" t="str">
        <f>IF(AND(OR(N638="131",O638="131"),H638='131-CT'!$H$9),"x","")</f>
        <v/>
      </c>
      <c r="Z638" s="84"/>
      <c r="AA638" s="84" t="str">
        <f>IF(AND(MONTH(E638)='IN-NX'!$J$5,'IN-NX'!$D$7=D638),"x","")</f>
        <v/>
      </c>
      <c r="AB638" s="84" t="str">
        <f>IF(AND(OR(LEFT(TH!N638,2)="15",LEFT(TH!O638,2)="15"),LEFT(TH!O638,3)&lt;&gt;"111",'152-CT'!$J$8=TH!F638),"x","")</f>
        <v/>
      </c>
      <c r="AC638" s="84" t="str">
        <f>IF(AND(OR(LEFT(TH!N638,2)="15",LEFT(TH!O638,2)="15"),TK!$E$7=TH!F638),"x","")</f>
        <v/>
      </c>
      <c r="AD638" s="84" t="str">
        <f>IF(AND(N638="1521",MONTH(C638)='BK-NL'!$M$11),"x","")</f>
        <v/>
      </c>
      <c r="AE638" s="1146" t="str">
        <f t="shared" si="145"/>
        <v>x</v>
      </c>
    </row>
    <row r="639" spans="1:31" ht="15.75" hidden="1" customHeight="1">
      <c r="A639" s="336" t="str">
        <f>IF(B639&lt;&gt;"",IF(AND(B639='IN-TC'!$S$4,OR(TH!N639="1111",TH!O639="1111")),TH!D639,""),"")</f>
        <v/>
      </c>
      <c r="B639" s="63">
        <f t="shared" si="142"/>
        <v>7</v>
      </c>
      <c r="C639" s="80">
        <f t="shared" si="143"/>
        <v>42567</v>
      </c>
      <c r="D639" s="80" t="s">
        <v>953</v>
      </c>
      <c r="E639" s="80">
        <v>42567</v>
      </c>
      <c r="F639" s="81" t="s">
        <v>1987</v>
      </c>
      <c r="G639" s="81"/>
      <c r="H639" s="82" t="s">
        <v>383</v>
      </c>
      <c r="I639" s="437">
        <v>10256</v>
      </c>
      <c r="J639" s="438">
        <v>20000</v>
      </c>
      <c r="K639" s="428"/>
      <c r="L639" s="437"/>
      <c r="M639" s="83">
        <f t="shared" si="144"/>
        <v>205120000</v>
      </c>
      <c r="N639" s="84" t="s">
        <v>274</v>
      </c>
      <c r="O639" s="84" t="s">
        <v>8</v>
      </c>
      <c r="P639" s="84" t="str">
        <f>IF(AND('331-CT'!$E$7=TH!H639,OR(N639="331",O639="331")),"x","")</f>
        <v/>
      </c>
      <c r="Q639" s="84" t="str">
        <f>IF(AND(B639='111'!$L$11,OR($N639=$Q$7,$O639=$Q$7)),"x","")</f>
        <v/>
      </c>
      <c r="R639" s="84" t="str">
        <f>IF(AND($N639=$Q$7,$B639&lt;'111'!$L$11),"x","")</f>
        <v/>
      </c>
      <c r="S639" s="84" t="str">
        <f>IF(AND($O639=$Q$7,$B639&lt;'111'!$L$11),"x","")</f>
        <v/>
      </c>
      <c r="T639" s="84" t="str">
        <f>IF(ISERROR(FIND('112'!$M$9,G639,1)),"",IF((AND(FIND('112'!$M$9,G639,1)&gt;=1,B639='112'!$K$9,OR($N639='112'!$I$6,$O639='112'!$I$6))),"x",""))</f>
        <v/>
      </c>
      <c r="U639" s="84" t="str">
        <f>IF(ISERROR(FIND('112'!$M$9,G639,1)),"",IF((AND(LEFT(G639,2)=LEFT('112'!$M$9,2),B639&lt;'112'!$K$9,$N639='112'!$I$6)),"x",""))</f>
        <v/>
      </c>
      <c r="V639" s="84" t="str">
        <f>IF(ISERROR(FIND('112'!$M$9,G639,1)),"",IF((AND(RIGHT(G639,2)=RIGHT('112'!$M$9,2),B639&lt;'112'!$K$9,$O639='112'!$I$6)),"x",""))</f>
        <v/>
      </c>
      <c r="W639" s="84" t="str">
        <f>IF(AND('341-CT'!$H$9=H639,OR(LEFT(N639,3)=$W$7,LEFT(O639,3)=$W$7)),"x","")</f>
        <v/>
      </c>
      <c r="X639" s="84" t="str">
        <f>IF(OR(TH!N639=TH!$X$7,O639=TH!$X$7),"x","")</f>
        <v/>
      </c>
      <c r="Y639" s="84" t="str">
        <f>IF(AND(OR(N639="131",O639="131"),H639='131-CT'!$H$9),"x","")</f>
        <v/>
      </c>
      <c r="Z639" s="84"/>
      <c r="AA639" s="84" t="str">
        <f>IF(AND(MONTH(E639)='IN-NX'!$J$5,'IN-NX'!$D$7=D639),"x","")</f>
        <v/>
      </c>
      <c r="AB639" s="84" t="str">
        <f>IF(AND(OR(LEFT(TH!N639,2)="15",LEFT(TH!O639,2)="15"),LEFT(TH!O639,3)&lt;&gt;"111",'152-CT'!$J$8=TH!F639),"x","")</f>
        <v/>
      </c>
      <c r="AC639" s="84" t="str">
        <f>IF(AND(OR(LEFT(TH!N639,2)="15",LEFT(TH!O639,2)="15"),TK!$E$7=TH!F639),"x","")</f>
        <v/>
      </c>
      <c r="AD639" s="84" t="str">
        <f>IF(AND(N639="1521",MONTH(C639)='BK-NL'!$M$11),"x","")</f>
        <v/>
      </c>
      <c r="AE639" s="1146" t="str">
        <f t="shared" si="145"/>
        <v>x</v>
      </c>
    </row>
    <row r="640" spans="1:31" ht="15.75" hidden="1" customHeight="1">
      <c r="A640" s="336" t="str">
        <f>IF(B640&lt;&gt;"",IF(AND(B640='IN-TC'!$S$4,OR(TH!N640="1111",TH!O640="1111")),TH!D640,""),"")</f>
        <v/>
      </c>
      <c r="B640" s="63">
        <f t="shared" si="142"/>
        <v>7</v>
      </c>
      <c r="C640" s="80">
        <f t="shared" si="143"/>
        <v>42567</v>
      </c>
      <c r="D640" s="80" t="s">
        <v>954</v>
      </c>
      <c r="E640" s="80">
        <v>42567</v>
      </c>
      <c r="F640" s="81" t="s">
        <v>1987</v>
      </c>
      <c r="G640" s="81"/>
      <c r="H640" s="82" t="s">
        <v>391</v>
      </c>
      <c r="I640" s="437">
        <v>10460</v>
      </c>
      <c r="J640" s="438">
        <v>20000</v>
      </c>
      <c r="K640" s="428"/>
      <c r="L640" s="437"/>
      <c r="M640" s="83">
        <f t="shared" si="144"/>
        <v>209200000</v>
      </c>
      <c r="N640" s="84" t="s">
        <v>274</v>
      </c>
      <c r="O640" s="84" t="s">
        <v>8</v>
      </c>
      <c r="P640" s="84" t="str">
        <f>IF(AND('331-CT'!$E$7=TH!H640,OR(N640="331",O640="331")),"x","")</f>
        <v/>
      </c>
      <c r="Q640" s="84" t="str">
        <f>IF(AND(B640='111'!$L$11,OR($N640=$Q$7,$O640=$Q$7)),"x","")</f>
        <v/>
      </c>
      <c r="R640" s="84" t="str">
        <f>IF(AND($N640=$Q$7,$B640&lt;'111'!$L$11),"x","")</f>
        <v/>
      </c>
      <c r="S640" s="84" t="str">
        <f>IF(AND($O640=$Q$7,$B640&lt;'111'!$L$11),"x","")</f>
        <v/>
      </c>
      <c r="T640" s="84" t="str">
        <f>IF(ISERROR(FIND('112'!$M$9,G640,1)),"",IF((AND(FIND('112'!$M$9,G640,1)&gt;=1,B640='112'!$K$9,OR($N640='112'!$I$6,$O640='112'!$I$6))),"x",""))</f>
        <v/>
      </c>
      <c r="U640" s="84" t="str">
        <f>IF(ISERROR(FIND('112'!$M$9,G640,1)),"",IF((AND(LEFT(G640,2)=LEFT('112'!$M$9,2),B640&lt;'112'!$K$9,$N640='112'!$I$6)),"x",""))</f>
        <v/>
      </c>
      <c r="V640" s="84" t="str">
        <f>IF(ISERROR(FIND('112'!$M$9,G640,1)),"",IF((AND(RIGHT(G640,2)=RIGHT('112'!$M$9,2),B640&lt;'112'!$K$9,$O640='112'!$I$6)),"x",""))</f>
        <v/>
      </c>
      <c r="W640" s="84" t="str">
        <f>IF(AND('341-CT'!$H$9=H640,OR(LEFT(N640,3)=$W$7,LEFT(O640,3)=$W$7)),"x","")</f>
        <v/>
      </c>
      <c r="X640" s="84" t="str">
        <f>IF(OR(TH!N640=TH!$X$7,O640=TH!$X$7),"x","")</f>
        <v/>
      </c>
      <c r="Y640" s="84" t="str">
        <f>IF(AND(OR(N640="131",O640="131"),H640='131-CT'!$H$9),"x","")</f>
        <v/>
      </c>
      <c r="Z640" s="84"/>
      <c r="AA640" s="84" t="str">
        <f>IF(AND(MONTH(E640)='IN-NX'!$J$5,'IN-NX'!$D$7=D640),"x","")</f>
        <v/>
      </c>
      <c r="AB640" s="84" t="str">
        <f>IF(AND(OR(LEFT(TH!N640,2)="15",LEFT(TH!O640,2)="15"),LEFT(TH!O640,3)&lt;&gt;"111",'152-CT'!$J$8=TH!F640),"x","")</f>
        <v/>
      </c>
      <c r="AC640" s="84" t="str">
        <f>IF(AND(OR(LEFT(TH!N640,2)="15",LEFT(TH!O640,2)="15"),TK!$E$7=TH!F640),"x","")</f>
        <v/>
      </c>
      <c r="AD640" s="84" t="str">
        <f>IF(AND(N640="1521",MONTH(C640)='BK-NL'!$M$11),"x","")</f>
        <v/>
      </c>
      <c r="AE640" s="1146" t="str">
        <f t="shared" si="145"/>
        <v>x</v>
      </c>
    </row>
    <row r="641" spans="1:31" ht="15.75" hidden="1" customHeight="1">
      <c r="A641" s="336" t="str">
        <f>IF(B641&lt;&gt;"",IF(AND(B641='IN-TC'!$S$4,OR(TH!N641="1111",TH!O641="1111")),TH!D641,""),"")</f>
        <v/>
      </c>
      <c r="B641" s="63">
        <f>IF(C641&lt;&gt;"",MONTH(C641),"")</f>
        <v>7</v>
      </c>
      <c r="C641" s="80">
        <f>E641</f>
        <v>42570</v>
      </c>
      <c r="D641" s="80" t="s">
        <v>959</v>
      </c>
      <c r="E641" s="80">
        <v>42570</v>
      </c>
      <c r="F641" s="81" t="s">
        <v>1987</v>
      </c>
      <c r="G641" s="81"/>
      <c r="H641" s="82" t="s">
        <v>385</v>
      </c>
      <c r="I641" s="437">
        <v>11520</v>
      </c>
      <c r="J641" s="438">
        <v>20000</v>
      </c>
      <c r="K641" s="428"/>
      <c r="L641" s="437"/>
      <c r="M641" s="83">
        <f>ROUND(I641*J641,0)</f>
        <v>230400000</v>
      </c>
      <c r="N641" s="84" t="s">
        <v>274</v>
      </c>
      <c r="O641" s="84" t="s">
        <v>8</v>
      </c>
      <c r="P641" s="84" t="str">
        <f>IF(AND('331-CT'!$E$7=TH!H641,OR(N641="331",O641="331")),"x","")</f>
        <v/>
      </c>
      <c r="Q641" s="84" t="str">
        <f>IF(AND(B641='111'!$L$11,OR($N641=$Q$7,$O641=$Q$7)),"x","")</f>
        <v/>
      </c>
      <c r="R641" s="84" t="str">
        <f>IF(AND($N641=$Q$7,$B641&lt;'111'!$L$11),"x","")</f>
        <v/>
      </c>
      <c r="S641" s="84" t="str">
        <f>IF(AND($O641=$Q$7,$B641&lt;'111'!$L$11),"x","")</f>
        <v/>
      </c>
      <c r="T641" s="84" t="str">
        <f>IF(ISERROR(FIND('112'!$M$9,G641,1)),"",IF((AND(FIND('112'!$M$9,G641,1)&gt;=1,B641='112'!$K$9,OR($N641='112'!$I$6,$O641='112'!$I$6))),"x",""))</f>
        <v/>
      </c>
      <c r="U641" s="84" t="str">
        <f>IF(ISERROR(FIND('112'!$M$9,G641,1)),"",IF((AND(LEFT(G641,2)=LEFT('112'!$M$9,2),B641&lt;'112'!$K$9,$N641='112'!$I$6)),"x",""))</f>
        <v/>
      </c>
      <c r="V641" s="84" t="str">
        <f>IF(ISERROR(FIND('112'!$M$9,G641,1)),"",IF((AND(RIGHT(G641,2)=RIGHT('112'!$M$9,2),B641&lt;'112'!$K$9,$O641='112'!$I$6)),"x",""))</f>
        <v/>
      </c>
      <c r="W641" s="84" t="str">
        <f>IF(AND('341-CT'!$H$9=H641,OR(LEFT(N641,3)=$W$7,LEFT(O641,3)=$W$7)),"x","")</f>
        <v/>
      </c>
      <c r="X641" s="84" t="str">
        <f>IF(OR(TH!N641=TH!$X$7,O641=TH!$X$7),"x","")</f>
        <v/>
      </c>
      <c r="Y641" s="84" t="str">
        <f>IF(AND(OR(N641="131",O641="131"),H641='131-CT'!$H$9),"x","")</f>
        <v/>
      </c>
      <c r="Z641" s="84"/>
      <c r="AA641" s="84" t="str">
        <f>IF(AND(MONTH(E641)='IN-NX'!$J$5,'IN-NX'!$D$7=D641),"x","")</f>
        <v/>
      </c>
      <c r="AB641" s="84" t="str">
        <f>IF(AND(OR(LEFT(TH!N641,2)="15",LEFT(TH!O641,2)="15"),LEFT(TH!O641,3)&lt;&gt;"111",'152-CT'!$J$8=TH!F641),"x","")</f>
        <v/>
      </c>
      <c r="AC641" s="84" t="str">
        <f>IF(AND(OR(LEFT(TH!N641,2)="15",LEFT(TH!O641,2)="15"),TK!$E$7=TH!F641),"x","")</f>
        <v/>
      </c>
      <c r="AD641" s="84" t="str">
        <f>IF(AND(N641="1521",MONTH(C641)='BK-NL'!$M$11),"x","")</f>
        <v/>
      </c>
      <c r="AE641" s="1146" t="str">
        <f t="shared" si="145"/>
        <v>x</v>
      </c>
    </row>
    <row r="642" spans="1:31" ht="15.75" hidden="1" customHeight="1">
      <c r="A642" s="336" t="str">
        <f>IF(B642&lt;&gt;"",IF(AND(B642='IN-TC'!$S$4,OR(TH!N642="1111",TH!O642="1111")),TH!D642,""),"")</f>
        <v/>
      </c>
      <c r="B642" s="63">
        <f>IF(C642&lt;&gt;"",MONTH(C642),"")</f>
        <v>7</v>
      </c>
      <c r="C642" s="80">
        <f>E642</f>
        <v>42570</v>
      </c>
      <c r="D642" s="80" t="s">
        <v>960</v>
      </c>
      <c r="E642" s="80">
        <v>42570</v>
      </c>
      <c r="F642" s="81" t="s">
        <v>1987</v>
      </c>
      <c r="G642" s="81"/>
      <c r="H642" s="82" t="s">
        <v>1988</v>
      </c>
      <c r="I642" s="437">
        <v>10750</v>
      </c>
      <c r="J642" s="438">
        <v>20000</v>
      </c>
      <c r="K642" s="428"/>
      <c r="L642" s="437"/>
      <c r="M642" s="83">
        <f>ROUND(I642*J642,0)</f>
        <v>215000000</v>
      </c>
      <c r="N642" s="84" t="s">
        <v>274</v>
      </c>
      <c r="O642" s="84" t="s">
        <v>8</v>
      </c>
      <c r="P642" s="84" t="str">
        <f>IF(AND('331-CT'!$E$7=TH!H642,OR(N642="331",O642="331")),"x","")</f>
        <v/>
      </c>
      <c r="Q642" s="84" t="str">
        <f>IF(AND(B642='111'!$L$11,OR($N642=$Q$7,$O642=$Q$7)),"x","")</f>
        <v/>
      </c>
      <c r="R642" s="84" t="str">
        <f>IF(AND($N642=$Q$7,$B642&lt;'111'!$L$11),"x","")</f>
        <v/>
      </c>
      <c r="S642" s="84" t="str">
        <f>IF(AND($O642=$Q$7,$B642&lt;'111'!$L$11),"x","")</f>
        <v/>
      </c>
      <c r="T642" s="84" t="str">
        <f>IF(ISERROR(FIND('112'!$M$9,G642,1)),"",IF((AND(FIND('112'!$M$9,G642,1)&gt;=1,B642='112'!$K$9,OR($N642='112'!$I$6,$O642='112'!$I$6))),"x",""))</f>
        <v/>
      </c>
      <c r="U642" s="84" t="str">
        <f>IF(ISERROR(FIND('112'!$M$9,G642,1)),"",IF((AND(LEFT(G642,2)=LEFT('112'!$M$9,2),B642&lt;'112'!$K$9,$N642='112'!$I$6)),"x",""))</f>
        <v/>
      </c>
      <c r="V642" s="84" t="str">
        <f>IF(ISERROR(FIND('112'!$M$9,G642,1)),"",IF((AND(RIGHT(G642,2)=RIGHT('112'!$M$9,2),B642&lt;'112'!$K$9,$O642='112'!$I$6)),"x",""))</f>
        <v/>
      </c>
      <c r="W642" s="84" t="str">
        <f>IF(AND('341-CT'!$H$9=H642,OR(LEFT(N642,3)=$W$7,LEFT(O642,3)=$W$7)),"x","")</f>
        <v/>
      </c>
      <c r="X642" s="84" t="str">
        <f>IF(OR(TH!N642=TH!$X$7,O642=TH!$X$7),"x","")</f>
        <v/>
      </c>
      <c r="Y642" s="84" t="str">
        <f>IF(AND(OR(N642="131",O642="131"),H642='131-CT'!$H$9),"x","")</f>
        <v/>
      </c>
      <c r="Z642" s="84"/>
      <c r="AA642" s="84" t="str">
        <f>IF(AND(MONTH(E642)='IN-NX'!$J$5,'IN-NX'!$D$7=D642),"x","")</f>
        <v/>
      </c>
      <c r="AB642" s="84" t="str">
        <f>IF(AND(OR(LEFT(TH!N642,2)="15",LEFT(TH!O642,2)="15"),LEFT(TH!O642,3)&lt;&gt;"111",'152-CT'!$J$8=TH!F642),"x","")</f>
        <v/>
      </c>
      <c r="AC642" s="84" t="str">
        <f>IF(AND(OR(LEFT(TH!N642,2)="15",LEFT(TH!O642,2)="15"),TK!$E$7=TH!F642),"x","")</f>
        <v/>
      </c>
      <c r="AD642" s="84" t="str">
        <f>IF(AND(N642="1521",MONTH(C642)='BK-NL'!$M$11),"x","")</f>
        <v/>
      </c>
      <c r="AE642" s="1146" t="str">
        <f t="shared" si="145"/>
        <v>x</v>
      </c>
    </row>
    <row r="643" spans="1:31" ht="15.75" hidden="1" customHeight="1">
      <c r="A643" s="336" t="str">
        <f>IF(B643&lt;&gt;"",IF(AND(B643='IN-TC'!$S$4,OR(TH!N643="1111",TH!O643="1111")),TH!D643,""),"")</f>
        <v/>
      </c>
      <c r="B643" s="63">
        <f>IF(C643&lt;&gt;"",MONTH(C643),"")</f>
        <v>7</v>
      </c>
      <c r="C643" s="80">
        <f>E643</f>
        <v>42570</v>
      </c>
      <c r="D643" s="80" t="s">
        <v>961</v>
      </c>
      <c r="E643" s="80">
        <v>42570</v>
      </c>
      <c r="F643" s="81" t="s">
        <v>1987</v>
      </c>
      <c r="G643" s="81"/>
      <c r="H643" s="82" t="s">
        <v>383</v>
      </c>
      <c r="I643" s="437">
        <v>10896</v>
      </c>
      <c r="J643" s="438">
        <v>20000</v>
      </c>
      <c r="K643" s="428"/>
      <c r="L643" s="437"/>
      <c r="M643" s="83">
        <f>ROUND(I643*J643,0)</f>
        <v>217920000</v>
      </c>
      <c r="N643" s="84" t="s">
        <v>274</v>
      </c>
      <c r="O643" s="84" t="s">
        <v>8</v>
      </c>
      <c r="P643" s="84" t="str">
        <f>IF(AND('331-CT'!$E$7=TH!H643,OR(N643="331",O643="331")),"x","")</f>
        <v/>
      </c>
      <c r="Q643" s="84" t="str">
        <f>IF(AND(B643='111'!$L$11,OR($N643=$Q$7,$O643=$Q$7)),"x","")</f>
        <v/>
      </c>
      <c r="R643" s="84" t="str">
        <f>IF(AND($N643=$Q$7,$B643&lt;'111'!$L$11),"x","")</f>
        <v/>
      </c>
      <c r="S643" s="84" t="str">
        <f>IF(AND($O643=$Q$7,$B643&lt;'111'!$L$11),"x","")</f>
        <v/>
      </c>
      <c r="T643" s="84" t="str">
        <f>IF(ISERROR(FIND('112'!$M$9,G643,1)),"",IF((AND(FIND('112'!$M$9,G643,1)&gt;=1,B643='112'!$K$9,OR($N643='112'!$I$6,$O643='112'!$I$6))),"x",""))</f>
        <v/>
      </c>
      <c r="U643" s="84" t="str">
        <f>IF(ISERROR(FIND('112'!$M$9,G643,1)),"",IF((AND(LEFT(G643,2)=LEFT('112'!$M$9,2),B643&lt;'112'!$K$9,$N643='112'!$I$6)),"x",""))</f>
        <v/>
      </c>
      <c r="V643" s="84" t="str">
        <f>IF(ISERROR(FIND('112'!$M$9,G643,1)),"",IF((AND(RIGHT(G643,2)=RIGHT('112'!$M$9,2),B643&lt;'112'!$K$9,$O643='112'!$I$6)),"x",""))</f>
        <v/>
      </c>
      <c r="W643" s="84" t="str">
        <f>IF(AND('341-CT'!$H$9=H643,OR(LEFT(N643,3)=$W$7,LEFT(O643,3)=$W$7)),"x","")</f>
        <v/>
      </c>
      <c r="X643" s="84" t="str">
        <f>IF(OR(TH!N643=TH!$X$7,O643=TH!$X$7),"x","")</f>
        <v/>
      </c>
      <c r="Y643" s="84" t="str">
        <f>IF(AND(OR(N643="131",O643="131"),H643='131-CT'!$H$9),"x","")</f>
        <v/>
      </c>
      <c r="Z643" s="84"/>
      <c r="AA643" s="84" t="str">
        <f>IF(AND(MONTH(E643)='IN-NX'!$J$5,'IN-NX'!$D$7=D643),"x","")</f>
        <v/>
      </c>
      <c r="AB643" s="84" t="str">
        <f>IF(AND(OR(LEFT(TH!N643,2)="15",LEFT(TH!O643,2)="15"),LEFT(TH!O643,3)&lt;&gt;"111",'152-CT'!$J$8=TH!F643),"x","")</f>
        <v/>
      </c>
      <c r="AC643" s="84" t="str">
        <f>IF(AND(OR(LEFT(TH!N643,2)="15",LEFT(TH!O643,2)="15"),TK!$E$7=TH!F643),"x","")</f>
        <v/>
      </c>
      <c r="AD643" s="84" t="str">
        <f>IF(AND(N643="1521",MONTH(C643)='BK-NL'!$M$11),"x","")</f>
        <v/>
      </c>
      <c r="AE643" s="1146" t="str">
        <f t="shared" si="145"/>
        <v>x</v>
      </c>
    </row>
    <row r="644" spans="1:31" ht="15.75" hidden="1" customHeight="1">
      <c r="A644" s="336" t="str">
        <f>IF(B644&lt;&gt;"",IF(AND(B644='IN-TC'!$S$4,OR(TH!N644="1111",TH!O644="1111")),TH!D644,""),"")</f>
        <v/>
      </c>
      <c r="B644" s="63">
        <f t="shared" si="142"/>
        <v>7</v>
      </c>
      <c r="C644" s="80">
        <f t="shared" ref="C644:C673" si="146">E644</f>
        <v>42570</v>
      </c>
      <c r="D644" s="80" t="s">
        <v>1969</v>
      </c>
      <c r="E644" s="80">
        <v>42570</v>
      </c>
      <c r="F644" s="81" t="s">
        <v>1987</v>
      </c>
      <c r="G644" s="81"/>
      <c r="H644" s="82" t="s">
        <v>391</v>
      </c>
      <c r="I644" s="437">
        <v>11048</v>
      </c>
      <c r="J644" s="438">
        <v>20000</v>
      </c>
      <c r="K644" s="428"/>
      <c r="L644" s="437"/>
      <c r="M644" s="83">
        <f t="shared" ref="M644:M673" si="147">ROUND(I644*J644,0)</f>
        <v>220960000</v>
      </c>
      <c r="N644" s="84" t="s">
        <v>274</v>
      </c>
      <c r="O644" s="84" t="s">
        <v>8</v>
      </c>
      <c r="P644" s="84" t="str">
        <f>IF(AND('331-CT'!$E$7=TH!H644,OR(N644="331",O644="331")),"x","")</f>
        <v/>
      </c>
      <c r="Q644" s="84" t="str">
        <f>IF(AND(B644='111'!$L$11,OR($N644=$Q$7,$O644=$Q$7)),"x","")</f>
        <v/>
      </c>
      <c r="R644" s="84" t="str">
        <f>IF(AND($N644=$Q$7,$B644&lt;'111'!$L$11),"x","")</f>
        <v/>
      </c>
      <c r="S644" s="84" t="str">
        <f>IF(AND($O644=$Q$7,$B644&lt;'111'!$L$11),"x","")</f>
        <v/>
      </c>
      <c r="T644" s="84" t="str">
        <f>IF(ISERROR(FIND('112'!$M$9,G644,1)),"",IF((AND(FIND('112'!$M$9,G644,1)&gt;=1,B644='112'!$K$9,OR($N644='112'!$I$6,$O644='112'!$I$6))),"x",""))</f>
        <v/>
      </c>
      <c r="U644" s="84" t="str">
        <f>IF(ISERROR(FIND('112'!$M$9,G644,1)),"",IF((AND(LEFT(G644,2)=LEFT('112'!$M$9,2),B644&lt;'112'!$K$9,$N644='112'!$I$6)),"x",""))</f>
        <v/>
      </c>
      <c r="V644" s="84" t="str">
        <f>IF(ISERROR(FIND('112'!$M$9,G644,1)),"",IF((AND(RIGHT(G644,2)=RIGHT('112'!$M$9,2),B644&lt;'112'!$K$9,$O644='112'!$I$6)),"x",""))</f>
        <v/>
      </c>
      <c r="W644" s="84" t="str">
        <f>IF(AND('341-CT'!$H$9=H644,OR(LEFT(N644,3)=$W$7,LEFT(O644,3)=$W$7)),"x","")</f>
        <v/>
      </c>
      <c r="X644" s="84" t="str">
        <f>IF(OR(TH!N644=TH!$X$7,O644=TH!$X$7),"x","")</f>
        <v/>
      </c>
      <c r="Y644" s="84" t="str">
        <f>IF(AND(OR(N644="131",O644="131"),H644='131-CT'!$H$9),"x","")</f>
        <v/>
      </c>
      <c r="Z644" s="84"/>
      <c r="AA644" s="84" t="str">
        <f>IF(AND(MONTH(E644)='IN-NX'!$J$5,'IN-NX'!$D$7=D644),"x","")</f>
        <v/>
      </c>
      <c r="AB644" s="84" t="str">
        <f>IF(AND(OR(LEFT(TH!N644,2)="15",LEFT(TH!O644,2)="15"),LEFT(TH!O644,3)&lt;&gt;"111",'152-CT'!$J$8=TH!F644),"x","")</f>
        <v/>
      </c>
      <c r="AC644" s="84" t="str">
        <f>IF(AND(OR(LEFT(TH!N644,2)="15",LEFT(TH!O644,2)="15"),TK!$E$7=TH!F644),"x","")</f>
        <v/>
      </c>
      <c r="AD644" s="84" t="str">
        <f>IF(AND(N644="1521",MONTH(C644)='BK-NL'!$M$11),"x","")</f>
        <v/>
      </c>
      <c r="AE644" s="1146" t="str">
        <f t="shared" si="145"/>
        <v>x</v>
      </c>
    </row>
    <row r="645" spans="1:31" s="341" customFormat="1" ht="15.75" hidden="1" customHeight="1">
      <c r="A645" s="336" t="str">
        <f>IF(B645&lt;&gt;"",IF(AND(B645='IN-TC'!$S$4,OR(TH!N645="1111",TH!O645="1111")),TH!D645,""),"")</f>
        <v/>
      </c>
      <c r="B645" s="63">
        <f t="shared" si="142"/>
        <v>7</v>
      </c>
      <c r="C645" s="94">
        <f t="shared" si="146"/>
        <v>42561</v>
      </c>
      <c r="D645" s="94" t="s">
        <v>694</v>
      </c>
      <c r="E645" s="94">
        <v>42561</v>
      </c>
      <c r="F645" s="95" t="s">
        <v>1987</v>
      </c>
      <c r="G645" s="95"/>
      <c r="H645" s="96" t="s">
        <v>449</v>
      </c>
      <c r="I645" s="1188">
        <v>43490</v>
      </c>
      <c r="J645" s="1187">
        <v>20000</v>
      </c>
      <c r="K645" s="1189"/>
      <c r="L645" s="1188"/>
      <c r="M645" s="97">
        <f t="shared" si="147"/>
        <v>869800000</v>
      </c>
      <c r="N645" s="85" t="s">
        <v>282</v>
      </c>
      <c r="O645" s="85" t="s">
        <v>274</v>
      </c>
      <c r="P645" s="84" t="str">
        <f>IF(AND('331-CT'!$E$7=TH!H645,OR(N645="331",O645="331")),"x","")</f>
        <v/>
      </c>
      <c r="Q645" s="84" t="str">
        <f>IF(AND(B645='111'!$L$11,OR($N645=$Q$7,$O645=$Q$7)),"x","")</f>
        <v/>
      </c>
      <c r="R645" s="84" t="str">
        <f>IF(AND($N645=$Q$7,$B645&lt;'111'!$L$11),"x","")</f>
        <v/>
      </c>
      <c r="S645" s="84" t="str">
        <f>IF(AND($O645=$Q$7,$B645&lt;'111'!$L$11),"x","")</f>
        <v/>
      </c>
      <c r="T645" s="84" t="str">
        <f>IF(ISERROR(FIND('112'!$M$9,G645,1)),"",IF((AND(FIND('112'!$M$9,G645,1)&gt;=1,B645='112'!$K$9,OR($N645='112'!$I$6,$O645='112'!$I$6))),"x",""))</f>
        <v/>
      </c>
      <c r="U645" s="84" t="str">
        <f>IF(ISERROR(FIND('112'!$M$9,G645,1)),"",IF((AND(LEFT(G645,2)=LEFT('112'!$M$9,2),B645&lt;'112'!$K$9,$N645='112'!$I$6)),"x",""))</f>
        <v/>
      </c>
      <c r="V645" s="84" t="str">
        <f>IF(ISERROR(FIND('112'!$M$9,G645,1)),"",IF((AND(RIGHT(G645,2)=RIGHT('112'!$M$9,2),B645&lt;'112'!$K$9,$O645='112'!$I$6)),"x",""))</f>
        <v/>
      </c>
      <c r="W645" s="84" t="str">
        <f>IF(AND('341-CT'!$H$9=H645,OR(LEFT(N645,3)=$W$7,LEFT(O645,3)=$W$7)),"x","")</f>
        <v/>
      </c>
      <c r="X645" s="84" t="str">
        <f>IF(OR(TH!N645=TH!$X$7,O645=TH!$X$7),"x","")</f>
        <v/>
      </c>
      <c r="Y645" s="84" t="str">
        <f>IF(AND(OR(N645="131",O645="131"),H645='131-CT'!$H$9),"x","")</f>
        <v/>
      </c>
      <c r="Z645" s="84"/>
      <c r="AA645" s="84" t="str">
        <f>IF(AND(MONTH(E645)='IN-NX'!$J$5,'IN-NX'!$D$7=D645),"x","")</f>
        <v/>
      </c>
      <c r="AB645" s="84" t="str">
        <f>IF(AND(OR(LEFT(TH!N645,2)="15",LEFT(TH!O645,2)="15"),LEFT(TH!O645,3)&lt;&gt;"111",'152-CT'!$J$8=TH!F645),"x","")</f>
        <v/>
      </c>
      <c r="AC645" s="84" t="str">
        <f>IF(AND(OR(LEFT(TH!N645,2)="15",LEFT(TH!O645,2)="15"),TK!$E$7=TH!F645),"x","")</f>
        <v/>
      </c>
      <c r="AD645" s="84" t="str">
        <f>IF(AND(N645="1521",MONTH(C645)='BK-NL'!$M$11),"x","")</f>
        <v/>
      </c>
    </row>
    <row r="646" spans="1:31" s="341" customFormat="1" ht="15.75" hidden="1" customHeight="1">
      <c r="A646" s="336" t="str">
        <f>IF(B646&lt;&gt;"",IF(AND(B646='IN-TC'!$S$4,OR(TH!N646="1111",TH!O646="1111")),TH!D646,""),"")</f>
        <v/>
      </c>
      <c r="B646" s="63">
        <f t="shared" si="142"/>
        <v>7</v>
      </c>
      <c r="C646" s="94">
        <f t="shared" si="146"/>
        <v>42567</v>
      </c>
      <c r="D646" s="94" t="s">
        <v>696</v>
      </c>
      <c r="E646" s="94">
        <v>42567</v>
      </c>
      <c r="F646" s="95" t="s">
        <v>1987</v>
      </c>
      <c r="G646" s="1148"/>
      <c r="H646" s="96" t="s">
        <v>449</v>
      </c>
      <c r="I646" s="1188">
        <v>42296</v>
      </c>
      <c r="J646" s="1187">
        <v>20000</v>
      </c>
      <c r="K646" s="1189"/>
      <c r="L646" s="1188"/>
      <c r="M646" s="97">
        <f t="shared" si="147"/>
        <v>845920000</v>
      </c>
      <c r="N646" s="85" t="s">
        <v>282</v>
      </c>
      <c r="O646" s="85" t="s">
        <v>274</v>
      </c>
      <c r="P646" s="84" t="str">
        <f>IF(AND('331-CT'!$E$7=TH!H646,OR(N646="331",O646="331")),"x","")</f>
        <v/>
      </c>
      <c r="Q646" s="84" t="str">
        <f>IF(AND(B646='111'!$L$11,OR($N646=$Q$7,$O646=$Q$7)),"x","")</f>
        <v/>
      </c>
      <c r="R646" s="84" t="str">
        <f>IF(AND($N646=$Q$7,$B646&lt;'111'!$L$11),"x","")</f>
        <v/>
      </c>
      <c r="S646" s="84" t="str">
        <f>IF(AND($O646=$Q$7,$B646&lt;'111'!$L$11),"x","")</f>
        <v/>
      </c>
      <c r="T646" s="84" t="str">
        <f>IF(ISERROR(FIND('112'!$M$9,G646,1)),"",IF((AND(FIND('112'!$M$9,G646,1)&gt;=1,B646='112'!$K$9,OR($N646='112'!$I$6,$O646='112'!$I$6))),"x",""))</f>
        <v/>
      </c>
      <c r="U646" s="84" t="str">
        <f>IF(ISERROR(FIND('112'!$M$9,G646,1)),"",IF((AND(LEFT(G646,2)=LEFT('112'!$M$9,2),B646&lt;'112'!$K$9,$N646='112'!$I$6)),"x",""))</f>
        <v/>
      </c>
      <c r="V646" s="84" t="str">
        <f>IF(ISERROR(FIND('112'!$M$9,G646,1)),"",IF((AND(RIGHT(G646,2)=RIGHT('112'!$M$9,2),B646&lt;'112'!$K$9,$O646='112'!$I$6)),"x",""))</f>
        <v/>
      </c>
      <c r="W646" s="84" t="str">
        <f>IF(AND('341-CT'!$H$9=H646,OR(LEFT(N646,3)=$W$7,LEFT(O646,3)=$W$7)),"x","")</f>
        <v/>
      </c>
      <c r="X646" s="84" t="str">
        <f>IF(OR(TH!N646=TH!$X$7,O646=TH!$X$7),"x","")</f>
        <v/>
      </c>
      <c r="Y646" s="84" t="str">
        <f>IF(AND(OR(N646="131",O646="131"),H646='131-CT'!$H$9),"x","")</f>
        <v/>
      </c>
      <c r="Z646" s="84"/>
      <c r="AA646" s="84" t="str">
        <f>IF(AND(MONTH(E646)='IN-NX'!$J$5,'IN-NX'!$D$7=D646),"x","")</f>
        <v/>
      </c>
      <c r="AB646" s="84" t="str">
        <f>IF(AND(OR(LEFT(TH!N646,2)="15",LEFT(TH!O646,2)="15"),LEFT(TH!O646,3)&lt;&gt;"111",'152-CT'!$J$8=TH!F646),"x","")</f>
        <v/>
      </c>
      <c r="AC646" s="84" t="str">
        <f>IF(AND(OR(LEFT(TH!N646,2)="15",LEFT(TH!O646,2)="15"),TK!$E$7=TH!F646),"x","")</f>
        <v/>
      </c>
      <c r="AD646" s="84" t="str">
        <f>IF(AND(N646="1521",MONTH(C646)='BK-NL'!$M$11),"x","")</f>
        <v/>
      </c>
    </row>
    <row r="647" spans="1:31" s="341" customFormat="1" ht="15.75" hidden="1" customHeight="1">
      <c r="A647" s="336" t="str">
        <f>IF(B647&lt;&gt;"",IF(AND(B647='IN-TC'!$S$4,OR(TH!N647="1111",TH!O647="1111")),TH!D647,""),"")</f>
        <v/>
      </c>
      <c r="B647" s="63">
        <f t="shared" si="142"/>
        <v>7</v>
      </c>
      <c r="C647" s="94">
        <f t="shared" si="146"/>
        <v>42570</v>
      </c>
      <c r="D647" s="94" t="s">
        <v>945</v>
      </c>
      <c r="E647" s="94">
        <v>42570</v>
      </c>
      <c r="F647" s="95" t="s">
        <v>1987</v>
      </c>
      <c r="G647" s="95"/>
      <c r="H647" s="96" t="s">
        <v>449</v>
      </c>
      <c r="I647" s="445">
        <v>44214</v>
      </c>
      <c r="J647" s="1187">
        <v>20000</v>
      </c>
      <c r="K647" s="436"/>
      <c r="L647" s="445"/>
      <c r="M647" s="97">
        <f t="shared" si="147"/>
        <v>884280000</v>
      </c>
      <c r="N647" s="85" t="s">
        <v>282</v>
      </c>
      <c r="O647" s="85" t="s">
        <v>274</v>
      </c>
      <c r="P647" s="84" t="str">
        <f>IF(AND('331-CT'!$E$7=TH!H647,OR(N647="331",O647="331")),"x","")</f>
        <v/>
      </c>
      <c r="Q647" s="84" t="str">
        <f>IF(AND(B647='111'!$L$11,OR($N647=$Q$7,$O647=$Q$7)),"x","")</f>
        <v/>
      </c>
      <c r="R647" s="84" t="str">
        <f>IF(AND($N647=$Q$7,$B647&lt;'111'!$L$11),"x","")</f>
        <v/>
      </c>
      <c r="S647" s="84" t="str">
        <f>IF(AND($O647=$Q$7,$B647&lt;'111'!$L$11),"x","")</f>
        <v/>
      </c>
      <c r="T647" s="84" t="str">
        <f>IF(ISERROR(FIND('112'!$M$9,G647,1)),"",IF((AND(FIND('112'!$M$9,G647,1)&gt;=1,B647='112'!$K$9,OR($N647='112'!$I$6,$O647='112'!$I$6))),"x",""))</f>
        <v/>
      </c>
      <c r="U647" s="84" t="str">
        <f>IF(ISERROR(FIND('112'!$M$9,G647,1)),"",IF((AND(LEFT(G647,2)=LEFT('112'!$M$9,2),B647&lt;'112'!$K$9,$N647='112'!$I$6)),"x",""))</f>
        <v/>
      </c>
      <c r="V647" s="84" t="str">
        <f>IF(ISERROR(FIND('112'!$M$9,G647,1)),"",IF((AND(RIGHT(G647,2)=RIGHT('112'!$M$9,2),B647&lt;'112'!$K$9,$O647='112'!$I$6)),"x",""))</f>
        <v/>
      </c>
      <c r="W647" s="84" t="str">
        <f>IF(AND('341-CT'!$H$9=H647,OR(LEFT(N647,3)=$W$7,LEFT(O647,3)=$W$7)),"x","")</f>
        <v/>
      </c>
      <c r="X647" s="84" t="str">
        <f>IF(OR(TH!N647=TH!$X$7,O647=TH!$X$7),"x","")</f>
        <v/>
      </c>
      <c r="Y647" s="84" t="str">
        <f>IF(AND(OR(N647="131",O647="131"),H647='131-CT'!$H$9),"x","")</f>
        <v/>
      </c>
      <c r="Z647" s="84"/>
      <c r="AA647" s="84" t="str">
        <f>IF(AND(MONTH(E647)='IN-NX'!$J$5,'IN-NX'!$D$7=D647),"x","")</f>
        <v/>
      </c>
      <c r="AB647" s="84" t="str">
        <f>IF(AND(OR(LEFT(TH!N647,2)="15",LEFT(TH!O647,2)="15"),LEFT(TH!O647,3)&lt;&gt;"111",'152-CT'!$J$8=TH!F647),"x","")</f>
        <v/>
      </c>
      <c r="AC647" s="84" t="str">
        <f>IF(AND(OR(LEFT(TH!N647,2)="15",LEFT(TH!O647,2)="15"),TK!$E$7=TH!F647),"x","")</f>
        <v/>
      </c>
      <c r="AD647" s="84" t="str">
        <f>IF(AND(N647="1521",MONTH(C647)='BK-NL'!$M$11),"x","")</f>
        <v/>
      </c>
    </row>
    <row r="648" spans="1:31" ht="15.75" hidden="1" customHeight="1">
      <c r="A648" s="336" t="str">
        <f>IF(B648&lt;&gt;"",IF(AND(B648='IN-TC'!$S$4,OR(TH!N648="1111",TH!O648="1111")),TH!D648,""),"")</f>
        <v/>
      </c>
      <c r="B648" s="63">
        <f t="shared" ref="B648:B660" si="148">IF(C648&lt;&gt;"",MONTH(C648),"")</f>
        <v>7</v>
      </c>
      <c r="C648" s="80">
        <f t="shared" ref="C648:C658" si="149">E648</f>
        <v>42552</v>
      </c>
      <c r="D648" s="80" t="s">
        <v>938</v>
      </c>
      <c r="E648" s="80">
        <v>42552</v>
      </c>
      <c r="F648" s="81" t="s">
        <v>1962</v>
      </c>
      <c r="G648" s="81"/>
      <c r="H648" s="89" t="s">
        <v>433</v>
      </c>
      <c r="I648" s="438">
        <v>7790</v>
      </c>
      <c r="J648" s="438">
        <v>11000</v>
      </c>
      <c r="K648" s="429"/>
      <c r="L648" s="438"/>
      <c r="M648" s="83">
        <f t="shared" ref="M648:M658" si="150">ROUND(I648*J648,0)</f>
        <v>85690000</v>
      </c>
      <c r="N648" s="84" t="s">
        <v>274</v>
      </c>
      <c r="O648" s="84" t="s">
        <v>8</v>
      </c>
      <c r="P648" s="84" t="str">
        <f>IF(AND('331-CT'!$E$7=TH!H648,OR(N648="331",O648="331")),"x","")</f>
        <v/>
      </c>
      <c r="Q648" s="84" t="str">
        <f>IF(AND(B648='111'!$L$11,OR($N648=$Q$7,$O648=$Q$7)),"x","")</f>
        <v/>
      </c>
      <c r="R648" s="84" t="str">
        <f>IF(AND($N648=$Q$7,$B648&lt;'111'!$L$11),"x","")</f>
        <v/>
      </c>
      <c r="S648" s="84" t="str">
        <f>IF(AND($O648=$Q$7,$B648&lt;'111'!$L$11),"x","")</f>
        <v/>
      </c>
      <c r="T648" s="84" t="str">
        <f>IF(ISERROR(FIND('112'!$M$9,G648,1)),"",IF((AND(FIND('112'!$M$9,G648,1)&gt;=1,B648='112'!$K$9,OR($N648='112'!$I$6,$O648='112'!$I$6))),"x",""))</f>
        <v/>
      </c>
      <c r="U648" s="84" t="str">
        <f>IF(ISERROR(FIND('112'!$M$9,G648,1)),"",IF((AND(LEFT(G648,2)=LEFT('112'!$M$9,2),B648&lt;'112'!$K$9,$N648='112'!$I$6)),"x",""))</f>
        <v/>
      </c>
      <c r="V648" s="84" t="str">
        <f>IF(ISERROR(FIND('112'!$M$9,G648,1)),"",IF((AND(RIGHT(G648,2)=RIGHT('112'!$M$9,2),B648&lt;'112'!$K$9,$O648='112'!$I$6)),"x",""))</f>
        <v/>
      </c>
      <c r="W648" s="84" t="str">
        <f>IF(AND('341-CT'!$H$9=H648,OR(LEFT(N648,3)=$W$7,LEFT(O648,3)=$W$7)),"x","")</f>
        <v/>
      </c>
      <c r="X648" s="84" t="str">
        <f>IF(OR(TH!N648=TH!$X$7,O648=TH!$X$7),"x","")</f>
        <v/>
      </c>
      <c r="Y648" s="84" t="str">
        <f>IF(AND(OR(N648="131",O648="131"),H648='131-CT'!$H$9),"x","")</f>
        <v/>
      </c>
      <c r="Z648" s="84"/>
      <c r="AA648" s="84" t="str">
        <f>IF(AND(MONTH(E648)='IN-NX'!$J$5,'IN-NX'!$D$7=D648),"x","")</f>
        <v/>
      </c>
      <c r="AB648" s="84" t="str">
        <f>IF(AND(OR(LEFT(TH!N648,2)="15",LEFT(TH!O648,2)="15"),LEFT(TH!O648,3)&lt;&gt;"111",'152-CT'!$J$8=TH!F648),"x","")</f>
        <v/>
      </c>
      <c r="AC648" s="84" t="str">
        <f>IF(AND(OR(LEFT(TH!N648,2)="15",LEFT(TH!O648,2)="15"),TK!$E$7=TH!F648),"x","")</f>
        <v/>
      </c>
      <c r="AD648" s="84" t="str">
        <f>IF(AND(N648="1521",MONTH(C648)='BK-NL'!$M$11),"x","")</f>
        <v/>
      </c>
      <c r="AE648" s="1146" t="str">
        <f t="shared" ref="AE648:AE659" si="151">IF(H648&lt;&gt;VLOOKUP(H648,DSKH,1,0),"","x")</f>
        <v>x</v>
      </c>
    </row>
    <row r="649" spans="1:31" ht="15.75" hidden="1" customHeight="1">
      <c r="A649" s="336" t="str">
        <f>IF(B649&lt;&gt;"",IF(AND(B649='IN-TC'!$S$4,OR(TH!N649="1111",TH!O649="1111")),TH!D649,""),"")</f>
        <v/>
      </c>
      <c r="B649" s="63">
        <f t="shared" si="148"/>
        <v>7</v>
      </c>
      <c r="C649" s="80">
        <f t="shared" si="149"/>
        <v>42552</v>
      </c>
      <c r="D649" s="80" t="s">
        <v>939</v>
      </c>
      <c r="E649" s="80">
        <v>42552</v>
      </c>
      <c r="F649" s="81" t="s">
        <v>1962</v>
      </c>
      <c r="G649" s="81"/>
      <c r="H649" s="82" t="s">
        <v>1981</v>
      </c>
      <c r="I649" s="437">
        <v>7890</v>
      </c>
      <c r="J649" s="438">
        <v>11000</v>
      </c>
      <c r="K649" s="428"/>
      <c r="L649" s="437"/>
      <c r="M649" s="83">
        <f t="shared" si="150"/>
        <v>86790000</v>
      </c>
      <c r="N649" s="84" t="s">
        <v>274</v>
      </c>
      <c r="O649" s="84" t="s">
        <v>8</v>
      </c>
      <c r="P649" s="84" t="str">
        <f>IF(AND('331-CT'!$E$7=TH!H649,OR(N649="331",O649="331")),"x","")</f>
        <v/>
      </c>
      <c r="Q649" s="84" t="str">
        <f>IF(AND(B649='111'!$L$11,OR($N649=$Q$7,$O649=$Q$7)),"x","")</f>
        <v/>
      </c>
      <c r="R649" s="84" t="str">
        <f>IF(AND($N649=$Q$7,$B649&lt;'111'!$L$11),"x","")</f>
        <v/>
      </c>
      <c r="S649" s="84" t="str">
        <f>IF(AND($O649=$Q$7,$B649&lt;'111'!$L$11),"x","")</f>
        <v/>
      </c>
      <c r="T649" s="84" t="str">
        <f>IF(ISERROR(FIND('112'!$M$9,G649,1)),"",IF((AND(FIND('112'!$M$9,G649,1)&gt;=1,B649='112'!$K$9,OR($N649='112'!$I$6,$O649='112'!$I$6))),"x",""))</f>
        <v/>
      </c>
      <c r="U649" s="84" t="str">
        <f>IF(ISERROR(FIND('112'!$M$9,G649,1)),"",IF((AND(LEFT(G649,2)=LEFT('112'!$M$9,2),B649&lt;'112'!$K$9,$N649='112'!$I$6)),"x",""))</f>
        <v/>
      </c>
      <c r="V649" s="84" t="str">
        <f>IF(ISERROR(FIND('112'!$M$9,G649,1)),"",IF((AND(RIGHT(G649,2)=RIGHT('112'!$M$9,2),B649&lt;'112'!$K$9,$O649='112'!$I$6)),"x",""))</f>
        <v/>
      </c>
      <c r="W649" s="84" t="str">
        <f>IF(AND('341-CT'!$H$9=H649,OR(LEFT(N649,3)=$W$7,LEFT(O649,3)=$W$7)),"x","")</f>
        <v/>
      </c>
      <c r="X649" s="84" t="str">
        <f>IF(OR(TH!N649=TH!$X$7,O649=TH!$X$7),"x","")</f>
        <v/>
      </c>
      <c r="Y649" s="84" t="str">
        <f>IF(AND(OR(N649="131",O649="131"),H649='131-CT'!$H$9),"x","")</f>
        <v/>
      </c>
      <c r="Z649" s="84"/>
      <c r="AA649" s="84" t="str">
        <f>IF(AND(MONTH(E649)='IN-NX'!$J$5,'IN-NX'!$D$7=D649),"x","")</f>
        <v/>
      </c>
      <c r="AB649" s="84" t="str">
        <f>IF(AND(OR(LEFT(TH!N649,2)="15",LEFT(TH!O649,2)="15"),LEFT(TH!O649,3)&lt;&gt;"111",'152-CT'!$J$8=TH!F649),"x","")</f>
        <v/>
      </c>
      <c r="AC649" s="84" t="str">
        <f>IF(AND(OR(LEFT(TH!N649,2)="15",LEFT(TH!O649,2)="15"),TK!$E$7=TH!F649),"x","")</f>
        <v/>
      </c>
      <c r="AD649" s="84" t="str">
        <f>IF(AND(N649="1521",MONTH(C649)='BK-NL'!$M$11),"x","")</f>
        <v/>
      </c>
      <c r="AE649" s="1146" t="str">
        <f t="shared" si="151"/>
        <v>x</v>
      </c>
    </row>
    <row r="650" spans="1:31" ht="15.75" hidden="1" customHeight="1">
      <c r="A650" s="336" t="str">
        <f>IF(B650&lt;&gt;"",IF(AND(B650='IN-TC'!$S$4,OR(TH!N650="1111",TH!O650="1111")),TH!D650,""),"")</f>
        <v/>
      </c>
      <c r="B650" s="63">
        <f t="shared" si="148"/>
        <v>7</v>
      </c>
      <c r="C650" s="80">
        <f t="shared" si="149"/>
        <v>42552</v>
      </c>
      <c r="D650" s="80" t="s">
        <v>940</v>
      </c>
      <c r="E650" s="80">
        <v>42552</v>
      </c>
      <c r="F650" s="81" t="s">
        <v>1962</v>
      </c>
      <c r="G650" s="81"/>
      <c r="H650" s="82" t="s">
        <v>1982</v>
      </c>
      <c r="I650" s="437">
        <v>7560</v>
      </c>
      <c r="J650" s="438">
        <v>11000</v>
      </c>
      <c r="K650" s="428"/>
      <c r="L650" s="437"/>
      <c r="M650" s="83">
        <f t="shared" si="150"/>
        <v>83160000</v>
      </c>
      <c r="N650" s="84" t="s">
        <v>274</v>
      </c>
      <c r="O650" s="84" t="s">
        <v>8</v>
      </c>
      <c r="P650" s="84" t="str">
        <f>IF(AND('331-CT'!$E$7=TH!H650,OR(N650="331",O650="331")),"x","")</f>
        <v/>
      </c>
      <c r="Q650" s="84" t="str">
        <f>IF(AND(B650='111'!$L$11,OR($N650=$Q$7,$O650=$Q$7)),"x","")</f>
        <v/>
      </c>
      <c r="R650" s="84" t="str">
        <f>IF(AND($N650=$Q$7,$B650&lt;'111'!$L$11),"x","")</f>
        <v/>
      </c>
      <c r="S650" s="84" t="str">
        <f>IF(AND($O650=$Q$7,$B650&lt;'111'!$L$11),"x","")</f>
        <v/>
      </c>
      <c r="T650" s="84" t="str">
        <f>IF(ISERROR(FIND('112'!$M$9,G650,1)),"",IF((AND(FIND('112'!$M$9,G650,1)&gt;=1,B650='112'!$K$9,OR($N650='112'!$I$6,$O650='112'!$I$6))),"x",""))</f>
        <v/>
      </c>
      <c r="U650" s="84" t="str">
        <f>IF(ISERROR(FIND('112'!$M$9,G650,1)),"",IF((AND(LEFT(G650,2)=LEFT('112'!$M$9,2),B650&lt;'112'!$K$9,$N650='112'!$I$6)),"x",""))</f>
        <v/>
      </c>
      <c r="V650" s="84" t="str">
        <f>IF(ISERROR(FIND('112'!$M$9,G650,1)),"",IF((AND(RIGHT(G650,2)=RIGHT('112'!$M$9,2),B650&lt;'112'!$K$9,$O650='112'!$I$6)),"x",""))</f>
        <v/>
      </c>
      <c r="W650" s="84" t="str">
        <f>IF(AND('341-CT'!$H$9=H650,OR(LEFT(N650,3)=$W$7,LEFT(O650,3)=$W$7)),"x","")</f>
        <v/>
      </c>
      <c r="X650" s="84" t="str">
        <f>IF(OR(TH!N650=TH!$X$7,O650=TH!$X$7),"x","")</f>
        <v/>
      </c>
      <c r="Y650" s="84" t="str">
        <f>IF(AND(OR(N650="131",O650="131"),H650='131-CT'!$H$9),"x","")</f>
        <v/>
      </c>
      <c r="Z650" s="84"/>
      <c r="AA650" s="84" t="str">
        <f>IF(AND(MONTH(E650)='IN-NX'!$J$5,'IN-NX'!$D$7=D650),"x","")</f>
        <v/>
      </c>
      <c r="AB650" s="84" t="str">
        <f>IF(AND(OR(LEFT(TH!N650,2)="15",LEFT(TH!O650,2)="15"),LEFT(TH!O650,3)&lt;&gt;"111",'152-CT'!$J$8=TH!F650),"x","")</f>
        <v/>
      </c>
      <c r="AC650" s="84" t="str">
        <f>IF(AND(OR(LEFT(TH!N650,2)="15",LEFT(TH!O650,2)="15"),TK!$E$7=TH!F650),"x","")</f>
        <v/>
      </c>
      <c r="AD650" s="84" t="str">
        <f>IF(AND(N650="1521",MONTH(C650)='BK-NL'!$M$11),"x","")</f>
        <v/>
      </c>
      <c r="AE650" s="1146" t="str">
        <f t="shared" si="151"/>
        <v>x</v>
      </c>
    </row>
    <row r="651" spans="1:31" ht="15.75" hidden="1" customHeight="1">
      <c r="A651" s="336" t="str">
        <f>IF(B651&lt;&gt;"",IF(AND(B651='IN-TC'!$S$4,OR(TH!N651="1111",TH!O651="1111")),TH!D651,""),"")</f>
        <v/>
      </c>
      <c r="B651" s="63">
        <f t="shared" si="148"/>
        <v>7</v>
      </c>
      <c r="C651" s="80">
        <f t="shared" si="149"/>
        <v>42552</v>
      </c>
      <c r="D651" s="80" t="s">
        <v>941</v>
      </c>
      <c r="E651" s="80">
        <v>42552</v>
      </c>
      <c r="F651" s="81" t="s">
        <v>1962</v>
      </c>
      <c r="G651" s="81"/>
      <c r="H651" s="82" t="s">
        <v>428</v>
      </c>
      <c r="I651" s="437">
        <v>7742</v>
      </c>
      <c r="J651" s="438">
        <v>11000</v>
      </c>
      <c r="K651" s="428"/>
      <c r="L651" s="437"/>
      <c r="M651" s="83">
        <f t="shared" si="150"/>
        <v>85162000</v>
      </c>
      <c r="N651" s="84" t="s">
        <v>274</v>
      </c>
      <c r="O651" s="84" t="s">
        <v>8</v>
      </c>
      <c r="P651" s="84" t="str">
        <f>IF(AND('331-CT'!$E$7=TH!H651,OR(N651="331",O651="331")),"x","")</f>
        <v/>
      </c>
      <c r="Q651" s="84" t="str">
        <f>IF(AND(B651='111'!$L$11,OR($N651=$Q$7,$O651=$Q$7)),"x","")</f>
        <v/>
      </c>
      <c r="R651" s="84" t="str">
        <f>IF(AND($N651=$Q$7,$B651&lt;'111'!$L$11),"x","")</f>
        <v/>
      </c>
      <c r="S651" s="84" t="str">
        <f>IF(AND($O651=$Q$7,$B651&lt;'111'!$L$11),"x","")</f>
        <v/>
      </c>
      <c r="T651" s="84" t="str">
        <f>IF(ISERROR(FIND('112'!$M$9,G651,1)),"",IF((AND(FIND('112'!$M$9,G651,1)&gt;=1,B651='112'!$K$9,OR($N651='112'!$I$6,$O651='112'!$I$6))),"x",""))</f>
        <v/>
      </c>
      <c r="U651" s="84" t="str">
        <f>IF(ISERROR(FIND('112'!$M$9,G651,1)),"",IF((AND(LEFT(G651,2)=LEFT('112'!$M$9,2),B651&lt;'112'!$K$9,$N651='112'!$I$6)),"x",""))</f>
        <v/>
      </c>
      <c r="V651" s="84" t="str">
        <f>IF(ISERROR(FIND('112'!$M$9,G651,1)),"",IF((AND(RIGHT(G651,2)=RIGHT('112'!$M$9,2),B651&lt;'112'!$K$9,$O651='112'!$I$6)),"x",""))</f>
        <v/>
      </c>
      <c r="W651" s="84" t="str">
        <f>IF(AND('341-CT'!$H$9=H651,OR(LEFT(N651,3)=$W$7,LEFT(O651,3)=$W$7)),"x","")</f>
        <v/>
      </c>
      <c r="X651" s="84" t="str">
        <f>IF(OR(TH!N651=TH!$X$7,O651=TH!$X$7),"x","")</f>
        <v/>
      </c>
      <c r="Y651" s="84" t="str">
        <f>IF(AND(OR(N651="131",O651="131"),H651='131-CT'!$H$9),"x","")</f>
        <v/>
      </c>
      <c r="Z651" s="84"/>
      <c r="AA651" s="84" t="str">
        <f>IF(AND(MONTH(E651)='IN-NX'!$J$5,'IN-NX'!$D$7=D651),"x","")</f>
        <v/>
      </c>
      <c r="AB651" s="84" t="str">
        <f>IF(AND(OR(LEFT(TH!N651,2)="15",LEFT(TH!O651,2)="15"),LEFT(TH!O651,3)&lt;&gt;"111",'152-CT'!$J$8=TH!F651),"x","")</f>
        <v/>
      </c>
      <c r="AC651" s="84" t="str">
        <f>IF(AND(OR(LEFT(TH!N651,2)="15",LEFT(TH!O651,2)="15"),TK!$E$7=TH!F651),"x","")</f>
        <v/>
      </c>
      <c r="AD651" s="84" t="str">
        <f>IF(AND(N651="1521",MONTH(C651)='BK-NL'!$M$11),"x","")</f>
        <v/>
      </c>
      <c r="AE651" s="1146" t="str">
        <f t="shared" si="151"/>
        <v>x</v>
      </c>
    </row>
    <row r="652" spans="1:31" ht="15.75" hidden="1" customHeight="1">
      <c r="A652" s="336" t="str">
        <f>IF(B652&lt;&gt;"",IF(AND(B652='IN-TC'!$S$4,OR(TH!N652="1111",TH!O652="1111")),TH!D652,""),"")</f>
        <v/>
      </c>
      <c r="B652" s="63">
        <f t="shared" si="148"/>
        <v>7</v>
      </c>
      <c r="C652" s="80">
        <f t="shared" si="149"/>
        <v>42560</v>
      </c>
      <c r="D652" s="80" t="s">
        <v>951</v>
      </c>
      <c r="E652" s="80">
        <v>42560</v>
      </c>
      <c r="F652" s="81" t="s">
        <v>1962</v>
      </c>
      <c r="G652" s="81"/>
      <c r="H652" s="82" t="s">
        <v>431</v>
      </c>
      <c r="I652" s="437">
        <v>7960</v>
      </c>
      <c r="J652" s="438">
        <v>11000</v>
      </c>
      <c r="K652" s="428"/>
      <c r="L652" s="437"/>
      <c r="M652" s="83">
        <f t="shared" si="150"/>
        <v>87560000</v>
      </c>
      <c r="N652" s="84" t="s">
        <v>274</v>
      </c>
      <c r="O652" s="84" t="s">
        <v>8</v>
      </c>
      <c r="P652" s="84" t="str">
        <f>IF(AND('331-CT'!$E$7=TH!H652,OR(N652="331",O652="331")),"x","")</f>
        <v/>
      </c>
      <c r="Q652" s="84" t="str">
        <f>IF(AND(B652='111'!$L$11,OR($N652=$Q$7,$O652=$Q$7)),"x","")</f>
        <v/>
      </c>
      <c r="R652" s="84" t="str">
        <f>IF(AND($N652=$Q$7,$B652&lt;'111'!$L$11),"x","")</f>
        <v/>
      </c>
      <c r="S652" s="84" t="str">
        <f>IF(AND($O652=$Q$7,$B652&lt;'111'!$L$11),"x","")</f>
        <v/>
      </c>
      <c r="T652" s="84" t="str">
        <f>IF(ISERROR(FIND('112'!$M$9,G652,1)),"",IF((AND(FIND('112'!$M$9,G652,1)&gt;=1,B652='112'!$K$9,OR($N652='112'!$I$6,$O652='112'!$I$6))),"x",""))</f>
        <v/>
      </c>
      <c r="U652" s="84" t="str">
        <f>IF(ISERROR(FIND('112'!$M$9,G652,1)),"",IF((AND(LEFT(G652,2)=LEFT('112'!$M$9,2),B652&lt;'112'!$K$9,$N652='112'!$I$6)),"x",""))</f>
        <v/>
      </c>
      <c r="V652" s="84" t="str">
        <f>IF(ISERROR(FIND('112'!$M$9,G652,1)),"",IF((AND(RIGHT(G652,2)=RIGHT('112'!$M$9,2),B652&lt;'112'!$K$9,$O652='112'!$I$6)),"x",""))</f>
        <v/>
      </c>
      <c r="W652" s="84" t="str">
        <f>IF(AND('341-CT'!$H$9=H652,OR(LEFT(N652,3)=$W$7,LEFT(O652,3)=$W$7)),"x","")</f>
        <v/>
      </c>
      <c r="X652" s="84" t="str">
        <f>IF(OR(TH!N652=TH!$X$7,O652=TH!$X$7),"x","")</f>
        <v/>
      </c>
      <c r="Y652" s="84" t="str">
        <f>IF(AND(OR(N652="131",O652="131"),H652='131-CT'!$H$9),"x","")</f>
        <v/>
      </c>
      <c r="Z652" s="84"/>
      <c r="AA652" s="84" t="str">
        <f>IF(AND(MONTH(E652)='IN-NX'!$J$5,'IN-NX'!$D$7=D652),"x","")</f>
        <v/>
      </c>
      <c r="AB652" s="84" t="str">
        <f>IF(AND(OR(LEFT(TH!N652,2)="15",LEFT(TH!O652,2)="15"),LEFT(TH!O652,3)&lt;&gt;"111",'152-CT'!$J$8=TH!F652),"x","")</f>
        <v/>
      </c>
      <c r="AC652" s="84" t="str">
        <f>IF(AND(OR(LEFT(TH!N652,2)="15",LEFT(TH!O652,2)="15"),TK!$E$7=TH!F652),"x","")</f>
        <v/>
      </c>
      <c r="AD652" s="84" t="str">
        <f>IF(AND(N652="1521",MONTH(C652)='BK-NL'!$M$11),"x","")</f>
        <v/>
      </c>
      <c r="AE652" s="1146" t="str">
        <f t="shared" si="151"/>
        <v>x</v>
      </c>
    </row>
    <row r="653" spans="1:31" ht="15.75" hidden="1" customHeight="1">
      <c r="A653" s="336" t="str">
        <f>IF(B653&lt;&gt;"",IF(AND(B653='IN-TC'!$S$4,OR(TH!N653="1111",TH!O653="1111")),TH!D653,""),"")</f>
        <v/>
      </c>
      <c r="B653" s="63">
        <f t="shared" si="148"/>
        <v>7</v>
      </c>
      <c r="C653" s="80">
        <f t="shared" si="149"/>
        <v>42560</v>
      </c>
      <c r="D653" s="80" t="s">
        <v>952</v>
      </c>
      <c r="E653" s="80">
        <v>42560</v>
      </c>
      <c r="F653" s="81" t="s">
        <v>1962</v>
      </c>
      <c r="G653" s="81"/>
      <c r="H653" s="82" t="s">
        <v>1982</v>
      </c>
      <c r="I653" s="437">
        <v>8510</v>
      </c>
      <c r="J653" s="438">
        <v>11000</v>
      </c>
      <c r="K653" s="428"/>
      <c r="L653" s="437"/>
      <c r="M653" s="83">
        <f t="shared" si="150"/>
        <v>93610000</v>
      </c>
      <c r="N653" s="84" t="s">
        <v>274</v>
      </c>
      <c r="O653" s="84" t="s">
        <v>8</v>
      </c>
      <c r="P653" s="84" t="str">
        <f>IF(AND('331-CT'!$E$7=TH!H653,OR(N653="331",O653="331")),"x","")</f>
        <v/>
      </c>
      <c r="Q653" s="84" t="str">
        <f>IF(AND(B653='111'!$L$11,OR($N653=$Q$7,$O653=$Q$7)),"x","")</f>
        <v/>
      </c>
      <c r="R653" s="84" t="str">
        <f>IF(AND($N653=$Q$7,$B653&lt;'111'!$L$11),"x","")</f>
        <v/>
      </c>
      <c r="S653" s="84" t="str">
        <f>IF(AND($O653=$Q$7,$B653&lt;'111'!$L$11),"x","")</f>
        <v/>
      </c>
      <c r="T653" s="84" t="str">
        <f>IF(ISERROR(FIND('112'!$M$9,G653,1)),"",IF((AND(FIND('112'!$M$9,G653,1)&gt;=1,B653='112'!$K$9,OR($N653='112'!$I$6,$O653='112'!$I$6))),"x",""))</f>
        <v/>
      </c>
      <c r="U653" s="84" t="str">
        <f>IF(ISERROR(FIND('112'!$M$9,G653,1)),"",IF((AND(LEFT(G653,2)=LEFT('112'!$M$9,2),B653&lt;'112'!$K$9,$N653='112'!$I$6)),"x",""))</f>
        <v/>
      </c>
      <c r="V653" s="84" t="str">
        <f>IF(ISERROR(FIND('112'!$M$9,G653,1)),"",IF((AND(RIGHT(G653,2)=RIGHT('112'!$M$9,2),B653&lt;'112'!$K$9,$O653='112'!$I$6)),"x",""))</f>
        <v/>
      </c>
      <c r="W653" s="84" t="str">
        <f>IF(AND('341-CT'!$H$9=H653,OR(LEFT(N653,3)=$W$7,LEFT(O653,3)=$W$7)),"x","")</f>
        <v/>
      </c>
      <c r="X653" s="84" t="str">
        <f>IF(OR(TH!N653=TH!$X$7,O653=TH!$X$7),"x","")</f>
        <v/>
      </c>
      <c r="Y653" s="84" t="str">
        <f>IF(AND(OR(N653="131",O653="131"),H653='131-CT'!$H$9),"x","")</f>
        <v/>
      </c>
      <c r="Z653" s="84"/>
      <c r="AA653" s="84" t="str">
        <f>IF(AND(MONTH(E653)='IN-NX'!$J$5,'IN-NX'!$D$7=D653),"x","")</f>
        <v/>
      </c>
      <c r="AB653" s="84" t="str">
        <f>IF(AND(OR(LEFT(TH!N653,2)="15",LEFT(TH!O653,2)="15"),LEFT(TH!O653,3)&lt;&gt;"111",'152-CT'!$J$8=TH!F653),"x","")</f>
        <v/>
      </c>
      <c r="AC653" s="84" t="str">
        <f>IF(AND(OR(LEFT(TH!N653,2)="15",LEFT(TH!O653,2)="15"),TK!$E$7=TH!F653),"x","")</f>
        <v/>
      </c>
      <c r="AD653" s="84" t="str">
        <f>IF(AND(N653="1521",MONTH(C653)='BK-NL'!$M$11),"x","")</f>
        <v/>
      </c>
      <c r="AE653" s="1146" t="str">
        <f t="shared" si="151"/>
        <v>x</v>
      </c>
    </row>
    <row r="654" spans="1:31" ht="15.75" hidden="1" customHeight="1">
      <c r="A654" s="336" t="str">
        <f>IF(B654&lt;&gt;"",IF(AND(B654='IN-TC'!$S$4,OR(TH!N654="1111",TH!O654="1111")),TH!D654,""),"")</f>
        <v/>
      </c>
      <c r="B654" s="63">
        <f t="shared" si="148"/>
        <v>7</v>
      </c>
      <c r="C654" s="80">
        <f t="shared" si="149"/>
        <v>42560</v>
      </c>
      <c r="D654" s="80" t="s">
        <v>953</v>
      </c>
      <c r="E654" s="80">
        <v>42560</v>
      </c>
      <c r="F654" s="81" t="s">
        <v>1962</v>
      </c>
      <c r="G654" s="81"/>
      <c r="H654" s="82" t="s">
        <v>428</v>
      </c>
      <c r="I654" s="437">
        <v>8743</v>
      </c>
      <c r="J654" s="438">
        <v>11000</v>
      </c>
      <c r="K654" s="428"/>
      <c r="L654" s="437"/>
      <c r="M654" s="83">
        <f t="shared" si="150"/>
        <v>96173000</v>
      </c>
      <c r="N654" s="84" t="s">
        <v>274</v>
      </c>
      <c r="O654" s="84" t="s">
        <v>8</v>
      </c>
      <c r="P654" s="84" t="str">
        <f>IF(AND('331-CT'!$E$7=TH!H654,OR(N654="331",O654="331")),"x","")</f>
        <v/>
      </c>
      <c r="Q654" s="84" t="str">
        <f>IF(AND(B654='111'!$L$11,OR($N654=$Q$7,$O654=$Q$7)),"x","")</f>
        <v/>
      </c>
      <c r="R654" s="84" t="str">
        <f>IF(AND($N654=$Q$7,$B654&lt;'111'!$L$11),"x","")</f>
        <v/>
      </c>
      <c r="S654" s="84" t="str">
        <f>IF(AND($O654=$Q$7,$B654&lt;'111'!$L$11),"x","")</f>
        <v/>
      </c>
      <c r="T654" s="84" t="str">
        <f>IF(ISERROR(FIND('112'!$M$9,G654,1)),"",IF((AND(FIND('112'!$M$9,G654,1)&gt;=1,B654='112'!$K$9,OR($N654='112'!$I$6,$O654='112'!$I$6))),"x",""))</f>
        <v/>
      </c>
      <c r="U654" s="84" t="str">
        <f>IF(ISERROR(FIND('112'!$M$9,G654,1)),"",IF((AND(LEFT(G654,2)=LEFT('112'!$M$9,2),B654&lt;'112'!$K$9,$N654='112'!$I$6)),"x",""))</f>
        <v/>
      </c>
      <c r="V654" s="84" t="str">
        <f>IF(ISERROR(FIND('112'!$M$9,G654,1)),"",IF((AND(RIGHT(G654,2)=RIGHT('112'!$M$9,2),B654&lt;'112'!$K$9,$O654='112'!$I$6)),"x",""))</f>
        <v/>
      </c>
      <c r="W654" s="84" t="str">
        <f>IF(AND('341-CT'!$H$9=H654,OR(LEFT(N654,3)=$W$7,LEFT(O654,3)=$W$7)),"x","")</f>
        <v/>
      </c>
      <c r="X654" s="84" t="str">
        <f>IF(OR(TH!N654=TH!$X$7,O654=TH!$X$7),"x","")</f>
        <v/>
      </c>
      <c r="Y654" s="84" t="str">
        <f>IF(AND(OR(N654="131",O654="131"),H654='131-CT'!$H$9),"x","")</f>
        <v/>
      </c>
      <c r="Z654" s="84"/>
      <c r="AA654" s="84" t="str">
        <f>IF(AND(MONTH(E654)='IN-NX'!$J$5,'IN-NX'!$D$7=D654),"x","")</f>
        <v/>
      </c>
      <c r="AB654" s="84" t="str">
        <f>IF(AND(OR(LEFT(TH!N654,2)="15",LEFT(TH!O654,2)="15"),LEFT(TH!O654,3)&lt;&gt;"111",'152-CT'!$J$8=TH!F654),"x","")</f>
        <v/>
      </c>
      <c r="AC654" s="84" t="str">
        <f>IF(AND(OR(LEFT(TH!N654,2)="15",LEFT(TH!O654,2)="15"),TK!$E$7=TH!F654),"x","")</f>
        <v/>
      </c>
      <c r="AD654" s="84" t="str">
        <f>IF(AND(N654="1521",MONTH(C654)='BK-NL'!$M$11),"x","")</f>
        <v/>
      </c>
      <c r="AE654" s="1146" t="str">
        <f t="shared" si="151"/>
        <v>x</v>
      </c>
    </row>
    <row r="655" spans="1:31" ht="15.75" hidden="1" customHeight="1">
      <c r="A655" s="336" t="str">
        <f>IF(B655&lt;&gt;"",IF(AND(B655='IN-TC'!$S$4,OR(TH!N655="1111",TH!O655="1111")),TH!D655,""),"")</f>
        <v/>
      </c>
      <c r="B655" s="63">
        <f t="shared" si="148"/>
        <v>7</v>
      </c>
      <c r="C655" s="80">
        <f t="shared" si="149"/>
        <v>42560</v>
      </c>
      <c r="D655" s="80" t="s">
        <v>954</v>
      </c>
      <c r="E655" s="80">
        <v>42560</v>
      </c>
      <c r="F655" s="81" t="s">
        <v>1962</v>
      </c>
      <c r="G655" s="81"/>
      <c r="H655" s="89" t="s">
        <v>433</v>
      </c>
      <c r="I655" s="437">
        <v>7980</v>
      </c>
      <c r="J655" s="438">
        <v>11000</v>
      </c>
      <c r="K655" s="428"/>
      <c r="L655" s="437"/>
      <c r="M655" s="83">
        <f t="shared" si="150"/>
        <v>87780000</v>
      </c>
      <c r="N655" s="84" t="s">
        <v>274</v>
      </c>
      <c r="O655" s="84" t="s">
        <v>8</v>
      </c>
      <c r="P655" s="84" t="str">
        <f>IF(AND('331-CT'!$E$7=TH!H655,OR(N655="331",O655="331")),"x","")</f>
        <v/>
      </c>
      <c r="Q655" s="84" t="str">
        <f>IF(AND(B655='111'!$L$11,OR($N655=$Q$7,$O655=$Q$7)),"x","")</f>
        <v/>
      </c>
      <c r="R655" s="84" t="str">
        <f>IF(AND($N655=$Q$7,$B655&lt;'111'!$L$11),"x","")</f>
        <v/>
      </c>
      <c r="S655" s="84" t="str">
        <f>IF(AND($O655=$Q$7,$B655&lt;'111'!$L$11),"x","")</f>
        <v/>
      </c>
      <c r="T655" s="84" t="str">
        <f>IF(ISERROR(FIND('112'!$M$9,G655,1)),"",IF((AND(FIND('112'!$M$9,G655,1)&gt;=1,B655='112'!$K$9,OR($N655='112'!$I$6,$O655='112'!$I$6))),"x",""))</f>
        <v/>
      </c>
      <c r="U655" s="84" t="str">
        <f>IF(ISERROR(FIND('112'!$M$9,G655,1)),"",IF((AND(LEFT(G655,2)=LEFT('112'!$M$9,2),B655&lt;'112'!$K$9,$N655='112'!$I$6)),"x",""))</f>
        <v/>
      </c>
      <c r="V655" s="84" t="str">
        <f>IF(ISERROR(FIND('112'!$M$9,G655,1)),"",IF((AND(RIGHT(G655,2)=RIGHT('112'!$M$9,2),B655&lt;'112'!$K$9,$O655='112'!$I$6)),"x",""))</f>
        <v/>
      </c>
      <c r="W655" s="84" t="str">
        <f>IF(AND('341-CT'!$H$9=H655,OR(LEFT(N655,3)=$W$7,LEFT(O655,3)=$W$7)),"x","")</f>
        <v/>
      </c>
      <c r="X655" s="84" t="str">
        <f>IF(OR(TH!N655=TH!$X$7,O655=TH!$X$7),"x","")</f>
        <v/>
      </c>
      <c r="Y655" s="84" t="str">
        <f>IF(AND(OR(N655="131",O655="131"),H655='131-CT'!$H$9),"x","")</f>
        <v/>
      </c>
      <c r="Z655" s="84"/>
      <c r="AA655" s="84" t="str">
        <f>IF(AND(MONTH(E655)='IN-NX'!$J$5,'IN-NX'!$D$7=D655),"x","")</f>
        <v/>
      </c>
      <c r="AB655" s="84" t="str">
        <f>IF(AND(OR(LEFT(TH!N655,2)="15",LEFT(TH!O655,2)="15"),LEFT(TH!O655,3)&lt;&gt;"111",'152-CT'!$J$8=TH!F655),"x","")</f>
        <v/>
      </c>
      <c r="AC655" s="84" t="str">
        <f>IF(AND(OR(LEFT(TH!N655,2)="15",LEFT(TH!O655,2)="15"),TK!$E$7=TH!F655),"x","")</f>
        <v/>
      </c>
      <c r="AD655" s="84" t="str">
        <f>IF(AND(N655="1521",MONTH(C655)='BK-NL'!$M$11),"x","")</f>
        <v/>
      </c>
      <c r="AE655" s="1146" t="str">
        <f t="shared" si="151"/>
        <v>x</v>
      </c>
    </row>
    <row r="656" spans="1:31" ht="15.75" hidden="1" customHeight="1">
      <c r="A656" s="336" t="str">
        <f>IF(B656&lt;&gt;"",IF(AND(B656='IN-TC'!$S$4,OR(TH!N656="1111",TH!O656="1111")),TH!D656,""),"")</f>
        <v/>
      </c>
      <c r="B656" s="63">
        <f t="shared" si="148"/>
        <v>7</v>
      </c>
      <c r="C656" s="80">
        <f t="shared" si="149"/>
        <v>42566</v>
      </c>
      <c r="D656" s="80" t="s">
        <v>959</v>
      </c>
      <c r="E656" s="80">
        <v>42566</v>
      </c>
      <c r="F656" s="81" t="s">
        <v>1962</v>
      </c>
      <c r="G656" s="81"/>
      <c r="H656" s="82" t="s">
        <v>1981</v>
      </c>
      <c r="I656" s="437">
        <v>6870</v>
      </c>
      <c r="J656" s="438">
        <v>11000</v>
      </c>
      <c r="K656" s="428"/>
      <c r="L656" s="437"/>
      <c r="M656" s="83">
        <f t="shared" si="150"/>
        <v>75570000</v>
      </c>
      <c r="N656" s="84" t="s">
        <v>274</v>
      </c>
      <c r="O656" s="84" t="s">
        <v>8</v>
      </c>
      <c r="P656" s="84" t="str">
        <f>IF(AND('331-CT'!$E$7=TH!H656,OR(N656="331",O656="331")),"x","")</f>
        <v/>
      </c>
      <c r="Q656" s="84" t="str">
        <f>IF(AND(B656='111'!$L$11,OR($N656=$Q$7,$O656=$Q$7)),"x","")</f>
        <v/>
      </c>
      <c r="R656" s="84" t="str">
        <f>IF(AND($N656=$Q$7,$B656&lt;'111'!$L$11),"x","")</f>
        <v/>
      </c>
      <c r="S656" s="84" t="str">
        <f>IF(AND($O656=$Q$7,$B656&lt;'111'!$L$11),"x","")</f>
        <v/>
      </c>
      <c r="T656" s="84" t="str">
        <f>IF(ISERROR(FIND('112'!$M$9,G656,1)),"",IF((AND(FIND('112'!$M$9,G656,1)&gt;=1,B656='112'!$K$9,OR($N656='112'!$I$6,$O656='112'!$I$6))),"x",""))</f>
        <v/>
      </c>
      <c r="U656" s="84" t="str">
        <f>IF(ISERROR(FIND('112'!$M$9,G656,1)),"",IF((AND(LEFT(G656,2)=LEFT('112'!$M$9,2),B656&lt;'112'!$K$9,$N656='112'!$I$6)),"x",""))</f>
        <v/>
      </c>
      <c r="V656" s="84" t="str">
        <f>IF(ISERROR(FIND('112'!$M$9,G656,1)),"",IF((AND(RIGHT(G656,2)=RIGHT('112'!$M$9,2),B656&lt;'112'!$K$9,$O656='112'!$I$6)),"x",""))</f>
        <v/>
      </c>
      <c r="W656" s="84" t="str">
        <f>IF(AND('341-CT'!$H$9=H656,OR(LEFT(N656,3)=$W$7,LEFT(O656,3)=$W$7)),"x","")</f>
        <v/>
      </c>
      <c r="X656" s="84" t="str">
        <f>IF(OR(TH!N656=TH!$X$7,O656=TH!$X$7),"x","")</f>
        <v/>
      </c>
      <c r="Y656" s="84" t="str">
        <f>IF(AND(OR(N656="131",O656="131"),H656='131-CT'!$H$9),"x","")</f>
        <v/>
      </c>
      <c r="Z656" s="84"/>
      <c r="AA656" s="84" t="str">
        <f>IF(AND(MONTH(E656)='IN-NX'!$J$5,'IN-NX'!$D$7=D656),"x","")</f>
        <v/>
      </c>
      <c r="AB656" s="84" t="str">
        <f>IF(AND(OR(LEFT(TH!N656,2)="15",LEFT(TH!O656,2)="15"),LEFT(TH!O656,3)&lt;&gt;"111",'152-CT'!$J$8=TH!F656),"x","")</f>
        <v/>
      </c>
      <c r="AC656" s="84" t="str">
        <f>IF(AND(OR(LEFT(TH!N656,2)="15",LEFT(TH!O656,2)="15"),TK!$E$7=TH!F656),"x","")</f>
        <v/>
      </c>
      <c r="AD656" s="84" t="str">
        <f>IF(AND(N656="1521",MONTH(C656)='BK-NL'!$M$11),"x","")</f>
        <v/>
      </c>
      <c r="AE656" s="1146" t="str">
        <f t="shared" si="151"/>
        <v>x</v>
      </c>
    </row>
    <row r="657" spans="1:31" ht="15.75" hidden="1" customHeight="1">
      <c r="A657" s="336" t="str">
        <f>IF(B657&lt;&gt;"",IF(AND(B657='IN-TC'!$S$4,OR(TH!N657="1111",TH!O657="1111")),TH!D657,""),"")</f>
        <v/>
      </c>
      <c r="B657" s="63">
        <f t="shared" si="148"/>
        <v>7</v>
      </c>
      <c r="C657" s="80">
        <f t="shared" si="149"/>
        <v>42566</v>
      </c>
      <c r="D657" s="80" t="s">
        <v>960</v>
      </c>
      <c r="E657" s="80">
        <v>42566</v>
      </c>
      <c r="F657" s="81" t="s">
        <v>1962</v>
      </c>
      <c r="G657" s="81"/>
      <c r="H657" s="82" t="s">
        <v>1982</v>
      </c>
      <c r="I657" s="437">
        <v>8930</v>
      </c>
      <c r="J657" s="438">
        <v>11000</v>
      </c>
      <c r="K657" s="428"/>
      <c r="L657" s="437"/>
      <c r="M657" s="83">
        <f t="shared" si="150"/>
        <v>98230000</v>
      </c>
      <c r="N657" s="84" t="s">
        <v>274</v>
      </c>
      <c r="O657" s="84" t="s">
        <v>8</v>
      </c>
      <c r="P657" s="84" t="str">
        <f>IF(AND('331-CT'!$E$7=TH!H657,OR(N657="331",O657="331")),"x","")</f>
        <v/>
      </c>
      <c r="Q657" s="84" t="str">
        <f>IF(AND(B657='111'!$L$11,OR($N657=$Q$7,$O657=$Q$7)),"x","")</f>
        <v/>
      </c>
      <c r="R657" s="84" t="str">
        <f>IF(AND($N657=$Q$7,$B657&lt;'111'!$L$11),"x","")</f>
        <v/>
      </c>
      <c r="S657" s="84" t="str">
        <f>IF(AND($O657=$Q$7,$B657&lt;'111'!$L$11),"x","")</f>
        <v/>
      </c>
      <c r="T657" s="84" t="str">
        <f>IF(ISERROR(FIND('112'!$M$9,G657,1)),"",IF((AND(FIND('112'!$M$9,G657,1)&gt;=1,B657='112'!$K$9,OR($N657='112'!$I$6,$O657='112'!$I$6))),"x",""))</f>
        <v/>
      </c>
      <c r="U657" s="84" t="str">
        <f>IF(ISERROR(FIND('112'!$M$9,G657,1)),"",IF((AND(LEFT(G657,2)=LEFT('112'!$M$9,2),B657&lt;'112'!$K$9,$N657='112'!$I$6)),"x",""))</f>
        <v/>
      </c>
      <c r="V657" s="84" t="str">
        <f>IF(ISERROR(FIND('112'!$M$9,G657,1)),"",IF((AND(RIGHT(G657,2)=RIGHT('112'!$M$9,2),B657&lt;'112'!$K$9,$O657='112'!$I$6)),"x",""))</f>
        <v/>
      </c>
      <c r="W657" s="84" t="str">
        <f>IF(AND('341-CT'!$H$9=H657,OR(LEFT(N657,3)=$W$7,LEFT(O657,3)=$W$7)),"x","")</f>
        <v/>
      </c>
      <c r="X657" s="84" t="str">
        <f>IF(OR(TH!N657=TH!$X$7,O657=TH!$X$7),"x","")</f>
        <v/>
      </c>
      <c r="Y657" s="84" t="str">
        <f>IF(AND(OR(N657="131",O657="131"),H657='131-CT'!$H$9),"x","")</f>
        <v/>
      </c>
      <c r="Z657" s="84"/>
      <c r="AA657" s="84" t="str">
        <f>IF(AND(MONTH(E657)='IN-NX'!$J$5,'IN-NX'!$D$7=D657),"x","")</f>
        <v/>
      </c>
      <c r="AB657" s="84" t="str">
        <f>IF(AND(OR(LEFT(TH!N657,2)="15",LEFT(TH!O657,2)="15"),LEFT(TH!O657,3)&lt;&gt;"111",'152-CT'!$J$8=TH!F657),"x","")</f>
        <v/>
      </c>
      <c r="AC657" s="84" t="str">
        <f>IF(AND(OR(LEFT(TH!N657,2)="15",LEFT(TH!O657,2)="15"),TK!$E$7=TH!F657),"x","")</f>
        <v/>
      </c>
      <c r="AD657" s="84" t="str">
        <f>IF(AND(N657="1521",MONTH(C657)='BK-NL'!$M$11),"x","")</f>
        <v/>
      </c>
      <c r="AE657" s="1146" t="str">
        <f t="shared" si="151"/>
        <v>x</v>
      </c>
    </row>
    <row r="658" spans="1:31" ht="15.75" hidden="1" customHeight="1">
      <c r="A658" s="336" t="str">
        <f>IF(B658&lt;&gt;"",IF(AND(B658='IN-TC'!$S$4,OR(TH!N658="1111",TH!O658="1111")),TH!D658,""),"")</f>
        <v/>
      </c>
      <c r="B658" s="63">
        <f t="shared" si="148"/>
        <v>7</v>
      </c>
      <c r="C658" s="80">
        <f t="shared" si="149"/>
        <v>42566</v>
      </c>
      <c r="D658" s="80" t="s">
        <v>961</v>
      </c>
      <c r="E658" s="80">
        <v>42566</v>
      </c>
      <c r="F658" s="81" t="s">
        <v>1962</v>
      </c>
      <c r="G658" s="81"/>
      <c r="H658" s="82" t="s">
        <v>428</v>
      </c>
      <c r="I658" s="437">
        <v>7930</v>
      </c>
      <c r="J658" s="438">
        <v>11000</v>
      </c>
      <c r="K658" s="428"/>
      <c r="L658" s="437"/>
      <c r="M658" s="83">
        <f t="shared" si="150"/>
        <v>87230000</v>
      </c>
      <c r="N658" s="84" t="s">
        <v>274</v>
      </c>
      <c r="O658" s="84" t="s">
        <v>8</v>
      </c>
      <c r="P658" s="84" t="str">
        <f>IF(AND('331-CT'!$E$7=TH!H658,OR(N658="331",O658="331")),"x","")</f>
        <v/>
      </c>
      <c r="Q658" s="84" t="str">
        <f>IF(AND(B658='111'!$L$11,OR($N658=$Q$7,$O658=$Q$7)),"x","")</f>
        <v/>
      </c>
      <c r="R658" s="84" t="str">
        <f>IF(AND($N658=$Q$7,$B658&lt;'111'!$L$11),"x","")</f>
        <v/>
      </c>
      <c r="S658" s="84" t="str">
        <f>IF(AND($O658=$Q$7,$B658&lt;'111'!$L$11),"x","")</f>
        <v/>
      </c>
      <c r="T658" s="84" t="str">
        <f>IF(ISERROR(FIND('112'!$M$9,G658,1)),"",IF((AND(FIND('112'!$M$9,G658,1)&gt;=1,B658='112'!$K$9,OR($N658='112'!$I$6,$O658='112'!$I$6))),"x",""))</f>
        <v/>
      </c>
      <c r="U658" s="84" t="str">
        <f>IF(ISERROR(FIND('112'!$M$9,G658,1)),"",IF((AND(LEFT(G658,2)=LEFT('112'!$M$9,2),B658&lt;'112'!$K$9,$N658='112'!$I$6)),"x",""))</f>
        <v/>
      </c>
      <c r="V658" s="84" t="str">
        <f>IF(ISERROR(FIND('112'!$M$9,G658,1)),"",IF((AND(RIGHT(G658,2)=RIGHT('112'!$M$9,2),B658&lt;'112'!$K$9,$O658='112'!$I$6)),"x",""))</f>
        <v/>
      </c>
      <c r="W658" s="84" t="str">
        <f>IF(AND('341-CT'!$H$9=H658,OR(LEFT(N658,3)=$W$7,LEFT(O658,3)=$W$7)),"x","")</f>
        <v/>
      </c>
      <c r="X658" s="84" t="str">
        <f>IF(OR(TH!N658=TH!$X$7,O658=TH!$X$7),"x","")</f>
        <v/>
      </c>
      <c r="Y658" s="84" t="str">
        <f>IF(AND(OR(N658="131",O658="131"),H658='131-CT'!$H$9),"x","")</f>
        <v/>
      </c>
      <c r="Z658" s="84"/>
      <c r="AA658" s="84" t="str">
        <f>IF(AND(MONTH(E658)='IN-NX'!$J$5,'IN-NX'!$D$7=D658),"x","")</f>
        <v/>
      </c>
      <c r="AB658" s="84" t="str">
        <f>IF(AND(OR(LEFT(TH!N658,2)="15",LEFT(TH!O658,2)="15"),LEFT(TH!O658,3)&lt;&gt;"111",'152-CT'!$J$8=TH!F658),"x","")</f>
        <v/>
      </c>
      <c r="AC658" s="84" t="str">
        <f>IF(AND(OR(LEFT(TH!N658,2)="15",LEFT(TH!O658,2)="15"),TK!$E$7=TH!F658),"x","")</f>
        <v/>
      </c>
      <c r="AD658" s="84" t="str">
        <f>IF(AND(N658="1521",MONTH(C658)='BK-NL'!$M$11),"x","")</f>
        <v/>
      </c>
      <c r="AE658" s="1146" t="str">
        <f t="shared" si="151"/>
        <v>x</v>
      </c>
    </row>
    <row r="659" spans="1:31" ht="15.75" hidden="1" customHeight="1">
      <c r="A659" s="336" t="str">
        <f>IF(B659&lt;&gt;"",IF(AND(B659='IN-TC'!$S$4,OR(TH!N659="1111",TH!O659="1111")),TH!D659,""),"")</f>
        <v/>
      </c>
      <c r="B659" s="63">
        <f t="shared" si="148"/>
        <v>7</v>
      </c>
      <c r="C659" s="80">
        <f>E659</f>
        <v>42566</v>
      </c>
      <c r="D659" s="80" t="s">
        <v>1969</v>
      </c>
      <c r="E659" s="80">
        <v>42566</v>
      </c>
      <c r="F659" s="81" t="s">
        <v>1962</v>
      </c>
      <c r="G659" s="81"/>
      <c r="H659" s="89" t="s">
        <v>433</v>
      </c>
      <c r="I659" s="437">
        <v>7095</v>
      </c>
      <c r="J659" s="438">
        <v>11000</v>
      </c>
      <c r="K659" s="428"/>
      <c r="L659" s="437"/>
      <c r="M659" s="83">
        <f>ROUND(I659*J659,0)</f>
        <v>78045000</v>
      </c>
      <c r="N659" s="84" t="s">
        <v>274</v>
      </c>
      <c r="O659" s="84" t="s">
        <v>8</v>
      </c>
      <c r="P659" s="84" t="str">
        <f>IF(AND('331-CT'!$E$7=TH!H659,OR(N659="331",O659="331")),"x","")</f>
        <v/>
      </c>
      <c r="Q659" s="84" t="str">
        <f>IF(AND(B659='111'!$L$11,OR($N659=$Q$7,$O659=$Q$7)),"x","")</f>
        <v/>
      </c>
      <c r="R659" s="84" t="str">
        <f>IF(AND($N659=$Q$7,$B659&lt;'111'!$L$11),"x","")</f>
        <v/>
      </c>
      <c r="S659" s="84" t="str">
        <f>IF(AND($O659=$Q$7,$B659&lt;'111'!$L$11),"x","")</f>
        <v/>
      </c>
      <c r="T659" s="84" t="str">
        <f>IF(ISERROR(FIND('112'!$M$9,G659,1)),"",IF((AND(FIND('112'!$M$9,G659,1)&gt;=1,B659='112'!$K$9,OR($N659='112'!$I$6,$O659='112'!$I$6))),"x",""))</f>
        <v/>
      </c>
      <c r="U659" s="84" t="str">
        <f>IF(ISERROR(FIND('112'!$M$9,G659,1)),"",IF((AND(LEFT(G659,2)=LEFT('112'!$M$9,2),B659&lt;'112'!$K$9,$N659='112'!$I$6)),"x",""))</f>
        <v/>
      </c>
      <c r="V659" s="84" t="str">
        <f>IF(ISERROR(FIND('112'!$M$9,G659,1)),"",IF((AND(RIGHT(G659,2)=RIGHT('112'!$M$9,2),B659&lt;'112'!$K$9,$O659='112'!$I$6)),"x",""))</f>
        <v/>
      </c>
      <c r="W659" s="84" t="str">
        <f>IF(AND('341-CT'!$H$9=H659,OR(LEFT(N659,3)=$W$7,LEFT(O659,3)=$W$7)),"x","")</f>
        <v/>
      </c>
      <c r="X659" s="84" t="str">
        <f>IF(OR(TH!N659=TH!$X$7,O659=TH!$X$7),"x","")</f>
        <v/>
      </c>
      <c r="Y659" s="84" t="str">
        <f>IF(AND(OR(N659="131",O659="131"),H659='131-CT'!$H$9),"x","")</f>
        <v/>
      </c>
      <c r="Z659" s="84"/>
      <c r="AA659" s="84" t="str">
        <f>IF(AND(MONTH(E659)='IN-NX'!$J$5,'IN-NX'!$D$7=D659),"x","")</f>
        <v/>
      </c>
      <c r="AB659" s="84" t="str">
        <f>IF(AND(OR(LEFT(TH!N659,2)="15",LEFT(TH!O659,2)="15"),LEFT(TH!O659,3)&lt;&gt;"111",'152-CT'!$J$8=TH!F659),"x","")</f>
        <v/>
      </c>
      <c r="AC659" s="84" t="str">
        <f>IF(AND(OR(LEFT(TH!N659,2)="15",LEFT(TH!O659,2)="15"),TK!$E$7=TH!F659),"x","")</f>
        <v/>
      </c>
      <c r="AD659" s="84" t="str">
        <f>IF(AND(N659="1521",MONTH(C659)='BK-NL'!$M$11),"x","")</f>
        <v/>
      </c>
      <c r="AE659" s="1146" t="str">
        <f t="shared" si="151"/>
        <v>x</v>
      </c>
    </row>
    <row r="660" spans="1:31" s="341" customFormat="1" ht="15.75" hidden="1" customHeight="1">
      <c r="A660" s="336" t="str">
        <f>IF(B660&lt;&gt;"",IF(AND(B660='IN-TC'!$S$4,OR(TH!N660="1111",TH!O660="1111")),TH!D660,""),"")</f>
        <v/>
      </c>
      <c r="B660" s="63">
        <f t="shared" si="148"/>
        <v>7</v>
      </c>
      <c r="C660" s="94">
        <f>E660</f>
        <v>42552</v>
      </c>
      <c r="D660" s="94" t="s">
        <v>694</v>
      </c>
      <c r="E660" s="94">
        <v>42552</v>
      </c>
      <c r="F660" s="95" t="s">
        <v>1962</v>
      </c>
      <c r="G660" s="95"/>
      <c r="H660" s="96" t="s">
        <v>1989</v>
      </c>
      <c r="I660" s="1188">
        <v>30982</v>
      </c>
      <c r="J660" s="1187">
        <v>11000</v>
      </c>
      <c r="K660" s="1189"/>
      <c r="L660" s="1188"/>
      <c r="M660" s="97">
        <f>ROUND(I660*J660,0)</f>
        <v>340802000</v>
      </c>
      <c r="N660" s="85" t="s">
        <v>282</v>
      </c>
      <c r="O660" s="85" t="s">
        <v>274</v>
      </c>
      <c r="P660" s="84" t="str">
        <f>IF(AND('331-CT'!$E$7=TH!H660,OR(N660="331",O660="331")),"x","")</f>
        <v/>
      </c>
      <c r="Q660" s="84" t="str">
        <f>IF(AND(B660='111'!$L$11,OR($N660=$Q$7,$O660=$Q$7)),"x","")</f>
        <v/>
      </c>
      <c r="R660" s="84" t="str">
        <f>IF(AND($N660=$Q$7,$B660&lt;'111'!$L$11),"x","")</f>
        <v/>
      </c>
      <c r="S660" s="84" t="str">
        <f>IF(AND($O660=$Q$7,$B660&lt;'111'!$L$11),"x","")</f>
        <v/>
      </c>
      <c r="T660" s="84" t="str">
        <f>IF(ISERROR(FIND('112'!$M$9,G660,1)),"",IF((AND(FIND('112'!$M$9,G660,1)&gt;=1,B660='112'!$K$9,OR($N660='112'!$I$6,$O660='112'!$I$6))),"x",""))</f>
        <v/>
      </c>
      <c r="U660" s="84" t="str">
        <f>IF(ISERROR(FIND('112'!$M$9,G660,1)),"",IF((AND(LEFT(G660,2)=LEFT('112'!$M$9,2),B660&lt;'112'!$K$9,$N660='112'!$I$6)),"x",""))</f>
        <v/>
      </c>
      <c r="V660" s="84" t="str">
        <f>IF(ISERROR(FIND('112'!$M$9,G660,1)),"",IF((AND(RIGHT(G660,2)=RIGHT('112'!$M$9,2),B660&lt;'112'!$K$9,$O660='112'!$I$6)),"x",""))</f>
        <v/>
      </c>
      <c r="W660" s="84" t="str">
        <f>IF(AND('341-CT'!$H$9=H660,OR(LEFT(N660,3)=$W$7,LEFT(O660,3)=$W$7)),"x","")</f>
        <v/>
      </c>
      <c r="X660" s="84" t="str">
        <f>IF(OR(TH!N660=TH!$X$7,O660=TH!$X$7),"x","")</f>
        <v/>
      </c>
      <c r="Y660" s="84" t="str">
        <f>IF(AND(OR(N660="131",O660="131"),H660='131-CT'!$H$9),"x","")</f>
        <v/>
      </c>
      <c r="Z660" s="84"/>
      <c r="AA660" s="84" t="str">
        <f>IF(AND(MONTH(E660)='IN-NX'!$J$5,'IN-NX'!$D$7=D660),"x","")</f>
        <v/>
      </c>
      <c r="AB660" s="84" t="str">
        <f>IF(AND(OR(LEFT(TH!N660,2)="15",LEFT(TH!O660,2)="15"),LEFT(TH!O660,3)&lt;&gt;"111",'152-CT'!$J$8=TH!F660),"x","")</f>
        <v/>
      </c>
      <c r="AC660" s="84" t="str">
        <f>IF(AND(OR(LEFT(TH!N660,2)="15",LEFT(TH!O660,2)="15"),TK!$E$7=TH!F660),"x","")</f>
        <v/>
      </c>
      <c r="AD660" s="84" t="str">
        <f>IF(AND(N660="1521",MONTH(C660)='BK-NL'!$M$11),"x","")</f>
        <v/>
      </c>
    </row>
    <row r="661" spans="1:31" s="341" customFormat="1" ht="15.75" hidden="1" customHeight="1">
      <c r="A661" s="336" t="str">
        <f>IF(B661&lt;&gt;"",IF(AND(B661='IN-TC'!$S$4,OR(TH!N661="1111",TH!O661="1111")),TH!D661,""),"")</f>
        <v/>
      </c>
      <c r="B661" s="63">
        <f>IF(C661&lt;&gt;"",MONTH(C661),"")</f>
        <v>7</v>
      </c>
      <c r="C661" s="94">
        <f>E661</f>
        <v>42560</v>
      </c>
      <c r="D661" s="94" t="s">
        <v>694</v>
      </c>
      <c r="E661" s="94">
        <v>42560</v>
      </c>
      <c r="F661" s="95" t="s">
        <v>1962</v>
      </c>
      <c r="G661" s="95"/>
      <c r="H661" s="96" t="s">
        <v>1989</v>
      </c>
      <c r="I661" s="1188">
        <v>33193</v>
      </c>
      <c r="J661" s="1187">
        <v>11000</v>
      </c>
      <c r="K661" s="1189"/>
      <c r="L661" s="1188"/>
      <c r="M661" s="97">
        <f>ROUND(I661*J661,0)</f>
        <v>365123000</v>
      </c>
      <c r="N661" s="85" t="s">
        <v>282</v>
      </c>
      <c r="O661" s="85" t="s">
        <v>274</v>
      </c>
      <c r="P661" s="84" t="str">
        <f>IF(AND('331-CT'!$E$7=TH!H661,OR(N661="331",O661="331")),"x","")</f>
        <v/>
      </c>
      <c r="Q661" s="84" t="str">
        <f>IF(AND(B661='111'!$L$11,OR($N661=$Q$7,$O661=$Q$7)),"x","")</f>
        <v/>
      </c>
      <c r="R661" s="84" t="str">
        <f>IF(AND($N661=$Q$7,$B661&lt;'111'!$L$11),"x","")</f>
        <v/>
      </c>
      <c r="S661" s="84" t="str">
        <f>IF(AND($O661=$Q$7,$B661&lt;'111'!$L$11),"x","")</f>
        <v/>
      </c>
      <c r="T661" s="84" t="str">
        <f>IF(ISERROR(FIND('112'!$M$9,G661,1)),"",IF((AND(FIND('112'!$M$9,G661,1)&gt;=1,B661='112'!$K$9,OR($N661='112'!$I$6,$O661='112'!$I$6))),"x",""))</f>
        <v/>
      </c>
      <c r="U661" s="84" t="str">
        <f>IF(ISERROR(FIND('112'!$M$9,G661,1)),"",IF((AND(LEFT(G661,2)=LEFT('112'!$M$9,2),B661&lt;'112'!$K$9,$N661='112'!$I$6)),"x",""))</f>
        <v/>
      </c>
      <c r="V661" s="84" t="str">
        <f>IF(ISERROR(FIND('112'!$M$9,G661,1)),"",IF((AND(RIGHT(G661,2)=RIGHT('112'!$M$9,2),B661&lt;'112'!$K$9,$O661='112'!$I$6)),"x",""))</f>
        <v/>
      </c>
      <c r="W661" s="84" t="str">
        <f>IF(AND('341-CT'!$H$9=H661,OR(LEFT(N661,3)=$W$7,LEFT(O661,3)=$W$7)),"x","")</f>
        <v/>
      </c>
      <c r="X661" s="84" t="str">
        <f>IF(OR(TH!N661=TH!$X$7,O661=TH!$X$7),"x","")</f>
        <v/>
      </c>
      <c r="Y661" s="84" t="str">
        <f>IF(AND(OR(N661="131",O661="131"),H661='131-CT'!$H$9),"x","")</f>
        <v/>
      </c>
      <c r="Z661" s="84"/>
      <c r="AA661" s="84" t="str">
        <f>IF(AND(MONTH(E661)='IN-NX'!$J$5,'IN-NX'!$D$7=D661),"x","")</f>
        <v/>
      </c>
      <c r="AB661" s="84" t="str">
        <f>IF(AND(OR(LEFT(TH!N661,2)="15",LEFT(TH!O661,2)="15"),LEFT(TH!O661,3)&lt;&gt;"111",'152-CT'!$J$8=TH!F661),"x","")</f>
        <v/>
      </c>
      <c r="AC661" s="84" t="str">
        <f>IF(AND(OR(LEFT(TH!N661,2)="15",LEFT(TH!O661,2)="15"),TK!$E$7=TH!F661),"x","")</f>
        <v/>
      </c>
      <c r="AD661" s="84" t="str">
        <f>IF(AND(N661="1521",MONTH(C661)='BK-NL'!$M$11),"x","")</f>
        <v/>
      </c>
    </row>
    <row r="662" spans="1:31" s="341" customFormat="1" ht="15.75" hidden="1" customHeight="1">
      <c r="A662" s="336" t="str">
        <f>IF(B662&lt;&gt;"",IF(AND(B662='IN-TC'!$S$4,OR(TH!N662="1111",TH!O662="1111")),TH!D662,""),"")</f>
        <v/>
      </c>
      <c r="B662" s="63">
        <f>IF(C662&lt;&gt;"",MONTH(C662),"")</f>
        <v>7</v>
      </c>
      <c r="C662" s="94">
        <f>E662</f>
        <v>42566</v>
      </c>
      <c r="D662" s="94" t="s">
        <v>694</v>
      </c>
      <c r="E662" s="94">
        <v>42566</v>
      </c>
      <c r="F662" s="95" t="s">
        <v>1962</v>
      </c>
      <c r="G662" s="95"/>
      <c r="H662" s="96" t="s">
        <v>1989</v>
      </c>
      <c r="I662" s="1188">
        <v>30825</v>
      </c>
      <c r="J662" s="1187">
        <v>11000</v>
      </c>
      <c r="K662" s="1189"/>
      <c r="L662" s="1188"/>
      <c r="M662" s="97">
        <f>ROUND(I662*J662,0)</f>
        <v>339075000</v>
      </c>
      <c r="N662" s="85" t="s">
        <v>282</v>
      </c>
      <c r="O662" s="85" t="s">
        <v>274</v>
      </c>
      <c r="P662" s="84" t="str">
        <f>IF(AND('331-CT'!$E$7=TH!H662,OR(N662="331",O662="331")),"x","")</f>
        <v/>
      </c>
      <c r="Q662" s="84" t="str">
        <f>IF(AND(B662='111'!$L$11,OR($N662=$Q$7,$O662=$Q$7)),"x","")</f>
        <v/>
      </c>
      <c r="R662" s="84" t="str">
        <f>IF(AND($N662=$Q$7,$B662&lt;'111'!$L$11),"x","")</f>
        <v/>
      </c>
      <c r="S662" s="84" t="str">
        <f>IF(AND($O662=$Q$7,$B662&lt;'111'!$L$11),"x","")</f>
        <v/>
      </c>
      <c r="T662" s="84" t="str">
        <f>IF(ISERROR(FIND('112'!$M$9,G662,1)),"",IF((AND(FIND('112'!$M$9,G662,1)&gt;=1,B662='112'!$K$9,OR($N662='112'!$I$6,$O662='112'!$I$6))),"x",""))</f>
        <v/>
      </c>
      <c r="U662" s="84" t="str">
        <f>IF(ISERROR(FIND('112'!$M$9,G662,1)),"",IF((AND(LEFT(G662,2)=LEFT('112'!$M$9,2),B662&lt;'112'!$K$9,$N662='112'!$I$6)),"x",""))</f>
        <v/>
      </c>
      <c r="V662" s="84" t="str">
        <f>IF(ISERROR(FIND('112'!$M$9,G662,1)),"",IF((AND(RIGHT(G662,2)=RIGHT('112'!$M$9,2),B662&lt;'112'!$K$9,$O662='112'!$I$6)),"x",""))</f>
        <v/>
      </c>
      <c r="W662" s="84" t="str">
        <f>IF(AND('341-CT'!$H$9=H662,OR(LEFT(N662,3)=$W$7,LEFT(O662,3)=$W$7)),"x","")</f>
        <v/>
      </c>
      <c r="X662" s="84" t="str">
        <f>IF(OR(TH!N662=TH!$X$7,O662=TH!$X$7),"x","")</f>
        <v/>
      </c>
      <c r="Y662" s="84" t="str">
        <f>IF(AND(OR(N662="131",O662="131"),H662='131-CT'!$H$9),"x","")</f>
        <v/>
      </c>
      <c r="Z662" s="84"/>
      <c r="AA662" s="84" t="str">
        <f>IF(AND(MONTH(E662)='IN-NX'!$J$5,'IN-NX'!$D$7=D662),"x","")</f>
        <v/>
      </c>
      <c r="AB662" s="84" t="str">
        <f>IF(AND(OR(LEFT(TH!N662,2)="15",LEFT(TH!O662,2)="15"),LEFT(TH!O662,3)&lt;&gt;"111",'152-CT'!$J$8=TH!F662),"x","")</f>
        <v/>
      </c>
      <c r="AC662" s="84" t="str">
        <f>IF(AND(OR(LEFT(TH!N662,2)="15",LEFT(TH!O662,2)="15"),TK!$E$7=TH!F662),"x","")</f>
        <v/>
      </c>
      <c r="AD662" s="84" t="str">
        <f>IF(AND(N662="1521",MONTH(C662)='BK-NL'!$M$11),"x","")</f>
        <v/>
      </c>
    </row>
    <row r="663" spans="1:31" ht="15.75" hidden="1" customHeight="1">
      <c r="A663" s="336" t="str">
        <f>IF(B663&lt;&gt;"",IF(AND(B663='IN-TC'!$S$4,OR(TH!N663="1111",TH!O663="1111")),TH!D663,""),"")</f>
        <v/>
      </c>
      <c r="B663" s="63">
        <f t="shared" ref="B663:B678" si="152">IF(C663&lt;&gt;"",MONTH(C663),"")</f>
        <v>8</v>
      </c>
      <c r="C663" s="80">
        <f t="shared" si="146"/>
        <v>42583</v>
      </c>
      <c r="D663" s="80" t="s">
        <v>938</v>
      </c>
      <c r="E663" s="80">
        <v>42583</v>
      </c>
      <c r="F663" s="81" t="s">
        <v>1987</v>
      </c>
      <c r="G663" s="81"/>
      <c r="H663" s="89" t="s">
        <v>383</v>
      </c>
      <c r="I663" s="438">
        <v>11020</v>
      </c>
      <c r="J663" s="438">
        <v>20000</v>
      </c>
      <c r="K663" s="429"/>
      <c r="L663" s="438"/>
      <c r="M663" s="83">
        <f t="shared" si="147"/>
        <v>220400000</v>
      </c>
      <c r="N663" s="84" t="s">
        <v>274</v>
      </c>
      <c r="O663" s="84" t="s">
        <v>8</v>
      </c>
      <c r="P663" s="84" t="str">
        <f>IF(AND('331-CT'!$E$7=TH!H663,OR(N663="331",O663="331")),"x","")</f>
        <v/>
      </c>
      <c r="Q663" s="84" t="str">
        <f>IF(AND(B663='111'!$L$11,OR($N663=$Q$7,$O663=$Q$7)),"x","")</f>
        <v/>
      </c>
      <c r="R663" s="84" t="str">
        <f>IF(AND($N663=$Q$7,$B663&lt;'111'!$L$11),"x","")</f>
        <v/>
      </c>
      <c r="S663" s="84" t="str">
        <f>IF(AND($O663=$Q$7,$B663&lt;'111'!$L$11),"x","")</f>
        <v/>
      </c>
      <c r="T663" s="84" t="str">
        <f>IF(ISERROR(FIND('112'!$M$9,G663,1)),"",IF((AND(FIND('112'!$M$9,G663,1)&gt;=1,B663='112'!$K$9,OR($N663='112'!$I$6,$O663='112'!$I$6))),"x",""))</f>
        <v/>
      </c>
      <c r="U663" s="84" t="str">
        <f>IF(ISERROR(FIND('112'!$M$9,G663,1)),"",IF((AND(LEFT(G663,2)=LEFT('112'!$M$9,2),B663&lt;'112'!$K$9,$N663='112'!$I$6)),"x",""))</f>
        <v/>
      </c>
      <c r="V663" s="84" t="str">
        <f>IF(ISERROR(FIND('112'!$M$9,G663,1)),"",IF((AND(RIGHT(G663,2)=RIGHT('112'!$M$9,2),B663&lt;'112'!$K$9,$O663='112'!$I$6)),"x",""))</f>
        <v/>
      </c>
      <c r="W663" s="84" t="str">
        <f>IF(AND('341-CT'!$H$9=H663,OR(LEFT(N663,3)=$W$7,LEFT(O663,3)=$W$7)),"x","")</f>
        <v/>
      </c>
      <c r="X663" s="84" t="str">
        <f>IF(OR(TH!N663=TH!$X$7,O663=TH!$X$7),"x","")</f>
        <v/>
      </c>
      <c r="Y663" s="84" t="str">
        <f>IF(AND(OR(N663="131",O663="131"),H663='131-CT'!$H$9),"x","")</f>
        <v/>
      </c>
      <c r="Z663" s="84"/>
      <c r="AA663" s="84" t="str">
        <f>IF(AND(MONTH(E663)='IN-NX'!$J$5,'IN-NX'!$D$7=D663),"x","")</f>
        <v/>
      </c>
      <c r="AB663" s="84" t="str">
        <f>IF(AND(OR(LEFT(TH!N663,2)="15",LEFT(TH!O663,2)="15"),LEFT(TH!O663,3)&lt;&gt;"111",'152-CT'!$J$8=TH!F663),"x","")</f>
        <v/>
      </c>
      <c r="AC663" s="84" t="str">
        <f>IF(AND(OR(LEFT(TH!N663,2)="15",LEFT(TH!O663,2)="15"),TK!$E$7=TH!F663),"x","")</f>
        <v/>
      </c>
      <c r="AD663" s="84" t="str">
        <f>IF(AND(N663="1521",MONTH(C663)='BK-NL'!$M$11),"x","")</f>
        <v/>
      </c>
      <c r="AE663" s="1146" t="str">
        <f t="shared" ref="AE663:AE674" si="153">IF(H663&lt;&gt;VLOOKUP(H663,DSKH,1,0),"","x")</f>
        <v>x</v>
      </c>
    </row>
    <row r="664" spans="1:31" ht="15.75" hidden="1" customHeight="1">
      <c r="A664" s="336" t="str">
        <f>IF(B664&lt;&gt;"",IF(AND(B664='IN-TC'!$S$4,OR(TH!N664="1111",TH!O664="1111")),TH!D664,""),"")</f>
        <v/>
      </c>
      <c r="B664" s="63">
        <f t="shared" si="152"/>
        <v>8</v>
      </c>
      <c r="C664" s="80">
        <f t="shared" si="146"/>
        <v>42583</v>
      </c>
      <c r="D664" s="80" t="s">
        <v>939</v>
      </c>
      <c r="E664" s="80">
        <v>42583</v>
      </c>
      <c r="F664" s="81" t="s">
        <v>1987</v>
      </c>
      <c r="G664" s="81"/>
      <c r="H664" s="82" t="s">
        <v>385</v>
      </c>
      <c r="I664" s="437">
        <v>10450</v>
      </c>
      <c r="J664" s="438">
        <v>20000</v>
      </c>
      <c r="K664" s="428"/>
      <c r="L664" s="437"/>
      <c r="M664" s="83">
        <f t="shared" si="147"/>
        <v>209000000</v>
      </c>
      <c r="N664" s="84" t="s">
        <v>274</v>
      </c>
      <c r="O664" s="84" t="s">
        <v>8</v>
      </c>
      <c r="P664" s="84" t="str">
        <f>IF(AND('331-CT'!$E$7=TH!H664,OR(N664="331",O664="331")),"x","")</f>
        <v/>
      </c>
      <c r="Q664" s="84" t="str">
        <f>IF(AND(B664='111'!$L$11,OR($N664=$Q$7,$O664=$Q$7)),"x","")</f>
        <v/>
      </c>
      <c r="R664" s="84" t="str">
        <f>IF(AND($N664=$Q$7,$B664&lt;'111'!$L$11),"x","")</f>
        <v/>
      </c>
      <c r="S664" s="84" t="str">
        <f>IF(AND($O664=$Q$7,$B664&lt;'111'!$L$11),"x","")</f>
        <v/>
      </c>
      <c r="T664" s="84" t="str">
        <f>IF(ISERROR(FIND('112'!$M$9,G664,1)),"",IF((AND(FIND('112'!$M$9,G664,1)&gt;=1,B664='112'!$K$9,OR($N664='112'!$I$6,$O664='112'!$I$6))),"x",""))</f>
        <v/>
      </c>
      <c r="U664" s="84" t="str">
        <f>IF(ISERROR(FIND('112'!$M$9,G664,1)),"",IF((AND(LEFT(G664,2)=LEFT('112'!$M$9,2),B664&lt;'112'!$K$9,$N664='112'!$I$6)),"x",""))</f>
        <v/>
      </c>
      <c r="V664" s="84" t="str">
        <f>IF(ISERROR(FIND('112'!$M$9,G664,1)),"",IF((AND(RIGHT(G664,2)=RIGHT('112'!$M$9,2),B664&lt;'112'!$K$9,$O664='112'!$I$6)),"x",""))</f>
        <v/>
      </c>
      <c r="W664" s="84" t="str">
        <f>IF(AND('341-CT'!$H$9=H664,OR(LEFT(N664,3)=$W$7,LEFT(O664,3)=$W$7)),"x","")</f>
        <v/>
      </c>
      <c r="X664" s="84" t="str">
        <f>IF(OR(TH!N664=TH!$X$7,O664=TH!$X$7),"x","")</f>
        <v/>
      </c>
      <c r="Y664" s="84" t="str">
        <f>IF(AND(OR(N664="131",O664="131"),H664='131-CT'!$H$9),"x","")</f>
        <v/>
      </c>
      <c r="Z664" s="84"/>
      <c r="AA664" s="84" t="str">
        <f>IF(AND(MONTH(E664)='IN-NX'!$J$5,'IN-NX'!$D$7=D664),"x","")</f>
        <v/>
      </c>
      <c r="AB664" s="84" t="str">
        <f>IF(AND(OR(LEFT(TH!N664,2)="15",LEFT(TH!O664,2)="15"),LEFT(TH!O664,3)&lt;&gt;"111",'152-CT'!$J$8=TH!F664),"x","")</f>
        <v/>
      </c>
      <c r="AC664" s="84" t="str">
        <f>IF(AND(OR(LEFT(TH!N664,2)="15",LEFT(TH!O664,2)="15"),TK!$E$7=TH!F664),"x","")</f>
        <v/>
      </c>
      <c r="AD664" s="84" t="str">
        <f>IF(AND(N664="1521",MONTH(C664)='BK-NL'!$M$11),"x","")</f>
        <v/>
      </c>
      <c r="AE664" s="1146" t="str">
        <f t="shared" si="153"/>
        <v>x</v>
      </c>
    </row>
    <row r="665" spans="1:31" ht="15.75" hidden="1" customHeight="1">
      <c r="A665" s="336" t="str">
        <f>IF(B665&lt;&gt;"",IF(AND(B665='IN-TC'!$S$4,OR(TH!N665="1111",TH!O665="1111")),TH!D665,""),"")</f>
        <v/>
      </c>
      <c r="B665" s="63">
        <f t="shared" si="152"/>
        <v>8</v>
      </c>
      <c r="C665" s="80">
        <f t="shared" si="146"/>
        <v>42583</v>
      </c>
      <c r="D665" s="80" t="s">
        <v>940</v>
      </c>
      <c r="E665" s="80">
        <v>42583</v>
      </c>
      <c r="F665" s="81" t="s">
        <v>1987</v>
      </c>
      <c r="G665" s="81"/>
      <c r="H665" s="82" t="s">
        <v>1988</v>
      </c>
      <c r="I665" s="437">
        <v>11460</v>
      </c>
      <c r="J665" s="438">
        <v>20000</v>
      </c>
      <c r="K665" s="428"/>
      <c r="L665" s="437"/>
      <c r="M665" s="83">
        <f t="shared" si="147"/>
        <v>229200000</v>
      </c>
      <c r="N665" s="84" t="s">
        <v>274</v>
      </c>
      <c r="O665" s="84" t="s">
        <v>8</v>
      </c>
      <c r="P665" s="84" t="str">
        <f>IF(AND('331-CT'!$E$7=TH!H665,OR(N665="331",O665="331")),"x","")</f>
        <v/>
      </c>
      <c r="Q665" s="84" t="str">
        <f>IF(AND(B665='111'!$L$11,OR($N665=$Q$7,$O665=$Q$7)),"x","")</f>
        <v/>
      </c>
      <c r="R665" s="84" t="str">
        <f>IF(AND($N665=$Q$7,$B665&lt;'111'!$L$11),"x","")</f>
        <v/>
      </c>
      <c r="S665" s="84" t="str">
        <f>IF(AND($O665=$Q$7,$B665&lt;'111'!$L$11),"x","")</f>
        <v/>
      </c>
      <c r="T665" s="84" t="str">
        <f>IF(ISERROR(FIND('112'!$M$9,G665,1)),"",IF((AND(FIND('112'!$M$9,G665,1)&gt;=1,B665='112'!$K$9,OR($N665='112'!$I$6,$O665='112'!$I$6))),"x",""))</f>
        <v/>
      </c>
      <c r="U665" s="84" t="str">
        <f>IF(ISERROR(FIND('112'!$M$9,G665,1)),"",IF((AND(LEFT(G665,2)=LEFT('112'!$M$9,2),B665&lt;'112'!$K$9,$N665='112'!$I$6)),"x",""))</f>
        <v/>
      </c>
      <c r="V665" s="84" t="str">
        <f>IF(ISERROR(FIND('112'!$M$9,G665,1)),"",IF((AND(RIGHT(G665,2)=RIGHT('112'!$M$9,2),B665&lt;'112'!$K$9,$O665='112'!$I$6)),"x",""))</f>
        <v/>
      </c>
      <c r="W665" s="84" t="str">
        <f>IF(AND('341-CT'!$H$9=H665,OR(LEFT(N665,3)=$W$7,LEFT(O665,3)=$W$7)),"x","")</f>
        <v/>
      </c>
      <c r="X665" s="84" t="str">
        <f>IF(OR(TH!N665=TH!$X$7,O665=TH!$X$7),"x","")</f>
        <v/>
      </c>
      <c r="Y665" s="84" t="str">
        <f>IF(AND(OR(N665="131",O665="131"),H665='131-CT'!$H$9),"x","")</f>
        <v/>
      </c>
      <c r="Z665" s="84"/>
      <c r="AA665" s="84" t="str">
        <f>IF(AND(MONTH(E665)='IN-NX'!$J$5,'IN-NX'!$D$7=D665),"x","")</f>
        <v/>
      </c>
      <c r="AB665" s="84" t="str">
        <f>IF(AND(OR(LEFT(TH!N665,2)="15",LEFT(TH!O665,2)="15"),LEFT(TH!O665,3)&lt;&gt;"111",'152-CT'!$J$8=TH!F665),"x","")</f>
        <v/>
      </c>
      <c r="AC665" s="84" t="str">
        <f>IF(AND(OR(LEFT(TH!N665,2)="15",LEFT(TH!O665,2)="15"),TK!$E$7=TH!F665),"x","")</f>
        <v/>
      </c>
      <c r="AD665" s="84" t="str">
        <f>IF(AND(N665="1521",MONTH(C665)='BK-NL'!$M$11),"x","")</f>
        <v/>
      </c>
      <c r="AE665" s="1146" t="str">
        <f t="shared" si="153"/>
        <v>x</v>
      </c>
    </row>
    <row r="666" spans="1:31" ht="15.75" hidden="1" customHeight="1">
      <c r="A666" s="336" t="str">
        <f>IF(B666&lt;&gt;"",IF(AND(B666='IN-TC'!$S$4,OR(TH!N666="1111",TH!O666="1111")),TH!D666,""),"")</f>
        <v/>
      </c>
      <c r="B666" s="63">
        <f t="shared" si="152"/>
        <v>8</v>
      </c>
      <c r="C666" s="80">
        <f t="shared" si="146"/>
        <v>42583</v>
      </c>
      <c r="D666" s="80" t="s">
        <v>941</v>
      </c>
      <c r="E666" s="80">
        <v>42583</v>
      </c>
      <c r="F666" s="81" t="s">
        <v>1987</v>
      </c>
      <c r="G666" s="81"/>
      <c r="H666" s="82" t="s">
        <v>388</v>
      </c>
      <c r="I666" s="437">
        <v>10289</v>
      </c>
      <c r="J666" s="438">
        <v>20000</v>
      </c>
      <c r="K666" s="428"/>
      <c r="L666" s="437"/>
      <c r="M666" s="83">
        <f t="shared" si="147"/>
        <v>205780000</v>
      </c>
      <c r="N666" s="84" t="s">
        <v>274</v>
      </c>
      <c r="O666" s="84" t="s">
        <v>8</v>
      </c>
      <c r="P666" s="84" t="str">
        <f>IF(AND('331-CT'!$E$7=TH!H666,OR(N666="331",O666="331")),"x","")</f>
        <v/>
      </c>
      <c r="Q666" s="84" t="str">
        <f>IF(AND(B666='111'!$L$11,OR($N666=$Q$7,$O666=$Q$7)),"x","")</f>
        <v/>
      </c>
      <c r="R666" s="84" t="str">
        <f>IF(AND($N666=$Q$7,$B666&lt;'111'!$L$11),"x","")</f>
        <v/>
      </c>
      <c r="S666" s="84" t="str">
        <f>IF(AND($O666=$Q$7,$B666&lt;'111'!$L$11),"x","")</f>
        <v/>
      </c>
      <c r="T666" s="84" t="str">
        <f>IF(ISERROR(FIND('112'!$M$9,G666,1)),"",IF((AND(FIND('112'!$M$9,G666,1)&gt;=1,B666='112'!$K$9,OR($N666='112'!$I$6,$O666='112'!$I$6))),"x",""))</f>
        <v/>
      </c>
      <c r="U666" s="84" t="str">
        <f>IF(ISERROR(FIND('112'!$M$9,G666,1)),"",IF((AND(LEFT(G666,2)=LEFT('112'!$M$9,2),B666&lt;'112'!$K$9,$N666='112'!$I$6)),"x",""))</f>
        <v/>
      </c>
      <c r="V666" s="84" t="str">
        <f>IF(ISERROR(FIND('112'!$M$9,G666,1)),"",IF((AND(RIGHT(G666,2)=RIGHT('112'!$M$9,2),B666&lt;'112'!$K$9,$O666='112'!$I$6)),"x",""))</f>
        <v/>
      </c>
      <c r="W666" s="84" t="str">
        <f>IF(AND('341-CT'!$H$9=H666,OR(LEFT(N666,3)=$W$7,LEFT(O666,3)=$W$7)),"x","")</f>
        <v/>
      </c>
      <c r="X666" s="84" t="str">
        <f>IF(OR(TH!N666=TH!$X$7,O666=TH!$X$7),"x","")</f>
        <v/>
      </c>
      <c r="Y666" s="84" t="str">
        <f>IF(AND(OR(N666="131",O666="131"),H666='131-CT'!$H$9),"x","")</f>
        <v/>
      </c>
      <c r="Z666" s="84"/>
      <c r="AA666" s="84" t="str">
        <f>IF(AND(MONTH(E666)='IN-NX'!$J$5,'IN-NX'!$D$7=D666),"x","")</f>
        <v/>
      </c>
      <c r="AB666" s="84" t="str">
        <f>IF(AND(OR(LEFT(TH!N666,2)="15",LEFT(TH!O666,2)="15"),LEFT(TH!O666,3)&lt;&gt;"111",'152-CT'!$J$8=TH!F666),"x","")</f>
        <v/>
      </c>
      <c r="AC666" s="84" t="str">
        <f>IF(AND(OR(LEFT(TH!N666,2)="15",LEFT(TH!O666,2)="15"),TK!$E$7=TH!F666),"x","")</f>
        <v/>
      </c>
      <c r="AD666" s="84" t="str">
        <f>IF(AND(N666="1521",MONTH(C666)='BK-NL'!$M$11),"x","")</f>
        <v/>
      </c>
      <c r="AE666" s="1146" t="str">
        <f t="shared" si="153"/>
        <v>x</v>
      </c>
    </row>
    <row r="667" spans="1:31" ht="15.75" hidden="1" customHeight="1">
      <c r="A667" s="336" t="str">
        <f>IF(B667&lt;&gt;"",IF(AND(B667='IN-TC'!$S$4,OR(TH!N667="1111",TH!O667="1111")),TH!D667,""),"")</f>
        <v/>
      </c>
      <c r="B667" s="63">
        <f t="shared" si="152"/>
        <v>8</v>
      </c>
      <c r="C667" s="80">
        <f t="shared" si="146"/>
        <v>42588</v>
      </c>
      <c r="D667" s="80" t="s">
        <v>951</v>
      </c>
      <c r="E667" s="80">
        <v>42588</v>
      </c>
      <c r="F667" s="81" t="s">
        <v>1987</v>
      </c>
      <c r="G667" s="81"/>
      <c r="H667" s="82" t="s">
        <v>391</v>
      </c>
      <c r="I667" s="437">
        <v>10456</v>
      </c>
      <c r="J667" s="438">
        <v>20000</v>
      </c>
      <c r="K667" s="428"/>
      <c r="L667" s="437"/>
      <c r="M667" s="83">
        <f t="shared" si="147"/>
        <v>209120000</v>
      </c>
      <c r="N667" s="84" t="s">
        <v>274</v>
      </c>
      <c r="O667" s="84" t="s">
        <v>8</v>
      </c>
      <c r="P667" s="84" t="str">
        <f>IF(AND('331-CT'!$E$7=TH!H667,OR(N667="331",O667="331")),"x","")</f>
        <v/>
      </c>
      <c r="Q667" s="84" t="str">
        <f>IF(AND(B667='111'!$L$11,OR($N667=$Q$7,$O667=$Q$7)),"x","")</f>
        <v/>
      </c>
      <c r="R667" s="84" t="str">
        <f>IF(AND($N667=$Q$7,$B667&lt;'111'!$L$11),"x","")</f>
        <v/>
      </c>
      <c r="S667" s="84" t="str">
        <f>IF(AND($O667=$Q$7,$B667&lt;'111'!$L$11),"x","")</f>
        <v/>
      </c>
      <c r="T667" s="84" t="str">
        <f>IF(ISERROR(FIND('112'!$M$9,G667,1)),"",IF((AND(FIND('112'!$M$9,G667,1)&gt;=1,B667='112'!$K$9,OR($N667='112'!$I$6,$O667='112'!$I$6))),"x",""))</f>
        <v/>
      </c>
      <c r="U667" s="84" t="str">
        <f>IF(ISERROR(FIND('112'!$M$9,G667,1)),"",IF((AND(LEFT(G667,2)=LEFT('112'!$M$9,2),B667&lt;'112'!$K$9,$N667='112'!$I$6)),"x",""))</f>
        <v/>
      </c>
      <c r="V667" s="84" t="str">
        <f>IF(ISERROR(FIND('112'!$M$9,G667,1)),"",IF((AND(RIGHT(G667,2)=RIGHT('112'!$M$9,2),B667&lt;'112'!$K$9,$O667='112'!$I$6)),"x",""))</f>
        <v/>
      </c>
      <c r="W667" s="84" t="str">
        <f>IF(AND('341-CT'!$H$9=H667,OR(LEFT(N667,3)=$W$7,LEFT(O667,3)=$W$7)),"x","")</f>
        <v/>
      </c>
      <c r="X667" s="84" t="str">
        <f>IF(OR(TH!N667=TH!$X$7,O667=TH!$X$7),"x","")</f>
        <v/>
      </c>
      <c r="Y667" s="84" t="str">
        <f>IF(AND(OR(N667="131",O667="131"),H667='131-CT'!$H$9),"x","")</f>
        <v/>
      </c>
      <c r="Z667" s="84"/>
      <c r="AA667" s="84" t="str">
        <f>IF(AND(MONTH(E667)='IN-NX'!$J$5,'IN-NX'!$D$7=D667),"x","")</f>
        <v/>
      </c>
      <c r="AB667" s="84" t="str">
        <f>IF(AND(OR(LEFT(TH!N667,2)="15",LEFT(TH!O667,2)="15"),LEFT(TH!O667,3)&lt;&gt;"111",'152-CT'!$J$8=TH!F667),"x","")</f>
        <v/>
      </c>
      <c r="AC667" s="84" t="str">
        <f>IF(AND(OR(LEFT(TH!N667,2)="15",LEFT(TH!O667,2)="15"),TK!$E$7=TH!F667),"x","")</f>
        <v/>
      </c>
      <c r="AD667" s="84" t="str">
        <f>IF(AND(N667="1521",MONTH(C667)='BK-NL'!$M$11),"x","")</f>
        <v/>
      </c>
      <c r="AE667" s="1146" t="str">
        <f t="shared" si="153"/>
        <v>x</v>
      </c>
    </row>
    <row r="668" spans="1:31" ht="15.75" hidden="1" customHeight="1">
      <c r="A668" s="336" t="str">
        <f>IF(B668&lt;&gt;"",IF(AND(B668='IN-TC'!$S$4,OR(TH!N668="1111",TH!O668="1111")),TH!D668,""),"")</f>
        <v/>
      </c>
      <c r="B668" s="63">
        <f t="shared" si="152"/>
        <v>8</v>
      </c>
      <c r="C668" s="80">
        <f t="shared" si="146"/>
        <v>42588</v>
      </c>
      <c r="D668" s="80" t="s">
        <v>952</v>
      </c>
      <c r="E668" s="80">
        <v>42588</v>
      </c>
      <c r="F668" s="81" t="s">
        <v>1987</v>
      </c>
      <c r="G668" s="81"/>
      <c r="H668" s="82" t="s">
        <v>393</v>
      </c>
      <c r="I668" s="437">
        <v>10479</v>
      </c>
      <c r="J668" s="438">
        <v>20000</v>
      </c>
      <c r="K668" s="428"/>
      <c r="L668" s="437"/>
      <c r="M668" s="83">
        <f t="shared" si="147"/>
        <v>209580000</v>
      </c>
      <c r="N668" s="84" t="s">
        <v>274</v>
      </c>
      <c r="O668" s="84" t="s">
        <v>8</v>
      </c>
      <c r="P668" s="84" t="str">
        <f>IF(AND('331-CT'!$E$7=TH!H668,OR(N668="331",O668="331")),"x","")</f>
        <v/>
      </c>
      <c r="Q668" s="84" t="str">
        <f>IF(AND(B668='111'!$L$11,OR($N668=$Q$7,$O668=$Q$7)),"x","")</f>
        <v/>
      </c>
      <c r="R668" s="84" t="str">
        <f>IF(AND($N668=$Q$7,$B668&lt;'111'!$L$11),"x","")</f>
        <v/>
      </c>
      <c r="S668" s="84" t="str">
        <f>IF(AND($O668=$Q$7,$B668&lt;'111'!$L$11),"x","")</f>
        <v/>
      </c>
      <c r="T668" s="84" t="str">
        <f>IF(ISERROR(FIND('112'!$M$9,G668,1)),"",IF((AND(FIND('112'!$M$9,G668,1)&gt;=1,B668='112'!$K$9,OR($N668='112'!$I$6,$O668='112'!$I$6))),"x",""))</f>
        <v/>
      </c>
      <c r="U668" s="84" t="str">
        <f>IF(ISERROR(FIND('112'!$M$9,G668,1)),"",IF((AND(LEFT(G668,2)=LEFT('112'!$M$9,2),B668&lt;'112'!$K$9,$N668='112'!$I$6)),"x",""))</f>
        <v/>
      </c>
      <c r="V668" s="84" t="str">
        <f>IF(ISERROR(FIND('112'!$M$9,G668,1)),"",IF((AND(RIGHT(G668,2)=RIGHT('112'!$M$9,2),B668&lt;'112'!$K$9,$O668='112'!$I$6)),"x",""))</f>
        <v/>
      </c>
      <c r="W668" s="84" t="str">
        <f>IF(AND('341-CT'!$H$9=H668,OR(LEFT(N668,3)=$W$7,LEFT(O668,3)=$W$7)),"x","")</f>
        <v/>
      </c>
      <c r="X668" s="84" t="str">
        <f>IF(OR(TH!N668=TH!$X$7,O668=TH!$X$7),"x","")</f>
        <v/>
      </c>
      <c r="Y668" s="84" t="str">
        <f>IF(AND(OR(N668="131",O668="131"),H668='131-CT'!$H$9),"x","")</f>
        <v/>
      </c>
      <c r="Z668" s="84"/>
      <c r="AA668" s="84" t="str">
        <f>IF(AND(MONTH(E668)='IN-NX'!$J$5,'IN-NX'!$D$7=D668),"x","")</f>
        <v/>
      </c>
      <c r="AB668" s="84" t="str">
        <f>IF(AND(OR(LEFT(TH!N668,2)="15",LEFT(TH!O668,2)="15"),LEFT(TH!O668,3)&lt;&gt;"111",'152-CT'!$J$8=TH!F668),"x","")</f>
        <v/>
      </c>
      <c r="AC668" s="84" t="str">
        <f>IF(AND(OR(LEFT(TH!N668,2)="15",LEFT(TH!O668,2)="15"),TK!$E$7=TH!F668),"x","")</f>
        <v/>
      </c>
      <c r="AD668" s="84" t="str">
        <f>IF(AND(N668="1521",MONTH(C668)='BK-NL'!$M$11),"x","")</f>
        <v/>
      </c>
      <c r="AE668" s="1146" t="str">
        <f t="shared" si="153"/>
        <v>x</v>
      </c>
    </row>
    <row r="669" spans="1:31" ht="15.75" hidden="1" customHeight="1">
      <c r="A669" s="336" t="str">
        <f>IF(B669&lt;&gt;"",IF(AND(B669='IN-TC'!$S$4,OR(TH!N669="1111",TH!O669="1111")),TH!D669,""),"")</f>
        <v/>
      </c>
      <c r="B669" s="63">
        <f t="shared" si="152"/>
        <v>8</v>
      </c>
      <c r="C669" s="80">
        <f t="shared" si="146"/>
        <v>42588</v>
      </c>
      <c r="D669" s="80" t="s">
        <v>953</v>
      </c>
      <c r="E669" s="80">
        <v>42588</v>
      </c>
      <c r="F669" s="81" t="s">
        <v>1987</v>
      </c>
      <c r="G669" s="81"/>
      <c r="H669" s="82" t="s">
        <v>383</v>
      </c>
      <c r="I669" s="437">
        <v>11204</v>
      </c>
      <c r="J669" s="438">
        <v>20000</v>
      </c>
      <c r="K669" s="428"/>
      <c r="L669" s="437"/>
      <c r="M669" s="83">
        <f t="shared" si="147"/>
        <v>224080000</v>
      </c>
      <c r="N669" s="84" t="s">
        <v>274</v>
      </c>
      <c r="O669" s="84" t="s">
        <v>8</v>
      </c>
      <c r="P669" s="84" t="str">
        <f>IF(AND('331-CT'!$E$7=TH!H669,OR(N669="331",O669="331")),"x","")</f>
        <v/>
      </c>
      <c r="Q669" s="84" t="str">
        <f>IF(AND(B669='111'!$L$11,OR($N669=$Q$7,$O669=$Q$7)),"x","")</f>
        <v/>
      </c>
      <c r="R669" s="84" t="str">
        <f>IF(AND($N669=$Q$7,$B669&lt;'111'!$L$11),"x","")</f>
        <v/>
      </c>
      <c r="S669" s="84" t="str">
        <f>IF(AND($O669=$Q$7,$B669&lt;'111'!$L$11),"x","")</f>
        <v/>
      </c>
      <c r="T669" s="84" t="str">
        <f>IF(ISERROR(FIND('112'!$M$9,G669,1)),"",IF((AND(FIND('112'!$M$9,G669,1)&gt;=1,B669='112'!$K$9,OR($N669='112'!$I$6,$O669='112'!$I$6))),"x",""))</f>
        <v/>
      </c>
      <c r="U669" s="84" t="str">
        <f>IF(ISERROR(FIND('112'!$M$9,G669,1)),"",IF((AND(LEFT(G669,2)=LEFT('112'!$M$9,2),B669&lt;'112'!$K$9,$N669='112'!$I$6)),"x",""))</f>
        <v/>
      </c>
      <c r="V669" s="84" t="str">
        <f>IF(ISERROR(FIND('112'!$M$9,G669,1)),"",IF((AND(RIGHT(G669,2)=RIGHT('112'!$M$9,2),B669&lt;'112'!$K$9,$O669='112'!$I$6)),"x",""))</f>
        <v/>
      </c>
      <c r="W669" s="84" t="str">
        <f>IF(AND('341-CT'!$H$9=H669,OR(LEFT(N669,3)=$W$7,LEFT(O669,3)=$W$7)),"x","")</f>
        <v/>
      </c>
      <c r="X669" s="84" t="str">
        <f>IF(OR(TH!N669=TH!$X$7,O669=TH!$X$7),"x","")</f>
        <v/>
      </c>
      <c r="Y669" s="84" t="str">
        <f>IF(AND(OR(N669="131",O669="131"),H669='131-CT'!$H$9),"x","")</f>
        <v/>
      </c>
      <c r="Z669" s="84"/>
      <c r="AA669" s="84" t="str">
        <f>IF(AND(MONTH(E669)='IN-NX'!$J$5,'IN-NX'!$D$7=D669),"x","")</f>
        <v/>
      </c>
      <c r="AB669" s="84" t="str">
        <f>IF(AND(OR(LEFT(TH!N669,2)="15",LEFT(TH!O669,2)="15"),LEFT(TH!O669,3)&lt;&gt;"111",'152-CT'!$J$8=TH!F669),"x","")</f>
        <v/>
      </c>
      <c r="AC669" s="84" t="str">
        <f>IF(AND(OR(LEFT(TH!N669,2)="15",LEFT(TH!O669,2)="15"),TK!$E$7=TH!F669),"x","")</f>
        <v/>
      </c>
      <c r="AD669" s="84" t="str">
        <f>IF(AND(N669="1521",MONTH(C669)='BK-NL'!$M$11),"x","")</f>
        <v/>
      </c>
      <c r="AE669" s="1146" t="str">
        <f t="shared" si="153"/>
        <v>x</v>
      </c>
    </row>
    <row r="670" spans="1:31" ht="15.75" hidden="1" customHeight="1">
      <c r="A670" s="336" t="str">
        <f>IF(B670&lt;&gt;"",IF(AND(B670='IN-TC'!$S$4,OR(TH!N670="1111",TH!O670="1111")),TH!D670,""),"")</f>
        <v/>
      </c>
      <c r="B670" s="63">
        <f t="shared" si="152"/>
        <v>8</v>
      </c>
      <c r="C670" s="80">
        <f t="shared" si="146"/>
        <v>42588</v>
      </c>
      <c r="D670" s="80" t="s">
        <v>954</v>
      </c>
      <c r="E670" s="80">
        <v>42588</v>
      </c>
      <c r="F670" s="81" t="s">
        <v>1987</v>
      </c>
      <c r="G670" s="81"/>
      <c r="H670" s="82" t="s">
        <v>391</v>
      </c>
      <c r="I670" s="437">
        <v>10460</v>
      </c>
      <c r="J670" s="438">
        <v>20000</v>
      </c>
      <c r="K670" s="428"/>
      <c r="L670" s="437"/>
      <c r="M670" s="83">
        <f t="shared" si="147"/>
        <v>209200000</v>
      </c>
      <c r="N670" s="84" t="s">
        <v>274</v>
      </c>
      <c r="O670" s="84" t="s">
        <v>8</v>
      </c>
      <c r="P670" s="84" t="str">
        <f>IF(AND('331-CT'!$E$7=TH!H670,OR(N670="331",O670="331")),"x","")</f>
        <v/>
      </c>
      <c r="Q670" s="84" t="str">
        <f>IF(AND(B670='111'!$L$11,OR($N670=$Q$7,$O670=$Q$7)),"x","")</f>
        <v/>
      </c>
      <c r="R670" s="84" t="str">
        <f>IF(AND($N670=$Q$7,$B670&lt;'111'!$L$11),"x","")</f>
        <v/>
      </c>
      <c r="S670" s="84" t="str">
        <f>IF(AND($O670=$Q$7,$B670&lt;'111'!$L$11),"x","")</f>
        <v/>
      </c>
      <c r="T670" s="84" t="str">
        <f>IF(ISERROR(FIND('112'!$M$9,G670,1)),"",IF((AND(FIND('112'!$M$9,G670,1)&gt;=1,B670='112'!$K$9,OR($N670='112'!$I$6,$O670='112'!$I$6))),"x",""))</f>
        <v/>
      </c>
      <c r="U670" s="84" t="str">
        <f>IF(ISERROR(FIND('112'!$M$9,G670,1)),"",IF((AND(LEFT(G670,2)=LEFT('112'!$M$9,2),B670&lt;'112'!$K$9,$N670='112'!$I$6)),"x",""))</f>
        <v/>
      </c>
      <c r="V670" s="84" t="str">
        <f>IF(ISERROR(FIND('112'!$M$9,G670,1)),"",IF((AND(RIGHT(G670,2)=RIGHT('112'!$M$9,2),B670&lt;'112'!$K$9,$O670='112'!$I$6)),"x",""))</f>
        <v/>
      </c>
      <c r="W670" s="84" t="str">
        <f>IF(AND('341-CT'!$H$9=H670,OR(LEFT(N670,3)=$W$7,LEFT(O670,3)=$W$7)),"x","")</f>
        <v/>
      </c>
      <c r="X670" s="84" t="str">
        <f>IF(OR(TH!N670=TH!$X$7,O670=TH!$X$7),"x","")</f>
        <v/>
      </c>
      <c r="Y670" s="84" t="str">
        <f>IF(AND(OR(N670="131",O670="131"),H670='131-CT'!$H$9),"x","")</f>
        <v/>
      </c>
      <c r="Z670" s="84"/>
      <c r="AA670" s="84" t="str">
        <f>IF(AND(MONTH(E670)='IN-NX'!$J$5,'IN-NX'!$D$7=D670),"x","")</f>
        <v/>
      </c>
      <c r="AB670" s="84" t="str">
        <f>IF(AND(OR(LEFT(TH!N670,2)="15",LEFT(TH!O670,2)="15"),LEFT(TH!O670,3)&lt;&gt;"111",'152-CT'!$J$8=TH!F670),"x","")</f>
        <v/>
      </c>
      <c r="AC670" s="84" t="str">
        <f>IF(AND(OR(LEFT(TH!N670,2)="15",LEFT(TH!O670,2)="15"),TK!$E$7=TH!F670),"x","")</f>
        <v/>
      </c>
      <c r="AD670" s="84" t="str">
        <f>IF(AND(N670="1521",MONTH(C670)='BK-NL'!$M$11),"x","")</f>
        <v/>
      </c>
      <c r="AE670" s="1146" t="str">
        <f t="shared" si="153"/>
        <v>x</v>
      </c>
    </row>
    <row r="671" spans="1:31" ht="15.75" hidden="1" customHeight="1">
      <c r="A671" s="336" t="str">
        <f>IF(B671&lt;&gt;"",IF(AND(B671='IN-TC'!$S$4,OR(TH!N671="1111",TH!O671="1111")),TH!D671,""),"")</f>
        <v/>
      </c>
      <c r="B671" s="63">
        <f t="shared" si="152"/>
        <v>8</v>
      </c>
      <c r="C671" s="80">
        <f t="shared" si="146"/>
        <v>42591</v>
      </c>
      <c r="D671" s="80" t="s">
        <v>959</v>
      </c>
      <c r="E671" s="80">
        <v>42591</v>
      </c>
      <c r="F671" s="81" t="s">
        <v>1987</v>
      </c>
      <c r="G671" s="81"/>
      <c r="H671" s="82" t="s">
        <v>385</v>
      </c>
      <c r="I671" s="437">
        <v>11026</v>
      </c>
      <c r="J671" s="438">
        <v>20000</v>
      </c>
      <c r="K671" s="428"/>
      <c r="L671" s="437"/>
      <c r="M671" s="83">
        <f t="shared" si="147"/>
        <v>220520000</v>
      </c>
      <c r="N671" s="84" t="s">
        <v>274</v>
      </c>
      <c r="O671" s="84" t="s">
        <v>8</v>
      </c>
      <c r="P671" s="84" t="str">
        <f>IF(AND('331-CT'!$E$7=TH!H671,OR(N671="331",O671="331")),"x","")</f>
        <v/>
      </c>
      <c r="Q671" s="84" t="str">
        <f>IF(AND(B671='111'!$L$11,OR($N671=$Q$7,$O671=$Q$7)),"x","")</f>
        <v/>
      </c>
      <c r="R671" s="84" t="str">
        <f>IF(AND($N671=$Q$7,$B671&lt;'111'!$L$11),"x","")</f>
        <v/>
      </c>
      <c r="S671" s="84" t="str">
        <f>IF(AND($O671=$Q$7,$B671&lt;'111'!$L$11),"x","")</f>
        <v/>
      </c>
      <c r="T671" s="84" t="str">
        <f>IF(ISERROR(FIND('112'!$M$9,G671,1)),"",IF((AND(FIND('112'!$M$9,G671,1)&gt;=1,B671='112'!$K$9,OR($N671='112'!$I$6,$O671='112'!$I$6))),"x",""))</f>
        <v/>
      </c>
      <c r="U671" s="84" t="str">
        <f>IF(ISERROR(FIND('112'!$M$9,G671,1)),"",IF((AND(LEFT(G671,2)=LEFT('112'!$M$9,2),B671&lt;'112'!$K$9,$N671='112'!$I$6)),"x",""))</f>
        <v/>
      </c>
      <c r="V671" s="84" t="str">
        <f>IF(ISERROR(FIND('112'!$M$9,G671,1)),"",IF((AND(RIGHT(G671,2)=RIGHT('112'!$M$9,2),B671&lt;'112'!$K$9,$O671='112'!$I$6)),"x",""))</f>
        <v/>
      </c>
      <c r="W671" s="84" t="str">
        <f>IF(AND('341-CT'!$H$9=H671,OR(LEFT(N671,3)=$W$7,LEFT(O671,3)=$W$7)),"x","")</f>
        <v/>
      </c>
      <c r="X671" s="84" t="str">
        <f>IF(OR(TH!N671=TH!$X$7,O671=TH!$X$7),"x","")</f>
        <v/>
      </c>
      <c r="Y671" s="84" t="str">
        <f>IF(AND(OR(N671="131",O671="131"),H671='131-CT'!$H$9),"x","")</f>
        <v/>
      </c>
      <c r="Z671" s="84"/>
      <c r="AA671" s="84" t="str">
        <f>IF(AND(MONTH(E671)='IN-NX'!$J$5,'IN-NX'!$D$7=D671),"x","")</f>
        <v/>
      </c>
      <c r="AB671" s="84" t="str">
        <f>IF(AND(OR(LEFT(TH!N671,2)="15",LEFT(TH!O671,2)="15"),LEFT(TH!O671,3)&lt;&gt;"111",'152-CT'!$J$8=TH!F671),"x","")</f>
        <v/>
      </c>
      <c r="AC671" s="84" t="str">
        <f>IF(AND(OR(LEFT(TH!N671,2)="15",LEFT(TH!O671,2)="15"),TK!$E$7=TH!F671),"x","")</f>
        <v/>
      </c>
      <c r="AD671" s="84" t="str">
        <f>IF(AND(N671="1521",MONTH(C671)='BK-NL'!$M$11),"x","")</f>
        <v/>
      </c>
      <c r="AE671" s="1146" t="str">
        <f t="shared" si="153"/>
        <v>x</v>
      </c>
    </row>
    <row r="672" spans="1:31" ht="15.75" hidden="1" customHeight="1">
      <c r="A672" s="336" t="str">
        <f>IF(B672&lt;&gt;"",IF(AND(B672='IN-TC'!$S$4,OR(TH!N672="1111",TH!O672="1111")),TH!D672,""),"")</f>
        <v/>
      </c>
      <c r="B672" s="63">
        <f t="shared" si="152"/>
        <v>8</v>
      </c>
      <c r="C672" s="80">
        <f t="shared" si="146"/>
        <v>42591</v>
      </c>
      <c r="D672" s="80" t="s">
        <v>960</v>
      </c>
      <c r="E672" s="80">
        <v>42591</v>
      </c>
      <c r="F672" s="81" t="s">
        <v>1987</v>
      </c>
      <c r="G672" s="81"/>
      <c r="H672" s="82" t="s">
        <v>1988</v>
      </c>
      <c r="I672" s="437">
        <v>11045</v>
      </c>
      <c r="J672" s="438">
        <v>20000</v>
      </c>
      <c r="K672" s="428"/>
      <c r="L672" s="437"/>
      <c r="M672" s="83">
        <f t="shared" si="147"/>
        <v>220900000</v>
      </c>
      <c r="N672" s="84" t="s">
        <v>274</v>
      </c>
      <c r="O672" s="84" t="s">
        <v>8</v>
      </c>
      <c r="P672" s="84" t="str">
        <f>IF(AND('331-CT'!$E$7=TH!H672,OR(N672="331",O672="331")),"x","")</f>
        <v/>
      </c>
      <c r="Q672" s="84" t="str">
        <f>IF(AND(B672='111'!$L$11,OR($N672=$Q$7,$O672=$Q$7)),"x","")</f>
        <v/>
      </c>
      <c r="R672" s="84" t="str">
        <f>IF(AND($N672=$Q$7,$B672&lt;'111'!$L$11),"x","")</f>
        <v/>
      </c>
      <c r="S672" s="84" t="str">
        <f>IF(AND($O672=$Q$7,$B672&lt;'111'!$L$11),"x","")</f>
        <v/>
      </c>
      <c r="T672" s="84" t="str">
        <f>IF(ISERROR(FIND('112'!$M$9,G672,1)),"",IF((AND(FIND('112'!$M$9,G672,1)&gt;=1,B672='112'!$K$9,OR($N672='112'!$I$6,$O672='112'!$I$6))),"x",""))</f>
        <v/>
      </c>
      <c r="U672" s="84" t="str">
        <f>IF(ISERROR(FIND('112'!$M$9,G672,1)),"",IF((AND(LEFT(G672,2)=LEFT('112'!$M$9,2),B672&lt;'112'!$K$9,$N672='112'!$I$6)),"x",""))</f>
        <v/>
      </c>
      <c r="V672" s="84" t="str">
        <f>IF(ISERROR(FIND('112'!$M$9,G672,1)),"",IF((AND(RIGHT(G672,2)=RIGHT('112'!$M$9,2),B672&lt;'112'!$K$9,$O672='112'!$I$6)),"x",""))</f>
        <v/>
      </c>
      <c r="W672" s="84" t="str">
        <f>IF(AND('341-CT'!$H$9=H672,OR(LEFT(N672,3)=$W$7,LEFT(O672,3)=$W$7)),"x","")</f>
        <v/>
      </c>
      <c r="X672" s="84" t="str">
        <f>IF(OR(TH!N672=TH!$X$7,O672=TH!$X$7),"x","")</f>
        <v/>
      </c>
      <c r="Y672" s="84" t="str">
        <f>IF(AND(OR(N672="131",O672="131"),H672='131-CT'!$H$9),"x","")</f>
        <v/>
      </c>
      <c r="Z672" s="84"/>
      <c r="AA672" s="84" t="str">
        <f>IF(AND(MONTH(E672)='IN-NX'!$J$5,'IN-NX'!$D$7=D672),"x","")</f>
        <v/>
      </c>
      <c r="AB672" s="84" t="str">
        <f>IF(AND(OR(LEFT(TH!N672,2)="15",LEFT(TH!O672,2)="15"),LEFT(TH!O672,3)&lt;&gt;"111",'152-CT'!$J$8=TH!F672),"x","")</f>
        <v/>
      </c>
      <c r="AC672" s="84" t="str">
        <f>IF(AND(OR(LEFT(TH!N672,2)="15",LEFT(TH!O672,2)="15"),TK!$E$7=TH!F672),"x","")</f>
        <v/>
      </c>
      <c r="AD672" s="84" t="str">
        <f>IF(AND(N672="1521",MONTH(C672)='BK-NL'!$M$11),"x","")</f>
        <v/>
      </c>
      <c r="AE672" s="1146" t="str">
        <f t="shared" si="153"/>
        <v>x</v>
      </c>
    </row>
    <row r="673" spans="1:31" ht="15.75" hidden="1" customHeight="1">
      <c r="A673" s="336" t="str">
        <f>IF(B673&lt;&gt;"",IF(AND(B673='IN-TC'!$S$4,OR(TH!N673="1111",TH!O673="1111")),TH!D673,""),"")</f>
        <v/>
      </c>
      <c r="B673" s="63">
        <f t="shared" si="152"/>
        <v>8</v>
      </c>
      <c r="C673" s="80">
        <f t="shared" si="146"/>
        <v>42591</v>
      </c>
      <c r="D673" s="80" t="s">
        <v>961</v>
      </c>
      <c r="E673" s="80">
        <v>42591</v>
      </c>
      <c r="F673" s="81" t="s">
        <v>1987</v>
      </c>
      <c r="G673" s="81"/>
      <c r="H673" s="82" t="s">
        <v>383</v>
      </c>
      <c r="I673" s="437">
        <v>11960</v>
      </c>
      <c r="J673" s="438">
        <v>20000</v>
      </c>
      <c r="K673" s="428"/>
      <c r="L673" s="437"/>
      <c r="M673" s="83">
        <f t="shared" si="147"/>
        <v>239200000</v>
      </c>
      <c r="N673" s="84" t="s">
        <v>274</v>
      </c>
      <c r="O673" s="84" t="s">
        <v>8</v>
      </c>
      <c r="P673" s="84" t="str">
        <f>IF(AND('331-CT'!$E$7=TH!H673,OR(N673="331",O673="331")),"x","")</f>
        <v/>
      </c>
      <c r="Q673" s="84" t="str">
        <f>IF(AND(B673='111'!$L$11,OR($N673=$Q$7,$O673=$Q$7)),"x","")</f>
        <v/>
      </c>
      <c r="R673" s="84" t="str">
        <f>IF(AND($N673=$Q$7,$B673&lt;'111'!$L$11),"x","")</f>
        <v/>
      </c>
      <c r="S673" s="84" t="str">
        <f>IF(AND($O673=$Q$7,$B673&lt;'111'!$L$11),"x","")</f>
        <v/>
      </c>
      <c r="T673" s="84" t="str">
        <f>IF(ISERROR(FIND('112'!$M$9,G673,1)),"",IF((AND(FIND('112'!$M$9,G673,1)&gt;=1,B673='112'!$K$9,OR($N673='112'!$I$6,$O673='112'!$I$6))),"x",""))</f>
        <v/>
      </c>
      <c r="U673" s="84" t="str">
        <f>IF(ISERROR(FIND('112'!$M$9,G673,1)),"",IF((AND(LEFT(G673,2)=LEFT('112'!$M$9,2),B673&lt;'112'!$K$9,$N673='112'!$I$6)),"x",""))</f>
        <v/>
      </c>
      <c r="V673" s="84" t="str">
        <f>IF(ISERROR(FIND('112'!$M$9,G673,1)),"",IF((AND(RIGHT(G673,2)=RIGHT('112'!$M$9,2),B673&lt;'112'!$K$9,$O673='112'!$I$6)),"x",""))</f>
        <v/>
      </c>
      <c r="W673" s="84" t="str">
        <f>IF(AND('341-CT'!$H$9=H673,OR(LEFT(N673,3)=$W$7,LEFT(O673,3)=$W$7)),"x","")</f>
        <v/>
      </c>
      <c r="X673" s="84" t="str">
        <f>IF(OR(TH!N673=TH!$X$7,O673=TH!$X$7),"x","")</f>
        <v/>
      </c>
      <c r="Y673" s="84" t="str">
        <f>IF(AND(OR(N673="131",O673="131"),H673='131-CT'!$H$9),"x","")</f>
        <v/>
      </c>
      <c r="Z673" s="84"/>
      <c r="AA673" s="84" t="str">
        <f>IF(AND(MONTH(E673)='IN-NX'!$J$5,'IN-NX'!$D$7=D673),"x","")</f>
        <v/>
      </c>
      <c r="AB673" s="84" t="str">
        <f>IF(AND(OR(LEFT(TH!N673,2)="15",LEFT(TH!O673,2)="15"),LEFT(TH!O673,3)&lt;&gt;"111",'152-CT'!$J$8=TH!F673),"x","")</f>
        <v/>
      </c>
      <c r="AC673" s="84" t="str">
        <f>IF(AND(OR(LEFT(TH!N673,2)="15",LEFT(TH!O673,2)="15"),TK!$E$7=TH!F673),"x","")</f>
        <v/>
      </c>
      <c r="AD673" s="84" t="str">
        <f>IF(AND(N673="1521",MONTH(C673)='BK-NL'!$M$11),"x","")</f>
        <v/>
      </c>
      <c r="AE673" s="1146" t="str">
        <f t="shared" si="153"/>
        <v>x</v>
      </c>
    </row>
    <row r="674" spans="1:31" ht="15.75" hidden="1" customHeight="1">
      <c r="A674" s="336" t="str">
        <f>IF(B674&lt;&gt;"",IF(AND(B674='IN-TC'!$S$4,OR(TH!N674="1111",TH!O674="1111")),TH!D674,""),"")</f>
        <v/>
      </c>
      <c r="B674" s="63">
        <f t="shared" si="152"/>
        <v>8</v>
      </c>
      <c r="C674" s="80">
        <f>E674</f>
        <v>42591</v>
      </c>
      <c r="D674" s="80" t="s">
        <v>1969</v>
      </c>
      <c r="E674" s="80">
        <v>42591</v>
      </c>
      <c r="F674" s="81" t="s">
        <v>1987</v>
      </c>
      <c r="G674" s="81"/>
      <c r="H674" s="82" t="s">
        <v>391</v>
      </c>
      <c r="I674" s="437">
        <v>10151</v>
      </c>
      <c r="J674" s="438">
        <v>20000</v>
      </c>
      <c r="K674" s="428"/>
      <c r="L674" s="437"/>
      <c r="M674" s="83">
        <f>ROUND(I674*J674,0)</f>
        <v>203020000</v>
      </c>
      <c r="N674" s="84" t="s">
        <v>274</v>
      </c>
      <c r="O674" s="84" t="s">
        <v>8</v>
      </c>
      <c r="P674" s="84" t="str">
        <f>IF(AND('331-CT'!$E$7=TH!H674,OR(N674="331",O674="331")),"x","")</f>
        <v/>
      </c>
      <c r="Q674" s="84" t="str">
        <f>IF(AND(B674='111'!$L$11,OR($N674=$Q$7,$O674=$Q$7)),"x","")</f>
        <v/>
      </c>
      <c r="R674" s="84" t="str">
        <f>IF(AND($N674=$Q$7,$B674&lt;'111'!$L$11),"x","")</f>
        <v/>
      </c>
      <c r="S674" s="84" t="str">
        <f>IF(AND($O674=$Q$7,$B674&lt;'111'!$L$11),"x","")</f>
        <v/>
      </c>
      <c r="T674" s="84" t="str">
        <f>IF(ISERROR(FIND('112'!$M$9,G674,1)),"",IF((AND(FIND('112'!$M$9,G674,1)&gt;=1,B674='112'!$K$9,OR($N674='112'!$I$6,$O674='112'!$I$6))),"x",""))</f>
        <v/>
      </c>
      <c r="U674" s="84" t="str">
        <f>IF(ISERROR(FIND('112'!$M$9,G674,1)),"",IF((AND(LEFT(G674,2)=LEFT('112'!$M$9,2),B674&lt;'112'!$K$9,$N674='112'!$I$6)),"x",""))</f>
        <v/>
      </c>
      <c r="V674" s="84" t="str">
        <f>IF(ISERROR(FIND('112'!$M$9,G674,1)),"",IF((AND(RIGHT(G674,2)=RIGHT('112'!$M$9,2),B674&lt;'112'!$K$9,$O674='112'!$I$6)),"x",""))</f>
        <v/>
      </c>
      <c r="W674" s="84" t="str">
        <f>IF(AND('341-CT'!$H$9=H674,OR(LEFT(N674,3)=$W$7,LEFT(O674,3)=$W$7)),"x","")</f>
        <v/>
      </c>
      <c r="X674" s="84" t="str">
        <f>IF(OR(TH!N674=TH!$X$7,O674=TH!$X$7),"x","")</f>
        <v/>
      </c>
      <c r="Y674" s="84" t="str">
        <f>IF(AND(OR(N674="131",O674="131"),H674='131-CT'!$H$9),"x","")</f>
        <v/>
      </c>
      <c r="Z674" s="84"/>
      <c r="AA674" s="84" t="str">
        <f>IF(AND(MONTH(E674)='IN-NX'!$J$5,'IN-NX'!$D$7=D674),"x","")</f>
        <v/>
      </c>
      <c r="AB674" s="84" t="str">
        <f>IF(AND(OR(LEFT(TH!N674,2)="15",LEFT(TH!O674,2)="15"),LEFT(TH!O674,3)&lt;&gt;"111",'152-CT'!$J$8=TH!F674),"x","")</f>
        <v/>
      </c>
      <c r="AC674" s="84" t="str">
        <f>IF(AND(OR(LEFT(TH!N674,2)="15",LEFT(TH!O674,2)="15"),TK!$E$7=TH!F674),"x","")</f>
        <v/>
      </c>
      <c r="AD674" s="84" t="str">
        <f>IF(AND(N674="1521",MONTH(C674)='BK-NL'!$M$11),"x","")</f>
        <v/>
      </c>
      <c r="AE674" s="1146" t="str">
        <f t="shared" si="153"/>
        <v>x</v>
      </c>
    </row>
    <row r="675" spans="1:31" s="341" customFormat="1" ht="15.75" hidden="1" customHeight="1">
      <c r="A675" s="336" t="str">
        <f>IF(B675&lt;&gt;"",IF(AND(B675='IN-TC'!$S$4,OR(TH!N675="1111",TH!O675="1111")),TH!D675,""),"")</f>
        <v/>
      </c>
      <c r="B675" s="63">
        <f t="shared" si="152"/>
        <v>8</v>
      </c>
      <c r="C675" s="94">
        <f>E675</f>
        <v>42583</v>
      </c>
      <c r="D675" s="94" t="s">
        <v>685</v>
      </c>
      <c r="E675" s="94">
        <v>42583</v>
      </c>
      <c r="F675" s="95" t="s">
        <v>1987</v>
      </c>
      <c r="G675" s="95"/>
      <c r="H675" s="96" t="s">
        <v>449</v>
      </c>
      <c r="I675" s="1188">
        <v>43219</v>
      </c>
      <c r="J675" s="1187">
        <v>20000</v>
      </c>
      <c r="K675" s="1189"/>
      <c r="L675" s="1188"/>
      <c r="M675" s="97">
        <f>ROUND(I675*J675,0)</f>
        <v>864380000</v>
      </c>
      <c r="N675" s="85" t="s">
        <v>282</v>
      </c>
      <c r="O675" s="85" t="s">
        <v>274</v>
      </c>
      <c r="P675" s="84" t="str">
        <f>IF(AND('331-CT'!$E$7=TH!H675,OR(N675="331",O675="331")),"x","")</f>
        <v/>
      </c>
      <c r="Q675" s="84" t="str">
        <f>IF(AND(B675='111'!$L$11,OR($N675=$Q$7,$O675=$Q$7)),"x","")</f>
        <v/>
      </c>
      <c r="R675" s="84" t="str">
        <f>IF(AND($N675=$Q$7,$B675&lt;'111'!$L$11),"x","")</f>
        <v/>
      </c>
      <c r="S675" s="84" t="str">
        <f>IF(AND($O675=$Q$7,$B675&lt;'111'!$L$11),"x","")</f>
        <v/>
      </c>
      <c r="T675" s="84" t="str">
        <f>IF(ISERROR(FIND('112'!$M$9,G675,1)),"",IF((AND(FIND('112'!$M$9,G675,1)&gt;=1,B675='112'!$K$9,OR($N675='112'!$I$6,$O675='112'!$I$6))),"x",""))</f>
        <v/>
      </c>
      <c r="U675" s="84" t="str">
        <f>IF(ISERROR(FIND('112'!$M$9,G675,1)),"",IF((AND(LEFT(G675,2)=LEFT('112'!$M$9,2),B675&lt;'112'!$K$9,$N675='112'!$I$6)),"x",""))</f>
        <v/>
      </c>
      <c r="V675" s="84" t="str">
        <f>IF(ISERROR(FIND('112'!$M$9,G675,1)),"",IF((AND(RIGHT(G675,2)=RIGHT('112'!$M$9,2),B675&lt;'112'!$K$9,$O675='112'!$I$6)),"x",""))</f>
        <v/>
      </c>
      <c r="W675" s="84" t="str">
        <f>IF(AND('341-CT'!$H$9=H675,OR(LEFT(N675,3)=$W$7,LEFT(O675,3)=$W$7)),"x","")</f>
        <v/>
      </c>
      <c r="X675" s="84" t="str">
        <f>IF(OR(TH!N675=TH!$X$7,O675=TH!$X$7),"x","")</f>
        <v/>
      </c>
      <c r="Y675" s="84" t="str">
        <f>IF(AND(OR(N675="131",O675="131"),H675='131-CT'!$H$9),"x","")</f>
        <v/>
      </c>
      <c r="Z675" s="84"/>
      <c r="AA675" s="84" t="str">
        <f>IF(AND(MONTH(E675)='IN-NX'!$J$5,'IN-NX'!$D$7=D675),"x","")</f>
        <v/>
      </c>
      <c r="AB675" s="84" t="str">
        <f>IF(AND(OR(LEFT(TH!N675,2)="15",LEFT(TH!O675,2)="15"),LEFT(TH!O675,3)&lt;&gt;"111",'152-CT'!$J$8=TH!F675),"x","")</f>
        <v/>
      </c>
      <c r="AC675" s="84" t="str">
        <f>IF(AND(OR(LEFT(TH!N675,2)="15",LEFT(TH!O675,2)="15"),TK!$E$7=TH!F675),"x","")</f>
        <v/>
      </c>
      <c r="AD675" s="84" t="str">
        <f>IF(AND(N675="1521",MONTH(C675)='BK-NL'!$M$11),"x","")</f>
        <v/>
      </c>
    </row>
    <row r="676" spans="1:31" s="341" customFormat="1" ht="15.75" hidden="1" customHeight="1">
      <c r="A676" s="336" t="str">
        <f>IF(B676&lt;&gt;"",IF(AND(B676='IN-TC'!$S$4,OR(TH!N676="1111",TH!O676="1111")),TH!D676,""),"")</f>
        <v/>
      </c>
      <c r="B676" s="63">
        <f t="shared" si="152"/>
        <v>8</v>
      </c>
      <c r="C676" s="94">
        <f>E676</f>
        <v>42588</v>
      </c>
      <c r="D676" s="94" t="s">
        <v>692</v>
      </c>
      <c r="E676" s="94">
        <v>42588</v>
      </c>
      <c r="F676" s="95" t="s">
        <v>1987</v>
      </c>
      <c r="G676" s="1148"/>
      <c r="H676" s="96" t="s">
        <v>449</v>
      </c>
      <c r="I676" s="1188">
        <v>42599</v>
      </c>
      <c r="J676" s="1187">
        <v>20000</v>
      </c>
      <c r="K676" s="1189"/>
      <c r="L676" s="1188"/>
      <c r="M676" s="97">
        <f>ROUND(I676*J676,0)</f>
        <v>851980000</v>
      </c>
      <c r="N676" s="85" t="s">
        <v>282</v>
      </c>
      <c r="O676" s="85" t="s">
        <v>274</v>
      </c>
      <c r="P676" s="84" t="str">
        <f>IF(AND('331-CT'!$E$7=TH!H676,OR(N676="331",O676="331")),"x","")</f>
        <v/>
      </c>
      <c r="Q676" s="84" t="str">
        <f>IF(AND(B676='111'!$L$11,OR($N676=$Q$7,$O676=$Q$7)),"x","")</f>
        <v/>
      </c>
      <c r="R676" s="84" t="str">
        <f>IF(AND($N676=$Q$7,$B676&lt;'111'!$L$11),"x","")</f>
        <v/>
      </c>
      <c r="S676" s="84" t="str">
        <f>IF(AND($O676=$Q$7,$B676&lt;'111'!$L$11),"x","")</f>
        <v/>
      </c>
      <c r="T676" s="84" t="str">
        <f>IF(ISERROR(FIND('112'!$M$9,G676,1)),"",IF((AND(FIND('112'!$M$9,G676,1)&gt;=1,B676='112'!$K$9,OR($N676='112'!$I$6,$O676='112'!$I$6))),"x",""))</f>
        <v/>
      </c>
      <c r="U676" s="84" t="str">
        <f>IF(ISERROR(FIND('112'!$M$9,G676,1)),"",IF((AND(LEFT(G676,2)=LEFT('112'!$M$9,2),B676&lt;'112'!$K$9,$N676='112'!$I$6)),"x",""))</f>
        <v/>
      </c>
      <c r="V676" s="84" t="str">
        <f>IF(ISERROR(FIND('112'!$M$9,G676,1)),"",IF((AND(RIGHT(G676,2)=RIGHT('112'!$M$9,2),B676&lt;'112'!$K$9,$O676='112'!$I$6)),"x",""))</f>
        <v/>
      </c>
      <c r="W676" s="84" t="str">
        <f>IF(AND('341-CT'!$H$9=H676,OR(LEFT(N676,3)=$W$7,LEFT(O676,3)=$W$7)),"x","")</f>
        <v/>
      </c>
      <c r="X676" s="84" t="str">
        <f>IF(OR(TH!N676=TH!$X$7,O676=TH!$X$7),"x","")</f>
        <v/>
      </c>
      <c r="Y676" s="84" t="str">
        <f>IF(AND(OR(N676="131",O676="131"),H676='131-CT'!$H$9),"x","")</f>
        <v/>
      </c>
      <c r="Z676" s="84"/>
      <c r="AA676" s="84" t="str">
        <f>IF(AND(MONTH(E676)='IN-NX'!$J$5,'IN-NX'!$D$7=D676),"x","")</f>
        <v/>
      </c>
      <c r="AB676" s="84" t="str">
        <f>IF(AND(OR(LEFT(TH!N676,2)="15",LEFT(TH!O676,2)="15"),LEFT(TH!O676,3)&lt;&gt;"111",'152-CT'!$J$8=TH!F676),"x","")</f>
        <v/>
      </c>
      <c r="AC676" s="84" t="str">
        <f>IF(AND(OR(LEFT(TH!N676,2)="15",LEFT(TH!O676,2)="15"),TK!$E$7=TH!F676),"x","")</f>
        <v/>
      </c>
      <c r="AD676" s="84" t="str">
        <f>IF(AND(N676="1521",MONTH(C676)='BK-NL'!$M$11),"x","")</f>
        <v/>
      </c>
    </row>
    <row r="677" spans="1:31" s="341" customFormat="1" ht="15.75" hidden="1" customHeight="1">
      <c r="A677" s="336" t="str">
        <f>IF(B677&lt;&gt;"",IF(AND(B677='IN-TC'!$S$4,OR(TH!N677="1111",TH!O677="1111")),TH!D677,""),"")</f>
        <v/>
      </c>
      <c r="B677" s="63">
        <f t="shared" si="152"/>
        <v>8</v>
      </c>
      <c r="C677" s="94">
        <f>E677</f>
        <v>42591</v>
      </c>
      <c r="D677" s="94" t="s">
        <v>693</v>
      </c>
      <c r="E677" s="94">
        <v>42591</v>
      </c>
      <c r="F677" s="95" t="s">
        <v>1987</v>
      </c>
      <c r="G677" s="95"/>
      <c r="H677" s="96" t="s">
        <v>449</v>
      </c>
      <c r="I677" s="445">
        <v>44182</v>
      </c>
      <c r="J677" s="1187">
        <v>20000</v>
      </c>
      <c r="K677" s="436"/>
      <c r="L677" s="445"/>
      <c r="M677" s="97">
        <f>ROUND(I677*J677,0)</f>
        <v>883640000</v>
      </c>
      <c r="N677" s="85" t="s">
        <v>282</v>
      </c>
      <c r="O677" s="85" t="s">
        <v>274</v>
      </c>
      <c r="P677" s="84" t="str">
        <f>IF(AND('331-CT'!$E$7=TH!H677,OR(N677="331",O677="331")),"x","")</f>
        <v/>
      </c>
      <c r="Q677" s="84" t="str">
        <f>IF(AND(B677='111'!$L$11,OR($N677=$Q$7,$O677=$Q$7)),"x","")</f>
        <v/>
      </c>
      <c r="R677" s="84" t="str">
        <f>IF(AND($N677=$Q$7,$B677&lt;'111'!$L$11),"x","")</f>
        <v/>
      </c>
      <c r="S677" s="84" t="str">
        <f>IF(AND($O677=$Q$7,$B677&lt;'111'!$L$11),"x","")</f>
        <v/>
      </c>
      <c r="T677" s="84" t="str">
        <f>IF(ISERROR(FIND('112'!$M$9,G677,1)),"",IF((AND(FIND('112'!$M$9,G677,1)&gt;=1,B677='112'!$K$9,OR($N677='112'!$I$6,$O677='112'!$I$6))),"x",""))</f>
        <v/>
      </c>
      <c r="U677" s="84" t="str">
        <f>IF(ISERROR(FIND('112'!$M$9,G677,1)),"",IF((AND(LEFT(G677,2)=LEFT('112'!$M$9,2),B677&lt;'112'!$K$9,$N677='112'!$I$6)),"x",""))</f>
        <v/>
      </c>
      <c r="V677" s="84" t="str">
        <f>IF(ISERROR(FIND('112'!$M$9,G677,1)),"",IF((AND(RIGHT(G677,2)=RIGHT('112'!$M$9,2),B677&lt;'112'!$K$9,$O677='112'!$I$6)),"x",""))</f>
        <v/>
      </c>
      <c r="W677" s="84" t="str">
        <f>IF(AND('341-CT'!$H$9=H677,OR(LEFT(N677,3)=$W$7,LEFT(O677,3)=$W$7)),"x","")</f>
        <v/>
      </c>
      <c r="X677" s="84" t="str">
        <f>IF(OR(TH!N677=TH!$X$7,O677=TH!$X$7),"x","")</f>
        <v/>
      </c>
      <c r="Y677" s="84" t="str">
        <f>IF(AND(OR(N677="131",O677="131"),H677='131-CT'!$H$9),"x","")</f>
        <v/>
      </c>
      <c r="Z677" s="84"/>
      <c r="AA677" s="84" t="str">
        <f>IF(AND(MONTH(E677)='IN-NX'!$J$5,'IN-NX'!$D$7=D677),"x","")</f>
        <v/>
      </c>
      <c r="AB677" s="84" t="str">
        <f>IF(AND(OR(LEFT(TH!N677,2)="15",LEFT(TH!O677,2)="15"),LEFT(TH!O677,3)&lt;&gt;"111",'152-CT'!$J$8=TH!F677),"x","")</f>
        <v/>
      </c>
      <c r="AC677" s="84" t="str">
        <f>IF(AND(OR(LEFT(TH!N677,2)="15",LEFT(TH!O677,2)="15"),TK!$E$7=TH!F677),"x","")</f>
        <v/>
      </c>
      <c r="AD677" s="84" t="str">
        <f>IF(AND(N677="1521",MONTH(C677)='BK-NL'!$M$11),"x","")</f>
        <v/>
      </c>
    </row>
    <row r="678" spans="1:31" s="341" customFormat="1" ht="15.75" hidden="1" customHeight="1">
      <c r="A678" s="336" t="str">
        <f>IF(B678&lt;&gt;"",IF(AND(B678='IN-TC'!$S$4,OR(TH!N678="1111",TH!O678="1111")),TH!D678,""),"")</f>
        <v/>
      </c>
      <c r="B678" s="63">
        <f t="shared" si="152"/>
        <v>8</v>
      </c>
      <c r="C678" s="94">
        <f>E678</f>
        <v>42592</v>
      </c>
      <c r="D678" s="94" t="s">
        <v>694</v>
      </c>
      <c r="E678" s="94">
        <v>42592</v>
      </c>
      <c r="F678" s="95" t="s">
        <v>1964</v>
      </c>
      <c r="G678" s="95"/>
      <c r="H678" s="96" t="s">
        <v>449</v>
      </c>
      <c r="I678" s="1188">
        <v>13031</v>
      </c>
      <c r="J678" s="1187">
        <v>11165</v>
      </c>
      <c r="K678" s="1189"/>
      <c r="L678" s="1188"/>
      <c r="M678" s="97">
        <f>ROUND(I678*J678,0)</f>
        <v>145491115</v>
      </c>
      <c r="N678" s="85" t="s">
        <v>282</v>
      </c>
      <c r="O678" s="85" t="s">
        <v>274</v>
      </c>
      <c r="P678" s="84" t="str">
        <f>IF(AND('331-CT'!$E$7=TH!H678,OR(N678="331",O678="331")),"x","")</f>
        <v/>
      </c>
      <c r="Q678" s="84" t="str">
        <f>IF(AND(B678='111'!$L$11,OR($N678=$Q$7,$O678=$Q$7)),"x","")</f>
        <v/>
      </c>
      <c r="R678" s="84" t="str">
        <f>IF(AND($N678=$Q$7,$B678&lt;'111'!$L$11),"x","")</f>
        <v/>
      </c>
      <c r="S678" s="84" t="str">
        <f>IF(AND($O678=$Q$7,$B678&lt;'111'!$L$11),"x","")</f>
        <v/>
      </c>
      <c r="T678" s="84" t="str">
        <f>IF(ISERROR(FIND('112'!$M$9,G678,1)),"",IF((AND(FIND('112'!$M$9,G678,1)&gt;=1,B678='112'!$K$9,OR($N678='112'!$I$6,$O678='112'!$I$6))),"x",""))</f>
        <v/>
      </c>
      <c r="U678" s="84" t="str">
        <f>IF(ISERROR(FIND('112'!$M$9,G678,1)),"",IF((AND(LEFT(G678,2)=LEFT('112'!$M$9,2),B678&lt;'112'!$K$9,$N678='112'!$I$6)),"x",""))</f>
        <v/>
      </c>
      <c r="V678" s="84" t="str">
        <f>IF(ISERROR(FIND('112'!$M$9,G678,1)),"",IF((AND(RIGHT(G678,2)=RIGHT('112'!$M$9,2),B678&lt;'112'!$K$9,$O678='112'!$I$6)),"x",""))</f>
        <v/>
      </c>
      <c r="W678" s="84" t="str">
        <f>IF(AND('341-CT'!$H$9=H678,OR(LEFT(N678,3)=$W$7,LEFT(O678,3)=$W$7)),"x","")</f>
        <v/>
      </c>
      <c r="X678" s="84" t="str">
        <f>IF(OR(TH!N678=TH!$X$7,O678=TH!$X$7),"x","")</f>
        <v/>
      </c>
      <c r="Y678" s="84" t="str">
        <f>IF(AND(OR(N678="131",O678="131"),H678='131-CT'!$H$9),"x","")</f>
        <v/>
      </c>
      <c r="Z678" s="84"/>
      <c r="AA678" s="84" t="str">
        <f>IF(AND(MONTH(E678)='IN-NX'!$J$5,'IN-NX'!$D$7=D678),"x","")</f>
        <v/>
      </c>
      <c r="AB678" s="84" t="str">
        <f>IF(AND(OR(LEFT(TH!N678,2)="15",LEFT(TH!O678,2)="15"),LEFT(TH!O678,3)&lt;&gt;"111",'152-CT'!$J$8=TH!F678),"x","")</f>
        <v/>
      </c>
      <c r="AC678" s="84" t="str">
        <f>IF(AND(OR(LEFT(TH!N678,2)="15",LEFT(TH!O678,2)="15"),TK!$E$7=TH!F678),"x","")</f>
        <v/>
      </c>
      <c r="AD678" s="84" t="str">
        <f>IF(AND(N678="1521",MONTH(C678)='BK-NL'!$M$11),"x","")</f>
        <v/>
      </c>
    </row>
    <row r="679" spans="1:31" ht="15.75" hidden="1" customHeight="1">
      <c r="A679" s="336" t="str">
        <f>IF(B679&lt;&gt;"",IF(AND(B679='IN-TC'!$S$4,OR(TH!N679="1111",TH!O679="1111")),TH!D679,""),"")</f>
        <v/>
      </c>
      <c r="B679" s="63">
        <f t="shared" ref="B679:B692" si="154">IF(C679&lt;&gt;"",MONTH(C679),"")</f>
        <v>8</v>
      </c>
      <c r="C679" s="80">
        <f t="shared" ref="C679:C692" si="155">E679</f>
        <v>42597</v>
      </c>
      <c r="D679" s="80" t="s">
        <v>1969</v>
      </c>
      <c r="E679" s="80">
        <v>42597</v>
      </c>
      <c r="F679" s="81" t="s">
        <v>1960</v>
      </c>
      <c r="G679" s="81"/>
      <c r="H679" s="82" t="s">
        <v>409</v>
      </c>
      <c r="I679" s="437">
        <v>2500</v>
      </c>
      <c r="J679" s="438">
        <v>45000</v>
      </c>
      <c r="K679" s="428"/>
      <c r="L679" s="437"/>
      <c r="M679" s="83">
        <f t="shared" ref="M679:M692" si="156">ROUND(I679*J679,0)</f>
        <v>112500000</v>
      </c>
      <c r="N679" s="84" t="s">
        <v>274</v>
      </c>
      <c r="O679" s="84" t="s">
        <v>8</v>
      </c>
      <c r="P679" s="84" t="str">
        <f>IF(AND('331-CT'!$E$7=TH!H679,OR(N679="331",O679="331")),"x","")</f>
        <v/>
      </c>
      <c r="Q679" s="84" t="str">
        <f>IF(AND(B679='111'!$L$11,OR($N679=$Q$7,$O679=$Q$7)),"x","")</f>
        <v/>
      </c>
      <c r="R679" s="84" t="str">
        <f>IF(AND($N679=$Q$7,$B679&lt;'111'!$L$11),"x","")</f>
        <v/>
      </c>
      <c r="S679" s="84" t="str">
        <f>IF(AND($O679=$Q$7,$B679&lt;'111'!$L$11),"x","")</f>
        <v/>
      </c>
      <c r="T679" s="84" t="str">
        <f>IF(ISERROR(FIND('112'!$M$9,G679,1)),"",IF((AND(FIND('112'!$M$9,G679,1)&gt;=1,B679='112'!$K$9,OR($N679='112'!$I$6,$O679='112'!$I$6))),"x",""))</f>
        <v/>
      </c>
      <c r="U679" s="84" t="str">
        <f>IF(ISERROR(FIND('112'!$M$9,G679,1)),"",IF((AND(LEFT(G679,2)=LEFT('112'!$M$9,2),B679&lt;'112'!$K$9,$N679='112'!$I$6)),"x",""))</f>
        <v/>
      </c>
      <c r="V679" s="84" t="str">
        <f>IF(ISERROR(FIND('112'!$M$9,G679,1)),"",IF((AND(RIGHT(G679,2)=RIGHT('112'!$M$9,2),B679&lt;'112'!$K$9,$O679='112'!$I$6)),"x",""))</f>
        <v/>
      </c>
      <c r="W679" s="84" t="str">
        <f>IF(AND('341-CT'!$H$9=H679,OR(LEFT(N679,3)=$W$7,LEFT(O679,3)=$W$7)),"x","")</f>
        <v/>
      </c>
      <c r="X679" s="84" t="str">
        <f>IF(OR(TH!N679=TH!$X$7,O679=TH!$X$7),"x","")</f>
        <v/>
      </c>
      <c r="Y679" s="84" t="str">
        <f>IF(AND(OR(N679="131",O679="131"),H679='131-CT'!$H$9),"x","")</f>
        <v/>
      </c>
      <c r="Z679" s="84"/>
      <c r="AA679" s="84" t="str">
        <f>IF(AND(MONTH(E679)='IN-NX'!$J$5,'IN-NX'!$D$7=D679),"x","")</f>
        <v/>
      </c>
      <c r="AB679" s="84" t="str">
        <f>IF(AND(OR(LEFT(TH!N679,2)="15",LEFT(TH!O679,2)="15"),LEFT(TH!O679,3)&lt;&gt;"111",'152-CT'!$J$8=TH!F679),"x","")</f>
        <v/>
      </c>
      <c r="AC679" s="84" t="str">
        <f>IF(AND(OR(LEFT(TH!N679,2)="15",LEFT(TH!O679,2)="15"),TK!$E$7=TH!F679),"x","")</f>
        <v/>
      </c>
      <c r="AD679" s="84" t="str">
        <f>IF(AND(N679="1521",MONTH(C679)='BK-NL'!$M$11),"x","")</f>
        <v/>
      </c>
      <c r="AE679" s="1146" t="str">
        <f>IF(H679&lt;&gt;VLOOKUP(H679,DSKH,1,0),"","x")</f>
        <v>x</v>
      </c>
    </row>
    <row r="680" spans="1:31" s="341" customFormat="1" ht="15.75" hidden="1" customHeight="1">
      <c r="A680" s="336" t="str">
        <f>IF(B680&lt;&gt;"",IF(AND(B680='IN-TC'!$S$4,OR(TH!N680="1111",TH!O680="1111")),TH!D680,""),"")</f>
        <v/>
      </c>
      <c r="B680" s="63">
        <f t="shared" si="154"/>
        <v>8</v>
      </c>
      <c r="C680" s="94">
        <f t="shared" si="155"/>
        <v>42597</v>
      </c>
      <c r="D680" s="94" t="s">
        <v>695</v>
      </c>
      <c r="E680" s="94">
        <v>42597</v>
      </c>
      <c r="F680" s="95" t="s">
        <v>1960</v>
      </c>
      <c r="G680" s="95"/>
      <c r="H680" s="96" t="s">
        <v>449</v>
      </c>
      <c r="I680" s="1188">
        <v>2500</v>
      </c>
      <c r="J680" s="1187">
        <v>45000</v>
      </c>
      <c r="K680" s="1189"/>
      <c r="L680" s="1188"/>
      <c r="M680" s="97">
        <f t="shared" si="156"/>
        <v>112500000</v>
      </c>
      <c r="N680" s="85" t="s">
        <v>282</v>
      </c>
      <c r="O680" s="85" t="s">
        <v>274</v>
      </c>
      <c r="P680" s="84" t="str">
        <f>IF(AND('331-CT'!$E$7=TH!H680,OR(N680="331",O680="331")),"x","")</f>
        <v/>
      </c>
      <c r="Q680" s="84" t="str">
        <f>IF(AND(B680='111'!$L$11,OR($N680=$Q$7,$O680=$Q$7)),"x","")</f>
        <v/>
      </c>
      <c r="R680" s="84" t="str">
        <f>IF(AND($N680=$Q$7,$B680&lt;'111'!$L$11),"x","")</f>
        <v/>
      </c>
      <c r="S680" s="84" t="str">
        <f>IF(AND($O680=$Q$7,$B680&lt;'111'!$L$11),"x","")</f>
        <v/>
      </c>
      <c r="T680" s="84" t="str">
        <f>IF(ISERROR(FIND('112'!$M$9,G680,1)),"",IF((AND(FIND('112'!$M$9,G680,1)&gt;=1,B680='112'!$K$9,OR($N680='112'!$I$6,$O680='112'!$I$6))),"x",""))</f>
        <v/>
      </c>
      <c r="U680" s="84" t="str">
        <f>IF(ISERROR(FIND('112'!$M$9,G680,1)),"",IF((AND(LEFT(G680,2)=LEFT('112'!$M$9,2),B680&lt;'112'!$K$9,$N680='112'!$I$6)),"x",""))</f>
        <v/>
      </c>
      <c r="V680" s="84" t="str">
        <f>IF(ISERROR(FIND('112'!$M$9,G680,1)),"",IF((AND(RIGHT(G680,2)=RIGHT('112'!$M$9,2),B680&lt;'112'!$K$9,$O680='112'!$I$6)),"x",""))</f>
        <v/>
      </c>
      <c r="W680" s="84" t="str">
        <f>IF(AND('341-CT'!$H$9=H680,OR(LEFT(N680,3)=$W$7,LEFT(O680,3)=$W$7)),"x","")</f>
        <v/>
      </c>
      <c r="X680" s="84" t="str">
        <f>IF(OR(TH!N680=TH!$X$7,O680=TH!$X$7),"x","")</f>
        <v/>
      </c>
      <c r="Y680" s="84" t="str">
        <f>IF(AND(OR(N680="131",O680="131"),H680='131-CT'!$H$9),"x","")</f>
        <v/>
      </c>
      <c r="Z680" s="84"/>
      <c r="AA680" s="84" t="str">
        <f>IF(AND(MONTH(E680)='IN-NX'!$J$5,'IN-NX'!$D$7=D680),"x","")</f>
        <v/>
      </c>
      <c r="AB680" s="84" t="str">
        <f>IF(AND(OR(LEFT(TH!N680,2)="15",LEFT(TH!O680,2)="15"),LEFT(TH!O680,3)&lt;&gt;"111",'152-CT'!$J$8=TH!F680),"x","")</f>
        <v/>
      </c>
      <c r="AC680" s="84" t="str">
        <f>IF(AND(OR(LEFT(TH!N680,2)="15",LEFT(TH!O680,2)="15"),TK!$E$7=TH!F680),"x","")</f>
        <v/>
      </c>
      <c r="AD680" s="84" t="str">
        <f>IF(AND(N680="1521",MONTH(C680)='BK-NL'!$M$11),"x","")</f>
        <v/>
      </c>
    </row>
    <row r="681" spans="1:31" ht="15.75" hidden="1" customHeight="1">
      <c r="A681" s="336" t="str">
        <f>IF(B681&lt;&gt;"",IF(AND(B681='IN-TC'!$S$4,OR(TH!N681="1111",TH!O681="1111")),TH!D681,""),"")</f>
        <v/>
      </c>
      <c r="B681" s="63">
        <f t="shared" si="154"/>
        <v>8</v>
      </c>
      <c r="C681" s="80">
        <f t="shared" si="155"/>
        <v>42592</v>
      </c>
      <c r="D681" s="80" t="s">
        <v>938</v>
      </c>
      <c r="E681" s="80">
        <v>42592</v>
      </c>
      <c r="F681" s="81" t="s">
        <v>1987</v>
      </c>
      <c r="G681" s="81"/>
      <c r="H681" s="89" t="s">
        <v>383</v>
      </c>
      <c r="I681" s="438">
        <v>11020</v>
      </c>
      <c r="J681" s="438">
        <v>35000</v>
      </c>
      <c r="K681" s="429"/>
      <c r="L681" s="438"/>
      <c r="M681" s="83">
        <f t="shared" si="156"/>
        <v>385700000</v>
      </c>
      <c r="N681" s="84" t="s">
        <v>274</v>
      </c>
      <c r="O681" s="84" t="s">
        <v>8</v>
      </c>
      <c r="P681" s="84" t="str">
        <f>IF(AND('331-CT'!$E$7=TH!H681,OR(N681="331",O681="331")),"x","")</f>
        <v/>
      </c>
      <c r="Q681" s="84" t="str">
        <f>IF(AND(B681='111'!$L$11,OR($N681=$Q$7,$O681=$Q$7)),"x","")</f>
        <v/>
      </c>
      <c r="R681" s="84" t="str">
        <f>IF(AND($N681=$Q$7,$B681&lt;'111'!$L$11),"x","")</f>
        <v/>
      </c>
      <c r="S681" s="84" t="str">
        <f>IF(AND($O681=$Q$7,$B681&lt;'111'!$L$11),"x","")</f>
        <v/>
      </c>
      <c r="T681" s="84" t="str">
        <f>IF(ISERROR(FIND('112'!$M$9,G681,1)),"",IF((AND(FIND('112'!$M$9,G681,1)&gt;=1,B681='112'!$K$9,OR($N681='112'!$I$6,$O681='112'!$I$6))),"x",""))</f>
        <v/>
      </c>
      <c r="U681" s="84" t="str">
        <f>IF(ISERROR(FIND('112'!$M$9,G681,1)),"",IF((AND(LEFT(G681,2)=LEFT('112'!$M$9,2),B681&lt;'112'!$K$9,$N681='112'!$I$6)),"x",""))</f>
        <v/>
      </c>
      <c r="V681" s="84" t="str">
        <f>IF(ISERROR(FIND('112'!$M$9,G681,1)),"",IF((AND(RIGHT(G681,2)=RIGHT('112'!$M$9,2),B681&lt;'112'!$K$9,$O681='112'!$I$6)),"x",""))</f>
        <v/>
      </c>
      <c r="W681" s="84" t="str">
        <f>IF(AND('341-CT'!$H$9=H681,OR(LEFT(N681,3)=$W$7,LEFT(O681,3)=$W$7)),"x","")</f>
        <v/>
      </c>
      <c r="X681" s="84" t="str">
        <f>IF(OR(TH!N681=TH!$X$7,O681=TH!$X$7),"x","")</f>
        <v/>
      </c>
      <c r="Y681" s="84" t="str">
        <f>IF(AND(OR(N681="131",O681="131"),H681='131-CT'!$H$9),"x","")</f>
        <v/>
      </c>
      <c r="Z681" s="84"/>
      <c r="AA681" s="84" t="str">
        <f>IF(AND(MONTH(E681)='IN-NX'!$J$5,'IN-NX'!$D$7=D681),"x","")</f>
        <v/>
      </c>
      <c r="AB681" s="84" t="str">
        <f>IF(AND(OR(LEFT(TH!N681,2)="15",LEFT(TH!O681,2)="15"),LEFT(TH!O681,3)&lt;&gt;"111",'152-CT'!$J$8=TH!F681),"x","")</f>
        <v/>
      </c>
      <c r="AC681" s="84" t="str">
        <f>IF(AND(OR(LEFT(TH!N681,2)="15",LEFT(TH!O681,2)="15"),TK!$E$7=TH!F681),"x","")</f>
        <v/>
      </c>
      <c r="AD681" s="84" t="str">
        <f>IF(AND(N681="1521",MONTH(C681)='BK-NL'!$M$11),"x","")</f>
        <v/>
      </c>
      <c r="AE681" s="1146" t="str">
        <f t="shared" ref="AE681:AE700" si="157">IF(H681&lt;&gt;VLOOKUP(H681,DSKH,1,0),"","x")</f>
        <v>x</v>
      </c>
    </row>
    <row r="682" spans="1:31" ht="15.75" hidden="1" customHeight="1">
      <c r="A682" s="336" t="str">
        <f>IF(B682&lt;&gt;"",IF(AND(B682='IN-TC'!$S$4,OR(TH!N682="1111",TH!O682="1111")),TH!D682,""),"")</f>
        <v/>
      </c>
      <c r="B682" s="63">
        <f t="shared" si="154"/>
        <v>8</v>
      </c>
      <c r="C682" s="80">
        <f t="shared" si="155"/>
        <v>42592</v>
      </c>
      <c r="D682" s="80" t="s">
        <v>939</v>
      </c>
      <c r="E682" s="80">
        <v>42592</v>
      </c>
      <c r="F682" s="81" t="s">
        <v>1987</v>
      </c>
      <c r="G682" s="81"/>
      <c r="H682" s="82" t="s">
        <v>385</v>
      </c>
      <c r="I682" s="437">
        <v>10450</v>
      </c>
      <c r="J682" s="438">
        <v>35000</v>
      </c>
      <c r="K682" s="428"/>
      <c r="L682" s="437"/>
      <c r="M682" s="83">
        <f t="shared" si="156"/>
        <v>365750000</v>
      </c>
      <c r="N682" s="84" t="s">
        <v>274</v>
      </c>
      <c r="O682" s="84" t="s">
        <v>8</v>
      </c>
      <c r="P682" s="84" t="str">
        <f>IF(AND('331-CT'!$E$7=TH!H682,OR(N682="331",O682="331")),"x","")</f>
        <v/>
      </c>
      <c r="Q682" s="84" t="str">
        <f>IF(AND(B682='111'!$L$11,OR($N682=$Q$7,$O682=$Q$7)),"x","")</f>
        <v/>
      </c>
      <c r="R682" s="84" t="str">
        <f>IF(AND($N682=$Q$7,$B682&lt;'111'!$L$11),"x","")</f>
        <v/>
      </c>
      <c r="S682" s="84" t="str">
        <f>IF(AND($O682=$Q$7,$B682&lt;'111'!$L$11),"x","")</f>
        <v/>
      </c>
      <c r="T682" s="84" t="str">
        <f>IF(ISERROR(FIND('112'!$M$9,G682,1)),"",IF((AND(FIND('112'!$M$9,G682,1)&gt;=1,B682='112'!$K$9,OR($N682='112'!$I$6,$O682='112'!$I$6))),"x",""))</f>
        <v/>
      </c>
      <c r="U682" s="84" t="str">
        <f>IF(ISERROR(FIND('112'!$M$9,G682,1)),"",IF((AND(LEFT(G682,2)=LEFT('112'!$M$9,2),B682&lt;'112'!$K$9,$N682='112'!$I$6)),"x",""))</f>
        <v/>
      </c>
      <c r="V682" s="84" t="str">
        <f>IF(ISERROR(FIND('112'!$M$9,G682,1)),"",IF((AND(RIGHT(G682,2)=RIGHT('112'!$M$9,2),B682&lt;'112'!$K$9,$O682='112'!$I$6)),"x",""))</f>
        <v/>
      </c>
      <c r="W682" s="84" t="str">
        <f>IF(AND('341-CT'!$H$9=H682,OR(LEFT(N682,3)=$W$7,LEFT(O682,3)=$W$7)),"x","")</f>
        <v/>
      </c>
      <c r="X682" s="84" t="str">
        <f>IF(OR(TH!N682=TH!$X$7,O682=TH!$X$7),"x","")</f>
        <v/>
      </c>
      <c r="Y682" s="84" t="str">
        <f>IF(AND(OR(N682="131",O682="131"),H682='131-CT'!$H$9),"x","")</f>
        <v/>
      </c>
      <c r="Z682" s="84"/>
      <c r="AA682" s="84" t="str">
        <f>IF(AND(MONTH(E682)='IN-NX'!$J$5,'IN-NX'!$D$7=D682),"x","")</f>
        <v/>
      </c>
      <c r="AB682" s="84" t="str">
        <f>IF(AND(OR(LEFT(TH!N682,2)="15",LEFT(TH!O682,2)="15"),LEFT(TH!O682,3)&lt;&gt;"111",'152-CT'!$J$8=TH!F682),"x","")</f>
        <v/>
      </c>
      <c r="AC682" s="84" t="str">
        <f>IF(AND(OR(LEFT(TH!N682,2)="15",LEFT(TH!O682,2)="15"),TK!$E$7=TH!F682),"x","")</f>
        <v/>
      </c>
      <c r="AD682" s="84" t="str">
        <f>IF(AND(N682="1521",MONTH(C682)='BK-NL'!$M$11),"x","")</f>
        <v/>
      </c>
      <c r="AE682" s="1146" t="str">
        <f t="shared" si="157"/>
        <v>x</v>
      </c>
    </row>
    <row r="683" spans="1:31" ht="15.75" hidden="1" customHeight="1">
      <c r="A683" s="336" t="str">
        <f>IF(B683&lt;&gt;"",IF(AND(B683='IN-TC'!$S$4,OR(TH!N683="1111",TH!O683="1111")),TH!D683,""),"")</f>
        <v/>
      </c>
      <c r="B683" s="63">
        <f t="shared" si="154"/>
        <v>8</v>
      </c>
      <c r="C683" s="80">
        <f t="shared" si="155"/>
        <v>42592</v>
      </c>
      <c r="D683" s="80" t="s">
        <v>940</v>
      </c>
      <c r="E683" s="80">
        <v>42592</v>
      </c>
      <c r="F683" s="81" t="s">
        <v>1987</v>
      </c>
      <c r="G683" s="81"/>
      <c r="H683" s="82" t="s">
        <v>1988</v>
      </c>
      <c r="I683" s="437">
        <v>11460</v>
      </c>
      <c r="J683" s="438">
        <v>35000</v>
      </c>
      <c r="K683" s="428"/>
      <c r="L683" s="437"/>
      <c r="M683" s="83">
        <f t="shared" si="156"/>
        <v>401100000</v>
      </c>
      <c r="N683" s="84" t="s">
        <v>274</v>
      </c>
      <c r="O683" s="84" t="s">
        <v>8</v>
      </c>
      <c r="P683" s="84" t="str">
        <f>IF(AND('331-CT'!$E$7=TH!H683,OR(N683="331",O683="331")),"x","")</f>
        <v/>
      </c>
      <c r="Q683" s="84" t="str">
        <f>IF(AND(B683='111'!$L$11,OR($N683=$Q$7,$O683=$Q$7)),"x","")</f>
        <v/>
      </c>
      <c r="R683" s="84" t="str">
        <f>IF(AND($N683=$Q$7,$B683&lt;'111'!$L$11),"x","")</f>
        <v/>
      </c>
      <c r="S683" s="84" t="str">
        <f>IF(AND($O683=$Q$7,$B683&lt;'111'!$L$11),"x","")</f>
        <v/>
      </c>
      <c r="T683" s="84" t="str">
        <f>IF(ISERROR(FIND('112'!$M$9,G683,1)),"",IF((AND(FIND('112'!$M$9,G683,1)&gt;=1,B683='112'!$K$9,OR($N683='112'!$I$6,$O683='112'!$I$6))),"x",""))</f>
        <v/>
      </c>
      <c r="U683" s="84" t="str">
        <f>IF(ISERROR(FIND('112'!$M$9,G683,1)),"",IF((AND(LEFT(G683,2)=LEFT('112'!$M$9,2),B683&lt;'112'!$K$9,$N683='112'!$I$6)),"x",""))</f>
        <v/>
      </c>
      <c r="V683" s="84" t="str">
        <f>IF(ISERROR(FIND('112'!$M$9,G683,1)),"",IF((AND(RIGHT(G683,2)=RIGHT('112'!$M$9,2),B683&lt;'112'!$K$9,$O683='112'!$I$6)),"x",""))</f>
        <v/>
      </c>
      <c r="W683" s="84" t="str">
        <f>IF(AND('341-CT'!$H$9=H683,OR(LEFT(N683,3)=$W$7,LEFT(O683,3)=$W$7)),"x","")</f>
        <v/>
      </c>
      <c r="X683" s="84" t="str">
        <f>IF(OR(TH!N683=TH!$X$7,O683=TH!$X$7),"x","")</f>
        <v/>
      </c>
      <c r="Y683" s="84" t="str">
        <f>IF(AND(OR(N683="131",O683="131"),H683='131-CT'!$H$9),"x","")</f>
        <v/>
      </c>
      <c r="Z683" s="84"/>
      <c r="AA683" s="84" t="str">
        <f>IF(AND(MONTH(E683)='IN-NX'!$J$5,'IN-NX'!$D$7=D683),"x","")</f>
        <v/>
      </c>
      <c r="AB683" s="84" t="str">
        <f>IF(AND(OR(LEFT(TH!N683,2)="15",LEFT(TH!O683,2)="15"),LEFT(TH!O683,3)&lt;&gt;"111",'152-CT'!$J$8=TH!F683),"x","")</f>
        <v/>
      </c>
      <c r="AC683" s="84" t="str">
        <f>IF(AND(OR(LEFT(TH!N683,2)="15",LEFT(TH!O683,2)="15"),TK!$E$7=TH!F683),"x","")</f>
        <v/>
      </c>
      <c r="AD683" s="84" t="str">
        <f>IF(AND(N683="1521",MONTH(C683)='BK-NL'!$M$11),"x","")</f>
        <v/>
      </c>
      <c r="AE683" s="1146" t="str">
        <f t="shared" si="157"/>
        <v>x</v>
      </c>
    </row>
    <row r="684" spans="1:31" ht="15.75" hidden="1" customHeight="1">
      <c r="A684" s="336" t="str">
        <f>IF(B684&lt;&gt;"",IF(AND(B684='IN-TC'!$S$4,OR(TH!N684="1111",TH!O684="1111")),TH!D684,""),"")</f>
        <v/>
      </c>
      <c r="B684" s="63">
        <f t="shared" si="154"/>
        <v>8</v>
      </c>
      <c r="C684" s="80">
        <f t="shared" si="155"/>
        <v>42592</v>
      </c>
      <c r="D684" s="80" t="s">
        <v>941</v>
      </c>
      <c r="E684" s="80">
        <v>42592</v>
      </c>
      <c r="F684" s="81" t="s">
        <v>1987</v>
      </c>
      <c r="G684" s="81"/>
      <c r="H684" s="82" t="s">
        <v>388</v>
      </c>
      <c r="I684" s="437">
        <v>10289</v>
      </c>
      <c r="J684" s="438">
        <v>35000</v>
      </c>
      <c r="K684" s="428"/>
      <c r="L684" s="437"/>
      <c r="M684" s="83">
        <f t="shared" si="156"/>
        <v>360115000</v>
      </c>
      <c r="N684" s="84" t="s">
        <v>274</v>
      </c>
      <c r="O684" s="84" t="s">
        <v>8</v>
      </c>
      <c r="P684" s="84" t="str">
        <f>IF(AND('331-CT'!$E$7=TH!H684,OR(N684="331",O684="331")),"x","")</f>
        <v/>
      </c>
      <c r="Q684" s="84" t="str">
        <f>IF(AND(B684='111'!$L$11,OR($N684=$Q$7,$O684=$Q$7)),"x","")</f>
        <v/>
      </c>
      <c r="R684" s="84" t="str">
        <f>IF(AND($N684=$Q$7,$B684&lt;'111'!$L$11),"x","")</f>
        <v/>
      </c>
      <c r="S684" s="84" t="str">
        <f>IF(AND($O684=$Q$7,$B684&lt;'111'!$L$11),"x","")</f>
        <v/>
      </c>
      <c r="T684" s="84" t="str">
        <f>IF(ISERROR(FIND('112'!$M$9,G684,1)),"",IF((AND(FIND('112'!$M$9,G684,1)&gt;=1,B684='112'!$K$9,OR($N684='112'!$I$6,$O684='112'!$I$6))),"x",""))</f>
        <v/>
      </c>
      <c r="U684" s="84" t="str">
        <f>IF(ISERROR(FIND('112'!$M$9,G684,1)),"",IF((AND(LEFT(G684,2)=LEFT('112'!$M$9,2),B684&lt;'112'!$K$9,$N684='112'!$I$6)),"x",""))</f>
        <v/>
      </c>
      <c r="V684" s="84" t="str">
        <f>IF(ISERROR(FIND('112'!$M$9,G684,1)),"",IF((AND(RIGHT(G684,2)=RIGHT('112'!$M$9,2),B684&lt;'112'!$K$9,$O684='112'!$I$6)),"x",""))</f>
        <v/>
      </c>
      <c r="W684" s="84" t="str">
        <f>IF(AND('341-CT'!$H$9=H684,OR(LEFT(N684,3)=$W$7,LEFT(O684,3)=$W$7)),"x","")</f>
        <v/>
      </c>
      <c r="X684" s="84" t="str">
        <f>IF(OR(TH!N684=TH!$X$7,O684=TH!$X$7),"x","")</f>
        <v/>
      </c>
      <c r="Y684" s="84" t="str">
        <f>IF(AND(OR(N684="131",O684="131"),H684='131-CT'!$H$9),"x","")</f>
        <v/>
      </c>
      <c r="Z684" s="84"/>
      <c r="AA684" s="84" t="str">
        <f>IF(AND(MONTH(E684)='IN-NX'!$J$5,'IN-NX'!$D$7=D684),"x","")</f>
        <v/>
      </c>
      <c r="AB684" s="84" t="str">
        <f>IF(AND(OR(LEFT(TH!N684,2)="15",LEFT(TH!O684,2)="15"),LEFT(TH!O684,3)&lt;&gt;"111",'152-CT'!$J$8=TH!F684),"x","")</f>
        <v/>
      </c>
      <c r="AC684" s="84" t="str">
        <f>IF(AND(OR(LEFT(TH!N684,2)="15",LEFT(TH!O684,2)="15"),TK!$E$7=TH!F684),"x","")</f>
        <v/>
      </c>
      <c r="AD684" s="84" t="str">
        <f>IF(AND(N684="1521",MONTH(C684)='BK-NL'!$M$11),"x","")</f>
        <v/>
      </c>
      <c r="AE684" s="1146" t="str">
        <f t="shared" si="157"/>
        <v>x</v>
      </c>
    </row>
    <row r="685" spans="1:31" ht="15.75" hidden="1" customHeight="1">
      <c r="A685" s="336" t="str">
        <f>IF(B685&lt;&gt;"",IF(AND(B685='IN-TC'!$S$4,OR(TH!N685="1111",TH!O685="1111")),TH!D685,""),"")</f>
        <v/>
      </c>
      <c r="B685" s="63">
        <f t="shared" si="154"/>
        <v>8</v>
      </c>
      <c r="C685" s="80">
        <f t="shared" si="155"/>
        <v>42597</v>
      </c>
      <c r="D685" s="80" t="s">
        <v>951</v>
      </c>
      <c r="E685" s="80">
        <v>42597</v>
      </c>
      <c r="F685" s="81" t="s">
        <v>1987</v>
      </c>
      <c r="G685" s="81"/>
      <c r="H685" s="82" t="s">
        <v>391</v>
      </c>
      <c r="I685" s="437">
        <v>10456</v>
      </c>
      <c r="J685" s="438">
        <v>35000</v>
      </c>
      <c r="K685" s="428"/>
      <c r="L685" s="437"/>
      <c r="M685" s="83">
        <f t="shared" si="156"/>
        <v>365960000</v>
      </c>
      <c r="N685" s="84" t="s">
        <v>274</v>
      </c>
      <c r="O685" s="84" t="s">
        <v>8</v>
      </c>
      <c r="P685" s="84" t="str">
        <f>IF(AND('331-CT'!$E$7=TH!H685,OR(N685="331",O685="331")),"x","")</f>
        <v/>
      </c>
      <c r="Q685" s="84" t="str">
        <f>IF(AND(B685='111'!$L$11,OR($N685=$Q$7,$O685=$Q$7)),"x","")</f>
        <v/>
      </c>
      <c r="R685" s="84" t="str">
        <f>IF(AND($N685=$Q$7,$B685&lt;'111'!$L$11),"x","")</f>
        <v/>
      </c>
      <c r="S685" s="84" t="str">
        <f>IF(AND($O685=$Q$7,$B685&lt;'111'!$L$11),"x","")</f>
        <v/>
      </c>
      <c r="T685" s="84" t="str">
        <f>IF(ISERROR(FIND('112'!$M$9,G685,1)),"",IF((AND(FIND('112'!$M$9,G685,1)&gt;=1,B685='112'!$K$9,OR($N685='112'!$I$6,$O685='112'!$I$6))),"x",""))</f>
        <v/>
      </c>
      <c r="U685" s="84" t="str">
        <f>IF(ISERROR(FIND('112'!$M$9,G685,1)),"",IF((AND(LEFT(G685,2)=LEFT('112'!$M$9,2),B685&lt;'112'!$K$9,$N685='112'!$I$6)),"x",""))</f>
        <v/>
      </c>
      <c r="V685" s="84" t="str">
        <f>IF(ISERROR(FIND('112'!$M$9,G685,1)),"",IF((AND(RIGHT(G685,2)=RIGHT('112'!$M$9,2),B685&lt;'112'!$K$9,$O685='112'!$I$6)),"x",""))</f>
        <v/>
      </c>
      <c r="W685" s="84" t="str">
        <f>IF(AND('341-CT'!$H$9=H685,OR(LEFT(N685,3)=$W$7,LEFT(O685,3)=$W$7)),"x","")</f>
        <v/>
      </c>
      <c r="X685" s="84" t="str">
        <f>IF(OR(TH!N685=TH!$X$7,O685=TH!$X$7),"x","")</f>
        <v/>
      </c>
      <c r="Y685" s="84" t="str">
        <f>IF(AND(OR(N685="131",O685="131"),H685='131-CT'!$H$9),"x","")</f>
        <v/>
      </c>
      <c r="Z685" s="84"/>
      <c r="AA685" s="84" t="str">
        <f>IF(AND(MONTH(E685)='IN-NX'!$J$5,'IN-NX'!$D$7=D685),"x","")</f>
        <v/>
      </c>
      <c r="AB685" s="84" t="str">
        <f>IF(AND(OR(LEFT(TH!N685,2)="15",LEFT(TH!O685,2)="15"),LEFT(TH!O685,3)&lt;&gt;"111",'152-CT'!$J$8=TH!F685),"x","")</f>
        <v/>
      </c>
      <c r="AC685" s="84" t="str">
        <f>IF(AND(OR(LEFT(TH!N685,2)="15",LEFT(TH!O685,2)="15"),TK!$E$7=TH!F685),"x","")</f>
        <v/>
      </c>
      <c r="AD685" s="84" t="str">
        <f>IF(AND(N685="1521",MONTH(C685)='BK-NL'!$M$11),"x","")</f>
        <v/>
      </c>
      <c r="AE685" s="1146" t="str">
        <f t="shared" si="157"/>
        <v>x</v>
      </c>
    </row>
    <row r="686" spans="1:31" ht="15.75" hidden="1" customHeight="1">
      <c r="A686" s="336" t="str">
        <f>IF(B686&lt;&gt;"",IF(AND(B686='IN-TC'!$S$4,OR(TH!N686="1111",TH!O686="1111")),TH!D686,""),"")</f>
        <v/>
      </c>
      <c r="B686" s="63">
        <f t="shared" si="154"/>
        <v>8</v>
      </c>
      <c r="C686" s="80">
        <f t="shared" si="155"/>
        <v>42597</v>
      </c>
      <c r="D686" s="80" t="s">
        <v>952</v>
      </c>
      <c r="E686" s="80">
        <v>42597</v>
      </c>
      <c r="F686" s="81" t="s">
        <v>1987</v>
      </c>
      <c r="G686" s="81"/>
      <c r="H686" s="82" t="s">
        <v>393</v>
      </c>
      <c r="I686" s="437">
        <v>10479</v>
      </c>
      <c r="J686" s="438">
        <v>35000</v>
      </c>
      <c r="K686" s="428"/>
      <c r="L686" s="437"/>
      <c r="M686" s="83">
        <f t="shared" si="156"/>
        <v>366765000</v>
      </c>
      <c r="N686" s="84" t="s">
        <v>274</v>
      </c>
      <c r="O686" s="84" t="s">
        <v>8</v>
      </c>
      <c r="P686" s="84" t="str">
        <f>IF(AND('331-CT'!$E$7=TH!H686,OR(N686="331",O686="331")),"x","")</f>
        <v/>
      </c>
      <c r="Q686" s="84" t="str">
        <f>IF(AND(B686='111'!$L$11,OR($N686=$Q$7,$O686=$Q$7)),"x","")</f>
        <v/>
      </c>
      <c r="R686" s="84" t="str">
        <f>IF(AND($N686=$Q$7,$B686&lt;'111'!$L$11),"x","")</f>
        <v/>
      </c>
      <c r="S686" s="84" t="str">
        <f>IF(AND($O686=$Q$7,$B686&lt;'111'!$L$11),"x","")</f>
        <v/>
      </c>
      <c r="T686" s="84" t="str">
        <f>IF(ISERROR(FIND('112'!$M$9,G686,1)),"",IF((AND(FIND('112'!$M$9,G686,1)&gt;=1,B686='112'!$K$9,OR($N686='112'!$I$6,$O686='112'!$I$6))),"x",""))</f>
        <v/>
      </c>
      <c r="U686" s="84" t="str">
        <f>IF(ISERROR(FIND('112'!$M$9,G686,1)),"",IF((AND(LEFT(G686,2)=LEFT('112'!$M$9,2),B686&lt;'112'!$K$9,$N686='112'!$I$6)),"x",""))</f>
        <v/>
      </c>
      <c r="V686" s="84" t="str">
        <f>IF(ISERROR(FIND('112'!$M$9,G686,1)),"",IF((AND(RIGHT(G686,2)=RIGHT('112'!$M$9,2),B686&lt;'112'!$K$9,$O686='112'!$I$6)),"x",""))</f>
        <v/>
      </c>
      <c r="W686" s="84" t="str">
        <f>IF(AND('341-CT'!$H$9=H686,OR(LEFT(N686,3)=$W$7,LEFT(O686,3)=$W$7)),"x","")</f>
        <v/>
      </c>
      <c r="X686" s="84" t="str">
        <f>IF(OR(TH!N686=TH!$X$7,O686=TH!$X$7),"x","")</f>
        <v/>
      </c>
      <c r="Y686" s="84" t="str">
        <f>IF(AND(OR(N686="131",O686="131"),H686='131-CT'!$H$9),"x","")</f>
        <v/>
      </c>
      <c r="Z686" s="84"/>
      <c r="AA686" s="84" t="str">
        <f>IF(AND(MONTH(E686)='IN-NX'!$J$5,'IN-NX'!$D$7=D686),"x","")</f>
        <v/>
      </c>
      <c r="AB686" s="84" t="str">
        <f>IF(AND(OR(LEFT(TH!N686,2)="15",LEFT(TH!O686,2)="15"),LEFT(TH!O686,3)&lt;&gt;"111",'152-CT'!$J$8=TH!F686),"x","")</f>
        <v/>
      </c>
      <c r="AC686" s="84" t="str">
        <f>IF(AND(OR(LEFT(TH!N686,2)="15",LEFT(TH!O686,2)="15"),TK!$E$7=TH!F686),"x","")</f>
        <v/>
      </c>
      <c r="AD686" s="84" t="str">
        <f>IF(AND(N686="1521",MONTH(C686)='BK-NL'!$M$11),"x","")</f>
        <v/>
      </c>
      <c r="AE686" s="1146" t="str">
        <f t="shared" si="157"/>
        <v>x</v>
      </c>
    </row>
    <row r="687" spans="1:31" ht="15.75" hidden="1" customHeight="1">
      <c r="A687" s="336" t="str">
        <f>IF(B687&lt;&gt;"",IF(AND(B687='IN-TC'!$S$4,OR(TH!N687="1111",TH!O687="1111")),TH!D687,""),"")</f>
        <v/>
      </c>
      <c r="B687" s="63">
        <f t="shared" si="154"/>
        <v>8</v>
      </c>
      <c r="C687" s="80">
        <f t="shared" si="155"/>
        <v>42597</v>
      </c>
      <c r="D687" s="80" t="s">
        <v>953</v>
      </c>
      <c r="E687" s="80">
        <v>42597</v>
      </c>
      <c r="F687" s="81" t="s">
        <v>1987</v>
      </c>
      <c r="G687" s="81"/>
      <c r="H687" s="82" t="s">
        <v>383</v>
      </c>
      <c r="I687" s="437">
        <v>11204</v>
      </c>
      <c r="J687" s="438">
        <v>35000</v>
      </c>
      <c r="K687" s="428"/>
      <c r="L687" s="437"/>
      <c r="M687" s="83">
        <f t="shared" si="156"/>
        <v>392140000</v>
      </c>
      <c r="N687" s="84" t="s">
        <v>274</v>
      </c>
      <c r="O687" s="84" t="s">
        <v>8</v>
      </c>
      <c r="P687" s="84" t="str">
        <f>IF(AND('331-CT'!$E$7=TH!H687,OR(N687="331",O687="331")),"x","")</f>
        <v/>
      </c>
      <c r="Q687" s="84" t="str">
        <f>IF(AND(B687='111'!$L$11,OR($N687=$Q$7,$O687=$Q$7)),"x","")</f>
        <v/>
      </c>
      <c r="R687" s="84" t="str">
        <f>IF(AND($N687=$Q$7,$B687&lt;'111'!$L$11),"x","")</f>
        <v/>
      </c>
      <c r="S687" s="84" t="str">
        <f>IF(AND($O687=$Q$7,$B687&lt;'111'!$L$11),"x","")</f>
        <v/>
      </c>
      <c r="T687" s="84" t="str">
        <f>IF(ISERROR(FIND('112'!$M$9,G687,1)),"",IF((AND(FIND('112'!$M$9,G687,1)&gt;=1,B687='112'!$K$9,OR($N687='112'!$I$6,$O687='112'!$I$6))),"x",""))</f>
        <v/>
      </c>
      <c r="U687" s="84" t="str">
        <f>IF(ISERROR(FIND('112'!$M$9,G687,1)),"",IF((AND(LEFT(G687,2)=LEFT('112'!$M$9,2),B687&lt;'112'!$K$9,$N687='112'!$I$6)),"x",""))</f>
        <v/>
      </c>
      <c r="V687" s="84" t="str">
        <f>IF(ISERROR(FIND('112'!$M$9,G687,1)),"",IF((AND(RIGHT(G687,2)=RIGHT('112'!$M$9,2),B687&lt;'112'!$K$9,$O687='112'!$I$6)),"x",""))</f>
        <v/>
      </c>
      <c r="W687" s="84" t="str">
        <f>IF(AND('341-CT'!$H$9=H687,OR(LEFT(N687,3)=$W$7,LEFT(O687,3)=$W$7)),"x","")</f>
        <v/>
      </c>
      <c r="X687" s="84" t="str">
        <f>IF(OR(TH!N687=TH!$X$7,O687=TH!$X$7),"x","")</f>
        <v/>
      </c>
      <c r="Y687" s="84" t="str">
        <f>IF(AND(OR(N687="131",O687="131"),H687='131-CT'!$H$9),"x","")</f>
        <v/>
      </c>
      <c r="Z687" s="84"/>
      <c r="AA687" s="84" t="str">
        <f>IF(AND(MONTH(E687)='IN-NX'!$J$5,'IN-NX'!$D$7=D687),"x","")</f>
        <v/>
      </c>
      <c r="AB687" s="84" t="str">
        <f>IF(AND(OR(LEFT(TH!N687,2)="15",LEFT(TH!O687,2)="15"),LEFT(TH!O687,3)&lt;&gt;"111",'152-CT'!$J$8=TH!F687),"x","")</f>
        <v/>
      </c>
      <c r="AC687" s="84" t="str">
        <f>IF(AND(OR(LEFT(TH!N687,2)="15",LEFT(TH!O687,2)="15"),TK!$E$7=TH!F687),"x","")</f>
        <v/>
      </c>
      <c r="AD687" s="84" t="str">
        <f>IF(AND(N687="1521",MONTH(C687)='BK-NL'!$M$11),"x","")</f>
        <v/>
      </c>
      <c r="AE687" s="1146" t="str">
        <f t="shared" si="157"/>
        <v>x</v>
      </c>
    </row>
    <row r="688" spans="1:31" ht="15.75" hidden="1" customHeight="1">
      <c r="A688" s="336" t="str">
        <f>IF(B688&lt;&gt;"",IF(AND(B688='IN-TC'!$S$4,OR(TH!N688="1111",TH!O688="1111")),TH!D688,""),"")</f>
        <v/>
      </c>
      <c r="B688" s="63">
        <f t="shared" si="154"/>
        <v>8</v>
      </c>
      <c r="C688" s="80">
        <f t="shared" si="155"/>
        <v>42597</v>
      </c>
      <c r="D688" s="80" t="s">
        <v>954</v>
      </c>
      <c r="E688" s="80">
        <v>42597</v>
      </c>
      <c r="F688" s="81" t="s">
        <v>1987</v>
      </c>
      <c r="G688" s="81"/>
      <c r="H688" s="82" t="s">
        <v>391</v>
      </c>
      <c r="I688" s="437">
        <v>10460</v>
      </c>
      <c r="J688" s="438">
        <v>35000</v>
      </c>
      <c r="K688" s="428"/>
      <c r="L688" s="437"/>
      <c r="M688" s="83">
        <f t="shared" si="156"/>
        <v>366100000</v>
      </c>
      <c r="N688" s="84" t="s">
        <v>274</v>
      </c>
      <c r="O688" s="84" t="s">
        <v>8</v>
      </c>
      <c r="P688" s="84" t="str">
        <f>IF(AND('331-CT'!$E$7=TH!H688,OR(N688="331",O688="331")),"x","")</f>
        <v/>
      </c>
      <c r="Q688" s="84" t="str">
        <f>IF(AND(B688='111'!$L$11,OR($N688=$Q$7,$O688=$Q$7)),"x","")</f>
        <v/>
      </c>
      <c r="R688" s="84" t="str">
        <f>IF(AND($N688=$Q$7,$B688&lt;'111'!$L$11),"x","")</f>
        <v/>
      </c>
      <c r="S688" s="84" t="str">
        <f>IF(AND($O688=$Q$7,$B688&lt;'111'!$L$11),"x","")</f>
        <v/>
      </c>
      <c r="T688" s="84" t="str">
        <f>IF(ISERROR(FIND('112'!$M$9,G688,1)),"",IF((AND(FIND('112'!$M$9,G688,1)&gt;=1,B688='112'!$K$9,OR($N688='112'!$I$6,$O688='112'!$I$6))),"x",""))</f>
        <v/>
      </c>
      <c r="U688" s="84" t="str">
        <f>IF(ISERROR(FIND('112'!$M$9,G688,1)),"",IF((AND(LEFT(G688,2)=LEFT('112'!$M$9,2),B688&lt;'112'!$K$9,$N688='112'!$I$6)),"x",""))</f>
        <v/>
      </c>
      <c r="V688" s="84" t="str">
        <f>IF(ISERROR(FIND('112'!$M$9,G688,1)),"",IF((AND(RIGHT(G688,2)=RIGHT('112'!$M$9,2),B688&lt;'112'!$K$9,$O688='112'!$I$6)),"x",""))</f>
        <v/>
      </c>
      <c r="W688" s="84" t="str">
        <f>IF(AND('341-CT'!$H$9=H688,OR(LEFT(N688,3)=$W$7,LEFT(O688,3)=$W$7)),"x","")</f>
        <v/>
      </c>
      <c r="X688" s="84" t="str">
        <f>IF(OR(TH!N688=TH!$X$7,O688=TH!$X$7),"x","")</f>
        <v/>
      </c>
      <c r="Y688" s="84" t="str">
        <f>IF(AND(OR(N688="131",O688="131"),H688='131-CT'!$H$9),"x","")</f>
        <v/>
      </c>
      <c r="Z688" s="84"/>
      <c r="AA688" s="84" t="str">
        <f>IF(AND(MONTH(E688)='IN-NX'!$J$5,'IN-NX'!$D$7=D688),"x","")</f>
        <v/>
      </c>
      <c r="AB688" s="84" t="str">
        <f>IF(AND(OR(LEFT(TH!N688,2)="15",LEFT(TH!O688,2)="15"),LEFT(TH!O688,3)&lt;&gt;"111",'152-CT'!$J$8=TH!F688),"x","")</f>
        <v/>
      </c>
      <c r="AC688" s="84" t="str">
        <f>IF(AND(OR(LEFT(TH!N688,2)="15",LEFT(TH!O688,2)="15"),TK!$E$7=TH!F688),"x","")</f>
        <v/>
      </c>
      <c r="AD688" s="84" t="str">
        <f>IF(AND(N688="1521",MONTH(C688)='BK-NL'!$M$11),"x","")</f>
        <v/>
      </c>
      <c r="AE688" s="1146" t="str">
        <f t="shared" si="157"/>
        <v>x</v>
      </c>
    </row>
    <row r="689" spans="1:31" ht="15.75" hidden="1" customHeight="1">
      <c r="A689" s="336" t="str">
        <f>IF(B689&lt;&gt;"",IF(AND(B689='IN-TC'!$S$4,OR(TH!N689="1111",TH!O689="1111")),TH!D689,""),"")</f>
        <v/>
      </c>
      <c r="B689" s="63">
        <f t="shared" si="154"/>
        <v>8</v>
      </c>
      <c r="C689" s="80">
        <f t="shared" si="155"/>
        <v>42599</v>
      </c>
      <c r="D689" s="80" t="s">
        <v>959</v>
      </c>
      <c r="E689" s="80">
        <v>42599</v>
      </c>
      <c r="F689" s="81" t="s">
        <v>1987</v>
      </c>
      <c r="G689" s="81"/>
      <c r="H689" s="82" t="s">
        <v>385</v>
      </c>
      <c r="I689" s="437">
        <v>11026</v>
      </c>
      <c r="J689" s="438">
        <v>35000</v>
      </c>
      <c r="K689" s="428"/>
      <c r="L689" s="437"/>
      <c r="M689" s="83">
        <f t="shared" si="156"/>
        <v>385910000</v>
      </c>
      <c r="N689" s="84" t="s">
        <v>274</v>
      </c>
      <c r="O689" s="84" t="s">
        <v>8</v>
      </c>
      <c r="P689" s="84" t="str">
        <f>IF(AND('331-CT'!$E$7=TH!H689,OR(N689="331",O689="331")),"x","")</f>
        <v/>
      </c>
      <c r="Q689" s="84" t="str">
        <f>IF(AND(B689='111'!$L$11,OR($N689=$Q$7,$O689=$Q$7)),"x","")</f>
        <v/>
      </c>
      <c r="R689" s="84" t="str">
        <f>IF(AND($N689=$Q$7,$B689&lt;'111'!$L$11),"x","")</f>
        <v/>
      </c>
      <c r="S689" s="84" t="str">
        <f>IF(AND($O689=$Q$7,$B689&lt;'111'!$L$11),"x","")</f>
        <v/>
      </c>
      <c r="T689" s="84" t="str">
        <f>IF(ISERROR(FIND('112'!$M$9,G689,1)),"",IF((AND(FIND('112'!$M$9,G689,1)&gt;=1,B689='112'!$K$9,OR($N689='112'!$I$6,$O689='112'!$I$6))),"x",""))</f>
        <v/>
      </c>
      <c r="U689" s="84" t="str">
        <f>IF(ISERROR(FIND('112'!$M$9,G689,1)),"",IF((AND(LEFT(G689,2)=LEFT('112'!$M$9,2),B689&lt;'112'!$K$9,$N689='112'!$I$6)),"x",""))</f>
        <v/>
      </c>
      <c r="V689" s="84" t="str">
        <f>IF(ISERROR(FIND('112'!$M$9,G689,1)),"",IF((AND(RIGHT(G689,2)=RIGHT('112'!$M$9,2),B689&lt;'112'!$K$9,$O689='112'!$I$6)),"x",""))</f>
        <v/>
      </c>
      <c r="W689" s="84" t="str">
        <f>IF(AND('341-CT'!$H$9=H689,OR(LEFT(N689,3)=$W$7,LEFT(O689,3)=$W$7)),"x","")</f>
        <v/>
      </c>
      <c r="X689" s="84" t="str">
        <f>IF(OR(TH!N689=TH!$X$7,O689=TH!$X$7),"x","")</f>
        <v/>
      </c>
      <c r="Y689" s="84" t="str">
        <f>IF(AND(OR(N689="131",O689="131"),H689='131-CT'!$H$9),"x","")</f>
        <v/>
      </c>
      <c r="Z689" s="84"/>
      <c r="AA689" s="84" t="str">
        <f>IF(AND(MONTH(E689)='IN-NX'!$J$5,'IN-NX'!$D$7=D689),"x","")</f>
        <v/>
      </c>
      <c r="AB689" s="84" t="str">
        <f>IF(AND(OR(LEFT(TH!N689,2)="15",LEFT(TH!O689,2)="15"),LEFT(TH!O689,3)&lt;&gt;"111",'152-CT'!$J$8=TH!F689),"x","")</f>
        <v/>
      </c>
      <c r="AC689" s="84" t="str">
        <f>IF(AND(OR(LEFT(TH!N689,2)="15",LEFT(TH!O689,2)="15"),TK!$E$7=TH!F689),"x","")</f>
        <v/>
      </c>
      <c r="AD689" s="84" t="str">
        <f>IF(AND(N689="1521",MONTH(C689)='BK-NL'!$M$11),"x","")</f>
        <v/>
      </c>
      <c r="AE689" s="1146" t="str">
        <f t="shared" si="157"/>
        <v>x</v>
      </c>
    </row>
    <row r="690" spans="1:31" ht="15.75" hidden="1" customHeight="1">
      <c r="A690" s="336" t="str">
        <f>IF(B690&lt;&gt;"",IF(AND(B690='IN-TC'!$S$4,OR(TH!N690="1111",TH!O690="1111")),TH!D690,""),"")</f>
        <v/>
      </c>
      <c r="B690" s="63">
        <f t="shared" si="154"/>
        <v>8</v>
      </c>
      <c r="C690" s="80">
        <f t="shared" si="155"/>
        <v>42599</v>
      </c>
      <c r="D690" s="80" t="s">
        <v>960</v>
      </c>
      <c r="E690" s="80">
        <v>42599</v>
      </c>
      <c r="F690" s="81" t="s">
        <v>1987</v>
      </c>
      <c r="G690" s="81"/>
      <c r="H690" s="82" t="s">
        <v>1988</v>
      </c>
      <c r="I690" s="437">
        <v>11045</v>
      </c>
      <c r="J690" s="438">
        <v>35000</v>
      </c>
      <c r="K690" s="428"/>
      <c r="L690" s="437"/>
      <c r="M690" s="83">
        <f t="shared" si="156"/>
        <v>386575000</v>
      </c>
      <c r="N690" s="84" t="s">
        <v>274</v>
      </c>
      <c r="O690" s="84" t="s">
        <v>8</v>
      </c>
      <c r="P690" s="84" t="str">
        <f>IF(AND('331-CT'!$E$7=TH!H690,OR(N690="331",O690="331")),"x","")</f>
        <v/>
      </c>
      <c r="Q690" s="84" t="str">
        <f>IF(AND(B690='111'!$L$11,OR($N690=$Q$7,$O690=$Q$7)),"x","")</f>
        <v/>
      </c>
      <c r="R690" s="84" t="str">
        <f>IF(AND($N690=$Q$7,$B690&lt;'111'!$L$11),"x","")</f>
        <v/>
      </c>
      <c r="S690" s="84" t="str">
        <f>IF(AND($O690=$Q$7,$B690&lt;'111'!$L$11),"x","")</f>
        <v/>
      </c>
      <c r="T690" s="84" t="str">
        <f>IF(ISERROR(FIND('112'!$M$9,G690,1)),"",IF((AND(FIND('112'!$M$9,G690,1)&gt;=1,B690='112'!$K$9,OR($N690='112'!$I$6,$O690='112'!$I$6))),"x",""))</f>
        <v/>
      </c>
      <c r="U690" s="84" t="str">
        <f>IF(ISERROR(FIND('112'!$M$9,G690,1)),"",IF((AND(LEFT(G690,2)=LEFT('112'!$M$9,2),B690&lt;'112'!$K$9,$N690='112'!$I$6)),"x",""))</f>
        <v/>
      </c>
      <c r="V690" s="84" t="str">
        <f>IF(ISERROR(FIND('112'!$M$9,G690,1)),"",IF((AND(RIGHT(G690,2)=RIGHT('112'!$M$9,2),B690&lt;'112'!$K$9,$O690='112'!$I$6)),"x",""))</f>
        <v/>
      </c>
      <c r="W690" s="84" t="str">
        <f>IF(AND('341-CT'!$H$9=H690,OR(LEFT(N690,3)=$W$7,LEFT(O690,3)=$W$7)),"x","")</f>
        <v/>
      </c>
      <c r="X690" s="84" t="str">
        <f>IF(OR(TH!N690=TH!$X$7,O690=TH!$X$7),"x","")</f>
        <v/>
      </c>
      <c r="Y690" s="84" t="str">
        <f>IF(AND(OR(N690="131",O690="131"),H690='131-CT'!$H$9),"x","")</f>
        <v/>
      </c>
      <c r="Z690" s="84"/>
      <c r="AA690" s="84" t="str">
        <f>IF(AND(MONTH(E690)='IN-NX'!$J$5,'IN-NX'!$D$7=D690),"x","")</f>
        <v/>
      </c>
      <c r="AB690" s="84" t="str">
        <f>IF(AND(OR(LEFT(TH!N690,2)="15",LEFT(TH!O690,2)="15"),LEFT(TH!O690,3)&lt;&gt;"111",'152-CT'!$J$8=TH!F690),"x","")</f>
        <v/>
      </c>
      <c r="AC690" s="84" t="str">
        <f>IF(AND(OR(LEFT(TH!N690,2)="15",LEFT(TH!O690,2)="15"),TK!$E$7=TH!F690),"x","")</f>
        <v/>
      </c>
      <c r="AD690" s="84" t="str">
        <f>IF(AND(N690="1521",MONTH(C690)='BK-NL'!$M$11),"x","")</f>
        <v/>
      </c>
      <c r="AE690" s="1146" t="str">
        <f t="shared" si="157"/>
        <v>x</v>
      </c>
    </row>
    <row r="691" spans="1:31" ht="15.75" hidden="1" customHeight="1">
      <c r="A691" s="336" t="str">
        <f>IF(B691&lt;&gt;"",IF(AND(B691='IN-TC'!$S$4,OR(TH!N691="1111",TH!O691="1111")),TH!D691,""),"")</f>
        <v/>
      </c>
      <c r="B691" s="63">
        <f t="shared" si="154"/>
        <v>8</v>
      </c>
      <c r="C691" s="80">
        <f t="shared" si="155"/>
        <v>42599</v>
      </c>
      <c r="D691" s="80" t="s">
        <v>961</v>
      </c>
      <c r="E691" s="80">
        <v>42599</v>
      </c>
      <c r="F691" s="81" t="s">
        <v>1987</v>
      </c>
      <c r="G691" s="81"/>
      <c r="H691" s="82" t="s">
        <v>383</v>
      </c>
      <c r="I691" s="437">
        <v>11960</v>
      </c>
      <c r="J691" s="438">
        <v>35000</v>
      </c>
      <c r="K691" s="428"/>
      <c r="L691" s="437"/>
      <c r="M691" s="83">
        <f t="shared" si="156"/>
        <v>418600000</v>
      </c>
      <c r="N691" s="84" t="s">
        <v>274</v>
      </c>
      <c r="O691" s="84" t="s">
        <v>8</v>
      </c>
      <c r="P691" s="84" t="str">
        <f>IF(AND('331-CT'!$E$7=TH!H691,OR(N691="331",O691="331")),"x","")</f>
        <v/>
      </c>
      <c r="Q691" s="84" t="str">
        <f>IF(AND(B691='111'!$L$11,OR($N691=$Q$7,$O691=$Q$7)),"x","")</f>
        <v/>
      </c>
      <c r="R691" s="84" t="str">
        <f>IF(AND($N691=$Q$7,$B691&lt;'111'!$L$11),"x","")</f>
        <v/>
      </c>
      <c r="S691" s="84" t="str">
        <f>IF(AND($O691=$Q$7,$B691&lt;'111'!$L$11),"x","")</f>
        <v/>
      </c>
      <c r="T691" s="84" t="str">
        <f>IF(ISERROR(FIND('112'!$M$9,G691,1)),"",IF((AND(FIND('112'!$M$9,G691,1)&gt;=1,B691='112'!$K$9,OR($N691='112'!$I$6,$O691='112'!$I$6))),"x",""))</f>
        <v/>
      </c>
      <c r="U691" s="84" t="str">
        <f>IF(ISERROR(FIND('112'!$M$9,G691,1)),"",IF((AND(LEFT(G691,2)=LEFT('112'!$M$9,2),B691&lt;'112'!$K$9,$N691='112'!$I$6)),"x",""))</f>
        <v/>
      </c>
      <c r="V691" s="84" t="str">
        <f>IF(ISERROR(FIND('112'!$M$9,G691,1)),"",IF((AND(RIGHT(G691,2)=RIGHT('112'!$M$9,2),B691&lt;'112'!$K$9,$O691='112'!$I$6)),"x",""))</f>
        <v/>
      </c>
      <c r="W691" s="84" t="str">
        <f>IF(AND('341-CT'!$H$9=H691,OR(LEFT(N691,3)=$W$7,LEFT(O691,3)=$W$7)),"x","")</f>
        <v/>
      </c>
      <c r="X691" s="84" t="str">
        <f>IF(OR(TH!N691=TH!$X$7,O691=TH!$X$7),"x","")</f>
        <v/>
      </c>
      <c r="Y691" s="84" t="str">
        <f>IF(AND(OR(N691="131",O691="131"),H691='131-CT'!$H$9),"x","")</f>
        <v/>
      </c>
      <c r="Z691" s="84"/>
      <c r="AA691" s="84" t="str">
        <f>IF(AND(MONTH(E691)='IN-NX'!$J$5,'IN-NX'!$D$7=D691),"x","")</f>
        <v/>
      </c>
      <c r="AB691" s="84" t="str">
        <f>IF(AND(OR(LEFT(TH!N691,2)="15",LEFT(TH!O691,2)="15"),LEFT(TH!O691,3)&lt;&gt;"111",'152-CT'!$J$8=TH!F691),"x","")</f>
        <v/>
      </c>
      <c r="AC691" s="84" t="str">
        <f>IF(AND(OR(LEFT(TH!N691,2)="15",LEFT(TH!O691,2)="15"),TK!$E$7=TH!F691),"x","")</f>
        <v/>
      </c>
      <c r="AD691" s="84" t="str">
        <f>IF(AND(N691="1521",MONTH(C691)='BK-NL'!$M$11),"x","")</f>
        <v/>
      </c>
      <c r="AE691" s="1146" t="str">
        <f t="shared" si="157"/>
        <v>x</v>
      </c>
    </row>
    <row r="692" spans="1:31" ht="15.75" hidden="1" customHeight="1">
      <c r="A692" s="336" t="str">
        <f>IF(B692&lt;&gt;"",IF(AND(B692='IN-TC'!$S$4,OR(TH!N692="1111",TH!O692="1111")),TH!D692,""),"")</f>
        <v/>
      </c>
      <c r="B692" s="63">
        <f t="shared" si="154"/>
        <v>8</v>
      </c>
      <c r="C692" s="80">
        <f t="shared" si="155"/>
        <v>42599</v>
      </c>
      <c r="D692" s="80" t="s">
        <v>1969</v>
      </c>
      <c r="E692" s="80">
        <v>42599</v>
      </c>
      <c r="F692" s="81" t="s">
        <v>1987</v>
      </c>
      <c r="G692" s="81"/>
      <c r="H692" s="82" t="s">
        <v>391</v>
      </c>
      <c r="I692" s="437">
        <v>10151</v>
      </c>
      <c r="J692" s="438">
        <v>35000</v>
      </c>
      <c r="K692" s="428"/>
      <c r="L692" s="437"/>
      <c r="M692" s="83">
        <f t="shared" si="156"/>
        <v>355285000</v>
      </c>
      <c r="N692" s="84" t="s">
        <v>274</v>
      </c>
      <c r="O692" s="84" t="s">
        <v>8</v>
      </c>
      <c r="P692" s="84" t="str">
        <f>IF(AND('331-CT'!$E$7=TH!H692,OR(N692="331",O692="331")),"x","")</f>
        <v/>
      </c>
      <c r="Q692" s="84" t="str">
        <f>IF(AND(B692='111'!$L$11,OR($N692=$Q$7,$O692=$Q$7)),"x","")</f>
        <v/>
      </c>
      <c r="R692" s="84" t="str">
        <f>IF(AND($N692=$Q$7,$B692&lt;'111'!$L$11),"x","")</f>
        <v/>
      </c>
      <c r="S692" s="84" t="str">
        <f>IF(AND($O692=$Q$7,$B692&lt;'111'!$L$11),"x","")</f>
        <v/>
      </c>
      <c r="T692" s="84" t="str">
        <f>IF(ISERROR(FIND('112'!$M$9,G692,1)),"",IF((AND(FIND('112'!$M$9,G692,1)&gt;=1,B692='112'!$K$9,OR($N692='112'!$I$6,$O692='112'!$I$6))),"x",""))</f>
        <v/>
      </c>
      <c r="U692" s="84" t="str">
        <f>IF(ISERROR(FIND('112'!$M$9,G692,1)),"",IF((AND(LEFT(G692,2)=LEFT('112'!$M$9,2),B692&lt;'112'!$K$9,$N692='112'!$I$6)),"x",""))</f>
        <v/>
      </c>
      <c r="V692" s="84" t="str">
        <f>IF(ISERROR(FIND('112'!$M$9,G692,1)),"",IF((AND(RIGHT(G692,2)=RIGHT('112'!$M$9,2),B692&lt;'112'!$K$9,$O692='112'!$I$6)),"x",""))</f>
        <v/>
      </c>
      <c r="W692" s="84" t="str">
        <f>IF(AND('341-CT'!$H$9=H692,OR(LEFT(N692,3)=$W$7,LEFT(O692,3)=$W$7)),"x","")</f>
        <v/>
      </c>
      <c r="X692" s="84" t="str">
        <f>IF(OR(TH!N692=TH!$X$7,O692=TH!$X$7),"x","")</f>
        <v/>
      </c>
      <c r="Y692" s="84" t="str">
        <f>IF(AND(OR(N692="131",O692="131"),H692='131-CT'!$H$9),"x","")</f>
        <v/>
      </c>
      <c r="Z692" s="84"/>
      <c r="AA692" s="84" t="str">
        <f>IF(AND(MONTH(E692)='IN-NX'!$J$5,'IN-NX'!$D$7=D692),"x","")</f>
        <v/>
      </c>
      <c r="AB692" s="84" t="str">
        <f>IF(AND(OR(LEFT(TH!N692,2)="15",LEFT(TH!O692,2)="15"),LEFT(TH!O692,3)&lt;&gt;"111",'152-CT'!$J$8=TH!F692),"x","")</f>
        <v/>
      </c>
      <c r="AC692" s="84" t="str">
        <f>IF(AND(OR(LEFT(TH!N692,2)="15",LEFT(TH!O692,2)="15"),TK!$E$7=TH!F692),"x","")</f>
        <v/>
      </c>
      <c r="AD692" s="84" t="str">
        <f>IF(AND(N692="1521",MONTH(C692)='BK-NL'!$M$11),"x","")</f>
        <v/>
      </c>
      <c r="AE692" s="1146" t="str">
        <f t="shared" si="157"/>
        <v>x</v>
      </c>
    </row>
    <row r="693" spans="1:31" ht="15.75" hidden="1" customHeight="1">
      <c r="A693" s="336" t="str">
        <f>IF(B693&lt;&gt;"",IF(AND(B693='IN-TC'!$S$4,OR(TH!N693="1111",TH!O693="1111")),TH!D693,""),"")</f>
        <v/>
      </c>
      <c r="B693" s="63">
        <f t="shared" ref="B693:B703" si="158">IF(C693&lt;&gt;"",MONTH(C693),"")</f>
        <v>8</v>
      </c>
      <c r="C693" s="80">
        <f t="shared" ref="C693:C703" si="159">E693</f>
        <v>42592</v>
      </c>
      <c r="D693" s="80" t="s">
        <v>938</v>
      </c>
      <c r="E693" s="80">
        <v>42592</v>
      </c>
      <c r="F693" s="81" t="s">
        <v>1987</v>
      </c>
      <c r="G693" s="81"/>
      <c r="H693" s="89" t="s">
        <v>383</v>
      </c>
      <c r="I693" s="438">
        <v>11020</v>
      </c>
      <c r="J693" s="438">
        <v>35000</v>
      </c>
      <c r="K693" s="429"/>
      <c r="L693" s="438"/>
      <c r="M693" s="83">
        <f t="shared" ref="M693:M703" si="160">ROUND(I693*J693,0)</f>
        <v>385700000</v>
      </c>
      <c r="N693" s="84" t="s">
        <v>274</v>
      </c>
      <c r="O693" s="84" t="s">
        <v>8</v>
      </c>
      <c r="P693" s="84" t="str">
        <f>IF(AND('331-CT'!$E$7=TH!H693,OR(N693="331",O693="331")),"x","")</f>
        <v/>
      </c>
      <c r="Q693" s="84" t="str">
        <f>IF(AND(B693='111'!$L$11,OR($N693=$Q$7,$O693=$Q$7)),"x","")</f>
        <v/>
      </c>
      <c r="R693" s="84" t="str">
        <f>IF(AND($N693=$Q$7,$B693&lt;'111'!$L$11),"x","")</f>
        <v/>
      </c>
      <c r="S693" s="84" t="str">
        <f>IF(AND($O693=$Q$7,$B693&lt;'111'!$L$11),"x","")</f>
        <v/>
      </c>
      <c r="T693" s="84" t="str">
        <f>IF(ISERROR(FIND('112'!$M$9,G693,1)),"",IF((AND(FIND('112'!$M$9,G693,1)&gt;=1,B693='112'!$K$9,OR($N693='112'!$I$6,$O693='112'!$I$6))),"x",""))</f>
        <v/>
      </c>
      <c r="U693" s="84" t="str">
        <f>IF(ISERROR(FIND('112'!$M$9,G693,1)),"",IF((AND(LEFT(G693,2)=LEFT('112'!$M$9,2),B693&lt;'112'!$K$9,$N693='112'!$I$6)),"x",""))</f>
        <v/>
      </c>
      <c r="V693" s="84" t="str">
        <f>IF(ISERROR(FIND('112'!$M$9,G693,1)),"",IF((AND(RIGHT(G693,2)=RIGHT('112'!$M$9,2),B693&lt;'112'!$K$9,$O693='112'!$I$6)),"x",""))</f>
        <v/>
      </c>
      <c r="W693" s="84" t="str">
        <f>IF(AND('341-CT'!$H$9=H693,OR(LEFT(N693,3)=$W$7,LEFT(O693,3)=$W$7)),"x","")</f>
        <v/>
      </c>
      <c r="X693" s="84" t="str">
        <f>IF(OR(TH!N693=TH!$X$7,O693=TH!$X$7),"x","")</f>
        <v/>
      </c>
      <c r="Y693" s="84" t="str">
        <f>IF(AND(OR(N693="131",O693="131"),H693='131-CT'!$H$9),"x","")</f>
        <v/>
      </c>
      <c r="Z693" s="84"/>
      <c r="AA693" s="84" t="str">
        <f>IF(AND(MONTH(E693)='IN-NX'!$J$5,'IN-NX'!$D$7=D693),"x","")</f>
        <v/>
      </c>
      <c r="AB693" s="84" t="str">
        <f>IF(AND(OR(LEFT(TH!N693,2)="15",LEFT(TH!O693,2)="15"),LEFT(TH!O693,3)&lt;&gt;"111",'152-CT'!$J$8=TH!F693),"x","")</f>
        <v/>
      </c>
      <c r="AC693" s="84" t="str">
        <f>IF(AND(OR(LEFT(TH!N693,2)="15",LEFT(TH!O693,2)="15"),TK!$E$7=TH!F693),"x","")</f>
        <v/>
      </c>
      <c r="AD693" s="84" t="str">
        <f>IF(AND(N693="1521",MONTH(C693)='BK-NL'!$M$11),"x","")</f>
        <v/>
      </c>
      <c r="AE693" s="1146" t="str">
        <f t="shared" si="157"/>
        <v>x</v>
      </c>
    </row>
    <row r="694" spans="1:31" ht="15.75" hidden="1" customHeight="1">
      <c r="A694" s="336" t="str">
        <f>IF(B694&lt;&gt;"",IF(AND(B694='IN-TC'!$S$4,OR(TH!N694="1111",TH!O694="1111")),TH!D694,""),"")</f>
        <v/>
      </c>
      <c r="B694" s="63">
        <f t="shared" si="158"/>
        <v>8</v>
      </c>
      <c r="C694" s="80">
        <f t="shared" si="159"/>
        <v>42592</v>
      </c>
      <c r="D694" s="80" t="s">
        <v>939</v>
      </c>
      <c r="E694" s="80">
        <v>42592</v>
      </c>
      <c r="F694" s="81" t="s">
        <v>1987</v>
      </c>
      <c r="G694" s="81"/>
      <c r="H694" s="82" t="s">
        <v>385</v>
      </c>
      <c r="I694" s="437">
        <v>10450</v>
      </c>
      <c r="J694" s="438">
        <v>35000</v>
      </c>
      <c r="K694" s="428"/>
      <c r="L694" s="437"/>
      <c r="M694" s="83">
        <f t="shared" si="160"/>
        <v>365750000</v>
      </c>
      <c r="N694" s="84" t="s">
        <v>274</v>
      </c>
      <c r="O694" s="84" t="s">
        <v>8</v>
      </c>
      <c r="P694" s="84" t="str">
        <f>IF(AND('331-CT'!$E$7=TH!H694,OR(N694="331",O694="331")),"x","")</f>
        <v/>
      </c>
      <c r="Q694" s="84" t="str">
        <f>IF(AND(B694='111'!$L$11,OR($N694=$Q$7,$O694=$Q$7)),"x","")</f>
        <v/>
      </c>
      <c r="R694" s="84" t="str">
        <f>IF(AND($N694=$Q$7,$B694&lt;'111'!$L$11),"x","")</f>
        <v/>
      </c>
      <c r="S694" s="84" t="str">
        <f>IF(AND($O694=$Q$7,$B694&lt;'111'!$L$11),"x","")</f>
        <v/>
      </c>
      <c r="T694" s="84" t="str">
        <f>IF(ISERROR(FIND('112'!$M$9,G694,1)),"",IF((AND(FIND('112'!$M$9,G694,1)&gt;=1,B694='112'!$K$9,OR($N694='112'!$I$6,$O694='112'!$I$6))),"x",""))</f>
        <v/>
      </c>
      <c r="U694" s="84" t="str">
        <f>IF(ISERROR(FIND('112'!$M$9,G694,1)),"",IF((AND(LEFT(G694,2)=LEFT('112'!$M$9,2),B694&lt;'112'!$K$9,$N694='112'!$I$6)),"x",""))</f>
        <v/>
      </c>
      <c r="V694" s="84" t="str">
        <f>IF(ISERROR(FIND('112'!$M$9,G694,1)),"",IF((AND(RIGHT(G694,2)=RIGHT('112'!$M$9,2),B694&lt;'112'!$K$9,$O694='112'!$I$6)),"x",""))</f>
        <v/>
      </c>
      <c r="W694" s="84" t="str">
        <f>IF(AND('341-CT'!$H$9=H694,OR(LEFT(N694,3)=$W$7,LEFT(O694,3)=$W$7)),"x","")</f>
        <v/>
      </c>
      <c r="X694" s="84" t="str">
        <f>IF(OR(TH!N694=TH!$X$7,O694=TH!$X$7),"x","")</f>
        <v/>
      </c>
      <c r="Y694" s="84" t="str">
        <f>IF(AND(OR(N694="131",O694="131"),H694='131-CT'!$H$9),"x","")</f>
        <v/>
      </c>
      <c r="Z694" s="84"/>
      <c r="AA694" s="84" t="str">
        <f>IF(AND(MONTH(E694)='IN-NX'!$J$5,'IN-NX'!$D$7=D694),"x","")</f>
        <v/>
      </c>
      <c r="AB694" s="84" t="str">
        <f>IF(AND(OR(LEFT(TH!N694,2)="15",LEFT(TH!O694,2)="15"),LEFT(TH!O694,3)&lt;&gt;"111",'152-CT'!$J$8=TH!F694),"x","")</f>
        <v/>
      </c>
      <c r="AC694" s="84" t="str">
        <f>IF(AND(OR(LEFT(TH!N694,2)="15",LEFT(TH!O694,2)="15"),TK!$E$7=TH!F694),"x","")</f>
        <v/>
      </c>
      <c r="AD694" s="84" t="str">
        <f>IF(AND(N694="1521",MONTH(C694)='BK-NL'!$M$11),"x","")</f>
        <v/>
      </c>
      <c r="AE694" s="1146" t="str">
        <f t="shared" si="157"/>
        <v>x</v>
      </c>
    </row>
    <row r="695" spans="1:31" ht="15.75" hidden="1" customHeight="1">
      <c r="A695" s="336" t="str">
        <f>IF(B695&lt;&gt;"",IF(AND(B695='IN-TC'!$S$4,OR(TH!N695="1111",TH!O695="1111")),TH!D695,""),"")</f>
        <v/>
      </c>
      <c r="B695" s="63">
        <f t="shared" si="158"/>
        <v>8</v>
      </c>
      <c r="C695" s="80">
        <f t="shared" si="159"/>
        <v>42592</v>
      </c>
      <c r="D695" s="80" t="s">
        <v>940</v>
      </c>
      <c r="E695" s="80">
        <v>42592</v>
      </c>
      <c r="F695" s="81" t="s">
        <v>1987</v>
      </c>
      <c r="G695" s="81"/>
      <c r="H695" s="82" t="s">
        <v>1988</v>
      </c>
      <c r="I695" s="437">
        <v>11460</v>
      </c>
      <c r="J695" s="438">
        <v>35000</v>
      </c>
      <c r="K695" s="428"/>
      <c r="L695" s="437"/>
      <c r="M695" s="83">
        <f t="shared" si="160"/>
        <v>401100000</v>
      </c>
      <c r="N695" s="84" t="s">
        <v>274</v>
      </c>
      <c r="O695" s="84" t="s">
        <v>8</v>
      </c>
      <c r="P695" s="84" t="str">
        <f>IF(AND('331-CT'!$E$7=TH!H695,OR(N695="331",O695="331")),"x","")</f>
        <v/>
      </c>
      <c r="Q695" s="84" t="str">
        <f>IF(AND(B695='111'!$L$11,OR($N695=$Q$7,$O695=$Q$7)),"x","")</f>
        <v/>
      </c>
      <c r="R695" s="84" t="str">
        <f>IF(AND($N695=$Q$7,$B695&lt;'111'!$L$11),"x","")</f>
        <v/>
      </c>
      <c r="S695" s="84" t="str">
        <f>IF(AND($O695=$Q$7,$B695&lt;'111'!$L$11),"x","")</f>
        <v/>
      </c>
      <c r="T695" s="84" t="str">
        <f>IF(ISERROR(FIND('112'!$M$9,G695,1)),"",IF((AND(FIND('112'!$M$9,G695,1)&gt;=1,B695='112'!$K$9,OR($N695='112'!$I$6,$O695='112'!$I$6))),"x",""))</f>
        <v/>
      </c>
      <c r="U695" s="84" t="str">
        <f>IF(ISERROR(FIND('112'!$M$9,G695,1)),"",IF((AND(LEFT(G695,2)=LEFT('112'!$M$9,2),B695&lt;'112'!$K$9,$N695='112'!$I$6)),"x",""))</f>
        <v/>
      </c>
      <c r="V695" s="84" t="str">
        <f>IF(ISERROR(FIND('112'!$M$9,G695,1)),"",IF((AND(RIGHT(G695,2)=RIGHT('112'!$M$9,2),B695&lt;'112'!$K$9,$O695='112'!$I$6)),"x",""))</f>
        <v/>
      </c>
      <c r="W695" s="84" t="str">
        <f>IF(AND('341-CT'!$H$9=H695,OR(LEFT(N695,3)=$W$7,LEFT(O695,3)=$W$7)),"x","")</f>
        <v/>
      </c>
      <c r="X695" s="84" t="str">
        <f>IF(OR(TH!N695=TH!$X$7,O695=TH!$X$7),"x","")</f>
        <v/>
      </c>
      <c r="Y695" s="84" t="str">
        <f>IF(AND(OR(N695="131",O695="131"),H695='131-CT'!$H$9),"x","")</f>
        <v/>
      </c>
      <c r="Z695" s="84"/>
      <c r="AA695" s="84" t="str">
        <f>IF(AND(MONTH(E695)='IN-NX'!$J$5,'IN-NX'!$D$7=D695),"x","")</f>
        <v/>
      </c>
      <c r="AB695" s="84" t="str">
        <f>IF(AND(OR(LEFT(TH!N695,2)="15",LEFT(TH!O695,2)="15"),LEFT(TH!O695,3)&lt;&gt;"111",'152-CT'!$J$8=TH!F695),"x","")</f>
        <v/>
      </c>
      <c r="AC695" s="84" t="str">
        <f>IF(AND(OR(LEFT(TH!N695,2)="15",LEFT(TH!O695,2)="15"),TK!$E$7=TH!F695),"x","")</f>
        <v/>
      </c>
      <c r="AD695" s="84" t="str">
        <f>IF(AND(N695="1521",MONTH(C695)='BK-NL'!$M$11),"x","")</f>
        <v/>
      </c>
      <c r="AE695" s="1146" t="str">
        <f t="shared" si="157"/>
        <v>x</v>
      </c>
    </row>
    <row r="696" spans="1:31" ht="15.75" hidden="1" customHeight="1">
      <c r="A696" s="336" t="str">
        <f>IF(B696&lt;&gt;"",IF(AND(B696='IN-TC'!$S$4,OR(TH!N696="1111",TH!O696="1111")),TH!D696,""),"")</f>
        <v/>
      </c>
      <c r="B696" s="63">
        <f t="shared" si="158"/>
        <v>8</v>
      </c>
      <c r="C696" s="80">
        <f t="shared" si="159"/>
        <v>42592</v>
      </c>
      <c r="D696" s="80" t="s">
        <v>941</v>
      </c>
      <c r="E696" s="80">
        <v>42592</v>
      </c>
      <c r="F696" s="81" t="s">
        <v>1987</v>
      </c>
      <c r="G696" s="81"/>
      <c r="H696" s="82" t="s">
        <v>388</v>
      </c>
      <c r="I696" s="437">
        <v>10289</v>
      </c>
      <c r="J696" s="438">
        <v>35000</v>
      </c>
      <c r="K696" s="428"/>
      <c r="L696" s="437"/>
      <c r="M696" s="83">
        <f t="shared" si="160"/>
        <v>360115000</v>
      </c>
      <c r="N696" s="84" t="s">
        <v>274</v>
      </c>
      <c r="O696" s="84" t="s">
        <v>8</v>
      </c>
      <c r="P696" s="84" t="str">
        <f>IF(AND('331-CT'!$E$7=TH!H696,OR(N696="331",O696="331")),"x","")</f>
        <v/>
      </c>
      <c r="Q696" s="84" t="str">
        <f>IF(AND(B696='111'!$L$11,OR($N696=$Q$7,$O696=$Q$7)),"x","")</f>
        <v/>
      </c>
      <c r="R696" s="84" t="str">
        <f>IF(AND($N696=$Q$7,$B696&lt;'111'!$L$11),"x","")</f>
        <v/>
      </c>
      <c r="S696" s="84" t="str">
        <f>IF(AND($O696=$Q$7,$B696&lt;'111'!$L$11),"x","")</f>
        <v/>
      </c>
      <c r="T696" s="84" t="str">
        <f>IF(ISERROR(FIND('112'!$M$9,G696,1)),"",IF((AND(FIND('112'!$M$9,G696,1)&gt;=1,B696='112'!$K$9,OR($N696='112'!$I$6,$O696='112'!$I$6))),"x",""))</f>
        <v/>
      </c>
      <c r="U696" s="84" t="str">
        <f>IF(ISERROR(FIND('112'!$M$9,G696,1)),"",IF((AND(LEFT(G696,2)=LEFT('112'!$M$9,2),B696&lt;'112'!$K$9,$N696='112'!$I$6)),"x",""))</f>
        <v/>
      </c>
      <c r="V696" s="84" t="str">
        <f>IF(ISERROR(FIND('112'!$M$9,G696,1)),"",IF((AND(RIGHT(G696,2)=RIGHT('112'!$M$9,2),B696&lt;'112'!$K$9,$O696='112'!$I$6)),"x",""))</f>
        <v/>
      </c>
      <c r="W696" s="84" t="str">
        <f>IF(AND('341-CT'!$H$9=H696,OR(LEFT(N696,3)=$W$7,LEFT(O696,3)=$W$7)),"x","")</f>
        <v/>
      </c>
      <c r="X696" s="84" t="str">
        <f>IF(OR(TH!N696=TH!$X$7,O696=TH!$X$7),"x","")</f>
        <v/>
      </c>
      <c r="Y696" s="84" t="str">
        <f>IF(AND(OR(N696="131",O696="131"),H696='131-CT'!$H$9),"x","")</f>
        <v/>
      </c>
      <c r="Z696" s="84"/>
      <c r="AA696" s="84" t="str">
        <f>IF(AND(MONTH(E696)='IN-NX'!$J$5,'IN-NX'!$D$7=D696),"x","")</f>
        <v/>
      </c>
      <c r="AB696" s="84" t="str">
        <f>IF(AND(OR(LEFT(TH!N696,2)="15",LEFT(TH!O696,2)="15"),LEFT(TH!O696,3)&lt;&gt;"111",'152-CT'!$J$8=TH!F696),"x","")</f>
        <v/>
      </c>
      <c r="AC696" s="84" t="str">
        <f>IF(AND(OR(LEFT(TH!N696,2)="15",LEFT(TH!O696,2)="15"),TK!$E$7=TH!F696),"x","")</f>
        <v/>
      </c>
      <c r="AD696" s="84" t="str">
        <f>IF(AND(N696="1521",MONTH(C696)='BK-NL'!$M$11),"x","")</f>
        <v/>
      </c>
      <c r="AE696" s="1146" t="str">
        <f t="shared" si="157"/>
        <v>x</v>
      </c>
    </row>
    <row r="697" spans="1:31" ht="15.75" hidden="1" customHeight="1">
      <c r="A697" s="336" t="str">
        <f>IF(B697&lt;&gt;"",IF(AND(B697='IN-TC'!$S$4,OR(TH!N697="1111",TH!O697="1111")),TH!D697,""),"")</f>
        <v/>
      </c>
      <c r="B697" s="63">
        <f t="shared" si="158"/>
        <v>8</v>
      </c>
      <c r="C697" s="80">
        <f t="shared" si="159"/>
        <v>42597</v>
      </c>
      <c r="D697" s="80" t="s">
        <v>951</v>
      </c>
      <c r="E697" s="80">
        <v>42597</v>
      </c>
      <c r="F697" s="81" t="s">
        <v>1987</v>
      </c>
      <c r="G697" s="81"/>
      <c r="H697" s="82" t="s">
        <v>391</v>
      </c>
      <c r="I697" s="437">
        <v>10456</v>
      </c>
      <c r="J697" s="438">
        <v>35000</v>
      </c>
      <c r="K697" s="428"/>
      <c r="L697" s="437"/>
      <c r="M697" s="83">
        <f t="shared" si="160"/>
        <v>365960000</v>
      </c>
      <c r="N697" s="84" t="s">
        <v>274</v>
      </c>
      <c r="O697" s="84" t="s">
        <v>8</v>
      </c>
      <c r="P697" s="84" t="str">
        <f>IF(AND('331-CT'!$E$7=TH!H697,OR(N697="331",O697="331")),"x","")</f>
        <v/>
      </c>
      <c r="Q697" s="84" t="str">
        <f>IF(AND(B697='111'!$L$11,OR($N697=$Q$7,$O697=$Q$7)),"x","")</f>
        <v/>
      </c>
      <c r="R697" s="84" t="str">
        <f>IF(AND($N697=$Q$7,$B697&lt;'111'!$L$11),"x","")</f>
        <v/>
      </c>
      <c r="S697" s="84" t="str">
        <f>IF(AND($O697=$Q$7,$B697&lt;'111'!$L$11),"x","")</f>
        <v/>
      </c>
      <c r="T697" s="84" t="str">
        <f>IF(ISERROR(FIND('112'!$M$9,G697,1)),"",IF((AND(FIND('112'!$M$9,G697,1)&gt;=1,B697='112'!$K$9,OR($N697='112'!$I$6,$O697='112'!$I$6))),"x",""))</f>
        <v/>
      </c>
      <c r="U697" s="84" t="str">
        <f>IF(ISERROR(FIND('112'!$M$9,G697,1)),"",IF((AND(LEFT(G697,2)=LEFT('112'!$M$9,2),B697&lt;'112'!$K$9,$N697='112'!$I$6)),"x",""))</f>
        <v/>
      </c>
      <c r="V697" s="84" t="str">
        <f>IF(ISERROR(FIND('112'!$M$9,G697,1)),"",IF((AND(RIGHT(G697,2)=RIGHT('112'!$M$9,2),B697&lt;'112'!$K$9,$O697='112'!$I$6)),"x",""))</f>
        <v/>
      </c>
      <c r="W697" s="84" t="str">
        <f>IF(AND('341-CT'!$H$9=H697,OR(LEFT(N697,3)=$W$7,LEFT(O697,3)=$W$7)),"x","")</f>
        <v/>
      </c>
      <c r="X697" s="84" t="str">
        <f>IF(OR(TH!N697=TH!$X$7,O697=TH!$X$7),"x","")</f>
        <v/>
      </c>
      <c r="Y697" s="84" t="str">
        <f>IF(AND(OR(N697="131",O697="131"),H697='131-CT'!$H$9),"x","")</f>
        <v/>
      </c>
      <c r="Z697" s="84"/>
      <c r="AA697" s="84" t="str">
        <f>IF(AND(MONTH(E697)='IN-NX'!$J$5,'IN-NX'!$D$7=D697),"x","")</f>
        <v/>
      </c>
      <c r="AB697" s="84" t="str">
        <f>IF(AND(OR(LEFT(TH!N697,2)="15",LEFT(TH!O697,2)="15"),LEFT(TH!O697,3)&lt;&gt;"111",'152-CT'!$J$8=TH!F697),"x","")</f>
        <v/>
      </c>
      <c r="AC697" s="84" t="str">
        <f>IF(AND(OR(LEFT(TH!N697,2)="15",LEFT(TH!O697,2)="15"),TK!$E$7=TH!F697),"x","")</f>
        <v/>
      </c>
      <c r="AD697" s="84" t="str">
        <f>IF(AND(N697="1521",MONTH(C697)='BK-NL'!$M$11),"x","")</f>
        <v/>
      </c>
      <c r="AE697" s="1146" t="str">
        <f t="shared" si="157"/>
        <v>x</v>
      </c>
    </row>
    <row r="698" spans="1:31" ht="15.75" hidden="1" customHeight="1">
      <c r="A698" s="336" t="str">
        <f>IF(B698&lt;&gt;"",IF(AND(B698='IN-TC'!$S$4,OR(TH!N698="1111",TH!O698="1111")),TH!D698,""),"")</f>
        <v/>
      </c>
      <c r="B698" s="63">
        <f t="shared" si="158"/>
        <v>8</v>
      </c>
      <c r="C698" s="80">
        <f t="shared" si="159"/>
        <v>42597</v>
      </c>
      <c r="D698" s="80" t="s">
        <v>952</v>
      </c>
      <c r="E698" s="80">
        <v>42597</v>
      </c>
      <c r="F698" s="81" t="s">
        <v>1987</v>
      </c>
      <c r="G698" s="81"/>
      <c r="H698" s="82" t="s">
        <v>393</v>
      </c>
      <c r="I698" s="437">
        <v>10479</v>
      </c>
      <c r="J698" s="438">
        <v>35000</v>
      </c>
      <c r="K698" s="428"/>
      <c r="L698" s="437"/>
      <c r="M698" s="83">
        <f t="shared" si="160"/>
        <v>366765000</v>
      </c>
      <c r="N698" s="84" t="s">
        <v>274</v>
      </c>
      <c r="O698" s="84" t="s">
        <v>8</v>
      </c>
      <c r="P698" s="84" t="str">
        <f>IF(AND('331-CT'!$E$7=TH!H698,OR(N698="331",O698="331")),"x","")</f>
        <v/>
      </c>
      <c r="Q698" s="84" t="str">
        <f>IF(AND(B698='111'!$L$11,OR($N698=$Q$7,$O698=$Q$7)),"x","")</f>
        <v/>
      </c>
      <c r="R698" s="84" t="str">
        <f>IF(AND($N698=$Q$7,$B698&lt;'111'!$L$11),"x","")</f>
        <v/>
      </c>
      <c r="S698" s="84" t="str">
        <f>IF(AND($O698=$Q$7,$B698&lt;'111'!$L$11),"x","")</f>
        <v/>
      </c>
      <c r="T698" s="84" t="str">
        <f>IF(ISERROR(FIND('112'!$M$9,G698,1)),"",IF((AND(FIND('112'!$M$9,G698,1)&gt;=1,B698='112'!$K$9,OR($N698='112'!$I$6,$O698='112'!$I$6))),"x",""))</f>
        <v/>
      </c>
      <c r="U698" s="84" t="str">
        <f>IF(ISERROR(FIND('112'!$M$9,G698,1)),"",IF((AND(LEFT(G698,2)=LEFT('112'!$M$9,2),B698&lt;'112'!$K$9,$N698='112'!$I$6)),"x",""))</f>
        <v/>
      </c>
      <c r="V698" s="84" t="str">
        <f>IF(ISERROR(FIND('112'!$M$9,G698,1)),"",IF((AND(RIGHT(G698,2)=RIGHT('112'!$M$9,2),B698&lt;'112'!$K$9,$O698='112'!$I$6)),"x",""))</f>
        <v/>
      </c>
      <c r="W698" s="84" t="str">
        <f>IF(AND('341-CT'!$H$9=H698,OR(LEFT(N698,3)=$W$7,LEFT(O698,3)=$W$7)),"x","")</f>
        <v/>
      </c>
      <c r="X698" s="84" t="str">
        <f>IF(OR(TH!N698=TH!$X$7,O698=TH!$X$7),"x","")</f>
        <v/>
      </c>
      <c r="Y698" s="84" t="str">
        <f>IF(AND(OR(N698="131",O698="131"),H698='131-CT'!$H$9),"x","")</f>
        <v/>
      </c>
      <c r="Z698" s="84"/>
      <c r="AA698" s="84" t="str">
        <f>IF(AND(MONTH(E698)='IN-NX'!$J$5,'IN-NX'!$D$7=D698),"x","")</f>
        <v/>
      </c>
      <c r="AB698" s="84" t="str">
        <f>IF(AND(OR(LEFT(TH!N698,2)="15",LEFT(TH!O698,2)="15"),LEFT(TH!O698,3)&lt;&gt;"111",'152-CT'!$J$8=TH!F698),"x","")</f>
        <v/>
      </c>
      <c r="AC698" s="84" t="str">
        <f>IF(AND(OR(LEFT(TH!N698,2)="15",LEFT(TH!O698,2)="15"),TK!$E$7=TH!F698),"x","")</f>
        <v/>
      </c>
      <c r="AD698" s="84" t="str">
        <f>IF(AND(N698="1521",MONTH(C698)='BK-NL'!$M$11),"x","")</f>
        <v/>
      </c>
      <c r="AE698" s="1146" t="str">
        <f t="shared" si="157"/>
        <v>x</v>
      </c>
    </row>
    <row r="699" spans="1:31" ht="15.75" hidden="1" customHeight="1">
      <c r="A699" s="336" t="str">
        <f>IF(B699&lt;&gt;"",IF(AND(B699='IN-TC'!$S$4,OR(TH!N699="1111",TH!O699="1111")),TH!D699,""),"")</f>
        <v/>
      </c>
      <c r="B699" s="63">
        <f t="shared" si="158"/>
        <v>8</v>
      </c>
      <c r="C699" s="80">
        <f t="shared" si="159"/>
        <v>42597</v>
      </c>
      <c r="D699" s="80" t="s">
        <v>953</v>
      </c>
      <c r="E699" s="80">
        <v>42597</v>
      </c>
      <c r="F699" s="81" t="s">
        <v>1987</v>
      </c>
      <c r="G699" s="81"/>
      <c r="H699" s="82" t="s">
        <v>383</v>
      </c>
      <c r="I699" s="437">
        <v>11204</v>
      </c>
      <c r="J699" s="438">
        <v>35000</v>
      </c>
      <c r="K699" s="428"/>
      <c r="L699" s="437"/>
      <c r="M699" s="83">
        <f t="shared" si="160"/>
        <v>392140000</v>
      </c>
      <c r="N699" s="84" t="s">
        <v>274</v>
      </c>
      <c r="O699" s="84" t="s">
        <v>8</v>
      </c>
      <c r="P699" s="84" t="str">
        <f>IF(AND('331-CT'!$E$7=TH!H699,OR(N699="331",O699="331")),"x","")</f>
        <v/>
      </c>
      <c r="Q699" s="84" t="str">
        <f>IF(AND(B699='111'!$L$11,OR($N699=$Q$7,$O699=$Q$7)),"x","")</f>
        <v/>
      </c>
      <c r="R699" s="84" t="str">
        <f>IF(AND($N699=$Q$7,$B699&lt;'111'!$L$11),"x","")</f>
        <v/>
      </c>
      <c r="S699" s="84" t="str">
        <f>IF(AND($O699=$Q$7,$B699&lt;'111'!$L$11),"x","")</f>
        <v/>
      </c>
      <c r="T699" s="84" t="str">
        <f>IF(ISERROR(FIND('112'!$M$9,G699,1)),"",IF((AND(FIND('112'!$M$9,G699,1)&gt;=1,B699='112'!$K$9,OR($N699='112'!$I$6,$O699='112'!$I$6))),"x",""))</f>
        <v/>
      </c>
      <c r="U699" s="84" t="str">
        <f>IF(ISERROR(FIND('112'!$M$9,G699,1)),"",IF((AND(LEFT(G699,2)=LEFT('112'!$M$9,2),B699&lt;'112'!$K$9,$N699='112'!$I$6)),"x",""))</f>
        <v/>
      </c>
      <c r="V699" s="84" t="str">
        <f>IF(ISERROR(FIND('112'!$M$9,G699,1)),"",IF((AND(RIGHT(G699,2)=RIGHT('112'!$M$9,2),B699&lt;'112'!$K$9,$O699='112'!$I$6)),"x",""))</f>
        <v/>
      </c>
      <c r="W699" s="84" t="str">
        <f>IF(AND('341-CT'!$H$9=H699,OR(LEFT(N699,3)=$W$7,LEFT(O699,3)=$W$7)),"x","")</f>
        <v/>
      </c>
      <c r="X699" s="84" t="str">
        <f>IF(OR(TH!N699=TH!$X$7,O699=TH!$X$7),"x","")</f>
        <v/>
      </c>
      <c r="Y699" s="84" t="str">
        <f>IF(AND(OR(N699="131",O699="131"),H699='131-CT'!$H$9),"x","")</f>
        <v/>
      </c>
      <c r="Z699" s="84"/>
      <c r="AA699" s="84" t="str">
        <f>IF(AND(MONTH(E699)='IN-NX'!$J$5,'IN-NX'!$D$7=D699),"x","")</f>
        <v/>
      </c>
      <c r="AB699" s="84" t="str">
        <f>IF(AND(OR(LEFT(TH!N699,2)="15",LEFT(TH!O699,2)="15"),LEFT(TH!O699,3)&lt;&gt;"111",'152-CT'!$J$8=TH!F699),"x","")</f>
        <v/>
      </c>
      <c r="AC699" s="84" t="str">
        <f>IF(AND(OR(LEFT(TH!N699,2)="15",LEFT(TH!O699,2)="15"),TK!$E$7=TH!F699),"x","")</f>
        <v/>
      </c>
      <c r="AD699" s="84" t="str">
        <f>IF(AND(N699="1521",MONTH(C699)='BK-NL'!$M$11),"x","")</f>
        <v/>
      </c>
      <c r="AE699" s="1146" t="str">
        <f t="shared" si="157"/>
        <v>x</v>
      </c>
    </row>
    <row r="700" spans="1:31" ht="15.75" hidden="1" customHeight="1">
      <c r="A700" s="336" t="str">
        <f>IF(B700&lt;&gt;"",IF(AND(B700='IN-TC'!$S$4,OR(TH!N700="1111",TH!O700="1111")),TH!D700,""),"")</f>
        <v/>
      </c>
      <c r="B700" s="63">
        <f t="shared" si="158"/>
        <v>8</v>
      </c>
      <c r="C700" s="80">
        <f t="shared" si="159"/>
        <v>42597</v>
      </c>
      <c r="D700" s="80" t="s">
        <v>954</v>
      </c>
      <c r="E700" s="80">
        <v>42597</v>
      </c>
      <c r="F700" s="81" t="s">
        <v>1987</v>
      </c>
      <c r="G700" s="81"/>
      <c r="H700" s="82" t="s">
        <v>391</v>
      </c>
      <c r="I700" s="437">
        <v>10460</v>
      </c>
      <c r="J700" s="438">
        <v>35000</v>
      </c>
      <c r="K700" s="428"/>
      <c r="L700" s="437"/>
      <c r="M700" s="83">
        <f t="shared" si="160"/>
        <v>366100000</v>
      </c>
      <c r="N700" s="84" t="s">
        <v>274</v>
      </c>
      <c r="O700" s="84" t="s">
        <v>8</v>
      </c>
      <c r="P700" s="84" t="str">
        <f>IF(AND('331-CT'!$E$7=TH!H700,OR(N700="331",O700="331")),"x","")</f>
        <v/>
      </c>
      <c r="Q700" s="84" t="str">
        <f>IF(AND(B700='111'!$L$11,OR($N700=$Q$7,$O700=$Q$7)),"x","")</f>
        <v/>
      </c>
      <c r="R700" s="84" t="str">
        <f>IF(AND($N700=$Q$7,$B700&lt;'111'!$L$11),"x","")</f>
        <v/>
      </c>
      <c r="S700" s="84" t="str">
        <f>IF(AND($O700=$Q$7,$B700&lt;'111'!$L$11),"x","")</f>
        <v/>
      </c>
      <c r="T700" s="84" t="str">
        <f>IF(ISERROR(FIND('112'!$M$9,G700,1)),"",IF((AND(FIND('112'!$M$9,G700,1)&gt;=1,B700='112'!$K$9,OR($N700='112'!$I$6,$O700='112'!$I$6))),"x",""))</f>
        <v/>
      </c>
      <c r="U700" s="84" t="str">
        <f>IF(ISERROR(FIND('112'!$M$9,G700,1)),"",IF((AND(LEFT(G700,2)=LEFT('112'!$M$9,2),B700&lt;'112'!$K$9,$N700='112'!$I$6)),"x",""))</f>
        <v/>
      </c>
      <c r="V700" s="84" t="str">
        <f>IF(ISERROR(FIND('112'!$M$9,G700,1)),"",IF((AND(RIGHT(G700,2)=RIGHT('112'!$M$9,2),B700&lt;'112'!$K$9,$O700='112'!$I$6)),"x",""))</f>
        <v/>
      </c>
      <c r="W700" s="84" t="str">
        <f>IF(AND('341-CT'!$H$9=H700,OR(LEFT(N700,3)=$W$7,LEFT(O700,3)=$W$7)),"x","")</f>
        <v/>
      </c>
      <c r="X700" s="84" t="str">
        <f>IF(OR(TH!N700=TH!$X$7,O700=TH!$X$7),"x","")</f>
        <v/>
      </c>
      <c r="Y700" s="84" t="str">
        <f>IF(AND(OR(N700="131",O700="131"),H700='131-CT'!$H$9),"x","")</f>
        <v/>
      </c>
      <c r="Z700" s="84"/>
      <c r="AA700" s="84" t="str">
        <f>IF(AND(MONTH(E700)='IN-NX'!$J$5,'IN-NX'!$D$7=D700),"x","")</f>
        <v/>
      </c>
      <c r="AB700" s="84" t="str">
        <f>IF(AND(OR(LEFT(TH!N700,2)="15",LEFT(TH!O700,2)="15"),LEFT(TH!O700,3)&lt;&gt;"111",'152-CT'!$J$8=TH!F700),"x","")</f>
        <v/>
      </c>
      <c r="AC700" s="84" t="str">
        <f>IF(AND(OR(LEFT(TH!N700,2)="15",LEFT(TH!O700,2)="15"),TK!$E$7=TH!F700),"x","")</f>
        <v/>
      </c>
      <c r="AD700" s="84" t="str">
        <f>IF(AND(N700="1521",MONTH(C700)='BK-NL'!$M$11),"x","")</f>
        <v/>
      </c>
      <c r="AE700" s="1146" t="str">
        <f t="shared" si="157"/>
        <v>x</v>
      </c>
    </row>
    <row r="701" spans="1:31" s="341" customFormat="1" ht="15.75" hidden="1" customHeight="1">
      <c r="A701" s="336" t="str">
        <f>IF(B701&lt;&gt;"",IF(AND(B701='IN-TC'!$S$4,OR(TH!N701="1111",TH!O701="1111")),TH!D701,""),"")</f>
        <v/>
      </c>
      <c r="B701" s="63">
        <f t="shared" si="158"/>
        <v>8</v>
      </c>
      <c r="C701" s="94">
        <f t="shared" si="159"/>
        <v>42583</v>
      </c>
      <c r="D701" s="94" t="s">
        <v>685</v>
      </c>
      <c r="E701" s="94">
        <v>42583</v>
      </c>
      <c r="F701" s="95" t="s">
        <v>1987</v>
      </c>
      <c r="G701" s="95"/>
      <c r="H701" s="96" t="s">
        <v>449</v>
      </c>
      <c r="I701" s="1188">
        <v>43219</v>
      </c>
      <c r="J701" s="1187">
        <v>35000</v>
      </c>
      <c r="K701" s="1189"/>
      <c r="L701" s="1188"/>
      <c r="M701" s="97">
        <f t="shared" si="160"/>
        <v>1512665000</v>
      </c>
      <c r="N701" s="85" t="s">
        <v>282</v>
      </c>
      <c r="O701" s="85" t="s">
        <v>274</v>
      </c>
      <c r="P701" s="84" t="str">
        <f>IF(AND('331-CT'!$E$7=TH!H701,OR(N701="331",O701="331")),"x","")</f>
        <v/>
      </c>
      <c r="Q701" s="84" t="str">
        <f>IF(AND(B701='111'!$L$11,OR($N701=$Q$7,$O701=$Q$7)),"x","")</f>
        <v/>
      </c>
      <c r="R701" s="84" t="str">
        <f>IF(AND($N701=$Q$7,$B701&lt;'111'!$L$11),"x","")</f>
        <v/>
      </c>
      <c r="S701" s="84" t="str">
        <f>IF(AND($O701=$Q$7,$B701&lt;'111'!$L$11),"x","")</f>
        <v/>
      </c>
      <c r="T701" s="84" t="str">
        <f>IF(ISERROR(FIND('112'!$M$9,G701,1)),"",IF((AND(FIND('112'!$M$9,G701,1)&gt;=1,B701='112'!$K$9,OR($N701='112'!$I$6,$O701='112'!$I$6))),"x",""))</f>
        <v/>
      </c>
      <c r="U701" s="84" t="str">
        <f>IF(ISERROR(FIND('112'!$M$9,G701,1)),"",IF((AND(LEFT(G701,2)=LEFT('112'!$M$9,2),B701&lt;'112'!$K$9,$N701='112'!$I$6)),"x",""))</f>
        <v/>
      </c>
      <c r="V701" s="84" t="str">
        <f>IF(ISERROR(FIND('112'!$M$9,G701,1)),"",IF((AND(RIGHT(G701,2)=RIGHT('112'!$M$9,2),B701&lt;'112'!$K$9,$O701='112'!$I$6)),"x",""))</f>
        <v/>
      </c>
      <c r="W701" s="84" t="str">
        <f>IF(AND('341-CT'!$H$9=H701,OR(LEFT(N701,3)=$W$7,LEFT(O701,3)=$W$7)),"x","")</f>
        <v/>
      </c>
      <c r="X701" s="84" t="str">
        <f>IF(OR(TH!N701=TH!$X$7,O701=TH!$X$7),"x","")</f>
        <v/>
      </c>
      <c r="Y701" s="84" t="str">
        <f>IF(AND(OR(N701="131",O701="131"),H701='131-CT'!$H$9),"x","")</f>
        <v/>
      </c>
      <c r="Z701" s="84"/>
      <c r="AA701" s="84" t="str">
        <f>IF(AND(MONTH(E701)='IN-NX'!$J$5,'IN-NX'!$D$7=D701),"x","")</f>
        <v/>
      </c>
      <c r="AB701" s="84" t="str">
        <f>IF(AND(OR(LEFT(TH!N701,2)="15",LEFT(TH!O701,2)="15"),LEFT(TH!O701,3)&lt;&gt;"111",'152-CT'!$J$8=TH!F701),"x","")</f>
        <v/>
      </c>
      <c r="AC701" s="84" t="str">
        <f>IF(AND(OR(LEFT(TH!N701,2)="15",LEFT(TH!O701,2)="15"),TK!$E$7=TH!F701),"x","")</f>
        <v/>
      </c>
      <c r="AD701" s="84" t="str">
        <f>IF(AND(N701="1521",MONTH(C701)='BK-NL'!$M$11),"x","")</f>
        <v/>
      </c>
    </row>
    <row r="702" spans="1:31" s="341" customFormat="1" ht="15.75" hidden="1" customHeight="1">
      <c r="A702" s="336" t="str">
        <f>IF(B702&lt;&gt;"",IF(AND(B702='IN-TC'!$S$4,OR(TH!N702="1111",TH!O702="1111")),TH!D702,""),"")</f>
        <v/>
      </c>
      <c r="B702" s="63">
        <f t="shared" si="158"/>
        <v>8</v>
      </c>
      <c r="C702" s="94">
        <f t="shared" si="159"/>
        <v>42588</v>
      </c>
      <c r="D702" s="94" t="s">
        <v>692</v>
      </c>
      <c r="E702" s="94">
        <v>42588</v>
      </c>
      <c r="F702" s="95" t="s">
        <v>1987</v>
      </c>
      <c r="G702" s="1148"/>
      <c r="H702" s="96" t="s">
        <v>449</v>
      </c>
      <c r="I702" s="1188">
        <v>42599</v>
      </c>
      <c r="J702" s="1187">
        <v>35000</v>
      </c>
      <c r="K702" s="1189"/>
      <c r="L702" s="1188"/>
      <c r="M702" s="97">
        <f t="shared" si="160"/>
        <v>1490965000</v>
      </c>
      <c r="N702" s="85" t="s">
        <v>282</v>
      </c>
      <c r="O702" s="85" t="s">
        <v>274</v>
      </c>
      <c r="P702" s="84" t="str">
        <f>IF(AND('331-CT'!$E$7=TH!H702,OR(N702="331",O702="331")),"x","")</f>
        <v/>
      </c>
      <c r="Q702" s="84" t="str">
        <f>IF(AND(B702='111'!$L$11,OR($N702=$Q$7,$O702=$Q$7)),"x","")</f>
        <v/>
      </c>
      <c r="R702" s="84" t="str">
        <f>IF(AND($N702=$Q$7,$B702&lt;'111'!$L$11),"x","")</f>
        <v/>
      </c>
      <c r="S702" s="84" t="str">
        <f>IF(AND($O702=$Q$7,$B702&lt;'111'!$L$11),"x","")</f>
        <v/>
      </c>
      <c r="T702" s="84" t="str">
        <f>IF(ISERROR(FIND('112'!$M$9,G702,1)),"",IF((AND(FIND('112'!$M$9,G702,1)&gt;=1,B702='112'!$K$9,OR($N702='112'!$I$6,$O702='112'!$I$6))),"x",""))</f>
        <v/>
      </c>
      <c r="U702" s="84" t="str">
        <f>IF(ISERROR(FIND('112'!$M$9,G702,1)),"",IF((AND(LEFT(G702,2)=LEFT('112'!$M$9,2),B702&lt;'112'!$K$9,$N702='112'!$I$6)),"x",""))</f>
        <v/>
      </c>
      <c r="V702" s="84" t="str">
        <f>IF(ISERROR(FIND('112'!$M$9,G702,1)),"",IF((AND(RIGHT(G702,2)=RIGHT('112'!$M$9,2),B702&lt;'112'!$K$9,$O702='112'!$I$6)),"x",""))</f>
        <v/>
      </c>
      <c r="W702" s="84" t="str">
        <f>IF(AND('341-CT'!$H$9=H702,OR(LEFT(N702,3)=$W$7,LEFT(O702,3)=$W$7)),"x","")</f>
        <v/>
      </c>
      <c r="X702" s="84" t="str">
        <f>IF(OR(TH!N702=TH!$X$7,O702=TH!$X$7),"x","")</f>
        <v/>
      </c>
      <c r="Y702" s="84" t="str">
        <f>IF(AND(OR(N702="131",O702="131"),H702='131-CT'!$H$9),"x","")</f>
        <v/>
      </c>
      <c r="Z702" s="84"/>
      <c r="AA702" s="84" t="str">
        <f>IF(AND(MONTH(E702)='IN-NX'!$J$5,'IN-NX'!$D$7=D702),"x","")</f>
        <v/>
      </c>
      <c r="AB702" s="84" t="str">
        <f>IF(AND(OR(LEFT(TH!N702,2)="15",LEFT(TH!O702,2)="15"),LEFT(TH!O702,3)&lt;&gt;"111",'152-CT'!$J$8=TH!F702),"x","")</f>
        <v/>
      </c>
      <c r="AC702" s="84" t="str">
        <f>IF(AND(OR(LEFT(TH!N702,2)="15",LEFT(TH!O702,2)="15"),TK!$E$7=TH!F702),"x","")</f>
        <v/>
      </c>
      <c r="AD702" s="84" t="str">
        <f>IF(AND(N702="1521",MONTH(C702)='BK-NL'!$M$11),"x","")</f>
        <v/>
      </c>
    </row>
    <row r="703" spans="1:31" s="341" customFormat="1" ht="15.75" hidden="1" customHeight="1">
      <c r="A703" s="336" t="str">
        <f>IF(B703&lt;&gt;"",IF(AND(B703='IN-TC'!$S$4,OR(TH!N703="1111",TH!O703="1111")),TH!D703,""),"")</f>
        <v/>
      </c>
      <c r="B703" s="63">
        <f t="shared" si="158"/>
        <v>8</v>
      </c>
      <c r="C703" s="94">
        <f t="shared" si="159"/>
        <v>42591</v>
      </c>
      <c r="D703" s="94" t="s">
        <v>693</v>
      </c>
      <c r="E703" s="94">
        <v>42591</v>
      </c>
      <c r="F703" s="95" t="s">
        <v>1987</v>
      </c>
      <c r="G703" s="95"/>
      <c r="H703" s="96" t="s">
        <v>449</v>
      </c>
      <c r="I703" s="445">
        <v>44182</v>
      </c>
      <c r="J703" s="1187">
        <v>35000</v>
      </c>
      <c r="K703" s="436"/>
      <c r="L703" s="445"/>
      <c r="M703" s="97">
        <f t="shared" si="160"/>
        <v>1546370000</v>
      </c>
      <c r="N703" s="85" t="s">
        <v>282</v>
      </c>
      <c r="O703" s="85" t="s">
        <v>274</v>
      </c>
      <c r="P703" s="84" t="str">
        <f>IF(AND('331-CT'!$E$7=TH!H703,OR(N703="331",O703="331")),"x","")</f>
        <v/>
      </c>
      <c r="Q703" s="84" t="str">
        <f>IF(AND(B703='111'!$L$11,OR($N703=$Q$7,$O703=$Q$7)),"x","")</f>
        <v/>
      </c>
      <c r="R703" s="84" t="str">
        <f>IF(AND($N703=$Q$7,$B703&lt;'111'!$L$11),"x","")</f>
        <v/>
      </c>
      <c r="S703" s="84" t="str">
        <f>IF(AND($O703=$Q$7,$B703&lt;'111'!$L$11),"x","")</f>
        <v/>
      </c>
      <c r="T703" s="84" t="str">
        <f>IF(ISERROR(FIND('112'!$M$9,G703,1)),"",IF((AND(FIND('112'!$M$9,G703,1)&gt;=1,B703='112'!$K$9,OR($N703='112'!$I$6,$O703='112'!$I$6))),"x",""))</f>
        <v/>
      </c>
      <c r="U703" s="84" t="str">
        <f>IF(ISERROR(FIND('112'!$M$9,G703,1)),"",IF((AND(LEFT(G703,2)=LEFT('112'!$M$9,2),B703&lt;'112'!$K$9,$N703='112'!$I$6)),"x",""))</f>
        <v/>
      </c>
      <c r="V703" s="84" t="str">
        <f>IF(ISERROR(FIND('112'!$M$9,G703,1)),"",IF((AND(RIGHT(G703,2)=RIGHT('112'!$M$9,2),B703&lt;'112'!$K$9,$O703='112'!$I$6)),"x",""))</f>
        <v/>
      </c>
      <c r="W703" s="84" t="str">
        <f>IF(AND('341-CT'!$H$9=H703,OR(LEFT(N703,3)=$W$7,LEFT(O703,3)=$W$7)),"x","")</f>
        <v/>
      </c>
      <c r="X703" s="84" t="str">
        <f>IF(OR(TH!N703=TH!$X$7,O703=TH!$X$7),"x","")</f>
        <v/>
      </c>
      <c r="Y703" s="84" t="str">
        <f>IF(AND(OR(N703="131",O703="131"),H703='131-CT'!$H$9),"x","")</f>
        <v/>
      </c>
      <c r="Z703" s="84"/>
      <c r="AA703" s="84" t="str">
        <f>IF(AND(MONTH(E703)='IN-NX'!$J$5,'IN-NX'!$D$7=D703),"x","")</f>
        <v/>
      </c>
      <c r="AB703" s="84" t="str">
        <f>IF(AND(OR(LEFT(TH!N703,2)="15",LEFT(TH!O703,2)="15"),LEFT(TH!O703,3)&lt;&gt;"111",'152-CT'!$J$8=TH!F703),"x","")</f>
        <v/>
      </c>
      <c r="AC703" s="84" t="str">
        <f>IF(AND(OR(LEFT(TH!N703,2)="15",LEFT(TH!O703,2)="15"),TK!$E$7=TH!F703),"x","")</f>
        <v/>
      </c>
      <c r="AD703" s="84" t="str">
        <f>IF(AND(N703="1521",MONTH(C703)='BK-NL'!$M$11),"x","")</f>
        <v/>
      </c>
    </row>
    <row r="704" spans="1:31" s="1146" customFormat="1" ht="15.75" hidden="1" customHeight="1">
      <c r="A704" s="336" t="str">
        <f>IF(B704&lt;&gt;"",IF(AND(B704='IN-TC'!$S$4,OR(TH!N704="1111",TH!O704="1111")),TH!D704,""),"")</f>
        <v/>
      </c>
      <c r="B704" s="63">
        <f t="shared" ref="B704:B735" si="161">IF(C704&lt;&gt;"",MONTH(C704),"")</f>
        <v>1</v>
      </c>
      <c r="C704" s="64">
        <v>42371</v>
      </c>
      <c r="D704" s="64" t="s">
        <v>868</v>
      </c>
      <c r="E704" s="64">
        <v>42368</v>
      </c>
      <c r="F704" s="67" t="s">
        <v>765</v>
      </c>
      <c r="G704" s="982" t="s">
        <v>799</v>
      </c>
      <c r="H704" s="73" t="s">
        <v>800</v>
      </c>
      <c r="I704" s="439"/>
      <c r="J704" s="439"/>
      <c r="K704" s="430"/>
      <c r="L704" s="439"/>
      <c r="M704" s="65">
        <v>4399997</v>
      </c>
      <c r="N704" s="66" t="s">
        <v>101</v>
      </c>
      <c r="O704" s="66" t="s">
        <v>63</v>
      </c>
      <c r="P704" s="84" t="str">
        <f>IF(AND('331-CT'!$E$7=TH!H704,OR(N704="331",O704="331")),"x","")</f>
        <v/>
      </c>
      <c r="Q704" s="84" t="str">
        <f>IF(AND(B704='111'!$L$11,OR($N704=$Q$7,$O704=$Q$7)),"x","")</f>
        <v>x</v>
      </c>
      <c r="R704" s="84" t="str">
        <f>IF(AND($N704=$Q$7,$B704&lt;'111'!$L$11),"x","")</f>
        <v/>
      </c>
      <c r="S704" s="84" t="str">
        <f>IF(AND($O704=$Q$7,$B704&lt;'111'!$L$11),"x","")</f>
        <v/>
      </c>
      <c r="T704" s="84" t="str">
        <f>IF(ISERROR(FIND('112'!$M$9,G704,1)),"",IF((AND(FIND('112'!$M$9,G704,1)&gt;=1,B704='112'!$K$9,OR($N704='112'!$I$6,$O704='112'!$I$6))),"x",""))</f>
        <v/>
      </c>
      <c r="U704" s="84" t="str">
        <f>IF(ISERROR(FIND('112'!$M$9,G704,1)),"",IF((AND(LEFT(G704,2)=LEFT('112'!$M$9,2),B704&lt;'112'!$K$9,$N704='112'!$I$6)),"x",""))</f>
        <v/>
      </c>
      <c r="V704" s="84" t="str">
        <f>IF(ISERROR(FIND('112'!$M$9,G704,1)),"",IF((AND(RIGHT(G704,2)=RIGHT('112'!$M$9,2),B704&lt;'112'!$K$9,$O704='112'!$I$6)),"x",""))</f>
        <v/>
      </c>
      <c r="W704" s="84" t="str">
        <f>IF(AND('341-CT'!$H$9=H704,OR(LEFT(N704,3)=$W$7,LEFT(O704,3)=$W$7)),"x","")</f>
        <v/>
      </c>
      <c r="X704" s="84" t="str">
        <f>IF(OR(TH!N704=TH!$X$7,O704=TH!$X$7),"x","")</f>
        <v/>
      </c>
      <c r="Y704" s="84" t="str">
        <f>IF(AND(OR(N704="131",O704="131"),H704='131-CT'!$H$9),"x","")</f>
        <v/>
      </c>
      <c r="Z704" s="84"/>
      <c r="AA704" s="84" t="str">
        <f>IF(AND(MONTH(E704)='IN-NX'!$J$5,'IN-NX'!$D$7=D704),"x","")</f>
        <v/>
      </c>
      <c r="AB704" s="84" t="str">
        <f>IF(AND(OR(LEFT(TH!N704,2)="15",LEFT(TH!O704,2)="15"),LEFT(TH!O704,3)&lt;&gt;"111",'152-CT'!$J$8=TH!F704),"x","")</f>
        <v/>
      </c>
      <c r="AC704" s="84" t="str">
        <f>IF(AND(OR(LEFT(TH!N704,2)="15",LEFT(TH!O704,2)="15"),TK!$E$7=TH!F704),"x","")</f>
        <v/>
      </c>
      <c r="AD704" s="84" t="str">
        <f>IF(AND(N704="1521",MONTH(C704)='BK-NL'!$M$11),"x","")</f>
        <v/>
      </c>
    </row>
    <row r="705" spans="1:31" s="1146" customFormat="1" ht="15.75" hidden="1" customHeight="1">
      <c r="A705" s="336" t="str">
        <f>IF(B705&lt;&gt;"",IF(AND(B705='IN-TC'!$S$4,OR(TH!N705="1111",TH!O705="1111")),TH!D705,""),"")</f>
        <v/>
      </c>
      <c r="B705" s="63">
        <f t="shared" si="161"/>
        <v>1</v>
      </c>
      <c r="C705" s="64">
        <v>42371</v>
      </c>
      <c r="D705" s="64" t="s">
        <v>868</v>
      </c>
      <c r="E705" s="64">
        <v>42368</v>
      </c>
      <c r="F705" s="67" t="s">
        <v>766</v>
      </c>
      <c r="G705" s="982" t="s">
        <v>799</v>
      </c>
      <c r="H705" s="73" t="s">
        <v>800</v>
      </c>
      <c r="I705" s="439"/>
      <c r="J705" s="439"/>
      <c r="K705" s="430"/>
      <c r="L705" s="439"/>
      <c r="M705" s="65">
        <v>440003</v>
      </c>
      <c r="N705" s="66" t="s">
        <v>9</v>
      </c>
      <c r="O705" s="66" t="s">
        <v>63</v>
      </c>
      <c r="P705" s="84" t="str">
        <f>IF(AND('331-CT'!$E$7=TH!H705,OR(N705="331",O705="331")),"x","")</f>
        <v/>
      </c>
      <c r="Q705" s="84" t="str">
        <f>IF(AND(B705='111'!$L$11,OR($N705=$Q$7,$O705=$Q$7)),"x","")</f>
        <v>x</v>
      </c>
      <c r="R705" s="84" t="str">
        <f>IF(AND($N705=$Q$7,$B705&lt;'111'!$L$11),"x","")</f>
        <v/>
      </c>
      <c r="S705" s="84" t="str">
        <f>IF(AND($O705=$Q$7,$B705&lt;'111'!$L$11),"x","")</f>
        <v/>
      </c>
      <c r="T705" s="84" t="str">
        <f>IF(ISERROR(FIND('112'!$M$9,G705,1)),"",IF((AND(FIND('112'!$M$9,G705,1)&gt;=1,B705='112'!$K$9,OR($N705='112'!$I$6,$O705='112'!$I$6))),"x",""))</f>
        <v/>
      </c>
      <c r="U705" s="84" t="str">
        <f>IF(ISERROR(FIND('112'!$M$9,G705,1)),"",IF((AND(LEFT(G705,2)=LEFT('112'!$M$9,2),B705&lt;'112'!$K$9,$N705='112'!$I$6)),"x",""))</f>
        <v/>
      </c>
      <c r="V705" s="84" t="str">
        <f>IF(ISERROR(FIND('112'!$M$9,G705,1)),"",IF((AND(RIGHT(G705,2)=RIGHT('112'!$M$9,2),B705&lt;'112'!$K$9,$O705='112'!$I$6)),"x",""))</f>
        <v/>
      </c>
      <c r="W705" s="84" t="str">
        <f>IF(AND('341-CT'!$H$9=H705,OR(LEFT(N705,3)=$W$7,LEFT(O705,3)=$W$7)),"x","")</f>
        <v/>
      </c>
      <c r="X705" s="84" t="str">
        <f>IF(OR(TH!N705=TH!$X$7,O705=TH!$X$7),"x","")</f>
        <v/>
      </c>
      <c r="Y705" s="84" t="str">
        <f>IF(AND(OR(N705="131",O705="131"),H705='131-CT'!$H$9),"x","")</f>
        <v/>
      </c>
      <c r="Z705" s="84"/>
      <c r="AA705" s="84" t="str">
        <f>IF(AND(MONTH(E705)='IN-NX'!$J$5,'IN-NX'!$D$7=D705),"x","")</f>
        <v/>
      </c>
      <c r="AB705" s="84" t="str">
        <f>IF(AND(OR(LEFT(TH!N705,2)="15",LEFT(TH!O705,2)="15"),LEFT(TH!O705,3)&lt;&gt;"111",'152-CT'!$J$8=TH!F705),"x","")</f>
        <v/>
      </c>
      <c r="AC705" s="84" t="str">
        <f>IF(AND(OR(LEFT(TH!N705,2)="15",LEFT(TH!O705,2)="15"),TK!$E$7=TH!F705),"x","")</f>
        <v/>
      </c>
      <c r="AD705" s="84" t="str">
        <f>IF(AND(N705="1521",MONTH(C705)='BK-NL'!$M$11),"x","")</f>
        <v/>
      </c>
    </row>
    <row r="706" spans="1:31" s="1146" customFormat="1" ht="15.75" hidden="1" customHeight="1">
      <c r="A706" s="336" t="str">
        <f>IF(B706&lt;&gt;"",IF(AND(B706='IN-TC'!$S$4,OR(TH!N706="1111",TH!O706="1111")),TH!D706,""),"")</f>
        <v/>
      </c>
      <c r="B706" s="63">
        <f t="shared" si="161"/>
        <v>1</v>
      </c>
      <c r="C706" s="64">
        <v>42371</v>
      </c>
      <c r="D706" s="64" t="s">
        <v>869</v>
      </c>
      <c r="E706" s="64">
        <v>42369</v>
      </c>
      <c r="F706" s="67" t="s">
        <v>767</v>
      </c>
      <c r="G706" s="67" t="s">
        <v>801</v>
      </c>
      <c r="H706" s="344" t="s">
        <v>802</v>
      </c>
      <c r="I706" s="441"/>
      <c r="J706" s="441"/>
      <c r="K706" s="432"/>
      <c r="L706" s="441"/>
      <c r="M706" s="65">
        <v>47150</v>
      </c>
      <c r="N706" s="66" t="s">
        <v>101</v>
      </c>
      <c r="O706" s="66" t="s">
        <v>63</v>
      </c>
      <c r="P706" s="84" t="str">
        <f>IF(AND('331-CT'!$E$7=TH!H706,OR(N706="331",O706="331")),"x","")</f>
        <v/>
      </c>
      <c r="Q706" s="84" t="str">
        <f>IF(AND(B706='111'!$L$11,OR($N706=$Q$7,$O706=$Q$7)),"x","")</f>
        <v>x</v>
      </c>
      <c r="R706" s="84" t="str">
        <f>IF(AND($N706=$Q$7,$B706&lt;'111'!$L$11),"x","")</f>
        <v/>
      </c>
      <c r="S706" s="84" t="str">
        <f>IF(AND($O706=$Q$7,$B706&lt;'111'!$L$11),"x","")</f>
        <v/>
      </c>
      <c r="T706" s="84" t="str">
        <f>IF(ISERROR(FIND('112'!$M$9,G706,1)),"",IF((AND(FIND('112'!$M$9,G706,1)&gt;=1,B706='112'!$K$9,OR($N706='112'!$I$6,$O706='112'!$I$6))),"x",""))</f>
        <v/>
      </c>
      <c r="U706" s="84" t="str">
        <f>IF(ISERROR(FIND('112'!$M$9,G706,1)),"",IF((AND(LEFT(G706,2)=LEFT('112'!$M$9,2),B706&lt;'112'!$K$9,$N706='112'!$I$6)),"x",""))</f>
        <v/>
      </c>
      <c r="V706" s="84" t="str">
        <f>IF(ISERROR(FIND('112'!$M$9,G706,1)),"",IF((AND(RIGHT(G706,2)=RIGHT('112'!$M$9,2),B706&lt;'112'!$K$9,$O706='112'!$I$6)),"x",""))</f>
        <v/>
      </c>
      <c r="W706" s="84" t="str">
        <f>IF(AND('341-CT'!$H$9=H706,OR(LEFT(N706,3)=$W$7,LEFT(O706,3)=$W$7)),"x","")</f>
        <v/>
      </c>
      <c r="X706" s="84" t="str">
        <f>IF(OR(TH!N706=TH!$X$7,O706=TH!$X$7),"x","")</f>
        <v/>
      </c>
      <c r="Y706" s="84" t="str">
        <f>IF(AND(OR(N706="131",O706="131"),H706='131-CT'!$H$9),"x","")</f>
        <v/>
      </c>
      <c r="Z706" s="84"/>
      <c r="AA706" s="84" t="str">
        <f>IF(AND(MONTH(E706)='IN-NX'!$J$5,'IN-NX'!$D$7=D706),"x","")</f>
        <v/>
      </c>
      <c r="AB706" s="84" t="str">
        <f>IF(AND(OR(LEFT(TH!N706,2)="15",LEFT(TH!O706,2)="15"),LEFT(TH!O706,3)&lt;&gt;"111",'152-CT'!$J$8=TH!F706),"x","")</f>
        <v/>
      </c>
      <c r="AC706" s="84" t="str">
        <f>IF(AND(OR(LEFT(TH!N706,2)="15",LEFT(TH!O706,2)="15"),TK!$E$7=TH!F706),"x","")</f>
        <v/>
      </c>
      <c r="AD706" s="84" t="str">
        <f>IF(AND(N706="1521",MONTH(C706)='BK-NL'!$M$11),"x","")</f>
        <v/>
      </c>
    </row>
    <row r="707" spans="1:31" s="1146" customFormat="1" ht="15.75" hidden="1" customHeight="1">
      <c r="A707" s="336" t="str">
        <f>IF(B707&lt;&gt;"",IF(AND(B707='IN-TC'!$S$4,OR(TH!N707="1111",TH!O707="1111")),TH!D707,""),"")</f>
        <v/>
      </c>
      <c r="B707" s="63">
        <f t="shared" si="161"/>
        <v>1</v>
      </c>
      <c r="C707" s="64">
        <v>42371</v>
      </c>
      <c r="D707" s="64" t="s">
        <v>869</v>
      </c>
      <c r="E707" s="64">
        <v>42369</v>
      </c>
      <c r="F707" s="67" t="s">
        <v>768</v>
      </c>
      <c r="G707" s="67" t="s">
        <v>801</v>
      </c>
      <c r="H707" s="73" t="s">
        <v>802</v>
      </c>
      <c r="I707" s="439"/>
      <c r="J707" s="439"/>
      <c r="K707" s="430"/>
      <c r="L707" s="439"/>
      <c r="M707" s="65">
        <v>4715</v>
      </c>
      <c r="N707" s="66" t="s">
        <v>9</v>
      </c>
      <c r="O707" s="66" t="s">
        <v>63</v>
      </c>
      <c r="P707" s="84" t="str">
        <f>IF(AND('331-CT'!$E$7=TH!H707,OR(N707="331",O707="331")),"x","")</f>
        <v/>
      </c>
      <c r="Q707" s="84" t="str">
        <f>IF(AND(B707='111'!$L$11,OR($N707=$Q$7,$O707=$Q$7)),"x","")</f>
        <v>x</v>
      </c>
      <c r="R707" s="84" t="str">
        <f>IF(AND($N707=$Q$7,$B707&lt;'111'!$L$11),"x","")</f>
        <v/>
      </c>
      <c r="S707" s="84" t="str">
        <f>IF(AND($O707=$Q$7,$B707&lt;'111'!$L$11),"x","")</f>
        <v/>
      </c>
      <c r="T707" s="84" t="str">
        <f>IF(ISERROR(FIND('112'!$M$9,G707,1)),"",IF((AND(FIND('112'!$M$9,G707,1)&gt;=1,B707='112'!$K$9,OR($N707='112'!$I$6,$O707='112'!$I$6))),"x",""))</f>
        <v/>
      </c>
      <c r="U707" s="84" t="str">
        <f>IF(ISERROR(FIND('112'!$M$9,G707,1)),"",IF((AND(LEFT(G707,2)=LEFT('112'!$M$9,2),B707&lt;'112'!$K$9,$N707='112'!$I$6)),"x",""))</f>
        <v/>
      </c>
      <c r="V707" s="84" t="str">
        <f>IF(ISERROR(FIND('112'!$M$9,G707,1)),"",IF((AND(RIGHT(G707,2)=RIGHT('112'!$M$9,2),B707&lt;'112'!$K$9,$O707='112'!$I$6)),"x",""))</f>
        <v/>
      </c>
      <c r="W707" s="84" t="str">
        <f>IF(AND('341-CT'!$H$9=H707,OR(LEFT(N707,3)=$W$7,LEFT(O707,3)=$W$7)),"x","")</f>
        <v/>
      </c>
      <c r="X707" s="84" t="str">
        <f>IF(OR(TH!N707=TH!$X$7,O707=TH!$X$7),"x","")</f>
        <v/>
      </c>
      <c r="Y707" s="84" t="str">
        <f>IF(AND(OR(N707="131",O707="131"),H707='131-CT'!$H$9),"x","")</f>
        <v/>
      </c>
      <c r="Z707" s="84"/>
      <c r="AA707" s="84" t="str">
        <f>IF(AND(MONTH(E707)='IN-NX'!$J$5,'IN-NX'!$D$7=D707),"x","")</f>
        <v/>
      </c>
      <c r="AB707" s="84" t="str">
        <f>IF(AND(OR(LEFT(TH!N707,2)="15",LEFT(TH!O707,2)="15"),LEFT(TH!O707,3)&lt;&gt;"111",'152-CT'!$J$8=TH!F707),"x","")</f>
        <v/>
      </c>
      <c r="AC707" s="84" t="str">
        <f>IF(AND(OR(LEFT(TH!N707,2)="15",LEFT(TH!O707,2)="15"),TK!$E$7=TH!F707),"x","")</f>
        <v/>
      </c>
      <c r="AD707" s="84" t="str">
        <f>IF(AND(N707="1521",MONTH(C707)='BK-NL'!$M$11),"x","")</f>
        <v/>
      </c>
    </row>
    <row r="708" spans="1:31" s="1146" customFormat="1" ht="15.75" hidden="1" customHeight="1">
      <c r="A708" s="336" t="str">
        <f>IF(B708&lt;&gt;"",IF(AND(B708='IN-TC'!$S$4,OR(TH!N708="1111",TH!O708="1111")),TH!D708,""),"")</f>
        <v/>
      </c>
      <c r="B708" s="63">
        <f t="shared" si="161"/>
        <v>1</v>
      </c>
      <c r="C708" s="64">
        <v>42371</v>
      </c>
      <c r="D708" s="64" t="s">
        <v>870</v>
      </c>
      <c r="E708" s="64">
        <v>42367</v>
      </c>
      <c r="F708" s="67" t="s">
        <v>765</v>
      </c>
      <c r="G708" s="67" t="s">
        <v>803</v>
      </c>
      <c r="H708" s="73" t="s">
        <v>804</v>
      </c>
      <c r="I708" s="439"/>
      <c r="J708" s="439"/>
      <c r="K708" s="430"/>
      <c r="L708" s="439"/>
      <c r="M708" s="65">
        <v>2090910</v>
      </c>
      <c r="N708" s="66" t="s">
        <v>101</v>
      </c>
      <c r="O708" s="66" t="s">
        <v>63</v>
      </c>
      <c r="P708" s="84" t="str">
        <f>IF(AND('331-CT'!$E$7=TH!H708,OR(N708="331",O708="331")),"x","")</f>
        <v/>
      </c>
      <c r="Q708" s="84" t="str">
        <f>IF(AND(B708='111'!$L$11,OR($N708=$Q$7,$O708=$Q$7)),"x","")</f>
        <v>x</v>
      </c>
      <c r="R708" s="84" t="str">
        <f>IF(AND($N708=$Q$7,$B708&lt;'111'!$L$11),"x","")</f>
        <v/>
      </c>
      <c r="S708" s="84" t="str">
        <f>IF(AND($O708=$Q$7,$B708&lt;'111'!$L$11),"x","")</f>
        <v/>
      </c>
      <c r="T708" s="84" t="str">
        <f>IF(ISERROR(FIND('112'!$M$9,G708,1)),"",IF((AND(FIND('112'!$M$9,G708,1)&gt;=1,B708='112'!$K$9,OR($N708='112'!$I$6,$O708='112'!$I$6))),"x",""))</f>
        <v/>
      </c>
      <c r="U708" s="84" t="str">
        <f>IF(ISERROR(FIND('112'!$M$9,G708,1)),"",IF((AND(LEFT(G708,2)=LEFT('112'!$M$9,2),B708&lt;'112'!$K$9,$N708='112'!$I$6)),"x",""))</f>
        <v/>
      </c>
      <c r="V708" s="84" t="str">
        <f>IF(ISERROR(FIND('112'!$M$9,G708,1)),"",IF((AND(RIGHT(G708,2)=RIGHT('112'!$M$9,2),B708&lt;'112'!$K$9,$O708='112'!$I$6)),"x",""))</f>
        <v/>
      </c>
      <c r="W708" s="84" t="str">
        <f>IF(AND('341-CT'!$H$9=H708,OR(LEFT(N708,3)=$W$7,LEFT(O708,3)=$W$7)),"x","")</f>
        <v/>
      </c>
      <c r="X708" s="84" t="str">
        <f>IF(OR(TH!N708=TH!$X$7,O708=TH!$X$7),"x","")</f>
        <v/>
      </c>
      <c r="Y708" s="84" t="str">
        <f>IF(AND(OR(N708="131",O708="131"),H708='131-CT'!$H$9),"x","")</f>
        <v/>
      </c>
      <c r="Z708" s="84"/>
      <c r="AA708" s="84" t="str">
        <f>IF(AND(MONTH(E708)='IN-NX'!$J$5,'IN-NX'!$D$7=D708),"x","")</f>
        <v/>
      </c>
      <c r="AB708" s="84" t="str">
        <f>IF(AND(OR(LEFT(TH!N708,2)="15",LEFT(TH!O708,2)="15"),LEFT(TH!O708,3)&lt;&gt;"111",'152-CT'!$J$8=TH!F708),"x","")</f>
        <v/>
      </c>
      <c r="AC708" s="84" t="str">
        <f>IF(AND(OR(LEFT(TH!N708,2)="15",LEFT(TH!O708,2)="15"),TK!$E$7=TH!F708),"x","")</f>
        <v/>
      </c>
      <c r="AD708" s="84" t="str">
        <f>IF(AND(N708="1521",MONTH(C708)='BK-NL'!$M$11),"x","")</f>
        <v/>
      </c>
    </row>
    <row r="709" spans="1:31" s="1146" customFormat="1" ht="15.75" hidden="1" customHeight="1">
      <c r="A709" s="336" t="str">
        <f>IF(B709&lt;&gt;"",IF(AND(B709='IN-TC'!$S$4,OR(TH!N709="1111",TH!O709="1111")),TH!D709,""),"")</f>
        <v/>
      </c>
      <c r="B709" s="63">
        <f t="shared" si="161"/>
        <v>1</v>
      </c>
      <c r="C709" s="64">
        <v>42371</v>
      </c>
      <c r="D709" s="64" t="s">
        <v>870</v>
      </c>
      <c r="E709" s="64">
        <v>42367</v>
      </c>
      <c r="F709" s="67" t="s">
        <v>766</v>
      </c>
      <c r="G709" s="67" t="s">
        <v>803</v>
      </c>
      <c r="H709" s="344" t="s">
        <v>804</v>
      </c>
      <c r="I709" s="441"/>
      <c r="J709" s="441"/>
      <c r="K709" s="432"/>
      <c r="L709" s="441"/>
      <c r="M709" s="65">
        <v>209090</v>
      </c>
      <c r="N709" s="66" t="s">
        <v>9</v>
      </c>
      <c r="O709" s="66" t="s">
        <v>63</v>
      </c>
      <c r="P709" s="84" t="str">
        <f>IF(AND('331-CT'!$E$7=TH!H709,OR(N709="331",O709="331")),"x","")</f>
        <v/>
      </c>
      <c r="Q709" s="84" t="str">
        <f>IF(AND(B709='111'!$L$11,OR($N709=$Q$7,$O709=$Q$7)),"x","")</f>
        <v>x</v>
      </c>
      <c r="R709" s="84" t="str">
        <f>IF(AND($N709=$Q$7,$B709&lt;'111'!$L$11),"x","")</f>
        <v/>
      </c>
      <c r="S709" s="84" t="str">
        <f>IF(AND($O709=$Q$7,$B709&lt;'111'!$L$11),"x","")</f>
        <v/>
      </c>
      <c r="T709" s="84" t="str">
        <f>IF(ISERROR(FIND('112'!$M$9,G709,1)),"",IF((AND(FIND('112'!$M$9,G709,1)&gt;=1,B709='112'!$K$9,OR($N709='112'!$I$6,$O709='112'!$I$6))),"x",""))</f>
        <v/>
      </c>
      <c r="U709" s="84" t="str">
        <f>IF(ISERROR(FIND('112'!$M$9,G709,1)),"",IF((AND(LEFT(G709,2)=LEFT('112'!$M$9,2),B709&lt;'112'!$K$9,$N709='112'!$I$6)),"x",""))</f>
        <v/>
      </c>
      <c r="V709" s="84" t="str">
        <f>IF(ISERROR(FIND('112'!$M$9,G709,1)),"",IF((AND(RIGHT(G709,2)=RIGHT('112'!$M$9,2),B709&lt;'112'!$K$9,$O709='112'!$I$6)),"x",""))</f>
        <v/>
      </c>
      <c r="W709" s="84" t="str">
        <f>IF(AND('341-CT'!$H$9=H709,OR(LEFT(N709,3)=$W$7,LEFT(O709,3)=$W$7)),"x","")</f>
        <v/>
      </c>
      <c r="X709" s="84" t="str">
        <f>IF(OR(TH!N709=TH!$X$7,O709=TH!$X$7),"x","")</f>
        <v/>
      </c>
      <c r="Y709" s="84" t="str">
        <f>IF(AND(OR(N709="131",O709="131"),H709='131-CT'!$H$9),"x","")</f>
        <v/>
      </c>
      <c r="Z709" s="84"/>
      <c r="AA709" s="84" t="str">
        <f>IF(AND(MONTH(E709)='IN-NX'!$J$5,'IN-NX'!$D$7=D709),"x","")</f>
        <v/>
      </c>
      <c r="AB709" s="84" t="str">
        <f>IF(AND(OR(LEFT(TH!N709,2)="15",LEFT(TH!O709,2)="15"),LEFT(TH!O709,3)&lt;&gt;"111",'152-CT'!$J$8=TH!F709),"x","")</f>
        <v/>
      </c>
      <c r="AC709" s="84" t="str">
        <f>IF(AND(OR(LEFT(TH!N709,2)="15",LEFT(TH!O709,2)="15"),TK!$E$7=TH!F709),"x","")</f>
        <v/>
      </c>
      <c r="AD709" s="84" t="str">
        <f>IF(AND(N709="1521",MONTH(C709)='BK-NL'!$M$11),"x","")</f>
        <v/>
      </c>
    </row>
    <row r="710" spans="1:31" s="341" customFormat="1" ht="15.75" hidden="1" customHeight="1">
      <c r="A710" s="336" t="str">
        <f>IF(B710&lt;&gt;"",IF(AND(B710='IN-TC'!$S$4,OR(TH!N710="1111",TH!O710="1111")),TH!D710,""),"")</f>
        <v/>
      </c>
      <c r="B710" s="63">
        <f t="shared" si="161"/>
        <v>1</v>
      </c>
      <c r="C710" s="64">
        <v>42371</v>
      </c>
      <c r="D710" s="64" t="s">
        <v>871</v>
      </c>
      <c r="E710" s="64">
        <v>42367</v>
      </c>
      <c r="F710" s="67" t="s">
        <v>769</v>
      </c>
      <c r="G710" s="67" t="s">
        <v>805</v>
      </c>
      <c r="H710" s="73" t="s">
        <v>806</v>
      </c>
      <c r="I710" s="439"/>
      <c r="J710" s="439"/>
      <c r="K710" s="430"/>
      <c r="L710" s="439"/>
      <c r="M710" s="65">
        <v>12000000</v>
      </c>
      <c r="N710" s="66" t="s">
        <v>101</v>
      </c>
      <c r="O710" s="66" t="s">
        <v>63</v>
      </c>
      <c r="P710" s="84" t="str">
        <f>IF(AND('331-CT'!$E$7=TH!H710,OR(N710="331",O710="331")),"x","")</f>
        <v/>
      </c>
      <c r="Q710" s="84" t="str">
        <f>IF(AND(B710='111'!$L$11,OR($N710=$Q$7,$O710=$Q$7)),"x","")</f>
        <v>x</v>
      </c>
      <c r="R710" s="84" t="str">
        <f>IF(AND($N710=$Q$7,$B710&lt;'111'!$L$11),"x","")</f>
        <v/>
      </c>
      <c r="S710" s="84" t="str">
        <f>IF(AND($O710=$Q$7,$B710&lt;'111'!$L$11),"x","")</f>
        <v/>
      </c>
      <c r="T710" s="84" t="str">
        <f>IF(ISERROR(FIND('112'!$M$9,G710,1)),"",IF((AND(FIND('112'!$M$9,G710,1)&gt;=1,B710='112'!$K$9,OR($N710='112'!$I$6,$O710='112'!$I$6))),"x",""))</f>
        <v/>
      </c>
      <c r="U710" s="84" t="str">
        <f>IF(ISERROR(FIND('112'!$M$9,G710,1)),"",IF((AND(LEFT(G710,2)=LEFT('112'!$M$9,2),B710&lt;'112'!$K$9,$N710='112'!$I$6)),"x",""))</f>
        <v/>
      </c>
      <c r="V710" s="84" t="str">
        <f>IF(ISERROR(FIND('112'!$M$9,G710,1)),"",IF((AND(RIGHT(G710,2)=RIGHT('112'!$M$9,2),B710&lt;'112'!$K$9,$O710='112'!$I$6)),"x",""))</f>
        <v/>
      </c>
      <c r="W710" s="84" t="str">
        <f>IF(AND('341-CT'!$H$9=H710,OR(LEFT(N710,3)=$W$7,LEFT(O710,3)=$W$7)),"x","")</f>
        <v/>
      </c>
      <c r="X710" s="84" t="str">
        <f>IF(OR(TH!N710=TH!$X$7,O710=TH!$X$7),"x","")</f>
        <v/>
      </c>
      <c r="Y710" s="84" t="str">
        <f>IF(AND(OR(N710="131",O710="131"),H710='131-CT'!$H$9),"x","")</f>
        <v/>
      </c>
      <c r="Z710" s="84"/>
      <c r="AA710" s="84" t="str">
        <f>IF(AND(MONTH(E710)='IN-NX'!$J$5,'IN-NX'!$D$7=D710),"x","")</f>
        <v/>
      </c>
      <c r="AB710" s="84" t="str">
        <f>IF(AND(OR(LEFT(TH!N710,2)="15",LEFT(TH!O710,2)="15"),LEFT(TH!O710,3)&lt;&gt;"111",'152-CT'!$J$8=TH!F710),"x","")</f>
        <v/>
      </c>
      <c r="AC710" s="84" t="str">
        <f>IF(AND(OR(LEFT(TH!N710,2)="15",LEFT(TH!O710,2)="15"),TK!$E$7=TH!F710),"x","")</f>
        <v/>
      </c>
      <c r="AD710" s="84" t="str">
        <f>IF(AND(N710="1521",MONTH(C710)='BK-NL'!$M$11),"x","")</f>
        <v/>
      </c>
    </row>
    <row r="711" spans="1:31" s="341" customFormat="1" ht="15.75" hidden="1" customHeight="1">
      <c r="A711" s="336" t="str">
        <f>IF(B711&lt;&gt;"",IF(AND(B711='IN-TC'!$S$4,OR(TH!N711="1111",TH!O711="1111")),TH!D711,""),"")</f>
        <v/>
      </c>
      <c r="B711" s="63">
        <f t="shared" si="161"/>
        <v>1</v>
      </c>
      <c r="C711" s="64">
        <v>42371</v>
      </c>
      <c r="D711" s="64" t="s">
        <v>871</v>
      </c>
      <c r="E711" s="64">
        <v>42367</v>
      </c>
      <c r="F711" s="67" t="s">
        <v>770</v>
      </c>
      <c r="G711" s="67" t="s">
        <v>805</v>
      </c>
      <c r="H711" s="73" t="s">
        <v>806</v>
      </c>
      <c r="I711" s="439"/>
      <c r="J711" s="439"/>
      <c r="K711" s="430"/>
      <c r="L711" s="439"/>
      <c r="M711" s="65">
        <v>1200000</v>
      </c>
      <c r="N711" s="66" t="s">
        <v>9</v>
      </c>
      <c r="O711" s="66" t="s">
        <v>63</v>
      </c>
      <c r="P711" s="84" t="str">
        <f>IF(AND('331-CT'!$E$7=TH!H711,OR(N711="331",O711="331")),"x","")</f>
        <v/>
      </c>
      <c r="Q711" s="84" t="str">
        <f>IF(AND(B711='111'!$L$11,OR($N711=$Q$7,$O711=$Q$7)),"x","")</f>
        <v>x</v>
      </c>
      <c r="R711" s="84" t="str">
        <f>IF(AND($N711=$Q$7,$B711&lt;'111'!$L$11),"x","")</f>
        <v/>
      </c>
      <c r="S711" s="84" t="str">
        <f>IF(AND($O711=$Q$7,$B711&lt;'111'!$L$11),"x","")</f>
        <v/>
      </c>
      <c r="T711" s="84" t="str">
        <f>IF(ISERROR(FIND('112'!$M$9,G711,1)),"",IF((AND(FIND('112'!$M$9,G711,1)&gt;=1,B711='112'!$K$9,OR($N711='112'!$I$6,$O711='112'!$I$6))),"x",""))</f>
        <v/>
      </c>
      <c r="U711" s="84" t="str">
        <f>IF(ISERROR(FIND('112'!$M$9,G711,1)),"",IF((AND(LEFT(G711,2)=LEFT('112'!$M$9,2),B711&lt;'112'!$K$9,$N711='112'!$I$6)),"x",""))</f>
        <v/>
      </c>
      <c r="V711" s="84" t="str">
        <f>IF(ISERROR(FIND('112'!$M$9,G711,1)),"",IF((AND(RIGHT(G711,2)=RIGHT('112'!$M$9,2),B711&lt;'112'!$K$9,$O711='112'!$I$6)),"x",""))</f>
        <v/>
      </c>
      <c r="W711" s="84" t="str">
        <f>IF(AND('341-CT'!$H$9=H711,OR(LEFT(N711,3)=$W$7,LEFT(O711,3)=$W$7)),"x","")</f>
        <v/>
      </c>
      <c r="X711" s="84" t="str">
        <f>IF(OR(TH!N711=TH!$X$7,O711=TH!$X$7),"x","")</f>
        <v/>
      </c>
      <c r="Y711" s="84" t="str">
        <f>IF(AND(OR(N711="131",O711="131"),H711='131-CT'!$H$9),"x","")</f>
        <v/>
      </c>
      <c r="Z711" s="84"/>
      <c r="AA711" s="84" t="str">
        <f>IF(AND(MONTH(E711)='IN-NX'!$J$5,'IN-NX'!$D$7=D711),"x","")</f>
        <v/>
      </c>
      <c r="AB711" s="84" t="str">
        <f>IF(AND(OR(LEFT(TH!N711,2)="15",LEFT(TH!O711,2)="15"),LEFT(TH!O711,3)&lt;&gt;"111",'152-CT'!$J$8=TH!F711),"x","")</f>
        <v/>
      </c>
      <c r="AC711" s="84" t="str">
        <f>IF(AND(OR(LEFT(TH!N711,2)="15",LEFT(TH!O711,2)="15"),TK!$E$7=TH!F711),"x","")</f>
        <v/>
      </c>
      <c r="AD711" s="84" t="str">
        <f>IF(AND(N711="1521",MONTH(C711)='BK-NL'!$M$11),"x","")</f>
        <v/>
      </c>
    </row>
    <row r="712" spans="1:31" s="1146" customFormat="1" ht="15.75" hidden="1" customHeight="1">
      <c r="A712" s="336" t="str">
        <f>IF(B712&lt;&gt;"",IF(AND(B712='IN-TC'!$S$4,OR(TH!N712="1111",TH!O712="1111")),TH!D712,""),"")</f>
        <v/>
      </c>
      <c r="B712" s="63">
        <f t="shared" si="161"/>
        <v>1</v>
      </c>
      <c r="C712" s="64">
        <v>42371</v>
      </c>
      <c r="D712" s="64" t="s">
        <v>872</v>
      </c>
      <c r="E712" s="64">
        <v>42370</v>
      </c>
      <c r="F712" s="148" t="s">
        <v>771</v>
      </c>
      <c r="G712" s="983" t="s">
        <v>807</v>
      </c>
      <c r="H712" s="73" t="s">
        <v>808</v>
      </c>
      <c r="I712" s="439"/>
      <c r="J712" s="439"/>
      <c r="K712" s="430"/>
      <c r="L712" s="439"/>
      <c r="M712" s="65">
        <v>620782</v>
      </c>
      <c r="N712" s="66" t="s">
        <v>101</v>
      </c>
      <c r="O712" s="66" t="s">
        <v>63</v>
      </c>
      <c r="P712" s="84" t="str">
        <f>IF(AND('331-CT'!$E$7=TH!H712,OR(N712="331",O712="331")),"x","")</f>
        <v/>
      </c>
      <c r="Q712" s="84" t="str">
        <f>IF(AND(B712='111'!$L$11,OR($N712=$Q$7,$O712=$Q$7)),"x","")</f>
        <v>x</v>
      </c>
      <c r="R712" s="84" t="str">
        <f>IF(AND($N712=$Q$7,$B712&lt;'111'!$L$11),"x","")</f>
        <v/>
      </c>
      <c r="S712" s="84" t="str">
        <f>IF(AND($O712=$Q$7,$B712&lt;'111'!$L$11),"x","")</f>
        <v/>
      </c>
      <c r="T712" s="84" t="str">
        <f>IF(ISERROR(FIND('112'!$M$9,G712,1)),"",IF((AND(FIND('112'!$M$9,G712,1)&gt;=1,B712='112'!$K$9,OR($N712='112'!$I$6,$O712='112'!$I$6))),"x",""))</f>
        <v/>
      </c>
      <c r="U712" s="84" t="str">
        <f>IF(ISERROR(FIND('112'!$M$9,G712,1)),"",IF((AND(LEFT(G712,2)=LEFT('112'!$M$9,2),B712&lt;'112'!$K$9,$N712='112'!$I$6)),"x",""))</f>
        <v/>
      </c>
      <c r="V712" s="84" t="str">
        <f>IF(ISERROR(FIND('112'!$M$9,G712,1)),"",IF((AND(RIGHT(G712,2)=RIGHT('112'!$M$9,2),B712&lt;'112'!$K$9,$O712='112'!$I$6)),"x",""))</f>
        <v/>
      </c>
      <c r="W712" s="84" t="str">
        <f>IF(AND('341-CT'!$H$9=H712,OR(LEFT(N712,3)=$W$7,LEFT(O712,3)=$W$7)),"x","")</f>
        <v/>
      </c>
      <c r="X712" s="84" t="str">
        <f>IF(OR(TH!N712=TH!$X$7,O712=TH!$X$7),"x","")</f>
        <v/>
      </c>
      <c r="Y712" s="84" t="str">
        <f>IF(AND(OR(N712="131",O712="131"),H712='131-CT'!$H$9),"x","")</f>
        <v/>
      </c>
      <c r="Z712" s="84"/>
      <c r="AA712" s="84" t="str">
        <f>IF(AND(MONTH(E712)='IN-NX'!$J$5,'IN-NX'!$D$7=D712),"x","")</f>
        <v/>
      </c>
      <c r="AB712" s="84" t="str">
        <f>IF(AND(OR(LEFT(TH!N712,2)="15",LEFT(TH!O712,2)="15"),LEFT(TH!O712,3)&lt;&gt;"111",'152-CT'!$J$8=TH!F712),"x","")</f>
        <v/>
      </c>
      <c r="AC712" s="84" t="str">
        <f>IF(AND(OR(LEFT(TH!N712,2)="15",LEFT(TH!O712,2)="15"),TK!$E$7=TH!F712),"x","")</f>
        <v/>
      </c>
      <c r="AD712" s="84" t="str">
        <f>IF(AND(N712="1521",MONTH(C712)='BK-NL'!$M$11),"x","")</f>
        <v/>
      </c>
    </row>
    <row r="713" spans="1:31" s="1146" customFormat="1" ht="15.75" hidden="1" customHeight="1">
      <c r="A713" s="336" t="str">
        <f>IF(B713&lt;&gt;"",IF(AND(B713='IN-TC'!$S$4,OR(TH!N713="1111",TH!O713="1111")),TH!D713,""),"")</f>
        <v/>
      </c>
      <c r="B713" s="63">
        <f t="shared" si="161"/>
        <v>1</v>
      </c>
      <c r="C713" s="64">
        <v>42371</v>
      </c>
      <c r="D713" s="64" t="s">
        <v>872</v>
      </c>
      <c r="E713" s="64">
        <v>42370</v>
      </c>
      <c r="F713" s="67" t="s">
        <v>772</v>
      </c>
      <c r="G713" s="982" t="s">
        <v>807</v>
      </c>
      <c r="H713" s="73" t="s">
        <v>808</v>
      </c>
      <c r="I713" s="439"/>
      <c r="J713" s="439"/>
      <c r="K713" s="430"/>
      <c r="L713" s="439"/>
      <c r="M713" s="65">
        <v>62078</v>
      </c>
      <c r="N713" s="66" t="s">
        <v>9</v>
      </c>
      <c r="O713" s="66" t="s">
        <v>63</v>
      </c>
      <c r="P713" s="84" t="str">
        <f>IF(AND('331-CT'!$E$7=TH!H713,OR(N713="331",O713="331")),"x","")</f>
        <v/>
      </c>
      <c r="Q713" s="84" t="str">
        <f>IF(AND(B713='111'!$L$11,OR($N713=$Q$7,$O713=$Q$7)),"x","")</f>
        <v>x</v>
      </c>
      <c r="R713" s="84" t="str">
        <f>IF(AND($N713=$Q$7,$B713&lt;'111'!$L$11),"x","")</f>
        <v/>
      </c>
      <c r="S713" s="84" t="str">
        <f>IF(AND($O713=$Q$7,$B713&lt;'111'!$L$11),"x","")</f>
        <v/>
      </c>
      <c r="T713" s="84" t="str">
        <f>IF(ISERROR(FIND('112'!$M$9,G713,1)),"",IF((AND(FIND('112'!$M$9,G713,1)&gt;=1,B713='112'!$K$9,OR($N713='112'!$I$6,$O713='112'!$I$6))),"x",""))</f>
        <v/>
      </c>
      <c r="U713" s="84" t="str">
        <f>IF(ISERROR(FIND('112'!$M$9,G713,1)),"",IF((AND(LEFT(G713,2)=LEFT('112'!$M$9,2),B713&lt;'112'!$K$9,$N713='112'!$I$6)),"x",""))</f>
        <v/>
      </c>
      <c r="V713" s="84" t="str">
        <f>IF(ISERROR(FIND('112'!$M$9,G713,1)),"",IF((AND(RIGHT(G713,2)=RIGHT('112'!$M$9,2),B713&lt;'112'!$K$9,$O713='112'!$I$6)),"x",""))</f>
        <v/>
      </c>
      <c r="W713" s="84" t="str">
        <f>IF(AND('341-CT'!$H$9=H713,OR(LEFT(N713,3)=$W$7,LEFT(O713,3)=$W$7)),"x","")</f>
        <v/>
      </c>
      <c r="X713" s="84" t="str">
        <f>IF(OR(TH!N713=TH!$X$7,O713=TH!$X$7),"x","")</f>
        <v/>
      </c>
      <c r="Y713" s="84" t="str">
        <f>IF(AND(OR(N713="131",O713="131"),H713='131-CT'!$H$9),"x","")</f>
        <v/>
      </c>
      <c r="Z713" s="84"/>
      <c r="AA713" s="84" t="str">
        <f>IF(AND(MONTH(E713)='IN-NX'!$J$5,'IN-NX'!$D$7=D713),"x","")</f>
        <v/>
      </c>
      <c r="AB713" s="84" t="str">
        <f>IF(AND(OR(LEFT(TH!N713,2)="15",LEFT(TH!O713,2)="15"),LEFT(TH!O713,3)&lt;&gt;"111",'152-CT'!$J$8=TH!F713),"x","")</f>
        <v/>
      </c>
      <c r="AC713" s="84" t="str">
        <f>IF(AND(OR(LEFT(TH!N713,2)="15",LEFT(TH!O713,2)="15"),TK!$E$7=TH!F713),"x","")</f>
        <v/>
      </c>
      <c r="AD713" s="84" t="str">
        <f>IF(AND(N713="1521",MONTH(C713)='BK-NL'!$M$11),"x","")</f>
        <v/>
      </c>
    </row>
    <row r="714" spans="1:31" s="1146" customFormat="1" ht="15.75" hidden="1" customHeight="1">
      <c r="A714" s="336" t="str">
        <f>IF(B714&lt;&gt;"",IF(AND(B714='IN-TC'!$S$4,OR(TH!N714="1111",TH!O714="1111")),TH!D714,""),"")</f>
        <v/>
      </c>
      <c r="B714" s="63">
        <f t="shared" si="161"/>
        <v>1</v>
      </c>
      <c r="C714" s="64">
        <v>42371</v>
      </c>
      <c r="D714" s="64" t="s">
        <v>873</v>
      </c>
      <c r="E714" s="64">
        <v>42370</v>
      </c>
      <c r="F714" s="67" t="s">
        <v>773</v>
      </c>
      <c r="G714" s="982"/>
      <c r="H714" s="73" t="s">
        <v>627</v>
      </c>
      <c r="I714" s="439"/>
      <c r="J714" s="439"/>
      <c r="K714" s="430"/>
      <c r="L714" s="439"/>
      <c r="M714" s="65">
        <v>7500000</v>
      </c>
      <c r="N714" s="66" t="s">
        <v>8</v>
      </c>
      <c r="O714" s="66" t="s">
        <v>63</v>
      </c>
      <c r="P714" s="84" t="str">
        <f>IF(AND('331-CT'!$E$7=TH!H714,OR(N714="331",O714="331")),"x","")</f>
        <v/>
      </c>
      <c r="Q714" s="84" t="str">
        <f>IF(AND(B714='111'!$L$11,OR($N714=$Q$7,$O714=$Q$7)),"x","")</f>
        <v>x</v>
      </c>
      <c r="R714" s="84" t="str">
        <f>IF(AND($N714=$Q$7,$B714&lt;'111'!$L$11),"x","")</f>
        <v/>
      </c>
      <c r="S714" s="84" t="str">
        <f>IF(AND($O714=$Q$7,$B714&lt;'111'!$L$11),"x","")</f>
        <v/>
      </c>
      <c r="T714" s="84" t="str">
        <f>IF(ISERROR(FIND('112'!$M$9,G714,1)),"",IF((AND(FIND('112'!$M$9,G714,1)&gt;=1,B714='112'!$K$9,OR($N714='112'!$I$6,$O714='112'!$I$6))),"x",""))</f>
        <v/>
      </c>
      <c r="U714" s="84" t="str">
        <f>IF(ISERROR(FIND('112'!$M$9,G714,1)),"",IF((AND(LEFT(G714,2)=LEFT('112'!$M$9,2),B714&lt;'112'!$K$9,$N714='112'!$I$6)),"x",""))</f>
        <v/>
      </c>
      <c r="V714" s="84" t="str">
        <f>IF(ISERROR(FIND('112'!$M$9,G714,1)),"",IF((AND(RIGHT(G714,2)=RIGHT('112'!$M$9,2),B714&lt;'112'!$K$9,$O714='112'!$I$6)),"x",""))</f>
        <v/>
      </c>
      <c r="W714" s="84" t="str">
        <f>IF(AND('341-CT'!$H$9=H714,OR(LEFT(N714,3)=$W$7,LEFT(O714,3)=$W$7)),"x","")</f>
        <v/>
      </c>
      <c r="X714" s="84" t="str">
        <f>IF(OR(TH!N714=TH!$X$7,O714=TH!$X$7),"x","")</f>
        <v/>
      </c>
      <c r="Y714" s="84" t="str">
        <f>IF(AND(OR(N714="131",O714="131"),H714='131-CT'!$H$9),"x","")</f>
        <v/>
      </c>
      <c r="Z714" s="84"/>
      <c r="AA714" s="84" t="str">
        <f>IF(AND(MONTH(E714)='IN-NX'!$J$5,'IN-NX'!$D$7=D714),"x","")</f>
        <v/>
      </c>
      <c r="AB714" s="84" t="str">
        <f>IF(AND(OR(LEFT(TH!N714,2)="15",LEFT(TH!O714,2)="15"),LEFT(TH!O714,3)&lt;&gt;"111",'152-CT'!$J$8=TH!F714),"x","")</f>
        <v/>
      </c>
      <c r="AC714" s="84" t="str">
        <f>IF(AND(OR(LEFT(TH!N714,2)="15",LEFT(TH!O714,2)="15"),TK!$E$7=TH!F714),"x","")</f>
        <v/>
      </c>
      <c r="AD714" s="84" t="str">
        <f>IF(AND(N714="1521",MONTH(C714)='BK-NL'!$M$11),"x","")</f>
        <v/>
      </c>
      <c r="AE714" s="1146" t="str">
        <f>IF(H714&lt;&gt;VLOOKUP(H714,DSKH,1,0),"","x")</f>
        <v>x</v>
      </c>
    </row>
    <row r="715" spans="1:31" s="1146" customFormat="1" ht="15.75" hidden="1" customHeight="1">
      <c r="A715" s="336" t="str">
        <f>IF(B715&lt;&gt;"",IF(AND(B715='IN-TC'!$S$4,OR(TH!N715="1111",TH!O715="1111")),TH!D715,""),"")</f>
        <v/>
      </c>
      <c r="B715" s="63">
        <f t="shared" si="161"/>
        <v>1</v>
      </c>
      <c r="C715" s="64">
        <v>42373</v>
      </c>
      <c r="D715" s="64" t="s">
        <v>705</v>
      </c>
      <c r="E715" s="64">
        <v>42373</v>
      </c>
      <c r="F715" s="73" t="s">
        <v>1445</v>
      </c>
      <c r="G715" s="67" t="s">
        <v>918</v>
      </c>
      <c r="H715" s="73"/>
      <c r="I715" s="439"/>
      <c r="J715" s="439"/>
      <c r="K715" s="430">
        <v>97800</v>
      </c>
      <c r="L715" s="439">
        <v>22490</v>
      </c>
      <c r="M715" s="65">
        <f>ROUND(K715*L715,0)</f>
        <v>2199522000</v>
      </c>
      <c r="N715" s="66" t="s">
        <v>26</v>
      </c>
      <c r="O715" s="66" t="s">
        <v>266</v>
      </c>
      <c r="P715" s="84" t="str">
        <f>IF(AND('331-CT'!$E$7=TH!H715,OR(N715="331",O715="331")),"x","")</f>
        <v/>
      </c>
      <c r="Q715" s="84" t="str">
        <f>IF(AND(B715='111'!$L$11,OR($N715=$Q$7,$O715=$Q$7)),"x","")</f>
        <v/>
      </c>
      <c r="R715" s="84" t="str">
        <f>IF(AND($N715=$Q$7,$B715&lt;'111'!$L$11),"x","")</f>
        <v/>
      </c>
      <c r="S715" s="84" t="str">
        <f>IF(AND($O715=$Q$7,$B715&lt;'111'!$L$11),"x","")</f>
        <v/>
      </c>
      <c r="T715" s="84" t="str">
        <f>IF(ISERROR(FIND('112'!$M$9,G715,1)),"",IF((AND(FIND('112'!$M$9,G715,1)&gt;=1,B715='112'!$K$9,OR($N715='112'!$I$6,$O715='112'!$I$6))),"x",""))</f>
        <v/>
      </c>
      <c r="U715" s="84" t="str">
        <f>IF(ISERROR(FIND('112'!$M$9,G715,1)),"",IF((AND(LEFT(G715,2)=LEFT('112'!$M$9,2),B715&lt;'112'!$K$9,$N715='112'!$I$6)),"x",""))</f>
        <v/>
      </c>
      <c r="V715" s="84" t="str">
        <f>IF(ISERROR(FIND('112'!$M$9,G715,1)),"",IF((AND(RIGHT(G715,2)=RIGHT('112'!$M$9,2),B715&lt;'112'!$K$9,$O715='112'!$I$6)),"x",""))</f>
        <v/>
      </c>
      <c r="W715" s="84" t="str">
        <f>IF(AND('341-CT'!$H$9=H715,OR(LEFT(N715,3)=$W$7,LEFT(O715,3)=$W$7)),"x","")</f>
        <v/>
      </c>
      <c r="X715" s="84" t="str">
        <f>IF(OR(TH!N715=TH!$X$7,O715=TH!$X$7),"x","")</f>
        <v/>
      </c>
      <c r="Y715" s="84" t="str">
        <f>IF(AND(OR(N715="131",O715="131"),H715='131-CT'!$H$9),"x","")</f>
        <v/>
      </c>
      <c r="Z715" s="84"/>
      <c r="AA715" s="84" t="str">
        <f>IF(AND(MONTH(E715)='IN-NX'!$J$5,'IN-NX'!$D$7=D715),"x","")</f>
        <v/>
      </c>
      <c r="AB715" s="84" t="str">
        <f>IF(AND(OR(LEFT(TH!N715,2)="15",LEFT(TH!O715,2)="15"),LEFT(TH!O715,3)&lt;&gt;"111",'152-CT'!$J$8=TH!F715),"x","")</f>
        <v/>
      </c>
      <c r="AC715" s="84" t="str">
        <f>IF(AND(OR(LEFT(TH!N715,2)="15",LEFT(TH!O715,2)="15"),TK!$E$7=TH!F715),"x","")</f>
        <v/>
      </c>
      <c r="AD715" s="84" t="str">
        <f>IF(AND(N715="1521",MONTH(C715)='BK-NL'!$M$11),"x","")</f>
        <v/>
      </c>
    </row>
    <row r="716" spans="1:31" s="1146" customFormat="1" ht="15.75" hidden="1" customHeight="1">
      <c r="A716" s="336" t="str">
        <f>IF(B716&lt;&gt;"",IF(AND(B716='IN-TC'!$S$4,OR(TH!N716="1111",TH!O716="1111")),TH!D716,""),"")</f>
        <v/>
      </c>
      <c r="B716" s="63">
        <f t="shared" si="161"/>
        <v>1</v>
      </c>
      <c r="C716" s="64">
        <v>42373</v>
      </c>
      <c r="D716" s="64" t="s">
        <v>874</v>
      </c>
      <c r="E716" s="64">
        <v>42373</v>
      </c>
      <c r="F716" s="67" t="s">
        <v>755</v>
      </c>
      <c r="G716" s="67" t="s">
        <v>918</v>
      </c>
      <c r="H716" s="74" t="s">
        <v>763</v>
      </c>
      <c r="I716" s="439"/>
      <c r="J716" s="439"/>
      <c r="K716" s="430"/>
      <c r="L716" s="439"/>
      <c r="M716" s="65">
        <v>2200000000</v>
      </c>
      <c r="N716" s="66" t="s">
        <v>63</v>
      </c>
      <c r="O716" s="66" t="s">
        <v>26</v>
      </c>
      <c r="P716" s="84" t="str">
        <f>IF(AND('331-CT'!$E$7=TH!H716,OR(N716="331",O716="331")),"x","")</f>
        <v/>
      </c>
      <c r="Q716" s="84" t="str">
        <f>IF(AND(B716='111'!$L$11,OR($N716=$Q$7,$O716=$Q$7)),"x","")</f>
        <v>x</v>
      </c>
      <c r="R716" s="84" t="str">
        <f>IF(AND($N716=$Q$7,$B716&lt;'111'!$L$11),"x","")</f>
        <v/>
      </c>
      <c r="S716" s="84" t="str">
        <f>IF(AND($O716=$Q$7,$B716&lt;'111'!$L$11),"x","")</f>
        <v/>
      </c>
      <c r="T716" s="84" t="str">
        <f>IF(ISERROR(FIND('112'!$M$9,G716,1)),"",IF((AND(FIND('112'!$M$9,G716,1)&gt;=1,B716='112'!$K$9,OR($N716='112'!$I$6,$O716='112'!$I$6))),"x",""))</f>
        <v/>
      </c>
      <c r="U716" s="84" t="str">
        <f>IF(ISERROR(FIND('112'!$M$9,G716,1)),"",IF((AND(LEFT(G716,2)=LEFT('112'!$M$9,2),B716&lt;'112'!$K$9,$N716='112'!$I$6)),"x",""))</f>
        <v/>
      </c>
      <c r="V716" s="84" t="str">
        <f>IF(ISERROR(FIND('112'!$M$9,G716,1)),"",IF((AND(RIGHT(G716,2)=RIGHT('112'!$M$9,2),B716&lt;'112'!$K$9,$O716='112'!$I$6)),"x",""))</f>
        <v/>
      </c>
      <c r="W716" s="84" t="str">
        <f>IF(AND('341-CT'!$H$9=H716,OR(LEFT(N716,3)=$W$7,LEFT(O716,3)=$W$7)),"x","")</f>
        <v/>
      </c>
      <c r="X716" s="84" t="str">
        <f>IF(OR(TH!N716=TH!$X$7,O716=TH!$X$7),"x","")</f>
        <v/>
      </c>
      <c r="Y716" s="84" t="str">
        <f>IF(AND(OR(N716="131",O716="131"),H716='131-CT'!$H$9),"x","")</f>
        <v/>
      </c>
      <c r="Z716" s="84"/>
      <c r="AA716" s="84" t="str">
        <f>IF(AND(MONTH(E716)='IN-NX'!$J$5,'IN-NX'!$D$7=D716),"x","")</f>
        <v/>
      </c>
      <c r="AB716" s="84" t="str">
        <f>IF(AND(OR(LEFT(TH!N716,2)="15",LEFT(TH!O716,2)="15"),LEFT(TH!O716,3)&lt;&gt;"111",'152-CT'!$J$8=TH!F716),"x","")</f>
        <v/>
      </c>
      <c r="AC716" s="84" t="str">
        <f>IF(AND(OR(LEFT(TH!N716,2)="15",LEFT(TH!O716,2)="15"),TK!$E$7=TH!F716),"x","")</f>
        <v/>
      </c>
      <c r="AD716" s="84" t="str">
        <f>IF(AND(N716="1521",MONTH(C716)='BK-NL'!$M$11),"x","")</f>
        <v/>
      </c>
    </row>
    <row r="717" spans="1:31" s="1146" customFormat="1" ht="15.75" hidden="1" customHeight="1">
      <c r="A717" s="336" t="str">
        <f>IF(B717&lt;&gt;"",IF(AND(B717='IN-TC'!$S$4,OR(TH!N717="1111",TH!O717="1111")),TH!D717,""),"")</f>
        <v/>
      </c>
      <c r="B717" s="63">
        <f t="shared" si="161"/>
        <v>1</v>
      </c>
      <c r="C717" s="64">
        <v>42373</v>
      </c>
      <c r="D717" s="64" t="s">
        <v>875</v>
      </c>
      <c r="E717" s="64">
        <v>42373</v>
      </c>
      <c r="F717" s="67" t="s">
        <v>774</v>
      </c>
      <c r="G717" s="982" t="s">
        <v>809</v>
      </c>
      <c r="H717" s="73" t="s">
        <v>810</v>
      </c>
      <c r="I717" s="439"/>
      <c r="J717" s="439"/>
      <c r="K717" s="430"/>
      <c r="L717" s="439"/>
      <c r="M717" s="65">
        <v>16650000</v>
      </c>
      <c r="N717" s="66" t="s">
        <v>162</v>
      </c>
      <c r="O717" s="66" t="s">
        <v>63</v>
      </c>
      <c r="P717" s="84" t="str">
        <f>IF(AND('331-CT'!$E$7=TH!H717,OR(N717="331",O717="331")),"x","")</f>
        <v/>
      </c>
      <c r="Q717" s="84" t="str">
        <f>IF(AND(B717='111'!$L$11,OR($N717=$Q$7,$O717=$Q$7)),"x","")</f>
        <v>x</v>
      </c>
      <c r="R717" s="84" t="str">
        <f>IF(AND($N717=$Q$7,$B717&lt;'111'!$L$11),"x","")</f>
        <v/>
      </c>
      <c r="S717" s="84" t="str">
        <f>IF(AND($O717=$Q$7,$B717&lt;'111'!$L$11),"x","")</f>
        <v/>
      </c>
      <c r="T717" s="84" t="str">
        <f>IF(ISERROR(FIND('112'!$M$9,G717,1)),"",IF((AND(FIND('112'!$M$9,G717,1)&gt;=1,B717='112'!$K$9,OR($N717='112'!$I$6,$O717='112'!$I$6))),"x",""))</f>
        <v/>
      </c>
      <c r="U717" s="84" t="str">
        <f>IF(ISERROR(FIND('112'!$M$9,G717,1)),"",IF((AND(LEFT(G717,2)=LEFT('112'!$M$9,2),B717&lt;'112'!$K$9,$N717='112'!$I$6)),"x",""))</f>
        <v/>
      </c>
      <c r="V717" s="84" t="str">
        <f>IF(ISERROR(FIND('112'!$M$9,G717,1)),"",IF((AND(RIGHT(G717,2)=RIGHT('112'!$M$9,2),B717&lt;'112'!$K$9,$O717='112'!$I$6)),"x",""))</f>
        <v/>
      </c>
      <c r="W717" s="84" t="str">
        <f>IF(AND('341-CT'!$H$9=H717,OR(LEFT(N717,3)=$W$7,LEFT(O717,3)=$W$7)),"x","")</f>
        <v/>
      </c>
      <c r="X717" s="84" t="str">
        <f>IF(OR(TH!N717=TH!$X$7,O717=TH!$X$7),"x","")</f>
        <v/>
      </c>
      <c r="Y717" s="84" t="str">
        <f>IF(AND(OR(N717="131",O717="131"),H717='131-CT'!$H$9),"x","")</f>
        <v/>
      </c>
      <c r="Z717" s="84"/>
      <c r="AA717" s="84" t="str">
        <f>IF(AND(MONTH(E717)='IN-NX'!$J$5,'IN-NX'!$D$7=D717),"x","")</f>
        <v/>
      </c>
      <c r="AB717" s="84" t="str">
        <f>IF(AND(OR(LEFT(TH!N717,2)="15",LEFT(TH!O717,2)="15"),LEFT(TH!O717,3)&lt;&gt;"111",'152-CT'!$J$8=TH!F717),"x","")</f>
        <v/>
      </c>
      <c r="AC717" s="84" t="str">
        <f>IF(AND(OR(LEFT(TH!N717,2)="15",LEFT(TH!O717,2)="15"),TK!$E$7=TH!F717),"x","")</f>
        <v/>
      </c>
      <c r="AD717" s="84" t="str">
        <f>IF(AND(N717="1521",MONTH(C717)='BK-NL'!$M$11),"x","")</f>
        <v/>
      </c>
    </row>
    <row r="718" spans="1:31" s="1146" customFormat="1" ht="15.75" hidden="1" customHeight="1">
      <c r="A718" s="336" t="str">
        <f>IF(B718&lt;&gt;"",IF(AND(B718='IN-TC'!$S$4,OR(TH!N718="1111",TH!O718="1111")),TH!D718,""),"")</f>
        <v/>
      </c>
      <c r="B718" s="63">
        <f t="shared" si="161"/>
        <v>1</v>
      </c>
      <c r="C718" s="64">
        <v>42373</v>
      </c>
      <c r="D718" s="64" t="s">
        <v>875</v>
      </c>
      <c r="E718" s="64">
        <v>42373</v>
      </c>
      <c r="F718" s="67" t="s">
        <v>775</v>
      </c>
      <c r="G718" s="984" t="s">
        <v>809</v>
      </c>
      <c r="H718" s="344" t="s">
        <v>810</v>
      </c>
      <c r="I718" s="441"/>
      <c r="J718" s="441"/>
      <c r="K718" s="432"/>
      <c r="L718" s="441"/>
      <c r="M718" s="65">
        <v>1665000</v>
      </c>
      <c r="N718" s="66" t="s">
        <v>9</v>
      </c>
      <c r="O718" s="66" t="s">
        <v>63</v>
      </c>
      <c r="P718" s="84" t="str">
        <f>IF(AND('331-CT'!$E$7=TH!H718,OR(N718="331",O718="331")),"x","")</f>
        <v/>
      </c>
      <c r="Q718" s="84" t="str">
        <f>IF(AND(B718='111'!$L$11,OR($N718=$Q$7,$O718=$Q$7)),"x","")</f>
        <v>x</v>
      </c>
      <c r="R718" s="84" t="str">
        <f>IF(AND($N718=$Q$7,$B718&lt;'111'!$L$11),"x","")</f>
        <v/>
      </c>
      <c r="S718" s="84" t="str">
        <f>IF(AND($O718=$Q$7,$B718&lt;'111'!$L$11),"x","")</f>
        <v/>
      </c>
      <c r="T718" s="84" t="str">
        <f>IF(ISERROR(FIND('112'!$M$9,G718,1)),"",IF((AND(FIND('112'!$M$9,G718,1)&gt;=1,B718='112'!$K$9,OR($N718='112'!$I$6,$O718='112'!$I$6))),"x",""))</f>
        <v/>
      </c>
      <c r="U718" s="84" t="str">
        <f>IF(ISERROR(FIND('112'!$M$9,G718,1)),"",IF((AND(LEFT(G718,2)=LEFT('112'!$M$9,2),B718&lt;'112'!$K$9,$N718='112'!$I$6)),"x",""))</f>
        <v/>
      </c>
      <c r="V718" s="84" t="str">
        <f>IF(ISERROR(FIND('112'!$M$9,G718,1)),"",IF((AND(RIGHT(G718,2)=RIGHT('112'!$M$9,2),B718&lt;'112'!$K$9,$O718='112'!$I$6)),"x",""))</f>
        <v/>
      </c>
      <c r="W718" s="84" t="str">
        <f>IF(AND('341-CT'!$H$9=H718,OR(LEFT(N718,3)=$W$7,LEFT(O718,3)=$W$7)),"x","")</f>
        <v/>
      </c>
      <c r="X718" s="84" t="str">
        <f>IF(OR(TH!N718=TH!$X$7,O718=TH!$X$7),"x","")</f>
        <v/>
      </c>
      <c r="Y718" s="84" t="str">
        <f>IF(AND(OR(N718="131",O718="131"),H718='131-CT'!$H$9),"x","")</f>
        <v/>
      </c>
      <c r="Z718" s="84"/>
      <c r="AA718" s="84" t="str">
        <f>IF(AND(MONTH(E718)='IN-NX'!$J$5,'IN-NX'!$D$7=D718),"x","")</f>
        <v/>
      </c>
      <c r="AB718" s="84" t="str">
        <f>IF(AND(OR(LEFT(TH!N718,2)="15",LEFT(TH!O718,2)="15"),LEFT(TH!O718,3)&lt;&gt;"111",'152-CT'!$J$8=TH!F718),"x","")</f>
        <v/>
      </c>
      <c r="AC718" s="84" t="str">
        <f>IF(AND(OR(LEFT(TH!N718,2)="15",LEFT(TH!O718,2)="15"),TK!$E$7=TH!F718),"x","")</f>
        <v/>
      </c>
      <c r="AD718" s="84" t="str">
        <f>IF(AND(N718="1521",MONTH(C718)='BK-NL'!$M$11),"x","")</f>
        <v/>
      </c>
    </row>
    <row r="719" spans="1:31" s="1146" customFormat="1" ht="15.75" hidden="1" customHeight="1">
      <c r="A719" s="336" t="str">
        <f>IF(B719&lt;&gt;"",IF(AND(B719='IN-TC'!$S$4,OR(TH!N719="1111",TH!O719="1111")),TH!D719,""),"")</f>
        <v/>
      </c>
      <c r="B719" s="63">
        <f t="shared" si="161"/>
        <v>1</v>
      </c>
      <c r="C719" s="64">
        <v>42373</v>
      </c>
      <c r="D719" s="64" t="s">
        <v>876</v>
      </c>
      <c r="E719" s="64">
        <v>42336</v>
      </c>
      <c r="F719" s="67" t="s">
        <v>769</v>
      </c>
      <c r="G719" s="984" t="s">
        <v>811</v>
      </c>
      <c r="H719" s="344" t="s">
        <v>806</v>
      </c>
      <c r="I719" s="441"/>
      <c r="J719" s="441"/>
      <c r="K719" s="432"/>
      <c r="L719" s="441"/>
      <c r="M719" s="65">
        <v>12000000</v>
      </c>
      <c r="N719" s="66" t="s">
        <v>101</v>
      </c>
      <c r="O719" s="66" t="s">
        <v>63</v>
      </c>
      <c r="P719" s="84" t="str">
        <f>IF(AND('331-CT'!$E$7=TH!H719,OR(N719="331",O719="331")),"x","")</f>
        <v/>
      </c>
      <c r="Q719" s="84" t="str">
        <f>IF(AND(B719='111'!$L$11,OR($N719=$Q$7,$O719=$Q$7)),"x","")</f>
        <v>x</v>
      </c>
      <c r="R719" s="84" t="str">
        <f>IF(AND($N719=$Q$7,$B719&lt;'111'!$L$11),"x","")</f>
        <v/>
      </c>
      <c r="S719" s="84" t="str">
        <f>IF(AND($O719=$Q$7,$B719&lt;'111'!$L$11),"x","")</f>
        <v/>
      </c>
      <c r="T719" s="84" t="str">
        <f>IF(ISERROR(FIND('112'!$M$9,G719,1)),"",IF((AND(FIND('112'!$M$9,G719,1)&gt;=1,B719='112'!$K$9,OR($N719='112'!$I$6,$O719='112'!$I$6))),"x",""))</f>
        <v/>
      </c>
      <c r="U719" s="84" t="str">
        <f>IF(ISERROR(FIND('112'!$M$9,G719,1)),"",IF((AND(LEFT(G719,2)=LEFT('112'!$M$9,2),B719&lt;'112'!$K$9,$N719='112'!$I$6)),"x",""))</f>
        <v/>
      </c>
      <c r="V719" s="84" t="str">
        <f>IF(ISERROR(FIND('112'!$M$9,G719,1)),"",IF((AND(RIGHT(G719,2)=RIGHT('112'!$M$9,2),B719&lt;'112'!$K$9,$O719='112'!$I$6)),"x",""))</f>
        <v/>
      </c>
      <c r="W719" s="84" t="str">
        <f>IF(AND('341-CT'!$H$9=H719,OR(LEFT(N719,3)=$W$7,LEFT(O719,3)=$W$7)),"x","")</f>
        <v/>
      </c>
      <c r="X719" s="84" t="str">
        <f>IF(OR(TH!N719=TH!$X$7,O719=TH!$X$7),"x","")</f>
        <v/>
      </c>
      <c r="Y719" s="84" t="str">
        <f>IF(AND(OR(N719="131",O719="131"),H719='131-CT'!$H$9),"x","")</f>
        <v/>
      </c>
      <c r="Z719" s="84"/>
      <c r="AA719" s="84" t="str">
        <f>IF(AND(MONTH(E719)='IN-NX'!$J$5,'IN-NX'!$D$7=D719),"x","")</f>
        <v/>
      </c>
      <c r="AB719" s="84" t="str">
        <f>IF(AND(OR(LEFT(TH!N719,2)="15",LEFT(TH!O719,2)="15"),LEFT(TH!O719,3)&lt;&gt;"111",'152-CT'!$J$8=TH!F719),"x","")</f>
        <v/>
      </c>
      <c r="AC719" s="84" t="str">
        <f>IF(AND(OR(LEFT(TH!N719,2)="15",LEFT(TH!O719,2)="15"),TK!$E$7=TH!F719),"x","")</f>
        <v/>
      </c>
      <c r="AD719" s="84" t="str">
        <f>IF(AND(N719="1521",MONTH(C719)='BK-NL'!$M$11),"x","")</f>
        <v/>
      </c>
    </row>
    <row r="720" spans="1:31" s="1146" customFormat="1" ht="15.75" hidden="1" customHeight="1">
      <c r="A720" s="336" t="str">
        <f>IF(B720&lt;&gt;"",IF(AND(B720='IN-TC'!$S$4,OR(TH!N720="1111",TH!O720="1111")),TH!D720,""),"")</f>
        <v/>
      </c>
      <c r="B720" s="63">
        <f t="shared" si="161"/>
        <v>1</v>
      </c>
      <c r="C720" s="64">
        <v>42373</v>
      </c>
      <c r="D720" s="64" t="s">
        <v>876</v>
      </c>
      <c r="E720" s="64">
        <v>42336</v>
      </c>
      <c r="F720" s="67" t="s">
        <v>770</v>
      </c>
      <c r="G720" s="67" t="s">
        <v>811</v>
      </c>
      <c r="H720" s="73" t="s">
        <v>806</v>
      </c>
      <c r="I720" s="439"/>
      <c r="J720" s="439"/>
      <c r="K720" s="430"/>
      <c r="L720" s="439"/>
      <c r="M720" s="65">
        <v>1200000</v>
      </c>
      <c r="N720" s="66" t="s">
        <v>9</v>
      </c>
      <c r="O720" s="66" t="s">
        <v>63</v>
      </c>
      <c r="P720" s="84" t="str">
        <f>IF(AND('331-CT'!$E$7=TH!H720,OR(N720="331",O720="331")),"x","")</f>
        <v/>
      </c>
      <c r="Q720" s="84" t="str">
        <f>IF(AND(B720='111'!$L$11,OR($N720=$Q$7,$O720=$Q$7)),"x","")</f>
        <v>x</v>
      </c>
      <c r="R720" s="84" t="str">
        <f>IF(AND($N720=$Q$7,$B720&lt;'111'!$L$11),"x","")</f>
        <v/>
      </c>
      <c r="S720" s="84" t="str">
        <f>IF(AND($O720=$Q$7,$B720&lt;'111'!$L$11),"x","")</f>
        <v/>
      </c>
      <c r="T720" s="84" t="str">
        <f>IF(ISERROR(FIND('112'!$M$9,G720,1)),"",IF((AND(FIND('112'!$M$9,G720,1)&gt;=1,B720='112'!$K$9,OR($N720='112'!$I$6,$O720='112'!$I$6))),"x",""))</f>
        <v/>
      </c>
      <c r="U720" s="84" t="str">
        <f>IF(ISERROR(FIND('112'!$M$9,G720,1)),"",IF((AND(LEFT(G720,2)=LEFT('112'!$M$9,2),B720&lt;'112'!$K$9,$N720='112'!$I$6)),"x",""))</f>
        <v/>
      </c>
      <c r="V720" s="84" t="str">
        <f>IF(ISERROR(FIND('112'!$M$9,G720,1)),"",IF((AND(RIGHT(G720,2)=RIGHT('112'!$M$9,2),B720&lt;'112'!$K$9,$O720='112'!$I$6)),"x",""))</f>
        <v/>
      </c>
      <c r="W720" s="84" t="str">
        <f>IF(AND('341-CT'!$H$9=H720,OR(LEFT(N720,3)=$W$7,LEFT(O720,3)=$W$7)),"x","")</f>
        <v/>
      </c>
      <c r="X720" s="84" t="str">
        <f>IF(OR(TH!N720=TH!$X$7,O720=TH!$X$7),"x","")</f>
        <v/>
      </c>
      <c r="Y720" s="84" t="str">
        <f>IF(AND(OR(N720="131",O720="131"),H720='131-CT'!$H$9),"x","")</f>
        <v/>
      </c>
      <c r="Z720" s="84"/>
      <c r="AA720" s="84" t="str">
        <f>IF(AND(MONTH(E720)='IN-NX'!$J$5,'IN-NX'!$D$7=D720),"x","")</f>
        <v/>
      </c>
      <c r="AB720" s="84" t="str">
        <f>IF(AND(OR(LEFT(TH!N720,2)="15",LEFT(TH!O720,2)="15"),LEFT(TH!O720,3)&lt;&gt;"111",'152-CT'!$J$8=TH!F720),"x","")</f>
        <v/>
      </c>
      <c r="AC720" s="84" t="str">
        <f>IF(AND(OR(LEFT(TH!N720,2)="15",LEFT(TH!O720,2)="15"),TK!$E$7=TH!F720),"x","")</f>
        <v/>
      </c>
      <c r="AD720" s="84" t="str">
        <f>IF(AND(N720="1521",MONTH(C720)='BK-NL'!$M$11),"x","")</f>
        <v/>
      </c>
    </row>
    <row r="721" spans="1:31" s="1146" customFormat="1" ht="15.75" hidden="1" customHeight="1">
      <c r="A721" s="336" t="str">
        <f>IF(B721&lt;&gt;"",IF(AND(B721='IN-TC'!$S$4,OR(TH!N721="1111",TH!O721="1111")),TH!D721,""),"")</f>
        <v/>
      </c>
      <c r="B721" s="63">
        <f t="shared" si="161"/>
        <v>1</v>
      </c>
      <c r="C721" s="64">
        <v>42373</v>
      </c>
      <c r="D721" s="64" t="s">
        <v>877</v>
      </c>
      <c r="E721" s="64">
        <v>42373</v>
      </c>
      <c r="F721" s="67" t="s">
        <v>776</v>
      </c>
      <c r="G721" s="982" t="s">
        <v>812</v>
      </c>
      <c r="H721" s="73" t="s">
        <v>808</v>
      </c>
      <c r="I721" s="439"/>
      <c r="J721" s="439"/>
      <c r="K721" s="430"/>
      <c r="L721" s="439"/>
      <c r="M721" s="65">
        <v>684000</v>
      </c>
      <c r="N721" s="66" t="s">
        <v>101</v>
      </c>
      <c r="O721" s="66" t="s">
        <v>63</v>
      </c>
      <c r="P721" s="84" t="str">
        <f>IF(AND('331-CT'!$E$7=TH!H721,OR(N721="331",O721="331")),"x","")</f>
        <v/>
      </c>
      <c r="Q721" s="84" t="str">
        <f>IF(AND(B721='111'!$L$11,OR($N721=$Q$7,$O721=$Q$7)),"x","")</f>
        <v>x</v>
      </c>
      <c r="R721" s="84" t="str">
        <f>IF(AND($N721=$Q$7,$B721&lt;'111'!$L$11),"x","")</f>
        <v/>
      </c>
      <c r="S721" s="84" t="str">
        <f>IF(AND($O721=$Q$7,$B721&lt;'111'!$L$11),"x","")</f>
        <v/>
      </c>
      <c r="T721" s="84" t="str">
        <f>IF(ISERROR(FIND('112'!$M$9,G721,1)),"",IF((AND(FIND('112'!$M$9,G721,1)&gt;=1,B721='112'!$K$9,OR($N721='112'!$I$6,$O721='112'!$I$6))),"x",""))</f>
        <v/>
      </c>
      <c r="U721" s="84" t="str">
        <f>IF(ISERROR(FIND('112'!$M$9,G721,1)),"",IF((AND(LEFT(G721,2)=LEFT('112'!$M$9,2),B721&lt;'112'!$K$9,$N721='112'!$I$6)),"x",""))</f>
        <v/>
      </c>
      <c r="V721" s="84" t="str">
        <f>IF(ISERROR(FIND('112'!$M$9,G721,1)),"",IF((AND(RIGHT(G721,2)=RIGHT('112'!$M$9,2),B721&lt;'112'!$K$9,$O721='112'!$I$6)),"x",""))</f>
        <v/>
      </c>
      <c r="W721" s="84" t="str">
        <f>IF(AND('341-CT'!$H$9=H721,OR(LEFT(N721,3)=$W$7,LEFT(O721,3)=$W$7)),"x","")</f>
        <v/>
      </c>
      <c r="X721" s="84" t="str">
        <f>IF(OR(TH!N721=TH!$X$7,O721=TH!$X$7),"x","")</f>
        <v/>
      </c>
      <c r="Y721" s="84" t="str">
        <f>IF(AND(OR(N721="131",O721="131"),H721='131-CT'!$H$9),"x","")</f>
        <v/>
      </c>
      <c r="Z721" s="84"/>
      <c r="AA721" s="84" t="str">
        <f>IF(AND(MONTH(E721)='IN-NX'!$J$5,'IN-NX'!$D$7=D721),"x","")</f>
        <v/>
      </c>
      <c r="AB721" s="84" t="str">
        <f>IF(AND(OR(LEFT(TH!N721,2)="15",LEFT(TH!O721,2)="15"),LEFT(TH!O721,3)&lt;&gt;"111",'152-CT'!$J$8=TH!F721),"x","")</f>
        <v/>
      </c>
      <c r="AC721" s="84" t="str">
        <f>IF(AND(OR(LEFT(TH!N721,2)="15",LEFT(TH!O721,2)="15"),TK!$E$7=TH!F721),"x","")</f>
        <v/>
      </c>
      <c r="AD721" s="84" t="str">
        <f>IF(AND(N721="1521",MONTH(C721)='BK-NL'!$M$11),"x","")</f>
        <v/>
      </c>
    </row>
    <row r="722" spans="1:31" s="1146" customFormat="1" ht="15.75" hidden="1" customHeight="1">
      <c r="A722" s="336" t="str">
        <f>IF(B722&lt;&gt;"",IF(AND(B722='IN-TC'!$S$4,OR(TH!N722="1111",TH!O722="1111")),TH!D722,""),"")</f>
        <v/>
      </c>
      <c r="B722" s="63">
        <f t="shared" si="161"/>
        <v>1</v>
      </c>
      <c r="C722" s="64">
        <v>42373</v>
      </c>
      <c r="D722" s="64" t="s">
        <v>877</v>
      </c>
      <c r="E722" s="64">
        <v>42373</v>
      </c>
      <c r="F722" s="67" t="s">
        <v>777</v>
      </c>
      <c r="G722" s="982" t="s">
        <v>812</v>
      </c>
      <c r="H722" s="73" t="s">
        <v>808</v>
      </c>
      <c r="I722" s="439"/>
      <c r="J722" s="439"/>
      <c r="K722" s="430"/>
      <c r="L722" s="439"/>
      <c r="M722" s="65">
        <v>68400</v>
      </c>
      <c r="N722" s="66" t="s">
        <v>9</v>
      </c>
      <c r="O722" s="66" t="s">
        <v>63</v>
      </c>
      <c r="P722" s="84" t="str">
        <f>IF(AND('331-CT'!$E$7=TH!H722,OR(N722="331",O722="331")),"x","")</f>
        <v/>
      </c>
      <c r="Q722" s="84" t="str">
        <f>IF(AND(B722='111'!$L$11,OR($N722=$Q$7,$O722=$Q$7)),"x","")</f>
        <v>x</v>
      </c>
      <c r="R722" s="84" t="str">
        <f>IF(AND($N722=$Q$7,$B722&lt;'111'!$L$11),"x","")</f>
        <v/>
      </c>
      <c r="S722" s="84" t="str">
        <f>IF(AND($O722=$Q$7,$B722&lt;'111'!$L$11),"x","")</f>
        <v/>
      </c>
      <c r="T722" s="84" t="str">
        <f>IF(ISERROR(FIND('112'!$M$9,G722,1)),"",IF((AND(FIND('112'!$M$9,G722,1)&gt;=1,B722='112'!$K$9,OR($N722='112'!$I$6,$O722='112'!$I$6))),"x",""))</f>
        <v/>
      </c>
      <c r="U722" s="84" t="str">
        <f>IF(ISERROR(FIND('112'!$M$9,G722,1)),"",IF((AND(LEFT(G722,2)=LEFT('112'!$M$9,2),B722&lt;'112'!$K$9,$N722='112'!$I$6)),"x",""))</f>
        <v/>
      </c>
      <c r="V722" s="84" t="str">
        <f>IF(ISERROR(FIND('112'!$M$9,G722,1)),"",IF((AND(RIGHT(G722,2)=RIGHT('112'!$M$9,2),B722&lt;'112'!$K$9,$O722='112'!$I$6)),"x",""))</f>
        <v/>
      </c>
      <c r="W722" s="84" t="str">
        <f>IF(AND('341-CT'!$H$9=H722,OR(LEFT(N722,3)=$W$7,LEFT(O722,3)=$W$7)),"x","")</f>
        <v/>
      </c>
      <c r="X722" s="84" t="str">
        <f>IF(OR(TH!N722=TH!$X$7,O722=TH!$X$7),"x","")</f>
        <v/>
      </c>
      <c r="Y722" s="84" t="str">
        <f>IF(AND(OR(N722="131",O722="131"),H722='131-CT'!$H$9),"x","")</f>
        <v/>
      </c>
      <c r="Z722" s="84"/>
      <c r="AA722" s="84" t="str">
        <f>IF(AND(MONTH(E722)='IN-NX'!$J$5,'IN-NX'!$D$7=D722),"x","")</f>
        <v/>
      </c>
      <c r="AB722" s="84" t="str">
        <f>IF(AND(OR(LEFT(TH!N722,2)="15",LEFT(TH!O722,2)="15"),LEFT(TH!O722,3)&lt;&gt;"111",'152-CT'!$J$8=TH!F722),"x","")</f>
        <v/>
      </c>
      <c r="AC722" s="84" t="str">
        <f>IF(AND(OR(LEFT(TH!N722,2)="15",LEFT(TH!O722,2)="15"),TK!$E$7=TH!F722),"x","")</f>
        <v/>
      </c>
      <c r="AD722" s="84" t="str">
        <f>IF(AND(N722="1521",MONTH(C722)='BK-NL'!$M$11),"x","")</f>
        <v/>
      </c>
    </row>
    <row r="723" spans="1:31" s="1146" customFormat="1" ht="15.75" hidden="1" customHeight="1">
      <c r="A723" s="336" t="str">
        <f>IF(B723&lt;&gt;"",IF(AND(B723='IN-TC'!$S$4,OR(TH!N723="1111",TH!O723="1111")),TH!D723,""),"")</f>
        <v/>
      </c>
      <c r="B723" s="63">
        <f t="shared" si="161"/>
        <v>1</v>
      </c>
      <c r="C723" s="64">
        <v>42373</v>
      </c>
      <c r="D723" s="64" t="s">
        <v>878</v>
      </c>
      <c r="E723" s="64">
        <v>42373</v>
      </c>
      <c r="F723" s="67" t="s">
        <v>776</v>
      </c>
      <c r="G723" s="982" t="s">
        <v>813</v>
      </c>
      <c r="H723" s="73" t="s">
        <v>814</v>
      </c>
      <c r="I723" s="439"/>
      <c r="J723" s="439"/>
      <c r="K723" s="430"/>
      <c r="L723" s="439"/>
      <c r="M723" s="65">
        <v>29818</v>
      </c>
      <c r="N723" s="66" t="s">
        <v>101</v>
      </c>
      <c r="O723" s="66" t="s">
        <v>63</v>
      </c>
      <c r="P723" s="84" t="str">
        <f>IF(AND('331-CT'!$E$7=TH!H723,OR(N723="331",O723="331")),"x","")</f>
        <v/>
      </c>
      <c r="Q723" s="84" t="str">
        <f>IF(AND(B723='111'!$L$11,OR($N723=$Q$7,$O723=$Q$7)),"x","")</f>
        <v>x</v>
      </c>
      <c r="R723" s="84" t="str">
        <f>IF(AND($N723=$Q$7,$B723&lt;'111'!$L$11),"x","")</f>
        <v/>
      </c>
      <c r="S723" s="84" t="str">
        <f>IF(AND($O723=$Q$7,$B723&lt;'111'!$L$11),"x","")</f>
        <v/>
      </c>
      <c r="T723" s="84" t="str">
        <f>IF(ISERROR(FIND('112'!$M$9,G723,1)),"",IF((AND(FIND('112'!$M$9,G723,1)&gt;=1,B723='112'!$K$9,OR($N723='112'!$I$6,$O723='112'!$I$6))),"x",""))</f>
        <v/>
      </c>
      <c r="U723" s="84" t="str">
        <f>IF(ISERROR(FIND('112'!$M$9,G723,1)),"",IF((AND(LEFT(G723,2)=LEFT('112'!$M$9,2),B723&lt;'112'!$K$9,$N723='112'!$I$6)),"x",""))</f>
        <v/>
      </c>
      <c r="V723" s="84" t="str">
        <f>IF(ISERROR(FIND('112'!$M$9,G723,1)),"",IF((AND(RIGHT(G723,2)=RIGHT('112'!$M$9,2),B723&lt;'112'!$K$9,$O723='112'!$I$6)),"x",""))</f>
        <v/>
      </c>
      <c r="W723" s="84" t="str">
        <f>IF(AND('341-CT'!$H$9=H723,OR(LEFT(N723,3)=$W$7,LEFT(O723,3)=$W$7)),"x","")</f>
        <v/>
      </c>
      <c r="X723" s="84" t="str">
        <f>IF(OR(TH!N723=TH!$X$7,O723=TH!$X$7),"x","")</f>
        <v/>
      </c>
      <c r="Y723" s="84" t="str">
        <f>IF(AND(OR(N723="131",O723="131"),H723='131-CT'!$H$9),"x","")</f>
        <v/>
      </c>
      <c r="Z723" s="84"/>
      <c r="AA723" s="84" t="str">
        <f>IF(AND(MONTH(E723)='IN-NX'!$J$5,'IN-NX'!$D$7=D723),"x","")</f>
        <v/>
      </c>
      <c r="AB723" s="84" t="str">
        <f>IF(AND(OR(LEFT(TH!N723,2)="15",LEFT(TH!O723,2)="15"),LEFT(TH!O723,3)&lt;&gt;"111",'152-CT'!$J$8=TH!F723),"x","")</f>
        <v/>
      </c>
      <c r="AC723" s="84" t="str">
        <f>IF(AND(OR(LEFT(TH!N723,2)="15",LEFT(TH!O723,2)="15"),TK!$E$7=TH!F723),"x","")</f>
        <v/>
      </c>
      <c r="AD723" s="84" t="str">
        <f>IF(AND(N723="1521",MONTH(C723)='BK-NL'!$M$11),"x","")</f>
        <v/>
      </c>
    </row>
    <row r="724" spans="1:31" s="1146" customFormat="1" ht="15.75" hidden="1" customHeight="1">
      <c r="A724" s="336" t="str">
        <f>IF(B724&lt;&gt;"",IF(AND(B724='IN-TC'!$S$4,OR(TH!N724="1111",TH!O724="1111")),TH!D724,""),"")</f>
        <v/>
      </c>
      <c r="B724" s="63">
        <f t="shared" si="161"/>
        <v>1</v>
      </c>
      <c r="C724" s="64">
        <v>42373</v>
      </c>
      <c r="D724" s="64" t="s">
        <v>878</v>
      </c>
      <c r="E724" s="64">
        <v>42373</v>
      </c>
      <c r="F724" s="67" t="s">
        <v>777</v>
      </c>
      <c r="G724" s="982" t="s">
        <v>813</v>
      </c>
      <c r="H724" s="73" t="s">
        <v>814</v>
      </c>
      <c r="I724" s="439"/>
      <c r="J724" s="439"/>
      <c r="K724" s="430"/>
      <c r="L724" s="439"/>
      <c r="M724" s="65">
        <v>2982</v>
      </c>
      <c r="N724" s="66" t="s">
        <v>9</v>
      </c>
      <c r="O724" s="66" t="s">
        <v>63</v>
      </c>
      <c r="P724" s="84" t="str">
        <f>IF(AND('331-CT'!$E$7=TH!H724,OR(N724="331",O724="331")),"x","")</f>
        <v/>
      </c>
      <c r="Q724" s="84" t="str">
        <f>IF(AND(B724='111'!$L$11,OR($N724=$Q$7,$O724=$Q$7)),"x","")</f>
        <v>x</v>
      </c>
      <c r="R724" s="84" t="str">
        <f>IF(AND($N724=$Q$7,$B724&lt;'111'!$L$11),"x","")</f>
        <v/>
      </c>
      <c r="S724" s="84" t="str">
        <f>IF(AND($O724=$Q$7,$B724&lt;'111'!$L$11),"x","")</f>
        <v/>
      </c>
      <c r="T724" s="84" t="str">
        <f>IF(ISERROR(FIND('112'!$M$9,G724,1)),"",IF((AND(FIND('112'!$M$9,G724,1)&gt;=1,B724='112'!$K$9,OR($N724='112'!$I$6,$O724='112'!$I$6))),"x",""))</f>
        <v/>
      </c>
      <c r="U724" s="84" t="str">
        <f>IF(ISERROR(FIND('112'!$M$9,G724,1)),"",IF((AND(LEFT(G724,2)=LEFT('112'!$M$9,2),B724&lt;'112'!$K$9,$N724='112'!$I$6)),"x",""))</f>
        <v/>
      </c>
      <c r="V724" s="84" t="str">
        <f>IF(ISERROR(FIND('112'!$M$9,G724,1)),"",IF((AND(RIGHT(G724,2)=RIGHT('112'!$M$9,2),B724&lt;'112'!$K$9,$O724='112'!$I$6)),"x",""))</f>
        <v/>
      </c>
      <c r="W724" s="84" t="str">
        <f>IF(AND('341-CT'!$H$9=H724,OR(LEFT(N724,3)=$W$7,LEFT(O724,3)=$W$7)),"x","")</f>
        <v/>
      </c>
      <c r="X724" s="84" t="str">
        <f>IF(OR(TH!N724=TH!$X$7,O724=TH!$X$7),"x","")</f>
        <v/>
      </c>
      <c r="Y724" s="84" t="str">
        <f>IF(AND(OR(N724="131",O724="131"),H724='131-CT'!$H$9),"x","")</f>
        <v/>
      </c>
      <c r="Z724" s="84"/>
      <c r="AA724" s="84" t="str">
        <f>IF(AND(MONTH(E724)='IN-NX'!$J$5,'IN-NX'!$D$7=D724),"x","")</f>
        <v/>
      </c>
      <c r="AB724" s="84" t="str">
        <f>IF(AND(OR(LEFT(TH!N724,2)="15",LEFT(TH!O724,2)="15"),LEFT(TH!O724,3)&lt;&gt;"111",'152-CT'!$J$8=TH!F724),"x","")</f>
        <v/>
      </c>
      <c r="AC724" s="84" t="str">
        <f>IF(AND(OR(LEFT(TH!N724,2)="15",LEFT(TH!O724,2)="15"),TK!$E$7=TH!F724),"x","")</f>
        <v/>
      </c>
      <c r="AD724" s="84" t="str">
        <f>IF(AND(N724="1521",MONTH(C724)='BK-NL'!$M$11),"x","")</f>
        <v/>
      </c>
    </row>
    <row r="725" spans="1:31" s="341" customFormat="1" ht="15.75" hidden="1" customHeight="1">
      <c r="A725" s="336" t="str">
        <f>IF(B725&lt;&gt;"",IF(AND(B725='IN-TC'!$S$4,OR(TH!N725="1111",TH!O725="1111")),TH!D725,""),"")</f>
        <v/>
      </c>
      <c r="B725" s="63">
        <f t="shared" si="161"/>
        <v>1</v>
      </c>
      <c r="C725" s="64">
        <v>42374</v>
      </c>
      <c r="D725" s="64" t="s">
        <v>879</v>
      </c>
      <c r="E725" s="64">
        <v>42374</v>
      </c>
      <c r="F725" s="67" t="s">
        <v>778</v>
      </c>
      <c r="G725" s="67" t="s">
        <v>815</v>
      </c>
      <c r="H725" s="73" t="s">
        <v>810</v>
      </c>
      <c r="I725" s="439"/>
      <c r="J725" s="439"/>
      <c r="K725" s="430"/>
      <c r="L725" s="439"/>
      <c r="M725" s="65">
        <v>16890000</v>
      </c>
      <c r="N725" s="66" t="s">
        <v>162</v>
      </c>
      <c r="O725" s="66" t="s">
        <v>63</v>
      </c>
      <c r="P725" s="84" t="str">
        <f>IF(AND('331-CT'!$E$7=TH!H725,OR(N725="331",O725="331")),"x","")</f>
        <v/>
      </c>
      <c r="Q725" s="84" t="str">
        <f>IF(AND(B725='111'!$L$11,OR($N725=$Q$7,$O725=$Q$7)),"x","")</f>
        <v>x</v>
      </c>
      <c r="R725" s="84" t="str">
        <f>IF(AND($N725=$Q$7,$B725&lt;'111'!$L$11),"x","")</f>
        <v/>
      </c>
      <c r="S725" s="84" t="str">
        <f>IF(AND($O725=$Q$7,$B725&lt;'111'!$L$11),"x","")</f>
        <v/>
      </c>
      <c r="T725" s="84" t="str">
        <f>IF(ISERROR(FIND('112'!$M$9,G725,1)),"",IF((AND(FIND('112'!$M$9,G725,1)&gt;=1,B725='112'!$K$9,OR($N725='112'!$I$6,$O725='112'!$I$6))),"x",""))</f>
        <v/>
      </c>
      <c r="U725" s="84" t="str">
        <f>IF(ISERROR(FIND('112'!$M$9,G725,1)),"",IF((AND(LEFT(G725,2)=LEFT('112'!$M$9,2),B725&lt;'112'!$K$9,$N725='112'!$I$6)),"x",""))</f>
        <v/>
      </c>
      <c r="V725" s="84" t="str">
        <f>IF(ISERROR(FIND('112'!$M$9,G725,1)),"",IF((AND(RIGHT(G725,2)=RIGHT('112'!$M$9,2),B725&lt;'112'!$K$9,$O725='112'!$I$6)),"x",""))</f>
        <v/>
      </c>
      <c r="W725" s="84" t="str">
        <f>IF(AND('341-CT'!$H$9=H725,OR(LEFT(N725,3)=$W$7,LEFT(O725,3)=$W$7)),"x","")</f>
        <v/>
      </c>
      <c r="X725" s="84" t="str">
        <f>IF(OR(TH!N725=TH!$X$7,O725=TH!$X$7),"x","")</f>
        <v/>
      </c>
      <c r="Y725" s="84" t="str">
        <f>IF(AND(OR(N725="131",O725="131"),H725='131-CT'!$H$9),"x","")</f>
        <v/>
      </c>
      <c r="Z725" s="84"/>
      <c r="AA725" s="84" t="str">
        <f>IF(AND(MONTH(E725)='IN-NX'!$J$5,'IN-NX'!$D$7=D725),"x","")</f>
        <v/>
      </c>
      <c r="AB725" s="84" t="str">
        <f>IF(AND(OR(LEFT(TH!N725,2)="15",LEFT(TH!O725,2)="15"),LEFT(TH!O725,3)&lt;&gt;"111",'152-CT'!$J$8=TH!F725),"x","")</f>
        <v/>
      </c>
      <c r="AC725" s="84" t="str">
        <f>IF(AND(OR(LEFT(TH!N725,2)="15",LEFT(TH!O725,2)="15"),TK!$E$7=TH!F725),"x","")</f>
        <v/>
      </c>
      <c r="AD725" s="84" t="str">
        <f>IF(AND(N725="1521",MONTH(C725)='BK-NL'!$M$11),"x","")</f>
        <v/>
      </c>
    </row>
    <row r="726" spans="1:31" s="341" customFormat="1" ht="15.75" hidden="1" customHeight="1">
      <c r="A726" s="336" t="str">
        <f>IF(B726&lt;&gt;"",IF(AND(B726='IN-TC'!$S$4,OR(TH!N726="1111",TH!O726="1111")),TH!D726,""),"")</f>
        <v/>
      </c>
      <c r="B726" s="63">
        <f t="shared" si="161"/>
        <v>1</v>
      </c>
      <c r="C726" s="64">
        <v>42374</v>
      </c>
      <c r="D726" s="64" t="s">
        <v>879</v>
      </c>
      <c r="E726" s="64">
        <v>42374</v>
      </c>
      <c r="F726" s="67" t="s">
        <v>779</v>
      </c>
      <c r="G726" s="67" t="s">
        <v>815</v>
      </c>
      <c r="H726" s="346" t="s">
        <v>810</v>
      </c>
      <c r="I726" s="443"/>
      <c r="J726" s="443"/>
      <c r="K726" s="434"/>
      <c r="L726" s="443"/>
      <c r="M726" s="65">
        <v>1689000</v>
      </c>
      <c r="N726" s="66" t="s">
        <v>9</v>
      </c>
      <c r="O726" s="66" t="s">
        <v>63</v>
      </c>
      <c r="P726" s="84" t="str">
        <f>IF(AND('331-CT'!$E$7=TH!H726,OR(N726="331",O726="331")),"x","")</f>
        <v/>
      </c>
      <c r="Q726" s="84" t="str">
        <f>IF(AND(B726='111'!$L$11,OR($N726=$Q$7,$O726=$Q$7)),"x","")</f>
        <v>x</v>
      </c>
      <c r="R726" s="84" t="str">
        <f>IF(AND($N726=$Q$7,$B726&lt;'111'!$L$11),"x","")</f>
        <v/>
      </c>
      <c r="S726" s="84" t="str">
        <f>IF(AND($O726=$Q$7,$B726&lt;'111'!$L$11),"x","")</f>
        <v/>
      </c>
      <c r="T726" s="84" t="str">
        <f>IF(ISERROR(FIND('112'!$M$9,G726,1)),"",IF((AND(FIND('112'!$M$9,G726,1)&gt;=1,B726='112'!$K$9,OR($N726='112'!$I$6,$O726='112'!$I$6))),"x",""))</f>
        <v/>
      </c>
      <c r="U726" s="84" t="str">
        <f>IF(ISERROR(FIND('112'!$M$9,G726,1)),"",IF((AND(LEFT(G726,2)=LEFT('112'!$M$9,2),B726&lt;'112'!$K$9,$N726='112'!$I$6)),"x",""))</f>
        <v/>
      </c>
      <c r="V726" s="84" t="str">
        <f>IF(ISERROR(FIND('112'!$M$9,G726,1)),"",IF((AND(RIGHT(G726,2)=RIGHT('112'!$M$9,2),B726&lt;'112'!$K$9,$O726='112'!$I$6)),"x",""))</f>
        <v/>
      </c>
      <c r="W726" s="84" t="str">
        <f>IF(AND('341-CT'!$H$9=H726,OR(LEFT(N726,3)=$W$7,LEFT(O726,3)=$W$7)),"x","")</f>
        <v/>
      </c>
      <c r="X726" s="84" t="str">
        <f>IF(OR(TH!N726=TH!$X$7,O726=TH!$X$7),"x","")</f>
        <v/>
      </c>
      <c r="Y726" s="84" t="str">
        <f>IF(AND(OR(N726="131",O726="131"),H726='131-CT'!$H$9),"x","")</f>
        <v/>
      </c>
      <c r="Z726" s="84"/>
      <c r="AA726" s="84" t="str">
        <f>IF(AND(MONTH(E726)='IN-NX'!$J$5,'IN-NX'!$D$7=D726),"x","")</f>
        <v/>
      </c>
      <c r="AB726" s="84" t="str">
        <f>IF(AND(OR(LEFT(TH!N726,2)="15",LEFT(TH!O726,2)="15"),LEFT(TH!O726,3)&lt;&gt;"111",'152-CT'!$J$8=TH!F726),"x","")</f>
        <v/>
      </c>
      <c r="AC726" s="84" t="str">
        <f>IF(AND(OR(LEFT(TH!N726,2)="15",LEFT(TH!O726,2)="15"),TK!$E$7=TH!F726),"x","")</f>
        <v/>
      </c>
      <c r="AD726" s="84" t="str">
        <f>IF(AND(N726="1521",MONTH(C726)='BK-NL'!$M$11),"x","")</f>
        <v/>
      </c>
    </row>
    <row r="727" spans="1:31" s="341" customFormat="1" ht="15.75" hidden="1" customHeight="1">
      <c r="A727" s="336" t="str">
        <f>IF(B727&lt;&gt;"",IF(AND(B727='IN-TC'!$S$4,OR(TH!N727="1111",TH!O727="1111")),TH!D727,""),"")</f>
        <v/>
      </c>
      <c r="B727" s="63">
        <f t="shared" si="161"/>
        <v>1</v>
      </c>
      <c r="C727" s="64">
        <v>42374</v>
      </c>
      <c r="D727" s="64" t="s">
        <v>880</v>
      </c>
      <c r="E727" s="64">
        <v>42350</v>
      </c>
      <c r="F727" s="67" t="s">
        <v>769</v>
      </c>
      <c r="G727" s="67" t="s">
        <v>816</v>
      </c>
      <c r="H727" s="73" t="s">
        <v>806</v>
      </c>
      <c r="I727" s="439"/>
      <c r="J727" s="439"/>
      <c r="K727" s="430"/>
      <c r="L727" s="439"/>
      <c r="M727" s="65">
        <v>12000000</v>
      </c>
      <c r="N727" s="66" t="s">
        <v>101</v>
      </c>
      <c r="O727" s="66" t="s">
        <v>63</v>
      </c>
      <c r="P727" s="84" t="str">
        <f>IF(AND('331-CT'!$E$7=TH!H727,OR(N727="331",O727="331")),"x","")</f>
        <v/>
      </c>
      <c r="Q727" s="84" t="str">
        <f>IF(AND(B727='111'!$L$11,OR($N727=$Q$7,$O727=$Q$7)),"x","")</f>
        <v>x</v>
      </c>
      <c r="R727" s="84" t="str">
        <f>IF(AND($N727=$Q$7,$B727&lt;'111'!$L$11),"x","")</f>
        <v/>
      </c>
      <c r="S727" s="84" t="str">
        <f>IF(AND($O727=$Q$7,$B727&lt;'111'!$L$11),"x","")</f>
        <v/>
      </c>
      <c r="T727" s="84" t="str">
        <f>IF(ISERROR(FIND('112'!$M$9,G727,1)),"",IF((AND(FIND('112'!$M$9,G727,1)&gt;=1,B727='112'!$K$9,OR($N727='112'!$I$6,$O727='112'!$I$6))),"x",""))</f>
        <v/>
      </c>
      <c r="U727" s="84" t="str">
        <f>IF(ISERROR(FIND('112'!$M$9,G727,1)),"",IF((AND(LEFT(G727,2)=LEFT('112'!$M$9,2),B727&lt;'112'!$K$9,$N727='112'!$I$6)),"x",""))</f>
        <v/>
      </c>
      <c r="V727" s="84" t="str">
        <f>IF(ISERROR(FIND('112'!$M$9,G727,1)),"",IF((AND(RIGHT(G727,2)=RIGHT('112'!$M$9,2),B727&lt;'112'!$K$9,$O727='112'!$I$6)),"x",""))</f>
        <v/>
      </c>
      <c r="W727" s="84" t="str">
        <f>IF(AND('341-CT'!$H$9=H727,OR(LEFT(N727,3)=$W$7,LEFT(O727,3)=$W$7)),"x","")</f>
        <v/>
      </c>
      <c r="X727" s="84" t="str">
        <f>IF(OR(TH!N727=TH!$X$7,O727=TH!$X$7),"x","")</f>
        <v/>
      </c>
      <c r="Y727" s="84" t="str">
        <f>IF(AND(OR(N727="131",O727="131"),H727='131-CT'!$H$9),"x","")</f>
        <v/>
      </c>
      <c r="Z727" s="84"/>
      <c r="AA727" s="84" t="str">
        <f>IF(AND(MONTH(E727)='IN-NX'!$J$5,'IN-NX'!$D$7=D727),"x","")</f>
        <v/>
      </c>
      <c r="AB727" s="84" t="str">
        <f>IF(AND(OR(LEFT(TH!N727,2)="15",LEFT(TH!O727,2)="15"),LEFT(TH!O727,3)&lt;&gt;"111",'152-CT'!$J$8=TH!F727),"x","")</f>
        <v/>
      </c>
      <c r="AC727" s="84" t="str">
        <f>IF(AND(OR(LEFT(TH!N727,2)="15",LEFT(TH!O727,2)="15"),TK!$E$7=TH!F727),"x","")</f>
        <v/>
      </c>
      <c r="AD727" s="84" t="str">
        <f>IF(AND(N727="1521",MONTH(C727)='BK-NL'!$M$11),"x","")</f>
        <v/>
      </c>
    </row>
    <row r="728" spans="1:31" ht="15.75" hidden="1" customHeight="1">
      <c r="A728" s="336" t="str">
        <f>IF(B728&lt;&gt;"",IF(AND(B728='IN-TC'!$S$4,OR(TH!N728="1111",TH!O728="1111")),TH!D728,""),"")</f>
        <v/>
      </c>
      <c r="B728" s="63">
        <f t="shared" si="161"/>
        <v>1</v>
      </c>
      <c r="C728" s="64">
        <v>42374</v>
      </c>
      <c r="D728" s="64" t="s">
        <v>880</v>
      </c>
      <c r="E728" s="64">
        <v>42350</v>
      </c>
      <c r="F728" s="67" t="s">
        <v>770</v>
      </c>
      <c r="G728" s="67" t="s">
        <v>816</v>
      </c>
      <c r="H728" s="73" t="s">
        <v>806</v>
      </c>
      <c r="I728" s="439"/>
      <c r="J728" s="439"/>
      <c r="K728" s="430"/>
      <c r="L728" s="439"/>
      <c r="M728" s="65">
        <v>1200000</v>
      </c>
      <c r="N728" s="66" t="s">
        <v>9</v>
      </c>
      <c r="O728" s="66" t="s">
        <v>63</v>
      </c>
      <c r="P728" s="84" t="str">
        <f>IF(AND('331-CT'!$E$7=TH!H728,OR(N728="331",O728="331")),"x","")</f>
        <v/>
      </c>
      <c r="Q728" s="84" t="str">
        <f>IF(AND(B728='111'!$L$11,OR($N728=$Q$7,$O728=$Q$7)),"x","")</f>
        <v>x</v>
      </c>
      <c r="R728" s="84" t="str">
        <f>IF(AND($N728=$Q$7,$B728&lt;'111'!$L$11),"x","")</f>
        <v/>
      </c>
      <c r="S728" s="84" t="str">
        <f>IF(AND($O728=$Q$7,$B728&lt;'111'!$L$11),"x","")</f>
        <v/>
      </c>
      <c r="T728" s="84" t="str">
        <f>IF(ISERROR(FIND('112'!$M$9,G728,1)),"",IF((AND(FIND('112'!$M$9,G728,1)&gt;=1,B728='112'!$K$9,OR($N728='112'!$I$6,$O728='112'!$I$6))),"x",""))</f>
        <v/>
      </c>
      <c r="U728" s="84" t="str">
        <f>IF(ISERROR(FIND('112'!$M$9,G728,1)),"",IF((AND(LEFT(G728,2)=LEFT('112'!$M$9,2),B728&lt;'112'!$K$9,$N728='112'!$I$6)),"x",""))</f>
        <v/>
      </c>
      <c r="V728" s="84" t="str">
        <f>IF(ISERROR(FIND('112'!$M$9,G728,1)),"",IF((AND(RIGHT(G728,2)=RIGHT('112'!$M$9,2),B728&lt;'112'!$K$9,$O728='112'!$I$6)),"x",""))</f>
        <v/>
      </c>
      <c r="W728" s="84" t="str">
        <f>IF(AND('341-CT'!$H$9=H728,OR(LEFT(N728,3)=$W$7,LEFT(O728,3)=$W$7)),"x","")</f>
        <v/>
      </c>
      <c r="X728" s="84" t="str">
        <f>IF(OR(TH!N728=TH!$X$7,O728=TH!$X$7),"x","")</f>
        <v/>
      </c>
      <c r="Y728" s="84" t="str">
        <f>IF(AND(OR(N728="131",O728="131"),H728='131-CT'!$H$9),"x","")</f>
        <v/>
      </c>
      <c r="Z728" s="84"/>
      <c r="AA728" s="84" t="str">
        <f>IF(AND(MONTH(E728)='IN-NX'!$J$5,'IN-NX'!$D$7=D728),"x","")</f>
        <v/>
      </c>
      <c r="AB728" s="84" t="str">
        <f>IF(AND(OR(LEFT(TH!N728,2)="15",LEFT(TH!O728,2)="15"),LEFT(TH!O728,3)&lt;&gt;"111",'152-CT'!$J$8=TH!F728),"x","")</f>
        <v/>
      </c>
      <c r="AC728" s="84" t="str">
        <f>IF(AND(OR(LEFT(TH!N728,2)="15",LEFT(TH!O728,2)="15"),TK!$E$7=TH!F728),"x","")</f>
        <v/>
      </c>
      <c r="AD728" s="84" t="str">
        <f>IF(AND(N728="1521",MONTH(C728)='BK-NL'!$M$11),"x","")</f>
        <v/>
      </c>
    </row>
    <row r="729" spans="1:31" s="341" customFormat="1" ht="15.75" hidden="1" customHeight="1">
      <c r="A729" s="336" t="str">
        <f>IF(B729&lt;&gt;"",IF(AND(B729='IN-TC'!$S$4,OR(TH!N729="1111",TH!O729="1111")),TH!D729,""),"")</f>
        <v/>
      </c>
      <c r="B729" s="63">
        <f t="shared" si="161"/>
        <v>1</v>
      </c>
      <c r="C729" s="64">
        <v>42374</v>
      </c>
      <c r="D729" s="64" t="s">
        <v>881</v>
      </c>
      <c r="E729" s="64">
        <v>42374</v>
      </c>
      <c r="F729" s="67" t="s">
        <v>776</v>
      </c>
      <c r="G729" s="67" t="s">
        <v>817</v>
      </c>
      <c r="H729" s="73" t="s">
        <v>808</v>
      </c>
      <c r="I729" s="439"/>
      <c r="J729" s="439"/>
      <c r="K729" s="430"/>
      <c r="L729" s="439"/>
      <c r="M729" s="65">
        <v>676700</v>
      </c>
      <c r="N729" s="66" t="s">
        <v>101</v>
      </c>
      <c r="O729" s="66" t="s">
        <v>63</v>
      </c>
      <c r="P729" s="84" t="str">
        <f>IF(AND('331-CT'!$E$7=TH!H729,OR(N729="331",O729="331")),"x","")</f>
        <v/>
      </c>
      <c r="Q729" s="84" t="str">
        <f>IF(AND(B729='111'!$L$11,OR($N729=$Q$7,$O729=$Q$7)),"x","")</f>
        <v>x</v>
      </c>
      <c r="R729" s="84" t="str">
        <f>IF(AND($N729=$Q$7,$B729&lt;'111'!$L$11),"x","")</f>
        <v/>
      </c>
      <c r="S729" s="84" t="str">
        <f>IF(AND($O729=$Q$7,$B729&lt;'111'!$L$11),"x","")</f>
        <v/>
      </c>
      <c r="T729" s="84" t="str">
        <f>IF(ISERROR(FIND('112'!$M$9,G729,1)),"",IF((AND(FIND('112'!$M$9,G729,1)&gt;=1,B729='112'!$K$9,OR($N729='112'!$I$6,$O729='112'!$I$6))),"x",""))</f>
        <v/>
      </c>
      <c r="U729" s="84" t="str">
        <f>IF(ISERROR(FIND('112'!$M$9,G729,1)),"",IF((AND(LEFT(G729,2)=LEFT('112'!$M$9,2),B729&lt;'112'!$K$9,$N729='112'!$I$6)),"x",""))</f>
        <v/>
      </c>
      <c r="V729" s="84" t="str">
        <f>IF(ISERROR(FIND('112'!$M$9,G729,1)),"",IF((AND(RIGHT(G729,2)=RIGHT('112'!$M$9,2),B729&lt;'112'!$K$9,$O729='112'!$I$6)),"x",""))</f>
        <v/>
      </c>
      <c r="W729" s="84" t="str">
        <f>IF(AND('341-CT'!$H$9=H729,OR(LEFT(N729,3)=$W$7,LEFT(O729,3)=$W$7)),"x","")</f>
        <v/>
      </c>
      <c r="X729" s="84" t="str">
        <f>IF(OR(TH!N729=TH!$X$7,O729=TH!$X$7),"x","")</f>
        <v/>
      </c>
      <c r="Y729" s="84" t="str">
        <f>IF(AND(OR(N729="131",O729="131"),H729='131-CT'!$H$9),"x","")</f>
        <v/>
      </c>
      <c r="Z729" s="84"/>
      <c r="AA729" s="84" t="str">
        <f>IF(AND(MONTH(E729)='IN-NX'!$J$5,'IN-NX'!$D$7=D729),"x","")</f>
        <v/>
      </c>
      <c r="AB729" s="84" t="str">
        <f>IF(AND(OR(LEFT(TH!N729,2)="15",LEFT(TH!O729,2)="15"),LEFT(TH!O729,3)&lt;&gt;"111",'152-CT'!$J$8=TH!F729),"x","")</f>
        <v/>
      </c>
      <c r="AC729" s="84" t="str">
        <f>IF(AND(OR(LEFT(TH!N729,2)="15",LEFT(TH!O729,2)="15"),TK!$E$7=TH!F729),"x","")</f>
        <v/>
      </c>
      <c r="AD729" s="84" t="str">
        <f>IF(AND(N729="1521",MONTH(C729)='BK-NL'!$M$11),"x","")</f>
        <v/>
      </c>
    </row>
    <row r="730" spans="1:31" s="341" customFormat="1" ht="15.75" hidden="1" customHeight="1">
      <c r="A730" s="336" t="str">
        <f>IF(B730&lt;&gt;"",IF(AND(B730='IN-TC'!$S$4,OR(TH!N730="1111",TH!O730="1111")),TH!D730,""),"")</f>
        <v/>
      </c>
      <c r="B730" s="63">
        <f t="shared" si="161"/>
        <v>1</v>
      </c>
      <c r="C730" s="64">
        <v>42374</v>
      </c>
      <c r="D730" s="64" t="s">
        <v>881</v>
      </c>
      <c r="E730" s="64">
        <v>42374</v>
      </c>
      <c r="F730" s="67" t="s">
        <v>777</v>
      </c>
      <c r="G730" s="67" t="s">
        <v>817</v>
      </c>
      <c r="H730" s="73" t="s">
        <v>808</v>
      </c>
      <c r="I730" s="439"/>
      <c r="J730" s="439"/>
      <c r="K730" s="430"/>
      <c r="L730" s="439"/>
      <c r="M730" s="65">
        <v>67670</v>
      </c>
      <c r="N730" s="66" t="s">
        <v>9</v>
      </c>
      <c r="O730" s="66" t="s">
        <v>63</v>
      </c>
      <c r="P730" s="84" t="str">
        <f>IF(AND('331-CT'!$E$7=TH!H730,OR(N730="331",O730="331")),"x","")</f>
        <v/>
      </c>
      <c r="Q730" s="84" t="str">
        <f>IF(AND(B730='111'!$L$11,OR($N730=$Q$7,$O730=$Q$7)),"x","")</f>
        <v>x</v>
      </c>
      <c r="R730" s="84" t="str">
        <f>IF(AND($N730=$Q$7,$B730&lt;'111'!$L$11),"x","")</f>
        <v/>
      </c>
      <c r="S730" s="84" t="str">
        <f>IF(AND($O730=$Q$7,$B730&lt;'111'!$L$11),"x","")</f>
        <v/>
      </c>
      <c r="T730" s="84" t="str">
        <f>IF(ISERROR(FIND('112'!$M$9,G730,1)),"",IF((AND(FIND('112'!$M$9,G730,1)&gt;=1,B730='112'!$K$9,OR($N730='112'!$I$6,$O730='112'!$I$6))),"x",""))</f>
        <v/>
      </c>
      <c r="U730" s="84" t="str">
        <f>IF(ISERROR(FIND('112'!$M$9,G730,1)),"",IF((AND(LEFT(G730,2)=LEFT('112'!$M$9,2),B730&lt;'112'!$K$9,$N730='112'!$I$6)),"x",""))</f>
        <v/>
      </c>
      <c r="V730" s="84" t="str">
        <f>IF(ISERROR(FIND('112'!$M$9,G730,1)),"",IF((AND(RIGHT(G730,2)=RIGHT('112'!$M$9,2),B730&lt;'112'!$K$9,$O730='112'!$I$6)),"x",""))</f>
        <v/>
      </c>
      <c r="W730" s="84" t="str">
        <f>IF(AND('341-CT'!$H$9=H730,OR(LEFT(N730,3)=$W$7,LEFT(O730,3)=$W$7)),"x","")</f>
        <v/>
      </c>
      <c r="X730" s="84" t="str">
        <f>IF(OR(TH!N730=TH!$X$7,O730=TH!$X$7),"x","")</f>
        <v/>
      </c>
      <c r="Y730" s="84" t="str">
        <f>IF(AND(OR(N730="131",O730="131"),H730='131-CT'!$H$9),"x","")</f>
        <v/>
      </c>
      <c r="Z730" s="84"/>
      <c r="AA730" s="84" t="str">
        <f>IF(AND(MONTH(E730)='IN-NX'!$J$5,'IN-NX'!$D$7=D730),"x","")</f>
        <v/>
      </c>
      <c r="AB730" s="84" t="str">
        <f>IF(AND(OR(LEFT(TH!N730,2)="15",LEFT(TH!O730,2)="15"),LEFT(TH!O730,3)&lt;&gt;"111",'152-CT'!$J$8=TH!F730),"x","")</f>
        <v/>
      </c>
      <c r="AC730" s="84" t="str">
        <f>IF(AND(OR(LEFT(TH!N730,2)="15",LEFT(TH!O730,2)="15"),TK!$E$7=TH!F730),"x","")</f>
        <v/>
      </c>
      <c r="AD730" s="84" t="str">
        <f>IF(AND(N730="1521",MONTH(C730)='BK-NL'!$M$11),"x","")</f>
        <v/>
      </c>
    </row>
    <row r="731" spans="1:31" s="341" customFormat="1" ht="15.75" hidden="1" customHeight="1">
      <c r="A731" s="336" t="str">
        <f>IF(B731&lt;&gt;"",IF(AND(B731='IN-TC'!$S$4,OR(TH!N731="1111",TH!O731="1111")),TH!D731,""),"")</f>
        <v/>
      </c>
      <c r="B731" s="63">
        <f t="shared" si="161"/>
        <v>1</v>
      </c>
      <c r="C731" s="64">
        <v>42374</v>
      </c>
      <c r="D731" s="64" t="s">
        <v>882</v>
      </c>
      <c r="E731" s="64">
        <v>42374</v>
      </c>
      <c r="F731" s="67" t="s">
        <v>780</v>
      </c>
      <c r="G731" s="67" t="s">
        <v>670</v>
      </c>
      <c r="H731" s="73" t="s">
        <v>675</v>
      </c>
      <c r="I731" s="439"/>
      <c r="J731" s="439"/>
      <c r="K731" s="430"/>
      <c r="L731" s="439"/>
      <c r="M731" s="65">
        <v>14250000</v>
      </c>
      <c r="N731" s="66" t="s">
        <v>8</v>
      </c>
      <c r="O731" s="66" t="s">
        <v>63</v>
      </c>
      <c r="P731" s="84" t="str">
        <f>IF(AND('331-CT'!$E$7=TH!H731,OR(N731="331",O731="331")),"x","")</f>
        <v/>
      </c>
      <c r="Q731" s="84" t="str">
        <f>IF(AND(B731='111'!$L$11,OR($N731=$Q$7,$O731=$Q$7)),"x","")</f>
        <v>x</v>
      </c>
      <c r="R731" s="84" t="str">
        <f>IF(AND($N731=$Q$7,$B731&lt;'111'!$L$11),"x","")</f>
        <v/>
      </c>
      <c r="S731" s="84" t="str">
        <f>IF(AND($O731=$Q$7,$B731&lt;'111'!$L$11),"x","")</f>
        <v/>
      </c>
      <c r="T731" s="84" t="str">
        <f>IF(ISERROR(FIND('112'!$M$9,G731,1)),"",IF((AND(FIND('112'!$M$9,G731,1)&gt;=1,B731='112'!$K$9,OR($N731='112'!$I$6,$O731='112'!$I$6))),"x",""))</f>
        <v/>
      </c>
      <c r="U731" s="84" t="str">
        <f>IF(ISERROR(FIND('112'!$M$9,G731,1)),"",IF((AND(LEFT(G731,2)=LEFT('112'!$M$9,2),B731&lt;'112'!$K$9,$N731='112'!$I$6)),"x",""))</f>
        <v/>
      </c>
      <c r="V731" s="84" t="str">
        <f>IF(ISERROR(FIND('112'!$M$9,G731,1)),"",IF((AND(RIGHT(G731,2)=RIGHT('112'!$M$9,2),B731&lt;'112'!$K$9,$O731='112'!$I$6)),"x",""))</f>
        <v/>
      </c>
      <c r="W731" s="84" t="str">
        <f>IF(AND('341-CT'!$H$9=H731,OR(LEFT(N731,3)=$W$7,LEFT(O731,3)=$W$7)),"x","")</f>
        <v/>
      </c>
      <c r="X731" s="84" t="str">
        <f>IF(OR(TH!N731=TH!$X$7,O731=TH!$X$7),"x","")</f>
        <v/>
      </c>
      <c r="Y731" s="84" t="str">
        <f>IF(AND(OR(N731="131",O731="131"),H731='131-CT'!$H$9),"x","")</f>
        <v/>
      </c>
      <c r="Z731" s="84"/>
      <c r="AA731" s="84" t="str">
        <f>IF(AND(MONTH(E731)='IN-NX'!$J$5,'IN-NX'!$D$7=D731),"x","")</f>
        <v/>
      </c>
      <c r="AB731" s="84" t="str">
        <f>IF(AND(OR(LEFT(TH!N731,2)="15",LEFT(TH!O731,2)="15"),LEFT(TH!O731,3)&lt;&gt;"111",'152-CT'!$J$8=TH!F731),"x","")</f>
        <v/>
      </c>
      <c r="AC731" s="84" t="str">
        <f>IF(AND(OR(LEFT(TH!N731,2)="15",LEFT(TH!O731,2)="15"),TK!$E$7=TH!F731),"x","")</f>
        <v/>
      </c>
      <c r="AD731" s="84" t="str">
        <f>IF(AND(N731="1521",MONTH(C731)='BK-NL'!$M$11),"x","")</f>
        <v/>
      </c>
      <c r="AE731" s="1146" t="str">
        <f>IF(H731&lt;&gt;VLOOKUP(H731,DSKH,1,0),"","x")</f>
        <v>x</v>
      </c>
    </row>
    <row r="732" spans="1:31" s="343" customFormat="1" ht="15.75" hidden="1" customHeight="1">
      <c r="A732" s="336" t="str">
        <f>IF(B732&lt;&gt;"",IF(AND(B732='IN-TC'!$S$4,OR(TH!N732="1111",TH!O732="1111")),TH!D732,""),"")</f>
        <v/>
      </c>
      <c r="B732" s="63">
        <f t="shared" si="161"/>
        <v>1</v>
      </c>
      <c r="C732" s="64">
        <v>42375</v>
      </c>
      <c r="D732" s="64" t="s">
        <v>705</v>
      </c>
      <c r="E732" s="64">
        <v>42375</v>
      </c>
      <c r="F732" s="93" t="s">
        <v>1048</v>
      </c>
      <c r="G732" s="67" t="s">
        <v>919</v>
      </c>
      <c r="H732" s="73" t="s">
        <v>712</v>
      </c>
      <c r="I732" s="439"/>
      <c r="J732" s="439"/>
      <c r="K732" s="430">
        <v>53.92</v>
      </c>
      <c r="L732" s="439">
        <v>22240</v>
      </c>
      <c r="M732" s="83">
        <f>ROUND(K732*L732,0)</f>
        <v>1199181</v>
      </c>
      <c r="N732" s="66" t="s">
        <v>99</v>
      </c>
      <c r="O732" s="66" t="s">
        <v>266</v>
      </c>
      <c r="P732" s="84" t="str">
        <f>IF(AND('331-CT'!$E$7=TH!H732,OR(N732="331",O732="331")),"x","")</f>
        <v/>
      </c>
      <c r="Q732" s="84" t="str">
        <f>IF(AND(B732='111'!$L$11,OR($N732=$Q$7,$O732=$Q$7)),"x","")</f>
        <v/>
      </c>
      <c r="R732" s="84" t="str">
        <f>IF(AND($N732=$Q$7,$B732&lt;'111'!$L$11),"x","")</f>
        <v/>
      </c>
      <c r="S732" s="84" t="str">
        <f>IF(AND($O732=$Q$7,$B732&lt;'111'!$L$11),"x","")</f>
        <v/>
      </c>
      <c r="T732" s="84" t="str">
        <f>IF(ISERROR(FIND('112'!$M$9,G732,1)),"",IF((AND(FIND('112'!$M$9,G732,1)&gt;=1,B732='112'!$K$9,OR($N732='112'!$I$6,$O732='112'!$I$6))),"x",""))</f>
        <v/>
      </c>
      <c r="U732" s="84" t="str">
        <f>IF(ISERROR(FIND('112'!$M$9,G732,1)),"",IF((AND(LEFT(G732,2)=LEFT('112'!$M$9,2),B732&lt;'112'!$K$9,$N732='112'!$I$6)),"x",""))</f>
        <v/>
      </c>
      <c r="V732" s="84" t="str">
        <f>IF(ISERROR(FIND('112'!$M$9,G732,1)),"",IF((AND(RIGHT(G732,2)=RIGHT('112'!$M$9,2),B732&lt;'112'!$K$9,$O732='112'!$I$6)),"x",""))</f>
        <v/>
      </c>
      <c r="W732" s="84" t="str">
        <f>IF(AND('341-CT'!$H$9=H732,OR(LEFT(N732,3)=$W$7,LEFT(O732,3)=$W$7)),"x","")</f>
        <v/>
      </c>
      <c r="X732" s="84" t="str">
        <f>IF(OR(TH!N732=TH!$X$7,O732=TH!$X$7),"x","")</f>
        <v/>
      </c>
      <c r="Y732" s="84" t="str">
        <f>IF(AND(OR(N732="131",O732="131"),H732='131-CT'!$H$9),"x","")</f>
        <v/>
      </c>
      <c r="Z732" s="84"/>
      <c r="AA732" s="84" t="str">
        <f>IF(AND(MONTH(E732)='IN-NX'!$J$5,'IN-NX'!$D$7=D732),"x","")</f>
        <v/>
      </c>
      <c r="AB732" s="84" t="str">
        <f>IF(AND(OR(LEFT(TH!N732,2)="15",LEFT(TH!O732,2)="15"),LEFT(TH!O732,3)&lt;&gt;"111",'152-CT'!$J$8=TH!F732),"x","")</f>
        <v/>
      </c>
      <c r="AC732" s="84" t="str">
        <f>IF(AND(OR(LEFT(TH!N732,2)="15",LEFT(TH!O732,2)="15"),TK!$E$7=TH!F732),"x","")</f>
        <v/>
      </c>
      <c r="AD732" s="84" t="str">
        <f>IF(AND(N732="1521",MONTH(C732)='BK-NL'!$M$11),"x","")</f>
        <v/>
      </c>
    </row>
    <row r="733" spans="1:31" s="341" customFormat="1" ht="15.75" hidden="1" customHeight="1">
      <c r="A733" s="336" t="str">
        <f>IF(B733&lt;&gt;"",IF(AND(B733='IN-TC'!$S$4,OR(TH!N733="1111",TH!O733="1111")),TH!D733,""),"")</f>
        <v/>
      </c>
      <c r="B733" s="63">
        <f t="shared" si="161"/>
        <v>1</v>
      </c>
      <c r="C733" s="64">
        <v>42375</v>
      </c>
      <c r="D733" s="64" t="s">
        <v>705</v>
      </c>
      <c r="E733" s="64">
        <v>42375</v>
      </c>
      <c r="F733" s="67" t="s">
        <v>1049</v>
      </c>
      <c r="G733" s="67" t="s">
        <v>919</v>
      </c>
      <c r="H733" s="73" t="s">
        <v>713</v>
      </c>
      <c r="I733" s="439"/>
      <c r="J733" s="439"/>
      <c r="K733" s="430">
        <v>129.11000000000001</v>
      </c>
      <c r="L733" s="439">
        <v>22240</v>
      </c>
      <c r="M733" s="83">
        <f>ROUND(K733*L733,0)</f>
        <v>2871406</v>
      </c>
      <c r="N733" s="66" t="s">
        <v>99</v>
      </c>
      <c r="O733" s="66" t="s">
        <v>266</v>
      </c>
      <c r="P733" s="84" t="str">
        <f>IF(AND('331-CT'!$E$7=TH!H733,OR(N733="331",O733="331")),"x","")</f>
        <v/>
      </c>
      <c r="Q733" s="84" t="str">
        <f>IF(AND(B733='111'!$L$11,OR($N733=$Q$7,$O733=$Q$7)),"x","")</f>
        <v/>
      </c>
      <c r="R733" s="84" t="str">
        <f>IF(AND($N733=$Q$7,$B733&lt;'111'!$L$11),"x","")</f>
        <v/>
      </c>
      <c r="S733" s="84" t="str">
        <f>IF(AND($O733=$Q$7,$B733&lt;'111'!$L$11),"x","")</f>
        <v/>
      </c>
      <c r="T733" s="84" t="str">
        <f>IF(ISERROR(FIND('112'!$M$9,G733,1)),"",IF((AND(FIND('112'!$M$9,G733,1)&gt;=1,B733='112'!$K$9,OR($N733='112'!$I$6,$O733='112'!$I$6))),"x",""))</f>
        <v/>
      </c>
      <c r="U733" s="84" t="str">
        <f>IF(ISERROR(FIND('112'!$M$9,G733,1)),"",IF((AND(LEFT(G733,2)=LEFT('112'!$M$9,2),B733&lt;'112'!$K$9,$N733='112'!$I$6)),"x",""))</f>
        <v/>
      </c>
      <c r="V733" s="84" t="str">
        <f>IF(ISERROR(FIND('112'!$M$9,G733,1)),"",IF((AND(RIGHT(G733,2)=RIGHT('112'!$M$9,2),B733&lt;'112'!$K$9,$O733='112'!$I$6)),"x",""))</f>
        <v/>
      </c>
      <c r="W733" s="84" t="str">
        <f>IF(AND('341-CT'!$H$9=H733,OR(LEFT(N733,3)=$W$7,LEFT(O733,3)=$W$7)),"x","")</f>
        <v/>
      </c>
      <c r="X733" s="84" t="str">
        <f>IF(OR(TH!N733=TH!$X$7,O733=TH!$X$7),"x","")</f>
        <v/>
      </c>
      <c r="Y733" s="84" t="str">
        <f>IF(AND(OR(N733="131",O733="131"),H733='131-CT'!$H$9),"x","")</f>
        <v/>
      </c>
      <c r="Z733" s="84"/>
      <c r="AA733" s="84" t="str">
        <f>IF(AND(MONTH(E733)='IN-NX'!$J$5,'IN-NX'!$D$7=D733),"x","")</f>
        <v/>
      </c>
      <c r="AB733" s="84" t="str">
        <f>IF(AND(OR(LEFT(TH!N733,2)="15",LEFT(TH!O733,2)="15"),LEFT(TH!O733,3)&lt;&gt;"111",'152-CT'!$J$8=TH!F733),"x","")</f>
        <v/>
      </c>
      <c r="AC733" s="84" t="str">
        <f>IF(AND(OR(LEFT(TH!N733,2)="15",LEFT(TH!O733,2)="15"),TK!$E$7=TH!F733),"x","")</f>
        <v/>
      </c>
      <c r="AD733" s="84" t="str">
        <f>IF(AND(N733="1521",MONTH(C733)='BK-NL'!$M$11),"x","")</f>
        <v/>
      </c>
    </row>
    <row r="734" spans="1:31" s="341" customFormat="1" ht="15.75" hidden="1" customHeight="1">
      <c r="A734" s="336" t="str">
        <f>IF(B734&lt;&gt;"",IF(AND(B734='IN-TC'!$S$4,OR(TH!N734="1111",TH!O734="1111")),TH!D734,""),"")</f>
        <v/>
      </c>
      <c r="B734" s="63">
        <f t="shared" si="161"/>
        <v>1</v>
      </c>
      <c r="C734" s="64">
        <v>42375</v>
      </c>
      <c r="D734" s="64" t="s">
        <v>705</v>
      </c>
      <c r="E734" s="64">
        <v>42375</v>
      </c>
      <c r="F734" s="67" t="s">
        <v>1050</v>
      </c>
      <c r="G734" s="67" t="s">
        <v>919</v>
      </c>
      <c r="H734" s="74" t="s">
        <v>714</v>
      </c>
      <c r="I734" s="442"/>
      <c r="J734" s="442"/>
      <c r="K734" s="433">
        <v>79.5</v>
      </c>
      <c r="L734" s="442">
        <v>22240</v>
      </c>
      <c r="M734" s="83">
        <f>ROUND(K734*L734,0)</f>
        <v>1768080</v>
      </c>
      <c r="N734" s="66" t="s">
        <v>99</v>
      </c>
      <c r="O734" s="66" t="s">
        <v>266</v>
      </c>
      <c r="P734" s="84" t="str">
        <f>IF(AND('331-CT'!$E$7=TH!H734,OR(N734="331",O734="331")),"x","")</f>
        <v/>
      </c>
      <c r="Q734" s="84" t="str">
        <f>IF(AND(B734='111'!$L$11,OR($N734=$Q$7,$O734=$Q$7)),"x","")</f>
        <v/>
      </c>
      <c r="R734" s="84" t="str">
        <f>IF(AND($N734=$Q$7,$B734&lt;'111'!$L$11),"x","")</f>
        <v/>
      </c>
      <c r="S734" s="84" t="str">
        <f>IF(AND($O734=$Q$7,$B734&lt;'111'!$L$11),"x","")</f>
        <v/>
      </c>
      <c r="T734" s="84" t="str">
        <f>IF(ISERROR(FIND('112'!$M$9,G734,1)),"",IF((AND(FIND('112'!$M$9,G734,1)&gt;=1,B734='112'!$K$9,OR($N734='112'!$I$6,$O734='112'!$I$6))),"x",""))</f>
        <v/>
      </c>
      <c r="U734" s="84" t="str">
        <f>IF(ISERROR(FIND('112'!$M$9,G734,1)),"",IF((AND(LEFT(G734,2)=LEFT('112'!$M$9,2),B734&lt;'112'!$K$9,$N734='112'!$I$6)),"x",""))</f>
        <v/>
      </c>
      <c r="V734" s="84" t="str">
        <f>IF(ISERROR(FIND('112'!$M$9,G734,1)),"",IF((AND(RIGHT(G734,2)=RIGHT('112'!$M$9,2),B734&lt;'112'!$K$9,$O734='112'!$I$6)),"x",""))</f>
        <v/>
      </c>
      <c r="W734" s="84" t="str">
        <f>IF(AND('341-CT'!$H$9=H734,OR(LEFT(N734,3)=$W$7,LEFT(O734,3)=$W$7)),"x","")</f>
        <v/>
      </c>
      <c r="X734" s="84" t="str">
        <f>IF(OR(TH!N734=TH!$X$7,O734=TH!$X$7),"x","")</f>
        <v/>
      </c>
      <c r="Y734" s="84" t="str">
        <f>IF(AND(OR(N734="131",O734="131"),H734='131-CT'!$H$9),"x","")</f>
        <v/>
      </c>
      <c r="Z734" s="84"/>
      <c r="AA734" s="84" t="str">
        <f>IF(AND(MONTH(E734)='IN-NX'!$J$5,'IN-NX'!$D$7=D734),"x","")</f>
        <v/>
      </c>
      <c r="AB734" s="84" t="str">
        <f>IF(AND(OR(LEFT(TH!N734,2)="15",LEFT(TH!O734,2)="15"),LEFT(TH!O734,3)&lt;&gt;"111",'152-CT'!$J$8=TH!F734),"x","")</f>
        <v/>
      </c>
      <c r="AC734" s="84" t="str">
        <f>IF(AND(OR(LEFT(TH!N734,2)="15",LEFT(TH!O734,2)="15"),TK!$E$7=TH!F734),"x","")</f>
        <v/>
      </c>
      <c r="AD734" s="84" t="str">
        <f>IF(AND(N734="1521",MONTH(C734)='BK-NL'!$M$11),"x","")</f>
        <v/>
      </c>
    </row>
    <row r="735" spans="1:31" s="341" customFormat="1" ht="15.75" hidden="1" customHeight="1">
      <c r="A735" s="336" t="str">
        <f>IF(B735&lt;&gt;"",IF(AND(B735='IN-TC'!$S$4,OR(TH!N735="1111",TH!O735="1111")),TH!D735,""),"")</f>
        <v/>
      </c>
      <c r="B735" s="63">
        <f t="shared" si="161"/>
        <v>1</v>
      </c>
      <c r="C735" s="64">
        <v>42375</v>
      </c>
      <c r="D735" s="64" t="s">
        <v>705</v>
      </c>
      <c r="E735" s="64">
        <v>42375</v>
      </c>
      <c r="F735" s="67" t="s">
        <v>1051</v>
      </c>
      <c r="G735" s="67" t="s">
        <v>919</v>
      </c>
      <c r="H735" s="73" t="s">
        <v>715</v>
      </c>
      <c r="I735" s="439"/>
      <c r="J735" s="439"/>
      <c r="K735" s="430">
        <v>111.29</v>
      </c>
      <c r="L735" s="439">
        <v>22240</v>
      </c>
      <c r="M735" s="83">
        <f>ROUND(K735*L735,0)</f>
        <v>2475090</v>
      </c>
      <c r="N735" s="66" t="s">
        <v>99</v>
      </c>
      <c r="O735" s="66" t="s">
        <v>266</v>
      </c>
      <c r="P735" s="84" t="str">
        <f>IF(AND('331-CT'!$E$7=TH!H735,OR(N735="331",O735="331")),"x","")</f>
        <v/>
      </c>
      <c r="Q735" s="84" t="str">
        <f>IF(AND(B735='111'!$L$11,OR($N735=$Q$7,$O735=$Q$7)),"x","")</f>
        <v/>
      </c>
      <c r="R735" s="84" t="str">
        <f>IF(AND($N735=$Q$7,$B735&lt;'111'!$L$11),"x","")</f>
        <v/>
      </c>
      <c r="S735" s="84" t="str">
        <f>IF(AND($O735=$Q$7,$B735&lt;'111'!$L$11),"x","")</f>
        <v/>
      </c>
      <c r="T735" s="84" t="str">
        <f>IF(ISERROR(FIND('112'!$M$9,G735,1)),"",IF((AND(FIND('112'!$M$9,G735,1)&gt;=1,B735='112'!$K$9,OR($N735='112'!$I$6,$O735='112'!$I$6))),"x",""))</f>
        <v/>
      </c>
      <c r="U735" s="84" t="str">
        <f>IF(ISERROR(FIND('112'!$M$9,G735,1)),"",IF((AND(LEFT(G735,2)=LEFT('112'!$M$9,2),B735&lt;'112'!$K$9,$N735='112'!$I$6)),"x",""))</f>
        <v/>
      </c>
      <c r="V735" s="84" t="str">
        <f>IF(ISERROR(FIND('112'!$M$9,G735,1)),"",IF((AND(RIGHT(G735,2)=RIGHT('112'!$M$9,2),B735&lt;'112'!$K$9,$O735='112'!$I$6)),"x",""))</f>
        <v/>
      </c>
      <c r="W735" s="84" t="str">
        <f>IF(AND('341-CT'!$H$9=H735,OR(LEFT(N735,3)=$W$7,LEFT(O735,3)=$W$7)),"x","")</f>
        <v/>
      </c>
      <c r="X735" s="84" t="str">
        <f>IF(OR(TH!N735=TH!$X$7,O735=TH!$X$7),"x","")</f>
        <v/>
      </c>
      <c r="Y735" s="84" t="str">
        <f>IF(AND(OR(N735="131",O735="131"),H735='131-CT'!$H$9),"x","")</f>
        <v/>
      </c>
      <c r="Z735" s="84"/>
      <c r="AA735" s="84" t="str">
        <f>IF(AND(MONTH(E735)='IN-NX'!$J$5,'IN-NX'!$D$7=D735),"x","")</f>
        <v/>
      </c>
      <c r="AB735" s="84" t="str">
        <f>IF(AND(OR(LEFT(TH!N735,2)="15",LEFT(TH!O735,2)="15"),LEFT(TH!O735,3)&lt;&gt;"111",'152-CT'!$J$8=TH!F735),"x","")</f>
        <v/>
      </c>
      <c r="AC735" s="84" t="str">
        <f>IF(AND(OR(LEFT(TH!N735,2)="15",LEFT(TH!O735,2)="15"),TK!$E$7=TH!F735),"x","")</f>
        <v/>
      </c>
      <c r="AD735" s="84" t="str">
        <f>IF(AND(N735="1521",MONTH(C735)='BK-NL'!$M$11),"x","")</f>
        <v/>
      </c>
    </row>
    <row r="736" spans="1:31" s="341" customFormat="1" ht="15.75" hidden="1" customHeight="1">
      <c r="A736" s="336" t="str">
        <f>IF(B736&lt;&gt;"",IF(AND(B736='IN-TC'!$S$4,OR(TH!N736="1111",TH!O736="1111")),TH!D736,""),"")</f>
        <v/>
      </c>
      <c r="B736" s="63">
        <f t="shared" ref="B736:B765" si="162">IF(C736&lt;&gt;"",MONTH(C736),"")</f>
        <v>1</v>
      </c>
      <c r="C736" s="64">
        <v>42376</v>
      </c>
      <c r="D736" s="64" t="s">
        <v>883</v>
      </c>
      <c r="E736" s="64">
        <v>42376</v>
      </c>
      <c r="F736" s="67" t="s">
        <v>737</v>
      </c>
      <c r="G736" s="67" t="s">
        <v>919</v>
      </c>
      <c r="H736" s="73" t="s">
        <v>764</v>
      </c>
      <c r="I736" s="439"/>
      <c r="J736" s="439"/>
      <c r="K736" s="430"/>
      <c r="L736" s="439"/>
      <c r="M736" s="65">
        <v>50000000</v>
      </c>
      <c r="N736" s="66" t="s">
        <v>26</v>
      </c>
      <c r="O736" s="66" t="s">
        <v>63</v>
      </c>
      <c r="P736" s="84" t="str">
        <f>IF(AND('331-CT'!$E$7=TH!H736,OR(N736="331",O736="331")),"x","")</f>
        <v/>
      </c>
      <c r="Q736" s="84" t="str">
        <f>IF(AND(B736='111'!$L$11,OR($N736=$Q$7,$O736=$Q$7)),"x","")</f>
        <v>x</v>
      </c>
      <c r="R736" s="84" t="str">
        <f>IF(AND($N736=$Q$7,$B736&lt;'111'!$L$11),"x","")</f>
        <v/>
      </c>
      <c r="S736" s="84" t="str">
        <f>IF(AND($O736=$Q$7,$B736&lt;'111'!$L$11),"x","")</f>
        <v/>
      </c>
      <c r="T736" s="84" t="str">
        <f>IF(ISERROR(FIND('112'!$M$9,G736,1)),"",IF((AND(FIND('112'!$M$9,G736,1)&gt;=1,B736='112'!$K$9,OR($N736='112'!$I$6,$O736='112'!$I$6))),"x",""))</f>
        <v/>
      </c>
      <c r="U736" s="84" t="str">
        <f>IF(ISERROR(FIND('112'!$M$9,G736,1)),"",IF((AND(LEFT(G736,2)=LEFT('112'!$M$9,2),B736&lt;'112'!$K$9,$N736='112'!$I$6)),"x",""))</f>
        <v>x</v>
      </c>
      <c r="V736" s="84" t="str">
        <f>IF(ISERROR(FIND('112'!$M$9,G736,1)),"",IF((AND(RIGHT(G736,2)=RIGHT('112'!$M$9,2),B736&lt;'112'!$K$9,$O736='112'!$I$6)),"x",""))</f>
        <v/>
      </c>
      <c r="W736" s="84" t="str">
        <f>IF(AND('341-CT'!$H$9=H736,OR(LEFT(N736,3)=$W$7,LEFT(O736,3)=$W$7)),"x","")</f>
        <v/>
      </c>
      <c r="X736" s="84" t="str">
        <f>IF(OR(TH!N736=TH!$X$7,O736=TH!$X$7),"x","")</f>
        <v/>
      </c>
      <c r="Y736" s="84" t="str">
        <f>IF(AND(OR(N736="131",O736="131"),H736='131-CT'!$H$9),"x","")</f>
        <v/>
      </c>
      <c r="Z736" s="84"/>
      <c r="AA736" s="84" t="str">
        <f>IF(AND(MONTH(E736)='IN-NX'!$J$5,'IN-NX'!$D$7=D736),"x","")</f>
        <v/>
      </c>
      <c r="AB736" s="84" t="str">
        <f>IF(AND(OR(LEFT(TH!N736,2)="15",LEFT(TH!O736,2)="15"),LEFT(TH!O736,3)&lt;&gt;"111",'152-CT'!$J$8=TH!F736),"x","")</f>
        <v/>
      </c>
      <c r="AC736" s="84" t="str">
        <f>IF(AND(OR(LEFT(TH!N736,2)="15",LEFT(TH!O736,2)="15"),TK!$E$7=TH!F736),"x","")</f>
        <v/>
      </c>
      <c r="AD736" s="84" t="str">
        <f>IF(AND(N736="1521",MONTH(C736)='BK-NL'!$M$11),"x","")</f>
        <v/>
      </c>
    </row>
    <row r="737" spans="1:31" s="341" customFormat="1" ht="15.75" hidden="1" customHeight="1">
      <c r="A737" s="336" t="str">
        <f>IF(B737&lt;&gt;"",IF(AND(B737='IN-TC'!$S$4,OR(TH!N737="1111",TH!O737="1111")),TH!D737,""),"")</f>
        <v/>
      </c>
      <c r="B737" s="63">
        <f t="shared" si="162"/>
        <v>1</v>
      </c>
      <c r="C737" s="64">
        <v>42376</v>
      </c>
      <c r="D737" s="64" t="s">
        <v>705</v>
      </c>
      <c r="E737" s="64">
        <v>42376</v>
      </c>
      <c r="F737" s="67" t="s">
        <v>1094</v>
      </c>
      <c r="G737" s="67" t="s">
        <v>919</v>
      </c>
      <c r="H737" s="67" t="s">
        <v>626</v>
      </c>
      <c r="I737" s="439"/>
      <c r="J737" s="439"/>
      <c r="K737" s="430"/>
      <c r="L737" s="439"/>
      <c r="M737" s="65">
        <v>38506000</v>
      </c>
      <c r="N737" s="66" t="s">
        <v>8</v>
      </c>
      <c r="O737" s="66" t="s">
        <v>26</v>
      </c>
      <c r="P737" s="84" t="str">
        <f>IF(AND('331-CT'!$E$7=TH!H737,OR(N737="331",O737="331")),"x","")</f>
        <v/>
      </c>
      <c r="Q737" s="84" t="str">
        <f>IF(AND(B737='111'!$L$11,OR($N737=$Q$7,$O737=$Q$7)),"x","")</f>
        <v/>
      </c>
      <c r="R737" s="84" t="str">
        <f>IF(AND($N737=$Q$7,$B737&lt;'111'!$L$11),"x","")</f>
        <v/>
      </c>
      <c r="S737" s="84" t="str">
        <f>IF(AND($O737=$Q$7,$B737&lt;'111'!$L$11),"x","")</f>
        <v/>
      </c>
      <c r="T737" s="84" t="str">
        <f>IF(ISERROR(FIND('112'!$M$9,G737,1)),"",IF((AND(FIND('112'!$M$9,G737,1)&gt;=1,B737='112'!$K$9,OR($N737='112'!$I$6,$O737='112'!$I$6))),"x",""))</f>
        <v/>
      </c>
      <c r="U737" s="84" t="str">
        <f>IF(ISERROR(FIND('112'!$M$9,G737,1)),"",IF((AND(LEFT(G737,2)=LEFT('112'!$M$9,2),B737&lt;'112'!$K$9,$N737='112'!$I$6)),"x",""))</f>
        <v/>
      </c>
      <c r="V737" s="84" t="str">
        <f>IF(ISERROR(FIND('112'!$M$9,G737,1)),"",IF((AND(RIGHT(G737,2)=RIGHT('112'!$M$9,2),B737&lt;'112'!$K$9,$O737='112'!$I$6)),"x",""))</f>
        <v>x</v>
      </c>
      <c r="W737" s="84" t="str">
        <f>IF(AND('341-CT'!$H$9=H737,OR(LEFT(N737,3)=$W$7,LEFT(O737,3)=$W$7)),"x","")</f>
        <v/>
      </c>
      <c r="X737" s="84" t="str">
        <f>IF(OR(TH!N737=TH!$X$7,O737=TH!$X$7),"x","")</f>
        <v/>
      </c>
      <c r="Y737" s="84" t="str">
        <f>IF(AND(OR(N737="131",O737="131"),H737='131-CT'!$H$9),"x","")</f>
        <v/>
      </c>
      <c r="Z737" s="84"/>
      <c r="AA737" s="84" t="str">
        <f>IF(AND(MONTH(E737)='IN-NX'!$J$5,'IN-NX'!$D$7=D737),"x","")</f>
        <v/>
      </c>
      <c r="AB737" s="84" t="str">
        <f>IF(AND(OR(LEFT(TH!N737,2)="15",LEFT(TH!O737,2)="15"),LEFT(TH!O737,3)&lt;&gt;"111",'152-CT'!$J$8=TH!F737),"x","")</f>
        <v/>
      </c>
      <c r="AC737" s="84" t="str">
        <f>IF(AND(OR(LEFT(TH!N737,2)="15",LEFT(TH!O737,2)="15"),TK!$E$7=TH!F737),"x","")</f>
        <v/>
      </c>
      <c r="AD737" s="84" t="str">
        <f>IF(AND(N737="1521",MONTH(C737)='BK-NL'!$M$11),"x","")</f>
        <v/>
      </c>
      <c r="AE737" s="1146" t="str">
        <f>IF(H737&lt;&gt;VLOOKUP(H737,DSKH,1,0),"","x")</f>
        <v>x</v>
      </c>
    </row>
    <row r="738" spans="1:31" s="341" customFormat="1" ht="15.75" hidden="1" customHeight="1">
      <c r="A738" s="336" t="str">
        <f>IF(B738&lt;&gt;"",IF(AND(B738='IN-TC'!$S$4,OR(TH!N738="1111",TH!O738="1111")),TH!D738,""),"")</f>
        <v/>
      </c>
      <c r="B738" s="63">
        <f t="shared" si="162"/>
        <v>1</v>
      </c>
      <c r="C738" s="64">
        <v>42376</v>
      </c>
      <c r="D738" s="64" t="s">
        <v>705</v>
      </c>
      <c r="E738" s="64">
        <v>42376</v>
      </c>
      <c r="F738" s="67" t="s">
        <v>743</v>
      </c>
      <c r="G738" s="67" t="s">
        <v>919</v>
      </c>
      <c r="H738" s="67"/>
      <c r="I738" s="439"/>
      <c r="J738" s="439"/>
      <c r="K738" s="430"/>
      <c r="L738" s="439"/>
      <c r="M738" s="65">
        <v>44000</v>
      </c>
      <c r="N738" s="66" t="s">
        <v>101</v>
      </c>
      <c r="O738" s="66" t="s">
        <v>26</v>
      </c>
      <c r="P738" s="84" t="str">
        <f>IF(AND('331-CT'!$E$7=TH!H738,OR(N738="331",O738="331")),"x","")</f>
        <v/>
      </c>
      <c r="Q738" s="84" t="str">
        <f>IF(AND(B738='111'!$L$11,OR($N738=$Q$7,$O738=$Q$7)),"x","")</f>
        <v/>
      </c>
      <c r="R738" s="84" t="str">
        <f>IF(AND($N738=$Q$7,$B738&lt;'111'!$L$11),"x","")</f>
        <v/>
      </c>
      <c r="S738" s="84" t="str">
        <f>IF(AND($O738=$Q$7,$B738&lt;'111'!$L$11),"x","")</f>
        <v/>
      </c>
      <c r="T738" s="84" t="str">
        <f>IF(ISERROR(FIND('112'!$M$9,G738,1)),"",IF((AND(FIND('112'!$M$9,G738,1)&gt;=1,B738='112'!$K$9,OR($N738='112'!$I$6,$O738='112'!$I$6))),"x",""))</f>
        <v/>
      </c>
      <c r="U738" s="84" t="str">
        <f>IF(ISERROR(FIND('112'!$M$9,G738,1)),"",IF((AND(LEFT(G738,2)=LEFT('112'!$M$9,2),B738&lt;'112'!$K$9,$N738='112'!$I$6)),"x",""))</f>
        <v/>
      </c>
      <c r="V738" s="84" t="str">
        <f>IF(ISERROR(FIND('112'!$M$9,G738,1)),"",IF((AND(RIGHT(G738,2)=RIGHT('112'!$M$9,2),B738&lt;'112'!$K$9,$O738='112'!$I$6)),"x",""))</f>
        <v>x</v>
      </c>
      <c r="W738" s="84" t="str">
        <f>IF(AND('341-CT'!$H$9=H738,OR(LEFT(N738,3)=$W$7,LEFT(O738,3)=$W$7)),"x","")</f>
        <v/>
      </c>
      <c r="X738" s="84" t="str">
        <f>IF(OR(TH!N738=TH!$X$7,O738=TH!$X$7),"x","")</f>
        <v/>
      </c>
      <c r="Y738" s="84" t="str">
        <f>IF(AND(OR(N738="131",O738="131"),H738='131-CT'!$H$9),"x","")</f>
        <v/>
      </c>
      <c r="Z738" s="84"/>
      <c r="AA738" s="84" t="str">
        <f>IF(AND(MONTH(E738)='IN-NX'!$J$5,'IN-NX'!$D$7=D738),"x","")</f>
        <v/>
      </c>
      <c r="AB738" s="84" t="str">
        <f>IF(AND(OR(LEFT(TH!N738,2)="15",LEFT(TH!O738,2)="15"),LEFT(TH!O738,3)&lt;&gt;"111",'152-CT'!$J$8=TH!F738),"x","")</f>
        <v/>
      </c>
      <c r="AC738" s="84" t="str">
        <f>IF(AND(OR(LEFT(TH!N738,2)="15",LEFT(TH!O738,2)="15"),TK!$E$7=TH!F738),"x","")</f>
        <v/>
      </c>
      <c r="AD738" s="84" t="str">
        <f>IF(AND(N738="1521",MONTH(C738)='BK-NL'!$M$11),"x","")</f>
        <v/>
      </c>
    </row>
    <row r="739" spans="1:31" s="341" customFormat="1" ht="15.75" hidden="1" customHeight="1">
      <c r="A739" s="336" t="str">
        <f>IF(B739&lt;&gt;"",IF(AND(B739='IN-TC'!$S$4,OR(TH!N739="1111",TH!O739="1111")),TH!D739,""),"")</f>
        <v/>
      </c>
      <c r="B739" s="63">
        <f t="shared" si="162"/>
        <v>1</v>
      </c>
      <c r="C739" s="64">
        <v>42376</v>
      </c>
      <c r="D739" s="64" t="s">
        <v>884</v>
      </c>
      <c r="E739" s="64">
        <v>42376</v>
      </c>
      <c r="F739" s="67" t="s">
        <v>781</v>
      </c>
      <c r="G739" s="982" t="s">
        <v>818</v>
      </c>
      <c r="H739" s="73" t="s">
        <v>819</v>
      </c>
      <c r="I739" s="439"/>
      <c r="J739" s="439"/>
      <c r="K739" s="430"/>
      <c r="L739" s="439"/>
      <c r="M739" s="65">
        <v>1341060</v>
      </c>
      <c r="N739" s="85" t="s">
        <v>101</v>
      </c>
      <c r="O739" s="66" t="s">
        <v>63</v>
      </c>
      <c r="P739" s="84" t="str">
        <f>IF(AND('331-CT'!$E$7=TH!H739,OR(N739="331",O739="331")),"x","")</f>
        <v/>
      </c>
      <c r="Q739" s="84" t="str">
        <f>IF(AND(B739='111'!$L$11,OR($N739=$Q$7,$O739=$Q$7)),"x","")</f>
        <v>x</v>
      </c>
      <c r="R739" s="84" t="str">
        <f>IF(AND($N739=$Q$7,$B739&lt;'111'!$L$11),"x","")</f>
        <v/>
      </c>
      <c r="S739" s="84" t="str">
        <f>IF(AND($O739=$Q$7,$B739&lt;'111'!$L$11),"x","")</f>
        <v/>
      </c>
      <c r="T739" s="84" t="str">
        <f>IF(ISERROR(FIND('112'!$M$9,G739,1)),"",IF((AND(FIND('112'!$M$9,G739,1)&gt;=1,B739='112'!$K$9,OR($N739='112'!$I$6,$O739='112'!$I$6))),"x",""))</f>
        <v/>
      </c>
      <c r="U739" s="84" t="str">
        <f>IF(ISERROR(FIND('112'!$M$9,G739,1)),"",IF((AND(LEFT(G739,2)=LEFT('112'!$M$9,2),B739&lt;'112'!$K$9,$N739='112'!$I$6)),"x",""))</f>
        <v/>
      </c>
      <c r="V739" s="84" t="str">
        <f>IF(ISERROR(FIND('112'!$M$9,G739,1)),"",IF((AND(RIGHT(G739,2)=RIGHT('112'!$M$9,2),B739&lt;'112'!$K$9,$O739='112'!$I$6)),"x",""))</f>
        <v/>
      </c>
      <c r="W739" s="84" t="str">
        <f>IF(AND('341-CT'!$H$9=H739,OR(LEFT(N739,3)=$W$7,LEFT(O739,3)=$W$7)),"x","")</f>
        <v/>
      </c>
      <c r="X739" s="84" t="str">
        <f>IF(OR(TH!N739=TH!$X$7,O739=TH!$X$7),"x","")</f>
        <v/>
      </c>
      <c r="Y739" s="84" t="str">
        <f>IF(AND(OR(N739="131",O739="131"),H739='131-CT'!$H$9),"x","")</f>
        <v/>
      </c>
      <c r="Z739" s="84"/>
      <c r="AA739" s="84" t="str">
        <f>IF(AND(MONTH(E739)='IN-NX'!$J$5,'IN-NX'!$D$7=D739),"x","")</f>
        <v/>
      </c>
      <c r="AB739" s="84" t="str">
        <f>IF(AND(OR(LEFT(TH!N739,2)="15",LEFT(TH!O739,2)="15"),LEFT(TH!O739,3)&lt;&gt;"111",'152-CT'!$J$8=TH!F739),"x","")</f>
        <v/>
      </c>
      <c r="AC739" s="84" t="str">
        <f>IF(AND(OR(LEFT(TH!N739,2)="15",LEFT(TH!O739,2)="15"),TK!$E$7=TH!F739),"x","")</f>
        <v/>
      </c>
      <c r="AD739" s="84" t="str">
        <f>IF(AND(N739="1521",MONTH(C739)='BK-NL'!$M$11),"x","")</f>
        <v/>
      </c>
    </row>
    <row r="740" spans="1:31" s="341" customFormat="1" ht="15.75" hidden="1" customHeight="1">
      <c r="A740" s="336" t="str">
        <f>IF(B740&lt;&gt;"",IF(AND(B740='IN-TC'!$S$4,OR(TH!N740="1111",TH!O740="1111")),TH!D740,""),"")</f>
        <v/>
      </c>
      <c r="B740" s="63">
        <f t="shared" si="162"/>
        <v>1</v>
      </c>
      <c r="C740" s="64">
        <v>42376</v>
      </c>
      <c r="D740" s="64" t="s">
        <v>884</v>
      </c>
      <c r="E740" s="64">
        <v>42376</v>
      </c>
      <c r="F740" s="67" t="s">
        <v>782</v>
      </c>
      <c r="G740" s="982" t="s">
        <v>818</v>
      </c>
      <c r="H740" s="73" t="s">
        <v>819</v>
      </c>
      <c r="I740" s="439"/>
      <c r="J740" s="439"/>
      <c r="K740" s="430"/>
      <c r="L740" s="439"/>
      <c r="M740" s="65">
        <v>134106</v>
      </c>
      <c r="N740" s="85" t="s">
        <v>9</v>
      </c>
      <c r="O740" s="66" t="s">
        <v>63</v>
      </c>
      <c r="P740" s="84" t="str">
        <f>IF(AND('331-CT'!$E$7=TH!H740,OR(N740="331",O740="331")),"x","")</f>
        <v/>
      </c>
      <c r="Q740" s="84" t="str">
        <f>IF(AND(B740='111'!$L$11,OR($N740=$Q$7,$O740=$Q$7)),"x","")</f>
        <v>x</v>
      </c>
      <c r="R740" s="84" t="str">
        <f>IF(AND($N740=$Q$7,$B740&lt;'111'!$L$11),"x","")</f>
        <v/>
      </c>
      <c r="S740" s="84" t="str">
        <f>IF(AND($O740=$Q$7,$B740&lt;'111'!$L$11),"x","")</f>
        <v/>
      </c>
      <c r="T740" s="84" t="str">
        <f>IF(ISERROR(FIND('112'!$M$9,G740,1)),"",IF((AND(FIND('112'!$M$9,G740,1)&gt;=1,B740='112'!$K$9,OR($N740='112'!$I$6,$O740='112'!$I$6))),"x",""))</f>
        <v/>
      </c>
      <c r="U740" s="84" t="str">
        <f>IF(ISERROR(FIND('112'!$M$9,G740,1)),"",IF((AND(LEFT(G740,2)=LEFT('112'!$M$9,2),B740&lt;'112'!$K$9,$N740='112'!$I$6)),"x",""))</f>
        <v/>
      </c>
      <c r="V740" s="84" t="str">
        <f>IF(ISERROR(FIND('112'!$M$9,G740,1)),"",IF((AND(RIGHT(G740,2)=RIGHT('112'!$M$9,2),B740&lt;'112'!$K$9,$O740='112'!$I$6)),"x",""))</f>
        <v/>
      </c>
      <c r="W740" s="84" t="str">
        <f>IF(AND('341-CT'!$H$9=H740,OR(LEFT(N740,3)=$W$7,LEFT(O740,3)=$W$7)),"x","")</f>
        <v/>
      </c>
      <c r="X740" s="84" t="str">
        <f>IF(OR(TH!N740=TH!$X$7,O740=TH!$X$7),"x","")</f>
        <v/>
      </c>
      <c r="Y740" s="84" t="str">
        <f>IF(AND(OR(N740="131",O740="131"),H740='131-CT'!$H$9),"x","")</f>
        <v/>
      </c>
      <c r="Z740" s="84"/>
      <c r="AA740" s="84" t="str">
        <f>IF(AND(MONTH(E740)='IN-NX'!$J$5,'IN-NX'!$D$7=D740),"x","")</f>
        <v/>
      </c>
      <c r="AB740" s="84" t="str">
        <f>IF(AND(OR(LEFT(TH!N740,2)="15",LEFT(TH!O740,2)="15"),LEFT(TH!O740,3)&lt;&gt;"111",'152-CT'!$J$8=TH!F740),"x","")</f>
        <v/>
      </c>
      <c r="AC740" s="84" t="str">
        <f>IF(AND(OR(LEFT(TH!N740,2)="15",LEFT(TH!O740,2)="15"),TK!$E$7=TH!F740),"x","")</f>
        <v/>
      </c>
      <c r="AD740" s="84" t="str">
        <f>IF(AND(N740="1521",MONTH(C740)='BK-NL'!$M$11),"x","")</f>
        <v/>
      </c>
    </row>
    <row r="741" spans="1:31" s="341" customFormat="1" ht="15.75" hidden="1" customHeight="1">
      <c r="A741" s="336" t="str">
        <f>IF(B741&lt;&gt;"",IF(AND(B741='IN-TC'!$S$4,OR(TH!N741="1111",TH!O741="1111")),TH!D741,""),"")</f>
        <v/>
      </c>
      <c r="B741" s="63">
        <f t="shared" si="162"/>
        <v>1</v>
      </c>
      <c r="C741" s="64">
        <v>42377</v>
      </c>
      <c r="D741" s="64" t="s">
        <v>702</v>
      </c>
      <c r="E741" s="64">
        <v>42377</v>
      </c>
      <c r="F741" s="68" t="s">
        <v>709</v>
      </c>
      <c r="G741" s="67" t="s">
        <v>918</v>
      </c>
      <c r="H741" s="344" t="s">
        <v>599</v>
      </c>
      <c r="I741" s="439"/>
      <c r="J741" s="439"/>
      <c r="K741" s="430">
        <v>4819.12</v>
      </c>
      <c r="L741" s="439">
        <v>22490</v>
      </c>
      <c r="M741" s="83">
        <f>ROUND(K741*L741,0)</f>
        <v>108382009</v>
      </c>
      <c r="N741" s="66" t="s">
        <v>266</v>
      </c>
      <c r="O741" s="66" t="s">
        <v>588</v>
      </c>
      <c r="P741" s="84" t="str">
        <f>IF(AND('331-CT'!$E$7=TH!H741,OR(N741="331",O741="331")),"x","")</f>
        <v/>
      </c>
      <c r="Q741" s="84" t="str">
        <f>IF(AND(B741='111'!$L$11,OR($N741=$Q$7,$O741=$Q$7)),"x","")</f>
        <v/>
      </c>
      <c r="R741" s="84" t="str">
        <f>IF(AND($N741=$Q$7,$B741&lt;'111'!$L$11),"x","")</f>
        <v/>
      </c>
      <c r="S741" s="84" t="str">
        <f>IF(AND($O741=$Q$7,$B741&lt;'111'!$L$11),"x","")</f>
        <v/>
      </c>
      <c r="T741" s="84" t="str">
        <f>IF(ISERROR(FIND('112'!$M$9,G741,1)),"",IF((AND(FIND('112'!$M$9,G741,1)&gt;=1,B741='112'!$K$9,OR($N741='112'!$I$6,$O741='112'!$I$6))),"x",""))</f>
        <v/>
      </c>
      <c r="U741" s="84" t="str">
        <f>IF(ISERROR(FIND('112'!$M$9,G741,1)),"",IF((AND(LEFT(G741,2)=LEFT('112'!$M$9,2),B741&lt;'112'!$K$9,$N741='112'!$I$6)),"x",""))</f>
        <v/>
      </c>
      <c r="V741" s="84" t="str">
        <f>IF(ISERROR(FIND('112'!$M$9,G741,1)),"",IF((AND(RIGHT(G741,2)=RIGHT('112'!$M$9,2),B741&lt;'112'!$K$9,$O741='112'!$I$6)),"x",""))</f>
        <v/>
      </c>
      <c r="W741" s="84" t="str">
        <f>IF(AND('341-CT'!$H$9=H741,OR(LEFT(N741,3)=$W$7,LEFT(O741,3)=$W$7)),"x","")</f>
        <v/>
      </c>
      <c r="X741" s="84" t="str">
        <f>IF(OR(TH!N741=TH!$X$7,O741=TH!$X$7),"x","")</f>
        <v/>
      </c>
      <c r="Y741" s="84" t="str">
        <f>IF(AND(OR(N741="131",O741="131"),H741='131-CT'!$H$9),"x","")</f>
        <v/>
      </c>
      <c r="Z741" s="84"/>
      <c r="AA741" s="84" t="str">
        <f>IF(AND(MONTH(E741)='IN-NX'!$J$5,'IN-NX'!$D$7=D741),"x","")</f>
        <v/>
      </c>
      <c r="AB741" s="84" t="str">
        <f>IF(AND(OR(LEFT(TH!N741,2)="15",LEFT(TH!O741,2)="15"),LEFT(TH!O741,3)&lt;&gt;"111",'152-CT'!$J$8=TH!F741),"x","")</f>
        <v/>
      </c>
      <c r="AC741" s="84" t="str">
        <f>IF(AND(OR(LEFT(TH!N741,2)="15",LEFT(TH!O741,2)="15"),TK!$E$7=TH!F741),"x","")</f>
        <v/>
      </c>
      <c r="AD741" s="84" t="str">
        <f>IF(AND(N741="1521",MONTH(C741)='BK-NL'!$M$11),"x","")</f>
        <v/>
      </c>
    </row>
    <row r="742" spans="1:31" ht="15.75" hidden="1" customHeight="1">
      <c r="A742" s="336" t="str">
        <f>IF(B742&lt;&gt;"",IF(AND(B742='IN-TC'!$S$4,OR(TH!N742="1111",TH!O742="1111")),TH!D742,""),"")</f>
        <v/>
      </c>
      <c r="B742" s="63">
        <f t="shared" si="162"/>
        <v>1</v>
      </c>
      <c r="C742" s="64">
        <v>42377</v>
      </c>
      <c r="D742" s="64" t="s">
        <v>582</v>
      </c>
      <c r="E742" s="64">
        <v>42377</v>
      </c>
      <c r="F742" s="67" t="s">
        <v>1073</v>
      </c>
      <c r="G742" s="67" t="s">
        <v>918</v>
      </c>
      <c r="H742" s="344" t="s">
        <v>599</v>
      </c>
      <c r="I742" s="439"/>
      <c r="J742" s="439"/>
      <c r="K742" s="430">
        <v>169.88</v>
      </c>
      <c r="L742" s="439">
        <v>22490</v>
      </c>
      <c r="M742" s="65">
        <f>ROUND(K742*L742,0)</f>
        <v>3820601</v>
      </c>
      <c r="N742" s="66" t="s">
        <v>101</v>
      </c>
      <c r="O742" s="66" t="s">
        <v>588</v>
      </c>
      <c r="P742" s="84" t="str">
        <f>IF(AND('331-CT'!$E$7=TH!H742,OR(N742="331",O742="331")),"x","")</f>
        <v/>
      </c>
      <c r="Q742" s="84" t="str">
        <f>IF(AND(B742='111'!$L$11,OR($N742=$Q$7,$O742=$Q$7)),"x","")</f>
        <v/>
      </c>
      <c r="R742" s="84" t="str">
        <f>IF(AND($N742=$Q$7,$B742&lt;'111'!$L$11),"x","")</f>
        <v/>
      </c>
      <c r="S742" s="84" t="str">
        <f>IF(AND($O742=$Q$7,$B742&lt;'111'!$L$11),"x","")</f>
        <v/>
      </c>
      <c r="T742" s="84" t="str">
        <f>IF(ISERROR(FIND('112'!$M$9,G742,1)),"",IF((AND(FIND('112'!$M$9,G742,1)&gt;=1,B742='112'!$K$9,OR($N742='112'!$I$6,$O742='112'!$I$6))),"x",""))</f>
        <v/>
      </c>
      <c r="U742" s="84" t="str">
        <f>IF(ISERROR(FIND('112'!$M$9,G742,1)),"",IF((AND(LEFT(G742,2)=LEFT('112'!$M$9,2),B742&lt;'112'!$K$9,$N742='112'!$I$6)),"x",""))</f>
        <v/>
      </c>
      <c r="V742" s="84" t="str">
        <f>IF(ISERROR(FIND('112'!$M$9,G742,1)),"",IF((AND(RIGHT(G742,2)=RIGHT('112'!$M$9,2),B742&lt;'112'!$K$9,$O742='112'!$I$6)),"x",""))</f>
        <v/>
      </c>
      <c r="W742" s="84" t="str">
        <f>IF(AND('341-CT'!$H$9=H742,OR(LEFT(N742,3)=$W$7,LEFT(O742,3)=$W$7)),"x","")</f>
        <v/>
      </c>
      <c r="X742" s="84" t="str">
        <f>IF(OR(TH!N742=TH!$X$7,O742=TH!$X$7),"x","")</f>
        <v/>
      </c>
      <c r="Y742" s="84" t="str">
        <f>IF(AND(OR(N742="131",O742="131"),H742='131-CT'!$H$9),"x","")</f>
        <v/>
      </c>
      <c r="Z742" s="84"/>
      <c r="AA742" s="84" t="str">
        <f>IF(AND(MONTH(E742)='IN-NX'!$J$5,'IN-NX'!$D$7=D742),"x","")</f>
        <v/>
      </c>
      <c r="AB742" s="84" t="str">
        <f>IF(AND(OR(LEFT(TH!N742,2)="15",LEFT(TH!O742,2)="15"),LEFT(TH!O742,3)&lt;&gt;"111",'152-CT'!$J$8=TH!F742),"x","")</f>
        <v/>
      </c>
      <c r="AC742" s="84" t="str">
        <f>IF(AND(OR(LEFT(TH!N742,2)="15",LEFT(TH!O742,2)="15"),TK!$E$7=TH!F742),"x","")</f>
        <v/>
      </c>
      <c r="AD742" s="84" t="str">
        <f>IF(AND(N742="1521",MONTH(C742)='BK-NL'!$M$11),"x","")</f>
        <v/>
      </c>
    </row>
    <row r="743" spans="1:31" ht="15.75" hidden="1" customHeight="1">
      <c r="A743" s="336" t="str">
        <f>IF(B743&lt;&gt;"",IF(AND(B743='IN-TC'!$S$4,OR(TH!N743="1111",TH!O743="1111")),TH!D743,""),"")</f>
        <v/>
      </c>
      <c r="B743" s="63">
        <f t="shared" si="162"/>
        <v>1</v>
      </c>
      <c r="C743" s="64">
        <v>42377</v>
      </c>
      <c r="D743" s="64" t="s">
        <v>582</v>
      </c>
      <c r="E743" s="64">
        <v>42377</v>
      </c>
      <c r="F743" s="67" t="s">
        <v>1074</v>
      </c>
      <c r="G743" s="67" t="s">
        <v>918</v>
      </c>
      <c r="H743" s="344" t="s">
        <v>599</v>
      </c>
      <c r="I743" s="439"/>
      <c r="J743" s="439"/>
      <c r="K743" s="430">
        <v>230.64</v>
      </c>
      <c r="L743" s="439">
        <v>22490</v>
      </c>
      <c r="M743" s="65">
        <f>ROUND(K743*L743,0)</f>
        <v>5187094</v>
      </c>
      <c r="N743" s="66" t="s">
        <v>101</v>
      </c>
      <c r="O743" s="66" t="s">
        <v>588</v>
      </c>
      <c r="P743" s="84" t="str">
        <f>IF(AND('331-CT'!$E$7=TH!H743,OR(N743="331",O743="331")),"x","")</f>
        <v/>
      </c>
      <c r="Q743" s="84" t="str">
        <f>IF(AND(B743='111'!$L$11,OR($N743=$Q$7,$O743=$Q$7)),"x","")</f>
        <v/>
      </c>
      <c r="R743" s="84" t="str">
        <f>IF(AND($N743=$Q$7,$B743&lt;'111'!$L$11),"x","")</f>
        <v/>
      </c>
      <c r="S743" s="84" t="str">
        <f>IF(AND($O743=$Q$7,$B743&lt;'111'!$L$11),"x","")</f>
        <v/>
      </c>
      <c r="T743" s="84" t="str">
        <f>IF(ISERROR(FIND('112'!$M$9,G743,1)),"",IF((AND(FIND('112'!$M$9,G743,1)&gt;=1,B743='112'!$K$9,OR($N743='112'!$I$6,$O743='112'!$I$6))),"x",""))</f>
        <v/>
      </c>
      <c r="U743" s="84" t="str">
        <f>IF(ISERROR(FIND('112'!$M$9,G743,1)),"",IF((AND(LEFT(G743,2)=LEFT('112'!$M$9,2),B743&lt;'112'!$K$9,$N743='112'!$I$6)),"x",""))</f>
        <v/>
      </c>
      <c r="V743" s="84" t="str">
        <f>IF(ISERROR(FIND('112'!$M$9,G743,1)),"",IF((AND(RIGHT(G743,2)=RIGHT('112'!$M$9,2),B743&lt;'112'!$K$9,$O743='112'!$I$6)),"x",""))</f>
        <v/>
      </c>
      <c r="W743" s="84" t="str">
        <f>IF(AND('341-CT'!$H$9=H743,OR(LEFT(N743,3)=$W$7,LEFT(O743,3)=$W$7)),"x","")</f>
        <v/>
      </c>
      <c r="X743" s="84" t="str">
        <f>IF(OR(TH!N743=TH!$X$7,O743=TH!$X$7),"x","")</f>
        <v/>
      </c>
      <c r="Y743" s="84" t="str">
        <f>IF(AND(OR(N743="131",O743="131"),H743='131-CT'!$H$9),"x","")</f>
        <v/>
      </c>
      <c r="Z743" s="84"/>
      <c r="AA743" s="84" t="str">
        <f>IF(AND(MONTH(E743)='IN-NX'!$J$5,'IN-NX'!$D$7=D743),"x","")</f>
        <v/>
      </c>
      <c r="AB743" s="84" t="str">
        <f>IF(AND(OR(LEFT(TH!N743,2)="15",LEFT(TH!O743,2)="15"),LEFT(TH!O743,3)&lt;&gt;"111",'152-CT'!$J$8=TH!F743),"x","")</f>
        <v/>
      </c>
      <c r="AC743" s="84" t="str">
        <f>IF(AND(OR(LEFT(TH!N743,2)="15",LEFT(TH!O743,2)="15"),TK!$E$7=TH!F743),"x","")</f>
        <v/>
      </c>
      <c r="AD743" s="84" t="str">
        <f>IF(AND(N743="1521",MONTH(C743)='BK-NL'!$M$11),"x","")</f>
        <v/>
      </c>
    </row>
    <row r="744" spans="1:31" ht="15.75" hidden="1" customHeight="1">
      <c r="A744" s="336" t="str">
        <f>IF(B744&lt;&gt;"",IF(AND(B744='IN-TC'!$S$4,OR(TH!N744="1111",TH!O744="1111")),TH!D744,""),"")</f>
        <v/>
      </c>
      <c r="B744" s="63">
        <f t="shared" si="162"/>
        <v>1</v>
      </c>
      <c r="C744" s="64">
        <v>42377</v>
      </c>
      <c r="D744" s="64" t="s">
        <v>582</v>
      </c>
      <c r="E744" s="64">
        <v>42377</v>
      </c>
      <c r="F744" s="67" t="s">
        <v>1068</v>
      </c>
      <c r="G744" s="67" t="s">
        <v>918</v>
      </c>
      <c r="H744" s="344" t="s">
        <v>599</v>
      </c>
      <c r="I744" s="439"/>
      <c r="J744" s="439"/>
      <c r="K744" s="430"/>
      <c r="L744" s="439"/>
      <c r="M744" s="65">
        <v>5712130</v>
      </c>
      <c r="N744" s="66" t="s">
        <v>99</v>
      </c>
      <c r="O744" s="66" t="s">
        <v>588</v>
      </c>
      <c r="P744" s="84" t="str">
        <f>IF(AND('331-CT'!$E$7=TH!H744,OR(N744="331",O744="331")),"x","")</f>
        <v/>
      </c>
      <c r="Q744" s="84" t="str">
        <f>IF(AND(B744='111'!$L$11,OR($N744=$Q$7,$O744=$Q$7)),"x","")</f>
        <v/>
      </c>
      <c r="R744" s="84" t="str">
        <f>IF(AND($N744=$Q$7,$B744&lt;'111'!$L$11),"x","")</f>
        <v/>
      </c>
      <c r="S744" s="84" t="str">
        <f>IF(AND($O744=$Q$7,$B744&lt;'111'!$L$11),"x","")</f>
        <v/>
      </c>
      <c r="T744" s="84" t="str">
        <f>IF(ISERROR(FIND('112'!$M$9,G744,1)),"",IF((AND(FIND('112'!$M$9,G744,1)&gt;=1,B744='112'!$K$9,OR($N744='112'!$I$6,$O744='112'!$I$6))),"x",""))</f>
        <v/>
      </c>
      <c r="U744" s="84" t="str">
        <f>IF(ISERROR(FIND('112'!$M$9,G744,1)),"",IF((AND(LEFT(G744,2)=LEFT('112'!$M$9,2),B744&lt;'112'!$K$9,$N744='112'!$I$6)),"x",""))</f>
        <v/>
      </c>
      <c r="V744" s="84" t="str">
        <f>IF(ISERROR(FIND('112'!$M$9,G744,1)),"",IF((AND(RIGHT(G744,2)=RIGHT('112'!$M$9,2),B744&lt;'112'!$K$9,$O744='112'!$I$6)),"x",""))</f>
        <v/>
      </c>
      <c r="W744" s="84" t="str">
        <f>IF(AND('341-CT'!$H$9=H744,OR(LEFT(N744,3)=$W$7,LEFT(O744,3)=$W$7)),"x","")</f>
        <v/>
      </c>
      <c r="X744" s="84" t="str">
        <f>IF(OR(TH!N744=TH!$X$7,O744=TH!$X$7),"x","")</f>
        <v/>
      </c>
      <c r="Y744" s="84" t="str">
        <f>IF(AND(OR(N744="131",O744="131"),H744='131-CT'!$H$9),"x","")</f>
        <v/>
      </c>
      <c r="Z744" s="84"/>
      <c r="AA744" s="84" t="str">
        <f>IF(AND(MONTH(E744)='IN-NX'!$J$5,'IN-NX'!$D$7=D744),"x","")</f>
        <v/>
      </c>
      <c r="AB744" s="84" t="str">
        <f>IF(AND(OR(LEFT(TH!N744,2)="15",LEFT(TH!O744,2)="15"),LEFT(TH!O744,3)&lt;&gt;"111",'152-CT'!$J$8=TH!F744),"x","")</f>
        <v/>
      </c>
      <c r="AC744" s="84" t="str">
        <f>IF(AND(OR(LEFT(TH!N744,2)="15",LEFT(TH!O744,2)="15"),TK!$E$7=TH!F744),"x","")</f>
        <v/>
      </c>
      <c r="AD744" s="84" t="str">
        <f>IF(AND(N744="1521",MONTH(C744)='BK-NL'!$M$11),"x","")</f>
        <v/>
      </c>
    </row>
    <row r="745" spans="1:31" s="341" customFormat="1" ht="15.75" hidden="1" customHeight="1">
      <c r="A745" s="336" t="str">
        <f>IF(B745&lt;&gt;"",IF(AND(B745='IN-TC'!$S$4,OR(TH!N745="1111",TH!O745="1111")),TH!D745,""),"")</f>
        <v/>
      </c>
      <c r="B745" s="63">
        <f t="shared" si="162"/>
        <v>1</v>
      </c>
      <c r="C745" s="80">
        <v>42377</v>
      </c>
      <c r="D745" s="64" t="s">
        <v>705</v>
      </c>
      <c r="E745" s="80">
        <v>42377</v>
      </c>
      <c r="F745" s="73" t="s">
        <v>1066</v>
      </c>
      <c r="G745" s="67" t="s">
        <v>918</v>
      </c>
      <c r="H745" s="82"/>
      <c r="I745" s="437"/>
      <c r="J745" s="437"/>
      <c r="K745" s="428">
        <v>76.069999999999993</v>
      </c>
      <c r="L745" s="437">
        <v>22490</v>
      </c>
      <c r="M745" s="83">
        <f>ROUND(K745*L745,0)</f>
        <v>1710814</v>
      </c>
      <c r="N745" s="66" t="s">
        <v>99</v>
      </c>
      <c r="O745" s="66" t="s">
        <v>266</v>
      </c>
      <c r="P745" s="84" t="str">
        <f>IF(AND('331-CT'!$E$7=TH!H745,OR(N745="331",O745="331")),"x","")</f>
        <v/>
      </c>
      <c r="Q745" s="84" t="str">
        <f>IF(AND(B745='111'!$L$11,OR($N745=$Q$7,$O745=$Q$7)),"x","")</f>
        <v/>
      </c>
      <c r="R745" s="84" t="str">
        <f>IF(AND($N745=$Q$7,$B745&lt;'111'!$L$11),"x","")</f>
        <v/>
      </c>
      <c r="S745" s="84" t="str">
        <f>IF(AND($O745=$Q$7,$B745&lt;'111'!$L$11),"x","")</f>
        <v/>
      </c>
      <c r="T745" s="84" t="str">
        <f>IF(ISERROR(FIND('112'!$M$9,G745,1)),"",IF((AND(FIND('112'!$M$9,G745,1)&gt;=1,B745='112'!$K$9,OR($N745='112'!$I$6,$O745='112'!$I$6))),"x",""))</f>
        <v/>
      </c>
      <c r="U745" s="84" t="str">
        <f>IF(ISERROR(FIND('112'!$M$9,G745,1)),"",IF((AND(LEFT(G745,2)=LEFT('112'!$M$9,2),B745&lt;'112'!$K$9,$N745='112'!$I$6)),"x",""))</f>
        <v/>
      </c>
      <c r="V745" s="84" t="str">
        <f>IF(ISERROR(FIND('112'!$M$9,G745,1)),"",IF((AND(RIGHT(G745,2)=RIGHT('112'!$M$9,2),B745&lt;'112'!$K$9,$O745='112'!$I$6)),"x",""))</f>
        <v/>
      </c>
      <c r="W745" s="84" t="str">
        <f>IF(AND('341-CT'!$H$9=H745,OR(LEFT(N745,3)=$W$7,LEFT(O745,3)=$W$7)),"x","")</f>
        <v/>
      </c>
      <c r="X745" s="84" t="str">
        <f>IF(OR(TH!N745=TH!$X$7,O745=TH!$X$7),"x","")</f>
        <v/>
      </c>
      <c r="Y745" s="84" t="str">
        <f>IF(AND(OR(N745="131",O745="131"),H745='131-CT'!$H$9),"x","")</f>
        <v/>
      </c>
      <c r="Z745" s="84"/>
      <c r="AA745" s="84" t="str">
        <f>IF(AND(MONTH(E745)='IN-NX'!$J$5,'IN-NX'!$D$7=D745),"x","")</f>
        <v/>
      </c>
      <c r="AB745" s="84" t="str">
        <f>IF(AND(OR(LEFT(TH!N745,2)="15",LEFT(TH!O745,2)="15"),LEFT(TH!O745,3)&lt;&gt;"111",'152-CT'!$J$8=TH!F745),"x","")</f>
        <v/>
      </c>
      <c r="AC745" s="84" t="str">
        <f>IF(AND(OR(LEFT(TH!N745,2)="15",LEFT(TH!O745,2)="15"),TK!$E$7=TH!F745),"x","")</f>
        <v/>
      </c>
      <c r="AD745" s="84" t="str">
        <f>IF(AND(N745="1521",MONTH(C745)='BK-NL'!$M$11),"x","")</f>
        <v/>
      </c>
    </row>
    <row r="746" spans="1:31" s="341" customFormat="1" ht="15.75" hidden="1" customHeight="1">
      <c r="A746" s="336" t="str">
        <f>IF(B746&lt;&gt;"",IF(AND(B746='IN-TC'!$S$4,OR(TH!N746="1111",TH!O746="1111")),TH!D746,""),"")</f>
        <v/>
      </c>
      <c r="B746" s="63">
        <f t="shared" si="162"/>
        <v>1</v>
      </c>
      <c r="C746" s="64">
        <v>42377</v>
      </c>
      <c r="D746" s="64" t="s">
        <v>885</v>
      </c>
      <c r="E746" s="64">
        <v>42377</v>
      </c>
      <c r="F746" s="67" t="s">
        <v>783</v>
      </c>
      <c r="G746" s="67" t="s">
        <v>820</v>
      </c>
      <c r="H746" s="346" t="s">
        <v>821</v>
      </c>
      <c r="I746" s="443"/>
      <c r="J746" s="443"/>
      <c r="K746" s="434"/>
      <c r="L746" s="443"/>
      <c r="M746" s="65">
        <v>5363636</v>
      </c>
      <c r="N746" s="66" t="s">
        <v>101</v>
      </c>
      <c r="O746" s="66" t="s">
        <v>63</v>
      </c>
      <c r="P746" s="84" t="str">
        <f>IF(AND('331-CT'!$E$7=TH!H746,OR(N746="331",O746="331")),"x","")</f>
        <v/>
      </c>
      <c r="Q746" s="84" t="str">
        <f>IF(AND(B746='111'!$L$11,OR($N746=$Q$7,$O746=$Q$7)),"x","")</f>
        <v>x</v>
      </c>
      <c r="R746" s="84" t="str">
        <f>IF(AND($N746=$Q$7,$B746&lt;'111'!$L$11),"x","")</f>
        <v/>
      </c>
      <c r="S746" s="84" t="str">
        <f>IF(AND($O746=$Q$7,$B746&lt;'111'!$L$11),"x","")</f>
        <v/>
      </c>
      <c r="T746" s="84" t="str">
        <f>IF(ISERROR(FIND('112'!$M$9,G746,1)),"",IF((AND(FIND('112'!$M$9,G746,1)&gt;=1,B746='112'!$K$9,OR($N746='112'!$I$6,$O746='112'!$I$6))),"x",""))</f>
        <v/>
      </c>
      <c r="U746" s="84" t="str">
        <f>IF(ISERROR(FIND('112'!$M$9,G746,1)),"",IF((AND(LEFT(G746,2)=LEFT('112'!$M$9,2),B746&lt;'112'!$K$9,$N746='112'!$I$6)),"x",""))</f>
        <v/>
      </c>
      <c r="V746" s="84" t="str">
        <f>IF(ISERROR(FIND('112'!$M$9,G746,1)),"",IF((AND(RIGHT(G746,2)=RIGHT('112'!$M$9,2),B746&lt;'112'!$K$9,$O746='112'!$I$6)),"x",""))</f>
        <v/>
      </c>
      <c r="W746" s="84" t="str">
        <f>IF(AND('341-CT'!$H$9=H746,OR(LEFT(N746,3)=$W$7,LEFT(O746,3)=$W$7)),"x","")</f>
        <v/>
      </c>
      <c r="X746" s="84" t="str">
        <f>IF(OR(TH!N746=TH!$X$7,O746=TH!$X$7),"x","")</f>
        <v/>
      </c>
      <c r="Y746" s="84" t="str">
        <f>IF(AND(OR(N746="131",O746="131"),H746='131-CT'!$H$9),"x","")</f>
        <v/>
      </c>
      <c r="Z746" s="84"/>
      <c r="AA746" s="84" t="str">
        <f>IF(AND(MONTH(E746)='IN-NX'!$J$5,'IN-NX'!$D$7=D746),"x","")</f>
        <v/>
      </c>
      <c r="AB746" s="84" t="str">
        <f>IF(AND(OR(LEFT(TH!N746,2)="15",LEFT(TH!O746,2)="15"),LEFT(TH!O746,3)&lt;&gt;"111",'152-CT'!$J$8=TH!F746),"x","")</f>
        <v/>
      </c>
      <c r="AC746" s="84" t="str">
        <f>IF(AND(OR(LEFT(TH!N746,2)="15",LEFT(TH!O746,2)="15"),TK!$E$7=TH!F746),"x","")</f>
        <v/>
      </c>
      <c r="AD746" s="84" t="str">
        <f>IF(AND(N746="1521",MONTH(C746)='BK-NL'!$M$11),"x","")</f>
        <v/>
      </c>
    </row>
    <row r="747" spans="1:31" s="341" customFormat="1" ht="15.75" hidden="1" customHeight="1">
      <c r="A747" s="336" t="str">
        <f>IF(B747&lt;&gt;"",IF(AND(B747='IN-TC'!$S$4,OR(TH!N747="1111",TH!O747="1111")),TH!D747,""),"")</f>
        <v/>
      </c>
      <c r="B747" s="63">
        <f t="shared" si="162"/>
        <v>1</v>
      </c>
      <c r="C747" s="64">
        <v>42377</v>
      </c>
      <c r="D747" s="64" t="s">
        <v>885</v>
      </c>
      <c r="E747" s="64">
        <v>42377</v>
      </c>
      <c r="F747" s="67" t="s">
        <v>784</v>
      </c>
      <c r="G747" s="67" t="s">
        <v>820</v>
      </c>
      <c r="H747" s="73" t="s">
        <v>821</v>
      </c>
      <c r="I747" s="439"/>
      <c r="J747" s="439"/>
      <c r="K747" s="430"/>
      <c r="L747" s="439"/>
      <c r="M747" s="65">
        <v>536364</v>
      </c>
      <c r="N747" s="66" t="s">
        <v>9</v>
      </c>
      <c r="O747" s="66" t="s">
        <v>63</v>
      </c>
      <c r="P747" s="84" t="str">
        <f>IF(AND('331-CT'!$E$7=TH!H747,OR(N747="331",O747="331")),"x","")</f>
        <v/>
      </c>
      <c r="Q747" s="84" t="str">
        <f>IF(AND(B747='111'!$L$11,OR($N747=$Q$7,$O747=$Q$7)),"x","")</f>
        <v>x</v>
      </c>
      <c r="R747" s="84" t="str">
        <f>IF(AND($N747=$Q$7,$B747&lt;'111'!$L$11),"x","")</f>
        <v/>
      </c>
      <c r="S747" s="84" t="str">
        <f>IF(AND($O747=$Q$7,$B747&lt;'111'!$L$11),"x","")</f>
        <v/>
      </c>
      <c r="T747" s="84" t="str">
        <f>IF(ISERROR(FIND('112'!$M$9,G747,1)),"",IF((AND(FIND('112'!$M$9,G747,1)&gt;=1,B747='112'!$K$9,OR($N747='112'!$I$6,$O747='112'!$I$6))),"x",""))</f>
        <v/>
      </c>
      <c r="U747" s="84" t="str">
        <f>IF(ISERROR(FIND('112'!$M$9,G747,1)),"",IF((AND(LEFT(G747,2)=LEFT('112'!$M$9,2),B747&lt;'112'!$K$9,$N747='112'!$I$6)),"x",""))</f>
        <v/>
      </c>
      <c r="V747" s="84" t="str">
        <f>IF(ISERROR(FIND('112'!$M$9,G747,1)),"",IF((AND(RIGHT(G747,2)=RIGHT('112'!$M$9,2),B747&lt;'112'!$K$9,$O747='112'!$I$6)),"x",""))</f>
        <v/>
      </c>
      <c r="W747" s="84" t="str">
        <f>IF(AND('341-CT'!$H$9=H747,OR(LEFT(N747,3)=$W$7,LEFT(O747,3)=$W$7)),"x","")</f>
        <v/>
      </c>
      <c r="X747" s="84" t="str">
        <f>IF(OR(TH!N747=TH!$X$7,O747=TH!$X$7),"x","")</f>
        <v/>
      </c>
      <c r="Y747" s="84" t="str">
        <f>IF(AND(OR(N747="131",O747="131"),H747='131-CT'!$H$9),"x","")</f>
        <v/>
      </c>
      <c r="Z747" s="84"/>
      <c r="AA747" s="84" t="str">
        <f>IF(AND(MONTH(E747)='IN-NX'!$J$5,'IN-NX'!$D$7=D747),"x","")</f>
        <v/>
      </c>
      <c r="AB747" s="84" t="str">
        <f>IF(AND(OR(LEFT(TH!N747,2)="15",LEFT(TH!O747,2)="15"),LEFT(TH!O747,3)&lt;&gt;"111",'152-CT'!$J$8=TH!F747),"x","")</f>
        <v/>
      </c>
      <c r="AC747" s="84" t="str">
        <f>IF(AND(OR(LEFT(TH!N747,2)="15",LEFT(TH!O747,2)="15"),TK!$E$7=TH!F747),"x","")</f>
        <v/>
      </c>
      <c r="AD747" s="84" t="str">
        <f>IF(AND(N747="1521",MONTH(C747)='BK-NL'!$M$11),"x","")</f>
        <v/>
      </c>
    </row>
    <row r="748" spans="1:31" s="341" customFormat="1" ht="15.75" hidden="1" customHeight="1">
      <c r="A748" s="336" t="str">
        <f>IF(B748&lt;&gt;"",IF(AND(B748='IN-TC'!$S$4,OR(TH!N748="1111",TH!O748="1111")),TH!D748,""),"")</f>
        <v/>
      </c>
      <c r="B748" s="63">
        <f t="shared" si="162"/>
        <v>1</v>
      </c>
      <c r="C748" s="64">
        <v>42377</v>
      </c>
      <c r="D748" s="64" t="s">
        <v>886</v>
      </c>
      <c r="E748" s="64">
        <v>42377</v>
      </c>
      <c r="F748" s="67" t="s">
        <v>785</v>
      </c>
      <c r="G748" s="67" t="s">
        <v>822</v>
      </c>
      <c r="H748" s="73" t="s">
        <v>808</v>
      </c>
      <c r="I748" s="439"/>
      <c r="J748" s="439"/>
      <c r="K748" s="430"/>
      <c r="L748" s="439"/>
      <c r="M748" s="65">
        <v>851709</v>
      </c>
      <c r="N748" s="66" t="s">
        <v>101</v>
      </c>
      <c r="O748" s="66" t="s">
        <v>63</v>
      </c>
      <c r="P748" s="84" t="str">
        <f>IF(AND('331-CT'!$E$7=TH!H748,OR(N748="331",O748="331")),"x","")</f>
        <v/>
      </c>
      <c r="Q748" s="84" t="str">
        <f>IF(AND(B748='111'!$L$11,OR($N748=$Q$7,$O748=$Q$7)),"x","")</f>
        <v>x</v>
      </c>
      <c r="R748" s="84" t="str">
        <f>IF(AND($N748=$Q$7,$B748&lt;'111'!$L$11),"x","")</f>
        <v/>
      </c>
      <c r="S748" s="84" t="str">
        <f>IF(AND($O748=$Q$7,$B748&lt;'111'!$L$11),"x","")</f>
        <v/>
      </c>
      <c r="T748" s="84" t="str">
        <f>IF(ISERROR(FIND('112'!$M$9,G748,1)),"",IF((AND(FIND('112'!$M$9,G748,1)&gt;=1,B748='112'!$K$9,OR($N748='112'!$I$6,$O748='112'!$I$6))),"x",""))</f>
        <v/>
      </c>
      <c r="U748" s="84" t="str">
        <f>IF(ISERROR(FIND('112'!$M$9,G748,1)),"",IF((AND(LEFT(G748,2)=LEFT('112'!$M$9,2),B748&lt;'112'!$K$9,$N748='112'!$I$6)),"x",""))</f>
        <v/>
      </c>
      <c r="V748" s="84" t="str">
        <f>IF(ISERROR(FIND('112'!$M$9,G748,1)),"",IF((AND(RIGHT(G748,2)=RIGHT('112'!$M$9,2),B748&lt;'112'!$K$9,$O748='112'!$I$6)),"x",""))</f>
        <v/>
      </c>
      <c r="W748" s="84" t="str">
        <f>IF(AND('341-CT'!$H$9=H748,OR(LEFT(N748,3)=$W$7,LEFT(O748,3)=$W$7)),"x","")</f>
        <v/>
      </c>
      <c r="X748" s="84" t="str">
        <f>IF(OR(TH!N748=TH!$X$7,O748=TH!$X$7),"x","")</f>
        <v/>
      </c>
      <c r="Y748" s="84" t="str">
        <f>IF(AND(OR(N748="131",O748="131"),H748='131-CT'!$H$9),"x","")</f>
        <v/>
      </c>
      <c r="Z748" s="84"/>
      <c r="AA748" s="84" t="str">
        <f>IF(AND(MONTH(E748)='IN-NX'!$J$5,'IN-NX'!$D$7=D748),"x","")</f>
        <v/>
      </c>
      <c r="AB748" s="84" t="str">
        <f>IF(AND(OR(LEFT(TH!N748,2)="15",LEFT(TH!O748,2)="15"),LEFT(TH!O748,3)&lt;&gt;"111",'152-CT'!$J$8=TH!F748),"x","")</f>
        <v/>
      </c>
      <c r="AC748" s="84" t="str">
        <f>IF(AND(OR(LEFT(TH!N748,2)="15",LEFT(TH!O748,2)="15"),TK!$E$7=TH!F748),"x","")</f>
        <v/>
      </c>
      <c r="AD748" s="84" t="str">
        <f>IF(AND(N748="1521",MONTH(C748)='BK-NL'!$M$11),"x","")</f>
        <v/>
      </c>
    </row>
    <row r="749" spans="1:31" s="341" customFormat="1" ht="15.75" hidden="1" customHeight="1">
      <c r="A749" s="336" t="str">
        <f>IF(B749&lt;&gt;"",IF(AND(B749='IN-TC'!$S$4,OR(TH!N749="1111",TH!O749="1111")),TH!D749,""),"")</f>
        <v/>
      </c>
      <c r="B749" s="63">
        <f t="shared" si="162"/>
        <v>1</v>
      </c>
      <c r="C749" s="64">
        <v>42377</v>
      </c>
      <c r="D749" s="64" t="s">
        <v>886</v>
      </c>
      <c r="E749" s="64">
        <v>42377</v>
      </c>
      <c r="F749" s="67" t="s">
        <v>786</v>
      </c>
      <c r="G749" s="67" t="s">
        <v>822</v>
      </c>
      <c r="H749" s="346" t="s">
        <v>808</v>
      </c>
      <c r="I749" s="443"/>
      <c r="J749" s="443"/>
      <c r="K749" s="434"/>
      <c r="L749" s="443"/>
      <c r="M749" s="65">
        <v>85171</v>
      </c>
      <c r="N749" s="66" t="s">
        <v>9</v>
      </c>
      <c r="O749" s="66" t="s">
        <v>63</v>
      </c>
      <c r="P749" s="84" t="str">
        <f>IF(AND('331-CT'!$E$7=TH!H749,OR(N749="331",O749="331")),"x","")</f>
        <v/>
      </c>
      <c r="Q749" s="84" t="str">
        <f>IF(AND(B749='111'!$L$11,OR($N749=$Q$7,$O749=$Q$7)),"x","")</f>
        <v>x</v>
      </c>
      <c r="R749" s="84" t="str">
        <f>IF(AND($N749=$Q$7,$B749&lt;'111'!$L$11),"x","")</f>
        <v/>
      </c>
      <c r="S749" s="84" t="str">
        <f>IF(AND($O749=$Q$7,$B749&lt;'111'!$L$11),"x","")</f>
        <v/>
      </c>
      <c r="T749" s="84" t="str">
        <f>IF(ISERROR(FIND('112'!$M$9,G749,1)),"",IF((AND(FIND('112'!$M$9,G749,1)&gt;=1,B749='112'!$K$9,OR($N749='112'!$I$6,$O749='112'!$I$6))),"x",""))</f>
        <v/>
      </c>
      <c r="U749" s="84" t="str">
        <f>IF(ISERROR(FIND('112'!$M$9,G749,1)),"",IF((AND(LEFT(G749,2)=LEFT('112'!$M$9,2),B749&lt;'112'!$K$9,$N749='112'!$I$6)),"x",""))</f>
        <v/>
      </c>
      <c r="V749" s="84" t="str">
        <f>IF(ISERROR(FIND('112'!$M$9,G749,1)),"",IF((AND(RIGHT(G749,2)=RIGHT('112'!$M$9,2),B749&lt;'112'!$K$9,$O749='112'!$I$6)),"x",""))</f>
        <v/>
      </c>
      <c r="W749" s="84" t="str">
        <f>IF(AND('341-CT'!$H$9=H749,OR(LEFT(N749,3)=$W$7,LEFT(O749,3)=$W$7)),"x","")</f>
        <v/>
      </c>
      <c r="X749" s="84" t="str">
        <f>IF(OR(TH!N749=TH!$X$7,O749=TH!$X$7),"x","")</f>
        <v/>
      </c>
      <c r="Y749" s="84" t="str">
        <f>IF(AND(OR(N749="131",O749="131"),H749='131-CT'!$H$9),"x","")</f>
        <v/>
      </c>
      <c r="Z749" s="84"/>
      <c r="AA749" s="84" t="str">
        <f>IF(AND(MONTH(E749)='IN-NX'!$J$5,'IN-NX'!$D$7=D749),"x","")</f>
        <v/>
      </c>
      <c r="AB749" s="84" t="str">
        <f>IF(AND(OR(LEFT(TH!N749,2)="15",LEFT(TH!O749,2)="15"),LEFT(TH!O749,3)&lt;&gt;"111",'152-CT'!$J$8=TH!F749),"x","")</f>
        <v/>
      </c>
      <c r="AC749" s="84" t="str">
        <f>IF(AND(OR(LEFT(TH!N749,2)="15",LEFT(TH!O749,2)="15"),TK!$E$7=TH!F749),"x","")</f>
        <v/>
      </c>
      <c r="AD749" s="84" t="str">
        <f>IF(AND(N749="1521",MONTH(C749)='BK-NL'!$M$11),"x","")</f>
        <v/>
      </c>
    </row>
    <row r="750" spans="1:31" s="341" customFormat="1" ht="15.75" hidden="1" customHeight="1">
      <c r="A750" s="336" t="str">
        <f>IF(B750&lt;&gt;"",IF(AND(B750='IN-TC'!$S$4,OR(TH!N750="1111",TH!O750="1111")),TH!D750,""),"")</f>
        <v/>
      </c>
      <c r="B750" s="63">
        <f t="shared" si="162"/>
        <v>1</v>
      </c>
      <c r="C750" s="64">
        <v>42380</v>
      </c>
      <c r="D750" s="64" t="s">
        <v>705</v>
      </c>
      <c r="E750" s="64">
        <v>42380</v>
      </c>
      <c r="F750" s="67" t="s">
        <v>710</v>
      </c>
      <c r="G750" s="67" t="s">
        <v>919</v>
      </c>
      <c r="H750" s="73"/>
      <c r="I750" s="439"/>
      <c r="J750" s="439"/>
      <c r="K750" s="430">
        <v>15</v>
      </c>
      <c r="L750" s="439">
        <v>22440</v>
      </c>
      <c r="M750" s="83">
        <f>ROUND(K750*L750,0)</f>
        <v>336600</v>
      </c>
      <c r="N750" s="66" t="s">
        <v>101</v>
      </c>
      <c r="O750" s="66" t="s">
        <v>266</v>
      </c>
      <c r="P750" s="84" t="str">
        <f>IF(AND('331-CT'!$E$7=TH!H750,OR(N750="331",O750="331")),"x","")</f>
        <v/>
      </c>
      <c r="Q750" s="84" t="str">
        <f>IF(AND(B750='111'!$L$11,OR($N750=$Q$7,$O750=$Q$7)),"x","")</f>
        <v/>
      </c>
      <c r="R750" s="84" t="str">
        <f>IF(AND($N750=$Q$7,$B750&lt;'111'!$L$11),"x","")</f>
        <v/>
      </c>
      <c r="S750" s="84" t="str">
        <f>IF(AND($O750=$Q$7,$B750&lt;'111'!$L$11),"x","")</f>
        <v/>
      </c>
      <c r="T750" s="84" t="str">
        <f>IF(ISERROR(FIND('112'!$M$9,G750,1)),"",IF((AND(FIND('112'!$M$9,G750,1)&gt;=1,B750='112'!$K$9,OR($N750='112'!$I$6,$O750='112'!$I$6))),"x",""))</f>
        <v/>
      </c>
      <c r="U750" s="84" t="str">
        <f>IF(ISERROR(FIND('112'!$M$9,G750,1)),"",IF((AND(LEFT(G750,2)=LEFT('112'!$M$9,2),B750&lt;'112'!$K$9,$N750='112'!$I$6)),"x",""))</f>
        <v/>
      </c>
      <c r="V750" s="84" t="str">
        <f>IF(ISERROR(FIND('112'!$M$9,G750,1)),"",IF((AND(RIGHT(G750,2)=RIGHT('112'!$M$9,2),B750&lt;'112'!$K$9,$O750='112'!$I$6)),"x",""))</f>
        <v/>
      </c>
      <c r="W750" s="84" t="str">
        <f>IF(AND('341-CT'!$H$9=H750,OR(LEFT(N750,3)=$W$7,LEFT(O750,3)=$W$7)),"x","")</f>
        <v/>
      </c>
      <c r="X750" s="84" t="str">
        <f>IF(OR(TH!N750=TH!$X$7,O750=TH!$X$7),"x","")</f>
        <v/>
      </c>
      <c r="Y750" s="84" t="str">
        <f>IF(AND(OR(N750="131",O750="131"),H750='131-CT'!$H$9),"x","")</f>
        <v/>
      </c>
      <c r="Z750" s="84"/>
      <c r="AA750" s="84" t="str">
        <f>IF(AND(MONTH(E750)='IN-NX'!$J$5,'IN-NX'!$D$7=D750),"x","")</f>
        <v/>
      </c>
      <c r="AB750" s="84" t="str">
        <f>IF(AND(OR(LEFT(TH!N750,2)="15",LEFT(TH!O750,2)="15"),LEFT(TH!O750,3)&lt;&gt;"111",'152-CT'!$J$8=TH!F750),"x","")</f>
        <v/>
      </c>
      <c r="AC750" s="84" t="str">
        <f>IF(AND(OR(LEFT(TH!N750,2)="15",LEFT(TH!O750,2)="15"),TK!$E$7=TH!F750),"x","")</f>
        <v/>
      </c>
      <c r="AD750" s="84" t="str">
        <f>IF(AND(N750="1521",MONTH(C750)='BK-NL'!$M$11),"x","")</f>
        <v/>
      </c>
    </row>
    <row r="751" spans="1:31" s="341" customFormat="1" ht="15.75" hidden="1" customHeight="1">
      <c r="A751" s="336" t="str">
        <f>IF(B751&lt;&gt;"",IF(AND(B751='IN-TC'!$S$4,OR(TH!N751="1111",TH!O751="1111")),TH!D751,""),"")</f>
        <v/>
      </c>
      <c r="B751" s="63">
        <f t="shared" si="162"/>
        <v>1</v>
      </c>
      <c r="C751" s="64">
        <v>42380</v>
      </c>
      <c r="D751" s="64" t="s">
        <v>705</v>
      </c>
      <c r="E751" s="64">
        <v>42380</v>
      </c>
      <c r="F751" s="67" t="s">
        <v>711</v>
      </c>
      <c r="G751" s="67" t="s">
        <v>919</v>
      </c>
      <c r="H751" s="73"/>
      <c r="I751" s="439"/>
      <c r="J751" s="439"/>
      <c r="K751" s="430">
        <v>1.5</v>
      </c>
      <c r="L751" s="439">
        <v>22440</v>
      </c>
      <c r="M751" s="83">
        <f>ROUND(K751*L751,0)</f>
        <v>33660</v>
      </c>
      <c r="N751" s="66" t="s">
        <v>9</v>
      </c>
      <c r="O751" s="66" t="s">
        <v>266</v>
      </c>
      <c r="P751" s="84" t="str">
        <f>IF(AND('331-CT'!$E$7=TH!H751,OR(N751="331",O751="331")),"x","")</f>
        <v/>
      </c>
      <c r="Q751" s="84" t="str">
        <f>IF(AND(B751='111'!$L$11,OR($N751=$Q$7,$O751=$Q$7)),"x","")</f>
        <v/>
      </c>
      <c r="R751" s="84" t="str">
        <f>IF(AND($N751=$Q$7,$B751&lt;'111'!$L$11),"x","")</f>
        <v/>
      </c>
      <c r="S751" s="84" t="str">
        <f>IF(AND($O751=$Q$7,$B751&lt;'111'!$L$11),"x","")</f>
        <v/>
      </c>
      <c r="T751" s="84" t="str">
        <f>IF(ISERROR(FIND('112'!$M$9,G751,1)),"",IF((AND(FIND('112'!$M$9,G751,1)&gt;=1,B751='112'!$K$9,OR($N751='112'!$I$6,$O751='112'!$I$6))),"x",""))</f>
        <v/>
      </c>
      <c r="U751" s="84" t="str">
        <f>IF(ISERROR(FIND('112'!$M$9,G751,1)),"",IF((AND(LEFT(G751,2)=LEFT('112'!$M$9,2),B751&lt;'112'!$K$9,$N751='112'!$I$6)),"x",""))</f>
        <v/>
      </c>
      <c r="V751" s="84" t="str">
        <f>IF(ISERROR(FIND('112'!$M$9,G751,1)),"",IF((AND(RIGHT(G751,2)=RIGHT('112'!$M$9,2),B751&lt;'112'!$K$9,$O751='112'!$I$6)),"x",""))</f>
        <v/>
      </c>
      <c r="W751" s="84" t="str">
        <f>IF(AND('341-CT'!$H$9=H751,OR(LEFT(N751,3)=$W$7,LEFT(O751,3)=$W$7)),"x","")</f>
        <v/>
      </c>
      <c r="X751" s="84" t="str">
        <f>IF(OR(TH!N751=TH!$X$7,O751=TH!$X$7),"x","")</f>
        <v/>
      </c>
      <c r="Y751" s="84" t="str">
        <f>IF(AND(OR(N751="131",O751="131"),H751='131-CT'!$H$9),"x","")</f>
        <v/>
      </c>
      <c r="Z751" s="84"/>
      <c r="AA751" s="84" t="str">
        <f>IF(AND(MONTH(E751)='IN-NX'!$J$5,'IN-NX'!$D$7=D751),"x","")</f>
        <v/>
      </c>
      <c r="AB751" s="84" t="str">
        <f>IF(AND(OR(LEFT(TH!N751,2)="15",LEFT(TH!O751,2)="15"),LEFT(TH!O751,3)&lt;&gt;"111",'152-CT'!$J$8=TH!F751),"x","")</f>
        <v/>
      </c>
      <c r="AC751" s="84" t="str">
        <f>IF(AND(OR(LEFT(TH!N751,2)="15",LEFT(TH!O751,2)="15"),TK!$E$7=TH!F751),"x","")</f>
        <v/>
      </c>
      <c r="AD751" s="84" t="str">
        <f>IF(AND(N751="1521",MONTH(C751)='BK-NL'!$M$11),"x","")</f>
        <v/>
      </c>
    </row>
    <row r="752" spans="1:31" s="341" customFormat="1" ht="15.75" hidden="1" customHeight="1">
      <c r="A752" s="336" t="str">
        <f>IF(B752&lt;&gt;"",IF(AND(B752='IN-TC'!$S$4,OR(TH!N752="1111",TH!O752="1111")),TH!D752,""),"")</f>
        <v/>
      </c>
      <c r="B752" s="63">
        <f t="shared" si="162"/>
        <v>1</v>
      </c>
      <c r="C752" s="64">
        <v>42380</v>
      </c>
      <c r="D752" s="64" t="s">
        <v>887</v>
      </c>
      <c r="E752" s="64">
        <v>42380</v>
      </c>
      <c r="F752" s="68" t="s">
        <v>771</v>
      </c>
      <c r="G752" s="67" t="s">
        <v>823</v>
      </c>
      <c r="H752" s="73" t="s">
        <v>808</v>
      </c>
      <c r="I752" s="439"/>
      <c r="J752" s="439"/>
      <c r="K752" s="430"/>
      <c r="L752" s="439"/>
      <c r="M752" s="65">
        <v>595900</v>
      </c>
      <c r="N752" s="66" t="s">
        <v>101</v>
      </c>
      <c r="O752" s="66" t="s">
        <v>63</v>
      </c>
      <c r="P752" s="84" t="str">
        <f>IF(AND('331-CT'!$E$7=TH!H752,OR(N752="331",O752="331")),"x","")</f>
        <v/>
      </c>
      <c r="Q752" s="84" t="str">
        <f>IF(AND(B752='111'!$L$11,OR($N752=$Q$7,$O752=$Q$7)),"x","")</f>
        <v>x</v>
      </c>
      <c r="R752" s="84" t="str">
        <f>IF(AND($N752=$Q$7,$B752&lt;'111'!$L$11),"x","")</f>
        <v/>
      </c>
      <c r="S752" s="84" t="str">
        <f>IF(AND($O752=$Q$7,$B752&lt;'111'!$L$11),"x","")</f>
        <v/>
      </c>
      <c r="T752" s="84" t="str">
        <f>IF(ISERROR(FIND('112'!$M$9,G752,1)),"",IF((AND(FIND('112'!$M$9,G752,1)&gt;=1,B752='112'!$K$9,OR($N752='112'!$I$6,$O752='112'!$I$6))),"x",""))</f>
        <v/>
      </c>
      <c r="U752" s="84" t="str">
        <f>IF(ISERROR(FIND('112'!$M$9,G752,1)),"",IF((AND(LEFT(G752,2)=LEFT('112'!$M$9,2),B752&lt;'112'!$K$9,$N752='112'!$I$6)),"x",""))</f>
        <v/>
      </c>
      <c r="V752" s="84" t="str">
        <f>IF(ISERROR(FIND('112'!$M$9,G752,1)),"",IF((AND(RIGHT(G752,2)=RIGHT('112'!$M$9,2),B752&lt;'112'!$K$9,$O752='112'!$I$6)),"x",""))</f>
        <v/>
      </c>
      <c r="W752" s="84" t="str">
        <f>IF(AND('341-CT'!$H$9=H752,OR(LEFT(N752,3)=$W$7,LEFT(O752,3)=$W$7)),"x","")</f>
        <v/>
      </c>
      <c r="X752" s="84" t="str">
        <f>IF(OR(TH!N752=TH!$X$7,O752=TH!$X$7),"x","")</f>
        <v/>
      </c>
      <c r="Y752" s="84" t="str">
        <f>IF(AND(OR(N752="131",O752="131"),H752='131-CT'!$H$9),"x","")</f>
        <v/>
      </c>
      <c r="Z752" s="84"/>
      <c r="AA752" s="84" t="str">
        <f>IF(AND(MONTH(E752)='IN-NX'!$J$5,'IN-NX'!$D$7=D752),"x","")</f>
        <v/>
      </c>
      <c r="AB752" s="84" t="str">
        <f>IF(AND(OR(LEFT(TH!N752,2)="15",LEFT(TH!O752,2)="15"),LEFT(TH!O752,3)&lt;&gt;"111",'152-CT'!$J$8=TH!F752),"x","")</f>
        <v/>
      </c>
      <c r="AC752" s="84" t="str">
        <f>IF(AND(OR(LEFT(TH!N752,2)="15",LEFT(TH!O752,2)="15"),TK!$E$7=TH!F752),"x","")</f>
        <v/>
      </c>
      <c r="AD752" s="84" t="str">
        <f>IF(AND(N752="1521",MONTH(C752)='BK-NL'!$M$11),"x","")</f>
        <v/>
      </c>
    </row>
    <row r="753" spans="1:31" s="341" customFormat="1" ht="15.75" hidden="1" customHeight="1">
      <c r="A753" s="336" t="str">
        <f>IF(B753&lt;&gt;"",IF(AND(B753='IN-TC'!$S$4,OR(TH!N753="1111",TH!O753="1111")),TH!D753,""),"")</f>
        <v/>
      </c>
      <c r="B753" s="63">
        <f t="shared" si="162"/>
        <v>1</v>
      </c>
      <c r="C753" s="64">
        <v>42380</v>
      </c>
      <c r="D753" s="64" t="s">
        <v>887</v>
      </c>
      <c r="E753" s="64">
        <v>42380</v>
      </c>
      <c r="F753" s="67" t="s">
        <v>772</v>
      </c>
      <c r="G753" s="982" t="s">
        <v>823</v>
      </c>
      <c r="H753" s="73" t="s">
        <v>808</v>
      </c>
      <c r="I753" s="439"/>
      <c r="J753" s="439"/>
      <c r="K753" s="430"/>
      <c r="L753" s="439"/>
      <c r="M753" s="65">
        <v>59590</v>
      </c>
      <c r="N753" s="66" t="s">
        <v>9</v>
      </c>
      <c r="O753" s="66" t="s">
        <v>63</v>
      </c>
      <c r="P753" s="84" t="str">
        <f>IF(AND('331-CT'!$E$7=TH!H753,OR(N753="331",O753="331")),"x","")</f>
        <v/>
      </c>
      <c r="Q753" s="84" t="str">
        <f>IF(AND(B753='111'!$L$11,OR($N753=$Q$7,$O753=$Q$7)),"x","")</f>
        <v>x</v>
      </c>
      <c r="R753" s="84" t="str">
        <f>IF(AND($N753=$Q$7,$B753&lt;'111'!$L$11),"x","")</f>
        <v/>
      </c>
      <c r="S753" s="84" t="str">
        <f>IF(AND($O753=$Q$7,$B753&lt;'111'!$L$11),"x","")</f>
        <v/>
      </c>
      <c r="T753" s="84" t="str">
        <f>IF(ISERROR(FIND('112'!$M$9,G753,1)),"",IF((AND(FIND('112'!$M$9,G753,1)&gt;=1,B753='112'!$K$9,OR($N753='112'!$I$6,$O753='112'!$I$6))),"x",""))</f>
        <v/>
      </c>
      <c r="U753" s="84" t="str">
        <f>IF(ISERROR(FIND('112'!$M$9,G753,1)),"",IF((AND(LEFT(G753,2)=LEFT('112'!$M$9,2),B753&lt;'112'!$K$9,$N753='112'!$I$6)),"x",""))</f>
        <v/>
      </c>
      <c r="V753" s="84" t="str">
        <f>IF(ISERROR(FIND('112'!$M$9,G753,1)),"",IF((AND(RIGHT(G753,2)=RIGHT('112'!$M$9,2),B753&lt;'112'!$K$9,$O753='112'!$I$6)),"x",""))</f>
        <v/>
      </c>
      <c r="W753" s="84" t="str">
        <f>IF(AND('341-CT'!$H$9=H753,OR(LEFT(N753,3)=$W$7,LEFT(O753,3)=$W$7)),"x","")</f>
        <v/>
      </c>
      <c r="X753" s="84" t="str">
        <f>IF(OR(TH!N753=TH!$X$7,O753=TH!$X$7),"x","")</f>
        <v/>
      </c>
      <c r="Y753" s="84" t="str">
        <f>IF(AND(OR(N753="131",O753="131"),H753='131-CT'!$H$9),"x","")</f>
        <v/>
      </c>
      <c r="Z753" s="84"/>
      <c r="AA753" s="84" t="str">
        <f>IF(AND(MONTH(E753)='IN-NX'!$J$5,'IN-NX'!$D$7=D753),"x","")</f>
        <v/>
      </c>
      <c r="AB753" s="84" t="str">
        <f>IF(AND(OR(LEFT(TH!N753,2)="15",LEFT(TH!O753,2)="15"),LEFT(TH!O753,3)&lt;&gt;"111",'152-CT'!$J$8=TH!F753),"x","")</f>
        <v/>
      </c>
      <c r="AC753" s="84" t="str">
        <f>IF(AND(OR(LEFT(TH!N753,2)="15",LEFT(TH!O753,2)="15"),TK!$E$7=TH!F753),"x","")</f>
        <v/>
      </c>
      <c r="AD753" s="84" t="str">
        <f>IF(AND(N753="1521",MONTH(C753)='BK-NL'!$M$11),"x","")</f>
        <v/>
      </c>
    </row>
    <row r="754" spans="1:31" s="341" customFormat="1" ht="15.75" hidden="1" customHeight="1">
      <c r="A754" s="336" t="str">
        <f>IF(B754&lt;&gt;"",IF(AND(B754='IN-TC'!$S$4,OR(TH!N754="1111",TH!O754="1111")),TH!D754,""),"")</f>
        <v/>
      </c>
      <c r="B754" s="63">
        <f t="shared" si="162"/>
        <v>1</v>
      </c>
      <c r="C754" s="80">
        <f>E754</f>
        <v>42380</v>
      </c>
      <c r="D754" s="64" t="s">
        <v>888</v>
      </c>
      <c r="E754" s="80">
        <v>42380</v>
      </c>
      <c r="F754" s="81" t="s">
        <v>964</v>
      </c>
      <c r="G754" s="81"/>
      <c r="H754" s="82" t="s">
        <v>963</v>
      </c>
      <c r="I754" s="437"/>
      <c r="J754" s="437"/>
      <c r="K754" s="428"/>
      <c r="L754" s="437"/>
      <c r="M754" s="83">
        <v>500000000</v>
      </c>
      <c r="N754" s="84" t="s">
        <v>272</v>
      </c>
      <c r="O754" s="66" t="s">
        <v>63</v>
      </c>
      <c r="P754" s="84" t="str">
        <f>IF(AND('331-CT'!$E$7=TH!H754,OR(N754="331",O754="331")),"x","")</f>
        <v/>
      </c>
      <c r="Q754" s="84" t="str">
        <f>IF(AND(B754='111'!$L$11,OR($N754=$Q$7,$O754=$Q$7)),"x","")</f>
        <v>x</v>
      </c>
      <c r="R754" s="84" t="str">
        <f>IF(AND($N754=$Q$7,$B754&lt;'111'!$L$11),"x","")</f>
        <v/>
      </c>
      <c r="S754" s="84" t="str">
        <f>IF(AND($O754=$Q$7,$B754&lt;'111'!$L$11),"x","")</f>
        <v/>
      </c>
      <c r="T754" s="84" t="str">
        <f>IF(ISERROR(FIND('112'!$M$9,G754,1)),"",IF((AND(FIND('112'!$M$9,G754,1)&gt;=1,B754='112'!$K$9,OR($N754='112'!$I$6,$O754='112'!$I$6))),"x",""))</f>
        <v/>
      </c>
      <c r="U754" s="84" t="str">
        <f>IF(ISERROR(FIND('112'!$M$9,G754,1)),"",IF((AND(LEFT(G754,2)=LEFT('112'!$M$9,2),B754&lt;'112'!$K$9,$N754='112'!$I$6)),"x",""))</f>
        <v/>
      </c>
      <c r="V754" s="84" t="str">
        <f>IF(ISERROR(FIND('112'!$M$9,G754,1)),"",IF((AND(RIGHT(G754,2)=RIGHT('112'!$M$9,2),B754&lt;'112'!$K$9,$O754='112'!$I$6)),"x",""))</f>
        <v/>
      </c>
      <c r="W754" s="84" t="str">
        <f>IF(AND('341-CT'!$H$9=H754,OR(LEFT(N754,3)=$W$7,LEFT(O754,3)=$W$7)),"x","")</f>
        <v/>
      </c>
      <c r="X754" s="84" t="str">
        <f>IF(OR(TH!N754=TH!$X$7,O754=TH!$X$7),"x","")</f>
        <v/>
      </c>
      <c r="Y754" s="84" t="str">
        <f>IF(AND(OR(N754="131",O754="131"),H754='131-CT'!$H$9),"x","")</f>
        <v/>
      </c>
      <c r="Z754" s="84"/>
      <c r="AA754" s="84" t="str">
        <f>IF(AND(MONTH(E754)='IN-NX'!$J$5,'IN-NX'!$D$7=D754),"x","")</f>
        <v/>
      </c>
      <c r="AB754" s="84" t="str">
        <f>IF(AND(OR(LEFT(TH!N754,2)="15",LEFT(TH!O754,2)="15"),LEFT(TH!O754,3)&lt;&gt;"111",'152-CT'!$J$8=TH!F754),"x","")</f>
        <v/>
      </c>
      <c r="AC754" s="84" t="str">
        <f>IF(AND(OR(LEFT(TH!N754,2)="15",LEFT(TH!O754,2)="15"),TK!$E$7=TH!F754),"x","")</f>
        <v/>
      </c>
      <c r="AD754" s="84" t="str">
        <f>IF(AND(N754="1521",MONTH(C754)='BK-NL'!$M$11),"x","")</f>
        <v/>
      </c>
    </row>
    <row r="755" spans="1:31" s="341" customFormat="1" ht="15.75" hidden="1" customHeight="1">
      <c r="A755" s="336" t="str">
        <f>IF(B755&lt;&gt;"",IF(AND(B755='IN-TC'!$S$4,OR(TH!N755="1111",TH!O755="1111")),TH!D755,""),"")</f>
        <v/>
      </c>
      <c r="B755" s="63">
        <f t="shared" si="162"/>
        <v>1</v>
      </c>
      <c r="C755" s="64">
        <v>42381</v>
      </c>
      <c r="D755" s="64" t="s">
        <v>889</v>
      </c>
      <c r="E755" s="64">
        <v>42381</v>
      </c>
      <c r="F755" s="67" t="s">
        <v>776</v>
      </c>
      <c r="G755" s="982" t="s">
        <v>824</v>
      </c>
      <c r="H755" s="73" t="s">
        <v>808</v>
      </c>
      <c r="I755" s="439"/>
      <c r="J755" s="439"/>
      <c r="K755" s="430"/>
      <c r="L755" s="439"/>
      <c r="M755" s="65">
        <v>790873</v>
      </c>
      <c r="N755" s="66" t="s">
        <v>101</v>
      </c>
      <c r="O755" s="66" t="s">
        <v>63</v>
      </c>
      <c r="P755" s="84" t="str">
        <f>IF(AND('331-CT'!$E$7=TH!H755,OR(N755="331",O755="331")),"x","")</f>
        <v/>
      </c>
      <c r="Q755" s="84" t="str">
        <f>IF(AND(B755='111'!$L$11,OR($N755=$Q$7,$O755=$Q$7)),"x","")</f>
        <v>x</v>
      </c>
      <c r="R755" s="84" t="str">
        <f>IF(AND($N755=$Q$7,$B755&lt;'111'!$L$11),"x","")</f>
        <v/>
      </c>
      <c r="S755" s="84" t="str">
        <f>IF(AND($O755=$Q$7,$B755&lt;'111'!$L$11),"x","")</f>
        <v/>
      </c>
      <c r="T755" s="84" t="str">
        <f>IF(ISERROR(FIND('112'!$M$9,G755,1)),"",IF((AND(FIND('112'!$M$9,G755,1)&gt;=1,B755='112'!$K$9,OR($N755='112'!$I$6,$O755='112'!$I$6))),"x",""))</f>
        <v/>
      </c>
      <c r="U755" s="84" t="str">
        <f>IF(ISERROR(FIND('112'!$M$9,G755,1)),"",IF((AND(LEFT(G755,2)=LEFT('112'!$M$9,2),B755&lt;'112'!$K$9,$N755='112'!$I$6)),"x",""))</f>
        <v/>
      </c>
      <c r="V755" s="84" t="str">
        <f>IF(ISERROR(FIND('112'!$M$9,G755,1)),"",IF((AND(RIGHT(G755,2)=RIGHT('112'!$M$9,2),B755&lt;'112'!$K$9,$O755='112'!$I$6)),"x",""))</f>
        <v/>
      </c>
      <c r="W755" s="84" t="str">
        <f>IF(AND('341-CT'!$H$9=H755,OR(LEFT(N755,3)=$W$7,LEFT(O755,3)=$W$7)),"x","")</f>
        <v/>
      </c>
      <c r="X755" s="84" t="str">
        <f>IF(OR(TH!N755=TH!$X$7,O755=TH!$X$7),"x","")</f>
        <v/>
      </c>
      <c r="Y755" s="84" t="str">
        <f>IF(AND(OR(N755="131",O755="131"),H755='131-CT'!$H$9),"x","")</f>
        <v/>
      </c>
      <c r="Z755" s="84"/>
      <c r="AA755" s="84" t="str">
        <f>IF(AND(MONTH(E755)='IN-NX'!$J$5,'IN-NX'!$D$7=D755),"x","")</f>
        <v/>
      </c>
      <c r="AB755" s="84" t="str">
        <f>IF(AND(OR(LEFT(TH!N755,2)="15",LEFT(TH!O755,2)="15"),LEFT(TH!O755,3)&lt;&gt;"111",'152-CT'!$J$8=TH!F755),"x","")</f>
        <v/>
      </c>
      <c r="AC755" s="84" t="str">
        <f>IF(AND(OR(LEFT(TH!N755,2)="15",LEFT(TH!O755,2)="15"),TK!$E$7=TH!F755),"x","")</f>
        <v/>
      </c>
      <c r="AD755" s="84" t="str">
        <f>IF(AND(N755="1521",MONTH(C755)='BK-NL'!$M$11),"x","")</f>
        <v/>
      </c>
    </row>
    <row r="756" spans="1:31" ht="15.75" hidden="1" customHeight="1">
      <c r="A756" s="336" t="str">
        <f>IF(B756&lt;&gt;"",IF(AND(B756='IN-TC'!$S$4,OR(TH!N756="1111",TH!O756="1111")),TH!D756,""),"")</f>
        <v/>
      </c>
      <c r="B756" s="63">
        <f t="shared" si="162"/>
        <v>1</v>
      </c>
      <c r="C756" s="64">
        <v>42381</v>
      </c>
      <c r="D756" s="64" t="s">
        <v>889</v>
      </c>
      <c r="E756" s="64">
        <v>42381</v>
      </c>
      <c r="F756" s="67" t="s">
        <v>777</v>
      </c>
      <c r="G756" s="982" t="s">
        <v>824</v>
      </c>
      <c r="H756" s="73" t="s">
        <v>808</v>
      </c>
      <c r="I756" s="439"/>
      <c r="J756" s="439"/>
      <c r="K756" s="430"/>
      <c r="L756" s="439"/>
      <c r="M756" s="65">
        <v>79087</v>
      </c>
      <c r="N756" s="66" t="s">
        <v>9</v>
      </c>
      <c r="O756" s="66" t="s">
        <v>63</v>
      </c>
      <c r="P756" s="84" t="str">
        <f>IF(AND('331-CT'!$E$7=TH!H756,OR(N756="331",O756="331")),"x","")</f>
        <v/>
      </c>
      <c r="Q756" s="84" t="str">
        <f>IF(AND(B756='111'!$L$11,OR($N756=$Q$7,$O756=$Q$7)),"x","")</f>
        <v>x</v>
      </c>
      <c r="R756" s="84" t="str">
        <f>IF(AND($N756=$Q$7,$B756&lt;'111'!$L$11),"x","")</f>
        <v/>
      </c>
      <c r="S756" s="84" t="str">
        <f>IF(AND($O756=$Q$7,$B756&lt;'111'!$L$11),"x","")</f>
        <v/>
      </c>
      <c r="T756" s="84" t="str">
        <f>IF(ISERROR(FIND('112'!$M$9,G756,1)),"",IF((AND(FIND('112'!$M$9,G756,1)&gt;=1,B756='112'!$K$9,OR($N756='112'!$I$6,$O756='112'!$I$6))),"x",""))</f>
        <v/>
      </c>
      <c r="U756" s="84" t="str">
        <f>IF(ISERROR(FIND('112'!$M$9,G756,1)),"",IF((AND(LEFT(G756,2)=LEFT('112'!$M$9,2),B756&lt;'112'!$K$9,$N756='112'!$I$6)),"x",""))</f>
        <v/>
      </c>
      <c r="V756" s="84" t="str">
        <f>IF(ISERROR(FIND('112'!$M$9,G756,1)),"",IF((AND(RIGHT(G756,2)=RIGHT('112'!$M$9,2),B756&lt;'112'!$K$9,$O756='112'!$I$6)),"x",""))</f>
        <v/>
      </c>
      <c r="W756" s="84" t="str">
        <f>IF(AND('341-CT'!$H$9=H756,OR(LEFT(N756,3)=$W$7,LEFT(O756,3)=$W$7)),"x","")</f>
        <v/>
      </c>
      <c r="X756" s="84" t="str">
        <f>IF(OR(TH!N756=TH!$X$7,O756=TH!$X$7),"x","")</f>
        <v/>
      </c>
      <c r="Y756" s="84" t="str">
        <f>IF(AND(OR(N756="131",O756="131"),H756='131-CT'!$H$9),"x","")</f>
        <v/>
      </c>
      <c r="Z756" s="84"/>
      <c r="AA756" s="84" t="str">
        <f>IF(AND(MONTH(E756)='IN-NX'!$J$5,'IN-NX'!$D$7=D756),"x","")</f>
        <v/>
      </c>
      <c r="AB756" s="84" t="str">
        <f>IF(AND(OR(LEFT(TH!N756,2)="15",LEFT(TH!O756,2)="15"),LEFT(TH!O756,3)&lt;&gt;"111",'152-CT'!$J$8=TH!F756),"x","")</f>
        <v/>
      </c>
      <c r="AC756" s="84" t="str">
        <f>IF(AND(OR(LEFT(TH!N756,2)="15",LEFT(TH!O756,2)="15"),TK!$E$7=TH!F756),"x","")</f>
        <v/>
      </c>
      <c r="AD756" s="84" t="str">
        <f>IF(AND(N756="1521",MONTH(C756)='BK-NL'!$M$11),"x","")</f>
        <v/>
      </c>
    </row>
    <row r="757" spans="1:31" ht="15.75" hidden="1" customHeight="1">
      <c r="A757" s="336" t="str">
        <f>IF(B757&lt;&gt;"",IF(AND(B757='IN-TC'!$S$4,OR(TH!N757="1111",TH!O757="1111")),TH!D757,""),"")</f>
        <v/>
      </c>
      <c r="B757" s="63">
        <f t="shared" si="162"/>
        <v>1</v>
      </c>
      <c r="C757" s="64">
        <v>42381</v>
      </c>
      <c r="D757" s="64" t="s">
        <v>890</v>
      </c>
      <c r="E757" s="64">
        <v>42381</v>
      </c>
      <c r="F757" s="67" t="s">
        <v>787</v>
      </c>
      <c r="G757" s="982" t="s">
        <v>825</v>
      </c>
      <c r="H757" s="73" t="s">
        <v>826</v>
      </c>
      <c r="I757" s="439"/>
      <c r="J757" s="439"/>
      <c r="K757" s="430"/>
      <c r="L757" s="439"/>
      <c r="M757" s="65">
        <v>3325000</v>
      </c>
      <c r="N757" s="66" t="s">
        <v>101</v>
      </c>
      <c r="O757" s="66" t="s">
        <v>63</v>
      </c>
      <c r="P757" s="84" t="str">
        <f>IF(AND('331-CT'!$E$7=TH!H757,OR(N757="331",O757="331")),"x","")</f>
        <v/>
      </c>
      <c r="Q757" s="84" t="str">
        <f>IF(AND(B757='111'!$L$11,OR($N757=$Q$7,$O757=$Q$7)),"x","")</f>
        <v>x</v>
      </c>
      <c r="R757" s="84" t="str">
        <f>IF(AND($N757=$Q$7,$B757&lt;'111'!$L$11),"x","")</f>
        <v/>
      </c>
      <c r="S757" s="84" t="str">
        <f>IF(AND($O757=$Q$7,$B757&lt;'111'!$L$11),"x","")</f>
        <v/>
      </c>
      <c r="T757" s="84" t="str">
        <f>IF(ISERROR(FIND('112'!$M$9,G757,1)),"",IF((AND(FIND('112'!$M$9,G757,1)&gt;=1,B757='112'!$K$9,OR($N757='112'!$I$6,$O757='112'!$I$6))),"x",""))</f>
        <v/>
      </c>
      <c r="U757" s="84" t="str">
        <f>IF(ISERROR(FIND('112'!$M$9,G757,1)),"",IF((AND(LEFT(G757,2)=LEFT('112'!$M$9,2),B757&lt;'112'!$K$9,$N757='112'!$I$6)),"x",""))</f>
        <v/>
      </c>
      <c r="V757" s="84" t="str">
        <f>IF(ISERROR(FIND('112'!$M$9,G757,1)),"",IF((AND(RIGHT(G757,2)=RIGHT('112'!$M$9,2),B757&lt;'112'!$K$9,$O757='112'!$I$6)),"x",""))</f>
        <v/>
      </c>
      <c r="W757" s="84" t="str">
        <f>IF(AND('341-CT'!$H$9=H757,OR(LEFT(N757,3)=$W$7,LEFT(O757,3)=$W$7)),"x","")</f>
        <v/>
      </c>
      <c r="X757" s="84" t="str">
        <f>IF(OR(TH!N757=TH!$X$7,O757=TH!$X$7),"x","")</f>
        <v/>
      </c>
      <c r="Y757" s="84" t="str">
        <f>IF(AND(OR(N757="131",O757="131"),H757='131-CT'!$H$9),"x","")</f>
        <v/>
      </c>
      <c r="Z757" s="84"/>
      <c r="AA757" s="84" t="str">
        <f>IF(AND(MONTH(E757)='IN-NX'!$J$5,'IN-NX'!$D$7=D757),"x","")</f>
        <v/>
      </c>
      <c r="AB757" s="84" t="str">
        <f>IF(AND(OR(LEFT(TH!N757,2)="15",LEFT(TH!O757,2)="15"),LEFT(TH!O757,3)&lt;&gt;"111",'152-CT'!$J$8=TH!F757),"x","")</f>
        <v/>
      </c>
      <c r="AC757" s="84" t="str">
        <f>IF(AND(OR(LEFT(TH!N757,2)="15",LEFT(TH!O757,2)="15"),TK!$E$7=TH!F757),"x","")</f>
        <v/>
      </c>
      <c r="AD757" s="84" t="str">
        <f>IF(AND(N757="1521",MONTH(C757)='BK-NL'!$M$11),"x","")</f>
        <v/>
      </c>
    </row>
    <row r="758" spans="1:31" ht="15.75" hidden="1" customHeight="1">
      <c r="A758" s="336" t="str">
        <f>IF(B758&lt;&gt;"",IF(AND(B758='IN-TC'!$S$4,OR(TH!N758="1111",TH!O758="1111")),TH!D758,""),"")</f>
        <v/>
      </c>
      <c r="B758" s="63">
        <f t="shared" si="162"/>
        <v>1</v>
      </c>
      <c r="C758" s="64">
        <v>42381</v>
      </c>
      <c r="D758" s="64" t="s">
        <v>890</v>
      </c>
      <c r="E758" s="64">
        <v>42381</v>
      </c>
      <c r="F758" s="67" t="s">
        <v>788</v>
      </c>
      <c r="G758" s="982" t="s">
        <v>825</v>
      </c>
      <c r="H758" s="73" t="s">
        <v>826</v>
      </c>
      <c r="I758" s="439"/>
      <c r="J758" s="439"/>
      <c r="K758" s="430"/>
      <c r="L758" s="439"/>
      <c r="M758" s="65">
        <v>332500</v>
      </c>
      <c r="N758" s="66" t="s">
        <v>9</v>
      </c>
      <c r="O758" s="66" t="s">
        <v>63</v>
      </c>
      <c r="P758" s="84" t="str">
        <f>IF(AND('331-CT'!$E$7=TH!H758,OR(N758="331",O758="331")),"x","")</f>
        <v/>
      </c>
      <c r="Q758" s="84" t="str">
        <f>IF(AND(B758='111'!$L$11,OR($N758=$Q$7,$O758=$Q$7)),"x","")</f>
        <v>x</v>
      </c>
      <c r="R758" s="84" t="str">
        <f>IF(AND($N758=$Q$7,$B758&lt;'111'!$L$11),"x","")</f>
        <v/>
      </c>
      <c r="S758" s="84" t="str">
        <f>IF(AND($O758=$Q$7,$B758&lt;'111'!$L$11),"x","")</f>
        <v/>
      </c>
      <c r="T758" s="84" t="str">
        <f>IF(ISERROR(FIND('112'!$M$9,G758,1)),"",IF((AND(FIND('112'!$M$9,G758,1)&gt;=1,B758='112'!$K$9,OR($N758='112'!$I$6,$O758='112'!$I$6))),"x",""))</f>
        <v/>
      </c>
      <c r="U758" s="84" t="str">
        <f>IF(ISERROR(FIND('112'!$M$9,G758,1)),"",IF((AND(LEFT(G758,2)=LEFT('112'!$M$9,2),B758&lt;'112'!$K$9,$N758='112'!$I$6)),"x",""))</f>
        <v/>
      </c>
      <c r="V758" s="84" t="str">
        <f>IF(ISERROR(FIND('112'!$M$9,G758,1)),"",IF((AND(RIGHT(G758,2)=RIGHT('112'!$M$9,2),B758&lt;'112'!$K$9,$O758='112'!$I$6)),"x",""))</f>
        <v/>
      </c>
      <c r="W758" s="84" t="str">
        <f>IF(AND('341-CT'!$H$9=H758,OR(LEFT(N758,3)=$W$7,LEFT(O758,3)=$W$7)),"x","")</f>
        <v/>
      </c>
      <c r="X758" s="84" t="str">
        <f>IF(OR(TH!N758=TH!$X$7,O758=TH!$X$7),"x","")</f>
        <v/>
      </c>
      <c r="Y758" s="84" t="str">
        <f>IF(AND(OR(N758="131",O758="131"),H758='131-CT'!$H$9),"x","")</f>
        <v/>
      </c>
      <c r="Z758" s="84"/>
      <c r="AA758" s="84" t="str">
        <f>IF(AND(MONTH(E758)='IN-NX'!$J$5,'IN-NX'!$D$7=D758),"x","")</f>
        <v/>
      </c>
      <c r="AB758" s="84" t="str">
        <f>IF(AND(OR(LEFT(TH!N758,2)="15",LEFT(TH!O758,2)="15"),LEFT(TH!O758,3)&lt;&gt;"111",'152-CT'!$J$8=TH!F758),"x","")</f>
        <v/>
      </c>
      <c r="AC758" s="84" t="str">
        <f>IF(AND(OR(LEFT(TH!N758,2)="15",LEFT(TH!O758,2)="15"),TK!$E$7=TH!F758),"x","")</f>
        <v/>
      </c>
      <c r="AD758" s="84" t="str">
        <f>IF(AND(N758="1521",MONTH(C758)='BK-NL'!$M$11),"x","")</f>
        <v/>
      </c>
    </row>
    <row r="759" spans="1:31" ht="15.75" hidden="1" customHeight="1">
      <c r="A759" s="336" t="str">
        <f>IF(B759&lt;&gt;"",IF(AND(B759='IN-TC'!$S$4,OR(TH!N759="1111",TH!O759="1111")),TH!D759,""),"")</f>
        <v/>
      </c>
      <c r="B759" s="63">
        <f t="shared" si="162"/>
        <v>1</v>
      </c>
      <c r="C759" s="64">
        <v>42382</v>
      </c>
      <c r="D759" s="64" t="s">
        <v>705</v>
      </c>
      <c r="E759" s="64">
        <v>42382</v>
      </c>
      <c r="F759" s="67" t="s">
        <v>744</v>
      </c>
      <c r="G759" s="67" t="s">
        <v>919</v>
      </c>
      <c r="H759" s="67"/>
      <c r="I759" s="442"/>
      <c r="J759" s="442"/>
      <c r="K759" s="433"/>
      <c r="L759" s="442"/>
      <c r="M759" s="65">
        <v>2000000</v>
      </c>
      <c r="N759" s="66" t="s">
        <v>79</v>
      </c>
      <c r="O759" s="66" t="s">
        <v>26</v>
      </c>
      <c r="P759" s="84" t="str">
        <f>IF(AND('331-CT'!$E$7=TH!H759,OR(N759="331",O759="331")),"x","")</f>
        <v/>
      </c>
      <c r="Q759" s="84" t="str">
        <f>IF(AND(B759='111'!$L$11,OR($N759=$Q$7,$O759=$Q$7)),"x","")</f>
        <v/>
      </c>
      <c r="R759" s="84" t="str">
        <f>IF(AND($N759=$Q$7,$B759&lt;'111'!$L$11),"x","")</f>
        <v/>
      </c>
      <c r="S759" s="84" t="str">
        <f>IF(AND($O759=$Q$7,$B759&lt;'111'!$L$11),"x","")</f>
        <v/>
      </c>
      <c r="T759" s="84" t="str">
        <f>IF(ISERROR(FIND('112'!$M$9,G759,1)),"",IF((AND(FIND('112'!$M$9,G759,1)&gt;=1,B759='112'!$K$9,OR($N759='112'!$I$6,$O759='112'!$I$6))),"x",""))</f>
        <v/>
      </c>
      <c r="U759" s="84" t="str">
        <f>IF(ISERROR(FIND('112'!$M$9,G759,1)),"",IF((AND(LEFT(G759,2)=LEFT('112'!$M$9,2),B759&lt;'112'!$K$9,$N759='112'!$I$6)),"x",""))</f>
        <v/>
      </c>
      <c r="V759" s="84" t="str">
        <f>IF(ISERROR(FIND('112'!$M$9,G759,1)),"",IF((AND(RIGHT(G759,2)=RIGHT('112'!$M$9,2),B759&lt;'112'!$K$9,$O759='112'!$I$6)),"x",""))</f>
        <v>x</v>
      </c>
      <c r="W759" s="84" t="str">
        <f>IF(AND('341-CT'!$H$9=H759,OR(LEFT(N759,3)=$W$7,LEFT(O759,3)=$W$7)),"x","")</f>
        <v/>
      </c>
      <c r="X759" s="84" t="str">
        <f>IF(OR(TH!N759=TH!$X$7,O759=TH!$X$7),"x","")</f>
        <v/>
      </c>
      <c r="Y759" s="84" t="str">
        <f>IF(AND(OR(N759="131",O759="131"),H759='131-CT'!$H$9),"x","")</f>
        <v/>
      </c>
      <c r="Z759" s="84"/>
      <c r="AA759" s="84" t="str">
        <f>IF(AND(MONTH(E759)='IN-NX'!$J$5,'IN-NX'!$D$7=D759),"x","")</f>
        <v/>
      </c>
      <c r="AB759" s="84" t="str">
        <f>IF(AND(OR(LEFT(TH!N759,2)="15",LEFT(TH!O759,2)="15"),LEFT(TH!O759,3)&lt;&gt;"111",'152-CT'!$J$8=TH!F759),"x","")</f>
        <v/>
      </c>
      <c r="AC759" s="84" t="str">
        <f>IF(AND(OR(LEFT(TH!N759,2)="15",LEFT(TH!O759,2)="15"),TK!$E$7=TH!F759),"x","")</f>
        <v/>
      </c>
      <c r="AD759" s="84" t="str">
        <f>IF(AND(N759="1521",MONTH(C759)='BK-NL'!$M$11),"x","")</f>
        <v/>
      </c>
    </row>
    <row r="760" spans="1:31" ht="15.75" hidden="1" customHeight="1">
      <c r="A760" s="336" t="str">
        <f>IF(B760&lt;&gt;"",IF(AND(B760='IN-TC'!$S$4,OR(TH!N760="1111",TH!O760="1111")),TH!D760,""),"")</f>
        <v/>
      </c>
      <c r="B760" s="63">
        <f t="shared" si="162"/>
        <v>1</v>
      </c>
      <c r="C760" s="64">
        <v>42382</v>
      </c>
      <c r="D760" s="64" t="s">
        <v>582</v>
      </c>
      <c r="E760" s="64">
        <v>42382</v>
      </c>
      <c r="F760" s="67" t="s">
        <v>858</v>
      </c>
      <c r="G760" s="67"/>
      <c r="H760" s="67"/>
      <c r="I760" s="442"/>
      <c r="J760" s="442"/>
      <c r="K760" s="433"/>
      <c r="L760" s="442"/>
      <c r="M760" s="65">
        <v>2000000</v>
      </c>
      <c r="N760" s="66" t="s">
        <v>101</v>
      </c>
      <c r="O760" s="66" t="s">
        <v>79</v>
      </c>
      <c r="P760" s="84" t="str">
        <f>IF(AND('331-CT'!$E$7=TH!H760,OR(N760="331",O760="331")),"x","")</f>
        <v/>
      </c>
      <c r="Q760" s="84" t="str">
        <f>IF(AND(B760='111'!$L$11,OR($N760=$Q$7,$O760=$Q$7)),"x","")</f>
        <v/>
      </c>
      <c r="R760" s="84" t="str">
        <f>IF(AND($N760=$Q$7,$B760&lt;'111'!$L$11),"x","")</f>
        <v/>
      </c>
      <c r="S760" s="84" t="str">
        <f>IF(AND($O760=$Q$7,$B760&lt;'111'!$L$11),"x","")</f>
        <v/>
      </c>
      <c r="T760" s="84" t="str">
        <f>IF(ISERROR(FIND('112'!$M$9,G760,1)),"",IF((AND(FIND('112'!$M$9,G760,1)&gt;=1,B760='112'!$K$9,OR($N760='112'!$I$6,$O760='112'!$I$6))),"x",""))</f>
        <v/>
      </c>
      <c r="U760" s="84" t="str">
        <f>IF(ISERROR(FIND('112'!$M$9,G760,1)),"",IF((AND(LEFT(G760,2)=LEFT('112'!$M$9,2),B760&lt;'112'!$K$9,$N760='112'!$I$6)),"x",""))</f>
        <v/>
      </c>
      <c r="V760" s="84" t="str">
        <f>IF(ISERROR(FIND('112'!$M$9,G760,1)),"",IF((AND(RIGHT(G760,2)=RIGHT('112'!$M$9,2),B760&lt;'112'!$K$9,$O760='112'!$I$6)),"x",""))</f>
        <v/>
      </c>
      <c r="W760" s="84" t="str">
        <f>IF(AND('341-CT'!$H$9=H760,OR(LEFT(N760,3)=$W$7,LEFT(O760,3)=$W$7)),"x","")</f>
        <v/>
      </c>
      <c r="X760" s="84" t="str">
        <f>IF(OR(TH!N760=TH!$X$7,O760=TH!$X$7),"x","")</f>
        <v/>
      </c>
      <c r="Y760" s="84" t="str">
        <f>IF(AND(OR(N760="131",O760="131"),H760='131-CT'!$H$9),"x","")</f>
        <v/>
      </c>
      <c r="Z760" s="84"/>
      <c r="AA760" s="84" t="str">
        <f>IF(AND(MONTH(E760)='IN-NX'!$J$5,'IN-NX'!$D$7=D760),"x","")</f>
        <v/>
      </c>
      <c r="AB760" s="84" t="str">
        <f>IF(AND(OR(LEFT(TH!N760,2)="15",LEFT(TH!O760,2)="15"),LEFT(TH!O760,3)&lt;&gt;"111",'152-CT'!$J$8=TH!F760),"x","")</f>
        <v/>
      </c>
      <c r="AC760" s="84" t="str">
        <f>IF(AND(OR(LEFT(TH!N760,2)="15",LEFT(TH!O760,2)="15"),TK!$E$7=TH!F760),"x","")</f>
        <v/>
      </c>
      <c r="AD760" s="84" t="str">
        <f>IF(AND(N760="1521",MONTH(C760)='BK-NL'!$M$11),"x","")</f>
        <v/>
      </c>
    </row>
    <row r="761" spans="1:31" ht="15.75" hidden="1" customHeight="1">
      <c r="A761" s="336" t="str">
        <f>IF(B761&lt;&gt;"",IF(AND(B761='IN-TC'!$S$4,OR(TH!N761="1111",TH!O761="1111")),TH!D761,""),"")</f>
        <v/>
      </c>
      <c r="B761" s="63">
        <f t="shared" si="162"/>
        <v>1</v>
      </c>
      <c r="C761" s="64">
        <v>42383</v>
      </c>
      <c r="D761" s="64" t="s">
        <v>702</v>
      </c>
      <c r="E761" s="64">
        <v>42383</v>
      </c>
      <c r="F761" s="67" t="s">
        <v>703</v>
      </c>
      <c r="G761" s="67" t="s">
        <v>920</v>
      </c>
      <c r="H761" s="73"/>
      <c r="I761" s="439"/>
      <c r="J761" s="439"/>
      <c r="K761" s="430">
        <v>4700</v>
      </c>
      <c r="L761" s="439">
        <v>22440</v>
      </c>
      <c r="M761" s="83">
        <f>ROUND(K761*L761,0)</f>
        <v>105468000</v>
      </c>
      <c r="N761" s="66" t="s">
        <v>266</v>
      </c>
      <c r="O761" s="66" t="s">
        <v>266</v>
      </c>
      <c r="P761" s="84" t="str">
        <f>IF(AND('331-CT'!$E$7=TH!H761,OR(N761="331",O761="331")),"x","")</f>
        <v/>
      </c>
      <c r="Q761" s="84" t="str">
        <f>IF(AND(B761='111'!$L$11,OR($N761=$Q$7,$O761=$Q$7)),"x","")</f>
        <v/>
      </c>
      <c r="R761" s="84" t="str">
        <f>IF(AND($N761=$Q$7,$B761&lt;'111'!$L$11),"x","")</f>
        <v/>
      </c>
      <c r="S761" s="84" t="str">
        <f>IF(AND($O761=$Q$7,$B761&lt;'111'!$L$11),"x","")</f>
        <v/>
      </c>
      <c r="T761" s="84" t="str">
        <f>IF(ISERROR(FIND('112'!$M$9,G761,1)),"",IF((AND(FIND('112'!$M$9,G761,1)&gt;=1,B761='112'!$K$9,OR($N761='112'!$I$6,$O761='112'!$I$6))),"x",""))</f>
        <v/>
      </c>
      <c r="U761" s="84" t="str">
        <f>IF(ISERROR(FIND('112'!$M$9,G761,1)),"",IF((AND(LEFT(G761,2)=LEFT('112'!$M$9,2),B761&lt;'112'!$K$9,$N761='112'!$I$6)),"x",""))</f>
        <v/>
      </c>
      <c r="V761" s="84" t="str">
        <f>IF(ISERROR(FIND('112'!$M$9,G761,1)),"",IF((AND(RIGHT(G761,2)=RIGHT('112'!$M$9,2),B761&lt;'112'!$K$9,$O761='112'!$I$6)),"x",""))</f>
        <v/>
      </c>
      <c r="W761" s="84" t="str">
        <f>IF(AND('341-CT'!$H$9=H761,OR(LEFT(N761,3)=$W$7,LEFT(O761,3)=$W$7)),"x","")</f>
        <v/>
      </c>
      <c r="X761" s="84" t="str">
        <f>IF(OR(TH!N761=TH!$X$7,O761=TH!$X$7),"x","")</f>
        <v/>
      </c>
      <c r="Y761" s="84" t="str">
        <f>IF(AND(OR(N761="131",O761="131"),H761='131-CT'!$H$9),"x","")</f>
        <v/>
      </c>
      <c r="Z761" s="84"/>
      <c r="AA761" s="84" t="str">
        <f>IF(AND(MONTH(E761)='IN-NX'!$J$5,'IN-NX'!$D$7=D761),"x","")</f>
        <v/>
      </c>
      <c r="AB761" s="84" t="str">
        <f>IF(AND(OR(LEFT(TH!N761,2)="15",LEFT(TH!O761,2)="15"),LEFT(TH!O761,3)&lt;&gt;"111",'152-CT'!$J$8=TH!F761),"x","")</f>
        <v/>
      </c>
      <c r="AC761" s="84" t="str">
        <f>IF(AND(OR(LEFT(TH!N761,2)="15",LEFT(TH!O761,2)="15"),TK!$E$7=TH!F761),"x","")</f>
        <v/>
      </c>
      <c r="AD761" s="84" t="str">
        <f>IF(AND(N761="1521",MONTH(C761)='BK-NL'!$M$11),"x","")</f>
        <v/>
      </c>
    </row>
    <row r="762" spans="1:31" ht="15.75" hidden="1" customHeight="1">
      <c r="A762" s="336" t="str">
        <f>IF(B762&lt;&gt;"",IF(AND(B762='IN-TC'!$S$4,OR(TH!N762="1111",TH!O762="1111")),TH!D762,""),"")</f>
        <v/>
      </c>
      <c r="B762" s="63">
        <f t="shared" si="162"/>
        <v>1</v>
      </c>
      <c r="C762" s="64">
        <v>42383</v>
      </c>
      <c r="D762" s="64" t="s">
        <v>705</v>
      </c>
      <c r="E762" s="64">
        <v>42383</v>
      </c>
      <c r="F762" s="73" t="s">
        <v>1445</v>
      </c>
      <c r="G762" s="67" t="s">
        <v>919</v>
      </c>
      <c r="H762" s="73"/>
      <c r="I762" s="439"/>
      <c r="J762" s="439"/>
      <c r="K762" s="430">
        <v>6000</v>
      </c>
      <c r="L762" s="439">
        <v>22400</v>
      </c>
      <c r="M762" s="83">
        <f>ROUND(K762*L762,0)</f>
        <v>134400000</v>
      </c>
      <c r="N762" s="66" t="s">
        <v>26</v>
      </c>
      <c r="O762" s="66" t="s">
        <v>266</v>
      </c>
      <c r="P762" s="84" t="str">
        <f>IF(AND('331-CT'!$E$7=TH!H762,OR(N762="331",O762="331")),"x","")</f>
        <v/>
      </c>
      <c r="Q762" s="84" t="str">
        <f>IF(AND(B762='111'!$L$11,OR($N762=$Q$7,$O762=$Q$7)),"x","")</f>
        <v/>
      </c>
      <c r="R762" s="84" t="str">
        <f>IF(AND($N762=$Q$7,$B762&lt;'111'!$L$11),"x","")</f>
        <v/>
      </c>
      <c r="S762" s="84" t="str">
        <f>IF(AND($O762=$Q$7,$B762&lt;'111'!$L$11),"x","")</f>
        <v/>
      </c>
      <c r="T762" s="84" t="str">
        <f>IF(ISERROR(FIND('112'!$M$9,G762,1)),"",IF((AND(FIND('112'!$M$9,G762,1)&gt;=1,B762='112'!$K$9,OR($N762='112'!$I$6,$O762='112'!$I$6))),"x",""))</f>
        <v/>
      </c>
      <c r="U762" s="84" t="str">
        <f>IF(ISERROR(FIND('112'!$M$9,G762,1)),"",IF((AND(LEFT(G762,2)=LEFT('112'!$M$9,2),B762&lt;'112'!$K$9,$N762='112'!$I$6)),"x",""))</f>
        <v>x</v>
      </c>
      <c r="V762" s="84" t="str">
        <f>IF(ISERROR(FIND('112'!$M$9,G762,1)),"",IF((AND(RIGHT(G762,2)=RIGHT('112'!$M$9,2),B762&lt;'112'!$K$9,$O762='112'!$I$6)),"x",""))</f>
        <v/>
      </c>
      <c r="W762" s="84" t="str">
        <f>IF(AND('341-CT'!$H$9=H762,OR(LEFT(N762,3)=$W$7,LEFT(O762,3)=$W$7)),"x","")</f>
        <v/>
      </c>
      <c r="X762" s="84" t="str">
        <f>IF(OR(TH!N762=TH!$X$7,O762=TH!$X$7),"x","")</f>
        <v/>
      </c>
      <c r="Y762" s="84" t="str">
        <f>IF(AND(OR(N762="131",O762="131"),H762='131-CT'!$H$9),"x","")</f>
        <v/>
      </c>
      <c r="Z762" s="84"/>
      <c r="AA762" s="84" t="str">
        <f>IF(AND(MONTH(E762)='IN-NX'!$J$5,'IN-NX'!$D$7=D762),"x","")</f>
        <v/>
      </c>
      <c r="AB762" s="84" t="str">
        <f>IF(AND(OR(LEFT(TH!N762,2)="15",LEFT(TH!O762,2)="15"),LEFT(TH!O762,3)&lt;&gt;"111",'152-CT'!$J$8=TH!F762),"x","")</f>
        <v/>
      </c>
      <c r="AC762" s="84" t="str">
        <f>IF(AND(OR(LEFT(TH!N762,2)="15",LEFT(TH!O762,2)="15"),TK!$E$7=TH!F762),"x","")</f>
        <v/>
      </c>
      <c r="AD762" s="84" t="str">
        <f>IF(AND(N762="1521",MONTH(C762)='BK-NL'!$M$11),"x","")</f>
        <v/>
      </c>
    </row>
    <row r="763" spans="1:31" ht="15.75" hidden="1" customHeight="1">
      <c r="A763" s="336" t="str">
        <f>IF(B763&lt;&gt;"",IF(AND(B763='IN-TC'!$S$4,OR(TH!N763="1111",TH!O763="1111")),TH!D763,""),"")</f>
        <v/>
      </c>
      <c r="B763" s="63">
        <f t="shared" si="162"/>
        <v>1</v>
      </c>
      <c r="C763" s="64">
        <v>42383</v>
      </c>
      <c r="D763" s="64" t="s">
        <v>705</v>
      </c>
      <c r="E763" s="64">
        <v>42383</v>
      </c>
      <c r="F763" s="67" t="s">
        <v>1102</v>
      </c>
      <c r="G763" s="67" t="s">
        <v>919</v>
      </c>
      <c r="H763" s="67" t="s">
        <v>632</v>
      </c>
      <c r="I763" s="443"/>
      <c r="J763" s="443"/>
      <c r="K763" s="434"/>
      <c r="L763" s="443"/>
      <c r="M763" s="65">
        <v>39198830</v>
      </c>
      <c r="N763" s="66" t="s">
        <v>8</v>
      </c>
      <c r="O763" s="66" t="s">
        <v>26</v>
      </c>
      <c r="P763" s="84" t="str">
        <f>IF(AND('331-CT'!$E$7=TH!H763,OR(N763="331",O763="331")),"x","")</f>
        <v/>
      </c>
      <c r="Q763" s="84" t="str">
        <f>IF(AND(B763='111'!$L$11,OR($N763=$Q$7,$O763=$Q$7)),"x","")</f>
        <v/>
      </c>
      <c r="R763" s="84" t="str">
        <f>IF(AND($N763=$Q$7,$B763&lt;'111'!$L$11),"x","")</f>
        <v/>
      </c>
      <c r="S763" s="84" t="str">
        <f>IF(AND($O763=$Q$7,$B763&lt;'111'!$L$11),"x","")</f>
        <v/>
      </c>
      <c r="T763" s="84" t="str">
        <f>IF(ISERROR(FIND('112'!$M$9,G763,1)),"",IF((AND(FIND('112'!$M$9,G763,1)&gt;=1,B763='112'!$K$9,OR($N763='112'!$I$6,$O763='112'!$I$6))),"x",""))</f>
        <v/>
      </c>
      <c r="U763" s="84" t="str">
        <f>IF(ISERROR(FIND('112'!$M$9,G763,1)),"",IF((AND(LEFT(G763,2)=LEFT('112'!$M$9,2),B763&lt;'112'!$K$9,$N763='112'!$I$6)),"x",""))</f>
        <v/>
      </c>
      <c r="V763" s="84" t="str">
        <f>IF(ISERROR(FIND('112'!$M$9,G763,1)),"",IF((AND(RIGHT(G763,2)=RIGHT('112'!$M$9,2),B763&lt;'112'!$K$9,$O763='112'!$I$6)),"x",""))</f>
        <v>x</v>
      </c>
      <c r="W763" s="84" t="str">
        <f>IF(AND('341-CT'!$H$9=H763,OR(LEFT(N763,3)=$W$7,LEFT(O763,3)=$W$7)),"x","")</f>
        <v/>
      </c>
      <c r="X763" s="84" t="str">
        <f>IF(OR(TH!N763=TH!$X$7,O763=TH!$X$7),"x","")</f>
        <v/>
      </c>
      <c r="Y763" s="84" t="str">
        <f>IF(AND(OR(N763="131",O763="131"),H763='131-CT'!$H$9),"x","")</f>
        <v/>
      </c>
      <c r="Z763" s="84"/>
      <c r="AA763" s="84" t="str">
        <f>IF(AND(MONTH(E763)='IN-NX'!$J$5,'IN-NX'!$D$7=D763),"x","")</f>
        <v/>
      </c>
      <c r="AB763" s="84" t="str">
        <f>IF(AND(OR(LEFT(TH!N763,2)="15",LEFT(TH!O763,2)="15"),LEFT(TH!O763,3)&lt;&gt;"111",'152-CT'!$J$8=TH!F763),"x","")</f>
        <v/>
      </c>
      <c r="AC763" s="84" t="str">
        <f>IF(AND(OR(LEFT(TH!N763,2)="15",LEFT(TH!O763,2)="15"),TK!$E$7=TH!F763),"x","")</f>
        <v/>
      </c>
      <c r="AD763" s="84" t="str">
        <f>IF(AND(N763="1521",MONTH(C763)='BK-NL'!$M$11),"x","")</f>
        <v/>
      </c>
      <c r="AE763" s="1146" t="str">
        <f>IF(H763&lt;&gt;VLOOKUP(H763,DSKH,1,0),"","x")</f>
        <v>x</v>
      </c>
    </row>
    <row r="764" spans="1:31" ht="15.75" hidden="1" customHeight="1">
      <c r="A764" s="336" t="str">
        <f>IF(B764&lt;&gt;"",IF(AND(B764='IN-TC'!$S$4,OR(TH!N764="1111",TH!O764="1111")),TH!D764,""),"")</f>
        <v/>
      </c>
      <c r="B764" s="63">
        <f t="shared" si="162"/>
        <v>1</v>
      </c>
      <c r="C764" s="64">
        <v>42383</v>
      </c>
      <c r="D764" s="64" t="s">
        <v>705</v>
      </c>
      <c r="E764" s="64">
        <v>42383</v>
      </c>
      <c r="F764" s="67" t="s">
        <v>743</v>
      </c>
      <c r="G764" s="67" t="s">
        <v>919</v>
      </c>
      <c r="H764" s="67"/>
      <c r="I764" s="439"/>
      <c r="J764" s="439"/>
      <c r="K764" s="430"/>
      <c r="L764" s="439"/>
      <c r="M764" s="65">
        <v>20000</v>
      </c>
      <c r="N764" s="66" t="s">
        <v>101</v>
      </c>
      <c r="O764" s="66" t="s">
        <v>26</v>
      </c>
      <c r="P764" s="84" t="str">
        <f>IF(AND('331-CT'!$E$7=TH!H764,OR(N764="331",O764="331")),"x","")</f>
        <v/>
      </c>
      <c r="Q764" s="84" t="str">
        <f>IF(AND(B764='111'!$L$11,OR($N764=$Q$7,$O764=$Q$7)),"x","")</f>
        <v/>
      </c>
      <c r="R764" s="84" t="str">
        <f>IF(AND($N764=$Q$7,$B764&lt;'111'!$L$11),"x","")</f>
        <v/>
      </c>
      <c r="S764" s="84" t="str">
        <f>IF(AND($O764=$Q$7,$B764&lt;'111'!$L$11),"x","")</f>
        <v/>
      </c>
      <c r="T764" s="84" t="str">
        <f>IF(ISERROR(FIND('112'!$M$9,G764,1)),"",IF((AND(FIND('112'!$M$9,G764,1)&gt;=1,B764='112'!$K$9,OR($N764='112'!$I$6,$O764='112'!$I$6))),"x",""))</f>
        <v/>
      </c>
      <c r="U764" s="84" t="str">
        <f>IF(ISERROR(FIND('112'!$M$9,G764,1)),"",IF((AND(LEFT(G764,2)=LEFT('112'!$M$9,2),B764&lt;'112'!$K$9,$N764='112'!$I$6)),"x",""))</f>
        <v/>
      </c>
      <c r="V764" s="84" t="str">
        <f>IF(ISERROR(FIND('112'!$M$9,G764,1)),"",IF((AND(RIGHT(G764,2)=RIGHT('112'!$M$9,2),B764&lt;'112'!$K$9,$O764='112'!$I$6)),"x",""))</f>
        <v>x</v>
      </c>
      <c r="W764" s="84" t="str">
        <f>IF(AND('341-CT'!$H$9=H764,OR(LEFT(N764,3)=$W$7,LEFT(O764,3)=$W$7)),"x","")</f>
        <v/>
      </c>
      <c r="X764" s="84" t="str">
        <f>IF(OR(TH!N764=TH!$X$7,O764=TH!$X$7),"x","")</f>
        <v/>
      </c>
      <c r="Y764" s="84" t="str">
        <f>IF(AND(OR(N764="131",O764="131"),H764='131-CT'!$H$9),"x","")</f>
        <v/>
      </c>
      <c r="Z764" s="84"/>
      <c r="AA764" s="84" t="str">
        <f>IF(AND(MONTH(E764)='IN-NX'!$J$5,'IN-NX'!$D$7=D764),"x","")</f>
        <v/>
      </c>
      <c r="AB764" s="84" t="str">
        <f>IF(AND(OR(LEFT(TH!N764,2)="15",LEFT(TH!O764,2)="15"),LEFT(TH!O764,3)&lt;&gt;"111",'152-CT'!$J$8=TH!F764),"x","")</f>
        <v/>
      </c>
      <c r="AC764" s="84" t="str">
        <f>IF(AND(OR(LEFT(TH!N764,2)="15",LEFT(TH!O764,2)="15"),TK!$E$7=TH!F764),"x","")</f>
        <v/>
      </c>
      <c r="AD764" s="84" t="str">
        <f>IF(AND(N764="1521",MONTH(C764)='BK-NL'!$M$11),"x","")</f>
        <v/>
      </c>
    </row>
    <row r="765" spans="1:31" ht="15.75" hidden="1" customHeight="1">
      <c r="A765" s="336" t="str">
        <f>IF(B765&lt;&gt;"",IF(AND(B765='IN-TC'!$S$4,OR(TH!N765="1111",TH!O765="1111")),TH!D765,""),"")</f>
        <v/>
      </c>
      <c r="B765" s="63">
        <f t="shared" si="162"/>
        <v>1</v>
      </c>
      <c r="C765" s="64">
        <v>42383</v>
      </c>
      <c r="D765" s="64" t="s">
        <v>705</v>
      </c>
      <c r="E765" s="64">
        <v>42383</v>
      </c>
      <c r="F765" s="67" t="s">
        <v>745</v>
      </c>
      <c r="G765" s="67" t="s">
        <v>919</v>
      </c>
      <c r="H765" s="67"/>
      <c r="I765" s="439"/>
      <c r="J765" s="439"/>
      <c r="K765" s="430"/>
      <c r="L765" s="439"/>
      <c r="M765" s="65">
        <v>2000</v>
      </c>
      <c r="N765" s="66" t="s">
        <v>9</v>
      </c>
      <c r="O765" s="66" t="s">
        <v>26</v>
      </c>
      <c r="P765" s="84" t="str">
        <f>IF(AND('331-CT'!$E$7=TH!H765,OR(N765="331",O765="331")),"x","")</f>
        <v/>
      </c>
      <c r="Q765" s="84" t="str">
        <f>IF(AND(B765='111'!$L$11,OR($N765=$Q$7,$O765=$Q$7)),"x","")</f>
        <v/>
      </c>
      <c r="R765" s="84" t="str">
        <f>IF(AND($N765=$Q$7,$B765&lt;'111'!$L$11),"x","")</f>
        <v/>
      </c>
      <c r="S765" s="84" t="str">
        <f>IF(AND($O765=$Q$7,$B765&lt;'111'!$L$11),"x","")</f>
        <v/>
      </c>
      <c r="T765" s="84" t="str">
        <f>IF(ISERROR(FIND('112'!$M$9,G765,1)),"",IF((AND(FIND('112'!$M$9,G765,1)&gt;=1,B765='112'!$K$9,OR($N765='112'!$I$6,$O765='112'!$I$6))),"x",""))</f>
        <v/>
      </c>
      <c r="U765" s="84" t="str">
        <f>IF(ISERROR(FIND('112'!$M$9,G765,1)),"",IF((AND(LEFT(G765,2)=LEFT('112'!$M$9,2),B765&lt;'112'!$K$9,$N765='112'!$I$6)),"x",""))</f>
        <v/>
      </c>
      <c r="V765" s="84" t="str">
        <f>IF(ISERROR(FIND('112'!$M$9,G765,1)),"",IF((AND(RIGHT(G765,2)=RIGHT('112'!$M$9,2),B765&lt;'112'!$K$9,$O765='112'!$I$6)),"x",""))</f>
        <v>x</v>
      </c>
      <c r="W765" s="84" t="str">
        <f>IF(AND('341-CT'!$H$9=H765,OR(LEFT(N765,3)=$W$7,LEFT(O765,3)=$W$7)),"x","")</f>
        <v/>
      </c>
      <c r="X765" s="84" t="str">
        <f>IF(OR(TH!N765=TH!$X$7,O765=TH!$X$7),"x","")</f>
        <v/>
      </c>
      <c r="Y765" s="84" t="str">
        <f>IF(AND(OR(N765="131",O765="131"),H765='131-CT'!$H$9),"x","")</f>
        <v/>
      </c>
      <c r="Z765" s="84"/>
      <c r="AA765" s="84" t="str">
        <f>IF(AND(MONTH(E765)='IN-NX'!$J$5,'IN-NX'!$D$7=D765),"x","")</f>
        <v/>
      </c>
      <c r="AB765" s="84" t="str">
        <f>IF(AND(OR(LEFT(TH!N765,2)="15",LEFT(TH!O765,2)="15"),LEFT(TH!O765,3)&lt;&gt;"111",'152-CT'!$J$8=TH!F765),"x","")</f>
        <v/>
      </c>
      <c r="AC765" s="84" t="str">
        <f>IF(AND(OR(LEFT(TH!N765,2)="15",LEFT(TH!O765,2)="15"),TK!$E$7=TH!F765),"x","")</f>
        <v/>
      </c>
      <c r="AD765" s="84" t="str">
        <f>IF(AND(N765="1521",MONTH(C765)='BK-NL'!$M$11),"x","")</f>
        <v/>
      </c>
    </row>
    <row r="766" spans="1:31" ht="15.75" hidden="1" customHeight="1">
      <c r="A766" s="336" t="str">
        <f>IF(B766&lt;&gt;"",IF(AND(B766='IN-TC'!$S$4,OR(TH!N766="1111",TH!O766="1111")),TH!D766,""),"")</f>
        <v/>
      </c>
      <c r="B766" s="63">
        <f t="shared" ref="B766:B829" si="163">IF(C766&lt;&gt;"",MONTH(C766),"")</f>
        <v>1</v>
      </c>
      <c r="C766" s="64">
        <v>42383</v>
      </c>
      <c r="D766" s="64" t="s">
        <v>891</v>
      </c>
      <c r="E766" s="64">
        <v>42383</v>
      </c>
      <c r="F766" s="67" t="s">
        <v>781</v>
      </c>
      <c r="G766" s="982" t="s">
        <v>827</v>
      </c>
      <c r="H766" s="73" t="s">
        <v>819</v>
      </c>
      <c r="I766" s="439"/>
      <c r="J766" s="439"/>
      <c r="K766" s="430"/>
      <c r="L766" s="439"/>
      <c r="M766" s="65">
        <v>16662900</v>
      </c>
      <c r="N766" s="66" t="s">
        <v>101</v>
      </c>
      <c r="O766" s="66" t="s">
        <v>63</v>
      </c>
      <c r="P766" s="84" t="str">
        <f>IF(AND('331-CT'!$E$7=TH!H766,OR(N766="331",O766="331")),"x","")</f>
        <v/>
      </c>
      <c r="Q766" s="84" t="str">
        <f>IF(AND(B766='111'!$L$11,OR($N766=$Q$7,$O766=$Q$7)),"x","")</f>
        <v>x</v>
      </c>
      <c r="R766" s="84" t="str">
        <f>IF(AND($N766=$Q$7,$B766&lt;'111'!$L$11),"x","")</f>
        <v/>
      </c>
      <c r="S766" s="84" t="str">
        <f>IF(AND($O766=$Q$7,$B766&lt;'111'!$L$11),"x","")</f>
        <v/>
      </c>
      <c r="T766" s="84" t="str">
        <f>IF(ISERROR(FIND('112'!$M$9,G766,1)),"",IF((AND(FIND('112'!$M$9,G766,1)&gt;=1,B766='112'!$K$9,OR($N766='112'!$I$6,$O766='112'!$I$6))),"x",""))</f>
        <v/>
      </c>
      <c r="U766" s="84" t="str">
        <f>IF(ISERROR(FIND('112'!$M$9,G766,1)),"",IF((AND(LEFT(G766,2)=LEFT('112'!$M$9,2),B766&lt;'112'!$K$9,$N766='112'!$I$6)),"x",""))</f>
        <v/>
      </c>
      <c r="V766" s="84" t="str">
        <f>IF(ISERROR(FIND('112'!$M$9,G766,1)),"",IF((AND(RIGHT(G766,2)=RIGHT('112'!$M$9,2),B766&lt;'112'!$K$9,$O766='112'!$I$6)),"x",""))</f>
        <v/>
      </c>
      <c r="W766" s="84" t="str">
        <f>IF(AND('341-CT'!$H$9=H766,OR(LEFT(N766,3)=$W$7,LEFT(O766,3)=$W$7)),"x","")</f>
        <v/>
      </c>
      <c r="X766" s="84" t="str">
        <f>IF(OR(TH!N766=TH!$X$7,O766=TH!$X$7),"x","")</f>
        <v/>
      </c>
      <c r="Y766" s="84" t="str">
        <f>IF(AND(OR(N766="131",O766="131"),H766='131-CT'!$H$9),"x","")</f>
        <v/>
      </c>
      <c r="Z766" s="84"/>
      <c r="AA766" s="84" t="str">
        <f>IF(AND(MONTH(E766)='IN-NX'!$J$5,'IN-NX'!$D$7=D766),"x","")</f>
        <v/>
      </c>
      <c r="AB766" s="84" t="str">
        <f>IF(AND(OR(LEFT(TH!N766,2)="15",LEFT(TH!O766,2)="15"),LEFT(TH!O766,3)&lt;&gt;"111",'152-CT'!$J$8=TH!F766),"x","")</f>
        <v/>
      </c>
      <c r="AC766" s="84" t="str">
        <f>IF(AND(OR(LEFT(TH!N766,2)="15",LEFT(TH!O766,2)="15"),TK!$E$7=TH!F766),"x","")</f>
        <v/>
      </c>
      <c r="AD766" s="84" t="str">
        <f>IF(AND(N766="1521",MONTH(C766)='BK-NL'!$M$11),"x","")</f>
        <v/>
      </c>
    </row>
    <row r="767" spans="1:31" ht="15.75" hidden="1" customHeight="1">
      <c r="A767" s="336" t="str">
        <f>IF(B767&lt;&gt;"",IF(AND(B767='IN-TC'!$S$4,OR(TH!N767="1111",TH!O767="1111")),TH!D767,""),"")</f>
        <v/>
      </c>
      <c r="B767" s="63">
        <f t="shared" si="163"/>
        <v>1</v>
      </c>
      <c r="C767" s="64">
        <v>42383</v>
      </c>
      <c r="D767" s="64" t="s">
        <v>891</v>
      </c>
      <c r="E767" s="64">
        <v>42383</v>
      </c>
      <c r="F767" s="67" t="s">
        <v>782</v>
      </c>
      <c r="G767" s="982" t="s">
        <v>827</v>
      </c>
      <c r="H767" s="73" t="s">
        <v>819</v>
      </c>
      <c r="I767" s="439"/>
      <c r="J767" s="439"/>
      <c r="K767" s="430"/>
      <c r="L767" s="439"/>
      <c r="M767" s="65">
        <v>1666290</v>
      </c>
      <c r="N767" s="66" t="s">
        <v>9</v>
      </c>
      <c r="O767" s="66" t="s">
        <v>63</v>
      </c>
      <c r="P767" s="84" t="str">
        <f>IF(AND('331-CT'!$E$7=TH!H767,OR(N767="331",O767="331")),"x","")</f>
        <v/>
      </c>
      <c r="Q767" s="84" t="str">
        <f>IF(AND(B767='111'!$L$11,OR($N767=$Q$7,$O767=$Q$7)),"x","")</f>
        <v>x</v>
      </c>
      <c r="R767" s="84" t="str">
        <f>IF(AND($N767=$Q$7,$B767&lt;'111'!$L$11),"x","")</f>
        <v/>
      </c>
      <c r="S767" s="84" t="str">
        <f>IF(AND($O767=$Q$7,$B767&lt;'111'!$L$11),"x","")</f>
        <v/>
      </c>
      <c r="T767" s="84" t="str">
        <f>IF(ISERROR(FIND('112'!$M$9,G767,1)),"",IF((AND(FIND('112'!$M$9,G767,1)&gt;=1,B767='112'!$K$9,OR($N767='112'!$I$6,$O767='112'!$I$6))),"x",""))</f>
        <v/>
      </c>
      <c r="U767" s="84" t="str">
        <f>IF(ISERROR(FIND('112'!$M$9,G767,1)),"",IF((AND(LEFT(G767,2)=LEFT('112'!$M$9,2),B767&lt;'112'!$K$9,$N767='112'!$I$6)),"x",""))</f>
        <v/>
      </c>
      <c r="V767" s="84" t="str">
        <f>IF(ISERROR(FIND('112'!$M$9,G767,1)),"",IF((AND(RIGHT(G767,2)=RIGHT('112'!$M$9,2),B767&lt;'112'!$K$9,$O767='112'!$I$6)),"x",""))</f>
        <v/>
      </c>
      <c r="W767" s="84" t="str">
        <f>IF(AND('341-CT'!$H$9=H767,OR(LEFT(N767,3)=$W$7,LEFT(O767,3)=$W$7)),"x","")</f>
        <v/>
      </c>
      <c r="X767" s="84" t="str">
        <f>IF(OR(TH!N767=TH!$X$7,O767=TH!$X$7),"x","")</f>
        <v/>
      </c>
      <c r="Y767" s="84" t="str">
        <f>IF(AND(OR(N767="131",O767="131"),H767='131-CT'!$H$9),"x","")</f>
        <v/>
      </c>
      <c r="Z767" s="84"/>
      <c r="AA767" s="84" t="str">
        <f>IF(AND(MONTH(E767)='IN-NX'!$J$5,'IN-NX'!$D$7=D767),"x","")</f>
        <v/>
      </c>
      <c r="AB767" s="84" t="str">
        <f>IF(AND(OR(LEFT(TH!N767,2)="15",LEFT(TH!O767,2)="15"),LEFT(TH!O767,3)&lt;&gt;"111",'152-CT'!$J$8=TH!F767),"x","")</f>
        <v/>
      </c>
      <c r="AC767" s="84" t="str">
        <f>IF(AND(OR(LEFT(TH!N767,2)="15",LEFT(TH!O767,2)="15"),TK!$E$7=TH!F767),"x","")</f>
        <v/>
      </c>
      <c r="AD767" s="84" t="str">
        <f>IF(AND(N767="1521",MONTH(C767)='BK-NL'!$M$11),"x","")</f>
        <v/>
      </c>
    </row>
    <row r="768" spans="1:31" ht="15.75" hidden="1" customHeight="1">
      <c r="A768" s="336" t="str">
        <f>IF(B768&lt;&gt;"",IF(AND(B768='IN-TC'!$S$4,OR(TH!N768="1111",TH!O768="1111")),TH!D768,""),"")</f>
        <v/>
      </c>
      <c r="B768" s="63">
        <f t="shared" si="163"/>
        <v>1</v>
      </c>
      <c r="C768" s="64">
        <v>42384</v>
      </c>
      <c r="D768" s="64" t="s">
        <v>903</v>
      </c>
      <c r="E768" s="64">
        <v>42384</v>
      </c>
      <c r="F768" s="67" t="s">
        <v>746</v>
      </c>
      <c r="G768" s="67" t="s">
        <v>919</v>
      </c>
      <c r="H768" s="74" t="s">
        <v>763</v>
      </c>
      <c r="I768" s="439"/>
      <c r="J768" s="439"/>
      <c r="K768" s="430"/>
      <c r="L768" s="439"/>
      <c r="M768" s="65">
        <v>100000000</v>
      </c>
      <c r="N768" s="66" t="s">
        <v>63</v>
      </c>
      <c r="O768" s="66" t="s">
        <v>26</v>
      </c>
      <c r="P768" s="84" t="str">
        <f>IF(AND('331-CT'!$E$7=TH!H768,OR(N768="331",O768="331")),"x","")</f>
        <v/>
      </c>
      <c r="Q768" s="84" t="str">
        <f>IF(AND(B768='111'!$L$11,OR($N768=$Q$7,$O768=$Q$7)),"x","")</f>
        <v>x</v>
      </c>
      <c r="R768" s="84" t="str">
        <f>IF(AND($N768=$Q$7,$B768&lt;'111'!$L$11),"x","")</f>
        <v/>
      </c>
      <c r="S768" s="84" t="str">
        <f>IF(AND($O768=$Q$7,$B768&lt;'111'!$L$11),"x","")</f>
        <v/>
      </c>
      <c r="T768" s="84" t="str">
        <f>IF(ISERROR(FIND('112'!$M$9,G768,1)),"",IF((AND(FIND('112'!$M$9,G768,1)&gt;=1,B768='112'!$K$9,OR($N768='112'!$I$6,$O768='112'!$I$6))),"x",""))</f>
        <v/>
      </c>
      <c r="U768" s="84" t="str">
        <f>IF(ISERROR(FIND('112'!$M$9,G768,1)),"",IF((AND(LEFT(G768,2)=LEFT('112'!$M$9,2),B768&lt;'112'!$K$9,$N768='112'!$I$6)),"x",""))</f>
        <v/>
      </c>
      <c r="V768" s="84" t="str">
        <f>IF(ISERROR(FIND('112'!$M$9,G768,1)),"",IF((AND(RIGHT(G768,2)=RIGHT('112'!$M$9,2),B768&lt;'112'!$K$9,$O768='112'!$I$6)),"x",""))</f>
        <v>x</v>
      </c>
      <c r="W768" s="84" t="str">
        <f>IF(AND('341-CT'!$H$9=H768,OR(LEFT(N768,3)=$W$7,LEFT(O768,3)=$W$7)),"x","")</f>
        <v/>
      </c>
      <c r="X768" s="84" t="str">
        <f>IF(OR(TH!N768=TH!$X$7,O768=TH!$X$7),"x","")</f>
        <v/>
      </c>
      <c r="Y768" s="84" t="str">
        <f>IF(AND(OR(N768="131",O768="131"),H768='131-CT'!$H$9),"x","")</f>
        <v/>
      </c>
      <c r="Z768" s="84"/>
      <c r="AA768" s="84" t="str">
        <f>IF(AND(MONTH(E768)='IN-NX'!$J$5,'IN-NX'!$D$7=D768),"x","")</f>
        <v/>
      </c>
      <c r="AB768" s="84" t="str">
        <f>IF(AND(OR(LEFT(TH!N768,2)="15",LEFT(TH!O768,2)="15"),LEFT(TH!O768,3)&lt;&gt;"111",'152-CT'!$J$8=TH!F768),"x","")</f>
        <v/>
      </c>
      <c r="AC768" s="84" t="str">
        <f>IF(AND(OR(LEFT(TH!N768,2)="15",LEFT(TH!O768,2)="15"),TK!$E$7=TH!F768),"x","")</f>
        <v/>
      </c>
      <c r="AD768" s="84" t="str">
        <f>IF(AND(N768="1521",MONTH(C768)='BK-NL'!$M$11),"x","")</f>
        <v/>
      </c>
    </row>
    <row r="769" spans="1:31" ht="15.75" hidden="1" customHeight="1">
      <c r="A769" s="336" t="str">
        <f>IF(B769&lt;&gt;"",IF(AND(B769='IN-TC'!$S$4,OR(TH!N769="1111",TH!O769="1111")),TH!D769,""),"")</f>
        <v/>
      </c>
      <c r="B769" s="63">
        <f t="shared" si="163"/>
        <v>1</v>
      </c>
      <c r="C769" s="64">
        <v>42384</v>
      </c>
      <c r="D769" s="64" t="s">
        <v>892</v>
      </c>
      <c r="E769" s="64">
        <v>42384</v>
      </c>
      <c r="F769" s="67" t="s">
        <v>776</v>
      </c>
      <c r="G769" s="67" t="s">
        <v>828</v>
      </c>
      <c r="H769" s="346" t="s">
        <v>814</v>
      </c>
      <c r="I769" s="443"/>
      <c r="J769" s="443"/>
      <c r="K769" s="434"/>
      <c r="L769" s="443"/>
      <c r="M769" s="65">
        <v>306027</v>
      </c>
      <c r="N769" s="66" t="s">
        <v>101</v>
      </c>
      <c r="O769" s="66" t="s">
        <v>63</v>
      </c>
      <c r="P769" s="84" t="str">
        <f>IF(AND('331-CT'!$E$7=TH!H769,OR(N769="331",O769="331")),"x","")</f>
        <v/>
      </c>
      <c r="Q769" s="84" t="str">
        <f>IF(AND(B769='111'!$L$11,OR($N769=$Q$7,$O769=$Q$7)),"x","")</f>
        <v>x</v>
      </c>
      <c r="R769" s="84" t="str">
        <f>IF(AND($N769=$Q$7,$B769&lt;'111'!$L$11),"x","")</f>
        <v/>
      </c>
      <c r="S769" s="84" t="str">
        <f>IF(AND($O769=$Q$7,$B769&lt;'111'!$L$11),"x","")</f>
        <v/>
      </c>
      <c r="T769" s="84" t="str">
        <f>IF(ISERROR(FIND('112'!$M$9,G769,1)),"",IF((AND(FIND('112'!$M$9,G769,1)&gt;=1,B769='112'!$K$9,OR($N769='112'!$I$6,$O769='112'!$I$6))),"x",""))</f>
        <v/>
      </c>
      <c r="U769" s="84" t="str">
        <f>IF(ISERROR(FIND('112'!$M$9,G769,1)),"",IF((AND(LEFT(G769,2)=LEFT('112'!$M$9,2),B769&lt;'112'!$K$9,$N769='112'!$I$6)),"x",""))</f>
        <v/>
      </c>
      <c r="V769" s="84" t="str">
        <f>IF(ISERROR(FIND('112'!$M$9,G769,1)),"",IF((AND(RIGHT(G769,2)=RIGHT('112'!$M$9,2),B769&lt;'112'!$K$9,$O769='112'!$I$6)),"x",""))</f>
        <v/>
      </c>
      <c r="W769" s="84" t="str">
        <f>IF(AND('341-CT'!$H$9=H769,OR(LEFT(N769,3)=$W$7,LEFT(O769,3)=$W$7)),"x","")</f>
        <v/>
      </c>
      <c r="X769" s="84" t="str">
        <f>IF(OR(TH!N769=TH!$X$7,O769=TH!$X$7),"x","")</f>
        <v/>
      </c>
      <c r="Y769" s="84" t="str">
        <f>IF(AND(OR(N769="131",O769="131"),H769='131-CT'!$H$9),"x","")</f>
        <v/>
      </c>
      <c r="Z769" s="84"/>
      <c r="AA769" s="84" t="str">
        <f>IF(AND(MONTH(E769)='IN-NX'!$J$5,'IN-NX'!$D$7=D769),"x","")</f>
        <v/>
      </c>
      <c r="AB769" s="84" t="str">
        <f>IF(AND(OR(LEFT(TH!N769,2)="15",LEFT(TH!O769,2)="15"),LEFT(TH!O769,3)&lt;&gt;"111",'152-CT'!$J$8=TH!F769),"x","")</f>
        <v/>
      </c>
      <c r="AC769" s="84" t="str">
        <f>IF(AND(OR(LEFT(TH!N769,2)="15",LEFT(TH!O769,2)="15"),TK!$E$7=TH!F769),"x","")</f>
        <v/>
      </c>
      <c r="AD769" s="84" t="str">
        <f>IF(AND(N769="1521",MONTH(C769)='BK-NL'!$M$11),"x","")</f>
        <v/>
      </c>
    </row>
    <row r="770" spans="1:31" ht="15.75" hidden="1" customHeight="1">
      <c r="A770" s="336" t="str">
        <f>IF(B770&lt;&gt;"",IF(AND(B770='IN-TC'!$S$4,OR(TH!N770="1111",TH!O770="1111")),TH!D770,""),"")</f>
        <v/>
      </c>
      <c r="B770" s="63">
        <f t="shared" si="163"/>
        <v>1</v>
      </c>
      <c r="C770" s="64">
        <v>42384</v>
      </c>
      <c r="D770" s="64" t="s">
        <v>892</v>
      </c>
      <c r="E770" s="64">
        <v>42384</v>
      </c>
      <c r="F770" s="67" t="s">
        <v>777</v>
      </c>
      <c r="G770" s="67" t="s">
        <v>828</v>
      </c>
      <c r="H770" s="346" t="s">
        <v>814</v>
      </c>
      <c r="I770" s="443"/>
      <c r="J770" s="443"/>
      <c r="K770" s="434"/>
      <c r="L770" s="443"/>
      <c r="M770" s="65">
        <v>30603</v>
      </c>
      <c r="N770" s="66" t="s">
        <v>9</v>
      </c>
      <c r="O770" s="66" t="s">
        <v>63</v>
      </c>
      <c r="P770" s="84" t="str">
        <f>IF(AND('331-CT'!$E$7=TH!H770,OR(N770="331",O770="331")),"x","")</f>
        <v/>
      </c>
      <c r="Q770" s="84" t="str">
        <f>IF(AND(B770='111'!$L$11,OR($N770=$Q$7,$O770=$Q$7)),"x","")</f>
        <v>x</v>
      </c>
      <c r="R770" s="84" t="str">
        <f>IF(AND($N770=$Q$7,$B770&lt;'111'!$L$11),"x","")</f>
        <v/>
      </c>
      <c r="S770" s="84" t="str">
        <f>IF(AND($O770=$Q$7,$B770&lt;'111'!$L$11),"x","")</f>
        <v/>
      </c>
      <c r="T770" s="84" t="str">
        <f>IF(ISERROR(FIND('112'!$M$9,G770,1)),"",IF((AND(FIND('112'!$M$9,G770,1)&gt;=1,B770='112'!$K$9,OR($N770='112'!$I$6,$O770='112'!$I$6))),"x",""))</f>
        <v/>
      </c>
      <c r="U770" s="84" t="str">
        <f>IF(ISERROR(FIND('112'!$M$9,G770,1)),"",IF((AND(LEFT(G770,2)=LEFT('112'!$M$9,2),B770&lt;'112'!$K$9,$N770='112'!$I$6)),"x",""))</f>
        <v/>
      </c>
      <c r="V770" s="84" t="str">
        <f>IF(ISERROR(FIND('112'!$M$9,G770,1)),"",IF((AND(RIGHT(G770,2)=RIGHT('112'!$M$9,2),B770&lt;'112'!$K$9,$O770='112'!$I$6)),"x",""))</f>
        <v/>
      </c>
      <c r="W770" s="84" t="str">
        <f>IF(AND('341-CT'!$H$9=H770,OR(LEFT(N770,3)=$W$7,LEFT(O770,3)=$W$7)),"x","")</f>
        <v/>
      </c>
      <c r="X770" s="84" t="str">
        <f>IF(OR(TH!N770=TH!$X$7,O770=TH!$X$7),"x","")</f>
        <v/>
      </c>
      <c r="Y770" s="84" t="str">
        <f>IF(AND(OR(N770="131",O770="131"),H770='131-CT'!$H$9),"x","")</f>
        <v/>
      </c>
      <c r="Z770" s="84"/>
      <c r="AA770" s="84" t="str">
        <f>IF(AND(MONTH(E770)='IN-NX'!$J$5,'IN-NX'!$D$7=D770),"x","")</f>
        <v/>
      </c>
      <c r="AB770" s="84" t="str">
        <f>IF(AND(OR(LEFT(TH!N770,2)="15",LEFT(TH!O770,2)="15"),LEFT(TH!O770,3)&lt;&gt;"111",'152-CT'!$J$8=TH!F770),"x","")</f>
        <v/>
      </c>
      <c r="AC770" s="84" t="str">
        <f>IF(AND(OR(LEFT(TH!N770,2)="15",LEFT(TH!O770,2)="15"),TK!$E$7=TH!F770),"x","")</f>
        <v/>
      </c>
      <c r="AD770" s="84" t="str">
        <f>IF(AND(N770="1521",MONTH(C770)='BK-NL'!$M$11),"x","")</f>
        <v/>
      </c>
    </row>
    <row r="771" spans="1:31" ht="15.75" hidden="1" customHeight="1">
      <c r="A771" s="336" t="str">
        <f>IF(B771&lt;&gt;"",IF(AND(B771='IN-TC'!$S$4,OR(TH!N771="1111",TH!O771="1111")),TH!D771,""),"")</f>
        <v/>
      </c>
      <c r="B771" s="63">
        <f t="shared" si="163"/>
        <v>1</v>
      </c>
      <c r="C771" s="64">
        <v>42384</v>
      </c>
      <c r="D771" s="64" t="s">
        <v>893</v>
      </c>
      <c r="E771" s="64">
        <v>42384</v>
      </c>
      <c r="F771" s="67" t="s">
        <v>776</v>
      </c>
      <c r="G771" s="67" t="s">
        <v>829</v>
      </c>
      <c r="H771" s="346" t="s">
        <v>808</v>
      </c>
      <c r="I771" s="443"/>
      <c r="J771" s="443"/>
      <c r="K771" s="434"/>
      <c r="L771" s="443"/>
      <c r="M771" s="65">
        <v>593155</v>
      </c>
      <c r="N771" s="66" t="s">
        <v>101</v>
      </c>
      <c r="O771" s="66" t="s">
        <v>63</v>
      </c>
      <c r="P771" s="84" t="str">
        <f>IF(AND('331-CT'!$E$7=TH!H771,OR(N771="331",O771="331")),"x","")</f>
        <v/>
      </c>
      <c r="Q771" s="84" t="str">
        <f>IF(AND(B771='111'!$L$11,OR($N771=$Q$7,$O771=$Q$7)),"x","")</f>
        <v>x</v>
      </c>
      <c r="R771" s="84" t="str">
        <f>IF(AND($N771=$Q$7,$B771&lt;'111'!$L$11),"x","")</f>
        <v/>
      </c>
      <c r="S771" s="84" t="str">
        <f>IF(AND($O771=$Q$7,$B771&lt;'111'!$L$11),"x","")</f>
        <v/>
      </c>
      <c r="T771" s="84" t="str">
        <f>IF(ISERROR(FIND('112'!$M$9,G771,1)),"",IF((AND(FIND('112'!$M$9,G771,1)&gt;=1,B771='112'!$K$9,OR($N771='112'!$I$6,$O771='112'!$I$6))),"x",""))</f>
        <v/>
      </c>
      <c r="U771" s="84" t="str">
        <f>IF(ISERROR(FIND('112'!$M$9,G771,1)),"",IF((AND(LEFT(G771,2)=LEFT('112'!$M$9,2),B771&lt;'112'!$K$9,$N771='112'!$I$6)),"x",""))</f>
        <v/>
      </c>
      <c r="V771" s="84" t="str">
        <f>IF(ISERROR(FIND('112'!$M$9,G771,1)),"",IF((AND(RIGHT(G771,2)=RIGHT('112'!$M$9,2),B771&lt;'112'!$K$9,$O771='112'!$I$6)),"x",""))</f>
        <v/>
      </c>
      <c r="W771" s="84" t="str">
        <f>IF(AND('341-CT'!$H$9=H771,OR(LEFT(N771,3)=$W$7,LEFT(O771,3)=$W$7)),"x","")</f>
        <v/>
      </c>
      <c r="X771" s="84" t="str">
        <f>IF(OR(TH!N771=TH!$X$7,O771=TH!$X$7),"x","")</f>
        <v/>
      </c>
      <c r="Y771" s="84" t="str">
        <f>IF(AND(OR(N771="131",O771="131"),H771='131-CT'!$H$9),"x","")</f>
        <v/>
      </c>
      <c r="Z771" s="84"/>
      <c r="AA771" s="84" t="str">
        <f>IF(AND(MONTH(E771)='IN-NX'!$J$5,'IN-NX'!$D$7=D771),"x","")</f>
        <v/>
      </c>
      <c r="AB771" s="84" t="str">
        <f>IF(AND(OR(LEFT(TH!N771,2)="15",LEFT(TH!O771,2)="15"),LEFT(TH!O771,3)&lt;&gt;"111",'152-CT'!$J$8=TH!F771),"x","")</f>
        <v/>
      </c>
      <c r="AC771" s="84" t="str">
        <f>IF(AND(OR(LEFT(TH!N771,2)="15",LEFT(TH!O771,2)="15"),TK!$E$7=TH!F771),"x","")</f>
        <v/>
      </c>
      <c r="AD771" s="84" t="str">
        <f>IF(AND(N771="1521",MONTH(C771)='BK-NL'!$M$11),"x","")</f>
        <v/>
      </c>
    </row>
    <row r="772" spans="1:31" ht="15.75" hidden="1" customHeight="1">
      <c r="A772" s="336" t="str">
        <f>IF(B772&lt;&gt;"",IF(AND(B772='IN-TC'!$S$4,OR(TH!N772="1111",TH!O772="1111")),TH!D772,""),"")</f>
        <v/>
      </c>
      <c r="B772" s="63">
        <f t="shared" si="163"/>
        <v>1</v>
      </c>
      <c r="C772" s="64">
        <v>42384</v>
      </c>
      <c r="D772" s="64" t="s">
        <v>893</v>
      </c>
      <c r="E772" s="64">
        <v>42384</v>
      </c>
      <c r="F772" s="67" t="s">
        <v>777</v>
      </c>
      <c r="G772" s="67" t="s">
        <v>829</v>
      </c>
      <c r="H772" s="73" t="s">
        <v>808</v>
      </c>
      <c r="I772" s="439"/>
      <c r="J772" s="439"/>
      <c r="K772" s="430"/>
      <c r="L772" s="439"/>
      <c r="M772" s="65">
        <v>59315</v>
      </c>
      <c r="N772" s="66" t="s">
        <v>9</v>
      </c>
      <c r="O772" s="66" t="s">
        <v>63</v>
      </c>
      <c r="P772" s="84" t="str">
        <f>IF(AND('331-CT'!$E$7=TH!H772,OR(N772="331",O772="331")),"x","")</f>
        <v/>
      </c>
      <c r="Q772" s="84" t="str">
        <f>IF(AND(B772='111'!$L$11,OR($N772=$Q$7,$O772=$Q$7)),"x","")</f>
        <v>x</v>
      </c>
      <c r="R772" s="84" t="str">
        <f>IF(AND($N772=$Q$7,$B772&lt;'111'!$L$11),"x","")</f>
        <v/>
      </c>
      <c r="S772" s="84" t="str">
        <f>IF(AND($O772=$Q$7,$B772&lt;'111'!$L$11),"x","")</f>
        <v/>
      </c>
      <c r="T772" s="84" t="str">
        <f>IF(ISERROR(FIND('112'!$M$9,G772,1)),"",IF((AND(FIND('112'!$M$9,G772,1)&gt;=1,B772='112'!$K$9,OR($N772='112'!$I$6,$O772='112'!$I$6))),"x",""))</f>
        <v/>
      </c>
      <c r="U772" s="84" t="str">
        <f>IF(ISERROR(FIND('112'!$M$9,G772,1)),"",IF((AND(LEFT(G772,2)=LEFT('112'!$M$9,2),B772&lt;'112'!$K$9,$N772='112'!$I$6)),"x",""))</f>
        <v/>
      </c>
      <c r="V772" s="84" t="str">
        <f>IF(ISERROR(FIND('112'!$M$9,G772,1)),"",IF((AND(RIGHT(G772,2)=RIGHT('112'!$M$9,2),B772&lt;'112'!$K$9,$O772='112'!$I$6)),"x",""))</f>
        <v/>
      </c>
      <c r="W772" s="84" t="str">
        <f>IF(AND('341-CT'!$H$9=H772,OR(LEFT(N772,3)=$W$7,LEFT(O772,3)=$W$7)),"x","")</f>
        <v/>
      </c>
      <c r="X772" s="84" t="str">
        <f>IF(OR(TH!N772=TH!$X$7,O772=TH!$X$7),"x","")</f>
        <v/>
      </c>
      <c r="Y772" s="84" t="str">
        <f>IF(AND(OR(N772="131",O772="131"),H772='131-CT'!$H$9),"x","")</f>
        <v/>
      </c>
      <c r="Z772" s="84"/>
      <c r="AA772" s="84" t="str">
        <f>IF(AND(MONTH(E772)='IN-NX'!$J$5,'IN-NX'!$D$7=D772),"x","")</f>
        <v/>
      </c>
      <c r="AB772" s="84" t="str">
        <f>IF(AND(OR(LEFT(TH!N772,2)="15",LEFT(TH!O772,2)="15"),LEFT(TH!O772,3)&lt;&gt;"111",'152-CT'!$J$8=TH!F772),"x","")</f>
        <v/>
      </c>
      <c r="AC772" s="84" t="str">
        <f>IF(AND(OR(LEFT(TH!N772,2)="15",LEFT(TH!O772,2)="15"),TK!$E$7=TH!F772),"x","")</f>
        <v/>
      </c>
      <c r="AD772" s="84" t="str">
        <f>IF(AND(N772="1521",MONTH(C772)='BK-NL'!$M$11),"x","")</f>
        <v/>
      </c>
    </row>
    <row r="773" spans="1:31" ht="15.75" hidden="1" customHeight="1">
      <c r="A773" s="336" t="str">
        <f>IF(B773&lt;&gt;"",IF(AND(B773='IN-TC'!$S$4,OR(TH!N773="1111",TH!O773="1111")),TH!D773,""),"")</f>
        <v/>
      </c>
      <c r="B773" s="63">
        <f t="shared" si="163"/>
        <v>1</v>
      </c>
      <c r="C773" s="64">
        <v>42384</v>
      </c>
      <c r="D773" s="64" t="s">
        <v>894</v>
      </c>
      <c r="E773" s="64">
        <v>42384</v>
      </c>
      <c r="F773" s="67" t="s">
        <v>789</v>
      </c>
      <c r="G773" s="67" t="s">
        <v>830</v>
      </c>
      <c r="H773" s="73" t="s">
        <v>831</v>
      </c>
      <c r="I773" s="439"/>
      <c r="J773" s="439"/>
      <c r="K773" s="430"/>
      <c r="L773" s="439"/>
      <c r="M773" s="65">
        <v>400000</v>
      </c>
      <c r="N773" s="66" t="s">
        <v>101</v>
      </c>
      <c r="O773" s="66" t="s">
        <v>63</v>
      </c>
      <c r="P773" s="84" t="str">
        <f>IF(AND('331-CT'!$E$7=TH!H773,OR(N773="331",O773="331")),"x","")</f>
        <v/>
      </c>
      <c r="Q773" s="84" t="str">
        <f>IF(AND(B773='111'!$L$11,OR($N773=$Q$7,$O773=$Q$7)),"x","")</f>
        <v>x</v>
      </c>
      <c r="R773" s="84" t="str">
        <f>IF(AND($N773=$Q$7,$B773&lt;'111'!$L$11),"x","")</f>
        <v/>
      </c>
      <c r="S773" s="84" t="str">
        <f>IF(AND($O773=$Q$7,$B773&lt;'111'!$L$11),"x","")</f>
        <v/>
      </c>
      <c r="T773" s="84" t="str">
        <f>IF(ISERROR(FIND('112'!$M$9,G773,1)),"",IF((AND(FIND('112'!$M$9,G773,1)&gt;=1,B773='112'!$K$9,OR($N773='112'!$I$6,$O773='112'!$I$6))),"x",""))</f>
        <v/>
      </c>
      <c r="U773" s="84" t="str">
        <f>IF(ISERROR(FIND('112'!$M$9,G773,1)),"",IF((AND(LEFT(G773,2)=LEFT('112'!$M$9,2),B773&lt;'112'!$K$9,$N773='112'!$I$6)),"x",""))</f>
        <v/>
      </c>
      <c r="V773" s="84" t="str">
        <f>IF(ISERROR(FIND('112'!$M$9,G773,1)),"",IF((AND(RIGHT(G773,2)=RIGHT('112'!$M$9,2),B773&lt;'112'!$K$9,$O773='112'!$I$6)),"x",""))</f>
        <v/>
      </c>
      <c r="W773" s="84" t="str">
        <f>IF(AND('341-CT'!$H$9=H773,OR(LEFT(N773,3)=$W$7,LEFT(O773,3)=$W$7)),"x","")</f>
        <v/>
      </c>
      <c r="X773" s="84" t="str">
        <f>IF(OR(TH!N773=TH!$X$7,O773=TH!$X$7),"x","")</f>
        <v/>
      </c>
      <c r="Y773" s="84" t="str">
        <f>IF(AND(OR(N773="131",O773="131"),H773='131-CT'!$H$9),"x","")</f>
        <v/>
      </c>
      <c r="Z773" s="84"/>
      <c r="AA773" s="84" t="str">
        <f>IF(AND(MONTH(E773)='IN-NX'!$J$5,'IN-NX'!$D$7=D773),"x","")</f>
        <v/>
      </c>
      <c r="AB773" s="84" t="str">
        <f>IF(AND(OR(LEFT(TH!N773,2)="15",LEFT(TH!O773,2)="15"),LEFT(TH!O773,3)&lt;&gt;"111",'152-CT'!$J$8=TH!F773),"x","")</f>
        <v/>
      </c>
      <c r="AC773" s="84" t="str">
        <f>IF(AND(OR(LEFT(TH!N773,2)="15",LEFT(TH!O773,2)="15"),TK!$E$7=TH!F773),"x","")</f>
        <v/>
      </c>
      <c r="AD773" s="84" t="str">
        <f>IF(AND(N773="1521",MONTH(C773)='BK-NL'!$M$11),"x","")</f>
        <v/>
      </c>
    </row>
    <row r="774" spans="1:31" ht="15.75" hidden="1" customHeight="1">
      <c r="A774" s="336" t="str">
        <f>IF(B774&lt;&gt;"",IF(AND(B774='IN-TC'!$S$4,OR(TH!N774="1111",TH!O774="1111")),TH!D774,""),"")</f>
        <v/>
      </c>
      <c r="B774" s="63">
        <f t="shared" si="163"/>
        <v>1</v>
      </c>
      <c r="C774" s="64">
        <v>42384</v>
      </c>
      <c r="D774" s="64" t="s">
        <v>894</v>
      </c>
      <c r="E774" s="64">
        <v>42384</v>
      </c>
      <c r="F774" s="67" t="s">
        <v>790</v>
      </c>
      <c r="G774" s="67" t="s">
        <v>830</v>
      </c>
      <c r="H774" s="346" t="s">
        <v>831</v>
      </c>
      <c r="I774" s="443"/>
      <c r="J774" s="443"/>
      <c r="K774" s="434"/>
      <c r="L774" s="443"/>
      <c r="M774" s="65">
        <v>20000</v>
      </c>
      <c r="N774" s="66" t="s">
        <v>9</v>
      </c>
      <c r="O774" s="66" t="s">
        <v>63</v>
      </c>
      <c r="P774" s="84" t="str">
        <f>IF(AND('331-CT'!$E$7=TH!H774,OR(N774="331",O774="331")),"x","")</f>
        <v/>
      </c>
      <c r="Q774" s="84" t="str">
        <f>IF(AND(B774='111'!$L$11,OR($N774=$Q$7,$O774=$Q$7)),"x","")</f>
        <v>x</v>
      </c>
      <c r="R774" s="84" t="str">
        <f>IF(AND($N774=$Q$7,$B774&lt;'111'!$L$11),"x","")</f>
        <v/>
      </c>
      <c r="S774" s="84" t="str">
        <f>IF(AND($O774=$Q$7,$B774&lt;'111'!$L$11),"x","")</f>
        <v/>
      </c>
      <c r="T774" s="84" t="str">
        <f>IF(ISERROR(FIND('112'!$M$9,G774,1)),"",IF((AND(FIND('112'!$M$9,G774,1)&gt;=1,B774='112'!$K$9,OR($N774='112'!$I$6,$O774='112'!$I$6))),"x",""))</f>
        <v/>
      </c>
      <c r="U774" s="84" t="str">
        <f>IF(ISERROR(FIND('112'!$M$9,G774,1)),"",IF((AND(LEFT(G774,2)=LEFT('112'!$M$9,2),B774&lt;'112'!$K$9,$N774='112'!$I$6)),"x",""))</f>
        <v/>
      </c>
      <c r="V774" s="84" t="str">
        <f>IF(ISERROR(FIND('112'!$M$9,G774,1)),"",IF((AND(RIGHT(G774,2)=RIGHT('112'!$M$9,2),B774&lt;'112'!$K$9,$O774='112'!$I$6)),"x",""))</f>
        <v/>
      </c>
      <c r="W774" s="84" t="str">
        <f>IF(AND('341-CT'!$H$9=H774,OR(LEFT(N774,3)=$W$7,LEFT(O774,3)=$W$7)),"x","")</f>
        <v/>
      </c>
      <c r="X774" s="84" t="str">
        <f>IF(OR(TH!N774=TH!$X$7,O774=TH!$X$7),"x","")</f>
        <v/>
      </c>
      <c r="Y774" s="84" t="str">
        <f>IF(AND(OR(N774="131",O774="131"),H774='131-CT'!$H$9),"x","")</f>
        <v/>
      </c>
      <c r="Z774" s="84"/>
      <c r="AA774" s="84" t="str">
        <f>IF(AND(MONTH(E774)='IN-NX'!$J$5,'IN-NX'!$D$7=D774),"x","")</f>
        <v/>
      </c>
      <c r="AB774" s="84" t="str">
        <f>IF(AND(OR(LEFT(TH!N774,2)="15",LEFT(TH!O774,2)="15"),LEFT(TH!O774,3)&lt;&gt;"111",'152-CT'!$J$8=TH!F774),"x","")</f>
        <v/>
      </c>
      <c r="AC774" s="84" t="str">
        <f>IF(AND(OR(LEFT(TH!N774,2)="15",LEFT(TH!O774,2)="15"),TK!$E$7=TH!F774),"x","")</f>
        <v/>
      </c>
      <c r="AD774" s="84" t="str">
        <f>IF(AND(N774="1521",MONTH(C774)='BK-NL'!$M$11),"x","")</f>
        <v/>
      </c>
    </row>
    <row r="775" spans="1:31" ht="15.75" hidden="1" customHeight="1">
      <c r="A775" s="336" t="str">
        <f>IF(B775&lt;&gt;"",IF(AND(B775='IN-TC'!$S$4,OR(TH!N775="1111",TH!O775="1111")),TH!D775,""),"")</f>
        <v/>
      </c>
      <c r="B775" s="63">
        <f t="shared" si="163"/>
        <v>1</v>
      </c>
      <c r="C775" s="64">
        <v>42384</v>
      </c>
      <c r="D775" s="64" t="s">
        <v>895</v>
      </c>
      <c r="E775" s="64">
        <v>42384</v>
      </c>
      <c r="F775" s="67" t="s">
        <v>781</v>
      </c>
      <c r="G775" s="67" t="s">
        <v>832</v>
      </c>
      <c r="H775" s="346" t="s">
        <v>819</v>
      </c>
      <c r="I775" s="443"/>
      <c r="J775" s="443"/>
      <c r="K775" s="434"/>
      <c r="L775" s="443"/>
      <c r="M775" s="65">
        <v>17435800</v>
      </c>
      <c r="N775" s="66" t="s">
        <v>101</v>
      </c>
      <c r="O775" s="66" t="s">
        <v>63</v>
      </c>
      <c r="P775" s="84" t="str">
        <f>IF(AND('331-CT'!$E$7=TH!H775,OR(N775="331",O775="331")),"x","")</f>
        <v/>
      </c>
      <c r="Q775" s="84" t="str">
        <f>IF(AND(B775='111'!$L$11,OR($N775=$Q$7,$O775=$Q$7)),"x","")</f>
        <v>x</v>
      </c>
      <c r="R775" s="84" t="str">
        <f>IF(AND($N775=$Q$7,$B775&lt;'111'!$L$11),"x","")</f>
        <v/>
      </c>
      <c r="S775" s="84" t="str">
        <f>IF(AND($O775=$Q$7,$B775&lt;'111'!$L$11),"x","")</f>
        <v/>
      </c>
      <c r="T775" s="84" t="str">
        <f>IF(ISERROR(FIND('112'!$M$9,G775,1)),"",IF((AND(FIND('112'!$M$9,G775,1)&gt;=1,B775='112'!$K$9,OR($N775='112'!$I$6,$O775='112'!$I$6))),"x",""))</f>
        <v/>
      </c>
      <c r="U775" s="84" t="str">
        <f>IF(ISERROR(FIND('112'!$M$9,G775,1)),"",IF((AND(LEFT(G775,2)=LEFT('112'!$M$9,2),B775&lt;'112'!$K$9,$N775='112'!$I$6)),"x",""))</f>
        <v/>
      </c>
      <c r="V775" s="84" t="str">
        <f>IF(ISERROR(FIND('112'!$M$9,G775,1)),"",IF((AND(RIGHT(G775,2)=RIGHT('112'!$M$9,2),B775&lt;'112'!$K$9,$O775='112'!$I$6)),"x",""))</f>
        <v/>
      </c>
      <c r="W775" s="84" t="str">
        <f>IF(AND('341-CT'!$H$9=H775,OR(LEFT(N775,3)=$W$7,LEFT(O775,3)=$W$7)),"x","")</f>
        <v/>
      </c>
      <c r="X775" s="84" t="str">
        <f>IF(OR(TH!N775=TH!$X$7,O775=TH!$X$7),"x","")</f>
        <v/>
      </c>
      <c r="Y775" s="84" t="str">
        <f>IF(AND(OR(N775="131",O775="131"),H775='131-CT'!$H$9),"x","")</f>
        <v/>
      </c>
      <c r="Z775" s="84"/>
      <c r="AA775" s="84" t="str">
        <f>IF(AND(MONTH(E775)='IN-NX'!$J$5,'IN-NX'!$D$7=D775),"x","")</f>
        <v/>
      </c>
      <c r="AB775" s="84" t="str">
        <f>IF(AND(OR(LEFT(TH!N775,2)="15",LEFT(TH!O775,2)="15"),LEFT(TH!O775,3)&lt;&gt;"111",'152-CT'!$J$8=TH!F775),"x","")</f>
        <v/>
      </c>
      <c r="AC775" s="84" t="str">
        <f>IF(AND(OR(LEFT(TH!N775,2)="15",LEFT(TH!O775,2)="15"),TK!$E$7=TH!F775),"x","")</f>
        <v/>
      </c>
      <c r="AD775" s="84" t="str">
        <f>IF(AND(N775="1521",MONTH(C775)='BK-NL'!$M$11),"x","")</f>
        <v/>
      </c>
    </row>
    <row r="776" spans="1:31" ht="15.75" hidden="1" customHeight="1">
      <c r="A776" s="336" t="str">
        <f>IF(B776&lt;&gt;"",IF(AND(B776='IN-TC'!$S$4,OR(TH!N776="1111",TH!O776="1111")),TH!D776,""),"")</f>
        <v/>
      </c>
      <c r="B776" s="63">
        <f t="shared" si="163"/>
        <v>1</v>
      </c>
      <c r="C776" s="64">
        <v>42384</v>
      </c>
      <c r="D776" s="64" t="s">
        <v>895</v>
      </c>
      <c r="E776" s="64">
        <v>42384</v>
      </c>
      <c r="F776" s="67" t="s">
        <v>782</v>
      </c>
      <c r="G776" s="67" t="s">
        <v>832</v>
      </c>
      <c r="H776" s="346" t="s">
        <v>819</v>
      </c>
      <c r="I776" s="443"/>
      <c r="J776" s="443"/>
      <c r="K776" s="434"/>
      <c r="L776" s="443"/>
      <c r="M776" s="65">
        <v>1743580</v>
      </c>
      <c r="N776" s="66" t="s">
        <v>9</v>
      </c>
      <c r="O776" s="66" t="s">
        <v>63</v>
      </c>
      <c r="P776" s="84" t="str">
        <f>IF(AND('331-CT'!$E$7=TH!H776,OR(N776="331",O776="331")),"x","")</f>
        <v/>
      </c>
      <c r="Q776" s="84" t="str">
        <f>IF(AND(B776='111'!$L$11,OR($N776=$Q$7,$O776=$Q$7)),"x","")</f>
        <v>x</v>
      </c>
      <c r="R776" s="84" t="str">
        <f>IF(AND($N776=$Q$7,$B776&lt;'111'!$L$11),"x","")</f>
        <v/>
      </c>
      <c r="S776" s="84" t="str">
        <f>IF(AND($O776=$Q$7,$B776&lt;'111'!$L$11),"x","")</f>
        <v/>
      </c>
      <c r="T776" s="84" t="str">
        <f>IF(ISERROR(FIND('112'!$M$9,G776,1)),"",IF((AND(FIND('112'!$M$9,G776,1)&gt;=1,B776='112'!$K$9,OR($N776='112'!$I$6,$O776='112'!$I$6))),"x",""))</f>
        <v/>
      </c>
      <c r="U776" s="84" t="str">
        <f>IF(ISERROR(FIND('112'!$M$9,G776,1)),"",IF((AND(LEFT(G776,2)=LEFT('112'!$M$9,2),B776&lt;'112'!$K$9,$N776='112'!$I$6)),"x",""))</f>
        <v/>
      </c>
      <c r="V776" s="84" t="str">
        <f>IF(ISERROR(FIND('112'!$M$9,G776,1)),"",IF((AND(RIGHT(G776,2)=RIGHT('112'!$M$9,2),B776&lt;'112'!$K$9,$O776='112'!$I$6)),"x",""))</f>
        <v/>
      </c>
      <c r="W776" s="84" t="str">
        <f>IF(AND('341-CT'!$H$9=H776,OR(LEFT(N776,3)=$W$7,LEFT(O776,3)=$W$7)),"x","")</f>
        <v/>
      </c>
      <c r="X776" s="84" t="str">
        <f>IF(OR(TH!N776=TH!$X$7,O776=TH!$X$7),"x","")</f>
        <v/>
      </c>
      <c r="Y776" s="84" t="str">
        <f>IF(AND(OR(N776="131",O776="131"),H776='131-CT'!$H$9),"x","")</f>
        <v/>
      </c>
      <c r="Z776" s="84"/>
      <c r="AA776" s="84" t="str">
        <f>IF(AND(MONTH(E776)='IN-NX'!$J$5,'IN-NX'!$D$7=D776),"x","")</f>
        <v/>
      </c>
      <c r="AB776" s="84" t="str">
        <f>IF(AND(OR(LEFT(TH!N776,2)="15",LEFT(TH!O776,2)="15"),LEFT(TH!O776,3)&lt;&gt;"111",'152-CT'!$J$8=TH!F776),"x","")</f>
        <v/>
      </c>
      <c r="AC776" s="84" t="str">
        <f>IF(AND(OR(LEFT(TH!N776,2)="15",LEFT(TH!O776,2)="15"),TK!$E$7=TH!F776),"x","")</f>
        <v/>
      </c>
      <c r="AD776" s="84" t="str">
        <f>IF(AND(N776="1521",MONTH(C776)='BK-NL'!$M$11),"x","")</f>
        <v/>
      </c>
    </row>
    <row r="777" spans="1:31" ht="15.75" hidden="1" customHeight="1">
      <c r="A777" s="336" t="str">
        <f>IF(B777&lt;&gt;"",IF(AND(B777='IN-TC'!$S$4,OR(TH!N777="1111",TH!O777="1111")),TH!D777,""),"")</f>
        <v/>
      </c>
      <c r="B777" s="63">
        <f t="shared" si="163"/>
        <v>1</v>
      </c>
      <c r="C777" s="64">
        <v>42387</v>
      </c>
      <c r="D777" s="64" t="s">
        <v>705</v>
      </c>
      <c r="E777" s="64">
        <v>42387</v>
      </c>
      <c r="F777" s="67" t="s">
        <v>747</v>
      </c>
      <c r="G777" s="67" t="s">
        <v>919</v>
      </c>
      <c r="H777" s="67" t="s">
        <v>723</v>
      </c>
      <c r="I777" s="439"/>
      <c r="J777" s="439"/>
      <c r="K777" s="430"/>
      <c r="L777" s="439"/>
      <c r="M777" s="65">
        <v>3087650</v>
      </c>
      <c r="N777" s="66" t="s">
        <v>99</v>
      </c>
      <c r="O777" s="66" t="s">
        <v>26</v>
      </c>
      <c r="P777" s="84" t="str">
        <f>IF(AND('331-CT'!$E$7=TH!H777,OR(N777="331",O777="331")),"x","")</f>
        <v/>
      </c>
      <c r="Q777" s="84" t="str">
        <f>IF(AND(B777='111'!$L$11,OR($N777=$Q$7,$O777=$Q$7)),"x","")</f>
        <v/>
      </c>
      <c r="R777" s="84" t="str">
        <f>IF(AND($N777=$Q$7,$B777&lt;'111'!$L$11),"x","")</f>
        <v/>
      </c>
      <c r="S777" s="84" t="str">
        <f>IF(AND($O777=$Q$7,$B777&lt;'111'!$L$11),"x","")</f>
        <v/>
      </c>
      <c r="T777" s="84" t="str">
        <f>IF(ISERROR(FIND('112'!$M$9,G777,1)),"",IF((AND(FIND('112'!$M$9,G777,1)&gt;=1,B777='112'!$K$9,OR($N777='112'!$I$6,$O777='112'!$I$6))),"x",""))</f>
        <v/>
      </c>
      <c r="U777" s="84" t="str">
        <f>IF(ISERROR(FIND('112'!$M$9,G777,1)),"",IF((AND(LEFT(G777,2)=LEFT('112'!$M$9,2),B777&lt;'112'!$K$9,$N777='112'!$I$6)),"x",""))</f>
        <v/>
      </c>
      <c r="V777" s="84" t="str">
        <f>IF(ISERROR(FIND('112'!$M$9,G777,1)),"",IF((AND(RIGHT(G777,2)=RIGHT('112'!$M$9,2),B777&lt;'112'!$K$9,$O777='112'!$I$6)),"x",""))</f>
        <v>x</v>
      </c>
      <c r="W777" s="84" t="str">
        <f>IF(AND('341-CT'!$H$9=H777,OR(LEFT(N777,3)=$W$7,LEFT(O777,3)=$W$7)),"x","")</f>
        <v/>
      </c>
      <c r="X777" s="84" t="str">
        <f>IF(OR(TH!N777=TH!$X$7,O777=TH!$X$7),"x","")</f>
        <v/>
      </c>
      <c r="Y777" s="84" t="str">
        <f>IF(AND(OR(N777="131",O777="131"),H777='131-CT'!$H$9),"x","")</f>
        <v/>
      </c>
      <c r="Z777" s="84"/>
      <c r="AA777" s="84" t="str">
        <f>IF(AND(MONTH(E777)='IN-NX'!$J$5,'IN-NX'!$D$7=D777),"x","")</f>
        <v/>
      </c>
      <c r="AB777" s="84" t="str">
        <f>IF(AND(OR(LEFT(TH!N777,2)="15",LEFT(TH!O777,2)="15"),LEFT(TH!O777,3)&lt;&gt;"111",'152-CT'!$J$8=TH!F777),"x","")</f>
        <v/>
      </c>
      <c r="AC777" s="84" t="str">
        <f>IF(AND(OR(LEFT(TH!N777,2)="15",LEFT(TH!O777,2)="15"),TK!$E$7=TH!F777),"x","")</f>
        <v/>
      </c>
      <c r="AD777" s="84" t="str">
        <f>IF(AND(N777="1521",MONTH(C777)='BK-NL'!$M$11),"x","")</f>
        <v/>
      </c>
    </row>
    <row r="778" spans="1:31" ht="15.75" hidden="1" customHeight="1">
      <c r="A778" s="336" t="str">
        <f>IF(B778&lt;&gt;"",IF(AND(B778='IN-TC'!$S$4,OR(TH!N778="1111",TH!O778="1111")),TH!D778,""),"")</f>
        <v/>
      </c>
      <c r="B778" s="63">
        <f t="shared" si="163"/>
        <v>1</v>
      </c>
      <c r="C778" s="64">
        <v>42387</v>
      </c>
      <c r="D778" s="64" t="s">
        <v>705</v>
      </c>
      <c r="E778" s="64">
        <v>42387</v>
      </c>
      <c r="F778" s="67" t="s">
        <v>748</v>
      </c>
      <c r="G778" s="67" t="s">
        <v>919</v>
      </c>
      <c r="H778" s="67" t="s">
        <v>724</v>
      </c>
      <c r="I778" s="439"/>
      <c r="J778" s="439"/>
      <c r="K778" s="430"/>
      <c r="L778" s="439"/>
      <c r="M778" s="65">
        <v>3859450</v>
      </c>
      <c r="N778" s="66" t="s">
        <v>99</v>
      </c>
      <c r="O778" s="66" t="s">
        <v>26</v>
      </c>
      <c r="P778" s="84" t="str">
        <f>IF(AND('331-CT'!$E$7=TH!H778,OR(N778="331",O778="331")),"x","")</f>
        <v/>
      </c>
      <c r="Q778" s="84" t="str">
        <f>IF(AND(B778='111'!$L$11,OR($N778=$Q$7,$O778=$Q$7)),"x","")</f>
        <v/>
      </c>
      <c r="R778" s="84" t="str">
        <f>IF(AND($N778=$Q$7,$B778&lt;'111'!$L$11),"x","")</f>
        <v/>
      </c>
      <c r="S778" s="84" t="str">
        <f>IF(AND($O778=$Q$7,$B778&lt;'111'!$L$11),"x","")</f>
        <v/>
      </c>
      <c r="T778" s="84" t="str">
        <f>IF(ISERROR(FIND('112'!$M$9,G778,1)),"",IF((AND(FIND('112'!$M$9,G778,1)&gt;=1,B778='112'!$K$9,OR($N778='112'!$I$6,$O778='112'!$I$6))),"x",""))</f>
        <v/>
      </c>
      <c r="U778" s="84" t="str">
        <f>IF(ISERROR(FIND('112'!$M$9,G778,1)),"",IF((AND(LEFT(G778,2)=LEFT('112'!$M$9,2),B778&lt;'112'!$K$9,$N778='112'!$I$6)),"x",""))</f>
        <v/>
      </c>
      <c r="V778" s="84" t="str">
        <f>IF(ISERROR(FIND('112'!$M$9,G778,1)),"",IF((AND(RIGHT(G778,2)=RIGHT('112'!$M$9,2),B778&lt;'112'!$K$9,$O778='112'!$I$6)),"x",""))</f>
        <v>x</v>
      </c>
      <c r="W778" s="84" t="str">
        <f>IF(AND('341-CT'!$H$9=H778,OR(LEFT(N778,3)=$W$7,LEFT(O778,3)=$W$7)),"x","")</f>
        <v/>
      </c>
      <c r="X778" s="84" t="str">
        <f>IF(OR(TH!N778=TH!$X$7,O778=TH!$X$7),"x","")</f>
        <v/>
      </c>
      <c r="Y778" s="84" t="str">
        <f>IF(AND(OR(N778="131",O778="131"),H778='131-CT'!$H$9),"x","")</f>
        <v/>
      </c>
      <c r="Z778" s="84"/>
      <c r="AA778" s="84" t="str">
        <f>IF(AND(MONTH(E778)='IN-NX'!$J$5,'IN-NX'!$D$7=D778),"x","")</f>
        <v/>
      </c>
      <c r="AB778" s="84" t="str">
        <f>IF(AND(OR(LEFT(TH!N778,2)="15",LEFT(TH!O778,2)="15"),LEFT(TH!O778,3)&lt;&gt;"111",'152-CT'!$J$8=TH!F778),"x","")</f>
        <v/>
      </c>
      <c r="AC778" s="84" t="str">
        <f>IF(AND(OR(LEFT(TH!N778,2)="15",LEFT(TH!O778,2)="15"),TK!$E$7=TH!F778),"x","")</f>
        <v/>
      </c>
      <c r="AD778" s="84" t="str">
        <f>IF(AND(N778="1521",MONTH(C778)='BK-NL'!$M$11),"x","")</f>
        <v/>
      </c>
    </row>
    <row r="779" spans="1:31" ht="15.75" hidden="1" customHeight="1">
      <c r="A779" s="336" t="str">
        <f>IF(B779&lt;&gt;"",IF(AND(B779='IN-TC'!$S$4,OR(TH!N779="1111",TH!O779="1111")),TH!D779,""),"")</f>
        <v/>
      </c>
      <c r="B779" s="63">
        <f t="shared" si="163"/>
        <v>1</v>
      </c>
      <c r="C779" s="64">
        <v>42387</v>
      </c>
      <c r="D779" s="64" t="s">
        <v>705</v>
      </c>
      <c r="E779" s="64">
        <v>42387</v>
      </c>
      <c r="F779" s="345" t="s">
        <v>749</v>
      </c>
      <c r="G779" s="67" t="s">
        <v>919</v>
      </c>
      <c r="H779" s="344" t="s">
        <v>717</v>
      </c>
      <c r="I779" s="443"/>
      <c r="J779" s="443"/>
      <c r="K779" s="434"/>
      <c r="L779" s="443"/>
      <c r="M779" s="65">
        <v>7490746</v>
      </c>
      <c r="N779" s="66" t="s">
        <v>99</v>
      </c>
      <c r="O779" s="66" t="s">
        <v>26</v>
      </c>
      <c r="P779" s="84" t="str">
        <f>IF(AND('331-CT'!$E$7=TH!H779,OR(N779="331",O779="331")),"x","")</f>
        <v/>
      </c>
      <c r="Q779" s="84" t="str">
        <f>IF(AND(B779='111'!$L$11,OR($N779=$Q$7,$O779=$Q$7)),"x","")</f>
        <v/>
      </c>
      <c r="R779" s="84" t="str">
        <f>IF(AND($N779=$Q$7,$B779&lt;'111'!$L$11),"x","")</f>
        <v/>
      </c>
      <c r="S779" s="84" t="str">
        <f>IF(AND($O779=$Q$7,$B779&lt;'111'!$L$11),"x","")</f>
        <v/>
      </c>
      <c r="T779" s="84" t="str">
        <f>IF(ISERROR(FIND('112'!$M$9,G779,1)),"",IF((AND(FIND('112'!$M$9,G779,1)&gt;=1,B779='112'!$K$9,OR($N779='112'!$I$6,$O779='112'!$I$6))),"x",""))</f>
        <v/>
      </c>
      <c r="U779" s="84" t="str">
        <f>IF(ISERROR(FIND('112'!$M$9,G779,1)),"",IF((AND(LEFT(G779,2)=LEFT('112'!$M$9,2),B779&lt;'112'!$K$9,$N779='112'!$I$6)),"x",""))</f>
        <v/>
      </c>
      <c r="V779" s="84" t="str">
        <f>IF(ISERROR(FIND('112'!$M$9,G779,1)),"",IF((AND(RIGHT(G779,2)=RIGHT('112'!$M$9,2),B779&lt;'112'!$K$9,$O779='112'!$I$6)),"x",""))</f>
        <v>x</v>
      </c>
      <c r="W779" s="84" t="str">
        <f>IF(AND('341-CT'!$H$9=H779,OR(LEFT(N779,3)=$W$7,LEFT(O779,3)=$W$7)),"x","")</f>
        <v/>
      </c>
      <c r="X779" s="84" t="str">
        <f>IF(OR(TH!N779=TH!$X$7,O779=TH!$X$7),"x","")</f>
        <v/>
      </c>
      <c r="Y779" s="84" t="str">
        <f>IF(AND(OR(N779="131",O779="131"),H779='131-CT'!$H$9),"x","")</f>
        <v/>
      </c>
      <c r="Z779" s="84"/>
      <c r="AA779" s="84" t="str">
        <f>IF(AND(MONTH(E779)='IN-NX'!$J$5,'IN-NX'!$D$7=D779),"x","")</f>
        <v/>
      </c>
      <c r="AB779" s="84" t="str">
        <f>IF(AND(OR(LEFT(TH!N779,2)="15",LEFT(TH!O779,2)="15"),LEFT(TH!O779,3)&lt;&gt;"111",'152-CT'!$J$8=TH!F779),"x","")</f>
        <v/>
      </c>
      <c r="AC779" s="84" t="str">
        <f>IF(AND(OR(LEFT(TH!N779,2)="15",LEFT(TH!O779,2)="15"),TK!$E$7=TH!F779),"x","")</f>
        <v/>
      </c>
      <c r="AD779" s="84" t="str">
        <f>IF(AND(N779="1521",MONTH(C779)='BK-NL'!$M$11),"x","")</f>
        <v/>
      </c>
    </row>
    <row r="780" spans="1:31" ht="15.75" hidden="1" customHeight="1">
      <c r="A780" s="336" t="str">
        <f>IF(B780&lt;&gt;"",IF(AND(B780='IN-TC'!$S$4,OR(TH!N780="1111",TH!O780="1111")),TH!D780,""),"")</f>
        <v/>
      </c>
      <c r="B780" s="63">
        <f t="shared" si="163"/>
        <v>1</v>
      </c>
      <c r="C780" s="64">
        <v>42387</v>
      </c>
      <c r="D780" s="64" t="s">
        <v>896</v>
      </c>
      <c r="E780" s="64">
        <v>42387</v>
      </c>
      <c r="F780" s="345" t="s">
        <v>791</v>
      </c>
      <c r="G780" s="67" t="s">
        <v>833</v>
      </c>
      <c r="H780" s="346" t="s">
        <v>808</v>
      </c>
      <c r="I780" s="443"/>
      <c r="J780" s="443"/>
      <c r="K780" s="434"/>
      <c r="L780" s="443"/>
      <c r="M780" s="65">
        <v>1346136</v>
      </c>
      <c r="N780" s="66" t="s">
        <v>101</v>
      </c>
      <c r="O780" s="66" t="s">
        <v>63</v>
      </c>
      <c r="P780" s="84" t="str">
        <f>IF(AND('331-CT'!$E$7=TH!H780,OR(N780="331",O780="331")),"x","")</f>
        <v/>
      </c>
      <c r="Q780" s="84" t="str">
        <f>IF(AND(B780='111'!$L$11,OR($N780=$Q$7,$O780=$Q$7)),"x","")</f>
        <v>x</v>
      </c>
      <c r="R780" s="84" t="str">
        <f>IF(AND($N780=$Q$7,$B780&lt;'111'!$L$11),"x","")</f>
        <v/>
      </c>
      <c r="S780" s="84" t="str">
        <f>IF(AND($O780=$Q$7,$B780&lt;'111'!$L$11),"x","")</f>
        <v/>
      </c>
      <c r="T780" s="84" t="str">
        <f>IF(ISERROR(FIND('112'!$M$9,G780,1)),"",IF((AND(FIND('112'!$M$9,G780,1)&gt;=1,B780='112'!$K$9,OR($N780='112'!$I$6,$O780='112'!$I$6))),"x",""))</f>
        <v/>
      </c>
      <c r="U780" s="84" t="str">
        <f>IF(ISERROR(FIND('112'!$M$9,G780,1)),"",IF((AND(LEFT(G780,2)=LEFT('112'!$M$9,2),B780&lt;'112'!$K$9,$N780='112'!$I$6)),"x",""))</f>
        <v/>
      </c>
      <c r="V780" s="84" t="str">
        <f>IF(ISERROR(FIND('112'!$M$9,G780,1)),"",IF((AND(RIGHT(G780,2)=RIGHT('112'!$M$9,2),B780&lt;'112'!$K$9,$O780='112'!$I$6)),"x",""))</f>
        <v/>
      </c>
      <c r="W780" s="84" t="str">
        <f>IF(AND('341-CT'!$H$9=H780,OR(LEFT(N780,3)=$W$7,LEFT(O780,3)=$W$7)),"x","")</f>
        <v/>
      </c>
      <c r="X780" s="84" t="str">
        <f>IF(OR(TH!N780=TH!$X$7,O780=TH!$X$7),"x","")</f>
        <v/>
      </c>
      <c r="Y780" s="84" t="str">
        <f>IF(AND(OR(N780="131",O780="131"),H780='131-CT'!$H$9),"x","")</f>
        <v/>
      </c>
      <c r="Z780" s="84"/>
      <c r="AA780" s="84" t="str">
        <f>IF(AND(MONTH(E780)='IN-NX'!$J$5,'IN-NX'!$D$7=D780),"x","")</f>
        <v/>
      </c>
      <c r="AB780" s="84" t="str">
        <f>IF(AND(OR(LEFT(TH!N780,2)="15",LEFT(TH!O780,2)="15"),LEFT(TH!O780,3)&lt;&gt;"111",'152-CT'!$J$8=TH!F780),"x","")</f>
        <v/>
      </c>
      <c r="AC780" s="84" t="str">
        <f>IF(AND(OR(LEFT(TH!N780,2)="15",LEFT(TH!O780,2)="15"),TK!$E$7=TH!F780),"x","")</f>
        <v/>
      </c>
      <c r="AD780" s="84" t="str">
        <f>IF(AND(N780="1521",MONTH(C780)='BK-NL'!$M$11),"x","")</f>
        <v/>
      </c>
    </row>
    <row r="781" spans="1:31" ht="15.75" hidden="1" customHeight="1">
      <c r="A781" s="336" t="str">
        <f>IF(B781&lt;&gt;"",IF(AND(B781='IN-TC'!$S$4,OR(TH!N781="1111",TH!O781="1111")),TH!D781,""),"")</f>
        <v/>
      </c>
      <c r="B781" s="63">
        <f t="shared" si="163"/>
        <v>1</v>
      </c>
      <c r="C781" s="64">
        <v>42387</v>
      </c>
      <c r="D781" s="64" t="s">
        <v>896</v>
      </c>
      <c r="E781" s="64">
        <v>42387</v>
      </c>
      <c r="F781" s="345" t="s">
        <v>792</v>
      </c>
      <c r="G781" s="67" t="s">
        <v>833</v>
      </c>
      <c r="H781" s="73" t="s">
        <v>808</v>
      </c>
      <c r="I781" s="439"/>
      <c r="J781" s="439"/>
      <c r="K781" s="430"/>
      <c r="L781" s="439"/>
      <c r="M781" s="65">
        <v>134614</v>
      </c>
      <c r="N781" s="66" t="s">
        <v>9</v>
      </c>
      <c r="O781" s="66" t="s">
        <v>63</v>
      </c>
      <c r="P781" s="84" t="str">
        <f>IF(AND('331-CT'!$E$7=TH!H781,OR(N781="331",O781="331")),"x","")</f>
        <v/>
      </c>
      <c r="Q781" s="84" t="str">
        <f>IF(AND(B781='111'!$L$11,OR($N781=$Q$7,$O781=$Q$7)),"x","")</f>
        <v>x</v>
      </c>
      <c r="R781" s="84" t="str">
        <f>IF(AND($N781=$Q$7,$B781&lt;'111'!$L$11),"x","")</f>
        <v/>
      </c>
      <c r="S781" s="84" t="str">
        <f>IF(AND($O781=$Q$7,$B781&lt;'111'!$L$11),"x","")</f>
        <v/>
      </c>
      <c r="T781" s="84" t="str">
        <f>IF(ISERROR(FIND('112'!$M$9,G781,1)),"",IF((AND(FIND('112'!$M$9,G781,1)&gt;=1,B781='112'!$K$9,OR($N781='112'!$I$6,$O781='112'!$I$6))),"x",""))</f>
        <v/>
      </c>
      <c r="U781" s="84" t="str">
        <f>IF(ISERROR(FIND('112'!$M$9,G781,1)),"",IF((AND(LEFT(G781,2)=LEFT('112'!$M$9,2),B781&lt;'112'!$K$9,$N781='112'!$I$6)),"x",""))</f>
        <v/>
      </c>
      <c r="V781" s="84" t="str">
        <f>IF(ISERROR(FIND('112'!$M$9,G781,1)),"",IF((AND(RIGHT(G781,2)=RIGHT('112'!$M$9,2),B781&lt;'112'!$K$9,$O781='112'!$I$6)),"x",""))</f>
        <v/>
      </c>
      <c r="W781" s="84" t="str">
        <f>IF(AND('341-CT'!$H$9=H781,OR(LEFT(N781,3)=$W$7,LEFT(O781,3)=$W$7)),"x","")</f>
        <v/>
      </c>
      <c r="X781" s="84" t="str">
        <f>IF(OR(TH!N781=TH!$X$7,O781=TH!$X$7),"x","")</f>
        <v/>
      </c>
      <c r="Y781" s="84" t="str">
        <f>IF(AND(OR(N781="131",O781="131"),H781='131-CT'!$H$9),"x","")</f>
        <v/>
      </c>
      <c r="Z781" s="84"/>
      <c r="AA781" s="84" t="str">
        <f>IF(AND(MONTH(E781)='IN-NX'!$J$5,'IN-NX'!$D$7=D781),"x","")</f>
        <v/>
      </c>
      <c r="AB781" s="84" t="str">
        <f>IF(AND(OR(LEFT(TH!N781,2)="15",LEFT(TH!O781,2)="15"),LEFT(TH!O781,3)&lt;&gt;"111",'152-CT'!$J$8=TH!F781),"x","")</f>
        <v/>
      </c>
      <c r="AC781" s="84" t="str">
        <f>IF(AND(OR(LEFT(TH!N781,2)="15",LEFT(TH!O781,2)="15"),TK!$E$7=TH!F781),"x","")</f>
        <v/>
      </c>
      <c r="AD781" s="84" t="str">
        <f>IF(AND(N781="1521",MONTH(C781)='BK-NL'!$M$11),"x","")</f>
        <v/>
      </c>
    </row>
    <row r="782" spans="1:31" ht="15.75" hidden="1" customHeight="1">
      <c r="A782" s="336" t="str">
        <f>IF(B782&lt;&gt;"",IF(AND(B782='IN-TC'!$S$4,OR(TH!N782="1111",TH!O782="1111")),TH!D782,""),"")</f>
        <v/>
      </c>
      <c r="B782" s="63">
        <f t="shared" si="163"/>
        <v>1</v>
      </c>
      <c r="C782" s="64">
        <v>42387</v>
      </c>
      <c r="D782" s="64" t="s">
        <v>897</v>
      </c>
      <c r="E782" s="64">
        <v>42387</v>
      </c>
      <c r="F782" s="345" t="s">
        <v>780</v>
      </c>
      <c r="G782" s="67" t="s">
        <v>671</v>
      </c>
      <c r="H782" s="73" t="s">
        <v>675</v>
      </c>
      <c r="I782" s="439"/>
      <c r="J782" s="439"/>
      <c r="K782" s="430"/>
      <c r="L782" s="439"/>
      <c r="M782" s="65">
        <v>15250000</v>
      </c>
      <c r="N782" s="66" t="s">
        <v>8</v>
      </c>
      <c r="O782" s="66" t="s">
        <v>63</v>
      </c>
      <c r="P782" s="84" t="str">
        <f>IF(AND('331-CT'!$E$7=TH!H782,OR(N782="331",O782="331")),"x","")</f>
        <v/>
      </c>
      <c r="Q782" s="84" t="str">
        <f>IF(AND(B782='111'!$L$11,OR($N782=$Q$7,$O782=$Q$7)),"x","")</f>
        <v>x</v>
      </c>
      <c r="R782" s="84" t="str">
        <f>IF(AND($N782=$Q$7,$B782&lt;'111'!$L$11),"x","")</f>
        <v/>
      </c>
      <c r="S782" s="84" t="str">
        <f>IF(AND($O782=$Q$7,$B782&lt;'111'!$L$11),"x","")</f>
        <v/>
      </c>
      <c r="T782" s="84" t="str">
        <f>IF(ISERROR(FIND('112'!$M$9,G782,1)),"",IF((AND(FIND('112'!$M$9,G782,1)&gt;=1,B782='112'!$K$9,OR($N782='112'!$I$6,$O782='112'!$I$6))),"x",""))</f>
        <v/>
      </c>
      <c r="U782" s="84" t="str">
        <f>IF(ISERROR(FIND('112'!$M$9,G782,1)),"",IF((AND(LEFT(G782,2)=LEFT('112'!$M$9,2),B782&lt;'112'!$K$9,$N782='112'!$I$6)),"x",""))</f>
        <v/>
      </c>
      <c r="V782" s="84" t="str">
        <f>IF(ISERROR(FIND('112'!$M$9,G782,1)),"",IF((AND(RIGHT(G782,2)=RIGHT('112'!$M$9,2),B782&lt;'112'!$K$9,$O782='112'!$I$6)),"x",""))</f>
        <v/>
      </c>
      <c r="W782" s="84" t="str">
        <f>IF(AND('341-CT'!$H$9=H782,OR(LEFT(N782,3)=$W$7,LEFT(O782,3)=$W$7)),"x","")</f>
        <v/>
      </c>
      <c r="X782" s="84" t="str">
        <f>IF(OR(TH!N782=TH!$X$7,O782=TH!$X$7),"x","")</f>
        <v/>
      </c>
      <c r="Y782" s="84" t="str">
        <f>IF(AND(OR(N782="131",O782="131"),H782='131-CT'!$H$9),"x","")</f>
        <v/>
      </c>
      <c r="Z782" s="84"/>
      <c r="AA782" s="84" t="str">
        <f>IF(AND(MONTH(E782)='IN-NX'!$J$5,'IN-NX'!$D$7=D782),"x","")</f>
        <v/>
      </c>
      <c r="AB782" s="84" t="str">
        <f>IF(AND(OR(LEFT(TH!N782,2)="15",LEFT(TH!O782,2)="15"),LEFT(TH!O782,3)&lt;&gt;"111",'152-CT'!$J$8=TH!F782),"x","")</f>
        <v/>
      </c>
      <c r="AC782" s="84" t="str">
        <f>IF(AND(OR(LEFT(TH!N782,2)="15",LEFT(TH!O782,2)="15"),TK!$E$7=TH!F782),"x","")</f>
        <v/>
      </c>
      <c r="AD782" s="84" t="str">
        <f>IF(AND(N782="1521",MONTH(C782)='BK-NL'!$M$11),"x","")</f>
        <v/>
      </c>
      <c r="AE782" s="1146" t="str">
        <f>IF(H782&lt;&gt;VLOOKUP(H782,DSKH,1,0),"","x")</f>
        <v>x</v>
      </c>
    </row>
    <row r="783" spans="1:31" ht="15.75" hidden="1" customHeight="1">
      <c r="A783" s="336" t="str">
        <f>IF(B783&lt;&gt;"",IF(AND(B783='IN-TC'!$S$4,OR(TH!N783="1111",TH!O783="1111")),TH!D783,""),"")</f>
        <v/>
      </c>
      <c r="B783" s="63">
        <f t="shared" si="163"/>
        <v>1</v>
      </c>
      <c r="C783" s="64">
        <v>42388</v>
      </c>
      <c r="D783" s="64" t="s">
        <v>898</v>
      </c>
      <c r="E783" s="64">
        <v>42388</v>
      </c>
      <c r="F783" s="345" t="s">
        <v>776</v>
      </c>
      <c r="G783" s="67" t="s">
        <v>834</v>
      </c>
      <c r="H783" s="73" t="s">
        <v>814</v>
      </c>
      <c r="I783" s="439"/>
      <c r="J783" s="439"/>
      <c r="K783" s="430"/>
      <c r="L783" s="439"/>
      <c r="M783" s="65">
        <v>29145</v>
      </c>
      <c r="N783" s="66" t="s">
        <v>101</v>
      </c>
      <c r="O783" s="66" t="s">
        <v>63</v>
      </c>
      <c r="P783" s="84" t="str">
        <f>IF(AND('331-CT'!$E$7=TH!H783,OR(N783="331",O783="331")),"x","")</f>
        <v/>
      </c>
      <c r="Q783" s="84" t="str">
        <f>IF(AND(B783='111'!$L$11,OR($N783=$Q$7,$O783=$Q$7)),"x","")</f>
        <v>x</v>
      </c>
      <c r="R783" s="84" t="str">
        <f>IF(AND($N783=$Q$7,$B783&lt;'111'!$L$11),"x","")</f>
        <v/>
      </c>
      <c r="S783" s="84" t="str">
        <f>IF(AND($O783=$Q$7,$B783&lt;'111'!$L$11),"x","")</f>
        <v/>
      </c>
      <c r="T783" s="84" t="str">
        <f>IF(ISERROR(FIND('112'!$M$9,G783,1)),"",IF((AND(FIND('112'!$M$9,G783,1)&gt;=1,B783='112'!$K$9,OR($N783='112'!$I$6,$O783='112'!$I$6))),"x",""))</f>
        <v/>
      </c>
      <c r="U783" s="84" t="str">
        <f>IF(ISERROR(FIND('112'!$M$9,G783,1)),"",IF((AND(LEFT(G783,2)=LEFT('112'!$M$9,2),B783&lt;'112'!$K$9,$N783='112'!$I$6)),"x",""))</f>
        <v/>
      </c>
      <c r="V783" s="84" t="str">
        <f>IF(ISERROR(FIND('112'!$M$9,G783,1)),"",IF((AND(RIGHT(G783,2)=RIGHT('112'!$M$9,2),B783&lt;'112'!$K$9,$O783='112'!$I$6)),"x",""))</f>
        <v/>
      </c>
      <c r="W783" s="84" t="str">
        <f>IF(AND('341-CT'!$H$9=H783,OR(LEFT(N783,3)=$W$7,LEFT(O783,3)=$W$7)),"x","")</f>
        <v/>
      </c>
      <c r="X783" s="84" t="str">
        <f>IF(OR(TH!N783=TH!$X$7,O783=TH!$X$7),"x","")</f>
        <v/>
      </c>
      <c r="Y783" s="84" t="str">
        <f>IF(AND(OR(N783="131",O783="131"),H783='131-CT'!$H$9),"x","")</f>
        <v/>
      </c>
      <c r="Z783" s="84"/>
      <c r="AA783" s="84" t="str">
        <f>IF(AND(MONTH(E783)='IN-NX'!$J$5,'IN-NX'!$D$7=D783),"x","")</f>
        <v/>
      </c>
      <c r="AB783" s="84" t="str">
        <f>IF(AND(OR(LEFT(TH!N783,2)="15",LEFT(TH!O783,2)="15"),LEFT(TH!O783,3)&lt;&gt;"111",'152-CT'!$J$8=TH!F783),"x","")</f>
        <v/>
      </c>
      <c r="AC783" s="84" t="str">
        <f>IF(AND(OR(LEFT(TH!N783,2)="15",LEFT(TH!O783,2)="15"),TK!$E$7=TH!F783),"x","")</f>
        <v/>
      </c>
      <c r="AD783" s="84" t="str">
        <f>IF(AND(N783="1521",MONTH(C783)='BK-NL'!$M$11),"x","")</f>
        <v/>
      </c>
    </row>
    <row r="784" spans="1:31" ht="15.75" hidden="1" customHeight="1">
      <c r="A784" s="336" t="str">
        <f>IF(B784&lt;&gt;"",IF(AND(B784='IN-TC'!$S$4,OR(TH!N784="1111",TH!O784="1111")),TH!D784,""),"")</f>
        <v/>
      </c>
      <c r="B784" s="63">
        <f t="shared" si="163"/>
        <v>1</v>
      </c>
      <c r="C784" s="64">
        <v>42388</v>
      </c>
      <c r="D784" s="64" t="s">
        <v>898</v>
      </c>
      <c r="E784" s="64">
        <v>42388</v>
      </c>
      <c r="F784" s="345" t="s">
        <v>777</v>
      </c>
      <c r="G784" s="67" t="s">
        <v>834</v>
      </c>
      <c r="H784" s="346" t="s">
        <v>814</v>
      </c>
      <c r="I784" s="443"/>
      <c r="J784" s="443"/>
      <c r="K784" s="434"/>
      <c r="L784" s="443"/>
      <c r="M784" s="65">
        <v>2915</v>
      </c>
      <c r="N784" s="66" t="s">
        <v>9</v>
      </c>
      <c r="O784" s="66" t="s">
        <v>63</v>
      </c>
      <c r="P784" s="84" t="str">
        <f>IF(AND('331-CT'!$E$7=TH!H784,OR(N784="331",O784="331")),"x","")</f>
        <v/>
      </c>
      <c r="Q784" s="84" t="str">
        <f>IF(AND(B784='111'!$L$11,OR($N784=$Q$7,$O784=$Q$7)),"x","")</f>
        <v>x</v>
      </c>
      <c r="R784" s="84" t="str">
        <f>IF(AND($N784=$Q$7,$B784&lt;'111'!$L$11),"x","")</f>
        <v/>
      </c>
      <c r="S784" s="84" t="str">
        <f>IF(AND($O784=$Q$7,$B784&lt;'111'!$L$11),"x","")</f>
        <v/>
      </c>
      <c r="T784" s="84" t="str">
        <f>IF(ISERROR(FIND('112'!$M$9,G784,1)),"",IF((AND(FIND('112'!$M$9,G784,1)&gt;=1,B784='112'!$K$9,OR($N784='112'!$I$6,$O784='112'!$I$6))),"x",""))</f>
        <v/>
      </c>
      <c r="U784" s="84" t="str">
        <f>IF(ISERROR(FIND('112'!$M$9,G784,1)),"",IF((AND(LEFT(G784,2)=LEFT('112'!$M$9,2),B784&lt;'112'!$K$9,$N784='112'!$I$6)),"x",""))</f>
        <v/>
      </c>
      <c r="V784" s="84" t="str">
        <f>IF(ISERROR(FIND('112'!$M$9,G784,1)),"",IF((AND(RIGHT(G784,2)=RIGHT('112'!$M$9,2),B784&lt;'112'!$K$9,$O784='112'!$I$6)),"x",""))</f>
        <v/>
      </c>
      <c r="W784" s="84" t="str">
        <f>IF(AND('341-CT'!$H$9=H784,OR(LEFT(N784,3)=$W$7,LEFT(O784,3)=$W$7)),"x","")</f>
        <v/>
      </c>
      <c r="X784" s="84" t="str">
        <f>IF(OR(TH!N784=TH!$X$7,O784=TH!$X$7),"x","")</f>
        <v/>
      </c>
      <c r="Y784" s="84" t="str">
        <f>IF(AND(OR(N784="131",O784="131"),H784='131-CT'!$H$9),"x","")</f>
        <v/>
      </c>
      <c r="Z784" s="84"/>
      <c r="AA784" s="84" t="str">
        <f>IF(AND(MONTH(E784)='IN-NX'!$J$5,'IN-NX'!$D$7=D784),"x","")</f>
        <v/>
      </c>
      <c r="AB784" s="84" t="str">
        <f>IF(AND(OR(LEFT(TH!N784,2)="15",LEFT(TH!O784,2)="15"),LEFT(TH!O784,3)&lt;&gt;"111",'152-CT'!$J$8=TH!F784),"x","")</f>
        <v/>
      </c>
      <c r="AC784" s="84" t="str">
        <f>IF(AND(OR(LEFT(TH!N784,2)="15",LEFT(TH!O784,2)="15"),TK!$E$7=TH!F784),"x","")</f>
        <v/>
      </c>
      <c r="AD784" s="84" t="str">
        <f>IF(AND(N784="1521",MONTH(C784)='BK-NL'!$M$11),"x","")</f>
        <v/>
      </c>
    </row>
    <row r="785" spans="1:30" ht="15.75" hidden="1" customHeight="1">
      <c r="A785" s="336" t="str">
        <f>IF(B785&lt;&gt;"",IF(AND(B785='IN-TC'!$S$4,OR(TH!N785="1111",TH!O785="1111")),TH!D785,""),"")</f>
        <v/>
      </c>
      <c r="B785" s="63">
        <f t="shared" si="163"/>
        <v>1</v>
      </c>
      <c r="C785" s="64">
        <v>42389</v>
      </c>
      <c r="D785" s="64" t="s">
        <v>899</v>
      </c>
      <c r="E785" s="64">
        <v>42389</v>
      </c>
      <c r="F785" s="345" t="s">
        <v>776</v>
      </c>
      <c r="G785" s="67" t="s">
        <v>835</v>
      </c>
      <c r="H785" s="73" t="s">
        <v>808</v>
      </c>
      <c r="I785" s="439"/>
      <c r="J785" s="439"/>
      <c r="K785" s="430"/>
      <c r="L785" s="439"/>
      <c r="M785" s="65">
        <v>689618</v>
      </c>
      <c r="N785" s="66" t="s">
        <v>101</v>
      </c>
      <c r="O785" s="66" t="s">
        <v>63</v>
      </c>
      <c r="P785" s="84" t="str">
        <f>IF(AND('331-CT'!$E$7=TH!H785,OR(N785="331",O785="331")),"x","")</f>
        <v/>
      </c>
      <c r="Q785" s="84" t="str">
        <f>IF(AND(B785='111'!$L$11,OR($N785=$Q$7,$O785=$Q$7)),"x","")</f>
        <v>x</v>
      </c>
      <c r="R785" s="84" t="str">
        <f>IF(AND($N785=$Q$7,$B785&lt;'111'!$L$11),"x","")</f>
        <v/>
      </c>
      <c r="S785" s="84" t="str">
        <f>IF(AND($O785=$Q$7,$B785&lt;'111'!$L$11),"x","")</f>
        <v/>
      </c>
      <c r="T785" s="84" t="str">
        <f>IF(ISERROR(FIND('112'!$M$9,G785,1)),"",IF((AND(FIND('112'!$M$9,G785,1)&gt;=1,B785='112'!$K$9,OR($N785='112'!$I$6,$O785='112'!$I$6))),"x",""))</f>
        <v/>
      </c>
      <c r="U785" s="84" t="str">
        <f>IF(ISERROR(FIND('112'!$M$9,G785,1)),"",IF((AND(LEFT(G785,2)=LEFT('112'!$M$9,2),B785&lt;'112'!$K$9,$N785='112'!$I$6)),"x",""))</f>
        <v/>
      </c>
      <c r="V785" s="84" t="str">
        <f>IF(ISERROR(FIND('112'!$M$9,G785,1)),"",IF((AND(RIGHT(G785,2)=RIGHT('112'!$M$9,2),B785&lt;'112'!$K$9,$O785='112'!$I$6)),"x",""))</f>
        <v/>
      </c>
      <c r="W785" s="84" t="str">
        <f>IF(AND('341-CT'!$H$9=H785,OR(LEFT(N785,3)=$W$7,LEFT(O785,3)=$W$7)),"x","")</f>
        <v/>
      </c>
      <c r="X785" s="84" t="str">
        <f>IF(OR(TH!N785=TH!$X$7,O785=TH!$X$7),"x","")</f>
        <v/>
      </c>
      <c r="Y785" s="84" t="str">
        <f>IF(AND(OR(N785="131",O785="131"),H785='131-CT'!$H$9),"x","")</f>
        <v/>
      </c>
      <c r="Z785" s="84"/>
      <c r="AA785" s="84" t="str">
        <f>IF(AND(MONTH(E785)='IN-NX'!$J$5,'IN-NX'!$D$7=D785),"x","")</f>
        <v/>
      </c>
      <c r="AB785" s="84" t="str">
        <f>IF(AND(OR(LEFT(TH!N785,2)="15",LEFT(TH!O785,2)="15"),LEFT(TH!O785,3)&lt;&gt;"111",'152-CT'!$J$8=TH!F785),"x","")</f>
        <v/>
      </c>
      <c r="AC785" s="84" t="str">
        <f>IF(AND(OR(LEFT(TH!N785,2)="15",LEFT(TH!O785,2)="15"),TK!$E$7=TH!F785),"x","")</f>
        <v/>
      </c>
      <c r="AD785" s="84" t="str">
        <f>IF(AND(N785="1521",MONTH(C785)='BK-NL'!$M$11),"x","")</f>
        <v/>
      </c>
    </row>
    <row r="786" spans="1:30" ht="15.75" hidden="1" customHeight="1">
      <c r="A786" s="336" t="str">
        <f>IF(B786&lt;&gt;"",IF(AND(B786='IN-TC'!$S$4,OR(TH!N786="1111",TH!O786="1111")),TH!D786,""),"")</f>
        <v/>
      </c>
      <c r="B786" s="63">
        <f t="shared" si="163"/>
        <v>1</v>
      </c>
      <c r="C786" s="64">
        <v>42389</v>
      </c>
      <c r="D786" s="64" t="s">
        <v>899</v>
      </c>
      <c r="E786" s="64">
        <v>42389</v>
      </c>
      <c r="F786" s="345" t="s">
        <v>777</v>
      </c>
      <c r="G786" s="67" t="s">
        <v>835</v>
      </c>
      <c r="H786" s="73" t="s">
        <v>808</v>
      </c>
      <c r="I786" s="439"/>
      <c r="J786" s="439"/>
      <c r="K786" s="430"/>
      <c r="L786" s="439"/>
      <c r="M786" s="65">
        <v>68962</v>
      </c>
      <c r="N786" s="66" t="s">
        <v>9</v>
      </c>
      <c r="O786" s="66" t="s">
        <v>63</v>
      </c>
      <c r="P786" s="84" t="str">
        <f>IF(AND('331-CT'!$E$7=TH!H786,OR(N786="331",O786="331")),"x","")</f>
        <v/>
      </c>
      <c r="Q786" s="84" t="str">
        <f>IF(AND(B786='111'!$L$11,OR($N786=$Q$7,$O786=$Q$7)),"x","")</f>
        <v>x</v>
      </c>
      <c r="R786" s="84" t="str">
        <f>IF(AND($N786=$Q$7,$B786&lt;'111'!$L$11),"x","")</f>
        <v/>
      </c>
      <c r="S786" s="84" t="str">
        <f>IF(AND($O786=$Q$7,$B786&lt;'111'!$L$11),"x","")</f>
        <v/>
      </c>
      <c r="T786" s="84" t="str">
        <f>IF(ISERROR(FIND('112'!$M$9,G786,1)),"",IF((AND(FIND('112'!$M$9,G786,1)&gt;=1,B786='112'!$K$9,OR($N786='112'!$I$6,$O786='112'!$I$6))),"x",""))</f>
        <v/>
      </c>
      <c r="U786" s="84" t="str">
        <f>IF(ISERROR(FIND('112'!$M$9,G786,1)),"",IF((AND(LEFT(G786,2)=LEFT('112'!$M$9,2),B786&lt;'112'!$K$9,$N786='112'!$I$6)),"x",""))</f>
        <v/>
      </c>
      <c r="V786" s="84" t="str">
        <f>IF(ISERROR(FIND('112'!$M$9,G786,1)),"",IF((AND(RIGHT(G786,2)=RIGHT('112'!$M$9,2),B786&lt;'112'!$K$9,$O786='112'!$I$6)),"x",""))</f>
        <v/>
      </c>
      <c r="W786" s="84" t="str">
        <f>IF(AND('341-CT'!$H$9=H786,OR(LEFT(N786,3)=$W$7,LEFT(O786,3)=$W$7)),"x","")</f>
        <v/>
      </c>
      <c r="X786" s="84" t="str">
        <f>IF(OR(TH!N786=TH!$X$7,O786=TH!$X$7),"x","")</f>
        <v/>
      </c>
      <c r="Y786" s="84" t="str">
        <f>IF(AND(OR(N786="131",O786="131"),H786='131-CT'!$H$9),"x","")</f>
        <v/>
      </c>
      <c r="Z786" s="84"/>
      <c r="AA786" s="84" t="str">
        <f>IF(AND(MONTH(E786)='IN-NX'!$J$5,'IN-NX'!$D$7=D786),"x","")</f>
        <v/>
      </c>
      <c r="AB786" s="84" t="str">
        <f>IF(AND(OR(LEFT(TH!N786,2)="15",LEFT(TH!O786,2)="15"),LEFT(TH!O786,3)&lt;&gt;"111",'152-CT'!$J$8=TH!F786),"x","")</f>
        <v/>
      </c>
      <c r="AC786" s="84" t="str">
        <f>IF(AND(OR(LEFT(TH!N786,2)="15",LEFT(TH!O786,2)="15"),TK!$E$7=TH!F786),"x","")</f>
        <v/>
      </c>
      <c r="AD786" s="84" t="str">
        <f>IF(AND(N786="1521",MONTH(C786)='BK-NL'!$M$11),"x","")</f>
        <v/>
      </c>
    </row>
    <row r="787" spans="1:30" ht="15.75" hidden="1" customHeight="1">
      <c r="A787" s="336" t="str">
        <f>IF(B787&lt;&gt;"",IF(AND(B787='IN-TC'!$S$4,OR(TH!N787="1111",TH!O787="1111")),TH!D787,""),"")</f>
        <v/>
      </c>
      <c r="B787" s="63">
        <f t="shared" si="163"/>
        <v>1</v>
      </c>
      <c r="C787" s="64">
        <v>42390</v>
      </c>
      <c r="D787" s="64" t="s">
        <v>900</v>
      </c>
      <c r="E787" s="64">
        <v>42390</v>
      </c>
      <c r="F787" s="345" t="s">
        <v>771</v>
      </c>
      <c r="G787" s="67" t="s">
        <v>836</v>
      </c>
      <c r="H787" s="346" t="s">
        <v>808</v>
      </c>
      <c r="I787" s="443"/>
      <c r="J787" s="443"/>
      <c r="K787" s="434"/>
      <c r="L787" s="443"/>
      <c r="M787" s="65">
        <v>380182</v>
      </c>
      <c r="N787" s="66" t="s">
        <v>101</v>
      </c>
      <c r="O787" s="66" t="s">
        <v>63</v>
      </c>
      <c r="P787" s="84" t="str">
        <f>IF(AND('331-CT'!$E$7=TH!H787,OR(N787="331",O787="331")),"x","")</f>
        <v/>
      </c>
      <c r="Q787" s="84" t="str">
        <f>IF(AND(B787='111'!$L$11,OR($N787=$Q$7,$O787=$Q$7)),"x","")</f>
        <v>x</v>
      </c>
      <c r="R787" s="84" t="str">
        <f>IF(AND($N787=$Q$7,$B787&lt;'111'!$L$11),"x","")</f>
        <v/>
      </c>
      <c r="S787" s="84" t="str">
        <f>IF(AND($O787=$Q$7,$B787&lt;'111'!$L$11),"x","")</f>
        <v/>
      </c>
      <c r="T787" s="84" t="str">
        <f>IF(ISERROR(FIND('112'!$M$9,G787,1)),"",IF((AND(FIND('112'!$M$9,G787,1)&gt;=1,B787='112'!$K$9,OR($N787='112'!$I$6,$O787='112'!$I$6))),"x",""))</f>
        <v/>
      </c>
      <c r="U787" s="84" t="str">
        <f>IF(ISERROR(FIND('112'!$M$9,G787,1)),"",IF((AND(LEFT(G787,2)=LEFT('112'!$M$9,2),B787&lt;'112'!$K$9,$N787='112'!$I$6)),"x",""))</f>
        <v/>
      </c>
      <c r="V787" s="84" t="str">
        <f>IF(ISERROR(FIND('112'!$M$9,G787,1)),"",IF((AND(RIGHT(G787,2)=RIGHT('112'!$M$9,2),B787&lt;'112'!$K$9,$O787='112'!$I$6)),"x",""))</f>
        <v/>
      </c>
      <c r="W787" s="84" t="str">
        <f>IF(AND('341-CT'!$H$9=H787,OR(LEFT(N787,3)=$W$7,LEFT(O787,3)=$W$7)),"x","")</f>
        <v/>
      </c>
      <c r="X787" s="84" t="str">
        <f>IF(OR(TH!N787=TH!$X$7,O787=TH!$X$7),"x","")</f>
        <v/>
      </c>
      <c r="Y787" s="84" t="str">
        <f>IF(AND(OR(N787="131",O787="131"),H787='131-CT'!$H$9),"x","")</f>
        <v/>
      </c>
      <c r="Z787" s="84"/>
      <c r="AA787" s="84" t="str">
        <f>IF(AND(MONTH(E787)='IN-NX'!$J$5,'IN-NX'!$D$7=D787),"x","")</f>
        <v/>
      </c>
      <c r="AB787" s="84" t="str">
        <f>IF(AND(OR(LEFT(TH!N787,2)="15",LEFT(TH!O787,2)="15"),LEFT(TH!O787,3)&lt;&gt;"111",'152-CT'!$J$8=TH!F787),"x","")</f>
        <v/>
      </c>
      <c r="AC787" s="84" t="str">
        <f>IF(AND(OR(LEFT(TH!N787,2)="15",LEFT(TH!O787,2)="15"),TK!$E$7=TH!F787),"x","")</f>
        <v/>
      </c>
      <c r="AD787" s="84" t="str">
        <f>IF(AND(N787="1521",MONTH(C787)='BK-NL'!$M$11),"x","")</f>
        <v/>
      </c>
    </row>
    <row r="788" spans="1:30" ht="15.75" hidden="1" customHeight="1">
      <c r="A788" s="336" t="str">
        <f>IF(B788&lt;&gt;"",IF(AND(B788='IN-TC'!$S$4,OR(TH!N788="1111",TH!O788="1111")),TH!D788,""),"")</f>
        <v/>
      </c>
      <c r="B788" s="63">
        <f t="shared" si="163"/>
        <v>1</v>
      </c>
      <c r="C788" s="64">
        <v>42390</v>
      </c>
      <c r="D788" s="64" t="s">
        <v>900</v>
      </c>
      <c r="E788" s="64">
        <v>42390</v>
      </c>
      <c r="F788" s="345" t="s">
        <v>772</v>
      </c>
      <c r="G788" s="67" t="s">
        <v>836</v>
      </c>
      <c r="H788" s="73" t="s">
        <v>808</v>
      </c>
      <c r="I788" s="439"/>
      <c r="J788" s="439"/>
      <c r="K788" s="430"/>
      <c r="L788" s="439"/>
      <c r="M788" s="65">
        <v>38018</v>
      </c>
      <c r="N788" s="66" t="s">
        <v>9</v>
      </c>
      <c r="O788" s="66" t="s">
        <v>63</v>
      </c>
      <c r="P788" s="84" t="str">
        <f>IF(AND('331-CT'!$E$7=TH!H788,OR(N788="331",O788="331")),"x","")</f>
        <v/>
      </c>
      <c r="Q788" s="84" t="str">
        <f>IF(AND(B788='111'!$L$11,OR($N788=$Q$7,$O788=$Q$7)),"x","")</f>
        <v>x</v>
      </c>
      <c r="R788" s="84" t="str">
        <f>IF(AND($N788=$Q$7,$B788&lt;'111'!$L$11),"x","")</f>
        <v/>
      </c>
      <c r="S788" s="84" t="str">
        <f>IF(AND($O788=$Q$7,$B788&lt;'111'!$L$11),"x","")</f>
        <v/>
      </c>
      <c r="T788" s="84" t="str">
        <f>IF(ISERROR(FIND('112'!$M$9,G788,1)),"",IF((AND(FIND('112'!$M$9,G788,1)&gt;=1,B788='112'!$K$9,OR($N788='112'!$I$6,$O788='112'!$I$6))),"x",""))</f>
        <v/>
      </c>
      <c r="U788" s="84" t="str">
        <f>IF(ISERROR(FIND('112'!$M$9,G788,1)),"",IF((AND(LEFT(G788,2)=LEFT('112'!$M$9,2),B788&lt;'112'!$K$9,$N788='112'!$I$6)),"x",""))</f>
        <v/>
      </c>
      <c r="V788" s="84" t="str">
        <f>IF(ISERROR(FIND('112'!$M$9,G788,1)),"",IF((AND(RIGHT(G788,2)=RIGHT('112'!$M$9,2),B788&lt;'112'!$K$9,$O788='112'!$I$6)),"x",""))</f>
        <v/>
      </c>
      <c r="W788" s="84" t="str">
        <f>IF(AND('341-CT'!$H$9=H788,OR(LEFT(N788,3)=$W$7,LEFT(O788,3)=$W$7)),"x","")</f>
        <v/>
      </c>
      <c r="X788" s="84" t="str">
        <f>IF(OR(TH!N788=TH!$X$7,O788=TH!$X$7),"x","")</f>
        <v/>
      </c>
      <c r="Y788" s="84" t="str">
        <f>IF(AND(OR(N788="131",O788="131"),H788='131-CT'!$H$9),"x","")</f>
        <v/>
      </c>
      <c r="Z788" s="84"/>
      <c r="AA788" s="84" t="str">
        <f>IF(AND(MONTH(E788)='IN-NX'!$J$5,'IN-NX'!$D$7=D788),"x","")</f>
        <v/>
      </c>
      <c r="AB788" s="84" t="str">
        <f>IF(AND(OR(LEFT(TH!N788,2)="15",LEFT(TH!O788,2)="15"),LEFT(TH!O788,3)&lt;&gt;"111",'152-CT'!$J$8=TH!F788),"x","")</f>
        <v/>
      </c>
      <c r="AC788" s="84" t="str">
        <f>IF(AND(OR(LEFT(TH!N788,2)="15",LEFT(TH!O788,2)="15"),TK!$E$7=TH!F788),"x","")</f>
        <v/>
      </c>
      <c r="AD788" s="84" t="str">
        <f>IF(AND(N788="1521",MONTH(C788)='BK-NL'!$M$11),"x","")</f>
        <v/>
      </c>
    </row>
    <row r="789" spans="1:30" ht="15.75" hidden="1" customHeight="1">
      <c r="A789" s="336" t="str">
        <f>IF(B789&lt;&gt;"",IF(AND(B789='IN-TC'!$S$4,OR(TH!N789="1111",TH!O789="1111")),TH!D789,""),"")</f>
        <v/>
      </c>
      <c r="B789" s="63">
        <f t="shared" si="163"/>
        <v>1</v>
      </c>
      <c r="C789" s="80">
        <f>E789</f>
        <v>42390</v>
      </c>
      <c r="D789" s="64" t="s">
        <v>901</v>
      </c>
      <c r="E789" s="80">
        <v>42390</v>
      </c>
      <c r="F789" s="345" t="s">
        <v>964</v>
      </c>
      <c r="G789" s="81"/>
      <c r="H789" s="82" t="s">
        <v>963</v>
      </c>
      <c r="I789" s="437"/>
      <c r="J789" s="437"/>
      <c r="K789" s="428"/>
      <c r="L789" s="437"/>
      <c r="M789" s="83">
        <v>500000000</v>
      </c>
      <c r="N789" s="84" t="s">
        <v>272</v>
      </c>
      <c r="O789" s="66" t="s">
        <v>63</v>
      </c>
      <c r="P789" s="84" t="str">
        <f>IF(AND('331-CT'!$E$7=TH!H789,OR(N789="331",O789="331")),"x","")</f>
        <v/>
      </c>
      <c r="Q789" s="84" t="str">
        <f>IF(AND(B789='111'!$L$11,OR($N789=$Q$7,$O789=$Q$7)),"x","")</f>
        <v>x</v>
      </c>
      <c r="R789" s="84" t="str">
        <f>IF(AND($N789=$Q$7,$B789&lt;'111'!$L$11),"x","")</f>
        <v/>
      </c>
      <c r="S789" s="84" t="str">
        <f>IF(AND($O789=$Q$7,$B789&lt;'111'!$L$11),"x","")</f>
        <v/>
      </c>
      <c r="T789" s="84" t="str">
        <f>IF(ISERROR(FIND('112'!$M$9,G789,1)),"",IF((AND(FIND('112'!$M$9,G789,1)&gt;=1,B789='112'!$K$9,OR($N789='112'!$I$6,$O789='112'!$I$6))),"x",""))</f>
        <v/>
      </c>
      <c r="U789" s="84" t="str">
        <f>IF(ISERROR(FIND('112'!$M$9,G789,1)),"",IF((AND(LEFT(G789,2)=LEFT('112'!$M$9,2),B789&lt;'112'!$K$9,$N789='112'!$I$6)),"x",""))</f>
        <v/>
      </c>
      <c r="V789" s="84" t="str">
        <f>IF(ISERROR(FIND('112'!$M$9,G789,1)),"",IF((AND(RIGHT(G789,2)=RIGHT('112'!$M$9,2),B789&lt;'112'!$K$9,$O789='112'!$I$6)),"x",""))</f>
        <v/>
      </c>
      <c r="W789" s="84" t="str">
        <f>IF(AND('341-CT'!$H$9=H789,OR(LEFT(N789,3)=$W$7,LEFT(O789,3)=$W$7)),"x","")</f>
        <v/>
      </c>
      <c r="X789" s="84" t="str">
        <f>IF(OR(TH!N789=TH!$X$7,O789=TH!$X$7),"x","")</f>
        <v/>
      </c>
      <c r="Y789" s="84" t="str">
        <f>IF(AND(OR(N789="131",O789="131"),H789='131-CT'!$H$9),"x","")</f>
        <v/>
      </c>
      <c r="Z789" s="84"/>
      <c r="AA789" s="84" t="str">
        <f>IF(AND(MONTH(E789)='IN-NX'!$J$5,'IN-NX'!$D$7=D789),"x","")</f>
        <v/>
      </c>
      <c r="AB789" s="84" t="str">
        <f>IF(AND(OR(LEFT(TH!N789,2)="15",LEFT(TH!O789,2)="15"),LEFT(TH!O789,3)&lt;&gt;"111",'152-CT'!$J$8=TH!F789),"x","")</f>
        <v/>
      </c>
      <c r="AC789" s="84" t="str">
        <f>IF(AND(OR(LEFT(TH!N789,2)="15",LEFT(TH!O789,2)="15"),TK!$E$7=TH!F789),"x","")</f>
        <v/>
      </c>
      <c r="AD789" s="84" t="str">
        <f>IF(AND(N789="1521",MONTH(C789)='BK-NL'!$M$11),"x","")</f>
        <v/>
      </c>
    </row>
    <row r="790" spans="1:30" ht="15.75" hidden="1" customHeight="1">
      <c r="A790" s="336" t="str">
        <f>IF(B790&lt;&gt;"",IF(AND(B790='IN-TC'!$S$4,OR(TH!N790="1111",TH!O790="1111")),TH!D790,""),"")</f>
        <v/>
      </c>
      <c r="B790" s="63">
        <f t="shared" si="163"/>
        <v>1</v>
      </c>
      <c r="C790" s="64">
        <v>42391</v>
      </c>
      <c r="D790" s="64" t="s">
        <v>902</v>
      </c>
      <c r="E790" s="64">
        <v>42391</v>
      </c>
      <c r="F790" s="345" t="s">
        <v>739</v>
      </c>
      <c r="G790" s="67" t="s">
        <v>918</v>
      </c>
      <c r="H790" s="67" t="s">
        <v>763</v>
      </c>
      <c r="I790" s="441"/>
      <c r="J790" s="441"/>
      <c r="K790" s="432"/>
      <c r="L790" s="441"/>
      <c r="M790" s="65">
        <v>20000000</v>
      </c>
      <c r="N790" s="66" t="s">
        <v>26</v>
      </c>
      <c r="O790" s="66" t="s">
        <v>63</v>
      </c>
      <c r="P790" s="84" t="str">
        <f>IF(AND('331-CT'!$E$7=TH!H790,OR(N790="331",O790="331")),"x","")</f>
        <v/>
      </c>
      <c r="Q790" s="84" t="str">
        <f>IF(AND(B790='111'!$L$11,OR($N790=$Q$7,$O790=$Q$7)),"x","")</f>
        <v>x</v>
      </c>
      <c r="R790" s="84" t="str">
        <f>IF(AND($N790=$Q$7,$B790&lt;'111'!$L$11),"x","")</f>
        <v/>
      </c>
      <c r="S790" s="84" t="str">
        <f>IF(AND($O790=$Q$7,$B790&lt;'111'!$L$11),"x","")</f>
        <v/>
      </c>
      <c r="T790" s="84" t="str">
        <f>IF(ISERROR(FIND('112'!$M$9,G790,1)),"",IF((AND(FIND('112'!$M$9,G790,1)&gt;=1,B790='112'!$K$9,OR($N790='112'!$I$6,$O790='112'!$I$6))),"x",""))</f>
        <v/>
      </c>
      <c r="U790" s="84" t="str">
        <f>IF(ISERROR(FIND('112'!$M$9,G790,1)),"",IF((AND(LEFT(G790,2)=LEFT('112'!$M$9,2),B790&lt;'112'!$K$9,$N790='112'!$I$6)),"x",""))</f>
        <v/>
      </c>
      <c r="V790" s="84" t="str">
        <f>IF(ISERROR(FIND('112'!$M$9,G790,1)),"",IF((AND(RIGHT(G790,2)=RIGHT('112'!$M$9,2),B790&lt;'112'!$K$9,$O790='112'!$I$6)),"x",""))</f>
        <v/>
      </c>
      <c r="W790" s="84" t="str">
        <f>IF(AND('341-CT'!$H$9=H790,OR(LEFT(N790,3)=$W$7,LEFT(O790,3)=$W$7)),"x","")</f>
        <v/>
      </c>
      <c r="X790" s="84" t="str">
        <f>IF(OR(TH!N790=TH!$X$7,O790=TH!$X$7),"x","")</f>
        <v/>
      </c>
      <c r="Y790" s="84" t="str">
        <f>IF(AND(OR(N790="131",O790="131"),H790='131-CT'!$H$9),"x","")</f>
        <v/>
      </c>
      <c r="Z790" s="84"/>
      <c r="AA790" s="84" t="str">
        <f>IF(AND(MONTH(E790)='IN-NX'!$J$5,'IN-NX'!$D$7=D790),"x","")</f>
        <v/>
      </c>
      <c r="AB790" s="84" t="str">
        <f>IF(AND(OR(LEFT(TH!N790,2)="15",LEFT(TH!O790,2)="15"),LEFT(TH!O790,3)&lt;&gt;"111",'152-CT'!$J$8=TH!F790),"x","")</f>
        <v/>
      </c>
      <c r="AC790" s="84" t="str">
        <f>IF(AND(OR(LEFT(TH!N790,2)="15",LEFT(TH!O790,2)="15"),TK!$E$7=TH!F790),"x","")</f>
        <v/>
      </c>
      <c r="AD790" s="84" t="str">
        <f>IF(AND(N790="1521",MONTH(C790)='BK-NL'!$M$11),"x","")</f>
        <v/>
      </c>
    </row>
    <row r="791" spans="1:30" ht="15.75" hidden="1" customHeight="1">
      <c r="A791" s="336" t="str">
        <f>IF(B791&lt;&gt;"",IF(AND(B791='IN-TC'!$S$4,OR(TH!N791="1111",TH!O791="1111")),TH!D791,""),"")</f>
        <v/>
      </c>
      <c r="B791" s="63">
        <f t="shared" si="163"/>
        <v>1</v>
      </c>
      <c r="C791" s="64">
        <v>42391</v>
      </c>
      <c r="D791" s="64" t="s">
        <v>705</v>
      </c>
      <c r="E791" s="64">
        <v>42391</v>
      </c>
      <c r="F791" s="345" t="s">
        <v>756</v>
      </c>
      <c r="G791" s="67" t="s">
        <v>918</v>
      </c>
      <c r="H791" s="73" t="s">
        <v>719</v>
      </c>
      <c r="I791" s="439"/>
      <c r="J791" s="439"/>
      <c r="K791" s="430"/>
      <c r="L791" s="439"/>
      <c r="M791" s="65">
        <v>4045251</v>
      </c>
      <c r="N791" s="66" t="s">
        <v>99</v>
      </c>
      <c r="O791" s="66" t="s">
        <v>26</v>
      </c>
      <c r="P791" s="84" t="str">
        <f>IF(AND('331-CT'!$E$7=TH!H791,OR(N791="331",O791="331")),"x","")</f>
        <v/>
      </c>
      <c r="Q791" s="84" t="str">
        <f>IF(AND(B791='111'!$L$11,OR($N791=$Q$7,$O791=$Q$7)),"x","")</f>
        <v/>
      </c>
      <c r="R791" s="84" t="str">
        <f>IF(AND($N791=$Q$7,$B791&lt;'111'!$L$11),"x","")</f>
        <v/>
      </c>
      <c r="S791" s="84" t="str">
        <f>IF(AND($O791=$Q$7,$B791&lt;'111'!$L$11),"x","")</f>
        <v/>
      </c>
      <c r="T791" s="84" t="str">
        <f>IF(ISERROR(FIND('112'!$M$9,G791,1)),"",IF((AND(FIND('112'!$M$9,G791,1)&gt;=1,B791='112'!$K$9,OR($N791='112'!$I$6,$O791='112'!$I$6))),"x",""))</f>
        <v/>
      </c>
      <c r="U791" s="84" t="str">
        <f>IF(ISERROR(FIND('112'!$M$9,G791,1)),"",IF((AND(LEFT(G791,2)=LEFT('112'!$M$9,2),B791&lt;'112'!$K$9,$N791='112'!$I$6)),"x",""))</f>
        <v/>
      </c>
      <c r="V791" s="84" t="str">
        <f>IF(ISERROR(FIND('112'!$M$9,G791,1)),"",IF((AND(RIGHT(G791,2)=RIGHT('112'!$M$9,2),B791&lt;'112'!$K$9,$O791='112'!$I$6)),"x",""))</f>
        <v/>
      </c>
      <c r="W791" s="84" t="str">
        <f>IF(AND('341-CT'!$H$9=H791,OR(LEFT(N791,3)=$W$7,LEFT(O791,3)=$W$7)),"x","")</f>
        <v/>
      </c>
      <c r="X791" s="84" t="str">
        <f>IF(OR(TH!N791=TH!$X$7,O791=TH!$X$7),"x","")</f>
        <v/>
      </c>
      <c r="Y791" s="84" t="str">
        <f>IF(AND(OR(N791="131",O791="131"),H791='131-CT'!$H$9),"x","")</f>
        <v/>
      </c>
      <c r="Z791" s="84"/>
      <c r="AA791" s="84" t="str">
        <f>IF(AND(MONTH(E791)='IN-NX'!$J$5,'IN-NX'!$D$7=D791),"x","")</f>
        <v/>
      </c>
      <c r="AB791" s="84" t="str">
        <f>IF(AND(OR(LEFT(TH!N791,2)="15",LEFT(TH!O791,2)="15"),LEFT(TH!O791,3)&lt;&gt;"111",'152-CT'!$J$8=TH!F791),"x","")</f>
        <v/>
      </c>
      <c r="AC791" s="84" t="str">
        <f>IF(AND(OR(LEFT(TH!N791,2)="15",LEFT(TH!O791,2)="15"),TK!$E$7=TH!F791),"x","")</f>
        <v/>
      </c>
      <c r="AD791" s="84" t="str">
        <f>IF(AND(N791="1521",MONTH(C791)='BK-NL'!$M$11),"x","")</f>
        <v/>
      </c>
    </row>
    <row r="792" spans="1:30" ht="15.75" hidden="1" customHeight="1">
      <c r="A792" s="336" t="str">
        <f>IF(B792&lt;&gt;"",IF(AND(B792='IN-TC'!$S$4,OR(TH!N792="1111",TH!O792="1111")),TH!D792,""),"")</f>
        <v/>
      </c>
      <c r="B792" s="63">
        <f t="shared" si="163"/>
        <v>1</v>
      </c>
      <c r="C792" s="64">
        <v>42391</v>
      </c>
      <c r="D792" s="64" t="s">
        <v>705</v>
      </c>
      <c r="E792" s="64">
        <v>42391</v>
      </c>
      <c r="F792" s="345" t="s">
        <v>757</v>
      </c>
      <c r="G792" s="67" t="s">
        <v>918</v>
      </c>
      <c r="H792" s="73" t="s">
        <v>729</v>
      </c>
      <c r="I792" s="439"/>
      <c r="J792" s="439"/>
      <c r="K792" s="430"/>
      <c r="L792" s="439"/>
      <c r="M792" s="65">
        <v>7783659</v>
      </c>
      <c r="N792" s="66" t="s">
        <v>99</v>
      </c>
      <c r="O792" s="66" t="s">
        <v>26</v>
      </c>
      <c r="P792" s="84" t="str">
        <f>IF(AND('331-CT'!$E$7=TH!H792,OR(N792="331",O792="331")),"x","")</f>
        <v/>
      </c>
      <c r="Q792" s="84" t="str">
        <f>IF(AND(B792='111'!$L$11,OR($N792=$Q$7,$O792=$Q$7)),"x","")</f>
        <v/>
      </c>
      <c r="R792" s="84" t="str">
        <f>IF(AND($N792=$Q$7,$B792&lt;'111'!$L$11),"x","")</f>
        <v/>
      </c>
      <c r="S792" s="84" t="str">
        <f>IF(AND($O792=$Q$7,$B792&lt;'111'!$L$11),"x","")</f>
        <v/>
      </c>
      <c r="T792" s="84" t="str">
        <f>IF(ISERROR(FIND('112'!$M$9,G792,1)),"",IF((AND(FIND('112'!$M$9,G792,1)&gt;=1,B792='112'!$K$9,OR($N792='112'!$I$6,$O792='112'!$I$6))),"x",""))</f>
        <v/>
      </c>
      <c r="U792" s="84" t="str">
        <f>IF(ISERROR(FIND('112'!$M$9,G792,1)),"",IF((AND(LEFT(G792,2)=LEFT('112'!$M$9,2),B792&lt;'112'!$K$9,$N792='112'!$I$6)),"x",""))</f>
        <v/>
      </c>
      <c r="V792" s="84" t="str">
        <f>IF(ISERROR(FIND('112'!$M$9,G792,1)),"",IF((AND(RIGHT(G792,2)=RIGHT('112'!$M$9,2),B792&lt;'112'!$K$9,$O792='112'!$I$6)),"x",""))</f>
        <v/>
      </c>
      <c r="W792" s="84" t="str">
        <f>IF(AND('341-CT'!$H$9=H792,OR(LEFT(N792,3)=$W$7,LEFT(O792,3)=$W$7)),"x","")</f>
        <v/>
      </c>
      <c r="X792" s="84" t="str">
        <f>IF(OR(TH!N792=TH!$X$7,O792=TH!$X$7),"x","")</f>
        <v/>
      </c>
      <c r="Y792" s="84" t="str">
        <f>IF(AND(OR(N792="131",O792="131"),H792='131-CT'!$H$9),"x","")</f>
        <v/>
      </c>
      <c r="Z792" s="84"/>
      <c r="AA792" s="84" t="str">
        <f>IF(AND(MONTH(E792)='IN-NX'!$J$5,'IN-NX'!$D$7=D792),"x","")</f>
        <v/>
      </c>
      <c r="AB792" s="84" t="str">
        <f>IF(AND(OR(LEFT(TH!N792,2)="15",LEFT(TH!O792,2)="15"),LEFT(TH!O792,3)&lt;&gt;"111",'152-CT'!$J$8=TH!F792),"x","")</f>
        <v/>
      </c>
      <c r="AC792" s="84" t="str">
        <f>IF(AND(OR(LEFT(TH!N792,2)="15",LEFT(TH!O792,2)="15"),TK!$E$7=TH!F792),"x","")</f>
        <v/>
      </c>
      <c r="AD792" s="84" t="str">
        <f>IF(AND(N792="1521",MONTH(C792)='BK-NL'!$M$11),"x","")</f>
        <v/>
      </c>
    </row>
    <row r="793" spans="1:30" ht="15.75" hidden="1" customHeight="1">
      <c r="A793" s="336" t="str">
        <f>IF(B793&lt;&gt;"",IF(AND(B793='IN-TC'!$S$4,OR(TH!N793="1111",TH!O793="1111")),TH!D793,""),"")</f>
        <v/>
      </c>
      <c r="B793" s="63">
        <f t="shared" si="163"/>
        <v>1</v>
      </c>
      <c r="C793" s="64">
        <v>42391</v>
      </c>
      <c r="D793" s="64" t="s">
        <v>705</v>
      </c>
      <c r="E793" s="64">
        <v>42391</v>
      </c>
      <c r="F793" s="345" t="s">
        <v>758</v>
      </c>
      <c r="G793" s="67" t="s">
        <v>918</v>
      </c>
      <c r="H793" s="73" t="s">
        <v>730</v>
      </c>
      <c r="I793" s="439"/>
      <c r="J793" s="439"/>
      <c r="K793" s="430"/>
      <c r="L793" s="439"/>
      <c r="M793" s="65">
        <v>5878679</v>
      </c>
      <c r="N793" s="66" t="s">
        <v>99</v>
      </c>
      <c r="O793" s="66" t="s">
        <v>26</v>
      </c>
      <c r="P793" s="84" t="str">
        <f>IF(AND('331-CT'!$E$7=TH!H793,OR(N793="331",O793="331")),"x","")</f>
        <v/>
      </c>
      <c r="Q793" s="84" t="str">
        <f>IF(AND(B793='111'!$L$11,OR($N793=$Q$7,$O793=$Q$7)),"x","")</f>
        <v/>
      </c>
      <c r="R793" s="84" t="str">
        <f>IF(AND($N793=$Q$7,$B793&lt;'111'!$L$11),"x","")</f>
        <v/>
      </c>
      <c r="S793" s="84" t="str">
        <f>IF(AND($O793=$Q$7,$B793&lt;'111'!$L$11),"x","")</f>
        <v/>
      </c>
      <c r="T793" s="84" t="str">
        <f>IF(ISERROR(FIND('112'!$M$9,G793,1)),"",IF((AND(FIND('112'!$M$9,G793,1)&gt;=1,B793='112'!$K$9,OR($N793='112'!$I$6,$O793='112'!$I$6))),"x",""))</f>
        <v/>
      </c>
      <c r="U793" s="84" t="str">
        <f>IF(ISERROR(FIND('112'!$M$9,G793,1)),"",IF((AND(LEFT(G793,2)=LEFT('112'!$M$9,2),B793&lt;'112'!$K$9,$N793='112'!$I$6)),"x",""))</f>
        <v/>
      </c>
      <c r="V793" s="84" t="str">
        <f>IF(ISERROR(FIND('112'!$M$9,G793,1)),"",IF((AND(RIGHT(G793,2)=RIGHT('112'!$M$9,2),B793&lt;'112'!$K$9,$O793='112'!$I$6)),"x",""))</f>
        <v/>
      </c>
      <c r="W793" s="84" t="str">
        <f>IF(AND('341-CT'!$H$9=H793,OR(LEFT(N793,3)=$W$7,LEFT(O793,3)=$W$7)),"x","")</f>
        <v/>
      </c>
      <c r="X793" s="84" t="str">
        <f>IF(OR(TH!N793=TH!$X$7,O793=TH!$X$7),"x","")</f>
        <v/>
      </c>
      <c r="Y793" s="84" t="str">
        <f>IF(AND(OR(N793="131",O793="131"),H793='131-CT'!$H$9),"x","")</f>
        <v/>
      </c>
      <c r="Z793" s="84"/>
      <c r="AA793" s="84" t="str">
        <f>IF(AND(MONTH(E793)='IN-NX'!$J$5,'IN-NX'!$D$7=D793),"x","")</f>
        <v/>
      </c>
      <c r="AB793" s="84" t="str">
        <f>IF(AND(OR(LEFT(TH!N793,2)="15",LEFT(TH!O793,2)="15"),LEFT(TH!O793,3)&lt;&gt;"111",'152-CT'!$J$8=TH!F793),"x","")</f>
        <v/>
      </c>
      <c r="AC793" s="84" t="str">
        <f>IF(AND(OR(LEFT(TH!N793,2)="15",LEFT(TH!O793,2)="15"),TK!$E$7=TH!F793),"x","")</f>
        <v/>
      </c>
      <c r="AD793" s="84" t="str">
        <f>IF(AND(N793="1521",MONTH(C793)='BK-NL'!$M$11),"x","")</f>
        <v/>
      </c>
    </row>
    <row r="794" spans="1:30" ht="15.75" hidden="1" customHeight="1">
      <c r="A794" s="336" t="str">
        <f>IF(B794&lt;&gt;"",IF(AND(B794='IN-TC'!$S$4,OR(TH!N794="1111",TH!O794="1111")),TH!D794,""),"")</f>
        <v/>
      </c>
      <c r="B794" s="63">
        <f t="shared" si="163"/>
        <v>1</v>
      </c>
      <c r="C794" s="64">
        <v>42391</v>
      </c>
      <c r="D794" s="64" t="s">
        <v>705</v>
      </c>
      <c r="E794" s="64">
        <v>42391</v>
      </c>
      <c r="F794" s="345" t="s">
        <v>759</v>
      </c>
      <c r="G794" s="67" t="s">
        <v>918</v>
      </c>
      <c r="H794" s="73" t="s">
        <v>731</v>
      </c>
      <c r="I794" s="439"/>
      <c r="J794" s="439"/>
      <c r="K794" s="430"/>
      <c r="L794" s="439"/>
      <c r="M794" s="65">
        <v>2964125</v>
      </c>
      <c r="N794" s="66" t="s">
        <v>99</v>
      </c>
      <c r="O794" s="66" t="s">
        <v>26</v>
      </c>
      <c r="P794" s="84" t="str">
        <f>IF(AND('331-CT'!$E$7=TH!H794,OR(N794="331",O794="331")),"x","")</f>
        <v/>
      </c>
      <c r="Q794" s="84" t="str">
        <f>IF(AND(B794='111'!$L$11,OR($N794=$Q$7,$O794=$Q$7)),"x","")</f>
        <v/>
      </c>
      <c r="R794" s="84" t="str">
        <f>IF(AND($N794=$Q$7,$B794&lt;'111'!$L$11),"x","")</f>
        <v/>
      </c>
      <c r="S794" s="84" t="str">
        <f>IF(AND($O794=$Q$7,$B794&lt;'111'!$L$11),"x","")</f>
        <v/>
      </c>
      <c r="T794" s="84" t="str">
        <f>IF(ISERROR(FIND('112'!$M$9,G794,1)),"",IF((AND(FIND('112'!$M$9,G794,1)&gt;=1,B794='112'!$K$9,OR($N794='112'!$I$6,$O794='112'!$I$6))),"x",""))</f>
        <v/>
      </c>
      <c r="U794" s="84" t="str">
        <f>IF(ISERROR(FIND('112'!$M$9,G794,1)),"",IF((AND(LEFT(G794,2)=LEFT('112'!$M$9,2),B794&lt;'112'!$K$9,$N794='112'!$I$6)),"x",""))</f>
        <v/>
      </c>
      <c r="V794" s="84" t="str">
        <f>IF(ISERROR(FIND('112'!$M$9,G794,1)),"",IF((AND(RIGHT(G794,2)=RIGHT('112'!$M$9,2),B794&lt;'112'!$K$9,$O794='112'!$I$6)),"x",""))</f>
        <v/>
      </c>
      <c r="W794" s="84" t="str">
        <f>IF(AND('341-CT'!$H$9=H794,OR(LEFT(N794,3)=$W$7,LEFT(O794,3)=$W$7)),"x","")</f>
        <v/>
      </c>
      <c r="X794" s="84" t="str">
        <f>IF(OR(TH!N794=TH!$X$7,O794=TH!$X$7),"x","")</f>
        <v/>
      </c>
      <c r="Y794" s="84" t="str">
        <f>IF(AND(OR(N794="131",O794="131"),H794='131-CT'!$H$9),"x","")</f>
        <v/>
      </c>
      <c r="Z794" s="84"/>
      <c r="AA794" s="84" t="str">
        <f>IF(AND(MONTH(E794)='IN-NX'!$J$5,'IN-NX'!$D$7=D794),"x","")</f>
        <v/>
      </c>
      <c r="AB794" s="84" t="str">
        <f>IF(AND(OR(LEFT(TH!N794,2)="15",LEFT(TH!O794,2)="15"),LEFT(TH!O794,3)&lt;&gt;"111",'152-CT'!$J$8=TH!F794),"x","")</f>
        <v/>
      </c>
      <c r="AC794" s="84" t="str">
        <f>IF(AND(OR(LEFT(TH!N794,2)="15",LEFT(TH!O794,2)="15"),TK!$E$7=TH!F794),"x","")</f>
        <v/>
      </c>
      <c r="AD794" s="84" t="str">
        <f>IF(AND(N794="1521",MONTH(C794)='BK-NL'!$M$11),"x","")</f>
        <v/>
      </c>
    </row>
    <row r="795" spans="1:30" ht="15.75" hidden="1" customHeight="1">
      <c r="A795" s="336" t="str">
        <f>IF(B795&lt;&gt;"",IF(AND(B795='IN-TC'!$S$4,OR(TH!N795="1111",TH!O795="1111")),TH!D795,""),"")</f>
        <v/>
      </c>
      <c r="B795" s="63">
        <f t="shared" si="163"/>
        <v>1</v>
      </c>
      <c r="C795" s="64">
        <v>42392</v>
      </c>
      <c r="D795" s="64" t="s">
        <v>702</v>
      </c>
      <c r="E795" s="64">
        <v>42392</v>
      </c>
      <c r="F795" s="345" t="s">
        <v>738</v>
      </c>
      <c r="G795" s="67" t="s">
        <v>919</v>
      </c>
      <c r="H795" s="73"/>
      <c r="I795" s="439"/>
      <c r="J795" s="439"/>
      <c r="K795" s="430"/>
      <c r="L795" s="439"/>
      <c r="M795" s="65">
        <v>4172</v>
      </c>
      <c r="N795" s="66" t="s">
        <v>26</v>
      </c>
      <c r="O795" s="66" t="s">
        <v>43</v>
      </c>
      <c r="P795" s="84" t="str">
        <f>IF(AND('331-CT'!$E$7=TH!H795,OR(N795="331",O795="331")),"x","")</f>
        <v/>
      </c>
      <c r="Q795" s="84" t="str">
        <f>IF(AND(B795='111'!$L$11,OR($N795=$Q$7,$O795=$Q$7)),"x","")</f>
        <v/>
      </c>
      <c r="R795" s="84" t="str">
        <f>IF(AND($N795=$Q$7,$B795&lt;'111'!$L$11),"x","")</f>
        <v/>
      </c>
      <c r="S795" s="84" t="str">
        <f>IF(AND($O795=$Q$7,$B795&lt;'111'!$L$11),"x","")</f>
        <v/>
      </c>
      <c r="T795" s="84" t="str">
        <f>IF(ISERROR(FIND('112'!$M$9,G795,1)),"",IF((AND(FIND('112'!$M$9,G795,1)&gt;=1,B795='112'!$K$9,OR($N795='112'!$I$6,$O795='112'!$I$6))),"x",""))</f>
        <v/>
      </c>
      <c r="U795" s="84" t="str">
        <f>IF(ISERROR(FIND('112'!$M$9,G795,1)),"",IF((AND(LEFT(G795,2)=LEFT('112'!$M$9,2),B795&lt;'112'!$K$9,$N795='112'!$I$6)),"x",""))</f>
        <v>x</v>
      </c>
      <c r="V795" s="84" t="str">
        <f>IF(ISERROR(FIND('112'!$M$9,G795,1)),"",IF((AND(RIGHT(G795,2)=RIGHT('112'!$M$9,2),B795&lt;'112'!$K$9,$O795='112'!$I$6)),"x",""))</f>
        <v/>
      </c>
      <c r="W795" s="84" t="str">
        <f>IF(AND('341-CT'!$H$9=H795,OR(LEFT(N795,3)=$W$7,LEFT(O795,3)=$W$7)),"x","")</f>
        <v/>
      </c>
      <c r="X795" s="84" t="str">
        <f>IF(OR(TH!N795=TH!$X$7,O795=TH!$X$7),"x","")</f>
        <v/>
      </c>
      <c r="Y795" s="84" t="str">
        <f>IF(AND(OR(N795="131",O795="131"),H795='131-CT'!$H$9),"x","")</f>
        <v/>
      </c>
      <c r="Z795" s="84"/>
      <c r="AA795" s="84" t="str">
        <f>IF(AND(MONTH(E795)='IN-NX'!$J$5,'IN-NX'!$D$7=D795),"x","")</f>
        <v/>
      </c>
      <c r="AB795" s="84" t="str">
        <f>IF(AND(OR(LEFT(TH!N795,2)="15",LEFT(TH!O795,2)="15"),LEFT(TH!O795,3)&lt;&gt;"111",'152-CT'!$J$8=TH!F795),"x","")</f>
        <v/>
      </c>
      <c r="AC795" s="84" t="str">
        <f>IF(AND(OR(LEFT(TH!N795,2)="15",LEFT(TH!O795,2)="15"),TK!$E$7=TH!F795),"x","")</f>
        <v/>
      </c>
      <c r="AD795" s="84" t="str">
        <f>IF(AND(N795="1521",MONTH(C795)='BK-NL'!$M$11),"x","")</f>
        <v/>
      </c>
    </row>
    <row r="796" spans="1:30" ht="15.75" hidden="1" customHeight="1">
      <c r="A796" s="336" t="str">
        <f>IF(B796&lt;&gt;"",IF(AND(B796='IN-TC'!$S$4,OR(TH!N796="1111",TH!O796="1111")),TH!D796,""),"")</f>
        <v/>
      </c>
      <c r="B796" s="63">
        <f t="shared" si="163"/>
        <v>1</v>
      </c>
      <c r="C796" s="64">
        <v>42392</v>
      </c>
      <c r="D796" s="64" t="s">
        <v>702</v>
      </c>
      <c r="E796" s="64">
        <v>42392</v>
      </c>
      <c r="F796" s="345" t="s">
        <v>740</v>
      </c>
      <c r="G796" s="67" t="s">
        <v>918</v>
      </c>
      <c r="H796" s="67"/>
      <c r="I796" s="439"/>
      <c r="J796" s="439"/>
      <c r="K796" s="430"/>
      <c r="L796" s="439"/>
      <c r="M796" s="65">
        <v>1541</v>
      </c>
      <c r="N796" s="66" t="s">
        <v>26</v>
      </c>
      <c r="O796" s="66" t="s">
        <v>43</v>
      </c>
      <c r="P796" s="84" t="str">
        <f>IF(AND('331-CT'!$E$7=TH!H796,OR(N796="331",O796="331")),"x","")</f>
        <v/>
      </c>
      <c r="Q796" s="84" t="str">
        <f>IF(AND(B796='111'!$L$11,OR($N796=$Q$7,$O796=$Q$7)),"x","")</f>
        <v/>
      </c>
      <c r="R796" s="84" t="str">
        <f>IF(AND($N796=$Q$7,$B796&lt;'111'!$L$11),"x","")</f>
        <v/>
      </c>
      <c r="S796" s="84" t="str">
        <f>IF(AND($O796=$Q$7,$B796&lt;'111'!$L$11),"x","")</f>
        <v/>
      </c>
      <c r="T796" s="84" t="str">
        <f>IF(ISERROR(FIND('112'!$M$9,G796,1)),"",IF((AND(FIND('112'!$M$9,G796,1)&gt;=1,B796='112'!$K$9,OR($N796='112'!$I$6,$O796='112'!$I$6))),"x",""))</f>
        <v/>
      </c>
      <c r="U796" s="84" t="str">
        <f>IF(ISERROR(FIND('112'!$M$9,G796,1)),"",IF((AND(LEFT(G796,2)=LEFT('112'!$M$9,2),B796&lt;'112'!$K$9,$N796='112'!$I$6)),"x",""))</f>
        <v/>
      </c>
      <c r="V796" s="84" t="str">
        <f>IF(ISERROR(FIND('112'!$M$9,G796,1)),"",IF((AND(RIGHT(G796,2)=RIGHT('112'!$M$9,2),B796&lt;'112'!$K$9,$O796='112'!$I$6)),"x",""))</f>
        <v/>
      </c>
      <c r="W796" s="84" t="str">
        <f>IF(AND('341-CT'!$H$9=H796,OR(LEFT(N796,3)=$W$7,LEFT(O796,3)=$W$7)),"x","")</f>
        <v/>
      </c>
      <c r="X796" s="84" t="str">
        <f>IF(OR(TH!N796=TH!$X$7,O796=TH!$X$7),"x","")</f>
        <v/>
      </c>
      <c r="Y796" s="84" t="str">
        <f>IF(AND(OR(N796="131",O796="131"),H796='131-CT'!$H$9),"x","")</f>
        <v/>
      </c>
      <c r="Z796" s="84"/>
      <c r="AA796" s="84" t="str">
        <f>IF(AND(MONTH(E796)='IN-NX'!$J$5,'IN-NX'!$D$7=D796),"x","")</f>
        <v/>
      </c>
      <c r="AB796" s="84" t="str">
        <f>IF(AND(OR(LEFT(TH!N796,2)="15",LEFT(TH!O796,2)="15"),LEFT(TH!O796,3)&lt;&gt;"111",'152-CT'!$J$8=TH!F796),"x","")</f>
        <v/>
      </c>
      <c r="AC796" s="84" t="str">
        <f>IF(AND(OR(LEFT(TH!N796,2)="15",LEFT(TH!O796,2)="15"),TK!$E$7=TH!F796),"x","")</f>
        <v/>
      </c>
      <c r="AD796" s="84" t="str">
        <f>IF(AND(N796="1521",MONTH(C796)='BK-NL'!$M$11),"x","")</f>
        <v/>
      </c>
    </row>
    <row r="797" spans="1:30" s="347" customFormat="1" ht="15.75" hidden="1" customHeight="1">
      <c r="A797" s="336" t="str">
        <f>IF(B797&lt;&gt;"",IF(AND(B797='IN-TC'!$S$4,OR(TH!N797="1111",TH!O797="1111")),TH!D797,""),"")</f>
        <v/>
      </c>
      <c r="B797" s="63">
        <f t="shared" si="163"/>
        <v>1</v>
      </c>
      <c r="C797" s="80">
        <f>E797</f>
        <v>42392</v>
      </c>
      <c r="D797" s="80" t="s">
        <v>904</v>
      </c>
      <c r="E797" s="80">
        <v>42392</v>
      </c>
      <c r="F797" s="345" t="s">
        <v>964</v>
      </c>
      <c r="G797" s="81"/>
      <c r="H797" s="82" t="s">
        <v>963</v>
      </c>
      <c r="I797" s="437"/>
      <c r="J797" s="437"/>
      <c r="K797" s="428"/>
      <c r="L797" s="437"/>
      <c r="M797" s="83">
        <v>500000000</v>
      </c>
      <c r="N797" s="84" t="s">
        <v>272</v>
      </c>
      <c r="O797" s="66" t="s">
        <v>63</v>
      </c>
      <c r="P797" s="84" t="str">
        <f>IF(AND('331-CT'!$E$7=TH!H797,OR(N797="331",O797="331")),"x","")</f>
        <v/>
      </c>
      <c r="Q797" s="84" t="str">
        <f>IF(AND(B797='111'!$L$11,OR($N797=$Q$7,$O797=$Q$7)),"x","")</f>
        <v>x</v>
      </c>
      <c r="R797" s="84" t="str">
        <f>IF(AND($N797=$Q$7,$B797&lt;'111'!$L$11),"x","")</f>
        <v/>
      </c>
      <c r="S797" s="84" t="str">
        <f>IF(AND($O797=$Q$7,$B797&lt;'111'!$L$11),"x","")</f>
        <v/>
      </c>
      <c r="T797" s="84" t="str">
        <f>IF(ISERROR(FIND('112'!$M$9,G797,1)),"",IF((AND(FIND('112'!$M$9,G797,1)&gt;=1,B797='112'!$K$9,OR($N797='112'!$I$6,$O797='112'!$I$6))),"x",""))</f>
        <v/>
      </c>
      <c r="U797" s="84" t="str">
        <f>IF(ISERROR(FIND('112'!$M$9,G797,1)),"",IF((AND(LEFT(G797,2)=LEFT('112'!$M$9,2),B797&lt;'112'!$K$9,$N797='112'!$I$6)),"x",""))</f>
        <v/>
      </c>
      <c r="V797" s="84" t="str">
        <f>IF(ISERROR(FIND('112'!$M$9,G797,1)),"",IF((AND(RIGHT(G797,2)=RIGHT('112'!$M$9,2),B797&lt;'112'!$K$9,$O797='112'!$I$6)),"x",""))</f>
        <v/>
      </c>
      <c r="W797" s="84" t="str">
        <f>IF(AND('341-CT'!$H$9=H797,OR(LEFT(N797,3)=$W$7,LEFT(O797,3)=$W$7)),"x","")</f>
        <v/>
      </c>
      <c r="X797" s="84" t="str">
        <f>IF(OR(TH!N797=TH!$X$7,O797=TH!$X$7),"x","")</f>
        <v/>
      </c>
      <c r="Y797" s="84" t="str">
        <f>IF(AND(OR(N797="131",O797="131"),H797='131-CT'!$H$9),"x","")</f>
        <v/>
      </c>
      <c r="Z797" s="84"/>
      <c r="AA797" s="84" t="str">
        <f>IF(AND(MONTH(E797)='IN-NX'!$J$5,'IN-NX'!$D$7=D797),"x","")</f>
        <v/>
      </c>
      <c r="AB797" s="84" t="str">
        <f>IF(AND(OR(LEFT(TH!N797,2)="15",LEFT(TH!O797,2)="15"),LEFT(TH!O797,3)&lt;&gt;"111",'152-CT'!$J$8=TH!F797),"x","")</f>
        <v/>
      </c>
      <c r="AC797" s="84" t="str">
        <f>IF(AND(OR(LEFT(TH!N797,2)="15",LEFT(TH!O797,2)="15"),TK!$E$7=TH!F797),"x","")</f>
        <v/>
      </c>
      <c r="AD797" s="84" t="str">
        <f>IF(AND(N797="1521",MONTH(C797)='BK-NL'!$M$11),"x","")</f>
        <v/>
      </c>
    </row>
    <row r="798" spans="1:30" ht="15.75" hidden="1" customHeight="1">
      <c r="A798" s="336" t="str">
        <f>IF(B798&lt;&gt;"",IF(AND(B798='IN-TC'!$S$4,OR(TH!N798="1111",TH!O798="1111")),TH!D798,""),"")</f>
        <v/>
      </c>
      <c r="B798" s="63">
        <f t="shared" si="163"/>
        <v>1</v>
      </c>
      <c r="C798" s="64">
        <v>42393</v>
      </c>
      <c r="D798" s="64" t="s">
        <v>905</v>
      </c>
      <c r="E798" s="64">
        <v>42393</v>
      </c>
      <c r="F798" s="345" t="s">
        <v>791</v>
      </c>
      <c r="G798" s="67" t="s">
        <v>837</v>
      </c>
      <c r="H798" s="73" t="s">
        <v>808</v>
      </c>
      <c r="I798" s="439"/>
      <c r="J798" s="439"/>
      <c r="K798" s="430"/>
      <c r="L798" s="439"/>
      <c r="M798" s="65">
        <v>1137764</v>
      </c>
      <c r="N798" s="66" t="s">
        <v>101</v>
      </c>
      <c r="O798" s="66" t="s">
        <v>63</v>
      </c>
      <c r="P798" s="84" t="str">
        <f>IF(AND('331-CT'!$E$7=TH!H798,OR(N798="331",O798="331")),"x","")</f>
        <v/>
      </c>
      <c r="Q798" s="84" t="str">
        <f>IF(AND(B798='111'!$L$11,OR($N798=$Q$7,$O798=$Q$7)),"x","")</f>
        <v>x</v>
      </c>
      <c r="R798" s="84" t="str">
        <f>IF(AND($N798=$Q$7,$B798&lt;'111'!$L$11),"x","")</f>
        <v/>
      </c>
      <c r="S798" s="84" t="str">
        <f>IF(AND($O798=$Q$7,$B798&lt;'111'!$L$11),"x","")</f>
        <v/>
      </c>
      <c r="T798" s="84" t="str">
        <f>IF(ISERROR(FIND('112'!$M$9,G798,1)),"",IF((AND(FIND('112'!$M$9,G798,1)&gt;=1,B798='112'!$K$9,OR($N798='112'!$I$6,$O798='112'!$I$6))),"x",""))</f>
        <v/>
      </c>
      <c r="U798" s="84" t="str">
        <f>IF(ISERROR(FIND('112'!$M$9,G798,1)),"",IF((AND(LEFT(G798,2)=LEFT('112'!$M$9,2),B798&lt;'112'!$K$9,$N798='112'!$I$6)),"x",""))</f>
        <v/>
      </c>
      <c r="V798" s="84" t="str">
        <f>IF(ISERROR(FIND('112'!$M$9,G798,1)),"",IF((AND(RIGHT(G798,2)=RIGHT('112'!$M$9,2),B798&lt;'112'!$K$9,$O798='112'!$I$6)),"x",""))</f>
        <v/>
      </c>
      <c r="W798" s="84" t="str">
        <f>IF(AND('341-CT'!$H$9=H798,OR(LEFT(N798,3)=$W$7,LEFT(O798,3)=$W$7)),"x","")</f>
        <v/>
      </c>
      <c r="X798" s="84" t="str">
        <f>IF(OR(TH!N798=TH!$X$7,O798=TH!$X$7),"x","")</f>
        <v/>
      </c>
      <c r="Y798" s="84" t="str">
        <f>IF(AND(OR(N798="131",O798="131"),H798='131-CT'!$H$9),"x","")</f>
        <v/>
      </c>
      <c r="Z798" s="84"/>
      <c r="AA798" s="84" t="str">
        <f>IF(AND(MONTH(E798)='IN-NX'!$J$5,'IN-NX'!$D$7=D798),"x","")</f>
        <v/>
      </c>
      <c r="AB798" s="84" t="str">
        <f>IF(AND(OR(LEFT(TH!N798,2)="15",LEFT(TH!O798,2)="15"),LEFT(TH!O798,3)&lt;&gt;"111",'152-CT'!$J$8=TH!F798),"x","")</f>
        <v/>
      </c>
      <c r="AC798" s="84" t="str">
        <f>IF(AND(OR(LEFT(TH!N798,2)="15",LEFT(TH!O798,2)="15"),TK!$E$7=TH!F798),"x","")</f>
        <v/>
      </c>
      <c r="AD798" s="84" t="str">
        <f>IF(AND(N798="1521",MONTH(C798)='BK-NL'!$M$11),"x","")</f>
        <v/>
      </c>
    </row>
    <row r="799" spans="1:30" ht="15.75" hidden="1" customHeight="1">
      <c r="A799" s="336" t="str">
        <f>IF(B799&lt;&gt;"",IF(AND(B799='IN-TC'!$S$4,OR(TH!N799="1111",TH!O799="1111")),TH!D799,""),"")</f>
        <v/>
      </c>
      <c r="B799" s="63">
        <f t="shared" si="163"/>
        <v>1</v>
      </c>
      <c r="C799" s="64">
        <v>42393</v>
      </c>
      <c r="D799" s="64" t="s">
        <v>905</v>
      </c>
      <c r="E799" s="64">
        <v>42393</v>
      </c>
      <c r="F799" s="345" t="s">
        <v>792</v>
      </c>
      <c r="G799" s="67" t="s">
        <v>837</v>
      </c>
      <c r="H799" s="346" t="s">
        <v>808</v>
      </c>
      <c r="I799" s="443"/>
      <c r="J799" s="443"/>
      <c r="K799" s="434"/>
      <c r="L799" s="443"/>
      <c r="M799" s="65">
        <v>113776</v>
      </c>
      <c r="N799" s="66" t="s">
        <v>9</v>
      </c>
      <c r="O799" s="66" t="s">
        <v>63</v>
      </c>
      <c r="P799" s="84" t="str">
        <f>IF(AND('331-CT'!$E$7=TH!H799,OR(N799="331",O799="331")),"x","")</f>
        <v/>
      </c>
      <c r="Q799" s="84" t="str">
        <f>IF(AND(B799='111'!$L$11,OR($N799=$Q$7,$O799=$Q$7)),"x","")</f>
        <v>x</v>
      </c>
      <c r="R799" s="84" t="str">
        <f>IF(AND($N799=$Q$7,$B799&lt;'111'!$L$11),"x","")</f>
        <v/>
      </c>
      <c r="S799" s="84" t="str">
        <f>IF(AND($O799=$Q$7,$B799&lt;'111'!$L$11),"x","")</f>
        <v/>
      </c>
      <c r="T799" s="84" t="str">
        <f>IF(ISERROR(FIND('112'!$M$9,G799,1)),"",IF((AND(FIND('112'!$M$9,G799,1)&gt;=1,B799='112'!$K$9,OR($N799='112'!$I$6,$O799='112'!$I$6))),"x",""))</f>
        <v/>
      </c>
      <c r="U799" s="84" t="str">
        <f>IF(ISERROR(FIND('112'!$M$9,G799,1)),"",IF((AND(LEFT(G799,2)=LEFT('112'!$M$9,2),B799&lt;'112'!$K$9,$N799='112'!$I$6)),"x",""))</f>
        <v/>
      </c>
      <c r="V799" s="84" t="str">
        <f>IF(ISERROR(FIND('112'!$M$9,G799,1)),"",IF((AND(RIGHT(G799,2)=RIGHT('112'!$M$9,2),B799&lt;'112'!$K$9,$O799='112'!$I$6)),"x",""))</f>
        <v/>
      </c>
      <c r="W799" s="84" t="str">
        <f>IF(AND('341-CT'!$H$9=H799,OR(LEFT(N799,3)=$W$7,LEFT(O799,3)=$W$7)),"x","")</f>
        <v/>
      </c>
      <c r="X799" s="84" t="str">
        <f>IF(OR(TH!N799=TH!$X$7,O799=TH!$X$7),"x","")</f>
        <v/>
      </c>
      <c r="Y799" s="84" t="str">
        <f>IF(AND(OR(N799="131",O799="131"),H799='131-CT'!$H$9),"x","")</f>
        <v/>
      </c>
      <c r="Z799" s="84"/>
      <c r="AA799" s="84" t="str">
        <f>IF(AND(MONTH(E799)='IN-NX'!$J$5,'IN-NX'!$D$7=D799),"x","")</f>
        <v/>
      </c>
      <c r="AB799" s="84" t="str">
        <f>IF(AND(OR(LEFT(TH!N799,2)="15",LEFT(TH!O799,2)="15"),LEFT(TH!O799,3)&lt;&gt;"111",'152-CT'!$J$8=TH!F799),"x","")</f>
        <v/>
      </c>
      <c r="AC799" s="84" t="str">
        <f>IF(AND(OR(LEFT(TH!N799,2)="15",LEFT(TH!O799,2)="15"),TK!$E$7=TH!F799),"x","")</f>
        <v/>
      </c>
      <c r="AD799" s="84" t="str">
        <f>IF(AND(N799="1521",MONTH(C799)='BK-NL'!$M$11),"x","")</f>
        <v/>
      </c>
    </row>
    <row r="800" spans="1:30" ht="15.75" hidden="1" customHeight="1">
      <c r="A800" s="336" t="str">
        <f>IF(B800&lt;&gt;"",IF(AND(B800='IN-TC'!$S$4,OR(TH!N800="1111",TH!O800="1111")),TH!D800,""),"")</f>
        <v/>
      </c>
      <c r="B800" s="63">
        <f t="shared" si="163"/>
        <v>1</v>
      </c>
      <c r="C800" s="64">
        <v>42394</v>
      </c>
      <c r="D800" s="64" t="s">
        <v>705</v>
      </c>
      <c r="E800" s="64">
        <v>42394</v>
      </c>
      <c r="F800" s="345" t="s">
        <v>710</v>
      </c>
      <c r="G800" s="67" t="s">
        <v>919</v>
      </c>
      <c r="H800" s="73"/>
      <c r="I800" s="439"/>
      <c r="J800" s="439"/>
      <c r="K800" s="430">
        <v>15</v>
      </c>
      <c r="L800" s="439">
        <v>22370</v>
      </c>
      <c r="M800" s="83">
        <f>ROUND(K800*L800,0)</f>
        <v>335550</v>
      </c>
      <c r="N800" s="66" t="s">
        <v>101</v>
      </c>
      <c r="O800" s="66" t="s">
        <v>266</v>
      </c>
      <c r="P800" s="84" t="str">
        <f>IF(AND('331-CT'!$E$7=TH!H800,OR(N800="331",O800="331")),"x","")</f>
        <v/>
      </c>
      <c r="Q800" s="84" t="str">
        <f>IF(AND(B800='111'!$L$11,OR($N800=$Q$7,$O800=$Q$7)),"x","")</f>
        <v/>
      </c>
      <c r="R800" s="84" t="str">
        <f>IF(AND($N800=$Q$7,$B800&lt;'111'!$L$11),"x","")</f>
        <v/>
      </c>
      <c r="S800" s="84" t="str">
        <f>IF(AND($O800=$Q$7,$B800&lt;'111'!$L$11),"x","")</f>
        <v/>
      </c>
      <c r="T800" s="84" t="str">
        <f>IF(ISERROR(FIND('112'!$M$9,G800,1)),"",IF((AND(FIND('112'!$M$9,G800,1)&gt;=1,B800='112'!$K$9,OR($N800='112'!$I$6,$O800='112'!$I$6))),"x",""))</f>
        <v/>
      </c>
      <c r="U800" s="84" t="str">
        <f>IF(ISERROR(FIND('112'!$M$9,G800,1)),"",IF((AND(LEFT(G800,2)=LEFT('112'!$M$9,2),B800&lt;'112'!$K$9,$N800='112'!$I$6)),"x",""))</f>
        <v/>
      </c>
      <c r="V800" s="84" t="str">
        <f>IF(ISERROR(FIND('112'!$M$9,G800,1)),"",IF((AND(RIGHT(G800,2)=RIGHT('112'!$M$9,2),B800&lt;'112'!$K$9,$O800='112'!$I$6)),"x",""))</f>
        <v/>
      </c>
      <c r="W800" s="84" t="str">
        <f>IF(AND('341-CT'!$H$9=H800,OR(LEFT(N800,3)=$W$7,LEFT(O800,3)=$W$7)),"x","")</f>
        <v/>
      </c>
      <c r="X800" s="84" t="str">
        <f>IF(OR(TH!N800=TH!$X$7,O800=TH!$X$7),"x","")</f>
        <v/>
      </c>
      <c r="Y800" s="84" t="str">
        <f>IF(AND(OR(N800="131",O800="131"),H800='131-CT'!$H$9),"x","")</f>
        <v/>
      </c>
      <c r="Z800" s="84"/>
      <c r="AA800" s="84" t="str">
        <f>IF(AND(MONTH(E800)='IN-NX'!$J$5,'IN-NX'!$D$7=D800),"x","")</f>
        <v/>
      </c>
      <c r="AB800" s="84" t="str">
        <f>IF(AND(OR(LEFT(TH!N800,2)="15",LEFT(TH!O800,2)="15"),LEFT(TH!O800,3)&lt;&gt;"111",'152-CT'!$J$8=TH!F800),"x","")</f>
        <v/>
      </c>
      <c r="AC800" s="84" t="str">
        <f>IF(AND(OR(LEFT(TH!N800,2)="15",LEFT(TH!O800,2)="15"),TK!$E$7=TH!F800),"x","")</f>
        <v/>
      </c>
      <c r="AD800" s="84" t="str">
        <f>IF(AND(N800="1521",MONTH(C800)='BK-NL'!$M$11),"x","")</f>
        <v/>
      </c>
    </row>
    <row r="801" spans="1:30" ht="15.75" hidden="1" customHeight="1">
      <c r="A801" s="336" t="str">
        <f>IF(B801&lt;&gt;"",IF(AND(B801='IN-TC'!$S$4,OR(TH!N801="1111",TH!O801="1111")),TH!D801,""),"")</f>
        <v/>
      </c>
      <c r="B801" s="63">
        <f t="shared" si="163"/>
        <v>1</v>
      </c>
      <c r="C801" s="64">
        <v>42394</v>
      </c>
      <c r="D801" s="64" t="s">
        <v>705</v>
      </c>
      <c r="E801" s="64">
        <v>42394</v>
      </c>
      <c r="F801" s="345" t="s">
        <v>711</v>
      </c>
      <c r="G801" s="67" t="s">
        <v>919</v>
      </c>
      <c r="H801" s="73"/>
      <c r="I801" s="439"/>
      <c r="J801" s="439"/>
      <c r="K801" s="430">
        <v>1.5</v>
      </c>
      <c r="L801" s="439">
        <v>22370</v>
      </c>
      <c r="M801" s="83">
        <f>ROUND(K801*L801,0)</f>
        <v>33555</v>
      </c>
      <c r="N801" s="66" t="s">
        <v>9</v>
      </c>
      <c r="O801" s="66" t="s">
        <v>266</v>
      </c>
      <c r="P801" s="84" t="str">
        <f>IF(AND('331-CT'!$E$7=TH!H801,OR(N801="331",O801="331")),"x","")</f>
        <v/>
      </c>
      <c r="Q801" s="84" t="str">
        <f>IF(AND(B801='111'!$L$11,OR($N801=$Q$7,$O801=$Q$7)),"x","")</f>
        <v/>
      </c>
      <c r="R801" s="84" t="str">
        <f>IF(AND($N801=$Q$7,$B801&lt;'111'!$L$11),"x","")</f>
        <v/>
      </c>
      <c r="S801" s="84" t="str">
        <f>IF(AND($O801=$Q$7,$B801&lt;'111'!$L$11),"x","")</f>
        <v/>
      </c>
      <c r="T801" s="84" t="str">
        <f>IF(ISERROR(FIND('112'!$M$9,G801,1)),"",IF((AND(FIND('112'!$M$9,G801,1)&gt;=1,B801='112'!$K$9,OR($N801='112'!$I$6,$O801='112'!$I$6))),"x",""))</f>
        <v/>
      </c>
      <c r="U801" s="84" t="str">
        <f>IF(ISERROR(FIND('112'!$M$9,G801,1)),"",IF((AND(LEFT(G801,2)=LEFT('112'!$M$9,2),B801&lt;'112'!$K$9,$N801='112'!$I$6)),"x",""))</f>
        <v/>
      </c>
      <c r="V801" s="84" t="str">
        <f>IF(ISERROR(FIND('112'!$M$9,G801,1)),"",IF((AND(RIGHT(G801,2)=RIGHT('112'!$M$9,2),B801&lt;'112'!$K$9,$O801='112'!$I$6)),"x",""))</f>
        <v/>
      </c>
      <c r="W801" s="84" t="str">
        <f>IF(AND('341-CT'!$H$9=H801,OR(LEFT(N801,3)=$W$7,LEFT(O801,3)=$W$7)),"x","")</f>
        <v/>
      </c>
      <c r="X801" s="84" t="str">
        <f>IF(OR(TH!N801=TH!$X$7,O801=TH!$X$7),"x","")</f>
        <v/>
      </c>
      <c r="Y801" s="84" t="str">
        <f>IF(AND(OR(N801="131",O801="131"),H801='131-CT'!$H$9),"x","")</f>
        <v/>
      </c>
      <c r="Z801" s="84"/>
      <c r="AA801" s="84" t="str">
        <f>IF(AND(MONTH(E801)='IN-NX'!$J$5,'IN-NX'!$D$7=D801),"x","")</f>
        <v/>
      </c>
      <c r="AB801" s="84" t="str">
        <f>IF(AND(OR(LEFT(TH!N801,2)="15",LEFT(TH!O801,2)="15"),LEFT(TH!O801,3)&lt;&gt;"111",'152-CT'!$J$8=TH!F801),"x","")</f>
        <v/>
      </c>
      <c r="AC801" s="84" t="str">
        <f>IF(AND(OR(LEFT(TH!N801,2)="15",LEFT(TH!O801,2)="15"),TK!$E$7=TH!F801),"x","")</f>
        <v/>
      </c>
      <c r="AD801" s="84" t="str">
        <f>IF(AND(N801="1521",MONTH(C801)='BK-NL'!$M$11),"x","")</f>
        <v/>
      </c>
    </row>
    <row r="802" spans="1:30" ht="15.75" hidden="1" customHeight="1">
      <c r="A802" s="336" t="str">
        <f>IF(B802&lt;&gt;"",IF(AND(B802='IN-TC'!$S$4,OR(TH!N802="1111",TH!O802="1111")),TH!D802,""),"")</f>
        <v/>
      </c>
      <c r="B802" s="63">
        <f t="shared" si="163"/>
        <v>1</v>
      </c>
      <c r="C802" s="64">
        <v>42394</v>
      </c>
      <c r="D802" s="64" t="s">
        <v>907</v>
      </c>
      <c r="E802" s="64">
        <v>42394</v>
      </c>
      <c r="F802" s="345" t="s">
        <v>737</v>
      </c>
      <c r="G802" s="67" t="s">
        <v>919</v>
      </c>
      <c r="H802" s="73" t="s">
        <v>229</v>
      </c>
      <c r="I802" s="439"/>
      <c r="J802" s="439"/>
      <c r="K802" s="430"/>
      <c r="L802" s="439"/>
      <c r="M802" s="65">
        <v>2168920000</v>
      </c>
      <c r="N802" s="66" t="s">
        <v>26</v>
      </c>
      <c r="O802" s="66" t="s">
        <v>63</v>
      </c>
      <c r="P802" s="84" t="str">
        <f>IF(AND('331-CT'!$E$7=TH!H802,OR(N802="331",O802="331")),"x","")</f>
        <v/>
      </c>
      <c r="Q802" s="84" t="str">
        <f>IF(AND(B802='111'!$L$11,OR($N802=$Q$7,$O802=$Q$7)),"x","")</f>
        <v>x</v>
      </c>
      <c r="R802" s="84" t="str">
        <f>IF(AND($N802=$Q$7,$B802&lt;'111'!$L$11),"x","")</f>
        <v/>
      </c>
      <c r="S802" s="84" t="str">
        <f>IF(AND($O802=$Q$7,$B802&lt;'111'!$L$11),"x","")</f>
        <v/>
      </c>
      <c r="T802" s="84" t="str">
        <f>IF(ISERROR(FIND('112'!$M$9,G802,1)),"",IF((AND(FIND('112'!$M$9,G802,1)&gt;=1,B802='112'!$K$9,OR($N802='112'!$I$6,$O802='112'!$I$6))),"x",""))</f>
        <v/>
      </c>
      <c r="U802" s="84" t="str">
        <f>IF(ISERROR(FIND('112'!$M$9,G802,1)),"",IF((AND(LEFT(G802,2)=LEFT('112'!$M$9,2),B802&lt;'112'!$K$9,$N802='112'!$I$6)),"x",""))</f>
        <v>x</v>
      </c>
      <c r="V802" s="84" t="str">
        <f>IF(ISERROR(FIND('112'!$M$9,G802,1)),"",IF((AND(RIGHT(G802,2)=RIGHT('112'!$M$9,2),B802&lt;'112'!$K$9,$O802='112'!$I$6)),"x",""))</f>
        <v/>
      </c>
      <c r="W802" s="84" t="str">
        <f>IF(AND('341-CT'!$H$9=H802,OR(LEFT(N802,3)=$W$7,LEFT(O802,3)=$W$7)),"x","")</f>
        <v/>
      </c>
      <c r="X802" s="84" t="str">
        <f>IF(OR(TH!N802=TH!$X$7,O802=TH!$X$7),"x","")</f>
        <v/>
      </c>
      <c r="Y802" s="84" t="str">
        <f>IF(AND(OR(N802="131",O802="131"),H802='131-CT'!$H$9),"x","")</f>
        <v/>
      </c>
      <c r="Z802" s="84"/>
      <c r="AA802" s="84" t="str">
        <f>IF(AND(MONTH(E802)='IN-NX'!$J$5,'IN-NX'!$D$7=D802),"x","")</f>
        <v/>
      </c>
      <c r="AB802" s="84" t="str">
        <f>IF(AND(OR(LEFT(TH!N802,2)="15",LEFT(TH!O802,2)="15"),LEFT(TH!O802,3)&lt;&gt;"111",'152-CT'!$J$8=TH!F802),"x","")</f>
        <v/>
      </c>
      <c r="AC802" s="84" t="str">
        <f>IF(AND(OR(LEFT(TH!N802,2)="15",LEFT(TH!O802,2)="15"),TK!$E$7=TH!F802),"x","")</f>
        <v/>
      </c>
      <c r="AD802" s="84" t="str">
        <f>IF(AND(N802="1521",MONTH(C802)='BK-NL'!$M$11),"x","")</f>
        <v/>
      </c>
    </row>
    <row r="803" spans="1:30" ht="15.75" hidden="1" customHeight="1">
      <c r="A803" s="336" t="str">
        <f>IF(B803&lt;&gt;"",IF(AND(B803='IN-TC'!$S$4,OR(TH!N803="1111",TH!O803="1111")),TH!D803,""),"")</f>
        <v/>
      </c>
      <c r="B803" s="63">
        <f t="shared" si="163"/>
        <v>1</v>
      </c>
      <c r="C803" s="64">
        <v>42394</v>
      </c>
      <c r="D803" s="64" t="s">
        <v>702</v>
      </c>
      <c r="E803" s="64">
        <v>42394</v>
      </c>
      <c r="F803" s="345" t="s">
        <v>704</v>
      </c>
      <c r="G803" s="67" t="s">
        <v>919</v>
      </c>
      <c r="H803" s="73"/>
      <c r="I803" s="439"/>
      <c r="J803" s="439"/>
      <c r="K803" s="430">
        <v>97000</v>
      </c>
      <c r="L803" s="439">
        <v>22360</v>
      </c>
      <c r="M803" s="83">
        <f>ROUND(K803*L803,0)</f>
        <v>2168920000</v>
      </c>
      <c r="N803" s="66" t="s">
        <v>266</v>
      </c>
      <c r="O803" s="66" t="s">
        <v>26</v>
      </c>
      <c r="P803" s="84" t="str">
        <f>IF(AND('331-CT'!$E$7=TH!H803,OR(N803="331",O803="331")),"x","")</f>
        <v/>
      </c>
      <c r="Q803" s="84" t="str">
        <f>IF(AND(B803='111'!$L$11,OR($N803=$Q$7,$O803=$Q$7)),"x","")</f>
        <v/>
      </c>
      <c r="R803" s="84" t="str">
        <f>IF(AND($N803=$Q$7,$B803&lt;'111'!$L$11),"x","")</f>
        <v/>
      </c>
      <c r="S803" s="84" t="str">
        <f>IF(AND($O803=$Q$7,$B803&lt;'111'!$L$11),"x","")</f>
        <v/>
      </c>
      <c r="T803" s="84" t="str">
        <f>IF(ISERROR(FIND('112'!$M$9,G803,1)),"",IF((AND(FIND('112'!$M$9,G803,1)&gt;=1,B803='112'!$K$9,OR($N803='112'!$I$6,$O803='112'!$I$6))),"x",""))</f>
        <v/>
      </c>
      <c r="U803" s="84" t="str">
        <f>IF(ISERROR(FIND('112'!$M$9,G803,1)),"",IF((AND(LEFT(G803,2)=LEFT('112'!$M$9,2),B803&lt;'112'!$K$9,$N803='112'!$I$6)),"x",""))</f>
        <v/>
      </c>
      <c r="V803" s="84" t="str">
        <f>IF(ISERROR(FIND('112'!$M$9,G803,1)),"",IF((AND(RIGHT(G803,2)=RIGHT('112'!$M$9,2),B803&lt;'112'!$K$9,$O803='112'!$I$6)),"x",""))</f>
        <v>x</v>
      </c>
      <c r="W803" s="84" t="str">
        <f>IF(AND('341-CT'!$H$9=H803,OR(LEFT(N803,3)=$W$7,LEFT(O803,3)=$W$7)),"x","")</f>
        <v/>
      </c>
      <c r="X803" s="84" t="str">
        <f>IF(OR(TH!N803=TH!$X$7,O803=TH!$X$7),"x","")</f>
        <v/>
      </c>
      <c r="Y803" s="84" t="str">
        <f>IF(AND(OR(N803="131",O803="131"),H803='131-CT'!$H$9),"x","")</f>
        <v/>
      </c>
      <c r="Z803" s="84"/>
      <c r="AA803" s="84" t="str">
        <f>IF(AND(MONTH(E803)='IN-NX'!$J$5,'IN-NX'!$D$7=D803),"x","")</f>
        <v/>
      </c>
      <c r="AB803" s="84" t="str">
        <f>IF(AND(OR(LEFT(TH!N803,2)="15",LEFT(TH!O803,2)="15"),LEFT(TH!O803,3)&lt;&gt;"111",'152-CT'!$J$8=TH!F803),"x","")</f>
        <v/>
      </c>
      <c r="AC803" s="84" t="str">
        <f>IF(AND(OR(LEFT(TH!N803,2)="15",LEFT(TH!O803,2)="15"),TK!$E$7=TH!F803),"x","")</f>
        <v/>
      </c>
      <c r="AD803" s="84" t="str">
        <f>IF(AND(N803="1521",MONTH(C803)='BK-NL'!$M$11),"x","")</f>
        <v/>
      </c>
    </row>
    <row r="804" spans="1:30" ht="15.75" hidden="1" customHeight="1">
      <c r="A804" s="336" t="str">
        <f>IF(B804&lt;&gt;"",IF(AND(B804='IN-TC'!$S$4,OR(TH!N804="1111",TH!O804="1111")),TH!D804,""),"")</f>
        <v/>
      </c>
      <c r="B804" s="63">
        <f t="shared" si="163"/>
        <v>1</v>
      </c>
      <c r="C804" s="64">
        <v>42394</v>
      </c>
      <c r="D804" s="64" t="s">
        <v>705</v>
      </c>
      <c r="E804" s="64">
        <v>42394</v>
      </c>
      <c r="F804" s="67" t="s">
        <v>1890</v>
      </c>
      <c r="G804" s="67" t="s">
        <v>919</v>
      </c>
      <c r="H804" s="344" t="s">
        <v>717</v>
      </c>
      <c r="I804" s="439"/>
      <c r="J804" s="439"/>
      <c r="K804" s="430"/>
      <c r="L804" s="439"/>
      <c r="M804" s="65">
        <v>2171830</v>
      </c>
      <c r="N804" s="66" t="s">
        <v>99</v>
      </c>
      <c r="O804" s="66" t="s">
        <v>26</v>
      </c>
      <c r="P804" s="84" t="str">
        <f>IF(AND('331-CT'!$E$7=TH!H804,OR(N804="331",O804="331")),"x","")</f>
        <v/>
      </c>
      <c r="Q804" s="84" t="str">
        <f>IF(AND(B804='111'!$L$11,OR($N804=$Q$7,$O804=$Q$7)),"x","")</f>
        <v/>
      </c>
      <c r="R804" s="84" t="str">
        <f>IF(AND($N804=$Q$7,$B804&lt;'111'!$L$11),"x","")</f>
        <v/>
      </c>
      <c r="S804" s="84" t="str">
        <f>IF(AND($O804=$Q$7,$B804&lt;'111'!$L$11),"x","")</f>
        <v/>
      </c>
      <c r="T804" s="84" t="str">
        <f>IF(ISERROR(FIND('112'!$M$9,G804,1)),"",IF((AND(FIND('112'!$M$9,G804,1)&gt;=1,B804='112'!$K$9,OR($N804='112'!$I$6,$O804='112'!$I$6))),"x",""))</f>
        <v/>
      </c>
      <c r="U804" s="84" t="str">
        <f>IF(ISERROR(FIND('112'!$M$9,G804,1)),"",IF((AND(LEFT(G804,2)=LEFT('112'!$M$9,2),B804&lt;'112'!$K$9,$N804='112'!$I$6)),"x",""))</f>
        <v/>
      </c>
      <c r="V804" s="84" t="str">
        <f>IF(ISERROR(FIND('112'!$M$9,G804,1)),"",IF((AND(RIGHT(G804,2)=RIGHT('112'!$M$9,2),B804&lt;'112'!$K$9,$O804='112'!$I$6)),"x",""))</f>
        <v>x</v>
      </c>
      <c r="W804" s="84" t="str">
        <f>IF(AND('341-CT'!$H$9=H804,OR(LEFT(N804,3)=$W$7,LEFT(O804,3)=$W$7)),"x","")</f>
        <v/>
      </c>
      <c r="X804" s="84" t="str">
        <f>IF(OR(TH!N804=TH!$X$7,O804=TH!$X$7),"x","")</f>
        <v/>
      </c>
      <c r="Y804" s="84" t="str">
        <f>IF(AND(OR(N804="131",O804="131"),H804='131-CT'!$H$9),"x","")</f>
        <v/>
      </c>
      <c r="Z804" s="84"/>
      <c r="AA804" s="84" t="str">
        <f>IF(AND(MONTH(E804)='IN-NX'!$J$5,'IN-NX'!$D$7=D804),"x","")</f>
        <v/>
      </c>
      <c r="AB804" s="84" t="str">
        <f>IF(AND(OR(LEFT(TH!N804,2)="15",LEFT(TH!O804,2)="15"),LEFT(TH!O804,3)&lt;&gt;"111",'152-CT'!$J$8=TH!F804),"x","")</f>
        <v/>
      </c>
      <c r="AC804" s="84" t="str">
        <f>IF(AND(OR(LEFT(TH!N804,2)="15",LEFT(TH!O804,2)="15"),TK!$E$7=TH!F804),"x","")</f>
        <v/>
      </c>
      <c r="AD804" s="84" t="str">
        <f>IF(AND(N804="1521",MONTH(C804)='BK-NL'!$M$11),"x","")</f>
        <v/>
      </c>
    </row>
    <row r="805" spans="1:30" ht="15.75" hidden="1" customHeight="1">
      <c r="A805" s="336" t="str">
        <f>IF(B805&lt;&gt;"",IF(AND(B805='IN-TC'!$S$4,OR(TH!N805="1111",TH!O805="1111")),TH!D805,""),"")</f>
        <v/>
      </c>
      <c r="B805" s="63">
        <f t="shared" si="163"/>
        <v>1</v>
      </c>
      <c r="C805" s="64">
        <v>42394</v>
      </c>
      <c r="D805" s="64" t="s">
        <v>705</v>
      </c>
      <c r="E805" s="64">
        <v>42394</v>
      </c>
      <c r="F805" s="345" t="s">
        <v>716</v>
      </c>
      <c r="G805" s="67" t="s">
        <v>919</v>
      </c>
      <c r="H805" s="344" t="s">
        <v>717</v>
      </c>
      <c r="I805" s="443"/>
      <c r="J805" s="443"/>
      <c r="K805" s="434">
        <v>97000</v>
      </c>
      <c r="L805" s="443">
        <v>22360</v>
      </c>
      <c r="M805" s="83">
        <f>ROUND(K805*L805,0)</f>
        <v>2168920000</v>
      </c>
      <c r="N805" s="66" t="s">
        <v>260</v>
      </c>
      <c r="O805" s="66" t="s">
        <v>266</v>
      </c>
      <c r="P805" s="84" t="str">
        <f>IF(AND('331-CT'!$E$7=TH!H805,OR(N805="331",O805="331")),"x","")</f>
        <v/>
      </c>
      <c r="Q805" s="84" t="str">
        <f>IF(AND(B805='111'!$L$11,OR($N805=$Q$7,$O805=$Q$7)),"x","")</f>
        <v/>
      </c>
      <c r="R805" s="84" t="str">
        <f>IF(AND($N805=$Q$7,$B805&lt;'111'!$L$11),"x","")</f>
        <v/>
      </c>
      <c r="S805" s="84" t="str">
        <f>IF(AND($O805=$Q$7,$B805&lt;'111'!$L$11),"x","")</f>
        <v/>
      </c>
      <c r="T805" s="84" t="str">
        <f>IF(ISERROR(FIND('112'!$M$9,G805,1)),"",IF((AND(FIND('112'!$M$9,G805,1)&gt;=1,B805='112'!$K$9,OR($N805='112'!$I$6,$O805='112'!$I$6))),"x",""))</f>
        <v/>
      </c>
      <c r="U805" s="84" t="str">
        <f>IF(ISERROR(FIND('112'!$M$9,G805,1)),"",IF((AND(LEFT(G805,2)=LEFT('112'!$M$9,2),B805&lt;'112'!$K$9,$N805='112'!$I$6)),"x",""))</f>
        <v/>
      </c>
      <c r="V805" s="84" t="str">
        <f>IF(ISERROR(FIND('112'!$M$9,G805,1)),"",IF((AND(RIGHT(G805,2)=RIGHT('112'!$M$9,2),B805&lt;'112'!$K$9,$O805='112'!$I$6)),"x",""))</f>
        <v/>
      </c>
      <c r="W805" s="84" t="str">
        <f>IF(AND('341-CT'!$H$9=H805,OR(LEFT(N805,3)=$W$7,LEFT(O805,3)=$W$7)),"x","")</f>
        <v>x</v>
      </c>
      <c r="X805" s="84" t="str">
        <f>IF(OR(TH!N805=TH!$X$7,O805=TH!$X$7),"x","")</f>
        <v/>
      </c>
      <c r="Y805" s="84" t="str">
        <f>IF(AND(OR(N805="131",O805="131"),H805='131-CT'!$H$9),"x","")</f>
        <v/>
      </c>
      <c r="Z805" s="84"/>
      <c r="AA805" s="84" t="str">
        <f>IF(AND(MONTH(E805)='IN-NX'!$J$5,'IN-NX'!$D$7=D805),"x","")</f>
        <v/>
      </c>
      <c r="AB805" s="84" t="str">
        <f>IF(AND(OR(LEFT(TH!N805,2)="15",LEFT(TH!O805,2)="15"),LEFT(TH!O805,3)&lt;&gt;"111",'152-CT'!$J$8=TH!F805),"x","")</f>
        <v/>
      </c>
      <c r="AC805" s="84" t="str">
        <f>IF(AND(OR(LEFT(TH!N805,2)="15",LEFT(TH!O805,2)="15"),TK!$E$7=TH!F805),"x","")</f>
        <v/>
      </c>
      <c r="AD805" s="84" t="str">
        <f>IF(AND(N805="1521",MONTH(C805)='BK-NL'!$M$11),"x","")</f>
        <v/>
      </c>
    </row>
    <row r="806" spans="1:30" ht="15.75" hidden="1" customHeight="1">
      <c r="A806" s="336" t="str">
        <f>IF(B806&lt;&gt;"",IF(AND(B806='IN-TC'!$S$4,OR(TH!N806="1111",TH!O806="1111")),TH!D806,""),"")</f>
        <v/>
      </c>
      <c r="B806" s="63">
        <f t="shared" si="163"/>
        <v>1</v>
      </c>
      <c r="C806" s="64">
        <v>42394</v>
      </c>
      <c r="D806" s="64" t="s">
        <v>582</v>
      </c>
      <c r="E806" s="64">
        <v>42394</v>
      </c>
      <c r="F806" s="345" t="s">
        <v>734</v>
      </c>
      <c r="G806" s="67" t="s">
        <v>919</v>
      </c>
      <c r="H806" s="344" t="s">
        <v>717</v>
      </c>
      <c r="I806" s="439"/>
      <c r="J806" s="439"/>
      <c r="K806" s="430"/>
      <c r="L806" s="439"/>
      <c r="M806" s="65">
        <v>51895000</v>
      </c>
      <c r="N806" s="66" t="s">
        <v>99</v>
      </c>
      <c r="O806" s="66" t="s">
        <v>260</v>
      </c>
      <c r="P806" s="84" t="str">
        <f>IF(AND('331-CT'!$E$7=TH!H806,OR(N806="331",O806="331")),"x","")</f>
        <v/>
      </c>
      <c r="Q806" s="84" t="str">
        <f>IF(AND(B806='111'!$L$11,OR($N806=$Q$7,$O806=$Q$7)),"x","")</f>
        <v/>
      </c>
      <c r="R806" s="84" t="str">
        <f>IF(AND($N806=$Q$7,$B806&lt;'111'!$L$11),"x","")</f>
        <v/>
      </c>
      <c r="S806" s="84" t="str">
        <f>IF(AND($O806=$Q$7,$B806&lt;'111'!$L$11),"x","")</f>
        <v/>
      </c>
      <c r="T806" s="84" t="str">
        <f>IF(ISERROR(FIND('112'!$M$9,G806,1)),"",IF((AND(FIND('112'!$M$9,G806,1)&gt;=1,B806='112'!$K$9,OR($N806='112'!$I$6,$O806='112'!$I$6))),"x",""))</f>
        <v/>
      </c>
      <c r="U806" s="84" t="str">
        <f>IF(ISERROR(FIND('112'!$M$9,G806,1)),"",IF((AND(LEFT(G806,2)=LEFT('112'!$M$9,2),B806&lt;'112'!$K$9,$N806='112'!$I$6)),"x",""))</f>
        <v/>
      </c>
      <c r="V806" s="84" t="str">
        <f>IF(ISERROR(FIND('112'!$M$9,G806,1)),"",IF((AND(RIGHT(G806,2)=RIGHT('112'!$M$9,2),B806&lt;'112'!$K$9,$O806='112'!$I$6)),"x",""))</f>
        <v/>
      </c>
      <c r="W806" s="84" t="str">
        <f>IF(AND('341-CT'!$H$9=H806,OR(LEFT(N806,3)=$W$7,LEFT(O806,3)=$W$7)),"x","")</f>
        <v>x</v>
      </c>
      <c r="X806" s="84" t="str">
        <f>IF(OR(TH!N806=TH!$X$7,O806=TH!$X$7),"x","")</f>
        <v/>
      </c>
      <c r="Y806" s="84" t="str">
        <f>IF(AND(OR(N806="131",O806="131"),H806='131-CT'!$H$9),"x","")</f>
        <v/>
      </c>
      <c r="Z806" s="84"/>
      <c r="AA806" s="84" t="str">
        <f>IF(AND(MONTH(E806)='IN-NX'!$J$5,'IN-NX'!$D$7=D806),"x","")</f>
        <v/>
      </c>
      <c r="AB806" s="84" t="str">
        <f>IF(AND(OR(LEFT(TH!N806,2)="15",LEFT(TH!O806,2)="15"),LEFT(TH!O806,3)&lt;&gt;"111",'152-CT'!$J$8=TH!F806),"x","")</f>
        <v/>
      </c>
      <c r="AC806" s="84" t="str">
        <f>IF(AND(OR(LEFT(TH!N806,2)="15",LEFT(TH!O806,2)="15"),TK!$E$7=TH!F806),"x","")</f>
        <v/>
      </c>
      <c r="AD806" s="84" t="str">
        <f>IF(AND(N806="1521",MONTH(C806)='BK-NL'!$M$11),"x","")</f>
        <v/>
      </c>
    </row>
    <row r="807" spans="1:30" ht="15.75" hidden="1" customHeight="1">
      <c r="A807" s="336" t="str">
        <f>IF(B807&lt;&gt;"",IF(AND(B807='IN-TC'!$S$4,OR(TH!N807="1111",TH!O807="1111")),TH!D807,""),"")</f>
        <v/>
      </c>
      <c r="B807" s="63">
        <f t="shared" si="163"/>
        <v>1</v>
      </c>
      <c r="C807" s="342">
        <v>42394</v>
      </c>
      <c r="D807" s="64" t="s">
        <v>702</v>
      </c>
      <c r="E807" s="64">
        <v>42394</v>
      </c>
      <c r="F807" s="67" t="s">
        <v>706</v>
      </c>
      <c r="G807" s="67" t="s">
        <v>919</v>
      </c>
      <c r="H807" s="73" t="s">
        <v>736</v>
      </c>
      <c r="I807" s="439"/>
      <c r="J807" s="439"/>
      <c r="K807" s="430">
        <v>97000</v>
      </c>
      <c r="L807" s="439">
        <v>22360</v>
      </c>
      <c r="M807" s="83">
        <f>ROUND(K807*L807,0)</f>
        <v>2168920000</v>
      </c>
      <c r="N807" s="66" t="s">
        <v>266</v>
      </c>
      <c r="O807" s="66" t="s">
        <v>260</v>
      </c>
      <c r="P807" s="84" t="str">
        <f>IF(AND('331-CT'!$E$7=TH!H807,OR(N807="331",O807="331")),"x","")</f>
        <v/>
      </c>
      <c r="Q807" s="84" t="str">
        <f>IF(AND(B807='111'!$L$11,OR($N807=$Q$7,$O807=$Q$7)),"x","")</f>
        <v/>
      </c>
      <c r="R807" s="84" t="str">
        <f>IF(AND($N807=$Q$7,$B807&lt;'111'!$L$11),"x","")</f>
        <v/>
      </c>
      <c r="S807" s="84" t="str">
        <f>IF(AND($O807=$Q$7,$B807&lt;'111'!$L$11),"x","")</f>
        <v/>
      </c>
      <c r="T807" s="84" t="str">
        <f>IF(ISERROR(FIND('112'!$M$9,G807,1)),"",IF((AND(FIND('112'!$M$9,G807,1)&gt;=1,B807='112'!$K$9,OR($N807='112'!$I$6,$O807='112'!$I$6))),"x",""))</f>
        <v/>
      </c>
      <c r="U807" s="84" t="str">
        <f>IF(ISERROR(FIND('112'!$M$9,G807,1)),"",IF((AND(LEFT(G807,2)=LEFT('112'!$M$9,2),B807&lt;'112'!$K$9,$N807='112'!$I$6)),"x",""))</f>
        <v/>
      </c>
      <c r="V807" s="84" t="str">
        <f>IF(ISERROR(FIND('112'!$M$9,G807,1)),"",IF((AND(RIGHT(G807,2)=RIGHT('112'!$M$9,2),B807&lt;'112'!$K$9,$O807='112'!$I$6)),"x",""))</f>
        <v/>
      </c>
      <c r="W807" s="84" t="str">
        <f>IF(AND('341-CT'!$H$9=H807,OR(LEFT(N807,3)=$W$7,LEFT(O807,3)=$W$7)),"x","")</f>
        <v/>
      </c>
      <c r="X807" s="84" t="str">
        <f>IF(OR(TH!N807=TH!$X$7,O807=TH!$X$7),"x","")</f>
        <v/>
      </c>
      <c r="Y807" s="84" t="str">
        <f>IF(AND(OR(N807="131",O807="131"),H807='131-CT'!$H$9),"x","")</f>
        <v/>
      </c>
      <c r="Z807" s="84"/>
      <c r="AA807" s="84" t="str">
        <f>IF(AND(MONTH(E807)='IN-NX'!$J$5,'IN-NX'!$D$7=D807),"x","")</f>
        <v/>
      </c>
      <c r="AB807" s="84" t="str">
        <f>IF(AND(OR(LEFT(TH!N807,2)="15",LEFT(TH!O807,2)="15"),LEFT(TH!O807,3)&lt;&gt;"111",'152-CT'!$J$8=TH!F807),"x","")</f>
        <v/>
      </c>
      <c r="AC807" s="84" t="str">
        <f>IF(AND(OR(LEFT(TH!N807,2)="15",LEFT(TH!O807,2)="15"),TK!$E$7=TH!F807),"x","")</f>
        <v/>
      </c>
      <c r="AD807" s="84" t="str">
        <f>IF(AND(N807="1521",MONTH(C807)='BK-NL'!$M$11),"x","")</f>
        <v/>
      </c>
    </row>
    <row r="808" spans="1:30" ht="15.75" hidden="1" customHeight="1">
      <c r="A808" s="336" t="str">
        <f>IF(B808&lt;&gt;"",IF(AND(B808='IN-TC'!$S$4,OR(TH!N808="1111",TH!O808="1111")),TH!D808,""),"")</f>
        <v/>
      </c>
      <c r="B808" s="63">
        <f t="shared" si="163"/>
        <v>1</v>
      </c>
      <c r="C808" s="64">
        <v>42394</v>
      </c>
      <c r="D808" s="64" t="s">
        <v>705</v>
      </c>
      <c r="E808" s="64">
        <v>42394</v>
      </c>
      <c r="F808" s="73" t="s">
        <v>1445</v>
      </c>
      <c r="G808" s="67" t="s">
        <v>919</v>
      </c>
      <c r="H808" s="73"/>
      <c r="I808" s="439"/>
      <c r="J808" s="439"/>
      <c r="K808" s="430">
        <v>97000</v>
      </c>
      <c r="L808" s="439">
        <v>22360</v>
      </c>
      <c r="M808" s="83">
        <f>ROUND(K808*L808,0)</f>
        <v>2168920000</v>
      </c>
      <c r="N808" s="66" t="s">
        <v>26</v>
      </c>
      <c r="O808" s="66" t="s">
        <v>266</v>
      </c>
      <c r="P808" s="84" t="str">
        <f>IF(AND('331-CT'!$E$7=TH!H808,OR(N808="331",O808="331")),"x","")</f>
        <v/>
      </c>
      <c r="Q808" s="84" t="str">
        <f>IF(AND(B808='111'!$L$11,OR($N808=$Q$7,$O808=$Q$7)),"x","")</f>
        <v/>
      </c>
      <c r="R808" s="84" t="str">
        <f>IF(AND($N808=$Q$7,$B808&lt;'111'!$L$11),"x","")</f>
        <v/>
      </c>
      <c r="S808" s="84" t="str">
        <f>IF(AND($O808=$Q$7,$B808&lt;'111'!$L$11),"x","")</f>
        <v/>
      </c>
      <c r="T808" s="84" t="str">
        <f>IF(ISERROR(FIND('112'!$M$9,G808,1)),"",IF((AND(FIND('112'!$M$9,G808,1)&gt;=1,B808='112'!$K$9,OR($N808='112'!$I$6,$O808='112'!$I$6))),"x",""))</f>
        <v/>
      </c>
      <c r="U808" s="84" t="str">
        <f>IF(ISERROR(FIND('112'!$M$9,G808,1)),"",IF((AND(LEFT(G808,2)=LEFT('112'!$M$9,2),B808&lt;'112'!$K$9,$N808='112'!$I$6)),"x",""))</f>
        <v>x</v>
      </c>
      <c r="V808" s="84" t="str">
        <f>IF(ISERROR(FIND('112'!$M$9,G808,1)),"",IF((AND(RIGHT(G808,2)=RIGHT('112'!$M$9,2),B808&lt;'112'!$K$9,$O808='112'!$I$6)),"x",""))</f>
        <v/>
      </c>
      <c r="W808" s="84" t="str">
        <f>IF(AND('341-CT'!$H$9=H808,OR(LEFT(N808,3)=$W$7,LEFT(O808,3)=$W$7)),"x","")</f>
        <v/>
      </c>
      <c r="X808" s="84" t="str">
        <f>IF(OR(TH!N808=TH!$X$7,O808=TH!$X$7),"x","")</f>
        <v/>
      </c>
      <c r="Y808" s="84" t="str">
        <f>IF(AND(OR(N808="131",O808="131"),H808='131-CT'!$H$9),"x","")</f>
        <v/>
      </c>
      <c r="Z808" s="84"/>
      <c r="AA808" s="84" t="str">
        <f>IF(AND(MONTH(E808)='IN-NX'!$J$5,'IN-NX'!$D$7=D808),"x","")</f>
        <v/>
      </c>
      <c r="AB808" s="84" t="str">
        <f>IF(AND(OR(LEFT(TH!N808,2)="15",LEFT(TH!O808,2)="15"),LEFT(TH!O808,3)&lt;&gt;"111",'152-CT'!$J$8=TH!F808),"x","")</f>
        <v/>
      </c>
      <c r="AC808" s="84" t="str">
        <f>IF(AND(OR(LEFT(TH!N808,2)="15",LEFT(TH!O808,2)="15"),TK!$E$7=TH!F808),"x","")</f>
        <v/>
      </c>
      <c r="AD808" s="84" t="str">
        <f>IF(AND(N808="1521",MONTH(C808)='BK-NL'!$M$11),"x","")</f>
        <v/>
      </c>
    </row>
    <row r="809" spans="1:30" ht="15.75" hidden="1" customHeight="1">
      <c r="A809" s="336" t="str">
        <f>IF(B809&lt;&gt;"",IF(AND(B809='IN-TC'!$S$4,OR(TH!N809="1111",TH!O809="1111")),TH!D809,""),"")</f>
        <v/>
      </c>
      <c r="B809" s="63">
        <f t="shared" si="163"/>
        <v>1</v>
      </c>
      <c r="C809" s="64">
        <v>42394</v>
      </c>
      <c r="D809" s="64" t="s">
        <v>906</v>
      </c>
      <c r="E809" s="64">
        <v>42394</v>
      </c>
      <c r="F809" s="67" t="s">
        <v>746</v>
      </c>
      <c r="G809" s="67" t="s">
        <v>919</v>
      </c>
      <c r="H809" s="74" t="s">
        <v>763</v>
      </c>
      <c r="I809" s="443"/>
      <c r="J809" s="443"/>
      <c r="K809" s="434"/>
      <c r="L809" s="443"/>
      <c r="M809" s="65">
        <v>2168920000</v>
      </c>
      <c r="N809" s="66" t="s">
        <v>63</v>
      </c>
      <c r="O809" s="66" t="s">
        <v>26</v>
      </c>
      <c r="P809" s="84" t="str">
        <f>IF(AND('331-CT'!$E$7=TH!H809,OR(N809="331",O809="331")),"x","")</f>
        <v/>
      </c>
      <c r="Q809" s="84" t="str">
        <f>IF(AND(B809='111'!$L$11,OR($N809=$Q$7,$O809=$Q$7)),"x","")</f>
        <v>x</v>
      </c>
      <c r="R809" s="84" t="str">
        <f>IF(AND($N809=$Q$7,$B809&lt;'111'!$L$11),"x","")</f>
        <v/>
      </c>
      <c r="S809" s="84" t="str">
        <f>IF(AND($O809=$Q$7,$B809&lt;'111'!$L$11),"x","")</f>
        <v/>
      </c>
      <c r="T809" s="84" t="str">
        <f>IF(ISERROR(FIND('112'!$M$9,G809,1)),"",IF((AND(FIND('112'!$M$9,G809,1)&gt;=1,B809='112'!$K$9,OR($N809='112'!$I$6,$O809='112'!$I$6))),"x",""))</f>
        <v/>
      </c>
      <c r="U809" s="84" t="str">
        <f>IF(ISERROR(FIND('112'!$M$9,G809,1)),"",IF((AND(LEFT(G809,2)=LEFT('112'!$M$9,2),B809&lt;'112'!$K$9,$N809='112'!$I$6)),"x",""))</f>
        <v/>
      </c>
      <c r="V809" s="84" t="str">
        <f>IF(ISERROR(FIND('112'!$M$9,G809,1)),"",IF((AND(RIGHT(G809,2)=RIGHT('112'!$M$9,2),B809&lt;'112'!$K$9,$O809='112'!$I$6)),"x",""))</f>
        <v>x</v>
      </c>
      <c r="W809" s="84" t="str">
        <f>IF(AND('341-CT'!$H$9=H809,OR(LEFT(N809,3)=$W$7,LEFT(O809,3)=$W$7)),"x","")</f>
        <v/>
      </c>
      <c r="X809" s="84" t="str">
        <f>IF(OR(TH!N809=TH!$X$7,O809=TH!$X$7),"x","")</f>
        <v/>
      </c>
      <c r="Y809" s="84" t="str">
        <f>IF(AND(OR(N809="131",O809="131"),H809='131-CT'!$H$9),"x","")</f>
        <v/>
      </c>
      <c r="Z809" s="84"/>
      <c r="AA809" s="84" t="str">
        <f>IF(AND(MONTH(E809)='IN-NX'!$J$5,'IN-NX'!$D$7=D809),"x","")</f>
        <v/>
      </c>
      <c r="AB809" s="84" t="str">
        <f>IF(AND(OR(LEFT(TH!N809,2)="15",LEFT(TH!O809,2)="15"),LEFT(TH!O809,3)&lt;&gt;"111",'152-CT'!$J$8=TH!F809),"x","")</f>
        <v/>
      </c>
      <c r="AC809" s="84" t="str">
        <f>IF(AND(OR(LEFT(TH!N809,2)="15",LEFT(TH!O809,2)="15"),TK!$E$7=TH!F809),"x","")</f>
        <v/>
      </c>
      <c r="AD809" s="84" t="str">
        <f>IF(AND(N809="1521",MONTH(C809)='BK-NL'!$M$11),"x","")</f>
        <v/>
      </c>
    </row>
    <row r="810" spans="1:30" ht="15.75" hidden="1" customHeight="1">
      <c r="A810" s="336" t="str">
        <f>IF(B810&lt;&gt;"",IF(AND(B810='IN-TC'!$S$4,OR(TH!N810="1111",TH!O810="1111")),TH!D810,""),"")</f>
        <v/>
      </c>
      <c r="B810" s="63">
        <f t="shared" si="163"/>
        <v>1</v>
      </c>
      <c r="C810" s="64">
        <v>42394</v>
      </c>
      <c r="D810" s="64" t="s">
        <v>908</v>
      </c>
      <c r="E810" s="64">
        <v>42394</v>
      </c>
      <c r="F810" s="67" t="s">
        <v>793</v>
      </c>
      <c r="G810" s="67" t="s">
        <v>838</v>
      </c>
      <c r="H810" s="73" t="s">
        <v>839</v>
      </c>
      <c r="I810" s="439"/>
      <c r="J810" s="439"/>
      <c r="K810" s="430"/>
      <c r="L810" s="439"/>
      <c r="M810" s="65">
        <v>15000000</v>
      </c>
      <c r="N810" s="66" t="s">
        <v>101</v>
      </c>
      <c r="O810" s="66" t="s">
        <v>63</v>
      </c>
      <c r="P810" s="84" t="str">
        <f>IF(AND('331-CT'!$E$7=TH!H810,OR(N810="331",O810="331")),"x","")</f>
        <v/>
      </c>
      <c r="Q810" s="84" t="str">
        <f>IF(AND(B810='111'!$L$11,OR($N810=$Q$7,$O810=$Q$7)),"x","")</f>
        <v>x</v>
      </c>
      <c r="R810" s="84" t="str">
        <f>IF(AND($N810=$Q$7,$B810&lt;'111'!$L$11),"x","")</f>
        <v/>
      </c>
      <c r="S810" s="84" t="str">
        <f>IF(AND($O810=$Q$7,$B810&lt;'111'!$L$11),"x","")</f>
        <v/>
      </c>
      <c r="T810" s="84" t="str">
        <f>IF(ISERROR(FIND('112'!$M$9,G810,1)),"",IF((AND(FIND('112'!$M$9,G810,1)&gt;=1,B810='112'!$K$9,OR($N810='112'!$I$6,$O810='112'!$I$6))),"x",""))</f>
        <v/>
      </c>
      <c r="U810" s="84" t="str">
        <f>IF(ISERROR(FIND('112'!$M$9,G810,1)),"",IF((AND(LEFT(G810,2)=LEFT('112'!$M$9,2),B810&lt;'112'!$K$9,$N810='112'!$I$6)),"x",""))</f>
        <v/>
      </c>
      <c r="V810" s="84" t="str">
        <f>IF(ISERROR(FIND('112'!$M$9,G810,1)),"",IF((AND(RIGHT(G810,2)=RIGHT('112'!$M$9,2),B810&lt;'112'!$K$9,$O810='112'!$I$6)),"x",""))</f>
        <v/>
      </c>
      <c r="W810" s="84" t="str">
        <f>IF(AND('341-CT'!$H$9=H810,OR(LEFT(N810,3)=$W$7,LEFT(O810,3)=$W$7)),"x","")</f>
        <v/>
      </c>
      <c r="X810" s="84" t="str">
        <f>IF(OR(TH!N810=TH!$X$7,O810=TH!$X$7),"x","")</f>
        <v/>
      </c>
      <c r="Y810" s="84" t="str">
        <f>IF(AND(OR(N810="131",O810="131"),H810='131-CT'!$H$9),"x","")</f>
        <v/>
      </c>
      <c r="Z810" s="84"/>
      <c r="AA810" s="84" t="str">
        <f>IF(AND(MONTH(E810)='IN-NX'!$J$5,'IN-NX'!$D$7=D810),"x","")</f>
        <v/>
      </c>
      <c r="AB810" s="84" t="str">
        <f>IF(AND(OR(LEFT(TH!N810,2)="15",LEFT(TH!O810,2)="15"),LEFT(TH!O810,3)&lt;&gt;"111",'152-CT'!$J$8=TH!F810),"x","")</f>
        <v/>
      </c>
      <c r="AC810" s="84" t="str">
        <f>IF(AND(OR(LEFT(TH!N810,2)="15",LEFT(TH!O810,2)="15"),TK!$E$7=TH!F810),"x","")</f>
        <v/>
      </c>
      <c r="AD810" s="84" t="str">
        <f>IF(AND(N810="1521",MONTH(C810)='BK-NL'!$M$11),"x","")</f>
        <v/>
      </c>
    </row>
    <row r="811" spans="1:30" ht="15.75" hidden="1" customHeight="1">
      <c r="A811" s="336" t="str">
        <f>IF(B811&lt;&gt;"",IF(AND(B811='IN-TC'!$S$4,OR(TH!N811="1111",TH!O811="1111")),TH!D811,""),"")</f>
        <v/>
      </c>
      <c r="B811" s="63">
        <f t="shared" si="163"/>
        <v>1</v>
      </c>
      <c r="C811" s="64">
        <v>42394</v>
      </c>
      <c r="D811" s="64" t="s">
        <v>908</v>
      </c>
      <c r="E811" s="64">
        <v>42394</v>
      </c>
      <c r="F811" s="67" t="s">
        <v>794</v>
      </c>
      <c r="G811" s="67" t="s">
        <v>838</v>
      </c>
      <c r="H811" s="73" t="s">
        <v>839</v>
      </c>
      <c r="I811" s="439"/>
      <c r="J811" s="439"/>
      <c r="K811" s="430"/>
      <c r="L811" s="439"/>
      <c r="M811" s="65">
        <v>1500000</v>
      </c>
      <c r="N811" s="66" t="s">
        <v>9</v>
      </c>
      <c r="O811" s="66" t="s">
        <v>63</v>
      </c>
      <c r="P811" s="84" t="str">
        <f>IF(AND('331-CT'!$E$7=TH!H811,OR(N811="331",O811="331")),"x","")</f>
        <v/>
      </c>
      <c r="Q811" s="84" t="str">
        <f>IF(AND(B811='111'!$L$11,OR($N811=$Q$7,$O811=$Q$7)),"x","")</f>
        <v>x</v>
      </c>
      <c r="R811" s="84" t="str">
        <f>IF(AND($N811=$Q$7,$B811&lt;'111'!$L$11),"x","")</f>
        <v/>
      </c>
      <c r="S811" s="84" t="str">
        <f>IF(AND($O811=$Q$7,$B811&lt;'111'!$L$11),"x","")</f>
        <v/>
      </c>
      <c r="T811" s="84" t="str">
        <f>IF(ISERROR(FIND('112'!$M$9,G811,1)),"",IF((AND(FIND('112'!$M$9,G811,1)&gt;=1,B811='112'!$K$9,OR($N811='112'!$I$6,$O811='112'!$I$6))),"x",""))</f>
        <v/>
      </c>
      <c r="U811" s="84" t="str">
        <f>IF(ISERROR(FIND('112'!$M$9,G811,1)),"",IF((AND(LEFT(G811,2)=LEFT('112'!$M$9,2),B811&lt;'112'!$K$9,$N811='112'!$I$6)),"x",""))</f>
        <v/>
      </c>
      <c r="V811" s="84" t="str">
        <f>IF(ISERROR(FIND('112'!$M$9,G811,1)),"",IF((AND(RIGHT(G811,2)=RIGHT('112'!$M$9,2),B811&lt;'112'!$K$9,$O811='112'!$I$6)),"x",""))</f>
        <v/>
      </c>
      <c r="W811" s="84" t="str">
        <f>IF(AND('341-CT'!$H$9=H811,OR(LEFT(N811,3)=$W$7,LEFT(O811,3)=$W$7)),"x","")</f>
        <v/>
      </c>
      <c r="X811" s="84" t="str">
        <f>IF(OR(TH!N811=TH!$X$7,O811=TH!$X$7),"x","")</f>
        <v/>
      </c>
      <c r="Y811" s="84" t="str">
        <f>IF(AND(OR(N811="131",O811="131"),H811='131-CT'!$H$9),"x","")</f>
        <v/>
      </c>
      <c r="Z811" s="84"/>
      <c r="AA811" s="84" t="str">
        <f>IF(AND(MONTH(E811)='IN-NX'!$J$5,'IN-NX'!$D$7=D811),"x","")</f>
        <v/>
      </c>
      <c r="AB811" s="84" t="str">
        <f>IF(AND(OR(LEFT(TH!N811,2)="15",LEFT(TH!O811,2)="15"),LEFT(TH!O811,3)&lt;&gt;"111",'152-CT'!$J$8=TH!F811),"x","")</f>
        <v/>
      </c>
      <c r="AC811" s="84" t="str">
        <f>IF(AND(OR(LEFT(TH!N811,2)="15",LEFT(TH!O811,2)="15"),TK!$E$7=TH!F811),"x","")</f>
        <v/>
      </c>
      <c r="AD811" s="84" t="str">
        <f>IF(AND(N811="1521",MONTH(C811)='BK-NL'!$M$11),"x","")</f>
        <v/>
      </c>
    </row>
    <row r="812" spans="1:30" ht="15.75" hidden="1" customHeight="1">
      <c r="A812" s="336" t="str">
        <f>IF(B812&lt;&gt;"",IF(AND(B812='IN-TC'!$S$4,OR(TH!N812="1111",TH!O812="1111")),TH!D812,""),"")</f>
        <v/>
      </c>
      <c r="B812" s="63">
        <f t="shared" si="163"/>
        <v>1</v>
      </c>
      <c r="C812" s="64">
        <v>42395</v>
      </c>
      <c r="D812" s="64" t="s">
        <v>911</v>
      </c>
      <c r="E812" s="64">
        <v>42395</v>
      </c>
      <c r="F812" s="67" t="s">
        <v>737</v>
      </c>
      <c r="G812" s="67" t="s">
        <v>919</v>
      </c>
      <c r="H812" s="73" t="s">
        <v>764</v>
      </c>
      <c r="I812" s="441"/>
      <c r="J812" s="441"/>
      <c r="K812" s="430"/>
      <c r="L812" s="439"/>
      <c r="M812" s="65">
        <v>45000000</v>
      </c>
      <c r="N812" s="66" t="s">
        <v>26</v>
      </c>
      <c r="O812" s="66" t="s">
        <v>63</v>
      </c>
      <c r="P812" s="84" t="str">
        <f>IF(AND('331-CT'!$E$7=TH!H812,OR(N812="331",O812="331")),"x","")</f>
        <v/>
      </c>
      <c r="Q812" s="84" t="str">
        <f>IF(AND(B812='111'!$L$11,OR($N812=$Q$7,$O812=$Q$7)),"x","")</f>
        <v>x</v>
      </c>
      <c r="R812" s="84" t="str">
        <f>IF(AND($N812=$Q$7,$B812&lt;'111'!$L$11),"x","")</f>
        <v/>
      </c>
      <c r="S812" s="84" t="str">
        <f>IF(AND($O812=$Q$7,$B812&lt;'111'!$L$11),"x","")</f>
        <v/>
      </c>
      <c r="T812" s="84" t="str">
        <f>IF(ISERROR(FIND('112'!$M$9,G812,1)),"",IF((AND(FIND('112'!$M$9,G812,1)&gt;=1,B812='112'!$K$9,OR($N812='112'!$I$6,$O812='112'!$I$6))),"x",""))</f>
        <v/>
      </c>
      <c r="U812" s="84" t="str">
        <f>IF(ISERROR(FIND('112'!$M$9,G812,1)),"",IF((AND(LEFT(G812,2)=LEFT('112'!$M$9,2),B812&lt;'112'!$K$9,$N812='112'!$I$6)),"x",""))</f>
        <v>x</v>
      </c>
      <c r="V812" s="84" t="str">
        <f>IF(ISERROR(FIND('112'!$M$9,G812,1)),"",IF((AND(RIGHT(G812,2)=RIGHT('112'!$M$9,2),B812&lt;'112'!$K$9,$O812='112'!$I$6)),"x",""))</f>
        <v/>
      </c>
      <c r="W812" s="84" t="str">
        <f>IF(AND('341-CT'!$H$9=H812,OR(LEFT(N812,3)=$W$7,LEFT(O812,3)=$W$7)),"x","")</f>
        <v/>
      </c>
      <c r="X812" s="84" t="str">
        <f>IF(OR(TH!N812=TH!$X$7,O812=TH!$X$7),"x","")</f>
        <v/>
      </c>
      <c r="Y812" s="84" t="str">
        <f>IF(AND(OR(N812="131",O812="131"),H812='131-CT'!$H$9),"x","")</f>
        <v/>
      </c>
      <c r="Z812" s="84"/>
      <c r="AA812" s="84" t="str">
        <f>IF(AND(MONTH(E812)='IN-NX'!$J$5,'IN-NX'!$D$7=D812),"x","")</f>
        <v/>
      </c>
      <c r="AB812" s="84" t="str">
        <f>IF(AND(OR(LEFT(TH!N812,2)="15",LEFT(TH!O812,2)="15"),LEFT(TH!O812,3)&lt;&gt;"111",'152-CT'!$J$8=TH!F812),"x","")</f>
        <v/>
      </c>
      <c r="AC812" s="84" t="str">
        <f>IF(AND(OR(LEFT(TH!N812,2)="15",LEFT(TH!O812,2)="15"),TK!$E$7=TH!F812),"x","")</f>
        <v/>
      </c>
      <c r="AD812" s="84" t="str">
        <f>IF(AND(N812="1521",MONTH(C812)='BK-NL'!$M$11),"x","")</f>
        <v/>
      </c>
    </row>
    <row r="813" spans="1:30" ht="15.75" hidden="1" customHeight="1">
      <c r="A813" s="336" t="str">
        <f>IF(B813&lt;&gt;"",IF(AND(B813='IN-TC'!$S$4,OR(TH!N813="1111",TH!O813="1111")),TH!D813,""),"")</f>
        <v/>
      </c>
      <c r="B813" s="63">
        <f t="shared" si="163"/>
        <v>1</v>
      </c>
      <c r="C813" s="64">
        <v>42395</v>
      </c>
      <c r="D813" s="64" t="s">
        <v>705</v>
      </c>
      <c r="E813" s="64">
        <v>42395</v>
      </c>
      <c r="F813" s="67" t="s">
        <v>750</v>
      </c>
      <c r="G813" s="67" t="s">
        <v>919</v>
      </c>
      <c r="H813" s="514" t="s">
        <v>722</v>
      </c>
      <c r="I813" s="439"/>
      <c r="J813" s="439"/>
      <c r="K813" s="430"/>
      <c r="L813" s="439"/>
      <c r="M813" s="65">
        <v>6323855</v>
      </c>
      <c r="N813" s="66" t="s">
        <v>99</v>
      </c>
      <c r="O813" s="66" t="s">
        <v>26</v>
      </c>
      <c r="P813" s="84" t="str">
        <f>IF(AND('331-CT'!$E$7=TH!H813,OR(N813="331",O813="331")),"x","")</f>
        <v/>
      </c>
      <c r="Q813" s="84" t="str">
        <f>IF(AND(B813='111'!$L$11,OR($N813=$Q$7,$O813=$Q$7)),"x","")</f>
        <v/>
      </c>
      <c r="R813" s="84" t="str">
        <f>IF(AND($N813=$Q$7,$B813&lt;'111'!$L$11),"x","")</f>
        <v/>
      </c>
      <c r="S813" s="84" t="str">
        <f>IF(AND($O813=$Q$7,$B813&lt;'111'!$L$11),"x","")</f>
        <v/>
      </c>
      <c r="T813" s="84" t="str">
        <f>IF(ISERROR(FIND('112'!$M$9,G813,1)),"",IF((AND(FIND('112'!$M$9,G813,1)&gt;=1,B813='112'!$K$9,OR($N813='112'!$I$6,$O813='112'!$I$6))),"x",""))</f>
        <v/>
      </c>
      <c r="U813" s="84" t="str">
        <f>IF(ISERROR(FIND('112'!$M$9,G813,1)),"",IF((AND(LEFT(G813,2)=LEFT('112'!$M$9,2),B813&lt;'112'!$K$9,$N813='112'!$I$6)),"x",""))</f>
        <v/>
      </c>
      <c r="V813" s="84" t="str">
        <f>IF(ISERROR(FIND('112'!$M$9,G813,1)),"",IF((AND(RIGHT(G813,2)=RIGHT('112'!$M$9,2),B813&lt;'112'!$K$9,$O813='112'!$I$6)),"x",""))</f>
        <v>x</v>
      </c>
      <c r="W813" s="84" t="str">
        <f>IF(AND('341-CT'!$H$9=H813,OR(LEFT(N813,3)=$W$7,LEFT(O813,3)=$W$7)),"x","")</f>
        <v/>
      </c>
      <c r="X813" s="84" t="str">
        <f>IF(OR(TH!N813=TH!$X$7,O813=TH!$X$7),"x","")</f>
        <v/>
      </c>
      <c r="Y813" s="84" t="str">
        <f>IF(AND(OR(N813="131",O813="131"),H813='131-CT'!$H$9),"x","")</f>
        <v/>
      </c>
      <c r="Z813" s="84"/>
      <c r="AA813" s="84" t="str">
        <f>IF(AND(MONTH(E813)='IN-NX'!$J$5,'IN-NX'!$D$7=D813),"x","")</f>
        <v/>
      </c>
      <c r="AB813" s="84" t="str">
        <f>IF(AND(OR(LEFT(TH!N813,2)="15",LEFT(TH!O813,2)="15"),LEFT(TH!O813,3)&lt;&gt;"111",'152-CT'!$J$8=TH!F813),"x","")</f>
        <v/>
      </c>
      <c r="AC813" s="84" t="str">
        <f>IF(AND(OR(LEFT(TH!N813,2)="15",LEFT(TH!O813,2)="15"),TK!$E$7=TH!F813),"x","")</f>
        <v/>
      </c>
      <c r="AD813" s="84" t="str">
        <f>IF(AND(N813="1521",MONTH(C813)='BK-NL'!$M$11),"x","")</f>
        <v/>
      </c>
    </row>
    <row r="814" spans="1:30" ht="15.75" hidden="1" customHeight="1">
      <c r="A814" s="336" t="str">
        <f>IF(B814&lt;&gt;"",IF(AND(B814='IN-TC'!$S$4,OR(TH!N814="1111",TH!O814="1111")),TH!D814,""),"")</f>
        <v/>
      </c>
      <c r="B814" s="63">
        <f t="shared" si="163"/>
        <v>1</v>
      </c>
      <c r="C814" s="64">
        <v>42395</v>
      </c>
      <c r="D814" s="64" t="s">
        <v>705</v>
      </c>
      <c r="E814" s="64">
        <v>42395</v>
      </c>
      <c r="F814" s="514" t="s">
        <v>751</v>
      </c>
      <c r="G814" s="67" t="s">
        <v>919</v>
      </c>
      <c r="H814" s="514" t="s">
        <v>725</v>
      </c>
      <c r="I814" s="439"/>
      <c r="J814" s="439"/>
      <c r="K814" s="430"/>
      <c r="L814" s="439"/>
      <c r="M814" s="65">
        <v>6902308</v>
      </c>
      <c r="N814" s="66" t="s">
        <v>99</v>
      </c>
      <c r="O814" s="66" t="s">
        <v>26</v>
      </c>
      <c r="P814" s="84" t="str">
        <f>IF(AND('331-CT'!$E$7=TH!H814,OR(N814="331",O814="331")),"x","")</f>
        <v/>
      </c>
      <c r="Q814" s="84" t="str">
        <f>IF(AND(B814='111'!$L$11,OR($N814=$Q$7,$O814=$Q$7)),"x","")</f>
        <v/>
      </c>
      <c r="R814" s="84" t="str">
        <f>IF(AND($N814=$Q$7,$B814&lt;'111'!$L$11),"x","")</f>
        <v/>
      </c>
      <c r="S814" s="84" t="str">
        <f>IF(AND($O814=$Q$7,$B814&lt;'111'!$L$11),"x","")</f>
        <v/>
      </c>
      <c r="T814" s="84" t="str">
        <f>IF(ISERROR(FIND('112'!$M$9,G814,1)),"",IF((AND(FIND('112'!$M$9,G814,1)&gt;=1,B814='112'!$K$9,OR($N814='112'!$I$6,$O814='112'!$I$6))),"x",""))</f>
        <v/>
      </c>
      <c r="U814" s="84" t="str">
        <f>IF(ISERROR(FIND('112'!$M$9,G814,1)),"",IF((AND(LEFT(G814,2)=LEFT('112'!$M$9,2),B814&lt;'112'!$K$9,$N814='112'!$I$6)),"x",""))</f>
        <v/>
      </c>
      <c r="V814" s="84" t="str">
        <f>IF(ISERROR(FIND('112'!$M$9,G814,1)),"",IF((AND(RIGHT(G814,2)=RIGHT('112'!$M$9,2),B814&lt;'112'!$K$9,$O814='112'!$I$6)),"x",""))</f>
        <v>x</v>
      </c>
      <c r="W814" s="84" t="str">
        <f>IF(AND('341-CT'!$H$9=H814,OR(LEFT(N814,3)=$W$7,LEFT(O814,3)=$W$7)),"x","")</f>
        <v/>
      </c>
      <c r="X814" s="84" t="str">
        <f>IF(OR(TH!N814=TH!$X$7,O814=TH!$X$7),"x","")</f>
        <v/>
      </c>
      <c r="Y814" s="84" t="str">
        <f>IF(AND(OR(N814="131",O814="131"),H814='131-CT'!$H$9),"x","")</f>
        <v/>
      </c>
      <c r="Z814" s="84"/>
      <c r="AA814" s="84" t="str">
        <f>IF(AND(MONTH(E814)='IN-NX'!$J$5,'IN-NX'!$D$7=D814),"x","")</f>
        <v/>
      </c>
      <c r="AB814" s="84" t="str">
        <f>IF(AND(OR(LEFT(TH!N814,2)="15",LEFT(TH!O814,2)="15"),LEFT(TH!O814,3)&lt;&gt;"111",'152-CT'!$J$8=TH!F814),"x","")</f>
        <v/>
      </c>
      <c r="AC814" s="84" t="str">
        <f>IF(AND(OR(LEFT(TH!N814,2)="15",LEFT(TH!O814,2)="15"),TK!$E$7=TH!F814),"x","")</f>
        <v/>
      </c>
      <c r="AD814" s="84" t="str">
        <f>IF(AND(N814="1521",MONTH(C814)='BK-NL'!$M$11),"x","")</f>
        <v/>
      </c>
    </row>
    <row r="815" spans="1:30" ht="15.75" hidden="1" customHeight="1">
      <c r="A815" s="336" t="str">
        <f>IF(B815&lt;&gt;"",IF(AND(B815='IN-TC'!$S$4,OR(TH!N815="1111",TH!O815="1111")),TH!D815,""),"")</f>
        <v/>
      </c>
      <c r="B815" s="63">
        <f t="shared" si="163"/>
        <v>1</v>
      </c>
      <c r="C815" s="64">
        <v>42395</v>
      </c>
      <c r="D815" s="64" t="s">
        <v>705</v>
      </c>
      <c r="E815" s="64">
        <v>42395</v>
      </c>
      <c r="F815" s="514" t="s">
        <v>752</v>
      </c>
      <c r="G815" s="67" t="s">
        <v>919</v>
      </c>
      <c r="H815" s="514" t="s">
        <v>726</v>
      </c>
      <c r="I815" s="443"/>
      <c r="J815" s="439"/>
      <c r="K815" s="434"/>
      <c r="L815" s="443"/>
      <c r="M815" s="65">
        <v>6863849</v>
      </c>
      <c r="N815" s="66" t="s">
        <v>99</v>
      </c>
      <c r="O815" s="66" t="s">
        <v>26</v>
      </c>
      <c r="P815" s="84" t="str">
        <f>IF(AND('331-CT'!$E$7=TH!H815,OR(N815="331",O815="331")),"x","")</f>
        <v/>
      </c>
      <c r="Q815" s="84" t="str">
        <f>IF(AND(B815='111'!$L$11,OR($N815=$Q$7,$O815=$Q$7)),"x","")</f>
        <v/>
      </c>
      <c r="R815" s="84" t="str">
        <f>IF(AND($N815=$Q$7,$B815&lt;'111'!$L$11),"x","")</f>
        <v/>
      </c>
      <c r="S815" s="84" t="str">
        <f>IF(AND($O815=$Q$7,$B815&lt;'111'!$L$11),"x","")</f>
        <v/>
      </c>
      <c r="T815" s="84" t="str">
        <f>IF(ISERROR(FIND('112'!$M$9,G815,1)),"",IF((AND(FIND('112'!$M$9,G815,1)&gt;=1,B815='112'!$K$9,OR($N815='112'!$I$6,$O815='112'!$I$6))),"x",""))</f>
        <v/>
      </c>
      <c r="U815" s="84" t="str">
        <f>IF(ISERROR(FIND('112'!$M$9,G815,1)),"",IF((AND(LEFT(G815,2)=LEFT('112'!$M$9,2),B815&lt;'112'!$K$9,$N815='112'!$I$6)),"x",""))</f>
        <v/>
      </c>
      <c r="V815" s="84" t="str">
        <f>IF(ISERROR(FIND('112'!$M$9,G815,1)),"",IF((AND(RIGHT(G815,2)=RIGHT('112'!$M$9,2),B815&lt;'112'!$K$9,$O815='112'!$I$6)),"x",""))</f>
        <v>x</v>
      </c>
      <c r="W815" s="84" t="str">
        <f>IF(AND('341-CT'!$H$9=H815,OR(LEFT(N815,3)=$W$7,LEFT(O815,3)=$W$7)),"x","")</f>
        <v/>
      </c>
      <c r="X815" s="84" t="str">
        <f>IF(OR(TH!N815=TH!$X$7,O815=TH!$X$7),"x","")</f>
        <v/>
      </c>
      <c r="Y815" s="84" t="str">
        <f>IF(AND(OR(N815="131",O815="131"),H815='131-CT'!$H$9),"x","")</f>
        <v/>
      </c>
      <c r="Z815" s="84"/>
      <c r="AA815" s="84" t="str">
        <f>IF(AND(MONTH(E815)='IN-NX'!$J$5,'IN-NX'!$D$7=D815),"x","")</f>
        <v/>
      </c>
      <c r="AB815" s="84" t="str">
        <f>IF(AND(OR(LEFT(TH!N815,2)="15",LEFT(TH!O815,2)="15"),LEFT(TH!O815,3)&lt;&gt;"111",'152-CT'!$J$8=TH!F815),"x","")</f>
        <v/>
      </c>
      <c r="AC815" s="84" t="str">
        <f>IF(AND(OR(LEFT(TH!N815,2)="15",LEFT(TH!O815,2)="15"),TK!$E$7=TH!F815),"x","")</f>
        <v/>
      </c>
      <c r="AD815" s="84" t="str">
        <f>IF(AND(N815="1521",MONTH(C815)='BK-NL'!$M$11),"x","")</f>
        <v/>
      </c>
    </row>
    <row r="816" spans="1:30" ht="15.75" hidden="1" customHeight="1">
      <c r="A816" s="336" t="str">
        <f>IF(B816&lt;&gt;"",IF(AND(B816='IN-TC'!$S$4,OR(TH!N816="1111",TH!O816="1111")),TH!D816,""),"")</f>
        <v/>
      </c>
      <c r="B816" s="63">
        <f t="shared" si="163"/>
        <v>1</v>
      </c>
      <c r="C816" s="64">
        <v>42395</v>
      </c>
      <c r="D816" s="64" t="s">
        <v>705</v>
      </c>
      <c r="E816" s="64">
        <v>42395</v>
      </c>
      <c r="F816" s="514" t="s">
        <v>753</v>
      </c>
      <c r="G816" s="67" t="s">
        <v>919</v>
      </c>
      <c r="H816" s="514" t="s">
        <v>733</v>
      </c>
      <c r="I816" s="439"/>
      <c r="J816" s="439"/>
      <c r="K816" s="430"/>
      <c r="L816" s="439"/>
      <c r="M816" s="65">
        <v>8954733</v>
      </c>
      <c r="N816" s="66" t="s">
        <v>99</v>
      </c>
      <c r="O816" s="66" t="s">
        <v>26</v>
      </c>
      <c r="P816" s="84" t="str">
        <f>IF(AND('331-CT'!$E$7=TH!H816,OR(N816="331",O816="331")),"x","")</f>
        <v/>
      </c>
      <c r="Q816" s="84" t="str">
        <f>IF(AND(B816='111'!$L$11,OR($N816=$Q$7,$O816=$Q$7)),"x","")</f>
        <v/>
      </c>
      <c r="R816" s="84" t="str">
        <f>IF(AND($N816=$Q$7,$B816&lt;'111'!$L$11),"x","")</f>
        <v/>
      </c>
      <c r="S816" s="84" t="str">
        <f>IF(AND($O816=$Q$7,$B816&lt;'111'!$L$11),"x","")</f>
        <v/>
      </c>
      <c r="T816" s="84" t="str">
        <f>IF(ISERROR(FIND('112'!$M$9,G816,1)),"",IF((AND(FIND('112'!$M$9,G816,1)&gt;=1,B816='112'!$K$9,OR($N816='112'!$I$6,$O816='112'!$I$6))),"x",""))</f>
        <v/>
      </c>
      <c r="U816" s="84" t="str">
        <f>IF(ISERROR(FIND('112'!$M$9,G816,1)),"",IF((AND(LEFT(G816,2)=LEFT('112'!$M$9,2),B816&lt;'112'!$K$9,$N816='112'!$I$6)),"x",""))</f>
        <v/>
      </c>
      <c r="V816" s="84" t="str">
        <f>IF(ISERROR(FIND('112'!$M$9,G816,1)),"",IF((AND(RIGHT(G816,2)=RIGHT('112'!$M$9,2),B816&lt;'112'!$K$9,$O816='112'!$I$6)),"x",""))</f>
        <v>x</v>
      </c>
      <c r="W816" s="84" t="str">
        <f>IF(AND('341-CT'!$H$9=H816,OR(LEFT(N816,3)=$W$7,LEFT(O816,3)=$W$7)),"x","")</f>
        <v/>
      </c>
      <c r="X816" s="84" t="str">
        <f>IF(OR(TH!N816=TH!$X$7,O816=TH!$X$7),"x","")</f>
        <v/>
      </c>
      <c r="Y816" s="84" t="str">
        <f>IF(AND(OR(N816="131",O816="131"),H816='131-CT'!$H$9),"x","")</f>
        <v/>
      </c>
      <c r="Z816" s="84"/>
      <c r="AA816" s="84" t="str">
        <f>IF(AND(MONTH(E816)='IN-NX'!$J$5,'IN-NX'!$D$7=D816),"x","")</f>
        <v/>
      </c>
      <c r="AB816" s="84" t="str">
        <f>IF(AND(OR(LEFT(TH!N816,2)="15",LEFT(TH!O816,2)="15"),LEFT(TH!O816,3)&lt;&gt;"111",'152-CT'!$J$8=TH!F816),"x","")</f>
        <v/>
      </c>
      <c r="AC816" s="84" t="str">
        <f>IF(AND(OR(LEFT(TH!N816,2)="15",LEFT(TH!O816,2)="15"),TK!$E$7=TH!F816),"x","")</f>
        <v/>
      </c>
      <c r="AD816" s="84" t="str">
        <f>IF(AND(N816="1521",MONTH(C816)='BK-NL'!$M$11),"x","")</f>
        <v/>
      </c>
    </row>
    <row r="817" spans="1:30" ht="15.75" hidden="1" customHeight="1">
      <c r="A817" s="336" t="str">
        <f>IF(B817&lt;&gt;"",IF(AND(B817='IN-TC'!$S$4,OR(TH!N817="1111",TH!O817="1111")),TH!D817,""),"")</f>
        <v/>
      </c>
      <c r="B817" s="63">
        <f t="shared" si="163"/>
        <v>1</v>
      </c>
      <c r="C817" s="64">
        <v>42395</v>
      </c>
      <c r="D817" s="64" t="s">
        <v>705</v>
      </c>
      <c r="E817" s="64">
        <v>42395</v>
      </c>
      <c r="F817" s="514" t="s">
        <v>754</v>
      </c>
      <c r="G817" s="67" t="s">
        <v>919</v>
      </c>
      <c r="H817" s="514" t="s">
        <v>727</v>
      </c>
      <c r="I817" s="439"/>
      <c r="J817" s="439"/>
      <c r="K817" s="430"/>
      <c r="L817" s="439"/>
      <c r="M817" s="65">
        <v>10627708</v>
      </c>
      <c r="N817" s="66" t="s">
        <v>99</v>
      </c>
      <c r="O817" s="66" t="s">
        <v>26</v>
      </c>
      <c r="P817" s="84" t="str">
        <f>IF(AND('331-CT'!$E$7=TH!H817,OR(N817="331",O817="331")),"x","")</f>
        <v/>
      </c>
      <c r="Q817" s="84" t="str">
        <f>IF(AND(B817='111'!$L$11,OR($N817=$Q$7,$O817=$Q$7)),"x","")</f>
        <v/>
      </c>
      <c r="R817" s="84" t="str">
        <f>IF(AND($N817=$Q$7,$B817&lt;'111'!$L$11),"x","")</f>
        <v/>
      </c>
      <c r="S817" s="84" t="str">
        <f>IF(AND($O817=$Q$7,$B817&lt;'111'!$L$11),"x","")</f>
        <v/>
      </c>
      <c r="T817" s="84" t="str">
        <f>IF(ISERROR(FIND('112'!$M$9,G817,1)),"",IF((AND(FIND('112'!$M$9,G817,1)&gt;=1,B817='112'!$K$9,OR($N817='112'!$I$6,$O817='112'!$I$6))),"x",""))</f>
        <v/>
      </c>
      <c r="U817" s="84" t="str">
        <f>IF(ISERROR(FIND('112'!$M$9,G817,1)),"",IF((AND(LEFT(G817,2)=LEFT('112'!$M$9,2),B817&lt;'112'!$K$9,$N817='112'!$I$6)),"x",""))</f>
        <v/>
      </c>
      <c r="V817" s="84" t="str">
        <f>IF(ISERROR(FIND('112'!$M$9,G817,1)),"",IF((AND(RIGHT(G817,2)=RIGHT('112'!$M$9,2),B817&lt;'112'!$K$9,$O817='112'!$I$6)),"x",""))</f>
        <v>x</v>
      </c>
      <c r="W817" s="84" t="str">
        <f>IF(AND('341-CT'!$H$9=H817,OR(LEFT(N817,3)=$W$7,LEFT(O817,3)=$W$7)),"x","")</f>
        <v/>
      </c>
      <c r="X817" s="84" t="str">
        <f>IF(OR(TH!N817=TH!$X$7,O817=TH!$X$7),"x","")</f>
        <v/>
      </c>
      <c r="Y817" s="84" t="str">
        <f>IF(AND(OR(N817="131",O817="131"),H817='131-CT'!$H$9),"x","")</f>
        <v/>
      </c>
      <c r="Z817" s="84"/>
      <c r="AA817" s="84" t="str">
        <f>IF(AND(MONTH(E817)='IN-NX'!$J$5,'IN-NX'!$D$7=D817),"x","")</f>
        <v/>
      </c>
      <c r="AB817" s="84" t="str">
        <f>IF(AND(OR(LEFT(TH!N817,2)="15",LEFT(TH!O817,2)="15"),LEFT(TH!O817,3)&lt;&gt;"111",'152-CT'!$J$8=TH!F817),"x","")</f>
        <v/>
      </c>
      <c r="AC817" s="84" t="str">
        <f>IF(AND(OR(LEFT(TH!N817,2)="15",LEFT(TH!O817,2)="15"),TK!$E$7=TH!F817),"x","")</f>
        <v/>
      </c>
      <c r="AD817" s="84" t="str">
        <f>IF(AND(N817="1521",MONTH(C817)='BK-NL'!$M$11),"x","")</f>
        <v/>
      </c>
    </row>
    <row r="818" spans="1:30" ht="15.75" hidden="1" customHeight="1">
      <c r="A818" s="336" t="str">
        <f>IF(B818&lt;&gt;"",IF(AND(B818='IN-TC'!$S$4,OR(TH!N818="1111",TH!O818="1111")),TH!D818,""),"")</f>
        <v/>
      </c>
      <c r="B818" s="63">
        <f t="shared" si="163"/>
        <v>1</v>
      </c>
      <c r="C818" s="64">
        <v>42396</v>
      </c>
      <c r="D818" s="64" t="s">
        <v>702</v>
      </c>
      <c r="E818" s="64">
        <v>42396</v>
      </c>
      <c r="F818" s="514" t="s">
        <v>707</v>
      </c>
      <c r="G818" s="67" t="s">
        <v>919</v>
      </c>
      <c r="H818" s="73" t="s">
        <v>598</v>
      </c>
      <c r="I818" s="439"/>
      <c r="J818" s="439"/>
      <c r="K818" s="430">
        <v>39553.120000000003</v>
      </c>
      <c r="L818" s="439">
        <v>22310</v>
      </c>
      <c r="M818" s="83">
        <f>ROUND(K818*L818,0)</f>
        <v>882430107</v>
      </c>
      <c r="N818" s="66" t="s">
        <v>266</v>
      </c>
      <c r="O818" s="66" t="s">
        <v>588</v>
      </c>
      <c r="P818" s="84" t="str">
        <f>IF(AND('331-CT'!$E$7=TH!H818,OR(N818="331",O818="331")),"x","")</f>
        <v/>
      </c>
      <c r="Q818" s="84" t="str">
        <f>IF(AND(B818='111'!$L$11,OR($N818=$Q$7,$O818=$Q$7)),"x","")</f>
        <v/>
      </c>
      <c r="R818" s="84" t="str">
        <f>IF(AND($N818=$Q$7,$B818&lt;'111'!$L$11),"x","")</f>
        <v/>
      </c>
      <c r="S818" s="84" t="str">
        <f>IF(AND($O818=$Q$7,$B818&lt;'111'!$L$11),"x","")</f>
        <v/>
      </c>
      <c r="T818" s="84" t="str">
        <f>IF(ISERROR(FIND('112'!$M$9,G818,1)),"",IF((AND(FIND('112'!$M$9,G818,1)&gt;=1,B818='112'!$K$9,OR($N818='112'!$I$6,$O818='112'!$I$6))),"x",""))</f>
        <v/>
      </c>
      <c r="U818" s="84" t="str">
        <f>IF(ISERROR(FIND('112'!$M$9,G818,1)),"",IF((AND(LEFT(G818,2)=LEFT('112'!$M$9,2),B818&lt;'112'!$K$9,$N818='112'!$I$6)),"x",""))</f>
        <v/>
      </c>
      <c r="V818" s="84" t="str">
        <f>IF(ISERROR(FIND('112'!$M$9,G818,1)),"",IF((AND(RIGHT(G818,2)=RIGHT('112'!$M$9,2),B818&lt;'112'!$K$9,$O818='112'!$I$6)),"x",""))</f>
        <v/>
      </c>
      <c r="W818" s="84" t="str">
        <f>IF(AND('341-CT'!$H$9=H818,OR(LEFT(N818,3)=$W$7,LEFT(O818,3)=$W$7)),"x","")</f>
        <v/>
      </c>
      <c r="X818" s="84" t="str">
        <f>IF(OR(TH!N818=TH!$X$7,O818=TH!$X$7),"x","")</f>
        <v/>
      </c>
      <c r="Y818" s="84" t="str">
        <f>IF(AND(OR(N818="131",O818="131"),H818='131-CT'!$H$9),"x","")</f>
        <v/>
      </c>
      <c r="Z818" s="84"/>
      <c r="AA818" s="84" t="str">
        <f>IF(AND(MONTH(E818)='IN-NX'!$J$5,'IN-NX'!$D$7=D818),"x","")</f>
        <v/>
      </c>
      <c r="AB818" s="84" t="str">
        <f>IF(AND(OR(LEFT(TH!N818,2)="15",LEFT(TH!O818,2)="15"),LEFT(TH!O818,3)&lt;&gt;"111",'152-CT'!$J$8=TH!F818),"x","")</f>
        <v/>
      </c>
      <c r="AC818" s="84" t="str">
        <f>IF(AND(OR(LEFT(TH!N818,2)="15",LEFT(TH!O818,2)="15"),TK!$E$7=TH!F818),"x","")</f>
        <v/>
      </c>
      <c r="AD818" s="84" t="str">
        <f>IF(AND(N818="1521",MONTH(C818)='BK-NL'!$M$11),"x","")</f>
        <v/>
      </c>
    </row>
    <row r="819" spans="1:30" s="341" customFormat="1" ht="15.75" hidden="1" customHeight="1">
      <c r="A819" s="336" t="str">
        <f>IF(B819&lt;&gt;"",IF(AND(B819='IN-TC'!$S$4,OR(TH!N819="1111",TH!O819="1111")),TH!D819,""),"")</f>
        <v/>
      </c>
      <c r="B819" s="63">
        <f t="shared" si="163"/>
        <v>1</v>
      </c>
      <c r="C819" s="64">
        <f>E819</f>
        <v>42396</v>
      </c>
      <c r="D819" s="64" t="s">
        <v>582</v>
      </c>
      <c r="E819" s="64">
        <v>42396</v>
      </c>
      <c r="F819" s="514" t="s">
        <v>614</v>
      </c>
      <c r="G819" s="67" t="s">
        <v>919</v>
      </c>
      <c r="H819" s="73" t="s">
        <v>598</v>
      </c>
      <c r="I819" s="439"/>
      <c r="J819" s="439"/>
      <c r="K819" s="430">
        <v>11</v>
      </c>
      <c r="L819" s="439">
        <v>22310</v>
      </c>
      <c r="M819" s="65">
        <f>ROUND(K819*L819,0)</f>
        <v>245410</v>
      </c>
      <c r="N819" s="66" t="s">
        <v>101</v>
      </c>
      <c r="O819" s="66" t="s">
        <v>588</v>
      </c>
      <c r="P819" s="84" t="str">
        <f>IF(AND('331-CT'!$E$7=TH!H819,OR(N819="331",O819="331")),"x","")</f>
        <v/>
      </c>
      <c r="Q819" s="84" t="str">
        <f>IF(AND(B819='111'!$L$11,OR($N819=$Q$7,$O819=$Q$7)),"x","")</f>
        <v/>
      </c>
      <c r="R819" s="84" t="str">
        <f>IF(AND($N819=$Q$7,$B819&lt;'111'!$L$11),"x","")</f>
        <v/>
      </c>
      <c r="S819" s="84" t="str">
        <f>IF(AND($O819=$Q$7,$B819&lt;'111'!$L$11),"x","")</f>
        <v/>
      </c>
      <c r="T819" s="84" t="str">
        <f>IF(ISERROR(FIND('112'!$M$9,G819,1)),"",IF((AND(FIND('112'!$M$9,G819,1)&gt;=1,B819='112'!$K$9,OR($N819='112'!$I$6,$O819='112'!$I$6))),"x",""))</f>
        <v/>
      </c>
      <c r="U819" s="84" t="str">
        <f>IF(ISERROR(FIND('112'!$M$9,G819,1)),"",IF((AND(LEFT(G819,2)=LEFT('112'!$M$9,2),B819&lt;'112'!$K$9,$N819='112'!$I$6)),"x",""))</f>
        <v/>
      </c>
      <c r="V819" s="84" t="str">
        <f>IF(ISERROR(FIND('112'!$M$9,G819,1)),"",IF((AND(RIGHT(G819,2)=RIGHT('112'!$M$9,2),B819&lt;'112'!$K$9,$O819='112'!$I$6)),"x",""))</f>
        <v/>
      </c>
      <c r="W819" s="84" t="str">
        <f>IF(AND('341-CT'!$H$9=H819,OR(LEFT(N819,3)=$W$7,LEFT(O819,3)=$W$7)),"x","")</f>
        <v/>
      </c>
      <c r="X819" s="84" t="str">
        <f>IF(OR(TH!N819=TH!$X$7,O819=TH!$X$7),"x","")</f>
        <v/>
      </c>
      <c r="Y819" s="84" t="str">
        <f>IF(AND(OR(N819="131",O819="131"),H819='131-CT'!$H$9),"x","")</f>
        <v/>
      </c>
      <c r="Z819" s="84"/>
      <c r="AA819" s="84" t="str">
        <f>IF(AND(MONTH(E819)='IN-NX'!$J$5,'IN-NX'!$D$7=D819),"x","")</f>
        <v/>
      </c>
      <c r="AB819" s="84" t="str">
        <f>IF(AND(OR(LEFT(TH!N819,2)="15",LEFT(TH!O819,2)="15"),LEFT(TH!O819,3)&lt;&gt;"111",'152-CT'!$J$8=TH!F819),"x","")</f>
        <v/>
      </c>
      <c r="AC819" s="84" t="str">
        <f>IF(AND(OR(LEFT(TH!N819,2)="15",LEFT(TH!O819,2)="15"),TK!$E$7=TH!F819),"x","")</f>
        <v/>
      </c>
      <c r="AD819" s="84" t="str">
        <f>IF(AND(N819="1521",MONTH(C819)='BK-NL'!$M$11),"x","")</f>
        <v/>
      </c>
    </row>
    <row r="820" spans="1:30" s="341" customFormat="1" ht="15.75" hidden="1" customHeight="1">
      <c r="A820" s="336" t="str">
        <f>IF(B820&lt;&gt;"",IF(AND(B820='IN-TC'!$S$4,OR(TH!N820="1111",TH!O820="1111")),TH!D820,""),"")</f>
        <v/>
      </c>
      <c r="B820" s="63">
        <f t="shared" si="163"/>
        <v>1</v>
      </c>
      <c r="C820" s="64">
        <f>E820</f>
        <v>42396</v>
      </c>
      <c r="D820" s="64" t="s">
        <v>582</v>
      </c>
      <c r="E820" s="64">
        <v>42396</v>
      </c>
      <c r="F820" s="514" t="s">
        <v>615</v>
      </c>
      <c r="G820" s="67" t="s">
        <v>919</v>
      </c>
      <c r="H820" s="73" t="s">
        <v>598</v>
      </c>
      <c r="I820" s="439"/>
      <c r="J820" s="439"/>
      <c r="K820" s="430">
        <v>30.38</v>
      </c>
      <c r="L820" s="439">
        <v>22310</v>
      </c>
      <c r="M820" s="65">
        <f>ROUND(K820*L820,0)</f>
        <v>677778</v>
      </c>
      <c r="N820" s="66" t="s">
        <v>101</v>
      </c>
      <c r="O820" s="66" t="s">
        <v>588</v>
      </c>
      <c r="P820" s="84" t="str">
        <f>IF(AND('331-CT'!$E$7=TH!H820,OR(N820="331",O820="331")),"x","")</f>
        <v/>
      </c>
      <c r="Q820" s="84" t="str">
        <f>IF(AND(B820='111'!$L$11,OR($N820=$Q$7,$O820=$Q$7)),"x","")</f>
        <v/>
      </c>
      <c r="R820" s="84" t="str">
        <f>IF(AND($N820=$Q$7,$B820&lt;'111'!$L$11),"x","")</f>
        <v/>
      </c>
      <c r="S820" s="84" t="str">
        <f>IF(AND($O820=$Q$7,$B820&lt;'111'!$L$11),"x","")</f>
        <v/>
      </c>
      <c r="T820" s="84" t="str">
        <f>IF(ISERROR(FIND('112'!$M$9,G820,1)),"",IF((AND(FIND('112'!$M$9,G820,1)&gt;=1,B820='112'!$K$9,OR($N820='112'!$I$6,$O820='112'!$I$6))),"x",""))</f>
        <v/>
      </c>
      <c r="U820" s="84" t="str">
        <f>IF(ISERROR(FIND('112'!$M$9,G820,1)),"",IF((AND(LEFT(G820,2)=LEFT('112'!$M$9,2),B820&lt;'112'!$K$9,$N820='112'!$I$6)),"x",""))</f>
        <v/>
      </c>
      <c r="V820" s="84" t="str">
        <f>IF(ISERROR(FIND('112'!$M$9,G820,1)),"",IF((AND(RIGHT(G820,2)=RIGHT('112'!$M$9,2),B820&lt;'112'!$K$9,$O820='112'!$I$6)),"x",""))</f>
        <v/>
      </c>
      <c r="W820" s="84" t="str">
        <f>IF(AND('341-CT'!$H$9=H820,OR(LEFT(N820,3)=$W$7,LEFT(O820,3)=$W$7)),"x","")</f>
        <v/>
      </c>
      <c r="X820" s="84" t="str">
        <f>IF(OR(TH!N820=TH!$X$7,O820=TH!$X$7),"x","")</f>
        <v/>
      </c>
      <c r="Y820" s="84" t="str">
        <f>IF(AND(OR(N820="131",O820="131"),H820='131-CT'!$H$9),"x","")</f>
        <v/>
      </c>
      <c r="Z820" s="84"/>
      <c r="AA820" s="84" t="str">
        <f>IF(AND(MONTH(E820)='IN-NX'!$J$5,'IN-NX'!$D$7=D820),"x","")</f>
        <v/>
      </c>
      <c r="AB820" s="84" t="str">
        <f>IF(AND(OR(LEFT(TH!N820,2)="15",LEFT(TH!O820,2)="15"),LEFT(TH!O820,3)&lt;&gt;"111",'152-CT'!$J$8=TH!F820),"x","")</f>
        <v/>
      </c>
      <c r="AC820" s="84" t="str">
        <f>IF(AND(OR(LEFT(TH!N820,2)="15",LEFT(TH!O820,2)="15"),TK!$E$7=TH!F820),"x","")</f>
        <v/>
      </c>
      <c r="AD820" s="84" t="str">
        <f>IF(AND(N820="1521",MONTH(C820)='BK-NL'!$M$11),"x","")</f>
        <v/>
      </c>
    </row>
    <row r="821" spans="1:30" s="341" customFormat="1" ht="15.75" hidden="1" customHeight="1">
      <c r="A821" s="336" t="str">
        <f>IF(B821&lt;&gt;"",IF(AND(B821='IN-TC'!$S$4,OR(TH!N821="1111",TH!O821="1111")),TH!D821,""),"")</f>
        <v/>
      </c>
      <c r="B821" s="63">
        <f t="shared" si="163"/>
        <v>1</v>
      </c>
      <c r="C821" s="64">
        <f>E821</f>
        <v>42396</v>
      </c>
      <c r="D821" s="64" t="s">
        <v>582</v>
      </c>
      <c r="E821" s="64">
        <v>42396</v>
      </c>
      <c r="F821" s="514" t="s">
        <v>616</v>
      </c>
      <c r="G821" s="67" t="s">
        <v>919</v>
      </c>
      <c r="H821" s="72" t="s">
        <v>598</v>
      </c>
      <c r="I821" s="440"/>
      <c r="J821" s="440"/>
      <c r="K821" s="431">
        <v>5.5</v>
      </c>
      <c r="L821" s="440">
        <v>22310</v>
      </c>
      <c r="M821" s="65">
        <f>ROUND(K821*L821,0)</f>
        <v>122705</v>
      </c>
      <c r="N821" s="66" t="s">
        <v>101</v>
      </c>
      <c r="O821" s="66" t="s">
        <v>588</v>
      </c>
      <c r="P821" s="84" t="str">
        <f>IF(AND('331-CT'!$E$7=TH!H821,OR(N821="331",O821="331")),"x","")</f>
        <v/>
      </c>
      <c r="Q821" s="84" t="str">
        <f>IF(AND(B821='111'!$L$11,OR($N821=$Q$7,$O821=$Q$7)),"x","")</f>
        <v/>
      </c>
      <c r="R821" s="84" t="str">
        <f>IF(AND($N821=$Q$7,$B821&lt;'111'!$L$11),"x","")</f>
        <v/>
      </c>
      <c r="S821" s="84" t="str">
        <f>IF(AND($O821=$Q$7,$B821&lt;'111'!$L$11),"x","")</f>
        <v/>
      </c>
      <c r="T821" s="84" t="str">
        <f>IF(ISERROR(FIND('112'!$M$9,G821,1)),"",IF((AND(FIND('112'!$M$9,G821,1)&gt;=1,B821='112'!$K$9,OR($N821='112'!$I$6,$O821='112'!$I$6))),"x",""))</f>
        <v/>
      </c>
      <c r="U821" s="84" t="str">
        <f>IF(ISERROR(FIND('112'!$M$9,G821,1)),"",IF((AND(LEFT(G821,2)=LEFT('112'!$M$9,2),B821&lt;'112'!$K$9,$N821='112'!$I$6)),"x",""))</f>
        <v/>
      </c>
      <c r="V821" s="84" t="str">
        <f>IF(ISERROR(FIND('112'!$M$9,G821,1)),"",IF((AND(RIGHT(G821,2)=RIGHT('112'!$M$9,2),B821&lt;'112'!$K$9,$O821='112'!$I$6)),"x",""))</f>
        <v/>
      </c>
      <c r="W821" s="84" t="str">
        <f>IF(AND('341-CT'!$H$9=H821,OR(LEFT(N821,3)=$W$7,LEFT(O821,3)=$W$7)),"x","")</f>
        <v/>
      </c>
      <c r="X821" s="84" t="str">
        <f>IF(OR(TH!N821=TH!$X$7,O821=TH!$X$7),"x","")</f>
        <v/>
      </c>
      <c r="Y821" s="84" t="str">
        <f>IF(AND(OR(N821="131",O821="131"),H821='131-CT'!$H$9),"x","")</f>
        <v/>
      </c>
      <c r="Z821" s="84"/>
      <c r="AA821" s="84" t="str">
        <f>IF(AND(MONTH(E821)='IN-NX'!$J$5,'IN-NX'!$D$7=D821),"x","")</f>
        <v/>
      </c>
      <c r="AB821" s="84" t="str">
        <f>IF(AND(OR(LEFT(TH!N821,2)="15",LEFT(TH!O821,2)="15"),LEFT(TH!O821,3)&lt;&gt;"111",'152-CT'!$J$8=TH!F821),"x","")</f>
        <v/>
      </c>
      <c r="AC821" s="84" t="str">
        <f>IF(AND(OR(LEFT(TH!N821,2)="15",LEFT(TH!O821,2)="15"),TK!$E$7=TH!F821),"x","")</f>
        <v/>
      </c>
      <c r="AD821" s="84" t="str">
        <f>IF(AND(N821="1521",MONTH(C821)='BK-NL'!$M$11),"x","")</f>
        <v/>
      </c>
    </row>
    <row r="822" spans="1:30" ht="15.75" hidden="1" customHeight="1">
      <c r="A822" s="336" t="str">
        <f>IF(B822&lt;&gt;"",IF(AND(B822='IN-TC'!$S$4,OR(TH!N822="1111",TH!O822="1111")),TH!D822,""),"")</f>
        <v/>
      </c>
      <c r="B822" s="63">
        <f t="shared" si="163"/>
        <v>1</v>
      </c>
      <c r="C822" s="64">
        <v>42396</v>
      </c>
      <c r="D822" s="64" t="s">
        <v>705</v>
      </c>
      <c r="E822" s="64">
        <v>42396</v>
      </c>
      <c r="F822" s="73" t="s">
        <v>1445</v>
      </c>
      <c r="G822" s="67" t="s">
        <v>919</v>
      </c>
      <c r="H822" s="73"/>
      <c r="I822" s="439"/>
      <c r="J822" s="439"/>
      <c r="K822" s="430">
        <v>39400</v>
      </c>
      <c r="L822" s="439">
        <v>22280</v>
      </c>
      <c r="M822" s="83">
        <f>ROUND(K822*L822,0)</f>
        <v>877832000</v>
      </c>
      <c r="N822" s="66" t="s">
        <v>26</v>
      </c>
      <c r="O822" s="66" t="s">
        <v>266</v>
      </c>
      <c r="P822" s="84" t="str">
        <f>IF(AND('331-CT'!$E$7=TH!H822,OR(N822="331",O822="331")),"x","")</f>
        <v/>
      </c>
      <c r="Q822" s="84" t="str">
        <f>IF(AND(B822='111'!$L$11,OR($N822=$Q$7,$O822=$Q$7)),"x","")</f>
        <v/>
      </c>
      <c r="R822" s="84" t="str">
        <f>IF(AND($N822=$Q$7,$B822&lt;'111'!$L$11),"x","")</f>
        <v/>
      </c>
      <c r="S822" s="84" t="str">
        <f>IF(AND($O822=$Q$7,$B822&lt;'111'!$L$11),"x","")</f>
        <v/>
      </c>
      <c r="T822" s="84" t="str">
        <f>IF(ISERROR(FIND('112'!$M$9,G822,1)),"",IF((AND(FIND('112'!$M$9,G822,1)&gt;=1,B822='112'!$K$9,OR($N822='112'!$I$6,$O822='112'!$I$6))),"x",""))</f>
        <v/>
      </c>
      <c r="U822" s="84" t="str">
        <f>IF(ISERROR(FIND('112'!$M$9,G822,1)),"",IF((AND(LEFT(G822,2)=LEFT('112'!$M$9,2),B822&lt;'112'!$K$9,$N822='112'!$I$6)),"x",""))</f>
        <v>x</v>
      </c>
      <c r="V822" s="84" t="str">
        <f>IF(ISERROR(FIND('112'!$M$9,G822,1)),"",IF((AND(RIGHT(G822,2)=RIGHT('112'!$M$9,2),B822&lt;'112'!$K$9,$O822='112'!$I$6)),"x",""))</f>
        <v/>
      </c>
      <c r="W822" s="84" t="str">
        <f>IF(AND('341-CT'!$H$9=H822,OR(LEFT(N822,3)=$W$7,LEFT(O822,3)=$W$7)),"x","")</f>
        <v/>
      </c>
      <c r="X822" s="84" t="str">
        <f>IF(OR(TH!N822=TH!$X$7,O822=TH!$X$7),"x","")</f>
        <v/>
      </c>
      <c r="Y822" s="84" t="str">
        <f>IF(AND(OR(N822="131",O822="131"),H822='131-CT'!$H$9),"x","")</f>
        <v/>
      </c>
      <c r="Z822" s="84"/>
      <c r="AA822" s="84" t="str">
        <f>IF(AND(MONTH(E822)='IN-NX'!$J$5,'IN-NX'!$D$7=D822),"x","")</f>
        <v/>
      </c>
      <c r="AB822" s="84" t="str">
        <f>IF(AND(OR(LEFT(TH!N822,2)="15",LEFT(TH!O822,2)="15"),LEFT(TH!O822,3)&lt;&gt;"111",'152-CT'!$J$8=TH!F822),"x","")</f>
        <v/>
      </c>
      <c r="AC822" s="84" t="str">
        <f>IF(AND(OR(LEFT(TH!N822,2)="15",LEFT(TH!O822,2)="15"),TK!$E$7=TH!F822),"x","")</f>
        <v/>
      </c>
      <c r="AD822" s="84" t="str">
        <f>IF(AND(N822="1521",MONTH(C822)='BK-NL'!$M$11),"x","")</f>
        <v/>
      </c>
    </row>
    <row r="823" spans="1:30" ht="15.75" hidden="1" customHeight="1">
      <c r="A823" s="336" t="str">
        <f>IF(B823&lt;&gt;"",IF(AND(B823='IN-TC'!$S$4,OR(TH!N823="1111",TH!O823="1111")),TH!D823,""),"")</f>
        <v/>
      </c>
      <c r="B823" s="63">
        <f t="shared" si="163"/>
        <v>1</v>
      </c>
      <c r="C823" s="64">
        <v>42396</v>
      </c>
      <c r="D823" s="64" t="s">
        <v>909</v>
      </c>
      <c r="E823" s="64">
        <v>42396</v>
      </c>
      <c r="F823" s="514" t="s">
        <v>746</v>
      </c>
      <c r="G823" s="67" t="s">
        <v>919</v>
      </c>
      <c r="H823" s="74" t="s">
        <v>763</v>
      </c>
      <c r="I823" s="442"/>
      <c r="J823" s="439"/>
      <c r="K823" s="433"/>
      <c r="L823" s="442"/>
      <c r="M823" s="65">
        <v>850000000</v>
      </c>
      <c r="N823" s="66" t="s">
        <v>63</v>
      </c>
      <c r="O823" s="66" t="s">
        <v>26</v>
      </c>
      <c r="P823" s="84" t="str">
        <f>IF(AND('331-CT'!$E$7=TH!H823,OR(N823="331",O823="331")),"x","")</f>
        <v/>
      </c>
      <c r="Q823" s="84" t="str">
        <f>IF(AND(B823='111'!$L$11,OR($N823=$Q$7,$O823=$Q$7)),"x","")</f>
        <v>x</v>
      </c>
      <c r="R823" s="84" t="str">
        <f>IF(AND($N823=$Q$7,$B823&lt;'111'!$L$11),"x","")</f>
        <v/>
      </c>
      <c r="S823" s="84" t="str">
        <f>IF(AND($O823=$Q$7,$B823&lt;'111'!$L$11),"x","")</f>
        <v/>
      </c>
      <c r="T823" s="84" t="str">
        <f>IF(ISERROR(FIND('112'!$M$9,G823,1)),"",IF((AND(FIND('112'!$M$9,G823,1)&gt;=1,B823='112'!$K$9,OR($N823='112'!$I$6,$O823='112'!$I$6))),"x",""))</f>
        <v/>
      </c>
      <c r="U823" s="84" t="str">
        <f>IF(ISERROR(FIND('112'!$M$9,G823,1)),"",IF((AND(LEFT(G823,2)=LEFT('112'!$M$9,2),B823&lt;'112'!$K$9,$N823='112'!$I$6)),"x",""))</f>
        <v/>
      </c>
      <c r="V823" s="84" t="str">
        <f>IF(ISERROR(FIND('112'!$M$9,G823,1)),"",IF((AND(RIGHT(G823,2)=RIGHT('112'!$M$9,2),B823&lt;'112'!$K$9,$O823='112'!$I$6)),"x",""))</f>
        <v>x</v>
      </c>
      <c r="W823" s="84" t="str">
        <f>IF(AND('341-CT'!$H$9=H823,OR(LEFT(N823,3)=$W$7,LEFT(O823,3)=$W$7)),"x","")</f>
        <v/>
      </c>
      <c r="X823" s="84" t="str">
        <f>IF(OR(TH!N823=TH!$X$7,O823=TH!$X$7),"x","")</f>
        <v/>
      </c>
      <c r="Y823" s="84" t="str">
        <f>IF(AND(OR(N823="131",O823="131"),H823='131-CT'!$H$9),"x","")</f>
        <v/>
      </c>
      <c r="Z823" s="84"/>
      <c r="AA823" s="84" t="str">
        <f>IF(AND(MONTH(E823)='IN-NX'!$J$5,'IN-NX'!$D$7=D823),"x","")</f>
        <v/>
      </c>
      <c r="AB823" s="84" t="str">
        <f>IF(AND(OR(LEFT(TH!N823,2)="15",LEFT(TH!O823,2)="15"),LEFT(TH!O823,3)&lt;&gt;"111",'152-CT'!$J$8=TH!F823),"x","")</f>
        <v/>
      </c>
      <c r="AC823" s="84" t="str">
        <f>IF(AND(OR(LEFT(TH!N823,2)="15",LEFT(TH!O823,2)="15"),TK!$E$7=TH!F823),"x","")</f>
        <v/>
      </c>
      <c r="AD823" s="84" t="str">
        <f>IF(AND(N823="1521",MONTH(C823)='BK-NL'!$M$11),"x","")</f>
        <v/>
      </c>
    </row>
    <row r="824" spans="1:30" ht="15.75" hidden="1" customHeight="1">
      <c r="A824" s="336" t="str">
        <f>IF(B824&lt;&gt;"",IF(AND(B824='IN-TC'!$S$4,OR(TH!N824="1111",TH!O824="1111")),TH!D824,""),"")</f>
        <v/>
      </c>
      <c r="B824" s="63">
        <f t="shared" si="163"/>
        <v>1</v>
      </c>
      <c r="C824" s="64">
        <v>42396</v>
      </c>
      <c r="D824" s="64" t="s">
        <v>705</v>
      </c>
      <c r="E824" s="64">
        <v>42396</v>
      </c>
      <c r="F824" s="514" t="s">
        <v>1095</v>
      </c>
      <c r="G824" s="67" t="s">
        <v>919</v>
      </c>
      <c r="H824" s="514" t="s">
        <v>632</v>
      </c>
      <c r="I824" s="439"/>
      <c r="J824" s="439"/>
      <c r="K824" s="430"/>
      <c r="L824" s="439"/>
      <c r="M824" s="65">
        <v>27118300</v>
      </c>
      <c r="N824" s="66" t="s">
        <v>19</v>
      </c>
      <c r="O824" s="66" t="s">
        <v>26</v>
      </c>
      <c r="P824" s="84" t="str">
        <f>IF(AND('331-CT'!$E$7=TH!H824,OR(N824="331",O824="331")),"x","")</f>
        <v/>
      </c>
      <c r="Q824" s="84" t="str">
        <f>IF(AND(B824='111'!$L$11,OR($N824=$Q$7,$O824=$Q$7)),"x","")</f>
        <v/>
      </c>
      <c r="R824" s="84" t="str">
        <f>IF(AND($N824=$Q$7,$B824&lt;'111'!$L$11),"x","")</f>
        <v/>
      </c>
      <c r="S824" s="84" t="str">
        <f>IF(AND($O824=$Q$7,$B824&lt;'111'!$L$11),"x","")</f>
        <v/>
      </c>
      <c r="T824" s="84" t="str">
        <f>IF(ISERROR(FIND('112'!$M$9,G824,1)),"",IF((AND(FIND('112'!$M$9,G824,1)&gt;=1,B824='112'!$K$9,OR($N824='112'!$I$6,$O824='112'!$I$6))),"x",""))</f>
        <v/>
      </c>
      <c r="U824" s="84" t="str">
        <f>IF(ISERROR(FIND('112'!$M$9,G824,1)),"",IF((AND(LEFT(G824,2)=LEFT('112'!$M$9,2),B824&lt;'112'!$K$9,$N824='112'!$I$6)),"x",""))</f>
        <v/>
      </c>
      <c r="V824" s="84" t="str">
        <f>IF(ISERROR(FIND('112'!$M$9,G824,1)),"",IF((AND(RIGHT(G824,2)=RIGHT('112'!$M$9,2),B824&lt;'112'!$K$9,$O824='112'!$I$6)),"x",""))</f>
        <v>x</v>
      </c>
      <c r="W824" s="84" t="str">
        <f>IF(AND('341-CT'!$H$9=H824,OR(LEFT(N824,3)=$W$7,LEFT(O824,3)=$W$7)),"x","")</f>
        <v/>
      </c>
      <c r="X824" s="84" t="str">
        <f>IF(OR(TH!N824=TH!$X$7,O824=TH!$X$7),"x","")</f>
        <v/>
      </c>
      <c r="Y824" s="84" t="str">
        <f>IF(AND(OR(N824="131",O824="131"),H824='131-CT'!$H$9),"x","")</f>
        <v/>
      </c>
      <c r="Z824" s="84"/>
      <c r="AA824" s="84" t="str">
        <f>IF(AND(MONTH(E824)='IN-NX'!$J$5,'IN-NX'!$D$7=D824),"x","")</f>
        <v/>
      </c>
      <c r="AB824" s="84" t="str">
        <f>IF(AND(OR(LEFT(TH!N824,2)="15",LEFT(TH!O824,2)="15"),LEFT(TH!O824,3)&lt;&gt;"111",'152-CT'!$J$8=TH!F824),"x","")</f>
        <v/>
      </c>
      <c r="AC824" s="84" t="str">
        <f>IF(AND(OR(LEFT(TH!N824,2)="15",LEFT(TH!O824,2)="15"),TK!$E$7=TH!F824),"x","")</f>
        <v/>
      </c>
      <c r="AD824" s="84" t="str">
        <f>IF(AND(N824="1521",MONTH(C824)='BK-NL'!$M$11),"x","")</f>
        <v/>
      </c>
    </row>
    <row r="825" spans="1:30" ht="15.75" hidden="1" customHeight="1">
      <c r="A825" s="336" t="str">
        <f>IF(B825&lt;&gt;"",IF(AND(B825='IN-TC'!$S$4,OR(TH!N825="1111",TH!O825="1111")),TH!D825,""),"")</f>
        <v/>
      </c>
      <c r="B825" s="63">
        <f t="shared" si="163"/>
        <v>1</v>
      </c>
      <c r="C825" s="64">
        <v>42396</v>
      </c>
      <c r="D825" s="64" t="s">
        <v>705</v>
      </c>
      <c r="E825" s="64">
        <v>42396</v>
      </c>
      <c r="F825" s="514" t="s">
        <v>743</v>
      </c>
      <c r="G825" s="67" t="s">
        <v>919</v>
      </c>
      <c r="H825" s="514"/>
      <c r="I825" s="439"/>
      <c r="J825" s="439"/>
      <c r="K825" s="430"/>
      <c r="L825" s="439"/>
      <c r="M825" s="65">
        <v>25000</v>
      </c>
      <c r="N825" s="66" t="s">
        <v>101</v>
      </c>
      <c r="O825" s="66" t="s">
        <v>26</v>
      </c>
      <c r="P825" s="84" t="str">
        <f>IF(AND('331-CT'!$E$7=TH!H825,OR(N825="331",O825="331")),"x","")</f>
        <v/>
      </c>
      <c r="Q825" s="84" t="str">
        <f>IF(AND(B825='111'!$L$11,OR($N825=$Q$7,$O825=$Q$7)),"x","")</f>
        <v/>
      </c>
      <c r="R825" s="84" t="str">
        <f>IF(AND($N825=$Q$7,$B825&lt;'111'!$L$11),"x","")</f>
        <v/>
      </c>
      <c r="S825" s="84" t="str">
        <f>IF(AND($O825=$Q$7,$B825&lt;'111'!$L$11),"x","")</f>
        <v/>
      </c>
      <c r="T825" s="84" t="str">
        <f>IF(ISERROR(FIND('112'!$M$9,G825,1)),"",IF((AND(FIND('112'!$M$9,G825,1)&gt;=1,B825='112'!$K$9,OR($N825='112'!$I$6,$O825='112'!$I$6))),"x",""))</f>
        <v/>
      </c>
      <c r="U825" s="84" t="str">
        <f>IF(ISERROR(FIND('112'!$M$9,G825,1)),"",IF((AND(LEFT(G825,2)=LEFT('112'!$M$9,2),B825&lt;'112'!$K$9,$N825='112'!$I$6)),"x",""))</f>
        <v/>
      </c>
      <c r="V825" s="84" t="str">
        <f>IF(ISERROR(FIND('112'!$M$9,G825,1)),"",IF((AND(RIGHT(G825,2)=RIGHT('112'!$M$9,2),B825&lt;'112'!$K$9,$O825='112'!$I$6)),"x",""))</f>
        <v>x</v>
      </c>
      <c r="W825" s="84" t="str">
        <f>IF(AND('341-CT'!$H$9=H825,OR(LEFT(N825,3)=$W$7,LEFT(O825,3)=$W$7)),"x","")</f>
        <v/>
      </c>
      <c r="X825" s="84" t="str">
        <f>IF(OR(TH!N825=TH!$X$7,O825=TH!$X$7),"x","")</f>
        <v/>
      </c>
      <c r="Y825" s="84" t="str">
        <f>IF(AND(OR(N825="131",O825="131"),H825='131-CT'!$H$9),"x","")</f>
        <v/>
      </c>
      <c r="Z825" s="84"/>
      <c r="AA825" s="84" t="str">
        <f>IF(AND(MONTH(E825)='IN-NX'!$J$5,'IN-NX'!$D$7=D825),"x","")</f>
        <v/>
      </c>
      <c r="AB825" s="84" t="str">
        <f>IF(AND(OR(LEFT(TH!N825,2)="15",LEFT(TH!O825,2)="15"),LEFT(TH!O825,3)&lt;&gt;"111",'152-CT'!$J$8=TH!F825),"x","")</f>
        <v/>
      </c>
      <c r="AC825" s="84" t="str">
        <f>IF(AND(OR(LEFT(TH!N825,2)="15",LEFT(TH!O825,2)="15"),TK!$E$7=TH!F825),"x","")</f>
        <v/>
      </c>
      <c r="AD825" s="84" t="str">
        <f>IF(AND(N825="1521",MONTH(C825)='BK-NL'!$M$11),"x","")</f>
        <v/>
      </c>
    </row>
    <row r="826" spans="1:30" ht="15.75" hidden="1" customHeight="1">
      <c r="A826" s="336" t="str">
        <f>IF(B826&lt;&gt;"",IF(AND(B826='IN-TC'!$S$4,OR(TH!N826="1111",TH!O826="1111")),TH!D826,""),"")</f>
        <v/>
      </c>
      <c r="B826" s="63">
        <f t="shared" si="163"/>
        <v>1</v>
      </c>
      <c r="C826" s="64">
        <v>42396</v>
      </c>
      <c r="D826" s="64" t="s">
        <v>705</v>
      </c>
      <c r="E826" s="64">
        <v>42396</v>
      </c>
      <c r="F826" s="514" t="s">
        <v>745</v>
      </c>
      <c r="G826" s="67" t="s">
        <v>919</v>
      </c>
      <c r="H826" s="859"/>
      <c r="I826" s="443"/>
      <c r="J826" s="443"/>
      <c r="K826" s="434"/>
      <c r="L826" s="443"/>
      <c r="M826" s="65">
        <v>2500</v>
      </c>
      <c r="N826" s="66" t="s">
        <v>9</v>
      </c>
      <c r="O826" s="66" t="s">
        <v>26</v>
      </c>
      <c r="P826" s="84" t="str">
        <f>IF(AND('331-CT'!$E$7=TH!H826,OR(N826="331",O826="331")),"x","")</f>
        <v/>
      </c>
      <c r="Q826" s="84" t="str">
        <f>IF(AND(B826='111'!$L$11,OR($N826=$Q$7,$O826=$Q$7)),"x","")</f>
        <v/>
      </c>
      <c r="R826" s="84" t="str">
        <f>IF(AND($N826=$Q$7,$B826&lt;'111'!$L$11),"x","")</f>
        <v/>
      </c>
      <c r="S826" s="84" t="str">
        <f>IF(AND($O826=$Q$7,$B826&lt;'111'!$L$11),"x","")</f>
        <v/>
      </c>
      <c r="T826" s="84" t="str">
        <f>IF(ISERROR(FIND('112'!$M$9,G826,1)),"",IF((AND(FIND('112'!$M$9,G826,1)&gt;=1,B826='112'!$K$9,OR($N826='112'!$I$6,$O826='112'!$I$6))),"x",""))</f>
        <v/>
      </c>
      <c r="U826" s="84" t="str">
        <f>IF(ISERROR(FIND('112'!$M$9,G826,1)),"",IF((AND(LEFT(G826,2)=LEFT('112'!$M$9,2),B826&lt;'112'!$K$9,$N826='112'!$I$6)),"x",""))</f>
        <v/>
      </c>
      <c r="V826" s="84" t="str">
        <f>IF(ISERROR(FIND('112'!$M$9,G826,1)),"",IF((AND(RIGHT(G826,2)=RIGHT('112'!$M$9,2),B826&lt;'112'!$K$9,$O826='112'!$I$6)),"x",""))</f>
        <v>x</v>
      </c>
      <c r="W826" s="84" t="str">
        <f>IF(AND('341-CT'!$H$9=H826,OR(LEFT(N826,3)=$W$7,LEFT(O826,3)=$W$7)),"x","")</f>
        <v/>
      </c>
      <c r="X826" s="84" t="str">
        <f>IF(OR(TH!N826=TH!$X$7,O826=TH!$X$7),"x","")</f>
        <v/>
      </c>
      <c r="Y826" s="84" t="str">
        <f>IF(AND(OR(N826="131",O826="131"),H826='131-CT'!$H$9),"x","")</f>
        <v/>
      </c>
      <c r="Z826" s="84"/>
      <c r="AA826" s="84" t="str">
        <f>IF(AND(MONTH(E826)='IN-NX'!$J$5,'IN-NX'!$D$7=D826),"x","")</f>
        <v/>
      </c>
      <c r="AB826" s="84" t="str">
        <f>IF(AND(OR(LEFT(TH!N826,2)="15",LEFT(TH!O826,2)="15"),LEFT(TH!O826,3)&lt;&gt;"111",'152-CT'!$J$8=TH!F826),"x","")</f>
        <v/>
      </c>
      <c r="AC826" s="84" t="str">
        <f>IF(AND(OR(LEFT(TH!N826,2)="15",LEFT(TH!O826,2)="15"),TK!$E$7=TH!F826),"x","")</f>
        <v/>
      </c>
      <c r="AD826" s="84" t="str">
        <f>IF(AND(N826="1521",MONTH(C826)='BK-NL'!$M$11),"x","")</f>
        <v/>
      </c>
    </row>
    <row r="827" spans="1:30" ht="15.75" hidden="1" customHeight="1">
      <c r="A827" s="336" t="str">
        <f>IF(B827&lt;&gt;"",IF(AND(B827='IN-TC'!$S$4,OR(TH!N827="1111",TH!O827="1111")),TH!D827,""),"")</f>
        <v/>
      </c>
      <c r="B827" s="63">
        <f t="shared" si="163"/>
        <v>1</v>
      </c>
      <c r="C827" s="80">
        <f>E827</f>
        <v>42396</v>
      </c>
      <c r="D827" s="80" t="s">
        <v>912</v>
      </c>
      <c r="E827" s="80">
        <v>42396</v>
      </c>
      <c r="F827" s="514" t="s">
        <v>964</v>
      </c>
      <c r="G827" s="81"/>
      <c r="H827" s="82" t="s">
        <v>963</v>
      </c>
      <c r="I827" s="437"/>
      <c r="J827" s="437"/>
      <c r="K827" s="428"/>
      <c r="L827" s="437"/>
      <c r="M827" s="83">
        <v>500000000</v>
      </c>
      <c r="N827" s="84" t="s">
        <v>272</v>
      </c>
      <c r="O827" s="66" t="s">
        <v>63</v>
      </c>
      <c r="P827" s="84" t="str">
        <f>IF(AND('331-CT'!$E$7=TH!H827,OR(N827="331",O827="331")),"x","")</f>
        <v/>
      </c>
      <c r="Q827" s="84" t="str">
        <f>IF(AND(B827='111'!$L$11,OR($N827=$Q$7,$O827=$Q$7)),"x","")</f>
        <v>x</v>
      </c>
      <c r="R827" s="84" t="str">
        <f>IF(AND($N827=$Q$7,$B827&lt;'111'!$L$11),"x","")</f>
        <v/>
      </c>
      <c r="S827" s="84" t="str">
        <f>IF(AND($O827=$Q$7,$B827&lt;'111'!$L$11),"x","")</f>
        <v/>
      </c>
      <c r="T827" s="84" t="str">
        <f>IF(ISERROR(FIND('112'!$M$9,G827,1)),"",IF((AND(FIND('112'!$M$9,G827,1)&gt;=1,B827='112'!$K$9,OR($N827='112'!$I$6,$O827='112'!$I$6))),"x",""))</f>
        <v/>
      </c>
      <c r="U827" s="84" t="str">
        <f>IF(ISERROR(FIND('112'!$M$9,G827,1)),"",IF((AND(LEFT(G827,2)=LEFT('112'!$M$9,2),B827&lt;'112'!$K$9,$N827='112'!$I$6)),"x",""))</f>
        <v/>
      </c>
      <c r="V827" s="84" t="str">
        <f>IF(ISERROR(FIND('112'!$M$9,G827,1)),"",IF((AND(RIGHT(G827,2)=RIGHT('112'!$M$9,2),B827&lt;'112'!$K$9,$O827='112'!$I$6)),"x",""))</f>
        <v/>
      </c>
      <c r="W827" s="84" t="str">
        <f>IF(AND('341-CT'!$H$9=H827,OR(LEFT(N827,3)=$W$7,LEFT(O827,3)=$W$7)),"x","")</f>
        <v/>
      </c>
      <c r="X827" s="84" t="str">
        <f>IF(OR(TH!N827=TH!$X$7,O827=TH!$X$7),"x","")</f>
        <v/>
      </c>
      <c r="Y827" s="84" t="str">
        <f>IF(AND(OR(N827="131",O827="131"),H827='131-CT'!$H$9),"x","")</f>
        <v/>
      </c>
      <c r="Z827" s="84"/>
      <c r="AA827" s="84" t="str">
        <f>IF(AND(MONTH(E827)='IN-NX'!$J$5,'IN-NX'!$D$7=D827),"x","")</f>
        <v/>
      </c>
      <c r="AB827" s="84" t="str">
        <f>IF(AND(OR(LEFT(TH!N827,2)="15",LEFT(TH!O827,2)="15"),LEFT(TH!O827,3)&lt;&gt;"111",'152-CT'!$J$8=TH!F827),"x","")</f>
        <v/>
      </c>
      <c r="AC827" s="84" t="str">
        <f>IF(AND(OR(LEFT(TH!N827,2)="15",LEFT(TH!O827,2)="15"),TK!$E$7=TH!F827),"x","")</f>
        <v/>
      </c>
      <c r="AD827" s="84" t="str">
        <f>IF(AND(N827="1521",MONTH(C827)='BK-NL'!$M$11),"x","")</f>
        <v/>
      </c>
    </row>
    <row r="828" spans="1:30" ht="15.75" hidden="1" customHeight="1">
      <c r="A828" s="336" t="str">
        <f>IF(B828&lt;&gt;"",IF(AND(B828='IN-TC'!$S$4,OR(TH!N828="1111",TH!O828="1111")),TH!D828,""),"")</f>
        <v/>
      </c>
      <c r="B828" s="63">
        <f t="shared" si="163"/>
        <v>1</v>
      </c>
      <c r="C828" s="64">
        <v>42397</v>
      </c>
      <c r="D828" s="64" t="s">
        <v>702</v>
      </c>
      <c r="E828" s="64">
        <v>42397</v>
      </c>
      <c r="F828" s="514" t="s">
        <v>708</v>
      </c>
      <c r="G828" s="67" t="s">
        <v>919</v>
      </c>
      <c r="H828" s="73" t="s">
        <v>601</v>
      </c>
      <c r="I828" s="439"/>
      <c r="J828" s="439"/>
      <c r="K828" s="430">
        <v>71518.62</v>
      </c>
      <c r="L828" s="439">
        <v>22300</v>
      </c>
      <c r="M828" s="83">
        <f t="shared" ref="M828:M834" si="164">ROUND(K828*L828,0)</f>
        <v>1594865226</v>
      </c>
      <c r="N828" s="66" t="s">
        <v>266</v>
      </c>
      <c r="O828" s="66" t="s">
        <v>588</v>
      </c>
      <c r="P828" s="84" t="str">
        <f>IF(AND('331-CT'!$E$7=TH!H828,OR(N828="331",O828="331")),"x","")</f>
        <v/>
      </c>
      <c r="Q828" s="84" t="str">
        <f>IF(AND(B828='111'!$L$11,OR($N828=$Q$7,$O828=$Q$7)),"x","")</f>
        <v/>
      </c>
      <c r="R828" s="84" t="str">
        <f>IF(AND($N828=$Q$7,$B828&lt;'111'!$L$11),"x","")</f>
        <v/>
      </c>
      <c r="S828" s="84" t="str">
        <f>IF(AND($O828=$Q$7,$B828&lt;'111'!$L$11),"x","")</f>
        <v/>
      </c>
      <c r="T828" s="84" t="str">
        <f>IF(ISERROR(FIND('112'!$M$9,G828,1)),"",IF((AND(FIND('112'!$M$9,G828,1)&gt;=1,B828='112'!$K$9,OR($N828='112'!$I$6,$O828='112'!$I$6))),"x",""))</f>
        <v/>
      </c>
      <c r="U828" s="84" t="str">
        <f>IF(ISERROR(FIND('112'!$M$9,G828,1)),"",IF((AND(LEFT(G828,2)=LEFT('112'!$M$9,2),B828&lt;'112'!$K$9,$N828='112'!$I$6)),"x",""))</f>
        <v/>
      </c>
      <c r="V828" s="84" t="str">
        <f>IF(ISERROR(FIND('112'!$M$9,G828,1)),"",IF((AND(RIGHT(G828,2)=RIGHT('112'!$M$9,2),B828&lt;'112'!$K$9,$O828='112'!$I$6)),"x",""))</f>
        <v/>
      </c>
      <c r="W828" s="84" t="str">
        <f>IF(AND('341-CT'!$H$9=H828,OR(LEFT(N828,3)=$W$7,LEFT(O828,3)=$W$7)),"x","")</f>
        <v/>
      </c>
      <c r="X828" s="84" t="str">
        <f>IF(OR(TH!N828=TH!$X$7,O828=TH!$X$7),"x","")</f>
        <v/>
      </c>
      <c r="Y828" s="84" t="str">
        <f>IF(AND(OR(N828="131",O828="131"),H828='131-CT'!$H$9),"x","")</f>
        <v>x</v>
      </c>
      <c r="Z828" s="84"/>
      <c r="AA828" s="84" t="str">
        <f>IF(AND(MONTH(E828)='IN-NX'!$J$5,'IN-NX'!$D$7=D828),"x","")</f>
        <v/>
      </c>
      <c r="AB828" s="84" t="str">
        <f>IF(AND(OR(LEFT(TH!N828,2)="15",LEFT(TH!O828,2)="15"),LEFT(TH!O828,3)&lt;&gt;"111",'152-CT'!$J$8=TH!F828),"x","")</f>
        <v/>
      </c>
      <c r="AC828" s="84" t="str">
        <f>IF(AND(OR(LEFT(TH!N828,2)="15",LEFT(TH!O828,2)="15"),TK!$E$7=TH!F828),"x","")</f>
        <v/>
      </c>
      <c r="AD828" s="84" t="str">
        <f>IF(AND(N828="1521",MONTH(C828)='BK-NL'!$M$11),"x","")</f>
        <v/>
      </c>
    </row>
    <row r="829" spans="1:30" s="341" customFormat="1" ht="15.75" hidden="1" customHeight="1">
      <c r="A829" s="336" t="str">
        <f>IF(B829&lt;&gt;"",IF(AND(B829='IN-TC'!$S$4,OR(TH!N829="1111",TH!O829="1111")),TH!D829,""),"")</f>
        <v/>
      </c>
      <c r="B829" s="63">
        <f t="shared" si="163"/>
        <v>1</v>
      </c>
      <c r="C829" s="64">
        <f>E829</f>
        <v>42397</v>
      </c>
      <c r="D829" s="64" t="s">
        <v>582</v>
      </c>
      <c r="E829" s="64">
        <v>42397</v>
      </c>
      <c r="F829" s="514" t="s">
        <v>614</v>
      </c>
      <c r="G829" s="67" t="s">
        <v>919</v>
      </c>
      <c r="H829" s="73" t="s">
        <v>601</v>
      </c>
      <c r="I829" s="439"/>
      <c r="J829" s="439"/>
      <c r="K829" s="430">
        <v>11</v>
      </c>
      <c r="L829" s="439">
        <v>22310</v>
      </c>
      <c r="M829" s="65">
        <f t="shared" si="164"/>
        <v>245410</v>
      </c>
      <c r="N829" s="66" t="s">
        <v>101</v>
      </c>
      <c r="O829" s="66" t="s">
        <v>588</v>
      </c>
      <c r="P829" s="84" t="str">
        <f>IF(AND('331-CT'!$E$7=TH!H829,OR(N829="331",O829="331")),"x","")</f>
        <v/>
      </c>
      <c r="Q829" s="84" t="str">
        <f>IF(AND(B829='111'!$L$11,OR($N829=$Q$7,$O829=$Q$7)),"x","")</f>
        <v/>
      </c>
      <c r="R829" s="84" t="str">
        <f>IF(AND($N829=$Q$7,$B829&lt;'111'!$L$11),"x","")</f>
        <v/>
      </c>
      <c r="S829" s="84" t="str">
        <f>IF(AND($O829=$Q$7,$B829&lt;'111'!$L$11),"x","")</f>
        <v/>
      </c>
      <c r="T829" s="84" t="str">
        <f>IF(ISERROR(FIND('112'!$M$9,G829,1)),"",IF((AND(FIND('112'!$M$9,G829,1)&gt;=1,B829='112'!$K$9,OR($N829='112'!$I$6,$O829='112'!$I$6))),"x",""))</f>
        <v/>
      </c>
      <c r="U829" s="84" t="str">
        <f>IF(ISERROR(FIND('112'!$M$9,G829,1)),"",IF((AND(LEFT(G829,2)=LEFT('112'!$M$9,2),B829&lt;'112'!$K$9,$N829='112'!$I$6)),"x",""))</f>
        <v/>
      </c>
      <c r="V829" s="84" t="str">
        <f>IF(ISERROR(FIND('112'!$M$9,G829,1)),"",IF((AND(RIGHT(G829,2)=RIGHT('112'!$M$9,2),B829&lt;'112'!$K$9,$O829='112'!$I$6)),"x",""))</f>
        <v/>
      </c>
      <c r="W829" s="84" t="str">
        <f>IF(AND('341-CT'!$H$9=H829,OR(LEFT(N829,3)=$W$7,LEFT(O829,3)=$W$7)),"x","")</f>
        <v/>
      </c>
      <c r="X829" s="84" t="str">
        <f>IF(OR(TH!N829=TH!$X$7,O829=TH!$X$7),"x","")</f>
        <v/>
      </c>
      <c r="Y829" s="84" t="str">
        <f>IF(AND(OR(N829="131",O829="131"),H829='131-CT'!$H$9),"x","")</f>
        <v>x</v>
      </c>
      <c r="Z829" s="84"/>
      <c r="AA829" s="84" t="str">
        <f>IF(AND(MONTH(E829)='IN-NX'!$J$5,'IN-NX'!$D$7=D829),"x","")</f>
        <v/>
      </c>
      <c r="AB829" s="84" t="str">
        <f>IF(AND(OR(LEFT(TH!N829,2)="15",LEFT(TH!O829,2)="15"),LEFT(TH!O829,3)&lt;&gt;"111",'152-CT'!$J$8=TH!F829),"x","")</f>
        <v/>
      </c>
      <c r="AC829" s="84" t="str">
        <f>IF(AND(OR(LEFT(TH!N829,2)="15",LEFT(TH!O829,2)="15"),TK!$E$7=TH!F829),"x","")</f>
        <v/>
      </c>
      <c r="AD829" s="84" t="str">
        <f>IF(AND(N829="1521",MONTH(C829)='BK-NL'!$M$11),"x","")</f>
        <v/>
      </c>
    </row>
    <row r="830" spans="1:30" s="341" customFormat="1" ht="15.75" hidden="1" customHeight="1">
      <c r="A830" s="336" t="str">
        <f>IF(B830&lt;&gt;"",IF(AND(B830='IN-TC'!$S$4,OR(TH!N830="1111",TH!O830="1111")),TH!D830,""),"")</f>
        <v/>
      </c>
      <c r="B830" s="63">
        <f t="shared" ref="B830:B893" si="165">IF(C830&lt;&gt;"",MONTH(C830),"")</f>
        <v>1</v>
      </c>
      <c r="C830" s="64">
        <f>E830</f>
        <v>42397</v>
      </c>
      <c r="D830" s="64" t="s">
        <v>582</v>
      </c>
      <c r="E830" s="64">
        <v>42397</v>
      </c>
      <c r="F830" s="514" t="s">
        <v>615</v>
      </c>
      <c r="G830" s="67" t="s">
        <v>919</v>
      </c>
      <c r="H830" s="73" t="s">
        <v>601</v>
      </c>
      <c r="I830" s="439"/>
      <c r="J830" s="439"/>
      <c r="K830" s="430">
        <v>30.38</v>
      </c>
      <c r="L830" s="439">
        <v>22310</v>
      </c>
      <c r="M830" s="65">
        <f t="shared" si="164"/>
        <v>677778</v>
      </c>
      <c r="N830" s="66" t="s">
        <v>101</v>
      </c>
      <c r="O830" s="66" t="s">
        <v>588</v>
      </c>
      <c r="P830" s="84" t="str">
        <f>IF(AND('331-CT'!$E$7=TH!H830,OR(N830="331",O830="331")),"x","")</f>
        <v/>
      </c>
      <c r="Q830" s="84" t="str">
        <f>IF(AND(B830='111'!$L$11,OR($N830=$Q$7,$O830=$Q$7)),"x","")</f>
        <v/>
      </c>
      <c r="R830" s="84" t="str">
        <f>IF(AND($N830=$Q$7,$B830&lt;'111'!$L$11),"x","")</f>
        <v/>
      </c>
      <c r="S830" s="84" t="str">
        <f>IF(AND($O830=$Q$7,$B830&lt;'111'!$L$11),"x","")</f>
        <v/>
      </c>
      <c r="T830" s="84" t="str">
        <f>IF(ISERROR(FIND('112'!$M$9,G830,1)),"",IF((AND(FIND('112'!$M$9,G830,1)&gt;=1,B830='112'!$K$9,OR($N830='112'!$I$6,$O830='112'!$I$6))),"x",""))</f>
        <v/>
      </c>
      <c r="U830" s="84" t="str">
        <f>IF(ISERROR(FIND('112'!$M$9,G830,1)),"",IF((AND(LEFT(G830,2)=LEFT('112'!$M$9,2),B830&lt;'112'!$K$9,$N830='112'!$I$6)),"x",""))</f>
        <v/>
      </c>
      <c r="V830" s="84" t="str">
        <f>IF(ISERROR(FIND('112'!$M$9,G830,1)),"",IF((AND(RIGHT(G830,2)=RIGHT('112'!$M$9,2),B830&lt;'112'!$K$9,$O830='112'!$I$6)),"x",""))</f>
        <v/>
      </c>
      <c r="W830" s="84" t="str">
        <f>IF(AND('341-CT'!$H$9=H830,OR(LEFT(N830,3)=$W$7,LEFT(O830,3)=$W$7)),"x","")</f>
        <v/>
      </c>
      <c r="X830" s="84" t="str">
        <f>IF(OR(TH!N830=TH!$X$7,O830=TH!$X$7),"x","")</f>
        <v/>
      </c>
      <c r="Y830" s="84" t="str">
        <f>IF(AND(OR(N830="131",O830="131"),H830='131-CT'!$H$9),"x","")</f>
        <v>x</v>
      </c>
      <c r="Z830" s="84"/>
      <c r="AA830" s="84" t="str">
        <f>IF(AND(MONTH(E830)='IN-NX'!$J$5,'IN-NX'!$D$7=D830),"x","")</f>
        <v/>
      </c>
      <c r="AB830" s="84" t="str">
        <f>IF(AND(OR(LEFT(TH!N830,2)="15",LEFT(TH!O830,2)="15"),LEFT(TH!O830,3)&lt;&gt;"111",'152-CT'!$J$8=TH!F830),"x","")</f>
        <v/>
      </c>
      <c r="AC830" s="84" t="str">
        <f>IF(AND(OR(LEFT(TH!N830,2)="15",LEFT(TH!O830,2)="15"),TK!$E$7=TH!F830),"x","")</f>
        <v/>
      </c>
      <c r="AD830" s="84" t="str">
        <f>IF(AND(N830="1521",MONTH(C830)='BK-NL'!$M$11),"x","")</f>
        <v/>
      </c>
    </row>
    <row r="831" spans="1:30" ht="15.75" hidden="1" customHeight="1">
      <c r="A831" s="336" t="str">
        <f>IF(B831&lt;&gt;"",IF(AND(B831='IN-TC'!$S$4,OR(TH!N831="1111",TH!O831="1111")),TH!D831,""),"")</f>
        <v/>
      </c>
      <c r="B831" s="63">
        <f t="shared" si="165"/>
        <v>1</v>
      </c>
      <c r="C831" s="64">
        <v>42398</v>
      </c>
      <c r="D831" s="64" t="s">
        <v>702</v>
      </c>
      <c r="E831" s="64">
        <v>42398</v>
      </c>
      <c r="F831" s="514" t="s">
        <v>703</v>
      </c>
      <c r="G831" s="67" t="s">
        <v>925</v>
      </c>
      <c r="H831" s="346"/>
      <c r="I831" s="443"/>
      <c r="J831" s="443"/>
      <c r="K831" s="434">
        <v>52300</v>
      </c>
      <c r="L831" s="443">
        <v>22225</v>
      </c>
      <c r="M831" s="83">
        <f t="shared" si="164"/>
        <v>1162367500</v>
      </c>
      <c r="N831" s="66" t="s">
        <v>266</v>
      </c>
      <c r="O831" s="66" t="s">
        <v>266</v>
      </c>
      <c r="P831" s="84" t="str">
        <f>IF(AND('331-CT'!$E$7=TH!H831,OR(N831="331",O831="331")),"x","")</f>
        <v/>
      </c>
      <c r="Q831" s="84" t="str">
        <f>IF(AND(B831='111'!$L$11,OR($N831=$Q$7,$O831=$Q$7)),"x","")</f>
        <v/>
      </c>
      <c r="R831" s="84" t="str">
        <f>IF(AND($N831=$Q$7,$B831&lt;'111'!$L$11),"x","")</f>
        <v/>
      </c>
      <c r="S831" s="84" t="str">
        <f>IF(AND($O831=$Q$7,$B831&lt;'111'!$L$11),"x","")</f>
        <v/>
      </c>
      <c r="T831" s="84" t="str">
        <f>IF(ISERROR(FIND('112'!$M$9,G831,1)),"",IF((AND(FIND('112'!$M$9,G831,1)&gt;=1,B831='112'!$K$9,OR($N831='112'!$I$6,$O831='112'!$I$6))),"x",""))</f>
        <v/>
      </c>
      <c r="U831" s="84" t="str">
        <f>IF(ISERROR(FIND('112'!$M$9,G831,1)),"",IF((AND(LEFT(G831,2)=LEFT('112'!$M$9,2),B831&lt;'112'!$K$9,$N831='112'!$I$6)),"x",""))</f>
        <v/>
      </c>
      <c r="V831" s="84" t="str">
        <f>IF(ISERROR(FIND('112'!$M$9,G831,1)),"",IF((AND(RIGHT(G831,2)=RIGHT('112'!$M$9,2),B831&lt;'112'!$K$9,$O831='112'!$I$6)),"x",""))</f>
        <v/>
      </c>
      <c r="W831" s="84" t="str">
        <f>IF(AND('341-CT'!$H$9=H831,OR(LEFT(N831,3)=$W$7,LEFT(O831,3)=$W$7)),"x","")</f>
        <v/>
      </c>
      <c r="X831" s="84" t="str">
        <f>IF(OR(TH!N831=TH!$X$7,O831=TH!$X$7),"x","")</f>
        <v/>
      </c>
      <c r="Y831" s="84" t="str">
        <f>IF(AND(OR(N831="131",O831="131"),H831='131-CT'!$H$9),"x","")</f>
        <v/>
      </c>
      <c r="Z831" s="84"/>
      <c r="AA831" s="84" t="str">
        <f>IF(AND(MONTH(E831)='IN-NX'!$J$5,'IN-NX'!$D$7=D831),"x","")</f>
        <v/>
      </c>
      <c r="AB831" s="84" t="str">
        <f>IF(AND(OR(LEFT(TH!N831,2)="15",LEFT(TH!O831,2)="15"),LEFT(TH!O831,3)&lt;&gt;"111",'152-CT'!$J$8=TH!F831),"x","")</f>
        <v/>
      </c>
      <c r="AC831" s="84" t="str">
        <f>IF(AND(OR(LEFT(TH!N831,2)="15",LEFT(TH!O831,2)="15"),TK!$E$7=TH!F831),"x","")</f>
        <v/>
      </c>
      <c r="AD831" s="84" t="str">
        <f>IF(AND(N831="1521",MONTH(C831)='BK-NL'!$M$11),"x","")</f>
        <v/>
      </c>
    </row>
    <row r="832" spans="1:30" ht="15.75" hidden="1" customHeight="1">
      <c r="A832" s="336" t="str">
        <f>IF(B832&lt;&gt;"",IF(AND(B832='IN-TC'!$S$4,OR(TH!N832="1111",TH!O832="1111")),TH!D832,""),"")</f>
        <v/>
      </c>
      <c r="B832" s="63">
        <f t="shared" si="165"/>
        <v>1</v>
      </c>
      <c r="C832" s="64">
        <v>42398</v>
      </c>
      <c r="D832" s="64" t="s">
        <v>705</v>
      </c>
      <c r="E832" s="64">
        <v>42398</v>
      </c>
      <c r="F832" s="73" t="s">
        <v>1445</v>
      </c>
      <c r="G832" s="67" t="s">
        <v>919</v>
      </c>
      <c r="H832" s="73"/>
      <c r="I832" s="439"/>
      <c r="J832" s="439"/>
      <c r="K832" s="430">
        <v>19400</v>
      </c>
      <c r="L832" s="439">
        <v>22225</v>
      </c>
      <c r="M832" s="83">
        <f t="shared" si="164"/>
        <v>431165000</v>
      </c>
      <c r="N832" s="66" t="s">
        <v>26</v>
      </c>
      <c r="O832" s="66" t="s">
        <v>266</v>
      </c>
      <c r="P832" s="84" t="str">
        <f>IF(AND('331-CT'!$E$7=TH!H832,OR(N832="331",O832="331")),"x","")</f>
        <v/>
      </c>
      <c r="Q832" s="84" t="str">
        <f>IF(AND(B832='111'!$L$11,OR($N832=$Q$7,$O832=$Q$7)),"x","")</f>
        <v/>
      </c>
      <c r="R832" s="84" t="str">
        <f>IF(AND($N832=$Q$7,$B832&lt;'111'!$L$11),"x","")</f>
        <v/>
      </c>
      <c r="S832" s="84" t="str">
        <f>IF(AND($O832=$Q$7,$B832&lt;'111'!$L$11),"x","")</f>
        <v/>
      </c>
      <c r="T832" s="84" t="str">
        <f>IF(ISERROR(FIND('112'!$M$9,G832,1)),"",IF((AND(FIND('112'!$M$9,G832,1)&gt;=1,B832='112'!$K$9,OR($N832='112'!$I$6,$O832='112'!$I$6))),"x",""))</f>
        <v/>
      </c>
      <c r="U832" s="84" t="str">
        <f>IF(ISERROR(FIND('112'!$M$9,G832,1)),"",IF((AND(LEFT(G832,2)=LEFT('112'!$M$9,2),B832&lt;'112'!$K$9,$N832='112'!$I$6)),"x",""))</f>
        <v>x</v>
      </c>
      <c r="V832" s="84" t="str">
        <f>IF(ISERROR(FIND('112'!$M$9,G832,1)),"",IF((AND(RIGHT(G832,2)=RIGHT('112'!$M$9,2),B832&lt;'112'!$K$9,$O832='112'!$I$6)),"x",""))</f>
        <v/>
      </c>
      <c r="W832" s="84" t="str">
        <f>IF(AND('341-CT'!$H$9=H832,OR(LEFT(N832,3)=$W$7,LEFT(O832,3)=$W$7)),"x","")</f>
        <v/>
      </c>
      <c r="X832" s="84" t="str">
        <f>IF(OR(TH!N832=TH!$X$7,O832=TH!$X$7),"x","")</f>
        <v/>
      </c>
      <c r="Y832" s="84" t="str">
        <f>IF(AND(OR(N832="131",O832="131"),H832='131-CT'!$H$9),"x","")</f>
        <v/>
      </c>
      <c r="Z832" s="84"/>
      <c r="AA832" s="84" t="str">
        <f>IF(AND(MONTH(E832)='IN-NX'!$J$5,'IN-NX'!$D$7=D832),"x","")</f>
        <v/>
      </c>
      <c r="AB832" s="84" t="str">
        <f>IF(AND(OR(LEFT(TH!N832,2)="15",LEFT(TH!O832,2)="15"),LEFT(TH!O832,3)&lt;&gt;"111",'152-CT'!$J$8=TH!F832),"x","")</f>
        <v/>
      </c>
      <c r="AC832" s="84" t="str">
        <f>IF(AND(OR(LEFT(TH!N832,2)="15",LEFT(TH!O832,2)="15"),TK!$E$7=TH!F832),"x","")</f>
        <v/>
      </c>
      <c r="AD832" s="84" t="str">
        <f>IF(AND(N832="1521",MONTH(C832)='BK-NL'!$M$11),"x","")</f>
        <v/>
      </c>
    </row>
    <row r="833" spans="1:31" ht="15.75" hidden="1" customHeight="1">
      <c r="A833" s="336" t="str">
        <f>IF(B833&lt;&gt;"",IF(AND(B833='IN-TC'!$S$4,OR(TH!N833="1111",TH!O833="1111")),TH!D833,""),"")</f>
        <v/>
      </c>
      <c r="B833" s="63">
        <f t="shared" si="165"/>
        <v>1</v>
      </c>
      <c r="C833" s="64">
        <v>42398</v>
      </c>
      <c r="D833" s="64" t="s">
        <v>705</v>
      </c>
      <c r="E833" s="64">
        <v>42398</v>
      </c>
      <c r="F833" s="514" t="s">
        <v>718</v>
      </c>
      <c r="G833" s="67" t="s">
        <v>918</v>
      </c>
      <c r="H833" s="73" t="s">
        <v>719</v>
      </c>
      <c r="I833" s="439"/>
      <c r="J833" s="439"/>
      <c r="K833" s="430">
        <v>52300</v>
      </c>
      <c r="L833" s="439">
        <v>22490</v>
      </c>
      <c r="M833" s="83">
        <f t="shared" si="164"/>
        <v>1176227000</v>
      </c>
      <c r="N833" s="66" t="s">
        <v>260</v>
      </c>
      <c r="O833" s="66" t="s">
        <v>266</v>
      </c>
      <c r="P833" s="84" t="str">
        <f>IF(AND('331-CT'!$E$7=TH!H833,OR(N833="331",O833="331")),"x","")</f>
        <v/>
      </c>
      <c r="Q833" s="84" t="str">
        <f>IF(AND(B833='111'!$L$11,OR($N833=$Q$7,$O833=$Q$7)),"x","")</f>
        <v/>
      </c>
      <c r="R833" s="84" t="str">
        <f>IF(AND($N833=$Q$7,$B833&lt;'111'!$L$11),"x","")</f>
        <v/>
      </c>
      <c r="S833" s="84" t="str">
        <f>IF(AND($O833=$Q$7,$B833&lt;'111'!$L$11),"x","")</f>
        <v/>
      </c>
      <c r="T833" s="84" t="str">
        <f>IF(ISERROR(FIND('112'!$M$9,G833,1)),"",IF((AND(FIND('112'!$M$9,G833,1)&gt;=1,B833='112'!$K$9,OR($N833='112'!$I$6,$O833='112'!$I$6))),"x",""))</f>
        <v/>
      </c>
      <c r="U833" s="84" t="str">
        <f>IF(ISERROR(FIND('112'!$M$9,G833,1)),"",IF((AND(LEFT(G833,2)=LEFT('112'!$M$9,2),B833&lt;'112'!$K$9,$N833='112'!$I$6)),"x",""))</f>
        <v/>
      </c>
      <c r="V833" s="84" t="str">
        <f>IF(ISERROR(FIND('112'!$M$9,G833,1)),"",IF((AND(RIGHT(G833,2)=RIGHT('112'!$M$9,2),B833&lt;'112'!$K$9,$O833='112'!$I$6)),"x",""))</f>
        <v/>
      </c>
      <c r="W833" s="84" t="str">
        <f>IF(AND('341-CT'!$H$9=H833,OR(LEFT(N833,3)=$W$7,LEFT(O833,3)=$W$7)),"x","")</f>
        <v/>
      </c>
      <c r="X833" s="84" t="str">
        <f>IF(OR(TH!N833=TH!$X$7,O833=TH!$X$7),"x","")</f>
        <v/>
      </c>
      <c r="Y833" s="84" t="str">
        <f>IF(AND(OR(N833="131",O833="131"),H833='131-CT'!$H$9),"x","")</f>
        <v/>
      </c>
      <c r="Z833" s="84"/>
      <c r="AA833" s="84" t="str">
        <f>IF(AND(MONTH(E833)='IN-NX'!$J$5,'IN-NX'!$D$7=D833),"x","")</f>
        <v/>
      </c>
      <c r="AB833" s="84" t="str">
        <f>IF(AND(OR(LEFT(TH!N833,2)="15",LEFT(TH!O833,2)="15"),LEFT(TH!O833,3)&lt;&gt;"111",'152-CT'!$J$8=TH!F833),"x","")</f>
        <v/>
      </c>
      <c r="AC833" s="84" t="str">
        <f>IF(AND(OR(LEFT(TH!N833,2)="15",LEFT(TH!O833,2)="15"),TK!$E$7=TH!F833),"x","")</f>
        <v/>
      </c>
      <c r="AD833" s="84" t="str">
        <f>IF(AND(N833="1521",MONTH(C833)='BK-NL'!$M$11),"x","")</f>
        <v/>
      </c>
    </row>
    <row r="834" spans="1:31" ht="15.75" hidden="1" customHeight="1">
      <c r="A834" s="336" t="str">
        <f>IF(B834&lt;&gt;"",IF(AND(B834='IN-TC'!$S$4,OR(TH!N834="1111",TH!O834="1111")),TH!D834,""),"")</f>
        <v/>
      </c>
      <c r="B834" s="63">
        <f t="shared" si="165"/>
        <v>1</v>
      </c>
      <c r="C834" s="64">
        <v>42398</v>
      </c>
      <c r="D834" s="64" t="s">
        <v>705</v>
      </c>
      <c r="E834" s="64">
        <v>42398</v>
      </c>
      <c r="F834" s="345" t="s">
        <v>756</v>
      </c>
      <c r="G834" s="67" t="s">
        <v>918</v>
      </c>
      <c r="H834" s="73" t="s">
        <v>719</v>
      </c>
      <c r="I834" s="439"/>
      <c r="J834" s="439"/>
      <c r="K834" s="430">
        <v>81.36</v>
      </c>
      <c r="L834" s="439">
        <v>22490</v>
      </c>
      <c r="M834" s="83">
        <f t="shared" si="164"/>
        <v>1829786</v>
      </c>
      <c r="N834" s="66" t="s">
        <v>99</v>
      </c>
      <c r="O834" s="66" t="s">
        <v>266</v>
      </c>
      <c r="P834" s="84" t="str">
        <f>IF(AND('331-CT'!$E$7=TH!H834,OR(N834="331",O834="331")),"x","")</f>
        <v/>
      </c>
      <c r="Q834" s="84" t="str">
        <f>IF(AND(B834='111'!$L$11,OR($N834=$Q$7,$O834=$Q$7)),"x","")</f>
        <v/>
      </c>
      <c r="R834" s="84" t="str">
        <f>IF(AND($N834=$Q$7,$B834&lt;'111'!$L$11),"x","")</f>
        <v/>
      </c>
      <c r="S834" s="84" t="str">
        <f>IF(AND($O834=$Q$7,$B834&lt;'111'!$L$11),"x","")</f>
        <v/>
      </c>
      <c r="T834" s="84" t="str">
        <f>IF(ISERROR(FIND('112'!$M$9,G834,1)),"",IF((AND(FIND('112'!$M$9,G834,1)&gt;=1,B834='112'!$K$9,OR($N834='112'!$I$6,$O834='112'!$I$6))),"x",""))</f>
        <v/>
      </c>
      <c r="U834" s="84" t="str">
        <f>IF(ISERROR(FIND('112'!$M$9,G834,1)),"",IF((AND(LEFT(G834,2)=LEFT('112'!$M$9,2),B834&lt;'112'!$K$9,$N834='112'!$I$6)),"x",""))</f>
        <v/>
      </c>
      <c r="V834" s="84" t="str">
        <f>IF(ISERROR(FIND('112'!$M$9,G834,1)),"",IF((AND(RIGHT(G834,2)=RIGHT('112'!$M$9,2),B834&lt;'112'!$K$9,$O834='112'!$I$6)),"x",""))</f>
        <v/>
      </c>
      <c r="W834" s="84" t="str">
        <f>IF(AND('341-CT'!$H$9=H834,OR(LEFT(N834,3)=$W$7,LEFT(O834,3)=$W$7)),"x","")</f>
        <v/>
      </c>
      <c r="X834" s="84" t="str">
        <f>IF(OR(TH!N834=TH!$X$7,O834=TH!$X$7),"x","")</f>
        <v/>
      </c>
      <c r="Y834" s="84" t="str">
        <f>IF(AND(OR(N834="131",O834="131"),H834='131-CT'!$H$9),"x","")</f>
        <v/>
      </c>
      <c r="Z834" s="84"/>
      <c r="AA834" s="84" t="str">
        <f>IF(AND(MONTH(E834)='IN-NX'!$J$5,'IN-NX'!$D$7=D834),"x","")</f>
        <v/>
      </c>
      <c r="AB834" s="84" t="str">
        <f>IF(AND(OR(LEFT(TH!N834,2)="15",LEFT(TH!O834,2)="15"),LEFT(TH!O834,3)&lt;&gt;"111",'152-CT'!$J$8=TH!F834),"x","")</f>
        <v/>
      </c>
      <c r="AC834" s="84" t="str">
        <f>IF(AND(OR(LEFT(TH!N834,2)="15",LEFT(TH!O834,2)="15"),TK!$E$7=TH!F834),"x","")</f>
        <v/>
      </c>
      <c r="AD834" s="84" t="str">
        <f>IF(AND(N834="1521",MONTH(C834)='BK-NL'!$M$11),"x","")</f>
        <v/>
      </c>
    </row>
    <row r="835" spans="1:31" ht="15.75" hidden="1" customHeight="1">
      <c r="A835" s="336" t="str">
        <f>IF(B835&lt;&gt;"",IF(AND(B835='IN-TC'!$S$4,OR(TH!N835="1111",TH!O835="1111")),TH!D835,""),"")</f>
        <v/>
      </c>
      <c r="B835" s="63">
        <f t="shared" si="165"/>
        <v>1</v>
      </c>
      <c r="C835" s="64">
        <v>42398</v>
      </c>
      <c r="D835" s="64" t="s">
        <v>582</v>
      </c>
      <c r="E835" s="64">
        <v>42398</v>
      </c>
      <c r="F835" s="514" t="s">
        <v>735</v>
      </c>
      <c r="G835" s="67" t="s">
        <v>918</v>
      </c>
      <c r="H835" s="73" t="s">
        <v>719</v>
      </c>
      <c r="I835" s="439"/>
      <c r="J835" s="439"/>
      <c r="K835" s="430"/>
      <c r="L835" s="439"/>
      <c r="M835" s="65">
        <v>21443000</v>
      </c>
      <c r="N835" s="66" t="s">
        <v>99</v>
      </c>
      <c r="O835" s="66" t="s">
        <v>260</v>
      </c>
      <c r="P835" s="84" t="str">
        <f>IF(AND('331-CT'!$E$7=TH!H835,OR(N835="331",O835="331")),"x","")</f>
        <v/>
      </c>
      <c r="Q835" s="84" t="str">
        <f>IF(AND(B835='111'!$L$11,OR($N835=$Q$7,$O835=$Q$7)),"x","")</f>
        <v/>
      </c>
      <c r="R835" s="84" t="str">
        <f>IF(AND($N835=$Q$7,$B835&lt;'111'!$L$11),"x","")</f>
        <v/>
      </c>
      <c r="S835" s="84" t="str">
        <f>IF(AND($O835=$Q$7,$B835&lt;'111'!$L$11),"x","")</f>
        <v/>
      </c>
      <c r="T835" s="84" t="str">
        <f>IF(ISERROR(FIND('112'!$M$9,G835,1)),"",IF((AND(FIND('112'!$M$9,G835,1)&gt;=1,B835='112'!$K$9,OR($N835='112'!$I$6,$O835='112'!$I$6))),"x",""))</f>
        <v/>
      </c>
      <c r="U835" s="84" t="str">
        <f>IF(ISERROR(FIND('112'!$M$9,G835,1)),"",IF((AND(LEFT(G835,2)=LEFT('112'!$M$9,2),B835&lt;'112'!$K$9,$N835='112'!$I$6)),"x",""))</f>
        <v/>
      </c>
      <c r="V835" s="84" t="str">
        <f>IF(ISERROR(FIND('112'!$M$9,G835,1)),"",IF((AND(RIGHT(G835,2)=RIGHT('112'!$M$9,2),B835&lt;'112'!$K$9,$O835='112'!$I$6)),"x",""))</f>
        <v/>
      </c>
      <c r="W835" s="84" t="str">
        <f>IF(AND('341-CT'!$H$9=H835,OR(LEFT(N835,3)=$W$7,LEFT(O835,3)=$W$7)),"x","")</f>
        <v/>
      </c>
      <c r="X835" s="84" t="str">
        <f>IF(OR(TH!N835=TH!$X$7,O835=TH!$X$7),"x","")</f>
        <v/>
      </c>
      <c r="Y835" s="84" t="str">
        <f>IF(AND(OR(N835="131",O835="131"),H835='131-CT'!$H$9),"x","")</f>
        <v/>
      </c>
      <c r="Z835" s="84"/>
      <c r="AA835" s="84" t="str">
        <f>IF(AND(MONTH(E835)='IN-NX'!$J$5,'IN-NX'!$D$7=D835),"x","")</f>
        <v/>
      </c>
      <c r="AB835" s="84" t="str">
        <f>IF(AND(OR(LEFT(TH!N835,2)="15",LEFT(TH!O835,2)="15"),LEFT(TH!O835,3)&lt;&gt;"111",'152-CT'!$J$8=TH!F835),"x","")</f>
        <v/>
      </c>
      <c r="AC835" s="84" t="str">
        <f>IF(AND(OR(LEFT(TH!N835,2)="15",LEFT(TH!O835,2)="15"),TK!$E$7=TH!F835),"x","")</f>
        <v/>
      </c>
      <c r="AD835" s="84" t="str">
        <f>IF(AND(N835="1521",MONTH(C835)='BK-NL'!$M$11),"x","")</f>
        <v/>
      </c>
    </row>
    <row r="836" spans="1:31" ht="15.75" hidden="1" customHeight="1">
      <c r="A836" s="336" t="str">
        <f>IF(B836&lt;&gt;"",IF(AND(B836='IN-TC'!$S$4,OR(TH!N836="1111",TH!O836="1111")),TH!D836,""),"")</f>
        <v/>
      </c>
      <c r="B836" s="63">
        <f t="shared" si="165"/>
        <v>1</v>
      </c>
      <c r="C836" s="94">
        <v>42398</v>
      </c>
      <c r="D836" s="64" t="s">
        <v>702</v>
      </c>
      <c r="E836" s="94">
        <v>42398</v>
      </c>
      <c r="F836" s="514" t="s">
        <v>762</v>
      </c>
      <c r="G836" s="95"/>
      <c r="H836" s="96"/>
      <c r="I836" s="445"/>
      <c r="J836" s="445"/>
      <c r="K836" s="436"/>
      <c r="L836" s="445"/>
      <c r="M836" s="97">
        <v>9640081</v>
      </c>
      <c r="N836" s="85" t="s">
        <v>266</v>
      </c>
      <c r="O836" s="66" t="s">
        <v>43</v>
      </c>
      <c r="P836" s="84" t="str">
        <f>IF(AND('331-CT'!$E$7=TH!H836,OR(N836="331",O836="331")),"x","")</f>
        <v/>
      </c>
      <c r="Q836" s="84" t="str">
        <f>IF(AND(B836='111'!$L$11,OR($N836=$Q$7,$O836=$Q$7)),"x","")</f>
        <v/>
      </c>
      <c r="R836" s="84" t="str">
        <f>IF(AND($N836=$Q$7,$B836&lt;'111'!$L$11),"x","")</f>
        <v/>
      </c>
      <c r="S836" s="84" t="str">
        <f>IF(AND($O836=$Q$7,$B836&lt;'111'!$L$11),"x","")</f>
        <v/>
      </c>
      <c r="T836" s="84" t="str">
        <f>IF(ISERROR(FIND('112'!$M$9,G836,1)),"",IF((AND(FIND('112'!$M$9,G836,1)&gt;=1,B836='112'!$K$9,OR($N836='112'!$I$6,$O836='112'!$I$6))),"x",""))</f>
        <v/>
      </c>
      <c r="U836" s="84" t="str">
        <f>IF(ISERROR(FIND('112'!$M$9,G836,1)),"",IF((AND(LEFT(G836,2)=LEFT('112'!$M$9,2),B836&lt;'112'!$K$9,$N836='112'!$I$6)),"x",""))</f>
        <v/>
      </c>
      <c r="V836" s="84" t="str">
        <f>IF(ISERROR(FIND('112'!$M$9,G836,1)),"",IF((AND(RIGHT(G836,2)=RIGHT('112'!$M$9,2),B836&lt;'112'!$K$9,$O836='112'!$I$6)),"x",""))</f>
        <v/>
      </c>
      <c r="W836" s="84" t="str">
        <f>IF(AND('341-CT'!$H$9=H836,OR(LEFT(N836,3)=$W$7,LEFT(O836,3)=$W$7)),"x","")</f>
        <v/>
      </c>
      <c r="X836" s="84" t="str">
        <f>IF(OR(TH!N836=TH!$X$7,O836=TH!$X$7),"x","")</f>
        <v/>
      </c>
      <c r="Y836" s="84" t="str">
        <f>IF(AND(OR(N836="131",O836="131"),H836='131-CT'!$H$9),"x","")</f>
        <v/>
      </c>
      <c r="Z836" s="84"/>
      <c r="AA836" s="84" t="str">
        <f>IF(AND(MONTH(E836)='IN-NX'!$J$5,'IN-NX'!$D$7=D836),"x","")</f>
        <v/>
      </c>
      <c r="AB836" s="84" t="str">
        <f>IF(AND(OR(LEFT(TH!N836,2)="15",LEFT(TH!O836,2)="15"),LEFT(TH!O836,3)&lt;&gt;"111",'152-CT'!$J$8=TH!F836),"x","")</f>
        <v/>
      </c>
      <c r="AC836" s="84" t="str">
        <f>IF(AND(OR(LEFT(TH!N836,2)="15",LEFT(TH!O836,2)="15"),TK!$E$7=TH!F836),"x","")</f>
        <v/>
      </c>
      <c r="AD836" s="84" t="str">
        <f>IF(AND(N836="1521",MONTH(C836)='BK-NL'!$M$11),"x","")</f>
        <v/>
      </c>
    </row>
    <row r="837" spans="1:31" ht="15.75" hidden="1" customHeight="1">
      <c r="A837" s="336" t="str">
        <f>IF(B837&lt;&gt;"",IF(AND(B837='IN-TC'!$S$4,OR(TH!N837="1111",TH!O837="1111")),TH!D837,""),"")</f>
        <v/>
      </c>
      <c r="B837" s="63">
        <f t="shared" si="165"/>
        <v>1</v>
      </c>
      <c r="C837" s="64">
        <v>42398</v>
      </c>
      <c r="D837" s="64" t="s">
        <v>702</v>
      </c>
      <c r="E837" s="64">
        <v>42398</v>
      </c>
      <c r="F837" s="514" t="s">
        <v>741</v>
      </c>
      <c r="G837" s="67" t="s">
        <v>918</v>
      </c>
      <c r="H837" s="73" t="s">
        <v>742</v>
      </c>
      <c r="I837" s="439"/>
      <c r="J837" s="439"/>
      <c r="K837" s="430">
        <v>52300</v>
      </c>
      <c r="L837" s="439">
        <f>M837/K837</f>
        <v>22220</v>
      </c>
      <c r="M837" s="65">
        <v>1162106000</v>
      </c>
      <c r="N837" s="66" t="s">
        <v>26</v>
      </c>
      <c r="O837" s="66" t="s">
        <v>260</v>
      </c>
      <c r="P837" s="84" t="str">
        <f>IF(AND('331-CT'!$E$7=TH!H837,OR(N837="331",O837="331")),"x","")</f>
        <v/>
      </c>
      <c r="Q837" s="84" t="str">
        <f>IF(AND(B837='111'!$L$11,OR($N837=$Q$7,$O837=$Q$7)),"x","")</f>
        <v/>
      </c>
      <c r="R837" s="84" t="str">
        <f>IF(AND($N837=$Q$7,$B837&lt;'111'!$L$11),"x","")</f>
        <v/>
      </c>
      <c r="S837" s="84" t="str">
        <f>IF(AND($O837=$Q$7,$B837&lt;'111'!$L$11),"x","")</f>
        <v/>
      </c>
      <c r="T837" s="84" t="str">
        <f>IF(ISERROR(FIND('112'!$M$9,G837,1)),"",IF((AND(FIND('112'!$M$9,G837,1)&gt;=1,B837='112'!$K$9,OR($N837='112'!$I$6,$O837='112'!$I$6))),"x",""))</f>
        <v/>
      </c>
      <c r="U837" s="84" t="str">
        <f>IF(ISERROR(FIND('112'!$M$9,G837,1)),"",IF((AND(LEFT(G837,2)=LEFT('112'!$M$9,2),B837&lt;'112'!$K$9,$N837='112'!$I$6)),"x",""))</f>
        <v/>
      </c>
      <c r="V837" s="84" t="str">
        <f>IF(ISERROR(FIND('112'!$M$9,G837,1)),"",IF((AND(RIGHT(G837,2)=RIGHT('112'!$M$9,2),B837&lt;'112'!$K$9,$O837='112'!$I$6)),"x",""))</f>
        <v/>
      </c>
      <c r="W837" s="84" t="str">
        <f>IF(AND('341-CT'!$H$9=H837,OR(LEFT(N837,3)=$W$7,LEFT(O837,3)=$W$7)),"x","")</f>
        <v/>
      </c>
      <c r="X837" s="84" t="str">
        <f>IF(OR(TH!N837=TH!$X$7,O837=TH!$X$7),"x","")</f>
        <v/>
      </c>
      <c r="Y837" s="84" t="str">
        <f>IF(AND(OR(N837="131",O837="131"),H837='131-CT'!$H$9),"x","")</f>
        <v/>
      </c>
      <c r="Z837" s="84"/>
      <c r="AA837" s="84" t="str">
        <f>IF(AND(MONTH(E837)='IN-NX'!$J$5,'IN-NX'!$D$7=D837),"x","")</f>
        <v/>
      </c>
      <c r="AB837" s="84" t="str">
        <f>IF(AND(OR(LEFT(TH!N837,2)="15",LEFT(TH!O837,2)="15"),LEFT(TH!O837,3)&lt;&gt;"111",'152-CT'!$J$8=TH!F837),"x","")</f>
        <v/>
      </c>
      <c r="AC837" s="84" t="str">
        <f>IF(AND(OR(LEFT(TH!N837,2)="15",LEFT(TH!O837,2)="15"),TK!$E$7=TH!F837),"x","")</f>
        <v/>
      </c>
      <c r="AD837" s="84" t="str">
        <f>IF(AND(N837="1521",MONTH(C837)='BK-NL'!$M$11),"x","")</f>
        <v/>
      </c>
    </row>
    <row r="838" spans="1:31" ht="15.75" hidden="1" customHeight="1">
      <c r="A838" s="336" t="str">
        <f>IF(B838&lt;&gt;"",IF(AND(B838='IN-TC'!$S$4,OR(TH!N838="1111",TH!O838="1111")),TH!D838,""),"")</f>
        <v/>
      </c>
      <c r="B838" s="63">
        <f t="shared" si="165"/>
        <v>1</v>
      </c>
      <c r="C838" s="64">
        <v>42398</v>
      </c>
      <c r="D838" s="64" t="s">
        <v>913</v>
      </c>
      <c r="E838" s="64">
        <v>42398</v>
      </c>
      <c r="F838" s="514" t="s">
        <v>739</v>
      </c>
      <c r="G838" s="67" t="s">
        <v>918</v>
      </c>
      <c r="H838" s="67" t="s">
        <v>763</v>
      </c>
      <c r="I838" s="439"/>
      <c r="J838" s="439"/>
      <c r="K838" s="430"/>
      <c r="L838" s="439"/>
      <c r="M838" s="65">
        <v>2000000</v>
      </c>
      <c r="N838" s="66" t="s">
        <v>26</v>
      </c>
      <c r="O838" s="66" t="s">
        <v>63</v>
      </c>
      <c r="P838" s="84" t="str">
        <f>IF(AND('331-CT'!$E$7=TH!H838,OR(N838="331",O838="331")),"x","")</f>
        <v/>
      </c>
      <c r="Q838" s="84" t="str">
        <f>IF(AND(B838='111'!$L$11,OR($N838=$Q$7,$O838=$Q$7)),"x","")</f>
        <v>x</v>
      </c>
      <c r="R838" s="84" t="str">
        <f>IF(AND($N838=$Q$7,$B838&lt;'111'!$L$11),"x","")</f>
        <v/>
      </c>
      <c r="S838" s="84" t="str">
        <f>IF(AND($O838=$Q$7,$B838&lt;'111'!$L$11),"x","")</f>
        <v/>
      </c>
      <c r="T838" s="84" t="str">
        <f>IF(ISERROR(FIND('112'!$M$9,G838,1)),"",IF((AND(FIND('112'!$M$9,G838,1)&gt;=1,B838='112'!$K$9,OR($N838='112'!$I$6,$O838='112'!$I$6))),"x",""))</f>
        <v/>
      </c>
      <c r="U838" s="84" t="str">
        <f>IF(ISERROR(FIND('112'!$M$9,G838,1)),"",IF((AND(LEFT(G838,2)=LEFT('112'!$M$9,2),B838&lt;'112'!$K$9,$N838='112'!$I$6)),"x",""))</f>
        <v/>
      </c>
      <c r="V838" s="84" t="str">
        <f>IF(ISERROR(FIND('112'!$M$9,G838,1)),"",IF((AND(RIGHT(G838,2)=RIGHT('112'!$M$9,2),B838&lt;'112'!$K$9,$O838='112'!$I$6)),"x",""))</f>
        <v/>
      </c>
      <c r="W838" s="84" t="str">
        <f>IF(AND('341-CT'!$H$9=H838,OR(LEFT(N838,3)=$W$7,LEFT(O838,3)=$W$7)),"x","")</f>
        <v/>
      </c>
      <c r="X838" s="84" t="str">
        <f>IF(OR(TH!N838=TH!$X$7,O838=TH!$X$7),"x","")</f>
        <v/>
      </c>
      <c r="Y838" s="84" t="str">
        <f>IF(AND(OR(N838="131",O838="131"),H838='131-CT'!$H$9),"x","")</f>
        <v/>
      </c>
      <c r="Z838" s="84"/>
      <c r="AA838" s="84" t="str">
        <f>IF(AND(MONTH(E838)='IN-NX'!$J$5,'IN-NX'!$D$7=D838),"x","")</f>
        <v/>
      </c>
      <c r="AB838" s="84" t="str">
        <f>IF(AND(OR(LEFT(TH!N838,2)="15",LEFT(TH!O838,2)="15"),LEFT(TH!O838,3)&lt;&gt;"111",'152-CT'!$J$8=TH!F838),"x","")</f>
        <v/>
      </c>
      <c r="AC838" s="84" t="str">
        <f>IF(AND(OR(LEFT(TH!N838,2)="15",LEFT(TH!O838,2)="15"),TK!$E$7=TH!F838),"x","")</f>
        <v/>
      </c>
      <c r="AD838" s="84" t="str">
        <f>IF(AND(N838="1521",MONTH(C838)='BK-NL'!$M$11),"x","")</f>
        <v/>
      </c>
    </row>
    <row r="839" spans="1:31" ht="15.75" hidden="1" customHeight="1">
      <c r="A839" s="336" t="str">
        <f>IF(B839&lt;&gt;"",IF(AND(B839='IN-TC'!$S$4,OR(TH!N839="1111",TH!O839="1111")),TH!D839,""),"")</f>
        <v/>
      </c>
      <c r="B839" s="63">
        <f t="shared" si="165"/>
        <v>1</v>
      </c>
      <c r="C839" s="64">
        <v>42398</v>
      </c>
      <c r="D839" s="64" t="s">
        <v>910</v>
      </c>
      <c r="E839" s="64">
        <v>42398</v>
      </c>
      <c r="F839" s="514" t="s">
        <v>746</v>
      </c>
      <c r="G839" s="67" t="s">
        <v>919</v>
      </c>
      <c r="H839" s="74" t="s">
        <v>763</v>
      </c>
      <c r="I839" s="439"/>
      <c r="J839" s="439"/>
      <c r="K839" s="430"/>
      <c r="L839" s="439"/>
      <c r="M839" s="65">
        <v>370000000</v>
      </c>
      <c r="N839" s="66" t="s">
        <v>63</v>
      </c>
      <c r="O839" s="66" t="s">
        <v>26</v>
      </c>
      <c r="P839" s="84" t="str">
        <f>IF(AND('331-CT'!$E$7=TH!H839,OR(N839="331",O839="331")),"x","")</f>
        <v/>
      </c>
      <c r="Q839" s="84" t="str">
        <f>IF(AND(B839='111'!$L$11,OR($N839=$Q$7,$O839=$Q$7)),"x","")</f>
        <v>x</v>
      </c>
      <c r="R839" s="84" t="str">
        <f>IF(AND($N839=$Q$7,$B839&lt;'111'!$L$11),"x","")</f>
        <v/>
      </c>
      <c r="S839" s="84" t="str">
        <f>IF(AND($O839=$Q$7,$B839&lt;'111'!$L$11),"x","")</f>
        <v/>
      </c>
      <c r="T839" s="84" t="str">
        <f>IF(ISERROR(FIND('112'!$M$9,G839,1)),"",IF((AND(FIND('112'!$M$9,G839,1)&gt;=1,B839='112'!$K$9,OR($N839='112'!$I$6,$O839='112'!$I$6))),"x",""))</f>
        <v/>
      </c>
      <c r="U839" s="84" t="str">
        <f>IF(ISERROR(FIND('112'!$M$9,G839,1)),"",IF((AND(LEFT(G839,2)=LEFT('112'!$M$9,2),B839&lt;'112'!$K$9,$N839='112'!$I$6)),"x",""))</f>
        <v/>
      </c>
      <c r="V839" s="84" t="str">
        <f>IF(ISERROR(FIND('112'!$M$9,G839,1)),"",IF((AND(RIGHT(G839,2)=RIGHT('112'!$M$9,2),B839&lt;'112'!$K$9,$O839='112'!$I$6)),"x",""))</f>
        <v>x</v>
      </c>
      <c r="W839" s="84" t="str">
        <f>IF(AND('341-CT'!$H$9=H839,OR(LEFT(N839,3)=$W$7,LEFT(O839,3)=$W$7)),"x","")</f>
        <v/>
      </c>
      <c r="X839" s="84" t="str">
        <f>IF(OR(TH!N839=TH!$X$7,O839=TH!$X$7),"x","")</f>
        <v/>
      </c>
      <c r="Y839" s="84" t="str">
        <f>IF(AND(OR(N839="131",O839="131"),H839='131-CT'!$H$9),"x","")</f>
        <v/>
      </c>
      <c r="Z839" s="84"/>
      <c r="AA839" s="84" t="str">
        <f>IF(AND(MONTH(E839)='IN-NX'!$J$5,'IN-NX'!$D$7=D839),"x","")</f>
        <v/>
      </c>
      <c r="AB839" s="84" t="str">
        <f>IF(AND(OR(LEFT(TH!N839,2)="15",LEFT(TH!O839,2)="15"),LEFT(TH!O839,3)&lt;&gt;"111",'152-CT'!$J$8=TH!F839),"x","")</f>
        <v/>
      </c>
      <c r="AC839" s="84" t="str">
        <f>IF(AND(OR(LEFT(TH!N839,2)="15",LEFT(TH!O839,2)="15"),TK!$E$7=TH!F839),"x","")</f>
        <v/>
      </c>
      <c r="AD839" s="84" t="str">
        <f>IF(AND(N839="1521",MONTH(C839)='BK-NL'!$M$11),"x","")</f>
        <v/>
      </c>
    </row>
    <row r="840" spans="1:31" ht="15.75" hidden="1" customHeight="1">
      <c r="A840" s="336" t="str">
        <f>IF(B840&lt;&gt;"",IF(AND(B840='IN-TC'!$S$4,OR(TH!N840="1111",TH!O840="1111")),TH!D840,""),"")</f>
        <v/>
      </c>
      <c r="B840" s="63">
        <f t="shared" si="165"/>
        <v>1</v>
      </c>
      <c r="C840" s="64">
        <v>42398</v>
      </c>
      <c r="D840" s="64" t="s">
        <v>917</v>
      </c>
      <c r="E840" s="64">
        <v>42398</v>
      </c>
      <c r="F840" s="514" t="s">
        <v>755</v>
      </c>
      <c r="G840" s="67" t="s">
        <v>918</v>
      </c>
      <c r="H840" s="74" t="s">
        <v>763</v>
      </c>
      <c r="I840" s="442"/>
      <c r="J840" s="442"/>
      <c r="K840" s="433"/>
      <c r="L840" s="442"/>
      <c r="M840" s="65">
        <v>1170000000</v>
      </c>
      <c r="N840" s="66" t="s">
        <v>63</v>
      </c>
      <c r="O840" s="66" t="s">
        <v>26</v>
      </c>
      <c r="P840" s="84" t="str">
        <f>IF(AND('331-CT'!$E$7=TH!H840,OR(N840="331",O840="331")),"x","")</f>
        <v/>
      </c>
      <c r="Q840" s="84" t="str">
        <f>IF(AND(B840='111'!$L$11,OR($N840=$Q$7,$O840=$Q$7)),"x","")</f>
        <v>x</v>
      </c>
      <c r="R840" s="84" t="str">
        <f>IF(AND($N840=$Q$7,$B840&lt;'111'!$L$11),"x","")</f>
        <v/>
      </c>
      <c r="S840" s="84" t="str">
        <f>IF(AND($O840=$Q$7,$B840&lt;'111'!$L$11),"x","")</f>
        <v/>
      </c>
      <c r="T840" s="84" t="str">
        <f>IF(ISERROR(FIND('112'!$M$9,G840,1)),"",IF((AND(FIND('112'!$M$9,G840,1)&gt;=1,B840='112'!$K$9,OR($N840='112'!$I$6,$O840='112'!$I$6))),"x",""))</f>
        <v/>
      </c>
      <c r="U840" s="84" t="str">
        <f>IF(ISERROR(FIND('112'!$M$9,G840,1)),"",IF((AND(LEFT(G840,2)=LEFT('112'!$M$9,2),B840&lt;'112'!$K$9,$N840='112'!$I$6)),"x",""))</f>
        <v/>
      </c>
      <c r="V840" s="84" t="str">
        <f>IF(ISERROR(FIND('112'!$M$9,G840,1)),"",IF((AND(RIGHT(G840,2)=RIGHT('112'!$M$9,2),B840&lt;'112'!$K$9,$O840='112'!$I$6)),"x",""))</f>
        <v/>
      </c>
      <c r="W840" s="84" t="str">
        <f>IF(AND('341-CT'!$H$9=H840,OR(LEFT(N840,3)=$W$7,LEFT(O840,3)=$W$7)),"x","")</f>
        <v/>
      </c>
      <c r="X840" s="84" t="str">
        <f>IF(OR(TH!N840=TH!$X$7,O840=TH!$X$7),"x","")</f>
        <v/>
      </c>
      <c r="Y840" s="84" t="str">
        <f>IF(AND(OR(N840="131",O840="131"),H840='131-CT'!$H$9),"x","")</f>
        <v/>
      </c>
      <c r="Z840" s="84"/>
      <c r="AA840" s="84" t="str">
        <f>IF(AND(MONTH(E840)='IN-NX'!$J$5,'IN-NX'!$D$7=D840),"x","")</f>
        <v/>
      </c>
      <c r="AB840" s="84" t="str">
        <f>IF(AND(OR(LEFT(TH!N840,2)="15",LEFT(TH!O840,2)="15"),LEFT(TH!O840,3)&lt;&gt;"111",'152-CT'!$J$8=TH!F840),"x","")</f>
        <v/>
      </c>
      <c r="AC840" s="84" t="str">
        <f>IF(AND(OR(LEFT(TH!N840,2)="15",LEFT(TH!O840,2)="15"),TK!$E$7=TH!F840),"x","")</f>
        <v/>
      </c>
      <c r="AD840" s="84" t="str">
        <f>IF(AND(N840="1521",MONTH(C840)='BK-NL'!$M$11),"x","")</f>
        <v/>
      </c>
    </row>
    <row r="841" spans="1:31" ht="15.75" hidden="1" customHeight="1">
      <c r="A841" s="336" t="str">
        <f>IF(B841&lt;&gt;"",IF(AND(B841='IN-TC'!$S$4,OR(TH!N841="1111",TH!O841="1111")),TH!D841,""),"")</f>
        <v/>
      </c>
      <c r="B841" s="63">
        <f t="shared" si="165"/>
        <v>1</v>
      </c>
      <c r="C841" s="64">
        <v>42398</v>
      </c>
      <c r="D841" s="64" t="s">
        <v>705</v>
      </c>
      <c r="E841" s="64">
        <v>42398</v>
      </c>
      <c r="F841" s="514" t="s">
        <v>760</v>
      </c>
      <c r="G841" s="67" t="s">
        <v>918</v>
      </c>
      <c r="H841" s="73"/>
      <c r="I841" s="439"/>
      <c r="J841" s="439"/>
      <c r="K841" s="430"/>
      <c r="L841" s="439"/>
      <c r="M841" s="65">
        <v>20000</v>
      </c>
      <c r="N841" s="66" t="s">
        <v>101</v>
      </c>
      <c r="O841" s="66" t="s">
        <v>26</v>
      </c>
      <c r="P841" s="84" t="str">
        <f>IF(AND('331-CT'!$E$7=TH!H841,OR(N841="331",O841="331")),"x","")</f>
        <v/>
      </c>
      <c r="Q841" s="84" t="str">
        <f>IF(AND(B841='111'!$L$11,OR($N841=$Q$7,$O841=$Q$7)),"x","")</f>
        <v/>
      </c>
      <c r="R841" s="84" t="str">
        <f>IF(AND($N841=$Q$7,$B841&lt;'111'!$L$11),"x","")</f>
        <v/>
      </c>
      <c r="S841" s="84" t="str">
        <f>IF(AND($O841=$Q$7,$B841&lt;'111'!$L$11),"x","")</f>
        <v/>
      </c>
      <c r="T841" s="84" t="str">
        <f>IF(ISERROR(FIND('112'!$M$9,G841,1)),"",IF((AND(FIND('112'!$M$9,G841,1)&gt;=1,B841='112'!$K$9,OR($N841='112'!$I$6,$O841='112'!$I$6))),"x",""))</f>
        <v/>
      </c>
      <c r="U841" s="84" t="str">
        <f>IF(ISERROR(FIND('112'!$M$9,G841,1)),"",IF((AND(LEFT(G841,2)=LEFT('112'!$M$9,2),B841&lt;'112'!$K$9,$N841='112'!$I$6)),"x",""))</f>
        <v/>
      </c>
      <c r="V841" s="84" t="str">
        <f>IF(ISERROR(FIND('112'!$M$9,G841,1)),"",IF((AND(RIGHT(G841,2)=RIGHT('112'!$M$9,2),B841&lt;'112'!$K$9,$O841='112'!$I$6)),"x",""))</f>
        <v/>
      </c>
      <c r="W841" s="84" t="str">
        <f>IF(AND('341-CT'!$H$9=H841,OR(LEFT(N841,3)=$W$7,LEFT(O841,3)=$W$7)),"x","")</f>
        <v/>
      </c>
      <c r="X841" s="84" t="str">
        <f>IF(OR(TH!N841=TH!$X$7,O841=TH!$X$7),"x","")</f>
        <v/>
      </c>
      <c r="Y841" s="84" t="str">
        <f>IF(AND(OR(N841="131",O841="131"),H841='131-CT'!$H$9),"x","")</f>
        <v/>
      </c>
      <c r="Z841" s="84"/>
      <c r="AA841" s="84" t="str">
        <f>IF(AND(MONTH(E841)='IN-NX'!$J$5,'IN-NX'!$D$7=D841),"x","")</f>
        <v/>
      </c>
      <c r="AB841" s="84" t="str">
        <f>IF(AND(OR(LEFT(TH!N841,2)="15",LEFT(TH!O841,2)="15"),LEFT(TH!O841,3)&lt;&gt;"111",'152-CT'!$J$8=TH!F841),"x","")</f>
        <v/>
      </c>
      <c r="AC841" s="84" t="str">
        <f>IF(AND(OR(LEFT(TH!N841,2)="15",LEFT(TH!O841,2)="15"),TK!$E$7=TH!F841),"x","")</f>
        <v/>
      </c>
      <c r="AD841" s="84" t="str">
        <f>IF(AND(N841="1521",MONTH(C841)='BK-NL'!$M$11),"x","")</f>
        <v/>
      </c>
    </row>
    <row r="842" spans="1:31" ht="15.75" hidden="1" customHeight="1">
      <c r="A842" s="336" t="str">
        <f>IF(B842&lt;&gt;"",IF(AND(B842='IN-TC'!$S$4,OR(TH!N842="1111",TH!O842="1111")),TH!D842,""),"")</f>
        <v/>
      </c>
      <c r="B842" s="63">
        <f t="shared" si="165"/>
        <v>1</v>
      </c>
      <c r="C842" s="64">
        <v>42398</v>
      </c>
      <c r="D842" s="64" t="s">
        <v>705</v>
      </c>
      <c r="E842" s="64">
        <v>42398</v>
      </c>
      <c r="F842" s="514" t="s">
        <v>761</v>
      </c>
      <c r="G842" s="67" t="s">
        <v>918</v>
      </c>
      <c r="H842" s="73"/>
      <c r="I842" s="439"/>
      <c r="J842" s="439"/>
      <c r="K842" s="430"/>
      <c r="L842" s="439"/>
      <c r="M842" s="65">
        <v>2000</v>
      </c>
      <c r="N842" s="66" t="s">
        <v>9</v>
      </c>
      <c r="O842" s="66" t="s">
        <v>26</v>
      </c>
      <c r="P842" s="84" t="str">
        <f>IF(AND('331-CT'!$E$7=TH!H842,OR(N842="331",O842="331")),"x","")</f>
        <v/>
      </c>
      <c r="Q842" s="84" t="str">
        <f>IF(AND(B842='111'!$L$11,OR($N842=$Q$7,$O842=$Q$7)),"x","")</f>
        <v/>
      </c>
      <c r="R842" s="84" t="str">
        <f>IF(AND($N842=$Q$7,$B842&lt;'111'!$L$11),"x","")</f>
        <v/>
      </c>
      <c r="S842" s="84" t="str">
        <f>IF(AND($O842=$Q$7,$B842&lt;'111'!$L$11),"x","")</f>
        <v/>
      </c>
      <c r="T842" s="84" t="str">
        <f>IF(ISERROR(FIND('112'!$M$9,G842,1)),"",IF((AND(FIND('112'!$M$9,G842,1)&gt;=1,B842='112'!$K$9,OR($N842='112'!$I$6,$O842='112'!$I$6))),"x",""))</f>
        <v/>
      </c>
      <c r="U842" s="84" t="str">
        <f>IF(ISERROR(FIND('112'!$M$9,G842,1)),"",IF((AND(LEFT(G842,2)=LEFT('112'!$M$9,2),B842&lt;'112'!$K$9,$N842='112'!$I$6)),"x",""))</f>
        <v/>
      </c>
      <c r="V842" s="84" t="str">
        <f>IF(ISERROR(FIND('112'!$M$9,G842,1)),"",IF((AND(RIGHT(G842,2)=RIGHT('112'!$M$9,2),B842&lt;'112'!$K$9,$O842='112'!$I$6)),"x",""))</f>
        <v/>
      </c>
      <c r="W842" s="84" t="str">
        <f>IF(AND('341-CT'!$H$9=H842,OR(LEFT(N842,3)=$W$7,LEFT(O842,3)=$W$7)),"x","")</f>
        <v/>
      </c>
      <c r="X842" s="84" t="str">
        <f>IF(OR(TH!N842=TH!$X$7,O842=TH!$X$7),"x","")</f>
        <v/>
      </c>
      <c r="Y842" s="84" t="str">
        <f>IF(AND(OR(N842="131",O842="131"),H842='131-CT'!$H$9),"x","")</f>
        <v/>
      </c>
      <c r="Z842" s="84"/>
      <c r="AA842" s="84" t="str">
        <f>IF(AND(MONTH(E842)='IN-NX'!$J$5,'IN-NX'!$D$7=D842),"x","")</f>
        <v/>
      </c>
      <c r="AB842" s="84" t="str">
        <f>IF(AND(OR(LEFT(TH!N842,2)="15",LEFT(TH!O842,2)="15"),LEFT(TH!O842,3)&lt;&gt;"111",'152-CT'!$J$8=TH!F842),"x","")</f>
        <v/>
      </c>
      <c r="AC842" s="84" t="str">
        <f>IF(AND(OR(LEFT(TH!N842,2)="15",LEFT(TH!O842,2)="15"),TK!$E$7=TH!F842),"x","")</f>
        <v/>
      </c>
      <c r="AD842" s="84" t="str">
        <f>IF(AND(N842="1521",MONTH(C842)='BK-NL'!$M$11),"x","")</f>
        <v/>
      </c>
    </row>
    <row r="843" spans="1:31" ht="15.75" hidden="1" customHeight="1">
      <c r="A843" s="336" t="str">
        <f>IF(B843&lt;&gt;"",IF(AND(B843='IN-TC'!$S$4,OR(TH!N843="1111",TH!O843="1111")),TH!D843,""),"")</f>
        <v/>
      </c>
      <c r="B843" s="63">
        <f t="shared" si="165"/>
        <v>1</v>
      </c>
      <c r="C843" s="64">
        <v>42398</v>
      </c>
      <c r="D843" s="64" t="s">
        <v>914</v>
      </c>
      <c r="E843" s="64">
        <v>42398</v>
      </c>
      <c r="F843" s="514" t="s">
        <v>776</v>
      </c>
      <c r="G843" s="67" t="s">
        <v>840</v>
      </c>
      <c r="H843" s="346" t="s">
        <v>808</v>
      </c>
      <c r="I843" s="443"/>
      <c r="J843" s="443"/>
      <c r="K843" s="434"/>
      <c r="L843" s="443"/>
      <c r="M843" s="65">
        <v>660273</v>
      </c>
      <c r="N843" s="66" t="s">
        <v>101</v>
      </c>
      <c r="O843" s="66" t="s">
        <v>63</v>
      </c>
      <c r="P843" s="84" t="str">
        <f>IF(AND('331-CT'!$E$7=TH!H843,OR(N843="331",O843="331")),"x","")</f>
        <v/>
      </c>
      <c r="Q843" s="84" t="str">
        <f>IF(AND(B843='111'!$L$11,OR($N843=$Q$7,$O843=$Q$7)),"x","")</f>
        <v>x</v>
      </c>
      <c r="R843" s="84" t="str">
        <f>IF(AND($N843=$Q$7,$B843&lt;'111'!$L$11),"x","")</f>
        <v/>
      </c>
      <c r="S843" s="84" t="str">
        <f>IF(AND($O843=$Q$7,$B843&lt;'111'!$L$11),"x","")</f>
        <v/>
      </c>
      <c r="T843" s="84" t="str">
        <f>IF(ISERROR(FIND('112'!$M$9,G843,1)),"",IF((AND(FIND('112'!$M$9,G843,1)&gt;=1,B843='112'!$K$9,OR($N843='112'!$I$6,$O843='112'!$I$6))),"x",""))</f>
        <v/>
      </c>
      <c r="U843" s="84" t="str">
        <f>IF(ISERROR(FIND('112'!$M$9,G843,1)),"",IF((AND(LEFT(G843,2)=LEFT('112'!$M$9,2),B843&lt;'112'!$K$9,$N843='112'!$I$6)),"x",""))</f>
        <v/>
      </c>
      <c r="V843" s="84" t="str">
        <f>IF(ISERROR(FIND('112'!$M$9,G843,1)),"",IF((AND(RIGHT(G843,2)=RIGHT('112'!$M$9,2),B843&lt;'112'!$K$9,$O843='112'!$I$6)),"x",""))</f>
        <v/>
      </c>
      <c r="W843" s="84" t="str">
        <f>IF(AND('341-CT'!$H$9=H843,OR(LEFT(N843,3)=$W$7,LEFT(O843,3)=$W$7)),"x","")</f>
        <v/>
      </c>
      <c r="X843" s="84" t="str">
        <f>IF(OR(TH!N843=TH!$X$7,O843=TH!$X$7),"x","")</f>
        <v/>
      </c>
      <c r="Y843" s="84" t="str">
        <f>IF(AND(OR(N843="131",O843="131"),H843='131-CT'!$H$9),"x","")</f>
        <v/>
      </c>
      <c r="Z843" s="84"/>
      <c r="AA843" s="84" t="str">
        <f>IF(AND(MONTH(E843)='IN-NX'!$J$5,'IN-NX'!$D$7=D843),"x","")</f>
        <v/>
      </c>
      <c r="AB843" s="84" t="str">
        <f>IF(AND(OR(LEFT(TH!N843,2)="15",LEFT(TH!O843,2)="15"),LEFT(TH!O843,3)&lt;&gt;"111",'152-CT'!$J$8=TH!F843),"x","")</f>
        <v/>
      </c>
      <c r="AC843" s="84" t="str">
        <f>IF(AND(OR(LEFT(TH!N843,2)="15",LEFT(TH!O843,2)="15"),TK!$E$7=TH!F843),"x","")</f>
        <v/>
      </c>
      <c r="AD843" s="84" t="str">
        <f>IF(AND(N843="1521",MONTH(C843)='BK-NL'!$M$11),"x","")</f>
        <v/>
      </c>
    </row>
    <row r="844" spans="1:31" ht="15.75" hidden="1" customHeight="1">
      <c r="A844" s="336" t="str">
        <f>IF(B844&lt;&gt;"",IF(AND(B844='IN-TC'!$S$4,OR(TH!N844="1111",TH!O844="1111")),TH!D844,""),"")</f>
        <v/>
      </c>
      <c r="B844" s="63">
        <f t="shared" si="165"/>
        <v>1</v>
      </c>
      <c r="C844" s="64">
        <v>42398</v>
      </c>
      <c r="D844" s="64" t="s">
        <v>914</v>
      </c>
      <c r="E844" s="64">
        <v>42398</v>
      </c>
      <c r="F844" s="514" t="s">
        <v>777</v>
      </c>
      <c r="G844" s="67" t="s">
        <v>840</v>
      </c>
      <c r="H844" s="73" t="s">
        <v>808</v>
      </c>
      <c r="I844" s="439"/>
      <c r="J844" s="439"/>
      <c r="K844" s="430"/>
      <c r="L844" s="439"/>
      <c r="M844" s="65">
        <v>66027</v>
      </c>
      <c r="N844" s="66" t="s">
        <v>9</v>
      </c>
      <c r="O844" s="66" t="s">
        <v>63</v>
      </c>
      <c r="P844" s="84" t="str">
        <f>IF(AND('331-CT'!$E$7=TH!H844,OR(N844="331",O844="331")),"x","")</f>
        <v/>
      </c>
      <c r="Q844" s="84" t="str">
        <f>IF(AND(B844='111'!$L$11,OR($N844=$Q$7,$O844=$Q$7)),"x","")</f>
        <v>x</v>
      </c>
      <c r="R844" s="84" t="str">
        <f>IF(AND($N844=$Q$7,$B844&lt;'111'!$L$11),"x","")</f>
        <v/>
      </c>
      <c r="S844" s="84" t="str">
        <f>IF(AND($O844=$Q$7,$B844&lt;'111'!$L$11),"x","")</f>
        <v/>
      </c>
      <c r="T844" s="84" t="str">
        <f>IF(ISERROR(FIND('112'!$M$9,G844,1)),"",IF((AND(FIND('112'!$M$9,G844,1)&gt;=1,B844='112'!$K$9,OR($N844='112'!$I$6,$O844='112'!$I$6))),"x",""))</f>
        <v/>
      </c>
      <c r="U844" s="84" t="str">
        <f>IF(ISERROR(FIND('112'!$M$9,G844,1)),"",IF((AND(LEFT(G844,2)=LEFT('112'!$M$9,2),B844&lt;'112'!$K$9,$N844='112'!$I$6)),"x",""))</f>
        <v/>
      </c>
      <c r="V844" s="84" t="str">
        <f>IF(ISERROR(FIND('112'!$M$9,G844,1)),"",IF((AND(RIGHT(G844,2)=RIGHT('112'!$M$9,2),B844&lt;'112'!$K$9,$O844='112'!$I$6)),"x",""))</f>
        <v/>
      </c>
      <c r="W844" s="84" t="str">
        <f>IF(AND('341-CT'!$H$9=H844,OR(LEFT(N844,3)=$W$7,LEFT(O844,3)=$W$7)),"x","")</f>
        <v/>
      </c>
      <c r="X844" s="84" t="str">
        <f>IF(OR(TH!N844=TH!$X$7,O844=TH!$X$7),"x","")</f>
        <v/>
      </c>
      <c r="Y844" s="84" t="str">
        <f>IF(AND(OR(N844="131",O844="131"),H844='131-CT'!$H$9),"x","")</f>
        <v/>
      </c>
      <c r="Z844" s="84"/>
      <c r="AA844" s="84" t="str">
        <f>IF(AND(MONTH(E844)='IN-NX'!$J$5,'IN-NX'!$D$7=D844),"x","")</f>
        <v/>
      </c>
      <c r="AB844" s="84" t="str">
        <f>IF(AND(OR(LEFT(TH!N844,2)="15",LEFT(TH!O844,2)="15"),LEFT(TH!O844,3)&lt;&gt;"111",'152-CT'!$J$8=TH!F844),"x","")</f>
        <v/>
      </c>
      <c r="AC844" s="84" t="str">
        <f>IF(AND(OR(LEFT(TH!N844,2)="15",LEFT(TH!O844,2)="15"),TK!$E$7=TH!F844),"x","")</f>
        <v/>
      </c>
      <c r="AD844" s="84" t="str">
        <f>IF(AND(N844="1521",MONTH(C844)='BK-NL'!$M$11),"x","")</f>
        <v/>
      </c>
    </row>
    <row r="845" spans="1:31" ht="15.75" hidden="1" customHeight="1">
      <c r="A845" s="336" t="str">
        <f>IF(B845&lt;&gt;"",IF(AND(B845='IN-TC'!$S$4,OR(TH!N845="1111",TH!O845="1111")),TH!D845,""),"")</f>
        <v/>
      </c>
      <c r="B845" s="63">
        <f t="shared" si="165"/>
        <v>1</v>
      </c>
      <c r="C845" s="64">
        <v>42399</v>
      </c>
      <c r="D845" s="64" t="s">
        <v>705</v>
      </c>
      <c r="E845" s="64">
        <v>42399</v>
      </c>
      <c r="F845" s="514" t="s">
        <v>1096</v>
      </c>
      <c r="G845" s="67" t="s">
        <v>919</v>
      </c>
      <c r="H845" s="74" t="s">
        <v>634</v>
      </c>
      <c r="I845" s="442"/>
      <c r="J845" s="442"/>
      <c r="K845" s="433"/>
      <c r="L845" s="442"/>
      <c r="M845" s="65">
        <v>56980000</v>
      </c>
      <c r="N845" s="66" t="s">
        <v>8</v>
      </c>
      <c r="O845" s="66" t="s">
        <v>26</v>
      </c>
      <c r="P845" s="84" t="str">
        <f>IF(AND('331-CT'!$E$7=TH!H845,OR(N845="331",O845="331")),"x","")</f>
        <v/>
      </c>
      <c r="Q845" s="84" t="str">
        <f>IF(AND(B845='111'!$L$11,OR($N845=$Q$7,$O845=$Q$7)),"x","")</f>
        <v/>
      </c>
      <c r="R845" s="84" t="str">
        <f>IF(AND($N845=$Q$7,$B845&lt;'111'!$L$11),"x","")</f>
        <v/>
      </c>
      <c r="S845" s="84" t="str">
        <f>IF(AND($O845=$Q$7,$B845&lt;'111'!$L$11),"x","")</f>
        <v/>
      </c>
      <c r="T845" s="84" t="str">
        <f>IF(ISERROR(FIND('112'!$M$9,G845,1)),"",IF((AND(FIND('112'!$M$9,G845,1)&gt;=1,B845='112'!$K$9,OR($N845='112'!$I$6,$O845='112'!$I$6))),"x",""))</f>
        <v/>
      </c>
      <c r="U845" s="84" t="str">
        <f>IF(ISERROR(FIND('112'!$M$9,G845,1)),"",IF((AND(LEFT(G845,2)=LEFT('112'!$M$9,2),B845&lt;'112'!$K$9,$N845='112'!$I$6)),"x",""))</f>
        <v/>
      </c>
      <c r="V845" s="84" t="str">
        <f>IF(ISERROR(FIND('112'!$M$9,G845,1)),"",IF((AND(RIGHT(G845,2)=RIGHT('112'!$M$9,2),B845&lt;'112'!$K$9,$O845='112'!$I$6)),"x",""))</f>
        <v>x</v>
      </c>
      <c r="W845" s="84" t="str">
        <f>IF(AND('341-CT'!$H$9=H845,OR(LEFT(N845,3)=$W$7,LEFT(O845,3)=$W$7)),"x","")</f>
        <v/>
      </c>
      <c r="X845" s="84" t="str">
        <f>IF(OR(TH!N845=TH!$X$7,O845=TH!$X$7),"x","")</f>
        <v/>
      </c>
      <c r="Y845" s="84" t="str">
        <f>IF(AND(OR(N845="131",O845="131"),H845='131-CT'!$H$9),"x","")</f>
        <v/>
      </c>
      <c r="Z845" s="84"/>
      <c r="AA845" s="84" t="str">
        <f>IF(AND(MONTH(E845)='IN-NX'!$J$5,'IN-NX'!$D$7=D845),"x","")</f>
        <v/>
      </c>
      <c r="AB845" s="84" t="str">
        <f>IF(AND(OR(LEFT(TH!N845,2)="15",LEFT(TH!O845,2)="15"),LEFT(TH!O845,3)&lt;&gt;"111",'152-CT'!$J$8=TH!F845),"x","")</f>
        <v/>
      </c>
      <c r="AC845" s="84" t="str">
        <f>IF(AND(OR(LEFT(TH!N845,2)="15",LEFT(TH!O845,2)="15"),TK!$E$7=TH!F845),"x","")</f>
        <v/>
      </c>
      <c r="AD845" s="84" t="str">
        <f>IF(AND(N845="1521",MONTH(C845)='BK-NL'!$M$11),"x","")</f>
        <v/>
      </c>
      <c r="AE845" s="1146" t="str">
        <f>IF(H845&lt;&gt;VLOOKUP(H845,DSKH,1,0),"","x")</f>
        <v>x</v>
      </c>
    </row>
    <row r="846" spans="1:31" ht="15.75" hidden="1" customHeight="1">
      <c r="A846" s="336" t="str">
        <f>IF(B846&lt;&gt;"",IF(AND(B846='IN-TC'!$S$4,OR(TH!N846="1111",TH!O846="1111")),TH!D846,""),"")</f>
        <v/>
      </c>
      <c r="B846" s="63">
        <f t="shared" si="165"/>
        <v>1</v>
      </c>
      <c r="C846" s="64">
        <v>42399</v>
      </c>
      <c r="D846" s="64" t="s">
        <v>705</v>
      </c>
      <c r="E846" s="64">
        <v>42399</v>
      </c>
      <c r="F846" s="514" t="s">
        <v>743</v>
      </c>
      <c r="G846" s="67" t="s">
        <v>919</v>
      </c>
      <c r="H846" s="73"/>
      <c r="I846" s="439"/>
      <c r="J846" s="439"/>
      <c r="K846" s="430"/>
      <c r="L846" s="439"/>
      <c r="M846" s="65">
        <v>28490</v>
      </c>
      <c r="N846" s="66" t="s">
        <v>101</v>
      </c>
      <c r="O846" s="66" t="s">
        <v>26</v>
      </c>
      <c r="P846" s="84" t="str">
        <f>IF(AND('331-CT'!$E$7=TH!H846,OR(N846="331",O846="331")),"x","")</f>
        <v/>
      </c>
      <c r="Q846" s="84" t="str">
        <f>IF(AND(B846='111'!$L$11,OR($N846=$Q$7,$O846=$Q$7)),"x","")</f>
        <v/>
      </c>
      <c r="R846" s="84" t="str">
        <f>IF(AND($N846=$Q$7,$B846&lt;'111'!$L$11),"x","")</f>
        <v/>
      </c>
      <c r="S846" s="84" t="str">
        <f>IF(AND($O846=$Q$7,$B846&lt;'111'!$L$11),"x","")</f>
        <v/>
      </c>
      <c r="T846" s="84" t="str">
        <f>IF(ISERROR(FIND('112'!$M$9,G846,1)),"",IF((AND(FIND('112'!$M$9,G846,1)&gt;=1,B846='112'!$K$9,OR($N846='112'!$I$6,$O846='112'!$I$6))),"x",""))</f>
        <v/>
      </c>
      <c r="U846" s="84" t="str">
        <f>IF(ISERROR(FIND('112'!$M$9,G846,1)),"",IF((AND(LEFT(G846,2)=LEFT('112'!$M$9,2),B846&lt;'112'!$K$9,$N846='112'!$I$6)),"x",""))</f>
        <v/>
      </c>
      <c r="V846" s="84" t="str">
        <f>IF(ISERROR(FIND('112'!$M$9,G846,1)),"",IF((AND(RIGHT(G846,2)=RIGHT('112'!$M$9,2),B846&lt;'112'!$K$9,$O846='112'!$I$6)),"x",""))</f>
        <v>x</v>
      </c>
      <c r="W846" s="84" t="str">
        <f>IF(AND('341-CT'!$H$9=H846,OR(LEFT(N846,3)=$W$7,LEFT(O846,3)=$W$7)),"x","")</f>
        <v/>
      </c>
      <c r="X846" s="84" t="str">
        <f>IF(OR(TH!N846=TH!$X$7,O846=TH!$X$7),"x","")</f>
        <v/>
      </c>
      <c r="Y846" s="84" t="str">
        <f>IF(AND(OR(N846="131",O846="131"),H846='131-CT'!$H$9),"x","")</f>
        <v/>
      </c>
      <c r="Z846" s="84"/>
      <c r="AA846" s="84" t="str">
        <f>IF(AND(MONTH(E846)='IN-NX'!$J$5,'IN-NX'!$D$7=D846),"x","")</f>
        <v/>
      </c>
      <c r="AB846" s="84" t="str">
        <f>IF(AND(OR(LEFT(TH!N846,2)="15",LEFT(TH!O846,2)="15"),LEFT(TH!O846,3)&lt;&gt;"111",'152-CT'!$J$8=TH!F846),"x","")</f>
        <v/>
      </c>
      <c r="AC846" s="84" t="str">
        <f>IF(AND(OR(LEFT(TH!N846,2)="15",LEFT(TH!O846,2)="15"),TK!$E$7=TH!F846),"x","")</f>
        <v/>
      </c>
      <c r="AD846" s="84" t="str">
        <f>IF(AND(N846="1521",MONTH(C846)='BK-NL'!$M$11),"x","")</f>
        <v/>
      </c>
    </row>
    <row r="847" spans="1:31" ht="15.75" hidden="1" customHeight="1">
      <c r="A847" s="336" t="str">
        <f>IF(B847&lt;&gt;"",IF(AND(B847='IN-TC'!$S$4,OR(TH!N847="1111",TH!O847="1111")),TH!D847,""),"")</f>
        <v/>
      </c>
      <c r="B847" s="63">
        <f t="shared" si="165"/>
        <v>1</v>
      </c>
      <c r="C847" s="64">
        <v>42399</v>
      </c>
      <c r="D847" s="64" t="s">
        <v>705</v>
      </c>
      <c r="E847" s="64">
        <v>42399</v>
      </c>
      <c r="F847" s="514" t="s">
        <v>745</v>
      </c>
      <c r="G847" s="67" t="s">
        <v>919</v>
      </c>
      <c r="H847" s="73"/>
      <c r="I847" s="439"/>
      <c r="J847" s="439"/>
      <c r="K847" s="430"/>
      <c r="L847" s="439"/>
      <c r="M847" s="65">
        <v>2849</v>
      </c>
      <c r="N847" s="66" t="s">
        <v>9</v>
      </c>
      <c r="O847" s="66" t="s">
        <v>26</v>
      </c>
      <c r="P847" s="84" t="str">
        <f>IF(AND('331-CT'!$E$7=TH!H847,OR(N847="331",O847="331")),"x","")</f>
        <v/>
      </c>
      <c r="Q847" s="84" t="str">
        <f>IF(AND(B847='111'!$L$11,OR($N847=$Q$7,$O847=$Q$7)),"x","")</f>
        <v/>
      </c>
      <c r="R847" s="84" t="str">
        <f>IF(AND($N847=$Q$7,$B847&lt;'111'!$L$11),"x","")</f>
        <v/>
      </c>
      <c r="S847" s="84" t="str">
        <f>IF(AND($O847=$Q$7,$B847&lt;'111'!$L$11),"x","")</f>
        <v/>
      </c>
      <c r="T847" s="84" t="str">
        <f>IF(ISERROR(FIND('112'!$M$9,G847,1)),"",IF((AND(FIND('112'!$M$9,G847,1)&gt;=1,B847='112'!$K$9,OR($N847='112'!$I$6,$O847='112'!$I$6))),"x",""))</f>
        <v/>
      </c>
      <c r="U847" s="84" t="str">
        <f>IF(ISERROR(FIND('112'!$M$9,G847,1)),"",IF((AND(LEFT(G847,2)=LEFT('112'!$M$9,2),B847&lt;'112'!$K$9,$N847='112'!$I$6)),"x",""))</f>
        <v/>
      </c>
      <c r="V847" s="84" t="str">
        <f>IF(ISERROR(FIND('112'!$M$9,G847,1)),"",IF((AND(RIGHT(G847,2)=RIGHT('112'!$M$9,2),B847&lt;'112'!$K$9,$O847='112'!$I$6)),"x",""))</f>
        <v>x</v>
      </c>
      <c r="W847" s="84" t="str">
        <f>IF(AND('341-CT'!$H$9=H847,OR(LEFT(N847,3)=$W$7,LEFT(O847,3)=$W$7)),"x","")</f>
        <v/>
      </c>
      <c r="X847" s="84" t="str">
        <f>IF(OR(TH!N847=TH!$X$7,O847=TH!$X$7),"x","")</f>
        <v/>
      </c>
      <c r="Y847" s="84" t="str">
        <f>IF(AND(OR(N847="131",O847="131"),H847='131-CT'!$H$9),"x","")</f>
        <v/>
      </c>
      <c r="Z847" s="84"/>
      <c r="AA847" s="84" t="str">
        <f>IF(AND(MONTH(E847)='IN-NX'!$J$5,'IN-NX'!$D$7=D847),"x","")</f>
        <v/>
      </c>
      <c r="AB847" s="84" t="str">
        <f>IF(AND(OR(LEFT(TH!N847,2)="15",LEFT(TH!O847,2)="15"),LEFT(TH!O847,3)&lt;&gt;"111",'152-CT'!$J$8=TH!F847),"x","")</f>
        <v/>
      </c>
      <c r="AC847" s="84" t="str">
        <f>IF(AND(OR(LEFT(TH!N847,2)="15",LEFT(TH!O847,2)="15"),TK!$E$7=TH!F847),"x","")</f>
        <v/>
      </c>
      <c r="AD847" s="84" t="str">
        <f>IF(AND(N847="1521",MONTH(C847)='BK-NL'!$M$11),"x","")</f>
        <v/>
      </c>
    </row>
    <row r="848" spans="1:31" ht="15.75" hidden="1" customHeight="1">
      <c r="A848" s="336" t="str">
        <f>IF(B848&lt;&gt;"",IF(AND(B848='IN-TC'!$S$4,OR(TH!N848="1111",TH!O848="1111")),TH!D848,""),"")</f>
        <v/>
      </c>
      <c r="B848" s="63">
        <f t="shared" si="165"/>
        <v>1</v>
      </c>
      <c r="C848" s="64">
        <v>42399</v>
      </c>
      <c r="D848" s="64" t="s">
        <v>705</v>
      </c>
      <c r="E848" s="64">
        <v>42399</v>
      </c>
      <c r="F848" s="514" t="s">
        <v>1097</v>
      </c>
      <c r="G848" s="67" t="s">
        <v>919</v>
      </c>
      <c r="H848" s="75" t="s">
        <v>629</v>
      </c>
      <c r="I848" s="441"/>
      <c r="J848" s="441"/>
      <c r="K848" s="432"/>
      <c r="L848" s="441"/>
      <c r="M848" s="65">
        <v>1300000</v>
      </c>
      <c r="N848" s="66" t="s">
        <v>8</v>
      </c>
      <c r="O848" s="66" t="s">
        <v>26</v>
      </c>
      <c r="P848" s="84" t="str">
        <f>IF(AND('331-CT'!$E$7=TH!H848,OR(N848="331",O848="331")),"x","")</f>
        <v/>
      </c>
      <c r="Q848" s="84" t="str">
        <f>IF(AND(B848='111'!$L$11,OR($N848=$Q$7,$O848=$Q$7)),"x","")</f>
        <v/>
      </c>
      <c r="R848" s="84" t="str">
        <f>IF(AND($N848=$Q$7,$B848&lt;'111'!$L$11),"x","")</f>
        <v/>
      </c>
      <c r="S848" s="84" t="str">
        <f>IF(AND($O848=$Q$7,$B848&lt;'111'!$L$11),"x","")</f>
        <v/>
      </c>
      <c r="T848" s="84" t="str">
        <f>IF(ISERROR(FIND('112'!$M$9,G848,1)),"",IF((AND(FIND('112'!$M$9,G848,1)&gt;=1,B848='112'!$K$9,OR($N848='112'!$I$6,$O848='112'!$I$6))),"x",""))</f>
        <v/>
      </c>
      <c r="U848" s="84" t="str">
        <f>IF(ISERROR(FIND('112'!$M$9,G848,1)),"",IF((AND(LEFT(G848,2)=LEFT('112'!$M$9,2),B848&lt;'112'!$K$9,$N848='112'!$I$6)),"x",""))</f>
        <v/>
      </c>
      <c r="V848" s="84" t="str">
        <f>IF(ISERROR(FIND('112'!$M$9,G848,1)),"",IF((AND(RIGHT(G848,2)=RIGHT('112'!$M$9,2),B848&lt;'112'!$K$9,$O848='112'!$I$6)),"x",""))</f>
        <v>x</v>
      </c>
      <c r="W848" s="84" t="str">
        <f>IF(AND('341-CT'!$H$9=H848,OR(LEFT(N848,3)=$W$7,LEFT(O848,3)=$W$7)),"x","")</f>
        <v/>
      </c>
      <c r="X848" s="84" t="str">
        <f>IF(OR(TH!N848=TH!$X$7,O848=TH!$X$7),"x","")</f>
        <v/>
      </c>
      <c r="Y848" s="84" t="str">
        <f>IF(AND(OR(N848="131",O848="131"),H848='131-CT'!$H$9),"x","")</f>
        <v/>
      </c>
      <c r="Z848" s="84"/>
      <c r="AA848" s="84" t="str">
        <f>IF(AND(MONTH(E848)='IN-NX'!$J$5,'IN-NX'!$D$7=D848),"x","")</f>
        <v/>
      </c>
      <c r="AB848" s="84" t="str">
        <f>IF(AND(OR(LEFT(TH!N848,2)="15",LEFT(TH!O848,2)="15"),LEFT(TH!O848,3)&lt;&gt;"111",'152-CT'!$J$8=TH!F848),"x","")</f>
        <v/>
      </c>
      <c r="AC848" s="84" t="str">
        <f>IF(AND(OR(LEFT(TH!N848,2)="15",LEFT(TH!O848,2)="15"),TK!$E$7=TH!F848),"x","")</f>
        <v/>
      </c>
      <c r="AD848" s="84" t="str">
        <f>IF(AND(N848="1521",MONTH(C848)='BK-NL'!$M$11),"x","")</f>
        <v/>
      </c>
      <c r="AE848" s="1146" t="str">
        <f>IF(H848&lt;&gt;VLOOKUP(H848,DSKH,1,0),"","x")</f>
        <v>x</v>
      </c>
    </row>
    <row r="849" spans="1:31" ht="15.75" hidden="1" customHeight="1">
      <c r="A849" s="336" t="str">
        <f>IF(B849&lt;&gt;"",IF(AND(B849='IN-TC'!$S$4,OR(TH!N849="1111",TH!O849="1111")),TH!D849,""),"")</f>
        <v/>
      </c>
      <c r="B849" s="63">
        <f t="shared" si="165"/>
        <v>1</v>
      </c>
      <c r="C849" s="64">
        <v>42399</v>
      </c>
      <c r="D849" s="64" t="s">
        <v>705</v>
      </c>
      <c r="E849" s="64">
        <v>42399</v>
      </c>
      <c r="F849" s="514" t="s">
        <v>743</v>
      </c>
      <c r="G849" s="67" t="s">
        <v>919</v>
      </c>
      <c r="H849" s="75"/>
      <c r="I849" s="441"/>
      <c r="J849" s="441"/>
      <c r="K849" s="432"/>
      <c r="L849" s="441"/>
      <c r="M849" s="65">
        <v>20000</v>
      </c>
      <c r="N849" s="66" t="s">
        <v>101</v>
      </c>
      <c r="O849" s="66" t="s">
        <v>26</v>
      </c>
      <c r="P849" s="84" t="str">
        <f>IF(AND('331-CT'!$E$7=TH!H849,OR(N849="331",O849="331")),"x","")</f>
        <v/>
      </c>
      <c r="Q849" s="84" t="str">
        <f>IF(AND(B849='111'!$L$11,OR($N849=$Q$7,$O849=$Q$7)),"x","")</f>
        <v/>
      </c>
      <c r="R849" s="84" t="str">
        <f>IF(AND($N849=$Q$7,$B849&lt;'111'!$L$11),"x","")</f>
        <v/>
      </c>
      <c r="S849" s="84" t="str">
        <f>IF(AND($O849=$Q$7,$B849&lt;'111'!$L$11),"x","")</f>
        <v/>
      </c>
      <c r="T849" s="84" t="str">
        <f>IF(ISERROR(FIND('112'!$M$9,G849,1)),"",IF((AND(FIND('112'!$M$9,G849,1)&gt;=1,B849='112'!$K$9,OR($N849='112'!$I$6,$O849='112'!$I$6))),"x",""))</f>
        <v/>
      </c>
      <c r="U849" s="84" t="str">
        <f>IF(ISERROR(FIND('112'!$M$9,G849,1)),"",IF((AND(LEFT(G849,2)=LEFT('112'!$M$9,2),B849&lt;'112'!$K$9,$N849='112'!$I$6)),"x",""))</f>
        <v/>
      </c>
      <c r="V849" s="84" t="str">
        <f>IF(ISERROR(FIND('112'!$M$9,G849,1)),"",IF((AND(RIGHT(G849,2)=RIGHT('112'!$M$9,2),B849&lt;'112'!$K$9,$O849='112'!$I$6)),"x",""))</f>
        <v>x</v>
      </c>
      <c r="W849" s="84" t="str">
        <f>IF(AND('341-CT'!$H$9=H849,OR(LEFT(N849,3)=$W$7,LEFT(O849,3)=$W$7)),"x","")</f>
        <v/>
      </c>
      <c r="X849" s="84" t="str">
        <f>IF(OR(TH!N849=TH!$X$7,O849=TH!$X$7),"x","")</f>
        <v/>
      </c>
      <c r="Y849" s="84" t="str">
        <f>IF(AND(OR(N849="131",O849="131"),H849='131-CT'!$H$9),"x","")</f>
        <v/>
      </c>
      <c r="Z849" s="84"/>
      <c r="AA849" s="84" t="str">
        <f>IF(AND(MONTH(E849)='IN-NX'!$J$5,'IN-NX'!$D$7=D849),"x","")</f>
        <v/>
      </c>
      <c r="AB849" s="84" t="str">
        <f>IF(AND(OR(LEFT(TH!N849,2)="15",LEFT(TH!O849,2)="15"),LEFT(TH!O849,3)&lt;&gt;"111",'152-CT'!$J$8=TH!F849),"x","")</f>
        <v/>
      </c>
      <c r="AC849" s="84" t="str">
        <f>IF(AND(OR(LEFT(TH!N849,2)="15",LEFT(TH!O849,2)="15"),TK!$E$7=TH!F849),"x","")</f>
        <v/>
      </c>
      <c r="AD849" s="84" t="str">
        <f>IF(AND(N849="1521",MONTH(C849)='BK-NL'!$M$11),"x","")</f>
        <v/>
      </c>
    </row>
    <row r="850" spans="1:31" ht="15.75" hidden="1" customHeight="1">
      <c r="A850" s="336" t="str">
        <f>IF(B850&lt;&gt;"",IF(AND(B850='IN-TC'!$S$4,OR(TH!N850="1111",TH!O850="1111")),TH!D850,""),"")</f>
        <v/>
      </c>
      <c r="B850" s="63">
        <f t="shared" si="165"/>
        <v>1</v>
      </c>
      <c r="C850" s="64">
        <v>42399</v>
      </c>
      <c r="D850" s="64" t="s">
        <v>705</v>
      </c>
      <c r="E850" s="64">
        <v>42399</v>
      </c>
      <c r="F850" s="514" t="s">
        <v>745</v>
      </c>
      <c r="G850" s="67" t="s">
        <v>919</v>
      </c>
      <c r="H850" s="75"/>
      <c r="I850" s="441"/>
      <c r="J850" s="441"/>
      <c r="K850" s="432"/>
      <c r="L850" s="441"/>
      <c r="M850" s="65">
        <v>2000</v>
      </c>
      <c r="N850" s="66" t="s">
        <v>9</v>
      </c>
      <c r="O850" s="66" t="s">
        <v>26</v>
      </c>
      <c r="P850" s="84" t="str">
        <f>IF(AND('331-CT'!$E$7=TH!H850,OR(N850="331",O850="331")),"x","")</f>
        <v/>
      </c>
      <c r="Q850" s="84" t="str">
        <f>IF(AND(B850='111'!$L$11,OR($N850=$Q$7,$O850=$Q$7)),"x","")</f>
        <v/>
      </c>
      <c r="R850" s="84" t="str">
        <f>IF(AND($N850=$Q$7,$B850&lt;'111'!$L$11),"x","")</f>
        <v/>
      </c>
      <c r="S850" s="84" t="str">
        <f>IF(AND($O850=$Q$7,$B850&lt;'111'!$L$11),"x","")</f>
        <v/>
      </c>
      <c r="T850" s="84" t="str">
        <f>IF(ISERROR(FIND('112'!$M$9,G850,1)),"",IF((AND(FIND('112'!$M$9,G850,1)&gt;=1,B850='112'!$K$9,OR($N850='112'!$I$6,$O850='112'!$I$6))),"x",""))</f>
        <v/>
      </c>
      <c r="U850" s="84" t="str">
        <f>IF(ISERROR(FIND('112'!$M$9,G850,1)),"",IF((AND(LEFT(G850,2)=LEFT('112'!$M$9,2),B850&lt;'112'!$K$9,$N850='112'!$I$6)),"x",""))</f>
        <v/>
      </c>
      <c r="V850" s="84" t="str">
        <f>IF(ISERROR(FIND('112'!$M$9,G850,1)),"",IF((AND(RIGHT(G850,2)=RIGHT('112'!$M$9,2),B850&lt;'112'!$K$9,$O850='112'!$I$6)),"x",""))</f>
        <v>x</v>
      </c>
      <c r="W850" s="84" t="str">
        <f>IF(AND('341-CT'!$H$9=H850,OR(LEFT(N850,3)=$W$7,LEFT(O850,3)=$W$7)),"x","")</f>
        <v/>
      </c>
      <c r="X850" s="84" t="str">
        <f>IF(OR(TH!N850=TH!$X$7,O850=TH!$X$7),"x","")</f>
        <v/>
      </c>
      <c r="Y850" s="84" t="str">
        <f>IF(AND(OR(N850="131",O850="131"),H850='131-CT'!$H$9),"x","")</f>
        <v/>
      </c>
      <c r="Z850" s="84"/>
      <c r="AA850" s="84" t="str">
        <f>IF(AND(MONTH(E850)='IN-NX'!$J$5,'IN-NX'!$D$7=D850),"x","")</f>
        <v/>
      </c>
      <c r="AB850" s="84" t="str">
        <f>IF(AND(OR(LEFT(TH!N850,2)="15",LEFT(TH!O850,2)="15"),LEFT(TH!O850,3)&lt;&gt;"111",'152-CT'!$J$8=TH!F850),"x","")</f>
        <v/>
      </c>
      <c r="AC850" s="84" t="str">
        <f>IF(AND(OR(LEFT(TH!N850,2)="15",LEFT(TH!O850,2)="15"),TK!$E$7=TH!F850),"x","")</f>
        <v/>
      </c>
      <c r="AD850" s="84" t="str">
        <f>IF(AND(N850="1521",MONTH(C850)='BK-NL'!$M$11),"x","")</f>
        <v/>
      </c>
    </row>
    <row r="851" spans="1:31" ht="15.75" hidden="1" customHeight="1">
      <c r="A851" s="336" t="str">
        <f>IF(B851&lt;&gt;"",IF(AND(B851='IN-TC'!$S$4,OR(TH!N851="1111",TH!O851="1111")),TH!D851,""),"")</f>
        <v/>
      </c>
      <c r="B851" s="63">
        <f t="shared" si="165"/>
        <v>1</v>
      </c>
      <c r="C851" s="64">
        <v>42399</v>
      </c>
      <c r="D851" s="64" t="s">
        <v>705</v>
      </c>
      <c r="E851" s="64">
        <v>42399</v>
      </c>
      <c r="F851" s="514" t="s">
        <v>1097</v>
      </c>
      <c r="G851" s="67" t="s">
        <v>919</v>
      </c>
      <c r="H851" s="75" t="s">
        <v>629</v>
      </c>
      <c r="I851" s="441"/>
      <c r="J851" s="441"/>
      <c r="K851" s="432"/>
      <c r="L851" s="441"/>
      <c r="M851" s="65">
        <v>4645000</v>
      </c>
      <c r="N851" s="66" t="s">
        <v>8</v>
      </c>
      <c r="O851" s="66" t="s">
        <v>26</v>
      </c>
      <c r="P851" s="84" t="str">
        <f>IF(AND('331-CT'!$E$7=TH!H851,OR(N851="331",O851="331")),"x","")</f>
        <v/>
      </c>
      <c r="Q851" s="84" t="str">
        <f>IF(AND(B851='111'!$L$11,OR($N851=$Q$7,$O851=$Q$7)),"x","")</f>
        <v/>
      </c>
      <c r="R851" s="84" t="str">
        <f>IF(AND($N851=$Q$7,$B851&lt;'111'!$L$11),"x","")</f>
        <v/>
      </c>
      <c r="S851" s="84" t="str">
        <f>IF(AND($O851=$Q$7,$B851&lt;'111'!$L$11),"x","")</f>
        <v/>
      </c>
      <c r="T851" s="84" t="str">
        <f>IF(ISERROR(FIND('112'!$M$9,G851,1)),"",IF((AND(FIND('112'!$M$9,G851,1)&gt;=1,B851='112'!$K$9,OR($N851='112'!$I$6,$O851='112'!$I$6))),"x",""))</f>
        <v/>
      </c>
      <c r="U851" s="84" t="str">
        <f>IF(ISERROR(FIND('112'!$M$9,G851,1)),"",IF((AND(LEFT(G851,2)=LEFT('112'!$M$9,2),B851&lt;'112'!$K$9,$N851='112'!$I$6)),"x",""))</f>
        <v/>
      </c>
      <c r="V851" s="84" t="str">
        <f>IF(ISERROR(FIND('112'!$M$9,G851,1)),"",IF((AND(RIGHT(G851,2)=RIGHT('112'!$M$9,2),B851&lt;'112'!$K$9,$O851='112'!$I$6)),"x",""))</f>
        <v>x</v>
      </c>
      <c r="W851" s="84" t="str">
        <f>IF(AND('341-CT'!$H$9=H851,OR(LEFT(N851,3)=$W$7,LEFT(O851,3)=$W$7)),"x","")</f>
        <v/>
      </c>
      <c r="X851" s="84" t="str">
        <f>IF(OR(TH!N851=TH!$X$7,O851=TH!$X$7),"x","")</f>
        <v/>
      </c>
      <c r="Y851" s="84" t="str">
        <f>IF(AND(OR(N851="131",O851="131"),H851='131-CT'!$H$9),"x","")</f>
        <v/>
      </c>
      <c r="Z851" s="84"/>
      <c r="AA851" s="84" t="str">
        <f>IF(AND(MONTH(E851)='IN-NX'!$J$5,'IN-NX'!$D$7=D851),"x","")</f>
        <v/>
      </c>
      <c r="AB851" s="84" t="str">
        <f>IF(AND(OR(LEFT(TH!N851,2)="15",LEFT(TH!O851,2)="15"),LEFT(TH!O851,3)&lt;&gt;"111",'152-CT'!$J$8=TH!F851),"x","")</f>
        <v/>
      </c>
      <c r="AC851" s="84" t="str">
        <f>IF(AND(OR(LEFT(TH!N851,2)="15",LEFT(TH!O851,2)="15"),TK!$E$7=TH!F851),"x","")</f>
        <v/>
      </c>
      <c r="AD851" s="84" t="str">
        <f>IF(AND(N851="1521",MONTH(C851)='BK-NL'!$M$11),"x","")</f>
        <v/>
      </c>
      <c r="AE851" s="1146" t="str">
        <f>IF(H851&lt;&gt;VLOOKUP(H851,DSKH,1,0),"","x")</f>
        <v>x</v>
      </c>
    </row>
    <row r="852" spans="1:31" ht="15.75" hidden="1" customHeight="1">
      <c r="A852" s="336" t="str">
        <f>IF(B852&lt;&gt;"",IF(AND(B852='IN-TC'!$S$4,OR(TH!N852="1111",TH!O852="1111")),TH!D852,""),"")</f>
        <v/>
      </c>
      <c r="B852" s="63">
        <f t="shared" si="165"/>
        <v>1</v>
      </c>
      <c r="C852" s="64">
        <v>42399</v>
      </c>
      <c r="D852" s="64" t="s">
        <v>705</v>
      </c>
      <c r="E852" s="64">
        <v>42399</v>
      </c>
      <c r="F852" s="514" t="s">
        <v>743</v>
      </c>
      <c r="G852" s="67" t="s">
        <v>919</v>
      </c>
      <c r="H852" s="75"/>
      <c r="I852" s="441"/>
      <c r="J852" s="441"/>
      <c r="K852" s="432"/>
      <c r="L852" s="441"/>
      <c r="M852" s="65">
        <v>20000</v>
      </c>
      <c r="N852" s="85" t="s">
        <v>101</v>
      </c>
      <c r="O852" s="66" t="s">
        <v>26</v>
      </c>
      <c r="P852" s="84" t="str">
        <f>IF(AND('331-CT'!$E$7=TH!H852,OR(N852="331",O852="331")),"x","")</f>
        <v/>
      </c>
      <c r="Q852" s="84" t="str">
        <f>IF(AND(B852='111'!$L$11,OR($N852=$Q$7,$O852=$Q$7)),"x","")</f>
        <v/>
      </c>
      <c r="R852" s="84" t="str">
        <f>IF(AND($N852=$Q$7,$B852&lt;'111'!$L$11),"x","")</f>
        <v/>
      </c>
      <c r="S852" s="84" t="str">
        <f>IF(AND($O852=$Q$7,$B852&lt;'111'!$L$11),"x","")</f>
        <v/>
      </c>
      <c r="T852" s="84" t="str">
        <f>IF(ISERROR(FIND('112'!$M$9,G852,1)),"",IF((AND(FIND('112'!$M$9,G852,1)&gt;=1,B852='112'!$K$9,OR($N852='112'!$I$6,$O852='112'!$I$6))),"x",""))</f>
        <v/>
      </c>
      <c r="U852" s="84" t="str">
        <f>IF(ISERROR(FIND('112'!$M$9,G852,1)),"",IF((AND(LEFT(G852,2)=LEFT('112'!$M$9,2),B852&lt;'112'!$K$9,$N852='112'!$I$6)),"x",""))</f>
        <v/>
      </c>
      <c r="V852" s="84" t="str">
        <f>IF(ISERROR(FIND('112'!$M$9,G852,1)),"",IF((AND(RIGHT(G852,2)=RIGHT('112'!$M$9,2),B852&lt;'112'!$K$9,$O852='112'!$I$6)),"x",""))</f>
        <v>x</v>
      </c>
      <c r="W852" s="84" t="str">
        <f>IF(AND('341-CT'!$H$9=H852,OR(LEFT(N852,3)=$W$7,LEFT(O852,3)=$W$7)),"x","")</f>
        <v/>
      </c>
      <c r="X852" s="84" t="str">
        <f>IF(OR(TH!N852=TH!$X$7,O852=TH!$X$7),"x","")</f>
        <v/>
      </c>
      <c r="Y852" s="84" t="str">
        <f>IF(AND(OR(N852="131",O852="131"),H852='131-CT'!$H$9),"x","")</f>
        <v/>
      </c>
      <c r="Z852" s="84"/>
      <c r="AA852" s="84" t="str">
        <f>IF(AND(MONTH(E852)='IN-NX'!$J$5,'IN-NX'!$D$7=D852),"x","")</f>
        <v/>
      </c>
      <c r="AB852" s="84" t="str">
        <f>IF(AND(OR(LEFT(TH!N852,2)="15",LEFT(TH!O852,2)="15"),LEFT(TH!O852,3)&lt;&gt;"111",'152-CT'!$J$8=TH!F852),"x","")</f>
        <v/>
      </c>
      <c r="AC852" s="84" t="str">
        <f>IF(AND(OR(LEFT(TH!N852,2)="15",LEFT(TH!O852,2)="15"),TK!$E$7=TH!F852),"x","")</f>
        <v/>
      </c>
      <c r="AD852" s="84" t="str">
        <f>IF(AND(N852="1521",MONTH(C852)='BK-NL'!$M$11),"x","")</f>
        <v/>
      </c>
    </row>
    <row r="853" spans="1:31" ht="15.75" hidden="1" customHeight="1">
      <c r="A853" s="336" t="str">
        <f>IF(B853&lt;&gt;"",IF(AND(B853='IN-TC'!$S$4,OR(TH!N853="1111",TH!O853="1111")),TH!D853,""),"")</f>
        <v/>
      </c>
      <c r="B853" s="63">
        <f t="shared" si="165"/>
        <v>1</v>
      </c>
      <c r="C853" s="64">
        <v>42399</v>
      </c>
      <c r="D853" s="64" t="s">
        <v>705</v>
      </c>
      <c r="E853" s="64">
        <v>42399</v>
      </c>
      <c r="F853" s="514" t="s">
        <v>745</v>
      </c>
      <c r="G853" s="67" t="s">
        <v>919</v>
      </c>
      <c r="H853" s="75"/>
      <c r="I853" s="441"/>
      <c r="J853" s="441"/>
      <c r="K853" s="432"/>
      <c r="L853" s="441"/>
      <c r="M853" s="65">
        <v>2000</v>
      </c>
      <c r="N853" s="85" t="s">
        <v>9</v>
      </c>
      <c r="O853" s="66" t="s">
        <v>26</v>
      </c>
      <c r="P853" s="84" t="str">
        <f>IF(AND('331-CT'!$E$7=TH!H853,OR(N853="331",O853="331")),"x","")</f>
        <v/>
      </c>
      <c r="Q853" s="84" t="str">
        <f>IF(AND(B853='111'!$L$11,OR($N853=$Q$7,$O853=$Q$7)),"x","")</f>
        <v/>
      </c>
      <c r="R853" s="84" t="str">
        <f>IF(AND($N853=$Q$7,$B853&lt;'111'!$L$11),"x","")</f>
        <v/>
      </c>
      <c r="S853" s="84" t="str">
        <f>IF(AND($O853=$Q$7,$B853&lt;'111'!$L$11),"x","")</f>
        <v/>
      </c>
      <c r="T853" s="84" t="str">
        <f>IF(ISERROR(FIND('112'!$M$9,G853,1)),"",IF((AND(FIND('112'!$M$9,G853,1)&gt;=1,B853='112'!$K$9,OR($N853='112'!$I$6,$O853='112'!$I$6))),"x",""))</f>
        <v/>
      </c>
      <c r="U853" s="84" t="str">
        <f>IF(ISERROR(FIND('112'!$M$9,G853,1)),"",IF((AND(LEFT(G853,2)=LEFT('112'!$M$9,2),B853&lt;'112'!$K$9,$N853='112'!$I$6)),"x",""))</f>
        <v/>
      </c>
      <c r="V853" s="84" t="str">
        <f>IF(ISERROR(FIND('112'!$M$9,G853,1)),"",IF((AND(RIGHT(G853,2)=RIGHT('112'!$M$9,2),B853&lt;'112'!$K$9,$O853='112'!$I$6)),"x",""))</f>
        <v>x</v>
      </c>
      <c r="W853" s="84" t="str">
        <f>IF(AND('341-CT'!$H$9=H853,OR(LEFT(N853,3)=$W$7,LEFT(O853,3)=$W$7)),"x","")</f>
        <v/>
      </c>
      <c r="X853" s="84" t="str">
        <f>IF(OR(TH!N853=TH!$X$7,O853=TH!$X$7),"x","")</f>
        <v/>
      </c>
      <c r="Y853" s="84" t="str">
        <f>IF(AND(OR(N853="131",O853="131"),H853='131-CT'!$H$9),"x","")</f>
        <v/>
      </c>
      <c r="Z853" s="84"/>
      <c r="AA853" s="84" t="str">
        <f>IF(AND(MONTH(E853)='IN-NX'!$J$5,'IN-NX'!$D$7=D853),"x","")</f>
        <v/>
      </c>
      <c r="AB853" s="84" t="str">
        <f>IF(AND(OR(LEFT(TH!N853,2)="15",LEFT(TH!O853,2)="15"),LEFT(TH!O853,3)&lt;&gt;"111",'152-CT'!$J$8=TH!F853),"x","")</f>
        <v/>
      </c>
      <c r="AC853" s="84" t="str">
        <f>IF(AND(OR(LEFT(TH!N853,2)="15",LEFT(TH!O853,2)="15"),TK!$E$7=TH!F853),"x","")</f>
        <v/>
      </c>
      <c r="AD853" s="84" t="str">
        <f>IF(AND(N853="1521",MONTH(C853)='BK-NL'!$M$11),"x","")</f>
        <v/>
      </c>
    </row>
    <row r="854" spans="1:31" ht="15.75" hidden="1" customHeight="1">
      <c r="A854" s="336" t="str">
        <f>IF(B854&lt;&gt;"",IF(AND(B854='IN-TC'!$S$4,OR(TH!N854="1111",TH!O854="1111")),TH!D854,""),"")</f>
        <v/>
      </c>
      <c r="B854" s="63">
        <f t="shared" si="165"/>
        <v>1</v>
      </c>
      <c r="C854" s="64">
        <v>42399</v>
      </c>
      <c r="D854" s="64" t="s">
        <v>915</v>
      </c>
      <c r="E854" s="64">
        <v>42399</v>
      </c>
      <c r="F854" s="514" t="s">
        <v>776</v>
      </c>
      <c r="G854" s="67" t="s">
        <v>841</v>
      </c>
      <c r="H854" s="73" t="s">
        <v>808</v>
      </c>
      <c r="I854" s="439"/>
      <c r="J854" s="439"/>
      <c r="K854" s="430"/>
      <c r="L854" s="439"/>
      <c r="M854" s="65">
        <v>674945</v>
      </c>
      <c r="N854" s="66" t="s">
        <v>101</v>
      </c>
      <c r="O854" s="66" t="s">
        <v>63</v>
      </c>
      <c r="P854" s="84" t="str">
        <f>IF(AND('331-CT'!$E$7=TH!H854,OR(N854="331",O854="331")),"x","")</f>
        <v/>
      </c>
      <c r="Q854" s="84" t="str">
        <f>IF(AND(B854='111'!$L$11,OR($N854=$Q$7,$O854=$Q$7)),"x","")</f>
        <v>x</v>
      </c>
      <c r="R854" s="84" t="str">
        <f>IF(AND($N854=$Q$7,$B854&lt;'111'!$L$11),"x","")</f>
        <v/>
      </c>
      <c r="S854" s="84" t="str">
        <f>IF(AND($O854=$Q$7,$B854&lt;'111'!$L$11),"x","")</f>
        <v/>
      </c>
      <c r="T854" s="84" t="str">
        <f>IF(ISERROR(FIND('112'!$M$9,G854,1)),"",IF((AND(FIND('112'!$M$9,G854,1)&gt;=1,B854='112'!$K$9,OR($N854='112'!$I$6,$O854='112'!$I$6))),"x",""))</f>
        <v/>
      </c>
      <c r="U854" s="84" t="str">
        <f>IF(ISERROR(FIND('112'!$M$9,G854,1)),"",IF((AND(LEFT(G854,2)=LEFT('112'!$M$9,2),B854&lt;'112'!$K$9,$N854='112'!$I$6)),"x",""))</f>
        <v/>
      </c>
      <c r="V854" s="84" t="str">
        <f>IF(ISERROR(FIND('112'!$M$9,G854,1)),"",IF((AND(RIGHT(G854,2)=RIGHT('112'!$M$9,2),B854&lt;'112'!$K$9,$O854='112'!$I$6)),"x",""))</f>
        <v/>
      </c>
      <c r="W854" s="84" t="str">
        <f>IF(AND('341-CT'!$H$9=H854,OR(LEFT(N854,3)=$W$7,LEFT(O854,3)=$W$7)),"x","")</f>
        <v/>
      </c>
      <c r="X854" s="84" t="str">
        <f>IF(OR(TH!N854=TH!$X$7,O854=TH!$X$7),"x","")</f>
        <v/>
      </c>
      <c r="Y854" s="84" t="str">
        <f>IF(AND(OR(N854="131",O854="131"),H854='131-CT'!$H$9),"x","")</f>
        <v/>
      </c>
      <c r="Z854" s="84"/>
      <c r="AA854" s="84" t="str">
        <f>IF(AND(MONTH(E854)='IN-NX'!$J$5,'IN-NX'!$D$7=D854),"x","")</f>
        <v/>
      </c>
      <c r="AB854" s="84" t="str">
        <f>IF(AND(OR(LEFT(TH!N854,2)="15",LEFT(TH!O854,2)="15"),LEFT(TH!O854,3)&lt;&gt;"111",'152-CT'!$J$8=TH!F854),"x","")</f>
        <v/>
      </c>
      <c r="AC854" s="84" t="str">
        <f>IF(AND(OR(LEFT(TH!N854,2)="15",LEFT(TH!O854,2)="15"),TK!$E$7=TH!F854),"x","")</f>
        <v/>
      </c>
      <c r="AD854" s="84" t="str">
        <f>IF(AND(N854="1521",MONTH(C854)='BK-NL'!$M$11),"x","")</f>
        <v/>
      </c>
    </row>
    <row r="855" spans="1:31" ht="15.75" hidden="1" customHeight="1">
      <c r="A855" s="336" t="str">
        <f>IF(B855&lt;&gt;"",IF(AND(B855='IN-TC'!$S$4,OR(TH!N855="1111",TH!O855="1111")),TH!D855,""),"")</f>
        <v/>
      </c>
      <c r="B855" s="63">
        <f t="shared" si="165"/>
        <v>1</v>
      </c>
      <c r="C855" s="64">
        <v>42399</v>
      </c>
      <c r="D855" s="64" t="s">
        <v>915</v>
      </c>
      <c r="E855" s="64">
        <v>42399</v>
      </c>
      <c r="F855" s="514" t="s">
        <v>777</v>
      </c>
      <c r="G855" s="982" t="s">
        <v>841</v>
      </c>
      <c r="H855" s="73" t="s">
        <v>808</v>
      </c>
      <c r="I855" s="439"/>
      <c r="J855" s="439"/>
      <c r="K855" s="430"/>
      <c r="L855" s="439"/>
      <c r="M855" s="65">
        <v>67495</v>
      </c>
      <c r="N855" s="66" t="s">
        <v>9</v>
      </c>
      <c r="O855" s="66" t="s">
        <v>63</v>
      </c>
      <c r="P855" s="84" t="str">
        <f>IF(AND('331-CT'!$E$7=TH!H855,OR(N855="331",O855="331")),"x","")</f>
        <v/>
      </c>
      <c r="Q855" s="84" t="str">
        <f>IF(AND(B855='111'!$L$11,OR($N855=$Q$7,$O855=$Q$7)),"x","")</f>
        <v>x</v>
      </c>
      <c r="R855" s="84" t="str">
        <f>IF(AND($N855=$Q$7,$B855&lt;'111'!$L$11),"x","")</f>
        <v/>
      </c>
      <c r="S855" s="84" t="str">
        <f>IF(AND($O855=$Q$7,$B855&lt;'111'!$L$11),"x","")</f>
        <v/>
      </c>
      <c r="T855" s="84" t="str">
        <f>IF(ISERROR(FIND('112'!$M$9,G855,1)),"",IF((AND(FIND('112'!$M$9,G855,1)&gt;=1,B855='112'!$K$9,OR($N855='112'!$I$6,$O855='112'!$I$6))),"x",""))</f>
        <v/>
      </c>
      <c r="U855" s="84" t="str">
        <f>IF(ISERROR(FIND('112'!$M$9,G855,1)),"",IF((AND(LEFT(G855,2)=LEFT('112'!$M$9,2),B855&lt;'112'!$K$9,$N855='112'!$I$6)),"x",""))</f>
        <v/>
      </c>
      <c r="V855" s="84" t="str">
        <f>IF(ISERROR(FIND('112'!$M$9,G855,1)),"",IF((AND(RIGHT(G855,2)=RIGHT('112'!$M$9,2),B855&lt;'112'!$K$9,$O855='112'!$I$6)),"x",""))</f>
        <v/>
      </c>
      <c r="W855" s="84" t="str">
        <f>IF(AND('341-CT'!$H$9=H855,OR(LEFT(N855,3)=$W$7,LEFT(O855,3)=$W$7)),"x","")</f>
        <v/>
      </c>
      <c r="X855" s="84" t="str">
        <f>IF(OR(TH!N855=TH!$X$7,O855=TH!$X$7),"x","")</f>
        <v/>
      </c>
      <c r="Y855" s="84" t="str">
        <f>IF(AND(OR(N855="131",O855="131"),H855='131-CT'!$H$9),"x","")</f>
        <v/>
      </c>
      <c r="Z855" s="84"/>
      <c r="AA855" s="84" t="str">
        <f>IF(AND(MONTH(E855)='IN-NX'!$J$5,'IN-NX'!$D$7=D855),"x","")</f>
        <v/>
      </c>
      <c r="AB855" s="84" t="str">
        <f>IF(AND(OR(LEFT(TH!N855,2)="15",LEFT(TH!O855,2)="15"),LEFT(TH!O855,3)&lt;&gt;"111",'152-CT'!$J$8=TH!F855),"x","")</f>
        <v/>
      </c>
      <c r="AC855" s="84" t="str">
        <f>IF(AND(OR(LEFT(TH!N855,2)="15",LEFT(TH!O855,2)="15"),TK!$E$7=TH!F855),"x","")</f>
        <v/>
      </c>
      <c r="AD855" s="84" t="str">
        <f>IF(AND(N855="1521",MONTH(C855)='BK-NL'!$M$11),"x","")</f>
        <v/>
      </c>
    </row>
    <row r="856" spans="1:31" ht="15.75" hidden="1" customHeight="1">
      <c r="A856" s="336" t="str">
        <f>IF(B856&lt;&gt;"",IF(AND(B856='IN-TC'!$S$4,OR(TH!N856="1111",TH!O856="1111")),TH!D856,""),"")</f>
        <v/>
      </c>
      <c r="B856" s="63">
        <f t="shared" si="165"/>
        <v>1</v>
      </c>
      <c r="C856" s="64">
        <v>42400</v>
      </c>
      <c r="D856" s="64" t="s">
        <v>916</v>
      </c>
      <c r="E856" s="64">
        <v>42400</v>
      </c>
      <c r="F856" s="514" t="s">
        <v>791</v>
      </c>
      <c r="G856" s="67" t="s">
        <v>842</v>
      </c>
      <c r="H856" s="73" t="s">
        <v>814</v>
      </c>
      <c r="I856" s="439"/>
      <c r="J856" s="439"/>
      <c r="K856" s="430"/>
      <c r="L856" s="439"/>
      <c r="M856" s="65">
        <v>320291</v>
      </c>
      <c r="N856" s="66" t="s">
        <v>101</v>
      </c>
      <c r="O856" s="66" t="s">
        <v>63</v>
      </c>
      <c r="P856" s="84" t="str">
        <f>IF(AND('331-CT'!$E$7=TH!H856,OR(N856="331",O856="331")),"x","")</f>
        <v/>
      </c>
      <c r="Q856" s="84" t="str">
        <f>IF(AND(B856='111'!$L$11,OR($N856=$Q$7,$O856=$Q$7)),"x","")</f>
        <v>x</v>
      </c>
      <c r="R856" s="84" t="str">
        <f>IF(AND($N856=$Q$7,$B856&lt;'111'!$L$11),"x","")</f>
        <v/>
      </c>
      <c r="S856" s="84" t="str">
        <f>IF(AND($O856=$Q$7,$B856&lt;'111'!$L$11),"x","")</f>
        <v/>
      </c>
      <c r="T856" s="84" t="str">
        <f>IF(ISERROR(FIND('112'!$M$9,G856,1)),"",IF((AND(FIND('112'!$M$9,G856,1)&gt;=1,B856='112'!$K$9,OR($N856='112'!$I$6,$O856='112'!$I$6))),"x",""))</f>
        <v/>
      </c>
      <c r="U856" s="84" t="str">
        <f>IF(ISERROR(FIND('112'!$M$9,G856,1)),"",IF((AND(LEFT(G856,2)=LEFT('112'!$M$9,2),B856&lt;'112'!$K$9,$N856='112'!$I$6)),"x",""))</f>
        <v/>
      </c>
      <c r="V856" s="84" t="str">
        <f>IF(ISERROR(FIND('112'!$M$9,G856,1)),"",IF((AND(RIGHT(G856,2)=RIGHT('112'!$M$9,2),B856&lt;'112'!$K$9,$O856='112'!$I$6)),"x",""))</f>
        <v/>
      </c>
      <c r="W856" s="84" t="str">
        <f>IF(AND('341-CT'!$H$9=H856,OR(LEFT(N856,3)=$W$7,LEFT(O856,3)=$W$7)),"x","")</f>
        <v/>
      </c>
      <c r="X856" s="84" t="str">
        <f>IF(OR(TH!N856=TH!$X$7,O856=TH!$X$7),"x","")</f>
        <v/>
      </c>
      <c r="Y856" s="84" t="str">
        <f>IF(AND(OR(N856="131",O856="131"),H856='131-CT'!$H$9),"x","")</f>
        <v/>
      </c>
      <c r="Z856" s="84"/>
      <c r="AA856" s="84" t="str">
        <f>IF(AND(MONTH(E856)='IN-NX'!$J$5,'IN-NX'!$D$7=D856),"x","")</f>
        <v/>
      </c>
      <c r="AB856" s="84" t="str">
        <f>IF(AND(OR(LEFT(TH!N856,2)="15",LEFT(TH!O856,2)="15"),LEFT(TH!O856,3)&lt;&gt;"111",'152-CT'!$J$8=TH!F856),"x","")</f>
        <v/>
      </c>
      <c r="AC856" s="84" t="str">
        <f>IF(AND(OR(LEFT(TH!N856,2)="15",LEFT(TH!O856,2)="15"),TK!$E$7=TH!F856),"x","")</f>
        <v/>
      </c>
      <c r="AD856" s="84" t="str">
        <f>IF(AND(N856="1521",MONTH(C856)='BK-NL'!$M$11),"x","")</f>
        <v/>
      </c>
    </row>
    <row r="857" spans="1:31" ht="15.75" hidden="1" customHeight="1">
      <c r="A857" s="336" t="str">
        <f>IF(B857&lt;&gt;"",IF(AND(B857='IN-TC'!$S$4,OR(TH!N857="1111",TH!O857="1111")),TH!D857,""),"")</f>
        <v/>
      </c>
      <c r="B857" s="63">
        <f t="shared" si="165"/>
        <v>1</v>
      </c>
      <c r="C857" s="64">
        <v>42400</v>
      </c>
      <c r="D857" s="64" t="s">
        <v>916</v>
      </c>
      <c r="E857" s="64">
        <v>42400</v>
      </c>
      <c r="F857" s="514" t="s">
        <v>792</v>
      </c>
      <c r="G857" s="67" t="s">
        <v>842</v>
      </c>
      <c r="H857" s="73" t="s">
        <v>814</v>
      </c>
      <c r="I857" s="439"/>
      <c r="J857" s="439"/>
      <c r="K857" s="430"/>
      <c r="L857" s="439"/>
      <c r="M857" s="65">
        <v>32029</v>
      </c>
      <c r="N857" s="66" t="s">
        <v>9</v>
      </c>
      <c r="O857" s="66" t="s">
        <v>63</v>
      </c>
      <c r="P857" s="84" t="str">
        <f>IF(AND('331-CT'!$E$7=TH!H857,OR(N857="331",O857="331")),"x","")</f>
        <v/>
      </c>
      <c r="Q857" s="84" t="str">
        <f>IF(AND(B857='111'!$L$11,OR($N857=$Q$7,$O857=$Q$7)),"x","")</f>
        <v>x</v>
      </c>
      <c r="R857" s="84" t="str">
        <f>IF(AND($N857=$Q$7,$B857&lt;'111'!$L$11),"x","")</f>
        <v/>
      </c>
      <c r="S857" s="84" t="str">
        <f>IF(AND($O857=$Q$7,$B857&lt;'111'!$L$11),"x","")</f>
        <v/>
      </c>
      <c r="T857" s="84" t="str">
        <f>IF(ISERROR(FIND('112'!$M$9,G857,1)),"",IF((AND(FIND('112'!$M$9,G857,1)&gt;=1,B857='112'!$K$9,OR($N857='112'!$I$6,$O857='112'!$I$6))),"x",""))</f>
        <v/>
      </c>
      <c r="U857" s="84" t="str">
        <f>IF(ISERROR(FIND('112'!$M$9,G857,1)),"",IF((AND(LEFT(G857,2)=LEFT('112'!$M$9,2),B857&lt;'112'!$K$9,$N857='112'!$I$6)),"x",""))</f>
        <v/>
      </c>
      <c r="V857" s="84" t="str">
        <f>IF(ISERROR(FIND('112'!$M$9,G857,1)),"",IF((AND(RIGHT(G857,2)=RIGHT('112'!$M$9,2),B857&lt;'112'!$K$9,$O857='112'!$I$6)),"x",""))</f>
        <v/>
      </c>
      <c r="W857" s="84" t="str">
        <f>IF(AND('341-CT'!$H$9=H857,OR(LEFT(N857,3)=$W$7,LEFT(O857,3)=$W$7)),"x","")</f>
        <v/>
      </c>
      <c r="X857" s="84" t="str">
        <f>IF(OR(TH!N857=TH!$X$7,O857=TH!$X$7),"x","")</f>
        <v/>
      </c>
      <c r="Y857" s="84" t="str">
        <f>IF(AND(OR(N857="131",O857="131"),H857='131-CT'!$H$9),"x","")</f>
        <v/>
      </c>
      <c r="Z857" s="84"/>
      <c r="AA857" s="84" t="str">
        <f>IF(AND(MONTH(E857)='IN-NX'!$J$5,'IN-NX'!$D$7=D857),"x","")</f>
        <v/>
      </c>
      <c r="AB857" s="84" t="str">
        <f>IF(AND(OR(LEFT(TH!N857,2)="15",LEFT(TH!O857,2)="15"),LEFT(TH!O857,3)&lt;&gt;"111",'152-CT'!$J$8=TH!F857),"x","")</f>
        <v/>
      </c>
      <c r="AC857" s="84" t="str">
        <f>IF(AND(OR(LEFT(TH!N857,2)="15",LEFT(TH!O857,2)="15"),TK!$E$7=TH!F857),"x","")</f>
        <v/>
      </c>
      <c r="AD857" s="84" t="str">
        <f>IF(AND(N857="1521",MONTH(C857)='BK-NL'!$M$11),"x","")</f>
        <v/>
      </c>
    </row>
    <row r="858" spans="1:31" ht="15.75" hidden="1" customHeight="1">
      <c r="A858" s="336" t="str">
        <f>IF(B858&lt;&gt;"",IF(AND(B858='IN-TC'!$S$4,OR(TH!N858="1111",TH!O858="1111")),TH!D858,""),"")</f>
        <v/>
      </c>
      <c r="B858" s="63">
        <f t="shared" si="165"/>
        <v>1</v>
      </c>
      <c r="C858" s="64">
        <v>42400</v>
      </c>
      <c r="D858" s="64" t="s">
        <v>965</v>
      </c>
      <c r="E858" s="64">
        <v>42400</v>
      </c>
      <c r="F858" s="514" t="s">
        <v>776</v>
      </c>
      <c r="G858" s="67" t="s">
        <v>843</v>
      </c>
      <c r="H858" s="73" t="s">
        <v>844</v>
      </c>
      <c r="I858" s="439"/>
      <c r="J858" s="439"/>
      <c r="K858" s="430"/>
      <c r="L858" s="439"/>
      <c r="M858" s="65">
        <v>44018</v>
      </c>
      <c r="N858" s="66" t="s">
        <v>101</v>
      </c>
      <c r="O858" s="66" t="s">
        <v>63</v>
      </c>
      <c r="P858" s="84" t="str">
        <f>IF(AND('331-CT'!$E$7=TH!H858,OR(N858="331",O858="331")),"x","")</f>
        <v/>
      </c>
      <c r="Q858" s="84" t="str">
        <f>IF(AND(B858='111'!$L$11,OR($N858=$Q$7,$O858=$Q$7)),"x","")</f>
        <v>x</v>
      </c>
      <c r="R858" s="84" t="str">
        <f>IF(AND($N858=$Q$7,$B858&lt;'111'!$L$11),"x","")</f>
        <v/>
      </c>
      <c r="S858" s="84" t="str">
        <f>IF(AND($O858=$Q$7,$B858&lt;'111'!$L$11),"x","")</f>
        <v/>
      </c>
      <c r="T858" s="84" t="str">
        <f>IF(ISERROR(FIND('112'!$M$9,G858,1)),"",IF((AND(FIND('112'!$M$9,G858,1)&gt;=1,B858='112'!$K$9,OR($N858='112'!$I$6,$O858='112'!$I$6))),"x",""))</f>
        <v/>
      </c>
      <c r="U858" s="84" t="str">
        <f>IF(ISERROR(FIND('112'!$M$9,G858,1)),"",IF((AND(LEFT(G858,2)=LEFT('112'!$M$9,2),B858&lt;'112'!$K$9,$N858='112'!$I$6)),"x",""))</f>
        <v/>
      </c>
      <c r="V858" s="84" t="str">
        <f>IF(ISERROR(FIND('112'!$M$9,G858,1)),"",IF((AND(RIGHT(G858,2)=RIGHT('112'!$M$9,2),B858&lt;'112'!$K$9,$O858='112'!$I$6)),"x",""))</f>
        <v/>
      </c>
      <c r="W858" s="84" t="str">
        <f>IF(AND('341-CT'!$H$9=H858,OR(LEFT(N858,3)=$W$7,LEFT(O858,3)=$W$7)),"x","")</f>
        <v/>
      </c>
      <c r="X858" s="84" t="str">
        <f>IF(OR(TH!N858=TH!$X$7,O858=TH!$X$7),"x","")</f>
        <v/>
      </c>
      <c r="Y858" s="84" t="str">
        <f>IF(AND(OR(N858="131",O858="131"),H858='131-CT'!$H$9),"x","")</f>
        <v/>
      </c>
      <c r="Z858" s="84"/>
      <c r="AA858" s="84" t="str">
        <f>IF(AND(MONTH(E858)='IN-NX'!$J$5,'IN-NX'!$D$7=D858),"x","")</f>
        <v/>
      </c>
      <c r="AB858" s="84" t="str">
        <f>IF(AND(OR(LEFT(TH!N858,2)="15",LEFT(TH!O858,2)="15"),LEFT(TH!O858,3)&lt;&gt;"111",'152-CT'!$J$8=TH!F858),"x","")</f>
        <v/>
      </c>
      <c r="AC858" s="84" t="str">
        <f>IF(AND(OR(LEFT(TH!N858,2)="15",LEFT(TH!O858,2)="15"),TK!$E$7=TH!F858),"x","")</f>
        <v/>
      </c>
      <c r="AD858" s="84" t="str">
        <f>IF(AND(N858="1521",MONTH(C858)='BK-NL'!$M$11),"x","")</f>
        <v/>
      </c>
    </row>
    <row r="859" spans="1:31" ht="15.75" hidden="1" customHeight="1">
      <c r="A859" s="336" t="str">
        <f>IF(B859&lt;&gt;"",IF(AND(B859='IN-TC'!$S$4,OR(TH!N859="1111",TH!O859="1111")),TH!D859,""),"")</f>
        <v/>
      </c>
      <c r="B859" s="63">
        <f t="shared" si="165"/>
        <v>1</v>
      </c>
      <c r="C859" s="64">
        <v>42400</v>
      </c>
      <c r="D859" s="64" t="s">
        <v>965</v>
      </c>
      <c r="E859" s="64">
        <v>42400</v>
      </c>
      <c r="F859" s="514" t="s">
        <v>777</v>
      </c>
      <c r="G859" s="67" t="s">
        <v>843</v>
      </c>
      <c r="H859" s="73" t="s">
        <v>844</v>
      </c>
      <c r="I859" s="439"/>
      <c r="J859" s="439"/>
      <c r="K859" s="430"/>
      <c r="L859" s="439"/>
      <c r="M859" s="65">
        <v>4402</v>
      </c>
      <c r="N859" s="66" t="s">
        <v>9</v>
      </c>
      <c r="O859" s="66" t="s">
        <v>63</v>
      </c>
      <c r="P859" s="84" t="str">
        <f>IF(AND('331-CT'!$E$7=TH!H859,OR(N859="331",O859="331")),"x","")</f>
        <v/>
      </c>
      <c r="Q859" s="84" t="str">
        <f>IF(AND(B859='111'!$L$11,OR($N859=$Q$7,$O859=$Q$7)),"x","")</f>
        <v>x</v>
      </c>
      <c r="R859" s="84" t="str">
        <f>IF(AND($N859=$Q$7,$B859&lt;'111'!$L$11),"x","")</f>
        <v/>
      </c>
      <c r="S859" s="84" t="str">
        <f>IF(AND($O859=$Q$7,$B859&lt;'111'!$L$11),"x","")</f>
        <v/>
      </c>
      <c r="T859" s="84" t="str">
        <f>IF(ISERROR(FIND('112'!$M$9,G859,1)),"",IF((AND(FIND('112'!$M$9,G859,1)&gt;=1,B859='112'!$K$9,OR($N859='112'!$I$6,$O859='112'!$I$6))),"x",""))</f>
        <v/>
      </c>
      <c r="U859" s="84" t="str">
        <f>IF(ISERROR(FIND('112'!$M$9,G859,1)),"",IF((AND(LEFT(G859,2)=LEFT('112'!$M$9,2),B859&lt;'112'!$K$9,$N859='112'!$I$6)),"x",""))</f>
        <v/>
      </c>
      <c r="V859" s="84" t="str">
        <f>IF(ISERROR(FIND('112'!$M$9,G859,1)),"",IF((AND(RIGHT(G859,2)=RIGHT('112'!$M$9,2),B859&lt;'112'!$K$9,$O859='112'!$I$6)),"x",""))</f>
        <v/>
      </c>
      <c r="W859" s="84" t="str">
        <f>IF(AND('341-CT'!$H$9=H859,OR(LEFT(N859,3)=$W$7,LEFT(O859,3)=$W$7)),"x","")</f>
        <v/>
      </c>
      <c r="X859" s="84" t="str">
        <f>IF(OR(TH!N859=TH!$X$7,O859=TH!$X$7),"x","")</f>
        <v/>
      </c>
      <c r="Y859" s="84" t="str">
        <f>IF(AND(OR(N859="131",O859="131"),H859='131-CT'!$H$9),"x","")</f>
        <v/>
      </c>
      <c r="Z859" s="84"/>
      <c r="AA859" s="84" t="str">
        <f>IF(AND(MONTH(E859)='IN-NX'!$J$5,'IN-NX'!$D$7=D859),"x","")</f>
        <v/>
      </c>
      <c r="AB859" s="84" t="str">
        <f>IF(AND(OR(LEFT(TH!N859,2)="15",LEFT(TH!O859,2)="15"),LEFT(TH!O859,3)&lt;&gt;"111",'152-CT'!$J$8=TH!F859),"x","")</f>
        <v/>
      </c>
      <c r="AC859" s="84" t="str">
        <f>IF(AND(OR(LEFT(TH!N859,2)="15",LEFT(TH!O859,2)="15"),TK!$E$7=TH!F859),"x","")</f>
        <v/>
      </c>
      <c r="AD859" s="84" t="str">
        <f>IF(AND(N859="1521",MONTH(C859)='BK-NL'!$M$11),"x","")</f>
        <v/>
      </c>
    </row>
    <row r="860" spans="1:31" ht="15.75" hidden="1" customHeight="1">
      <c r="A860" s="336" t="str">
        <f>IF(B860&lt;&gt;"",IF(AND(B860='IN-TC'!$S$4,OR(TH!N860="1111",TH!O860="1111")),TH!D860,""),"")</f>
        <v/>
      </c>
      <c r="B860" s="63">
        <f t="shared" si="165"/>
        <v>1</v>
      </c>
      <c r="C860" s="64">
        <v>42400</v>
      </c>
      <c r="D860" s="64" t="s">
        <v>966</v>
      </c>
      <c r="E860" s="64">
        <v>42400</v>
      </c>
      <c r="F860" s="514" t="s">
        <v>795</v>
      </c>
      <c r="G860" s="67" t="s">
        <v>845</v>
      </c>
      <c r="H860" s="73" t="s">
        <v>846</v>
      </c>
      <c r="I860" s="439"/>
      <c r="J860" s="439"/>
      <c r="K860" s="430"/>
      <c r="L860" s="439"/>
      <c r="M860" s="65">
        <v>1970034</v>
      </c>
      <c r="N860" s="66" t="s">
        <v>101</v>
      </c>
      <c r="O860" s="66" t="s">
        <v>63</v>
      </c>
      <c r="P860" s="84" t="str">
        <f>IF(AND('331-CT'!$E$7=TH!H860,OR(N860="331",O860="331")),"x","")</f>
        <v/>
      </c>
      <c r="Q860" s="84" t="str">
        <f>IF(AND(B860='111'!$L$11,OR($N860=$Q$7,$O860=$Q$7)),"x","")</f>
        <v>x</v>
      </c>
      <c r="R860" s="84" t="str">
        <f>IF(AND($N860=$Q$7,$B860&lt;'111'!$L$11),"x","")</f>
        <v/>
      </c>
      <c r="S860" s="84" t="str">
        <f>IF(AND($O860=$Q$7,$B860&lt;'111'!$L$11),"x","")</f>
        <v/>
      </c>
      <c r="T860" s="84" t="str">
        <f>IF(ISERROR(FIND('112'!$M$9,G860,1)),"",IF((AND(FIND('112'!$M$9,G860,1)&gt;=1,B860='112'!$K$9,OR($N860='112'!$I$6,$O860='112'!$I$6))),"x",""))</f>
        <v/>
      </c>
      <c r="U860" s="84" t="str">
        <f>IF(ISERROR(FIND('112'!$M$9,G860,1)),"",IF((AND(LEFT(G860,2)=LEFT('112'!$M$9,2),B860&lt;'112'!$K$9,$N860='112'!$I$6)),"x",""))</f>
        <v/>
      </c>
      <c r="V860" s="84" t="str">
        <f>IF(ISERROR(FIND('112'!$M$9,G860,1)),"",IF((AND(RIGHT(G860,2)=RIGHT('112'!$M$9,2),B860&lt;'112'!$K$9,$O860='112'!$I$6)),"x",""))</f>
        <v/>
      </c>
      <c r="W860" s="84" t="str">
        <f>IF(AND('341-CT'!$H$9=H860,OR(LEFT(N860,3)=$W$7,LEFT(O860,3)=$W$7)),"x","")</f>
        <v/>
      </c>
      <c r="X860" s="84" t="str">
        <f>IF(OR(TH!N860=TH!$X$7,O860=TH!$X$7),"x","")</f>
        <v/>
      </c>
      <c r="Y860" s="84" t="str">
        <f>IF(AND(OR(N860="131",O860="131"),H860='131-CT'!$H$9),"x","")</f>
        <v/>
      </c>
      <c r="Z860" s="84"/>
      <c r="AA860" s="84" t="str">
        <f>IF(AND(MONTH(E860)='IN-NX'!$J$5,'IN-NX'!$D$7=D860),"x","")</f>
        <v/>
      </c>
      <c r="AB860" s="84" t="str">
        <f>IF(AND(OR(LEFT(TH!N860,2)="15",LEFT(TH!O860,2)="15"),LEFT(TH!O860,3)&lt;&gt;"111",'152-CT'!$J$8=TH!F860),"x","")</f>
        <v/>
      </c>
      <c r="AC860" s="84" t="str">
        <f>IF(AND(OR(LEFT(TH!N860,2)="15",LEFT(TH!O860,2)="15"),TK!$E$7=TH!F860),"x","")</f>
        <v/>
      </c>
      <c r="AD860" s="84" t="str">
        <f>IF(AND(N860="1521",MONTH(C860)='BK-NL'!$M$11),"x","")</f>
        <v/>
      </c>
    </row>
    <row r="861" spans="1:31" ht="15.75" hidden="1" customHeight="1">
      <c r="A861" s="336" t="str">
        <f>IF(B861&lt;&gt;"",IF(AND(B861='IN-TC'!$S$4,OR(TH!N861="1111",TH!O861="1111")),TH!D861,""),"")</f>
        <v/>
      </c>
      <c r="B861" s="63">
        <f t="shared" si="165"/>
        <v>1</v>
      </c>
      <c r="C861" s="64">
        <v>42400</v>
      </c>
      <c r="D861" s="64" t="s">
        <v>966</v>
      </c>
      <c r="E861" s="64">
        <v>42400</v>
      </c>
      <c r="F861" s="514" t="s">
        <v>796</v>
      </c>
      <c r="G861" s="67" t="s">
        <v>845</v>
      </c>
      <c r="H861" s="73" t="s">
        <v>846</v>
      </c>
      <c r="I861" s="439"/>
      <c r="J861" s="439"/>
      <c r="K861" s="430"/>
      <c r="L861" s="439"/>
      <c r="M861" s="65">
        <v>197003</v>
      </c>
      <c r="N861" s="66" t="s">
        <v>9</v>
      </c>
      <c r="O861" s="66" t="s">
        <v>63</v>
      </c>
      <c r="P861" s="84" t="str">
        <f>IF(AND('331-CT'!$E$7=TH!H861,OR(N861="331",O861="331")),"x","")</f>
        <v/>
      </c>
      <c r="Q861" s="84" t="str">
        <f>IF(AND(B861='111'!$L$11,OR($N861=$Q$7,$O861=$Q$7)),"x","")</f>
        <v>x</v>
      </c>
      <c r="R861" s="84" t="str">
        <f>IF(AND($N861=$Q$7,$B861&lt;'111'!$L$11),"x","")</f>
        <v/>
      </c>
      <c r="S861" s="84" t="str">
        <f>IF(AND($O861=$Q$7,$B861&lt;'111'!$L$11),"x","")</f>
        <v/>
      </c>
      <c r="T861" s="84" t="str">
        <f>IF(ISERROR(FIND('112'!$M$9,G861,1)),"",IF((AND(FIND('112'!$M$9,G861,1)&gt;=1,B861='112'!$K$9,OR($N861='112'!$I$6,$O861='112'!$I$6))),"x",""))</f>
        <v/>
      </c>
      <c r="U861" s="84" t="str">
        <f>IF(ISERROR(FIND('112'!$M$9,G861,1)),"",IF((AND(LEFT(G861,2)=LEFT('112'!$M$9,2),B861&lt;'112'!$K$9,$N861='112'!$I$6)),"x",""))</f>
        <v/>
      </c>
      <c r="V861" s="84" t="str">
        <f>IF(ISERROR(FIND('112'!$M$9,G861,1)),"",IF((AND(RIGHT(G861,2)=RIGHT('112'!$M$9,2),B861&lt;'112'!$K$9,$O861='112'!$I$6)),"x",""))</f>
        <v/>
      </c>
      <c r="W861" s="84" t="str">
        <f>IF(AND('341-CT'!$H$9=H861,OR(LEFT(N861,3)=$W$7,LEFT(O861,3)=$W$7)),"x","")</f>
        <v/>
      </c>
      <c r="X861" s="84" t="str">
        <f>IF(OR(TH!N861=TH!$X$7,O861=TH!$X$7),"x","")</f>
        <v/>
      </c>
      <c r="Y861" s="84" t="str">
        <f>IF(AND(OR(N861="131",O861="131"),H861='131-CT'!$H$9),"x","")</f>
        <v/>
      </c>
      <c r="Z861" s="84"/>
      <c r="AA861" s="84" t="str">
        <f>IF(AND(MONTH(E861)='IN-NX'!$J$5,'IN-NX'!$D$7=D861),"x","")</f>
        <v/>
      </c>
      <c r="AB861" s="84" t="str">
        <f>IF(AND(OR(LEFT(TH!N861,2)="15",LEFT(TH!O861,2)="15"),LEFT(TH!O861,3)&lt;&gt;"111",'152-CT'!$J$8=TH!F861),"x","")</f>
        <v/>
      </c>
      <c r="AC861" s="84" t="str">
        <f>IF(AND(OR(LEFT(TH!N861,2)="15",LEFT(TH!O861,2)="15"),TK!$E$7=TH!F861),"x","")</f>
        <v/>
      </c>
      <c r="AD861" s="84" t="str">
        <f>IF(AND(N861="1521",MONTH(C861)='BK-NL'!$M$11),"x","")</f>
        <v/>
      </c>
    </row>
    <row r="862" spans="1:31" ht="15.75" hidden="1" customHeight="1">
      <c r="A862" s="336" t="str">
        <f>IF(B862&lt;&gt;"",IF(AND(B862='IN-TC'!$S$4,OR(TH!N862="1111",TH!O862="1111")),TH!D862,""),"")</f>
        <v/>
      </c>
      <c r="B862" s="63">
        <f t="shared" si="165"/>
        <v>1</v>
      </c>
      <c r="C862" s="64">
        <v>42400</v>
      </c>
      <c r="D862" s="64" t="s">
        <v>967</v>
      </c>
      <c r="E862" s="64">
        <v>42400</v>
      </c>
      <c r="F862" s="514" t="s">
        <v>797</v>
      </c>
      <c r="G862" s="67" t="s">
        <v>847</v>
      </c>
      <c r="H862" s="73" t="s">
        <v>848</v>
      </c>
      <c r="I862" s="439"/>
      <c r="J862" s="439"/>
      <c r="K862" s="430"/>
      <c r="L862" s="439"/>
      <c r="M862" s="65">
        <v>354533</v>
      </c>
      <c r="N862" s="66" t="s">
        <v>101</v>
      </c>
      <c r="O862" s="66" t="s">
        <v>63</v>
      </c>
      <c r="P862" s="84" t="str">
        <f>IF(AND('331-CT'!$E$7=TH!H862,OR(N862="331",O862="331")),"x","")</f>
        <v/>
      </c>
      <c r="Q862" s="84" t="str">
        <f>IF(AND(B862='111'!$L$11,OR($N862=$Q$7,$O862=$Q$7)),"x","")</f>
        <v>x</v>
      </c>
      <c r="R862" s="84" t="str">
        <f>IF(AND($N862=$Q$7,$B862&lt;'111'!$L$11),"x","")</f>
        <v/>
      </c>
      <c r="S862" s="84" t="str">
        <f>IF(AND($O862=$Q$7,$B862&lt;'111'!$L$11),"x","")</f>
        <v/>
      </c>
      <c r="T862" s="84" t="str">
        <f>IF(ISERROR(FIND('112'!$M$9,G862,1)),"",IF((AND(FIND('112'!$M$9,G862,1)&gt;=1,B862='112'!$K$9,OR($N862='112'!$I$6,$O862='112'!$I$6))),"x",""))</f>
        <v/>
      </c>
      <c r="U862" s="84" t="str">
        <f>IF(ISERROR(FIND('112'!$M$9,G862,1)),"",IF((AND(LEFT(G862,2)=LEFT('112'!$M$9,2),B862&lt;'112'!$K$9,$N862='112'!$I$6)),"x",""))</f>
        <v/>
      </c>
      <c r="V862" s="84" t="str">
        <f>IF(ISERROR(FIND('112'!$M$9,G862,1)),"",IF((AND(RIGHT(G862,2)=RIGHT('112'!$M$9,2),B862&lt;'112'!$K$9,$O862='112'!$I$6)),"x",""))</f>
        <v/>
      </c>
      <c r="W862" s="84" t="str">
        <f>IF(AND('341-CT'!$H$9=H862,OR(LEFT(N862,3)=$W$7,LEFT(O862,3)=$W$7)),"x","")</f>
        <v/>
      </c>
      <c r="X862" s="84" t="str">
        <f>IF(OR(TH!N862=TH!$X$7,O862=TH!$X$7),"x","")</f>
        <v/>
      </c>
      <c r="Y862" s="84" t="str">
        <f>IF(AND(OR(N862="131",O862="131"),H862='131-CT'!$H$9),"x","")</f>
        <v/>
      </c>
      <c r="Z862" s="84"/>
      <c r="AA862" s="84" t="str">
        <f>IF(AND(MONTH(E862)='IN-NX'!$J$5,'IN-NX'!$D$7=D862),"x","")</f>
        <v/>
      </c>
      <c r="AB862" s="84" t="str">
        <f>IF(AND(OR(LEFT(TH!N862,2)="15",LEFT(TH!O862,2)="15"),LEFT(TH!O862,3)&lt;&gt;"111",'152-CT'!$J$8=TH!F862),"x","")</f>
        <v/>
      </c>
      <c r="AC862" s="84" t="str">
        <f>IF(AND(OR(LEFT(TH!N862,2)="15",LEFT(TH!O862,2)="15"),TK!$E$7=TH!F862),"x","")</f>
        <v/>
      </c>
      <c r="AD862" s="84" t="str">
        <f>IF(AND(N862="1521",MONTH(C862)='BK-NL'!$M$11),"x","")</f>
        <v/>
      </c>
    </row>
    <row r="863" spans="1:31" ht="15.75" hidden="1" customHeight="1">
      <c r="A863" s="336" t="str">
        <f>IF(B863&lt;&gt;"",IF(AND(B863='IN-TC'!$S$4,OR(TH!N863="1111",TH!O863="1111")),TH!D863,""),"")</f>
        <v/>
      </c>
      <c r="B863" s="63">
        <f t="shared" si="165"/>
        <v>1</v>
      </c>
      <c r="C863" s="64">
        <v>42400</v>
      </c>
      <c r="D863" s="64" t="s">
        <v>967</v>
      </c>
      <c r="E863" s="64">
        <v>42400</v>
      </c>
      <c r="F863" s="514" t="s">
        <v>798</v>
      </c>
      <c r="G863" s="67" t="s">
        <v>847</v>
      </c>
      <c r="H863" s="73" t="s">
        <v>848</v>
      </c>
      <c r="I863" s="439"/>
      <c r="J863" s="439"/>
      <c r="K863" s="430"/>
      <c r="L863" s="439"/>
      <c r="M863" s="65">
        <v>35453</v>
      </c>
      <c r="N863" s="66" t="s">
        <v>9</v>
      </c>
      <c r="O863" s="66" t="s">
        <v>63</v>
      </c>
      <c r="P863" s="84" t="str">
        <f>IF(AND('331-CT'!$E$7=TH!H863,OR(N863="331",O863="331")),"x","")</f>
        <v/>
      </c>
      <c r="Q863" s="84" t="str">
        <f>IF(AND(B863='111'!$L$11,OR($N863=$Q$7,$O863=$Q$7)),"x","")</f>
        <v>x</v>
      </c>
      <c r="R863" s="84" t="str">
        <f>IF(AND($N863=$Q$7,$B863&lt;'111'!$L$11),"x","")</f>
        <v/>
      </c>
      <c r="S863" s="84" t="str">
        <f>IF(AND($O863=$Q$7,$B863&lt;'111'!$L$11),"x","")</f>
        <v/>
      </c>
      <c r="T863" s="84" t="str">
        <f>IF(ISERROR(FIND('112'!$M$9,G863,1)),"",IF((AND(FIND('112'!$M$9,G863,1)&gt;=1,B863='112'!$K$9,OR($N863='112'!$I$6,$O863='112'!$I$6))),"x",""))</f>
        <v/>
      </c>
      <c r="U863" s="84" t="str">
        <f>IF(ISERROR(FIND('112'!$M$9,G863,1)),"",IF((AND(LEFT(G863,2)=LEFT('112'!$M$9,2),B863&lt;'112'!$K$9,$N863='112'!$I$6)),"x",""))</f>
        <v/>
      </c>
      <c r="V863" s="84" t="str">
        <f>IF(ISERROR(FIND('112'!$M$9,G863,1)),"",IF((AND(RIGHT(G863,2)=RIGHT('112'!$M$9,2),B863&lt;'112'!$K$9,$O863='112'!$I$6)),"x",""))</f>
        <v/>
      </c>
      <c r="W863" s="84" t="str">
        <f>IF(AND('341-CT'!$H$9=H863,OR(LEFT(N863,3)=$W$7,LEFT(O863,3)=$W$7)),"x","")</f>
        <v/>
      </c>
      <c r="X863" s="84" t="str">
        <f>IF(OR(TH!N863=TH!$X$7,O863=TH!$X$7),"x","")</f>
        <v/>
      </c>
      <c r="Y863" s="84" t="str">
        <f>IF(AND(OR(N863="131",O863="131"),H863='131-CT'!$H$9),"x","")</f>
        <v/>
      </c>
      <c r="Z863" s="84"/>
      <c r="AA863" s="84" t="str">
        <f>IF(AND(MONTH(E863)='IN-NX'!$J$5,'IN-NX'!$D$7=D863),"x","")</f>
        <v/>
      </c>
      <c r="AB863" s="84" t="str">
        <f>IF(AND(OR(LEFT(TH!N863,2)="15",LEFT(TH!O863,2)="15"),LEFT(TH!O863,3)&lt;&gt;"111",'152-CT'!$J$8=TH!F863),"x","")</f>
        <v/>
      </c>
      <c r="AC863" s="84" t="str">
        <f>IF(AND(OR(LEFT(TH!N863,2)="15",LEFT(TH!O863,2)="15"),TK!$E$7=TH!F863),"x","")</f>
        <v/>
      </c>
      <c r="AD863" s="84" t="str">
        <f>IF(AND(N863="1521",MONTH(C863)='BK-NL'!$M$11),"x","")</f>
        <v/>
      </c>
    </row>
    <row r="864" spans="1:31" ht="15.75" hidden="1" customHeight="1">
      <c r="A864" s="336" t="str">
        <f>IF(B864&lt;&gt;"",IF(AND(B864='IN-TC'!$S$4,OR(TH!N864="1111",TH!O864="1111")),TH!D864,""),"")</f>
        <v/>
      </c>
      <c r="B864" s="63">
        <f t="shared" si="165"/>
        <v>1</v>
      </c>
      <c r="C864" s="80">
        <f>E864</f>
        <v>42400</v>
      </c>
      <c r="D864" s="64" t="s">
        <v>968</v>
      </c>
      <c r="E864" s="80">
        <v>42400</v>
      </c>
      <c r="F864" s="514" t="s">
        <v>964</v>
      </c>
      <c r="G864" s="81"/>
      <c r="H864" s="82" t="s">
        <v>963</v>
      </c>
      <c r="I864" s="437"/>
      <c r="J864" s="437"/>
      <c r="K864" s="428"/>
      <c r="L864" s="437"/>
      <c r="M864" s="83">
        <v>440000000</v>
      </c>
      <c r="N864" s="84" t="s">
        <v>272</v>
      </c>
      <c r="O864" s="66" t="s">
        <v>63</v>
      </c>
      <c r="P864" s="84" t="str">
        <f>IF(AND('331-CT'!$E$7=TH!H864,OR(N864="331",O864="331")),"x","")</f>
        <v/>
      </c>
      <c r="Q864" s="84" t="str">
        <f>IF(AND(B864='111'!$L$11,OR($N864=$Q$7,$O864=$Q$7)),"x","")</f>
        <v>x</v>
      </c>
      <c r="R864" s="84" t="str">
        <f>IF(AND($N864=$Q$7,$B864&lt;'111'!$L$11),"x","")</f>
        <v/>
      </c>
      <c r="S864" s="84" t="str">
        <f>IF(AND($O864=$Q$7,$B864&lt;'111'!$L$11),"x","")</f>
        <v/>
      </c>
      <c r="T864" s="84" t="str">
        <f>IF(ISERROR(FIND('112'!$M$9,G864,1)),"",IF((AND(FIND('112'!$M$9,G864,1)&gt;=1,B864='112'!$K$9,OR($N864='112'!$I$6,$O864='112'!$I$6))),"x",""))</f>
        <v/>
      </c>
      <c r="U864" s="84" t="str">
        <f>IF(ISERROR(FIND('112'!$M$9,G864,1)),"",IF((AND(LEFT(G864,2)=LEFT('112'!$M$9,2),B864&lt;'112'!$K$9,$N864='112'!$I$6)),"x",""))</f>
        <v/>
      </c>
      <c r="V864" s="84" t="str">
        <f>IF(ISERROR(FIND('112'!$M$9,G864,1)),"",IF((AND(RIGHT(G864,2)=RIGHT('112'!$M$9,2),B864&lt;'112'!$K$9,$O864='112'!$I$6)),"x",""))</f>
        <v/>
      </c>
      <c r="W864" s="84" t="str">
        <f>IF(AND('341-CT'!$H$9=H864,OR(LEFT(N864,3)=$W$7,LEFT(O864,3)=$W$7)),"x","")</f>
        <v/>
      </c>
      <c r="X864" s="84" t="str">
        <f>IF(OR(TH!N864=TH!$X$7,O864=TH!$X$7),"x","")</f>
        <v/>
      </c>
      <c r="Y864" s="84" t="str">
        <f>IF(AND(OR(N864="131",O864="131"),H864='131-CT'!$H$9),"x","")</f>
        <v/>
      </c>
      <c r="Z864" s="84"/>
      <c r="AA864" s="84" t="str">
        <f>IF(AND(MONTH(E864)='IN-NX'!$J$5,'IN-NX'!$D$7=D864),"x","")</f>
        <v/>
      </c>
      <c r="AB864" s="84" t="str">
        <f>IF(AND(OR(LEFT(TH!N864,2)="15",LEFT(TH!O864,2)="15"),LEFT(TH!O864,3)&lt;&gt;"111",'152-CT'!$J$8=TH!F864),"x","")</f>
        <v/>
      </c>
      <c r="AC864" s="84" t="str">
        <f>IF(AND(OR(LEFT(TH!N864,2)="15",LEFT(TH!O864,2)="15"),TK!$E$7=TH!F864),"x","")</f>
        <v/>
      </c>
      <c r="AD864" s="84" t="str">
        <f>IF(AND(N864="1521",MONTH(C864)='BK-NL'!$M$11),"x","")</f>
        <v/>
      </c>
    </row>
    <row r="865" spans="1:31" s="347" customFormat="1" ht="15.75" hidden="1" customHeight="1">
      <c r="A865" s="336" t="str">
        <f>IF(B865&lt;&gt;"",IF(AND(B865='IN-TC'!$S$4,OR(TH!N865="1111",TH!O865="1111")),TH!D865,""),"")</f>
        <v/>
      </c>
      <c r="B865" s="1003">
        <f t="shared" si="165"/>
        <v>1</v>
      </c>
      <c r="C865" s="80">
        <v>42400</v>
      </c>
      <c r="D865" s="80" t="s">
        <v>969</v>
      </c>
      <c r="E865" s="80">
        <v>42400</v>
      </c>
      <c r="F865" s="1183" t="s">
        <v>1956</v>
      </c>
      <c r="G865" s="81"/>
      <c r="H865" s="82" t="s">
        <v>849</v>
      </c>
      <c r="I865" s="437"/>
      <c r="J865" s="437"/>
      <c r="K865" s="428"/>
      <c r="L865" s="437"/>
      <c r="M865" s="83">
        <v>140608780</v>
      </c>
      <c r="N865" s="84" t="s">
        <v>592</v>
      </c>
      <c r="O865" s="84" t="s">
        <v>63</v>
      </c>
      <c r="P865" s="84" t="str">
        <f>IF(AND('331-CT'!$E$7=TH!H865,OR(N865="331",O865="331")),"x","")</f>
        <v/>
      </c>
      <c r="Q865" s="84" t="str">
        <f>IF(AND(B865='111'!$L$11,OR($N865=$Q$7,$O865=$Q$7)),"x","")</f>
        <v>x</v>
      </c>
      <c r="R865" s="84" t="str">
        <f>IF(AND($N865=$Q$7,$B865&lt;'111'!$L$11),"x","")</f>
        <v/>
      </c>
      <c r="S865" s="84" t="str">
        <f>IF(AND($O865=$Q$7,$B865&lt;'111'!$L$11),"x","")</f>
        <v/>
      </c>
      <c r="T865" s="84" t="str">
        <f>IF(ISERROR(FIND('112'!$M$9,G865,1)),"",IF((AND(FIND('112'!$M$9,G865,1)&gt;=1,B865='112'!$K$9,OR($N865='112'!$I$6,$O865='112'!$I$6))),"x",""))</f>
        <v/>
      </c>
      <c r="U865" s="84" t="str">
        <f>IF(ISERROR(FIND('112'!$M$9,G865,1)),"",IF((AND(LEFT(G865,2)=LEFT('112'!$M$9,2),B865&lt;'112'!$K$9,$N865='112'!$I$6)),"x",""))</f>
        <v/>
      </c>
      <c r="V865" s="84" t="str">
        <f>IF(ISERROR(FIND('112'!$M$9,G865,1)),"",IF((AND(RIGHT(G865,2)=RIGHT('112'!$M$9,2),B865&lt;'112'!$K$9,$O865='112'!$I$6)),"x",""))</f>
        <v/>
      </c>
      <c r="W865" s="84" t="str">
        <f>IF(AND('341-CT'!$H$9=H865,OR(LEFT(N865,3)=$W$7,LEFT(O865,3)=$W$7)),"x","")</f>
        <v/>
      </c>
      <c r="X865" s="84" t="str">
        <f>IF(OR(TH!N865=TH!$X$7,O865=TH!$X$7),"x","")</f>
        <v/>
      </c>
      <c r="Y865" s="84" t="str">
        <f>IF(AND(OR(N865="131",O865="131"),H865='131-CT'!$H$9),"x","")</f>
        <v/>
      </c>
      <c r="Z865" s="84"/>
      <c r="AA865" s="84" t="str">
        <f>IF(AND(MONTH(E865)='IN-NX'!$J$5,'IN-NX'!$D$7=D865),"x","")</f>
        <v/>
      </c>
      <c r="AB865" s="84" t="str">
        <f>IF(AND(OR(LEFT(TH!N865,2)="15",LEFT(TH!O865,2)="15"),LEFT(TH!O865,3)&lt;&gt;"111",'152-CT'!$J$8=TH!F865),"x","")</f>
        <v/>
      </c>
      <c r="AC865" s="84" t="str">
        <f>IF(AND(OR(LEFT(TH!N865,2)="15",LEFT(TH!O865,2)="15"),TK!$E$7=TH!F865),"x","")</f>
        <v/>
      </c>
      <c r="AD865" s="84" t="str">
        <f>IF(AND(N865="1521",MONTH(C865)='BK-NL'!$M$11),"x","")</f>
        <v/>
      </c>
    </row>
    <row r="866" spans="1:31" ht="15.75" hidden="1" customHeight="1">
      <c r="A866" s="336" t="str">
        <f>IF(B866&lt;&gt;"",IF(AND(B866='IN-TC'!$S$4,OR(TH!N866="1111",TH!O866="1111")),TH!D866,""),"")</f>
        <v>C01</v>
      </c>
      <c r="B866" s="63">
        <f t="shared" si="165"/>
        <v>2</v>
      </c>
      <c r="C866" s="64">
        <v>42401</v>
      </c>
      <c r="D866" s="64" t="s">
        <v>868</v>
      </c>
      <c r="E866" s="64">
        <v>42384</v>
      </c>
      <c r="F866" s="514" t="s">
        <v>999</v>
      </c>
      <c r="G866" s="982" t="s">
        <v>1020</v>
      </c>
      <c r="H866" s="73" t="s">
        <v>620</v>
      </c>
      <c r="I866" s="439"/>
      <c r="J866" s="439"/>
      <c r="K866" s="430"/>
      <c r="L866" s="439"/>
      <c r="M866" s="65">
        <v>4243750</v>
      </c>
      <c r="N866" s="66" t="s">
        <v>101</v>
      </c>
      <c r="O866" s="66" t="s">
        <v>63</v>
      </c>
      <c r="P866" s="84" t="str">
        <f>IF(AND('331-CT'!$E$7=TH!H866,OR(N866="331",O866="331")),"x","")</f>
        <v/>
      </c>
      <c r="Q866" s="84" t="str">
        <f>IF(AND(B866='111'!$L$11,OR($N866=$Q$7,$O866=$Q$7)),"x","")</f>
        <v/>
      </c>
      <c r="R866" s="84" t="str">
        <f>IF(AND($N866=$Q$7,$B866&lt;'111'!$L$11),"x","")</f>
        <v/>
      </c>
      <c r="S866" s="84" t="str">
        <f>IF(AND($O866=$Q$7,$B866&lt;'111'!$L$11),"x","")</f>
        <v/>
      </c>
      <c r="T866" s="84" t="str">
        <f>IF(ISERROR(FIND('112'!$M$9,G866,1)),"",IF((AND(FIND('112'!$M$9,G866,1)&gt;=1,B866='112'!$K$9,OR($N866='112'!$I$6,$O866='112'!$I$6))),"x",""))</f>
        <v/>
      </c>
      <c r="U866" s="84" t="str">
        <f>IF(ISERROR(FIND('112'!$M$9,G866,1)),"",IF((AND(LEFT(G866,2)=LEFT('112'!$M$9,2),B866&lt;'112'!$K$9,$N866='112'!$I$6)),"x",""))</f>
        <v/>
      </c>
      <c r="V866" s="84" t="str">
        <f>IF(ISERROR(FIND('112'!$M$9,G866,1)),"",IF((AND(RIGHT(G866,2)=RIGHT('112'!$M$9,2),B866&lt;'112'!$K$9,$O866='112'!$I$6)),"x",""))</f>
        <v/>
      </c>
      <c r="W866" s="84" t="str">
        <f>IF(AND('341-CT'!$H$9=H866,OR(LEFT(N866,3)=$W$7,LEFT(O866,3)=$W$7)),"x","")</f>
        <v/>
      </c>
      <c r="X866" s="84" t="str">
        <f>IF(OR(TH!N866=TH!$X$7,O866=TH!$X$7),"x","")</f>
        <v/>
      </c>
      <c r="Y866" s="84" t="str">
        <f>IF(AND(OR(N866="131",O866="131"),H866='131-CT'!$H$9),"x","")</f>
        <v/>
      </c>
      <c r="Z866" s="84"/>
      <c r="AA866" s="84" t="str">
        <f>IF(AND(MONTH(E866)='IN-NX'!$J$5,'IN-NX'!$D$7=D866),"x","")</f>
        <v/>
      </c>
      <c r="AB866" s="84" t="str">
        <f>IF(AND(OR(LEFT(TH!N866,2)="15",LEFT(TH!O866,2)="15"),LEFT(TH!O866,3)&lt;&gt;"111",'152-CT'!$J$8=TH!F866),"x","")</f>
        <v/>
      </c>
      <c r="AC866" s="84" t="str">
        <f>IF(AND(OR(LEFT(TH!N866,2)="15",LEFT(TH!O866,2)="15"),TK!$E$7=TH!F866),"x","")</f>
        <v/>
      </c>
      <c r="AD866" s="84" t="str">
        <f>IF(AND(N866="1521",MONTH(C866)='BK-NL'!$M$11),"x","")</f>
        <v/>
      </c>
    </row>
    <row r="867" spans="1:31" ht="15.75" hidden="1" customHeight="1">
      <c r="A867" s="336" t="str">
        <f>IF(B867&lt;&gt;"",IF(AND(B867='IN-TC'!$S$4,OR(TH!N867="1111",TH!O867="1111")),TH!D867,""),"")</f>
        <v>C01</v>
      </c>
      <c r="B867" s="63">
        <f t="shared" si="165"/>
        <v>2</v>
      </c>
      <c r="C867" s="64">
        <v>42401</v>
      </c>
      <c r="D867" s="64" t="s">
        <v>868</v>
      </c>
      <c r="E867" s="64">
        <v>42384</v>
      </c>
      <c r="F867" s="514" t="s">
        <v>1000</v>
      </c>
      <c r="G867" s="982" t="s">
        <v>1020</v>
      </c>
      <c r="H867" s="73" t="s">
        <v>620</v>
      </c>
      <c r="I867" s="439"/>
      <c r="J867" s="439"/>
      <c r="K867" s="430"/>
      <c r="L867" s="439"/>
      <c r="M867" s="65">
        <v>424375</v>
      </c>
      <c r="N867" s="66" t="s">
        <v>9</v>
      </c>
      <c r="O867" s="66" t="s">
        <v>63</v>
      </c>
      <c r="P867" s="84" t="str">
        <f>IF(AND('331-CT'!$E$7=TH!H867,OR(N867="331",O867="331")),"x","")</f>
        <v/>
      </c>
      <c r="Q867" s="84" t="str">
        <f>IF(AND(B867='111'!$L$11,OR($N867=$Q$7,$O867=$Q$7)),"x","")</f>
        <v/>
      </c>
      <c r="R867" s="84" t="str">
        <f>IF(AND($N867=$Q$7,$B867&lt;'111'!$L$11),"x","")</f>
        <v/>
      </c>
      <c r="S867" s="84" t="str">
        <f>IF(AND($O867=$Q$7,$B867&lt;'111'!$L$11),"x","")</f>
        <v/>
      </c>
      <c r="T867" s="84" t="str">
        <f>IF(ISERROR(FIND('112'!$M$9,G867,1)),"",IF((AND(FIND('112'!$M$9,G867,1)&gt;=1,B867='112'!$K$9,OR($N867='112'!$I$6,$O867='112'!$I$6))),"x",""))</f>
        <v/>
      </c>
      <c r="U867" s="84" t="str">
        <f>IF(ISERROR(FIND('112'!$M$9,G867,1)),"",IF((AND(LEFT(G867,2)=LEFT('112'!$M$9,2),B867&lt;'112'!$K$9,$N867='112'!$I$6)),"x",""))</f>
        <v/>
      </c>
      <c r="V867" s="84" t="str">
        <f>IF(ISERROR(FIND('112'!$M$9,G867,1)),"",IF((AND(RIGHT(G867,2)=RIGHT('112'!$M$9,2),B867&lt;'112'!$K$9,$O867='112'!$I$6)),"x",""))</f>
        <v/>
      </c>
      <c r="W867" s="84" t="str">
        <f>IF(AND('341-CT'!$H$9=H867,OR(LEFT(N867,3)=$W$7,LEFT(O867,3)=$W$7)),"x","")</f>
        <v/>
      </c>
      <c r="X867" s="84" t="str">
        <f>IF(OR(TH!N867=TH!$X$7,O867=TH!$X$7),"x","")</f>
        <v/>
      </c>
      <c r="Y867" s="84" t="str">
        <f>IF(AND(OR(N867="131",O867="131"),H867='131-CT'!$H$9),"x","")</f>
        <v/>
      </c>
      <c r="Z867" s="84"/>
      <c r="AA867" s="84" t="str">
        <f>IF(AND(MONTH(E867)='IN-NX'!$J$5,'IN-NX'!$D$7=D867),"x","")</f>
        <v/>
      </c>
      <c r="AB867" s="84" t="str">
        <f>IF(AND(OR(LEFT(TH!N867,2)="15",LEFT(TH!O867,2)="15"),LEFT(TH!O867,3)&lt;&gt;"111",'152-CT'!$J$8=TH!F867),"x","")</f>
        <v/>
      </c>
      <c r="AC867" s="84" t="str">
        <f>IF(AND(OR(LEFT(TH!N867,2)="15",LEFT(TH!O867,2)="15"),TK!$E$7=TH!F867),"x","")</f>
        <v/>
      </c>
      <c r="AD867" s="84" t="str">
        <f>IF(AND(N867="1521",MONTH(C867)='BK-NL'!$M$11),"x","")</f>
        <v/>
      </c>
    </row>
    <row r="868" spans="1:31" ht="15.75" hidden="1" customHeight="1">
      <c r="A868" s="336" t="str">
        <f>IF(B868&lt;&gt;"",IF(AND(B868='IN-TC'!$S$4,OR(TH!N868="1111",TH!O868="1111")),TH!D868,""),"")</f>
        <v>C02</v>
      </c>
      <c r="B868" s="63">
        <f t="shared" si="165"/>
        <v>2</v>
      </c>
      <c r="C868" s="64">
        <v>42402</v>
      </c>
      <c r="D868" s="64" t="s">
        <v>869</v>
      </c>
      <c r="E868" s="64">
        <v>42402</v>
      </c>
      <c r="F868" s="514" t="s">
        <v>1001</v>
      </c>
      <c r="G868" s="982" t="s">
        <v>1021</v>
      </c>
      <c r="H868" s="73" t="s">
        <v>831</v>
      </c>
      <c r="I868" s="439"/>
      <c r="J868" s="439"/>
      <c r="K868" s="430"/>
      <c r="L868" s="439"/>
      <c r="M868" s="65">
        <v>500000</v>
      </c>
      <c r="N868" s="66" t="s">
        <v>101</v>
      </c>
      <c r="O868" s="66" t="s">
        <v>63</v>
      </c>
      <c r="P868" s="84" t="str">
        <f>IF(AND('331-CT'!$E$7=TH!H868,OR(N868="331",O868="331")),"x","")</f>
        <v/>
      </c>
      <c r="Q868" s="84" t="str">
        <f>IF(AND(B868='111'!$L$11,OR($N868=$Q$7,$O868=$Q$7)),"x","")</f>
        <v/>
      </c>
      <c r="R868" s="84" t="str">
        <f>IF(AND($N868=$Q$7,$B868&lt;'111'!$L$11),"x","")</f>
        <v/>
      </c>
      <c r="S868" s="84" t="str">
        <f>IF(AND($O868=$Q$7,$B868&lt;'111'!$L$11),"x","")</f>
        <v/>
      </c>
      <c r="T868" s="84" t="str">
        <f>IF(ISERROR(FIND('112'!$M$9,G868,1)),"",IF((AND(FIND('112'!$M$9,G868,1)&gt;=1,B868='112'!$K$9,OR($N868='112'!$I$6,$O868='112'!$I$6))),"x",""))</f>
        <v/>
      </c>
      <c r="U868" s="84" t="str">
        <f>IF(ISERROR(FIND('112'!$M$9,G868,1)),"",IF((AND(LEFT(G868,2)=LEFT('112'!$M$9,2),B868&lt;'112'!$K$9,$N868='112'!$I$6)),"x",""))</f>
        <v/>
      </c>
      <c r="V868" s="84" t="str">
        <f>IF(ISERROR(FIND('112'!$M$9,G868,1)),"",IF((AND(RIGHT(G868,2)=RIGHT('112'!$M$9,2),B868&lt;'112'!$K$9,$O868='112'!$I$6)),"x",""))</f>
        <v/>
      </c>
      <c r="W868" s="84" t="str">
        <f>IF(AND('341-CT'!$H$9=H868,OR(LEFT(N868,3)=$W$7,LEFT(O868,3)=$W$7)),"x","")</f>
        <v/>
      </c>
      <c r="X868" s="84" t="str">
        <f>IF(OR(TH!N868=TH!$X$7,O868=TH!$X$7),"x","")</f>
        <v/>
      </c>
      <c r="Y868" s="84" t="str">
        <f>IF(AND(OR(N868="131",O868="131"),H868='131-CT'!$H$9),"x","")</f>
        <v/>
      </c>
      <c r="Z868" s="84"/>
      <c r="AA868" s="84" t="str">
        <f>IF(AND(MONTH(E868)='IN-NX'!$J$5,'IN-NX'!$D$7=D868),"x","")</f>
        <v/>
      </c>
      <c r="AB868" s="84" t="str">
        <f>IF(AND(OR(LEFT(TH!N868,2)="15",LEFT(TH!O868,2)="15"),LEFT(TH!O868,3)&lt;&gt;"111",'152-CT'!$J$8=TH!F868),"x","")</f>
        <v/>
      </c>
      <c r="AC868" s="84" t="str">
        <f>IF(AND(OR(LEFT(TH!N868,2)="15",LEFT(TH!O868,2)="15"),TK!$E$7=TH!F868),"x","")</f>
        <v/>
      </c>
      <c r="AD868" s="84" t="str">
        <f>IF(AND(N868="1521",MONTH(C868)='BK-NL'!$M$11),"x","")</f>
        <v/>
      </c>
    </row>
    <row r="869" spans="1:31" ht="15.75" hidden="1" customHeight="1">
      <c r="A869" s="336" t="str">
        <f>IF(B869&lt;&gt;"",IF(AND(B869='IN-TC'!$S$4,OR(TH!N869="1111",TH!O869="1111")),TH!D869,""),"")</f>
        <v>C02</v>
      </c>
      <c r="B869" s="63">
        <f t="shared" si="165"/>
        <v>2</v>
      </c>
      <c r="C869" s="64">
        <v>42402</v>
      </c>
      <c r="D869" s="64" t="s">
        <v>869</v>
      </c>
      <c r="E869" s="64">
        <v>42402</v>
      </c>
      <c r="F869" s="514" t="s">
        <v>1002</v>
      </c>
      <c r="G869" s="982" t="s">
        <v>1021</v>
      </c>
      <c r="H869" s="73" t="s">
        <v>831</v>
      </c>
      <c r="I869" s="439"/>
      <c r="J869" s="439"/>
      <c r="K869" s="430"/>
      <c r="L869" s="439"/>
      <c r="M869" s="65">
        <v>25000</v>
      </c>
      <c r="N869" s="66" t="s">
        <v>9</v>
      </c>
      <c r="O869" s="66" t="s">
        <v>63</v>
      </c>
      <c r="P869" s="84" t="str">
        <f>IF(AND('331-CT'!$E$7=TH!H869,OR(N869="331",O869="331")),"x","")</f>
        <v/>
      </c>
      <c r="Q869" s="84" t="str">
        <f>IF(AND(B869='111'!$L$11,OR($N869=$Q$7,$O869=$Q$7)),"x","")</f>
        <v/>
      </c>
      <c r="R869" s="84" t="str">
        <f>IF(AND($N869=$Q$7,$B869&lt;'111'!$L$11),"x","")</f>
        <v/>
      </c>
      <c r="S869" s="84" t="str">
        <f>IF(AND($O869=$Q$7,$B869&lt;'111'!$L$11),"x","")</f>
        <v/>
      </c>
      <c r="T869" s="84" t="str">
        <f>IF(ISERROR(FIND('112'!$M$9,G869,1)),"",IF((AND(FIND('112'!$M$9,G869,1)&gt;=1,B869='112'!$K$9,OR($N869='112'!$I$6,$O869='112'!$I$6))),"x",""))</f>
        <v/>
      </c>
      <c r="U869" s="84" t="str">
        <f>IF(ISERROR(FIND('112'!$M$9,G869,1)),"",IF((AND(LEFT(G869,2)=LEFT('112'!$M$9,2),B869&lt;'112'!$K$9,$N869='112'!$I$6)),"x",""))</f>
        <v/>
      </c>
      <c r="V869" s="84" t="str">
        <f>IF(ISERROR(FIND('112'!$M$9,G869,1)),"",IF((AND(RIGHT(G869,2)=RIGHT('112'!$M$9,2),B869&lt;'112'!$K$9,$O869='112'!$I$6)),"x",""))</f>
        <v/>
      </c>
      <c r="W869" s="84" t="str">
        <f>IF(AND('341-CT'!$H$9=H869,OR(LEFT(N869,3)=$W$7,LEFT(O869,3)=$W$7)),"x","")</f>
        <v/>
      </c>
      <c r="X869" s="84" t="str">
        <f>IF(OR(TH!N869=TH!$X$7,O869=TH!$X$7),"x","")</f>
        <v/>
      </c>
      <c r="Y869" s="84" t="str">
        <f>IF(AND(OR(N869="131",O869="131"),H869='131-CT'!$H$9),"x","")</f>
        <v/>
      </c>
      <c r="Z869" s="84"/>
      <c r="AA869" s="84" t="str">
        <f>IF(AND(MONTH(E869)='IN-NX'!$J$5,'IN-NX'!$D$7=D869),"x","")</f>
        <v/>
      </c>
      <c r="AB869" s="84" t="str">
        <f>IF(AND(OR(LEFT(TH!N869,2)="15",LEFT(TH!O869,2)="15"),LEFT(TH!O869,3)&lt;&gt;"111",'152-CT'!$J$8=TH!F869),"x","")</f>
        <v/>
      </c>
      <c r="AC869" s="84" t="str">
        <f>IF(AND(OR(LEFT(TH!N869,2)="15",LEFT(TH!O869,2)="15"),TK!$E$7=TH!F869),"x","")</f>
        <v/>
      </c>
      <c r="AD869" s="84" t="str">
        <f>IF(AND(N869="1521",MONTH(C869)='BK-NL'!$M$11),"x","")</f>
        <v/>
      </c>
    </row>
    <row r="870" spans="1:31" ht="15.75" hidden="1" customHeight="1">
      <c r="A870" s="336" t="str">
        <f>IF(B870&lt;&gt;"",IF(AND(B870='IN-TC'!$S$4,OR(TH!N870="1111",TH!O870="1111")),TH!D870,""),"")</f>
        <v/>
      </c>
      <c r="B870" s="63">
        <f t="shared" si="165"/>
        <v>2</v>
      </c>
      <c r="C870" s="64">
        <v>42402</v>
      </c>
      <c r="D870" s="64" t="s">
        <v>702</v>
      </c>
      <c r="E870" s="64">
        <v>42402</v>
      </c>
      <c r="F870" s="514" t="s">
        <v>1044</v>
      </c>
      <c r="G870" s="67" t="s">
        <v>919</v>
      </c>
      <c r="H870" s="73"/>
      <c r="I870" s="439"/>
      <c r="J870" s="439"/>
      <c r="K870" s="430"/>
      <c r="L870" s="439"/>
      <c r="M870" s="65">
        <v>27118300</v>
      </c>
      <c r="N870" s="66" t="s">
        <v>26</v>
      </c>
      <c r="O870" s="66" t="s">
        <v>19</v>
      </c>
      <c r="P870" s="84" t="str">
        <f>IF(AND('331-CT'!$E$7=TH!H870,OR(N870="331",O870="331")),"x","")</f>
        <v/>
      </c>
      <c r="Q870" s="84" t="str">
        <f>IF(AND(B870='111'!$L$11,OR($N870=$Q$7,$O870=$Q$7)),"x","")</f>
        <v/>
      </c>
      <c r="R870" s="84" t="str">
        <f>IF(AND($N870=$Q$7,$B870&lt;'111'!$L$11),"x","")</f>
        <v/>
      </c>
      <c r="S870" s="84" t="str">
        <f>IF(AND($O870=$Q$7,$B870&lt;'111'!$L$11),"x","")</f>
        <v/>
      </c>
      <c r="T870" s="84" t="str">
        <f>IF(ISERROR(FIND('112'!$M$9,G870,1)),"",IF((AND(FIND('112'!$M$9,G870,1)&gt;=1,B870='112'!$K$9,OR($N870='112'!$I$6,$O870='112'!$I$6))),"x",""))</f>
        <v/>
      </c>
      <c r="U870" s="84" t="str">
        <f>IF(ISERROR(FIND('112'!$M$9,G870,1)),"",IF((AND(LEFT(G870,2)=LEFT('112'!$M$9,2),B870&lt;'112'!$K$9,$N870='112'!$I$6)),"x",""))</f>
        <v>x</v>
      </c>
      <c r="V870" s="84" t="str">
        <f>IF(ISERROR(FIND('112'!$M$9,G870,1)),"",IF((AND(RIGHT(G870,2)=RIGHT('112'!$M$9,2),B870&lt;'112'!$K$9,$O870='112'!$I$6)),"x",""))</f>
        <v/>
      </c>
      <c r="W870" s="84" t="str">
        <f>IF(AND('341-CT'!$H$9=H870,OR(LEFT(N870,3)=$W$7,LEFT(O870,3)=$W$7)),"x","")</f>
        <v/>
      </c>
      <c r="X870" s="84" t="str">
        <f>IF(OR(TH!N870=TH!$X$7,O870=TH!$X$7),"x","")</f>
        <v/>
      </c>
      <c r="Y870" s="84" t="str">
        <f>IF(AND(OR(N870="131",O870="131"),H870='131-CT'!$H$9),"x","")</f>
        <v/>
      </c>
      <c r="Z870" s="84"/>
      <c r="AA870" s="84" t="str">
        <f>IF(AND(MONTH(E870)='IN-NX'!$J$5,'IN-NX'!$D$7=D870),"x","")</f>
        <v/>
      </c>
      <c r="AB870" s="84" t="str">
        <f>IF(AND(OR(LEFT(TH!N870,2)="15",LEFT(TH!O870,2)="15"),LEFT(TH!O870,3)&lt;&gt;"111",'152-CT'!$J$8=TH!F870),"x","")</f>
        <v/>
      </c>
      <c r="AC870" s="84" t="str">
        <f>IF(AND(OR(LEFT(TH!N870,2)="15",LEFT(TH!O870,2)="15"),TK!$E$7=TH!F870),"x","")</f>
        <v/>
      </c>
      <c r="AD870" s="84" t="str">
        <f>IF(AND(N870="1521",MONTH(C870)='BK-NL'!$M$11),"x","")</f>
        <v/>
      </c>
    </row>
    <row r="871" spans="1:31" ht="15.75" hidden="1" customHeight="1">
      <c r="A871" s="336" t="str">
        <f>IF(B871&lt;&gt;"",IF(AND(B871='IN-TC'!$S$4,OR(TH!N871="1111",TH!O871="1111")),TH!D871,""),"")</f>
        <v/>
      </c>
      <c r="B871" s="63">
        <f t="shared" si="165"/>
        <v>2</v>
      </c>
      <c r="C871" s="64">
        <v>42402</v>
      </c>
      <c r="D871" s="64" t="s">
        <v>705</v>
      </c>
      <c r="E871" s="64">
        <v>42402</v>
      </c>
      <c r="F871" s="514" t="s">
        <v>1095</v>
      </c>
      <c r="G871" s="67" t="s">
        <v>919</v>
      </c>
      <c r="H871" s="67" t="s">
        <v>632</v>
      </c>
      <c r="I871" s="439"/>
      <c r="J871" s="439"/>
      <c r="K871" s="430"/>
      <c r="L871" s="439"/>
      <c r="M871" s="65">
        <v>27118300</v>
      </c>
      <c r="N871" s="66" t="s">
        <v>8</v>
      </c>
      <c r="O871" s="66" t="s">
        <v>26</v>
      </c>
      <c r="P871" s="84" t="str">
        <f>IF(AND('331-CT'!$E$7=TH!H871,OR(N871="331",O871="331")),"x","")</f>
        <v/>
      </c>
      <c r="Q871" s="84" t="str">
        <f>IF(AND(B871='111'!$L$11,OR($N871=$Q$7,$O871=$Q$7)),"x","")</f>
        <v/>
      </c>
      <c r="R871" s="84" t="str">
        <f>IF(AND($N871=$Q$7,$B871&lt;'111'!$L$11),"x","")</f>
        <v/>
      </c>
      <c r="S871" s="84" t="str">
        <f>IF(AND($O871=$Q$7,$B871&lt;'111'!$L$11),"x","")</f>
        <v/>
      </c>
      <c r="T871" s="84" t="str">
        <f>IF(ISERROR(FIND('112'!$M$9,G871,1)),"",IF((AND(FIND('112'!$M$9,G871,1)&gt;=1,B871='112'!$K$9,OR($N871='112'!$I$6,$O871='112'!$I$6))),"x",""))</f>
        <v/>
      </c>
      <c r="U871" s="84" t="str">
        <f>IF(ISERROR(FIND('112'!$M$9,G871,1)),"",IF((AND(LEFT(G871,2)=LEFT('112'!$M$9,2),B871&lt;'112'!$K$9,$N871='112'!$I$6)),"x",""))</f>
        <v/>
      </c>
      <c r="V871" s="84" t="str">
        <f>IF(ISERROR(FIND('112'!$M$9,G871,1)),"",IF((AND(RIGHT(G871,2)=RIGHT('112'!$M$9,2),B871&lt;'112'!$K$9,$O871='112'!$I$6)),"x",""))</f>
        <v>x</v>
      </c>
      <c r="W871" s="84" t="str">
        <f>IF(AND('341-CT'!$H$9=H871,OR(LEFT(N871,3)=$W$7,LEFT(O871,3)=$W$7)),"x","")</f>
        <v/>
      </c>
      <c r="X871" s="84" t="str">
        <f>IF(OR(TH!N871=TH!$X$7,O871=TH!$X$7),"x","")</f>
        <v/>
      </c>
      <c r="Y871" s="84" t="str">
        <f>IF(AND(OR(N871="131",O871="131"),H871='131-CT'!$H$9),"x","")</f>
        <v/>
      </c>
      <c r="Z871" s="84"/>
      <c r="AA871" s="84" t="str">
        <f>IF(AND(MONTH(E871)='IN-NX'!$J$5,'IN-NX'!$D$7=D871),"x","")</f>
        <v/>
      </c>
      <c r="AB871" s="84" t="str">
        <f>IF(AND(OR(LEFT(TH!N871,2)="15",LEFT(TH!O871,2)="15"),LEFT(TH!O871,3)&lt;&gt;"111",'152-CT'!$J$8=TH!F871),"x","")</f>
        <v/>
      </c>
      <c r="AC871" s="84" t="str">
        <f>IF(AND(OR(LEFT(TH!N871,2)="15",LEFT(TH!O871,2)="15"),TK!$E$7=TH!F871),"x","")</f>
        <v/>
      </c>
      <c r="AD871" s="84" t="str">
        <f>IF(AND(N871="1521",MONTH(C871)='BK-NL'!$M$11),"x","")</f>
        <v/>
      </c>
      <c r="AE871" s="1146" t="str">
        <f>IF(H871&lt;&gt;VLOOKUP(H871,DSKH,1,0),"","x")</f>
        <v>x</v>
      </c>
    </row>
    <row r="872" spans="1:31" ht="15.75" hidden="1" customHeight="1">
      <c r="A872" s="336" t="str">
        <f>IF(B872&lt;&gt;"",IF(AND(B872='IN-TC'!$S$4,OR(TH!N872="1111",TH!O872="1111")),TH!D872,""),"")</f>
        <v/>
      </c>
      <c r="B872" s="63">
        <f t="shared" si="165"/>
        <v>2</v>
      </c>
      <c r="C872" s="149">
        <v>42402</v>
      </c>
      <c r="D872" s="149" t="s">
        <v>705</v>
      </c>
      <c r="E872" s="149">
        <v>42402</v>
      </c>
      <c r="F872" s="514" t="s">
        <v>743</v>
      </c>
      <c r="G872" s="67" t="s">
        <v>919</v>
      </c>
      <c r="H872" s="73"/>
      <c r="I872" s="444"/>
      <c r="J872" s="444"/>
      <c r="K872" s="435"/>
      <c r="L872" s="444"/>
      <c r="M872" s="150">
        <v>25000</v>
      </c>
      <c r="N872" s="151" t="s">
        <v>101</v>
      </c>
      <c r="O872" s="66" t="s">
        <v>26</v>
      </c>
      <c r="P872" s="84" t="str">
        <f>IF(AND('331-CT'!$E$7=TH!H872,OR(N872="331",O872="331")),"x","")</f>
        <v/>
      </c>
      <c r="Q872" s="84" t="str">
        <f>IF(AND(B872='111'!$L$11,OR($N872=$Q$7,$O872=$Q$7)),"x","")</f>
        <v/>
      </c>
      <c r="R872" s="84" t="str">
        <f>IF(AND($N872=$Q$7,$B872&lt;'111'!$L$11),"x","")</f>
        <v/>
      </c>
      <c r="S872" s="84" t="str">
        <f>IF(AND($O872=$Q$7,$B872&lt;'111'!$L$11),"x","")</f>
        <v/>
      </c>
      <c r="T872" s="84" t="str">
        <f>IF(ISERROR(FIND('112'!$M$9,G872,1)),"",IF((AND(FIND('112'!$M$9,G872,1)&gt;=1,B872='112'!$K$9,OR($N872='112'!$I$6,$O872='112'!$I$6))),"x",""))</f>
        <v/>
      </c>
      <c r="U872" s="84" t="str">
        <f>IF(ISERROR(FIND('112'!$M$9,G872,1)),"",IF((AND(LEFT(G872,2)=LEFT('112'!$M$9,2),B872&lt;'112'!$K$9,$N872='112'!$I$6)),"x",""))</f>
        <v/>
      </c>
      <c r="V872" s="84" t="str">
        <f>IF(ISERROR(FIND('112'!$M$9,G872,1)),"",IF((AND(RIGHT(G872,2)=RIGHT('112'!$M$9,2),B872&lt;'112'!$K$9,$O872='112'!$I$6)),"x",""))</f>
        <v>x</v>
      </c>
      <c r="W872" s="84" t="str">
        <f>IF(AND('341-CT'!$H$9=H872,OR(LEFT(N872,3)=$W$7,LEFT(O872,3)=$W$7)),"x","")</f>
        <v/>
      </c>
      <c r="X872" s="84" t="str">
        <f>IF(OR(TH!N872=TH!$X$7,O872=TH!$X$7),"x","")</f>
        <v/>
      </c>
      <c r="Y872" s="84" t="str">
        <f>IF(AND(OR(N872="131",O872="131"),H872='131-CT'!$H$9),"x","")</f>
        <v/>
      </c>
      <c r="Z872" s="84"/>
      <c r="AA872" s="84" t="str">
        <f>IF(AND(MONTH(E872)='IN-NX'!$J$5,'IN-NX'!$D$7=D872),"x","")</f>
        <v/>
      </c>
      <c r="AB872" s="84" t="str">
        <f>IF(AND(OR(LEFT(TH!N872,2)="15",LEFT(TH!O872,2)="15"),LEFT(TH!O872,3)&lt;&gt;"111",'152-CT'!$J$8=TH!F872),"x","")</f>
        <v/>
      </c>
      <c r="AC872" s="84" t="str">
        <f>IF(AND(OR(LEFT(TH!N872,2)="15",LEFT(TH!O872,2)="15"),TK!$E$7=TH!F872),"x","")</f>
        <v/>
      </c>
      <c r="AD872" s="84" t="str">
        <f>IF(AND(N872="1521",MONTH(C872)='BK-NL'!$M$11),"x","")</f>
        <v/>
      </c>
    </row>
    <row r="873" spans="1:31" ht="15.75" hidden="1" customHeight="1">
      <c r="A873" s="336" t="str">
        <f>IF(B873&lt;&gt;"",IF(AND(B873='IN-TC'!$S$4,OR(TH!N873="1111",TH!O873="1111")),TH!D873,""),"")</f>
        <v/>
      </c>
      <c r="B873" s="63">
        <f t="shared" si="165"/>
        <v>2</v>
      </c>
      <c r="C873" s="64">
        <v>42402</v>
      </c>
      <c r="D873" s="64" t="s">
        <v>705</v>
      </c>
      <c r="E873" s="64">
        <v>42402</v>
      </c>
      <c r="F873" s="514" t="s">
        <v>745</v>
      </c>
      <c r="G873" s="67" t="s">
        <v>919</v>
      </c>
      <c r="H873" s="73"/>
      <c r="I873" s="439"/>
      <c r="J873" s="439"/>
      <c r="K873" s="430"/>
      <c r="L873" s="439"/>
      <c r="M873" s="65">
        <v>2500</v>
      </c>
      <c r="N873" s="66" t="s">
        <v>9</v>
      </c>
      <c r="O873" s="66" t="s">
        <v>26</v>
      </c>
      <c r="P873" s="84" t="str">
        <f>IF(AND('331-CT'!$E$7=TH!H873,OR(N873="331",O873="331")),"x","")</f>
        <v/>
      </c>
      <c r="Q873" s="84" t="str">
        <f>IF(AND(B873='111'!$L$11,OR($N873=$Q$7,$O873=$Q$7)),"x","")</f>
        <v/>
      </c>
      <c r="R873" s="84" t="str">
        <f>IF(AND($N873=$Q$7,$B873&lt;'111'!$L$11),"x","")</f>
        <v/>
      </c>
      <c r="S873" s="84" t="str">
        <f>IF(AND($O873=$Q$7,$B873&lt;'111'!$L$11),"x","")</f>
        <v/>
      </c>
      <c r="T873" s="84" t="str">
        <f>IF(ISERROR(FIND('112'!$M$9,G873,1)),"",IF((AND(FIND('112'!$M$9,G873,1)&gt;=1,B873='112'!$K$9,OR($N873='112'!$I$6,$O873='112'!$I$6))),"x",""))</f>
        <v/>
      </c>
      <c r="U873" s="84" t="str">
        <f>IF(ISERROR(FIND('112'!$M$9,G873,1)),"",IF((AND(LEFT(G873,2)=LEFT('112'!$M$9,2),B873&lt;'112'!$K$9,$N873='112'!$I$6)),"x",""))</f>
        <v/>
      </c>
      <c r="V873" s="84" t="str">
        <f>IF(ISERROR(FIND('112'!$M$9,G873,1)),"",IF((AND(RIGHT(G873,2)=RIGHT('112'!$M$9,2),B873&lt;'112'!$K$9,$O873='112'!$I$6)),"x",""))</f>
        <v>x</v>
      </c>
      <c r="W873" s="84" t="str">
        <f>IF(AND('341-CT'!$H$9=H873,OR(LEFT(N873,3)=$W$7,LEFT(O873,3)=$W$7)),"x","")</f>
        <v/>
      </c>
      <c r="X873" s="84" t="str">
        <f>IF(OR(TH!N873=TH!$X$7,O873=TH!$X$7),"x","")</f>
        <v/>
      </c>
      <c r="Y873" s="84" t="str">
        <f>IF(AND(OR(N873="131",O873="131"),H873='131-CT'!$H$9),"x","")</f>
        <v/>
      </c>
      <c r="Z873" s="84"/>
      <c r="AA873" s="84" t="str">
        <f>IF(AND(MONTH(E873)='IN-NX'!$J$5,'IN-NX'!$D$7=D873),"x","")</f>
        <v/>
      </c>
      <c r="AB873" s="84" t="str">
        <f>IF(AND(OR(LEFT(TH!N873,2)="15",LEFT(TH!O873,2)="15"),LEFT(TH!O873,3)&lt;&gt;"111",'152-CT'!$J$8=TH!F873),"x","")</f>
        <v/>
      </c>
      <c r="AC873" s="84" t="str">
        <f>IF(AND(OR(LEFT(TH!N873,2)="15",LEFT(TH!O873,2)="15"),TK!$E$7=TH!F873),"x","")</f>
        <v/>
      </c>
      <c r="AD873" s="84" t="str">
        <f>IF(AND(N873="1521",MONTH(C873)='BK-NL'!$M$11),"x","")</f>
        <v/>
      </c>
    </row>
    <row r="874" spans="1:31" ht="15.75" hidden="1" customHeight="1">
      <c r="A874" s="336" t="str">
        <f>IF(B874&lt;&gt;"",IF(AND(B874='IN-TC'!$S$4,OR(TH!N874="1111",TH!O874="1111")),TH!D874,""),"")</f>
        <v/>
      </c>
      <c r="B874" s="63">
        <f t="shared" si="165"/>
        <v>2</v>
      </c>
      <c r="C874" s="64">
        <v>42403</v>
      </c>
      <c r="D874" s="64" t="s">
        <v>702</v>
      </c>
      <c r="E874" s="64">
        <v>42403</v>
      </c>
      <c r="F874" s="514" t="s">
        <v>1054</v>
      </c>
      <c r="G874" s="67" t="s">
        <v>918</v>
      </c>
      <c r="H874" s="344" t="s">
        <v>599</v>
      </c>
      <c r="I874" s="439"/>
      <c r="J874" s="439"/>
      <c r="K874" s="430">
        <v>97740.36</v>
      </c>
      <c r="L874" s="439">
        <v>22250</v>
      </c>
      <c r="M874" s="65">
        <f>ROUND(K874*L874,0)</f>
        <v>2174723010</v>
      </c>
      <c r="N874" s="66" t="s">
        <v>266</v>
      </c>
      <c r="O874" s="66" t="s">
        <v>588</v>
      </c>
      <c r="P874" s="84" t="str">
        <f>IF(AND('331-CT'!$E$7=TH!H874,OR(N874="331",O874="331")),"x","")</f>
        <v/>
      </c>
      <c r="Q874" s="84" t="str">
        <f>IF(AND(B874='111'!$L$11,OR($N874=$Q$7,$O874=$Q$7)),"x","")</f>
        <v/>
      </c>
      <c r="R874" s="84" t="str">
        <f>IF(AND($N874=$Q$7,$B874&lt;'111'!$L$11),"x","")</f>
        <v/>
      </c>
      <c r="S874" s="84" t="str">
        <f>IF(AND($O874=$Q$7,$B874&lt;'111'!$L$11),"x","")</f>
        <v/>
      </c>
      <c r="T874" s="84" t="str">
        <f>IF(ISERROR(FIND('112'!$M$9,G874,1)),"",IF((AND(FIND('112'!$M$9,G874,1)&gt;=1,B874='112'!$K$9,OR($N874='112'!$I$6,$O874='112'!$I$6))),"x",""))</f>
        <v/>
      </c>
      <c r="U874" s="84" t="str">
        <f>IF(ISERROR(FIND('112'!$M$9,G874,1)),"",IF((AND(LEFT(G874,2)=LEFT('112'!$M$9,2),B874&lt;'112'!$K$9,$N874='112'!$I$6)),"x",""))</f>
        <v/>
      </c>
      <c r="V874" s="84" t="str">
        <f>IF(ISERROR(FIND('112'!$M$9,G874,1)),"",IF((AND(RIGHT(G874,2)=RIGHT('112'!$M$9,2),B874&lt;'112'!$K$9,$O874='112'!$I$6)),"x",""))</f>
        <v/>
      </c>
      <c r="W874" s="84" t="str">
        <f>IF(AND('341-CT'!$H$9=H874,OR(LEFT(N874,3)=$W$7,LEFT(O874,3)=$W$7)),"x","")</f>
        <v/>
      </c>
      <c r="X874" s="84" t="str">
        <f>IF(OR(TH!N874=TH!$X$7,O874=TH!$X$7),"x","")</f>
        <v/>
      </c>
      <c r="Y874" s="84" t="str">
        <f>IF(AND(OR(N874="131",O874="131"),H874='131-CT'!$H$9),"x","")</f>
        <v/>
      </c>
      <c r="Z874" s="84"/>
      <c r="AA874" s="84" t="str">
        <f>IF(AND(MONTH(E874)='IN-NX'!$J$5,'IN-NX'!$D$7=D874),"x","")</f>
        <v/>
      </c>
      <c r="AB874" s="84" t="str">
        <f>IF(AND(OR(LEFT(TH!N874,2)="15",LEFT(TH!O874,2)="15"),LEFT(TH!O874,3)&lt;&gt;"111",'152-CT'!$J$8=TH!F874),"x","")</f>
        <v/>
      </c>
      <c r="AC874" s="84" t="str">
        <f>IF(AND(OR(LEFT(TH!N874,2)="15",LEFT(TH!O874,2)="15"),TK!$E$7=TH!F874),"x","")</f>
        <v/>
      </c>
      <c r="AD874" s="84" t="str">
        <f>IF(AND(N874="1521",MONTH(C874)='BK-NL'!$M$11),"x","")</f>
        <v/>
      </c>
    </row>
    <row r="875" spans="1:31" ht="15.75" hidden="1" customHeight="1">
      <c r="A875" s="336" t="str">
        <f>IF(B875&lt;&gt;"",IF(AND(B875='IN-TC'!$S$4,OR(TH!N875="1111",TH!O875="1111")),TH!D875,""),"")</f>
        <v/>
      </c>
      <c r="B875" s="63">
        <f t="shared" si="165"/>
        <v>2</v>
      </c>
      <c r="C875" s="64">
        <f>E875</f>
        <v>42403</v>
      </c>
      <c r="D875" s="318" t="s">
        <v>582</v>
      </c>
      <c r="E875" s="318">
        <v>42403</v>
      </c>
      <c r="F875" s="514" t="s">
        <v>1069</v>
      </c>
      <c r="G875" s="67" t="s">
        <v>918</v>
      </c>
      <c r="H875" s="320" t="s">
        <v>599</v>
      </c>
      <c r="I875" s="439"/>
      <c r="J875" s="439"/>
      <c r="K875" s="430">
        <v>54.22</v>
      </c>
      <c r="L875" s="439">
        <v>22250</v>
      </c>
      <c r="M875" s="65">
        <f>ROUND(K875*L875,0)</f>
        <v>1206395</v>
      </c>
      <c r="N875" s="321" t="s">
        <v>101</v>
      </c>
      <c r="O875" s="66" t="s">
        <v>588</v>
      </c>
      <c r="P875" s="84" t="str">
        <f>IF(AND('331-CT'!$E$7=TH!H875,OR(N875="331",O875="331")),"x","")</f>
        <v/>
      </c>
      <c r="Q875" s="84" t="str">
        <f>IF(AND(B875='111'!$L$11,OR($N875=$Q$7,$O875=$Q$7)),"x","")</f>
        <v/>
      </c>
      <c r="R875" s="84" t="str">
        <f>IF(AND($N875=$Q$7,$B875&lt;'111'!$L$11),"x","")</f>
        <v/>
      </c>
      <c r="S875" s="84" t="str">
        <f>IF(AND($O875=$Q$7,$B875&lt;'111'!$L$11),"x","")</f>
        <v/>
      </c>
      <c r="T875" s="84" t="str">
        <f>IF(ISERROR(FIND('112'!$M$9,G875,1)),"",IF((AND(FIND('112'!$M$9,G875,1)&gt;=1,B875='112'!$K$9,OR($N875='112'!$I$6,$O875='112'!$I$6))),"x",""))</f>
        <v/>
      </c>
      <c r="U875" s="84" t="str">
        <f>IF(ISERROR(FIND('112'!$M$9,G875,1)),"",IF((AND(LEFT(G875,2)=LEFT('112'!$M$9,2),B875&lt;'112'!$K$9,$N875='112'!$I$6)),"x",""))</f>
        <v/>
      </c>
      <c r="V875" s="84" t="str">
        <f>IF(ISERROR(FIND('112'!$M$9,G875,1)),"",IF((AND(RIGHT(G875,2)=RIGHT('112'!$M$9,2),B875&lt;'112'!$K$9,$O875='112'!$I$6)),"x",""))</f>
        <v/>
      </c>
      <c r="W875" s="84" t="str">
        <f>IF(AND('341-CT'!$H$9=H875,OR(LEFT(N875,3)=$W$7,LEFT(O875,3)=$W$7)),"x","")</f>
        <v/>
      </c>
      <c r="X875" s="84" t="str">
        <f>IF(OR(TH!N875=TH!$X$7,O875=TH!$X$7),"x","")</f>
        <v/>
      </c>
      <c r="Y875" s="84" t="str">
        <f>IF(AND(OR(N875="131",O875="131"),H875='131-CT'!$H$9),"x","")</f>
        <v/>
      </c>
      <c r="Z875" s="84"/>
      <c r="AA875" s="84" t="str">
        <f>IF(AND(MONTH(E875)='IN-NX'!$J$5,'IN-NX'!$D$7=D875),"x","")</f>
        <v/>
      </c>
      <c r="AB875" s="84" t="str">
        <f>IF(AND(OR(LEFT(TH!N875,2)="15",LEFT(TH!O875,2)="15"),LEFT(TH!O875,3)&lt;&gt;"111",'152-CT'!$J$8=TH!F875),"x","")</f>
        <v/>
      </c>
      <c r="AC875" s="84" t="str">
        <f>IF(AND(OR(LEFT(TH!N875,2)="15",LEFT(TH!O875,2)="15"),TK!$E$7=TH!F875),"x","")</f>
        <v/>
      </c>
      <c r="AD875" s="84" t="str">
        <f>IF(AND(N875="1521",MONTH(C875)='BK-NL'!$M$11),"x","")</f>
        <v/>
      </c>
    </row>
    <row r="876" spans="1:31" ht="15.75" hidden="1" customHeight="1">
      <c r="A876" s="336" t="str">
        <f>IF(B876&lt;&gt;"",IF(AND(B876='IN-TC'!$S$4,OR(TH!N876="1111",TH!O876="1111")),TH!D876,""),"")</f>
        <v/>
      </c>
      <c r="B876" s="63">
        <f t="shared" si="165"/>
        <v>2</v>
      </c>
      <c r="C876" s="64">
        <f>E876</f>
        <v>42403</v>
      </c>
      <c r="D876" s="318" t="s">
        <v>582</v>
      </c>
      <c r="E876" s="318">
        <v>42403</v>
      </c>
      <c r="F876" s="514" t="s">
        <v>1070</v>
      </c>
      <c r="G876" s="67" t="s">
        <v>918</v>
      </c>
      <c r="H876" s="320" t="s">
        <v>599</v>
      </c>
      <c r="I876" s="439"/>
      <c r="J876" s="439"/>
      <c r="K876" s="430">
        <v>5.42</v>
      </c>
      <c r="L876" s="439">
        <v>22250</v>
      </c>
      <c r="M876" s="65">
        <f>ROUND(K876*L876,0)</f>
        <v>120595</v>
      </c>
      <c r="N876" s="321" t="s">
        <v>9</v>
      </c>
      <c r="O876" s="66" t="s">
        <v>588</v>
      </c>
      <c r="P876" s="84" t="str">
        <f>IF(AND('331-CT'!$E$7=TH!H876,OR(N876="331",O876="331")),"x","")</f>
        <v/>
      </c>
      <c r="Q876" s="84" t="str">
        <f>IF(AND(B876='111'!$L$11,OR($N876=$Q$7,$O876=$Q$7)),"x","")</f>
        <v/>
      </c>
      <c r="R876" s="84" t="str">
        <f>IF(AND($N876=$Q$7,$B876&lt;'111'!$L$11),"x","")</f>
        <v/>
      </c>
      <c r="S876" s="84" t="str">
        <f>IF(AND($O876=$Q$7,$B876&lt;'111'!$L$11),"x","")</f>
        <v/>
      </c>
      <c r="T876" s="84" t="str">
        <f>IF(ISERROR(FIND('112'!$M$9,G876,1)),"",IF((AND(FIND('112'!$M$9,G876,1)&gt;=1,B876='112'!$K$9,OR($N876='112'!$I$6,$O876='112'!$I$6))),"x",""))</f>
        <v/>
      </c>
      <c r="U876" s="84" t="str">
        <f>IF(ISERROR(FIND('112'!$M$9,G876,1)),"",IF((AND(LEFT(G876,2)=LEFT('112'!$M$9,2),B876&lt;'112'!$K$9,$N876='112'!$I$6)),"x",""))</f>
        <v/>
      </c>
      <c r="V876" s="84" t="str">
        <f>IF(ISERROR(FIND('112'!$M$9,G876,1)),"",IF((AND(RIGHT(G876,2)=RIGHT('112'!$M$9,2),B876&lt;'112'!$K$9,$O876='112'!$I$6)),"x",""))</f>
        <v/>
      </c>
      <c r="W876" s="84" t="str">
        <f>IF(AND('341-CT'!$H$9=H876,OR(LEFT(N876,3)=$W$7,LEFT(O876,3)=$W$7)),"x","")</f>
        <v/>
      </c>
      <c r="X876" s="84" t="str">
        <f>IF(OR(TH!N876=TH!$X$7,O876=TH!$X$7),"x","")</f>
        <v/>
      </c>
      <c r="Y876" s="84" t="str">
        <f>IF(AND(OR(N876="131",O876="131"),H876='131-CT'!$H$9),"x","")</f>
        <v/>
      </c>
      <c r="Z876" s="84"/>
      <c r="AA876" s="84" t="str">
        <f>IF(AND(MONTH(E876)='IN-NX'!$J$5,'IN-NX'!$D$7=D876),"x","")</f>
        <v/>
      </c>
      <c r="AB876" s="84" t="str">
        <f>IF(AND(OR(LEFT(TH!N876,2)="15",LEFT(TH!O876,2)="15"),LEFT(TH!O876,3)&lt;&gt;"111",'152-CT'!$J$8=TH!F876),"x","")</f>
        <v/>
      </c>
      <c r="AC876" s="84" t="str">
        <f>IF(AND(OR(LEFT(TH!N876,2)="15",LEFT(TH!O876,2)="15"),TK!$E$7=TH!F876),"x","")</f>
        <v/>
      </c>
      <c r="AD876" s="84" t="str">
        <f>IF(AND(N876="1521",MONTH(C876)='BK-NL'!$M$11),"x","")</f>
        <v/>
      </c>
    </row>
    <row r="877" spans="1:31" ht="15.75" hidden="1" customHeight="1">
      <c r="A877" s="336" t="str">
        <f>IF(B877&lt;&gt;"",IF(AND(B877='IN-TC'!$S$4,OR(TH!N877="1111",TH!O877="1111")),TH!D877,""),"")</f>
        <v/>
      </c>
      <c r="B877" s="63">
        <f t="shared" si="165"/>
        <v>2</v>
      </c>
      <c r="C877" s="64">
        <v>42403</v>
      </c>
      <c r="D877" s="64" t="s">
        <v>705</v>
      </c>
      <c r="E877" s="64">
        <v>42403</v>
      </c>
      <c r="F877" s="73" t="s">
        <v>1445</v>
      </c>
      <c r="G877" s="67" t="s">
        <v>918</v>
      </c>
      <c r="H877" s="73"/>
      <c r="I877" s="439"/>
      <c r="J877" s="439"/>
      <c r="K877" s="430">
        <v>97700</v>
      </c>
      <c r="L877" s="439">
        <v>22280</v>
      </c>
      <c r="M877" s="65">
        <f>ROUND(K877*L877,0)</f>
        <v>2176756000</v>
      </c>
      <c r="N877" s="66" t="s">
        <v>26</v>
      </c>
      <c r="O877" s="66" t="s">
        <v>266</v>
      </c>
      <c r="P877" s="84" t="str">
        <f>IF(AND('331-CT'!$E$7=TH!H877,OR(N877="331",O877="331")),"x","")</f>
        <v/>
      </c>
      <c r="Q877" s="84" t="str">
        <f>IF(AND(B877='111'!$L$11,OR($N877=$Q$7,$O877=$Q$7)),"x","")</f>
        <v/>
      </c>
      <c r="R877" s="84" t="str">
        <f>IF(AND($N877=$Q$7,$B877&lt;'111'!$L$11),"x","")</f>
        <v/>
      </c>
      <c r="S877" s="84" t="str">
        <f>IF(AND($O877=$Q$7,$B877&lt;'111'!$L$11),"x","")</f>
        <v/>
      </c>
      <c r="T877" s="84" t="str">
        <f>IF(ISERROR(FIND('112'!$M$9,G877,1)),"",IF((AND(FIND('112'!$M$9,G877,1)&gt;=1,B877='112'!$K$9,OR($N877='112'!$I$6,$O877='112'!$I$6))),"x",""))</f>
        <v/>
      </c>
      <c r="U877" s="84" t="str">
        <f>IF(ISERROR(FIND('112'!$M$9,G877,1)),"",IF((AND(LEFT(G877,2)=LEFT('112'!$M$9,2),B877&lt;'112'!$K$9,$N877='112'!$I$6)),"x",""))</f>
        <v/>
      </c>
      <c r="V877" s="84" t="str">
        <f>IF(ISERROR(FIND('112'!$M$9,G877,1)),"",IF((AND(RIGHT(G877,2)=RIGHT('112'!$M$9,2),B877&lt;'112'!$K$9,$O877='112'!$I$6)),"x",""))</f>
        <v/>
      </c>
      <c r="W877" s="84" t="str">
        <f>IF(AND('341-CT'!$H$9=H877,OR(LEFT(N877,3)=$W$7,LEFT(O877,3)=$W$7)),"x","")</f>
        <v/>
      </c>
      <c r="X877" s="84" t="str">
        <f>IF(OR(TH!N877=TH!$X$7,O877=TH!$X$7),"x","")</f>
        <v/>
      </c>
      <c r="Y877" s="84" t="str">
        <f>IF(AND(OR(N877="131",O877="131"),H877='131-CT'!$H$9),"x","")</f>
        <v/>
      </c>
      <c r="Z877" s="84"/>
      <c r="AA877" s="84" t="str">
        <f>IF(AND(MONTH(E877)='IN-NX'!$J$5,'IN-NX'!$D$7=D877),"x","")</f>
        <v/>
      </c>
      <c r="AB877" s="84" t="str">
        <f>IF(AND(OR(LEFT(TH!N877,2)="15",LEFT(TH!O877,2)="15"),LEFT(TH!O877,3)&lt;&gt;"111",'152-CT'!$J$8=TH!F877),"x","")</f>
        <v/>
      </c>
      <c r="AC877" s="84" t="str">
        <f>IF(AND(OR(LEFT(TH!N877,2)="15",LEFT(TH!O877,2)="15"),TK!$E$7=TH!F877),"x","")</f>
        <v/>
      </c>
      <c r="AD877" s="84" t="str">
        <f>IF(AND(N877="1521",MONTH(C877)='BK-NL'!$M$11),"x","")</f>
        <v/>
      </c>
    </row>
    <row r="878" spans="1:31" ht="15.75" hidden="1" customHeight="1">
      <c r="A878" s="336" t="str">
        <f>IF(B878&lt;&gt;"",IF(AND(B878='IN-TC'!$S$4,OR(TH!N878="1111",TH!O878="1111")),TH!D878,""),"")</f>
        <v>C03</v>
      </c>
      <c r="B878" s="63">
        <f t="shared" si="165"/>
        <v>2</v>
      </c>
      <c r="C878" s="64">
        <v>42403</v>
      </c>
      <c r="D878" s="64" t="s">
        <v>870</v>
      </c>
      <c r="E878" s="64">
        <v>42403</v>
      </c>
      <c r="F878" s="514" t="s">
        <v>1003</v>
      </c>
      <c r="G878" s="982" t="s">
        <v>1022</v>
      </c>
      <c r="H878" s="73" t="s">
        <v>814</v>
      </c>
      <c r="I878" s="439"/>
      <c r="J878" s="439"/>
      <c r="K878" s="430"/>
      <c r="L878" s="439"/>
      <c r="M878" s="65">
        <v>112291</v>
      </c>
      <c r="N878" s="66" t="s">
        <v>101</v>
      </c>
      <c r="O878" s="66" t="s">
        <v>63</v>
      </c>
      <c r="P878" s="84" t="str">
        <f>IF(AND('331-CT'!$E$7=TH!H878,OR(N878="331",O878="331")),"x","")</f>
        <v/>
      </c>
      <c r="Q878" s="84" t="str">
        <f>IF(AND(B878='111'!$L$11,OR($N878=$Q$7,$O878=$Q$7)),"x","")</f>
        <v/>
      </c>
      <c r="R878" s="84" t="str">
        <f>IF(AND($N878=$Q$7,$B878&lt;'111'!$L$11),"x","")</f>
        <v/>
      </c>
      <c r="S878" s="84" t="str">
        <f>IF(AND($O878=$Q$7,$B878&lt;'111'!$L$11),"x","")</f>
        <v/>
      </c>
      <c r="T878" s="84" t="str">
        <f>IF(ISERROR(FIND('112'!$M$9,G878,1)),"",IF((AND(FIND('112'!$M$9,G878,1)&gt;=1,B878='112'!$K$9,OR($N878='112'!$I$6,$O878='112'!$I$6))),"x",""))</f>
        <v/>
      </c>
      <c r="U878" s="84" t="str">
        <f>IF(ISERROR(FIND('112'!$M$9,G878,1)),"",IF((AND(LEFT(G878,2)=LEFT('112'!$M$9,2),B878&lt;'112'!$K$9,$N878='112'!$I$6)),"x",""))</f>
        <v/>
      </c>
      <c r="V878" s="84" t="str">
        <f>IF(ISERROR(FIND('112'!$M$9,G878,1)),"",IF((AND(RIGHT(G878,2)=RIGHT('112'!$M$9,2),B878&lt;'112'!$K$9,$O878='112'!$I$6)),"x",""))</f>
        <v/>
      </c>
      <c r="W878" s="84" t="str">
        <f>IF(AND('341-CT'!$H$9=H878,OR(LEFT(N878,3)=$W$7,LEFT(O878,3)=$W$7)),"x","")</f>
        <v/>
      </c>
      <c r="X878" s="84" t="str">
        <f>IF(OR(TH!N878=TH!$X$7,O878=TH!$X$7),"x","")</f>
        <v/>
      </c>
      <c r="Y878" s="84" t="str">
        <f>IF(AND(OR(N878="131",O878="131"),H878='131-CT'!$H$9),"x","")</f>
        <v/>
      </c>
      <c r="Z878" s="84"/>
      <c r="AA878" s="84" t="str">
        <f>IF(AND(MONTH(E878)='IN-NX'!$J$5,'IN-NX'!$D$7=D878),"x","")</f>
        <v/>
      </c>
      <c r="AB878" s="84" t="str">
        <f>IF(AND(OR(LEFT(TH!N878,2)="15",LEFT(TH!O878,2)="15"),LEFT(TH!O878,3)&lt;&gt;"111",'152-CT'!$J$8=TH!F878),"x","")</f>
        <v/>
      </c>
      <c r="AC878" s="84" t="str">
        <f>IF(AND(OR(LEFT(TH!N878,2)="15",LEFT(TH!O878,2)="15"),TK!$E$7=TH!F878),"x","")</f>
        <v/>
      </c>
      <c r="AD878" s="84" t="str">
        <f>IF(AND(N878="1521",MONTH(C878)='BK-NL'!$M$11),"x","")</f>
        <v/>
      </c>
    </row>
    <row r="879" spans="1:31" ht="15.75" hidden="1" customHeight="1">
      <c r="A879" s="336" t="str">
        <f>IF(B879&lt;&gt;"",IF(AND(B879='IN-TC'!$S$4,OR(TH!N879="1111",TH!O879="1111")),TH!D879,""),"")</f>
        <v>C03</v>
      </c>
      <c r="B879" s="63">
        <f t="shared" si="165"/>
        <v>2</v>
      </c>
      <c r="C879" s="64">
        <v>42403</v>
      </c>
      <c r="D879" s="64" t="s">
        <v>870</v>
      </c>
      <c r="E879" s="64">
        <v>42403</v>
      </c>
      <c r="F879" s="514" t="s">
        <v>1004</v>
      </c>
      <c r="G879" s="982" t="s">
        <v>1022</v>
      </c>
      <c r="H879" s="73" t="s">
        <v>814</v>
      </c>
      <c r="I879" s="439"/>
      <c r="J879" s="439"/>
      <c r="K879" s="430"/>
      <c r="L879" s="439"/>
      <c r="M879" s="65">
        <v>11229</v>
      </c>
      <c r="N879" s="66" t="s">
        <v>9</v>
      </c>
      <c r="O879" s="66" t="s">
        <v>63</v>
      </c>
      <c r="P879" s="84" t="str">
        <f>IF(AND('331-CT'!$E$7=TH!H879,OR(N879="331",O879="331")),"x","")</f>
        <v/>
      </c>
      <c r="Q879" s="84" t="str">
        <f>IF(AND(B879='111'!$L$11,OR($N879=$Q$7,$O879=$Q$7)),"x","")</f>
        <v/>
      </c>
      <c r="R879" s="84" t="str">
        <f>IF(AND($N879=$Q$7,$B879&lt;'111'!$L$11),"x","")</f>
        <v/>
      </c>
      <c r="S879" s="84" t="str">
        <f>IF(AND($O879=$Q$7,$B879&lt;'111'!$L$11),"x","")</f>
        <v/>
      </c>
      <c r="T879" s="84" t="str">
        <f>IF(ISERROR(FIND('112'!$M$9,G879,1)),"",IF((AND(FIND('112'!$M$9,G879,1)&gt;=1,B879='112'!$K$9,OR($N879='112'!$I$6,$O879='112'!$I$6))),"x",""))</f>
        <v/>
      </c>
      <c r="U879" s="84" t="str">
        <f>IF(ISERROR(FIND('112'!$M$9,G879,1)),"",IF((AND(LEFT(G879,2)=LEFT('112'!$M$9,2),B879&lt;'112'!$K$9,$N879='112'!$I$6)),"x",""))</f>
        <v/>
      </c>
      <c r="V879" s="84" t="str">
        <f>IF(ISERROR(FIND('112'!$M$9,G879,1)),"",IF((AND(RIGHT(G879,2)=RIGHT('112'!$M$9,2),B879&lt;'112'!$K$9,$O879='112'!$I$6)),"x",""))</f>
        <v/>
      </c>
      <c r="W879" s="84" t="str">
        <f>IF(AND('341-CT'!$H$9=H879,OR(LEFT(N879,3)=$W$7,LEFT(O879,3)=$W$7)),"x","")</f>
        <v/>
      </c>
      <c r="X879" s="84" t="str">
        <f>IF(OR(TH!N879=TH!$X$7,O879=TH!$X$7),"x","")</f>
        <v/>
      </c>
      <c r="Y879" s="84" t="str">
        <f>IF(AND(OR(N879="131",O879="131"),H879='131-CT'!$H$9),"x","")</f>
        <v/>
      </c>
      <c r="Z879" s="84"/>
      <c r="AA879" s="84" t="str">
        <f>IF(AND(MONTH(E879)='IN-NX'!$J$5,'IN-NX'!$D$7=D879),"x","")</f>
        <v/>
      </c>
      <c r="AB879" s="84" t="str">
        <f>IF(AND(OR(LEFT(TH!N879,2)="15",LEFT(TH!O879,2)="15"),LEFT(TH!O879,3)&lt;&gt;"111",'152-CT'!$J$8=TH!F879),"x","")</f>
        <v/>
      </c>
      <c r="AC879" s="84" t="str">
        <f>IF(AND(OR(LEFT(TH!N879,2)="15",LEFT(TH!O879,2)="15"),TK!$E$7=TH!F879),"x","")</f>
        <v/>
      </c>
      <c r="AD879" s="84" t="str">
        <f>IF(AND(N879="1521",MONTH(C879)='BK-NL'!$M$11),"x","")</f>
        <v/>
      </c>
    </row>
    <row r="880" spans="1:31" ht="15.75" hidden="1" customHeight="1">
      <c r="A880" s="336" t="str">
        <f>IF(B880&lt;&gt;"",IF(AND(B880='IN-TC'!$S$4,OR(TH!N880="1111",TH!O880="1111")),TH!D880,""),"")</f>
        <v>C04</v>
      </c>
      <c r="B880" s="63">
        <f t="shared" si="165"/>
        <v>2</v>
      </c>
      <c r="C880" s="64">
        <v>42403</v>
      </c>
      <c r="D880" s="64" t="s">
        <v>871</v>
      </c>
      <c r="E880" s="64">
        <v>42403</v>
      </c>
      <c r="F880" s="514" t="s">
        <v>1005</v>
      </c>
      <c r="G880" s="982" t="s">
        <v>1023</v>
      </c>
      <c r="H880" s="73" t="s">
        <v>808</v>
      </c>
      <c r="I880" s="439"/>
      <c r="J880" s="439"/>
      <c r="K880" s="430"/>
      <c r="L880" s="439"/>
      <c r="M880" s="65">
        <v>660273</v>
      </c>
      <c r="N880" s="66" t="s">
        <v>101</v>
      </c>
      <c r="O880" s="66" t="s">
        <v>63</v>
      </c>
      <c r="P880" s="84" t="str">
        <f>IF(AND('331-CT'!$E$7=TH!H880,OR(N880="331",O880="331")),"x","")</f>
        <v/>
      </c>
      <c r="Q880" s="84" t="str">
        <f>IF(AND(B880='111'!$L$11,OR($N880=$Q$7,$O880=$Q$7)),"x","")</f>
        <v/>
      </c>
      <c r="R880" s="84" t="str">
        <f>IF(AND($N880=$Q$7,$B880&lt;'111'!$L$11),"x","")</f>
        <v/>
      </c>
      <c r="S880" s="84" t="str">
        <f>IF(AND($O880=$Q$7,$B880&lt;'111'!$L$11),"x","")</f>
        <v/>
      </c>
      <c r="T880" s="84" t="str">
        <f>IF(ISERROR(FIND('112'!$M$9,G880,1)),"",IF((AND(FIND('112'!$M$9,G880,1)&gt;=1,B880='112'!$K$9,OR($N880='112'!$I$6,$O880='112'!$I$6))),"x",""))</f>
        <v/>
      </c>
      <c r="U880" s="84" t="str">
        <f>IF(ISERROR(FIND('112'!$M$9,G880,1)),"",IF((AND(LEFT(G880,2)=LEFT('112'!$M$9,2),B880&lt;'112'!$K$9,$N880='112'!$I$6)),"x",""))</f>
        <v/>
      </c>
      <c r="V880" s="84" t="str">
        <f>IF(ISERROR(FIND('112'!$M$9,G880,1)),"",IF((AND(RIGHT(G880,2)=RIGHT('112'!$M$9,2),B880&lt;'112'!$K$9,$O880='112'!$I$6)),"x",""))</f>
        <v/>
      </c>
      <c r="W880" s="84" t="str">
        <f>IF(AND('341-CT'!$H$9=H880,OR(LEFT(N880,3)=$W$7,LEFT(O880,3)=$W$7)),"x","")</f>
        <v/>
      </c>
      <c r="X880" s="84" t="str">
        <f>IF(OR(TH!N880=TH!$X$7,O880=TH!$X$7),"x","")</f>
        <v/>
      </c>
      <c r="Y880" s="84" t="str">
        <f>IF(AND(OR(N880="131",O880="131"),H880='131-CT'!$H$9),"x","")</f>
        <v/>
      </c>
      <c r="Z880" s="84"/>
      <c r="AA880" s="84" t="str">
        <f>IF(AND(MONTH(E880)='IN-NX'!$J$5,'IN-NX'!$D$7=D880),"x","")</f>
        <v/>
      </c>
      <c r="AB880" s="84" t="str">
        <f>IF(AND(OR(LEFT(TH!N880,2)="15",LEFT(TH!O880,2)="15"),LEFT(TH!O880,3)&lt;&gt;"111",'152-CT'!$J$8=TH!F880),"x","")</f>
        <v/>
      </c>
      <c r="AC880" s="84" t="str">
        <f>IF(AND(OR(LEFT(TH!N880,2)="15",LEFT(TH!O880,2)="15"),TK!$E$7=TH!F880),"x","")</f>
        <v/>
      </c>
      <c r="AD880" s="84" t="str">
        <f>IF(AND(N880="1521",MONTH(C880)='BK-NL'!$M$11),"x","")</f>
        <v/>
      </c>
    </row>
    <row r="881" spans="1:31" ht="15.75" hidden="1" customHeight="1">
      <c r="A881" s="336" t="str">
        <f>IF(B881&lt;&gt;"",IF(AND(B881='IN-TC'!$S$4,OR(TH!N881="1111",TH!O881="1111")),TH!D881,""),"")</f>
        <v>C04</v>
      </c>
      <c r="B881" s="63">
        <f t="shared" si="165"/>
        <v>2</v>
      </c>
      <c r="C881" s="64">
        <v>42403</v>
      </c>
      <c r="D881" s="64" t="s">
        <v>871</v>
      </c>
      <c r="E881" s="64">
        <v>42403</v>
      </c>
      <c r="F881" s="514" t="s">
        <v>1006</v>
      </c>
      <c r="G881" s="982" t="s">
        <v>1023</v>
      </c>
      <c r="H881" s="73" t="s">
        <v>808</v>
      </c>
      <c r="I881" s="439"/>
      <c r="J881" s="439"/>
      <c r="K881" s="430"/>
      <c r="L881" s="439"/>
      <c r="M881" s="65">
        <v>66027</v>
      </c>
      <c r="N881" s="66" t="s">
        <v>9</v>
      </c>
      <c r="O881" s="66" t="s">
        <v>63</v>
      </c>
      <c r="P881" s="84" t="str">
        <f>IF(AND('331-CT'!$E$7=TH!H881,OR(N881="331",O881="331")),"x","")</f>
        <v/>
      </c>
      <c r="Q881" s="84" t="str">
        <f>IF(AND(B881='111'!$L$11,OR($N881=$Q$7,$O881=$Q$7)),"x","")</f>
        <v/>
      </c>
      <c r="R881" s="84" t="str">
        <f>IF(AND($N881=$Q$7,$B881&lt;'111'!$L$11),"x","")</f>
        <v/>
      </c>
      <c r="S881" s="84" t="str">
        <f>IF(AND($O881=$Q$7,$B881&lt;'111'!$L$11),"x","")</f>
        <v/>
      </c>
      <c r="T881" s="84" t="str">
        <f>IF(ISERROR(FIND('112'!$M$9,G881,1)),"",IF((AND(FIND('112'!$M$9,G881,1)&gt;=1,B881='112'!$K$9,OR($N881='112'!$I$6,$O881='112'!$I$6))),"x",""))</f>
        <v/>
      </c>
      <c r="U881" s="84" t="str">
        <f>IF(ISERROR(FIND('112'!$M$9,G881,1)),"",IF((AND(LEFT(G881,2)=LEFT('112'!$M$9,2),B881&lt;'112'!$K$9,$N881='112'!$I$6)),"x",""))</f>
        <v/>
      </c>
      <c r="V881" s="84" t="str">
        <f>IF(ISERROR(FIND('112'!$M$9,G881,1)),"",IF((AND(RIGHT(G881,2)=RIGHT('112'!$M$9,2),B881&lt;'112'!$K$9,$O881='112'!$I$6)),"x",""))</f>
        <v/>
      </c>
      <c r="W881" s="84" t="str">
        <f>IF(AND('341-CT'!$H$9=H881,OR(LEFT(N881,3)=$W$7,LEFT(O881,3)=$W$7)),"x","")</f>
        <v/>
      </c>
      <c r="X881" s="84" t="str">
        <f>IF(OR(TH!N881=TH!$X$7,O881=TH!$X$7),"x","")</f>
        <v/>
      </c>
      <c r="Y881" s="84" t="str">
        <f>IF(AND(OR(N881="131",O881="131"),H881='131-CT'!$H$9),"x","")</f>
        <v/>
      </c>
      <c r="Z881" s="84"/>
      <c r="AA881" s="84" t="str">
        <f>IF(AND(MONTH(E881)='IN-NX'!$J$5,'IN-NX'!$D$7=D881),"x","")</f>
        <v/>
      </c>
      <c r="AB881" s="84" t="str">
        <f>IF(AND(OR(LEFT(TH!N881,2)="15",LEFT(TH!O881,2)="15"),LEFT(TH!O881,3)&lt;&gt;"111",'152-CT'!$J$8=TH!F881),"x","")</f>
        <v/>
      </c>
      <c r="AC881" s="84" t="str">
        <f>IF(AND(OR(LEFT(TH!N881,2)="15",LEFT(TH!O881,2)="15"),TK!$E$7=TH!F881),"x","")</f>
        <v/>
      </c>
      <c r="AD881" s="84" t="str">
        <f>IF(AND(N881="1521",MONTH(C881)='BK-NL'!$M$11),"x","")</f>
        <v/>
      </c>
    </row>
    <row r="882" spans="1:31" ht="15.75" hidden="1" customHeight="1">
      <c r="A882" s="336" t="str">
        <f>IF(B882&lt;&gt;"",IF(AND(B882='IN-TC'!$S$4,OR(TH!N882="1111",TH!O882="1111")),TH!D882,""),"")</f>
        <v/>
      </c>
      <c r="B882" s="63">
        <f t="shared" si="165"/>
        <v>2</v>
      </c>
      <c r="C882" s="64">
        <v>42403</v>
      </c>
      <c r="D882" s="64" t="s">
        <v>702</v>
      </c>
      <c r="E882" s="64">
        <v>42403</v>
      </c>
      <c r="F882" s="514" t="s">
        <v>1045</v>
      </c>
      <c r="G882" s="67" t="s">
        <v>920</v>
      </c>
      <c r="H882" s="73"/>
      <c r="I882" s="439"/>
      <c r="J882" s="439"/>
      <c r="K882" s="430"/>
      <c r="L882" s="439"/>
      <c r="M882" s="65">
        <v>500000000</v>
      </c>
      <c r="N882" s="66" t="s">
        <v>26</v>
      </c>
      <c r="O882" s="66" t="s">
        <v>26</v>
      </c>
      <c r="P882" s="84" t="str">
        <f>IF(AND('331-CT'!$E$7=TH!H882,OR(N882="331",O882="331")),"x","")</f>
        <v/>
      </c>
      <c r="Q882" s="84" t="str">
        <f>IF(AND(B882='111'!$L$11,OR($N882=$Q$7,$O882=$Q$7)),"x","")</f>
        <v/>
      </c>
      <c r="R882" s="84" t="str">
        <f>IF(AND($N882=$Q$7,$B882&lt;'111'!$L$11),"x","")</f>
        <v/>
      </c>
      <c r="S882" s="84" t="str">
        <f>IF(AND($O882=$Q$7,$B882&lt;'111'!$L$11),"x","")</f>
        <v/>
      </c>
      <c r="T882" s="84" t="str">
        <f>IF(ISERROR(FIND('112'!$M$9,G882,1)),"",IF((AND(FIND('112'!$M$9,G882,1)&gt;=1,B882='112'!$K$9,OR($N882='112'!$I$6,$O882='112'!$I$6))),"x",""))</f>
        <v/>
      </c>
      <c r="U882" s="84" t="str">
        <f>IF(ISERROR(FIND('112'!$M$9,G882,1)),"",IF((AND(LEFT(G882,2)=LEFT('112'!$M$9,2),B882&lt;'112'!$K$9,$N882='112'!$I$6)),"x",""))</f>
        <v>x</v>
      </c>
      <c r="V882" s="84" t="str">
        <f>IF(ISERROR(FIND('112'!$M$9,G882,1)),"",IF((AND(RIGHT(G882,2)=RIGHT('112'!$M$9,2),B882&lt;'112'!$K$9,$O882='112'!$I$6)),"x",""))</f>
        <v/>
      </c>
      <c r="W882" s="84" t="str">
        <f>IF(AND('341-CT'!$H$9=H882,OR(LEFT(N882,3)=$W$7,LEFT(O882,3)=$W$7)),"x","")</f>
        <v/>
      </c>
      <c r="X882" s="84" t="str">
        <f>IF(OR(TH!N882=TH!$X$7,O882=TH!$X$7),"x","")</f>
        <v/>
      </c>
      <c r="Y882" s="84" t="str">
        <f>IF(AND(OR(N882="131",O882="131"),H882='131-CT'!$H$9),"x","")</f>
        <v/>
      </c>
      <c r="Z882" s="84"/>
      <c r="AA882" s="84" t="str">
        <f>IF(AND(MONTH(E882)='IN-NX'!$J$5,'IN-NX'!$D$7=D882),"x","")</f>
        <v/>
      </c>
      <c r="AB882" s="84" t="str">
        <f>IF(AND(OR(LEFT(TH!N882,2)="15",LEFT(TH!O882,2)="15"),LEFT(TH!O882,3)&lt;&gt;"111",'152-CT'!$J$8=TH!F882),"x","")</f>
        <v/>
      </c>
      <c r="AC882" s="84" t="str">
        <f>IF(AND(OR(LEFT(TH!N882,2)="15",LEFT(TH!O882,2)="15"),TK!$E$7=TH!F882),"x","")</f>
        <v/>
      </c>
      <c r="AD882" s="84" t="str">
        <f>IF(AND(N882="1521",MONTH(C882)='BK-NL'!$M$11),"x","")</f>
        <v/>
      </c>
    </row>
    <row r="883" spans="1:31" ht="15.75" hidden="1" customHeight="1">
      <c r="A883" s="336" t="str">
        <f>IF(B883&lt;&gt;"",IF(AND(B883='IN-TC'!$S$4,OR(TH!N883="1111",TH!O883="1111")),TH!D883,""),"")</f>
        <v/>
      </c>
      <c r="B883" s="63">
        <f t="shared" si="165"/>
        <v>2</v>
      </c>
      <c r="C883" s="64">
        <v>42403</v>
      </c>
      <c r="D883" s="64" t="s">
        <v>702</v>
      </c>
      <c r="E883" s="64">
        <v>42403</v>
      </c>
      <c r="F883" s="514" t="s">
        <v>1046</v>
      </c>
      <c r="G883" s="67" t="s">
        <v>919</v>
      </c>
      <c r="H883" s="73" t="s">
        <v>1218</v>
      </c>
      <c r="I883" s="439"/>
      <c r="J883" s="439"/>
      <c r="K883" s="430"/>
      <c r="L883" s="439"/>
      <c r="M883" s="65">
        <v>110000000</v>
      </c>
      <c r="N883" s="66" t="s">
        <v>26</v>
      </c>
      <c r="O883" s="66" t="s">
        <v>72</v>
      </c>
      <c r="P883" s="84" t="str">
        <f>IF(AND('331-CT'!$E$7=TH!H883,OR(N883="331",O883="331")),"x","")</f>
        <v/>
      </c>
      <c r="Q883" s="84" t="str">
        <f>IF(AND(B883='111'!$L$11,OR($N883=$Q$7,$O883=$Q$7)),"x","")</f>
        <v/>
      </c>
      <c r="R883" s="84" t="str">
        <f>IF(AND($N883=$Q$7,$B883&lt;'111'!$L$11),"x","")</f>
        <v/>
      </c>
      <c r="S883" s="84" t="str">
        <f>IF(AND($O883=$Q$7,$B883&lt;'111'!$L$11),"x","")</f>
        <v/>
      </c>
      <c r="T883" s="84" t="str">
        <f>IF(ISERROR(FIND('112'!$M$9,G883,1)),"",IF((AND(FIND('112'!$M$9,G883,1)&gt;=1,B883='112'!$K$9,OR($N883='112'!$I$6,$O883='112'!$I$6))),"x",""))</f>
        <v/>
      </c>
      <c r="U883" s="84" t="str">
        <f>IF(ISERROR(FIND('112'!$M$9,G883,1)),"",IF((AND(LEFT(G883,2)=LEFT('112'!$M$9,2),B883&lt;'112'!$K$9,$N883='112'!$I$6)),"x",""))</f>
        <v>x</v>
      </c>
      <c r="V883" s="84" t="str">
        <f>IF(ISERROR(FIND('112'!$M$9,G883,1)),"",IF((AND(RIGHT(G883,2)=RIGHT('112'!$M$9,2),B883&lt;'112'!$K$9,$O883='112'!$I$6)),"x",""))</f>
        <v/>
      </c>
      <c r="W883" s="84" t="str">
        <f>IF(AND('341-CT'!$H$9=H883,OR(LEFT(N883,3)=$W$7,LEFT(O883,3)=$W$7)),"x","")</f>
        <v/>
      </c>
      <c r="X883" s="84" t="str">
        <f>IF(OR(TH!N883=TH!$X$7,O883=TH!$X$7),"x","")</f>
        <v>x</v>
      </c>
      <c r="Y883" s="84" t="str">
        <f>IF(AND(OR(N883="131",O883="131"),H883='131-CT'!$H$9),"x","")</f>
        <v/>
      </c>
      <c r="Z883" s="84"/>
      <c r="AA883" s="84" t="str">
        <f>IF(AND(MONTH(E883)='IN-NX'!$J$5,'IN-NX'!$D$7=D883),"x","")</f>
        <v/>
      </c>
      <c r="AB883" s="84" t="str">
        <f>IF(AND(OR(LEFT(TH!N883,2)="15",LEFT(TH!O883,2)="15"),LEFT(TH!O883,3)&lt;&gt;"111",'152-CT'!$J$8=TH!F883),"x","")</f>
        <v/>
      </c>
      <c r="AC883" s="84" t="str">
        <f>IF(AND(OR(LEFT(TH!N883,2)="15",LEFT(TH!O883,2)="15"),TK!$E$7=TH!F883),"x","")</f>
        <v/>
      </c>
      <c r="AD883" s="84" t="str">
        <f>IF(AND(N883="1521",MONTH(C883)='BK-NL'!$M$11),"x","")</f>
        <v/>
      </c>
    </row>
    <row r="884" spans="1:31" ht="15.75" hidden="1" customHeight="1">
      <c r="A884" s="336" t="str">
        <f>IF(B884&lt;&gt;"",IF(AND(B884='IN-TC'!$S$4,OR(TH!N884="1111",TH!O884="1111")),TH!D884,""),"")</f>
        <v/>
      </c>
      <c r="B884" s="63">
        <f t="shared" si="165"/>
        <v>2</v>
      </c>
      <c r="C884" s="64">
        <v>42403</v>
      </c>
      <c r="D884" s="64" t="s">
        <v>705</v>
      </c>
      <c r="E884" s="64">
        <v>42403</v>
      </c>
      <c r="F884" s="514" t="s">
        <v>1098</v>
      </c>
      <c r="G884" s="67" t="s">
        <v>919</v>
      </c>
      <c r="H884" s="344" t="s">
        <v>631</v>
      </c>
      <c r="I884" s="439"/>
      <c r="J884" s="439"/>
      <c r="K884" s="430"/>
      <c r="L884" s="439"/>
      <c r="M884" s="65">
        <v>100000000</v>
      </c>
      <c r="N884" s="66" t="s">
        <v>8</v>
      </c>
      <c r="O884" s="66" t="s">
        <v>26</v>
      </c>
      <c r="P884" s="84" t="str">
        <f>IF(AND('331-CT'!$E$7=TH!H884,OR(N884="331",O884="331")),"x","")</f>
        <v/>
      </c>
      <c r="Q884" s="84" t="str">
        <f>IF(AND(B884='111'!$L$11,OR($N884=$Q$7,$O884=$Q$7)),"x","")</f>
        <v/>
      </c>
      <c r="R884" s="84" t="str">
        <f>IF(AND($N884=$Q$7,$B884&lt;'111'!$L$11),"x","")</f>
        <v/>
      </c>
      <c r="S884" s="84" t="str">
        <f>IF(AND($O884=$Q$7,$B884&lt;'111'!$L$11),"x","")</f>
        <v/>
      </c>
      <c r="T884" s="84" t="str">
        <f>IF(ISERROR(FIND('112'!$M$9,G884,1)),"",IF((AND(FIND('112'!$M$9,G884,1)&gt;=1,B884='112'!$K$9,OR($N884='112'!$I$6,$O884='112'!$I$6))),"x",""))</f>
        <v/>
      </c>
      <c r="U884" s="84" t="str">
        <f>IF(ISERROR(FIND('112'!$M$9,G884,1)),"",IF((AND(LEFT(G884,2)=LEFT('112'!$M$9,2),B884&lt;'112'!$K$9,$N884='112'!$I$6)),"x",""))</f>
        <v/>
      </c>
      <c r="V884" s="84" t="str">
        <f>IF(ISERROR(FIND('112'!$M$9,G884,1)),"",IF((AND(RIGHT(G884,2)=RIGHT('112'!$M$9,2),B884&lt;'112'!$K$9,$O884='112'!$I$6)),"x",""))</f>
        <v>x</v>
      </c>
      <c r="W884" s="84" t="str">
        <f>IF(AND('341-CT'!$H$9=H884,OR(LEFT(N884,3)=$W$7,LEFT(O884,3)=$W$7)),"x","")</f>
        <v/>
      </c>
      <c r="X884" s="84" t="str">
        <f>IF(OR(TH!N884=TH!$X$7,O884=TH!$X$7),"x","")</f>
        <v/>
      </c>
      <c r="Y884" s="84" t="str">
        <f>IF(AND(OR(N884="131",O884="131"),H884='131-CT'!$H$9),"x","")</f>
        <v/>
      </c>
      <c r="Z884" s="84"/>
      <c r="AA884" s="84" t="str">
        <f>IF(AND(MONTH(E884)='IN-NX'!$J$5,'IN-NX'!$D$7=D884),"x","")</f>
        <v/>
      </c>
      <c r="AB884" s="84" t="str">
        <f>IF(AND(OR(LEFT(TH!N884,2)="15",LEFT(TH!O884,2)="15"),LEFT(TH!O884,3)&lt;&gt;"111",'152-CT'!$J$8=TH!F884),"x","")</f>
        <v/>
      </c>
      <c r="AC884" s="84" t="str">
        <f>IF(AND(OR(LEFT(TH!N884,2)="15",LEFT(TH!O884,2)="15"),TK!$E$7=TH!F884),"x","")</f>
        <v/>
      </c>
      <c r="AD884" s="84" t="str">
        <f>IF(AND(N884="1521",MONTH(C884)='BK-NL'!$M$11),"x","")</f>
        <v/>
      </c>
      <c r="AE884" s="1146" t="str">
        <f>IF(H884&lt;&gt;VLOOKUP(H884,DSKH,1,0),"","x")</f>
        <v>x</v>
      </c>
    </row>
    <row r="885" spans="1:31" ht="15.75" hidden="1" customHeight="1">
      <c r="A885" s="336" t="str">
        <f>IF(B885&lt;&gt;"",IF(AND(B885='IN-TC'!$S$4,OR(TH!N885="1111",TH!O885="1111")),TH!D885,""),"")</f>
        <v/>
      </c>
      <c r="B885" s="63">
        <f t="shared" si="165"/>
        <v>2</v>
      </c>
      <c r="C885" s="64">
        <v>42403</v>
      </c>
      <c r="D885" s="64" t="s">
        <v>705</v>
      </c>
      <c r="E885" s="64">
        <v>42403</v>
      </c>
      <c r="F885" s="514" t="s">
        <v>743</v>
      </c>
      <c r="G885" s="67" t="s">
        <v>919</v>
      </c>
      <c r="H885" s="73"/>
      <c r="I885" s="439"/>
      <c r="J885" s="439"/>
      <c r="K885" s="430"/>
      <c r="L885" s="439"/>
      <c r="M885" s="65">
        <v>50000</v>
      </c>
      <c r="N885" s="66" t="s">
        <v>101</v>
      </c>
      <c r="O885" s="66" t="s">
        <v>26</v>
      </c>
      <c r="P885" s="84" t="str">
        <f>IF(AND('331-CT'!$E$7=TH!H885,OR(N885="331",O885="331")),"x","")</f>
        <v/>
      </c>
      <c r="Q885" s="84" t="str">
        <f>IF(AND(B885='111'!$L$11,OR($N885=$Q$7,$O885=$Q$7)),"x","")</f>
        <v/>
      </c>
      <c r="R885" s="84" t="str">
        <f>IF(AND($N885=$Q$7,$B885&lt;'111'!$L$11),"x","")</f>
        <v/>
      </c>
      <c r="S885" s="84" t="str">
        <f>IF(AND($O885=$Q$7,$B885&lt;'111'!$L$11),"x","")</f>
        <v/>
      </c>
      <c r="T885" s="84" t="str">
        <f>IF(ISERROR(FIND('112'!$M$9,G885,1)),"",IF((AND(FIND('112'!$M$9,G885,1)&gt;=1,B885='112'!$K$9,OR($N885='112'!$I$6,$O885='112'!$I$6))),"x",""))</f>
        <v/>
      </c>
      <c r="U885" s="84" t="str">
        <f>IF(ISERROR(FIND('112'!$M$9,G885,1)),"",IF((AND(LEFT(G885,2)=LEFT('112'!$M$9,2),B885&lt;'112'!$K$9,$N885='112'!$I$6)),"x",""))</f>
        <v/>
      </c>
      <c r="V885" s="84" t="str">
        <f>IF(ISERROR(FIND('112'!$M$9,G885,1)),"",IF((AND(RIGHT(G885,2)=RIGHT('112'!$M$9,2),B885&lt;'112'!$K$9,$O885='112'!$I$6)),"x",""))</f>
        <v>x</v>
      </c>
      <c r="W885" s="84" t="str">
        <f>IF(AND('341-CT'!$H$9=H885,OR(LEFT(N885,3)=$W$7,LEFT(O885,3)=$W$7)),"x","")</f>
        <v/>
      </c>
      <c r="X885" s="84" t="str">
        <f>IF(OR(TH!N885=TH!$X$7,O885=TH!$X$7),"x","")</f>
        <v/>
      </c>
      <c r="Y885" s="84" t="str">
        <f>IF(AND(OR(N885="131",O885="131"),H885='131-CT'!$H$9),"x","")</f>
        <v/>
      </c>
      <c r="Z885" s="84"/>
      <c r="AA885" s="84" t="str">
        <f>IF(AND(MONTH(E885)='IN-NX'!$J$5,'IN-NX'!$D$7=D885),"x","")</f>
        <v/>
      </c>
      <c r="AB885" s="84" t="str">
        <f>IF(AND(OR(LEFT(TH!N885,2)="15",LEFT(TH!O885,2)="15"),LEFT(TH!O885,3)&lt;&gt;"111",'152-CT'!$J$8=TH!F885),"x","")</f>
        <v/>
      </c>
      <c r="AC885" s="84" t="str">
        <f>IF(AND(OR(LEFT(TH!N885,2)="15",LEFT(TH!O885,2)="15"),TK!$E$7=TH!F885),"x","")</f>
        <v/>
      </c>
      <c r="AD885" s="84" t="str">
        <f>IF(AND(N885="1521",MONTH(C885)='BK-NL'!$M$11),"x","")</f>
        <v/>
      </c>
    </row>
    <row r="886" spans="1:31" ht="15.75" hidden="1" customHeight="1">
      <c r="A886" s="336" t="str">
        <f>IF(B886&lt;&gt;"",IF(AND(B886='IN-TC'!$S$4,OR(TH!N886="1111",TH!O886="1111")),TH!D886,""),"")</f>
        <v/>
      </c>
      <c r="B886" s="63">
        <f t="shared" si="165"/>
        <v>2</v>
      </c>
      <c r="C886" s="64">
        <v>42403</v>
      </c>
      <c r="D886" s="64" t="s">
        <v>705</v>
      </c>
      <c r="E886" s="64">
        <v>42403</v>
      </c>
      <c r="F886" s="514" t="s">
        <v>745</v>
      </c>
      <c r="G886" s="67" t="s">
        <v>919</v>
      </c>
      <c r="H886" s="73"/>
      <c r="I886" s="439"/>
      <c r="J886" s="439"/>
      <c r="K886" s="430"/>
      <c r="L886" s="439"/>
      <c r="M886" s="65">
        <v>5000</v>
      </c>
      <c r="N886" s="66" t="s">
        <v>9</v>
      </c>
      <c r="O886" s="66" t="s">
        <v>26</v>
      </c>
      <c r="P886" s="84" t="str">
        <f>IF(AND('331-CT'!$E$7=TH!H886,OR(N886="331",O886="331")),"x","")</f>
        <v/>
      </c>
      <c r="Q886" s="84" t="str">
        <f>IF(AND(B886='111'!$L$11,OR($N886=$Q$7,$O886=$Q$7)),"x","")</f>
        <v/>
      </c>
      <c r="R886" s="84" t="str">
        <f>IF(AND($N886=$Q$7,$B886&lt;'111'!$L$11),"x","")</f>
        <v/>
      </c>
      <c r="S886" s="84" t="str">
        <f>IF(AND($O886=$Q$7,$B886&lt;'111'!$L$11),"x","")</f>
        <v/>
      </c>
      <c r="T886" s="84" t="str">
        <f>IF(ISERROR(FIND('112'!$M$9,G886,1)),"",IF((AND(FIND('112'!$M$9,G886,1)&gt;=1,B886='112'!$K$9,OR($N886='112'!$I$6,$O886='112'!$I$6))),"x",""))</f>
        <v/>
      </c>
      <c r="U886" s="84" t="str">
        <f>IF(ISERROR(FIND('112'!$M$9,G886,1)),"",IF((AND(LEFT(G886,2)=LEFT('112'!$M$9,2),B886&lt;'112'!$K$9,$N886='112'!$I$6)),"x",""))</f>
        <v/>
      </c>
      <c r="V886" s="84" t="str">
        <f>IF(ISERROR(FIND('112'!$M$9,G886,1)),"",IF((AND(RIGHT(G886,2)=RIGHT('112'!$M$9,2),B886&lt;'112'!$K$9,$O886='112'!$I$6)),"x",""))</f>
        <v>x</v>
      </c>
      <c r="W886" s="84" t="str">
        <f>IF(AND('341-CT'!$H$9=H886,OR(LEFT(N886,3)=$W$7,LEFT(O886,3)=$W$7)),"x","")</f>
        <v/>
      </c>
      <c r="X886" s="84" t="str">
        <f>IF(OR(TH!N886=TH!$X$7,O886=TH!$X$7),"x","")</f>
        <v/>
      </c>
      <c r="Y886" s="84" t="str">
        <f>IF(AND(OR(N886="131",O886="131"),H886='131-CT'!$H$9),"x","")</f>
        <v/>
      </c>
      <c r="Z886" s="84"/>
      <c r="AA886" s="84" t="str">
        <f>IF(AND(MONTH(E886)='IN-NX'!$J$5,'IN-NX'!$D$7=D886),"x","")</f>
        <v/>
      </c>
      <c r="AB886" s="84" t="str">
        <f>IF(AND(OR(LEFT(TH!N886,2)="15",LEFT(TH!O886,2)="15"),LEFT(TH!O886,3)&lt;&gt;"111",'152-CT'!$J$8=TH!F886),"x","")</f>
        <v/>
      </c>
      <c r="AC886" s="84" t="str">
        <f>IF(AND(OR(LEFT(TH!N886,2)="15",LEFT(TH!O886,2)="15"),TK!$E$7=TH!F886),"x","")</f>
        <v/>
      </c>
      <c r="AD886" s="84" t="str">
        <f>IF(AND(N886="1521",MONTH(C886)='BK-NL'!$M$11),"x","")</f>
        <v/>
      </c>
    </row>
    <row r="887" spans="1:31" ht="15.75" hidden="1" customHeight="1">
      <c r="A887" s="336" t="str">
        <f>IF(B887&lt;&gt;"",IF(AND(B887='IN-TC'!$S$4,OR(TH!N887="1111",TH!O887="1111")),TH!D887,""),"")</f>
        <v/>
      </c>
      <c r="B887" s="63">
        <f t="shared" si="165"/>
        <v>2</v>
      </c>
      <c r="C887" s="64">
        <v>42403</v>
      </c>
      <c r="D887" s="64" t="s">
        <v>705</v>
      </c>
      <c r="E887" s="64">
        <v>42403</v>
      </c>
      <c r="F887" s="514" t="s">
        <v>1099</v>
      </c>
      <c r="G887" s="67" t="s">
        <v>919</v>
      </c>
      <c r="H887" s="344" t="s">
        <v>628</v>
      </c>
      <c r="I887" s="439"/>
      <c r="J887" s="439"/>
      <c r="K887" s="430"/>
      <c r="L887" s="439"/>
      <c r="M887" s="65">
        <v>24446400</v>
      </c>
      <c r="N887" s="66" t="s">
        <v>8</v>
      </c>
      <c r="O887" s="66" t="s">
        <v>26</v>
      </c>
      <c r="P887" s="84" t="str">
        <f>IF(AND('331-CT'!$E$7=TH!H887,OR(N887="331",O887="331")),"x","")</f>
        <v/>
      </c>
      <c r="Q887" s="84" t="str">
        <f>IF(AND(B887='111'!$L$11,OR($N887=$Q$7,$O887=$Q$7)),"x","")</f>
        <v/>
      </c>
      <c r="R887" s="84" t="str">
        <f>IF(AND($N887=$Q$7,$B887&lt;'111'!$L$11),"x","")</f>
        <v/>
      </c>
      <c r="S887" s="84" t="str">
        <f>IF(AND($O887=$Q$7,$B887&lt;'111'!$L$11),"x","")</f>
        <v/>
      </c>
      <c r="T887" s="84" t="str">
        <f>IF(ISERROR(FIND('112'!$M$9,G887,1)),"",IF((AND(FIND('112'!$M$9,G887,1)&gt;=1,B887='112'!$K$9,OR($N887='112'!$I$6,$O887='112'!$I$6))),"x",""))</f>
        <v/>
      </c>
      <c r="U887" s="84" t="str">
        <f>IF(ISERROR(FIND('112'!$M$9,G887,1)),"",IF((AND(LEFT(G887,2)=LEFT('112'!$M$9,2),B887&lt;'112'!$K$9,$N887='112'!$I$6)),"x",""))</f>
        <v/>
      </c>
      <c r="V887" s="84" t="str">
        <f>IF(ISERROR(FIND('112'!$M$9,G887,1)),"",IF((AND(RIGHT(G887,2)=RIGHT('112'!$M$9,2),B887&lt;'112'!$K$9,$O887='112'!$I$6)),"x",""))</f>
        <v>x</v>
      </c>
      <c r="W887" s="84" t="str">
        <f>IF(AND('341-CT'!$H$9=H887,OR(LEFT(N887,3)=$W$7,LEFT(O887,3)=$W$7)),"x","")</f>
        <v/>
      </c>
      <c r="X887" s="84" t="str">
        <f>IF(OR(TH!N887=TH!$X$7,O887=TH!$X$7),"x","")</f>
        <v/>
      </c>
      <c r="Y887" s="84" t="str">
        <f>IF(AND(OR(N887="131",O887="131"),H887='131-CT'!$H$9),"x","")</f>
        <v/>
      </c>
      <c r="Z887" s="84"/>
      <c r="AA887" s="84" t="str">
        <f>IF(AND(MONTH(E887)='IN-NX'!$J$5,'IN-NX'!$D$7=D887),"x","")</f>
        <v/>
      </c>
      <c r="AB887" s="84" t="str">
        <f>IF(AND(OR(LEFT(TH!N887,2)="15",LEFT(TH!O887,2)="15"),LEFT(TH!O887,3)&lt;&gt;"111",'152-CT'!$J$8=TH!F887),"x","")</f>
        <v/>
      </c>
      <c r="AC887" s="84" t="str">
        <f>IF(AND(OR(LEFT(TH!N887,2)="15",LEFT(TH!O887,2)="15"),TK!$E$7=TH!F887),"x","")</f>
        <v/>
      </c>
      <c r="AD887" s="84" t="str">
        <f>IF(AND(N887="1521",MONTH(C887)='BK-NL'!$M$11),"x","")</f>
        <v/>
      </c>
      <c r="AE887" s="1146" t="str">
        <f>IF(H887&lt;&gt;VLOOKUP(H887,DSKH,1,0),"","x")</f>
        <v>x</v>
      </c>
    </row>
    <row r="888" spans="1:31" ht="15.75" hidden="1" customHeight="1">
      <c r="A888" s="336" t="str">
        <f>IF(B888&lt;&gt;"",IF(AND(B888='IN-TC'!$S$4,OR(TH!N888="1111",TH!O888="1111")),TH!D888,""),"")</f>
        <v/>
      </c>
      <c r="B888" s="63">
        <f t="shared" si="165"/>
        <v>2</v>
      </c>
      <c r="C888" s="64">
        <v>42403</v>
      </c>
      <c r="D888" s="64" t="s">
        <v>705</v>
      </c>
      <c r="E888" s="64">
        <v>42403</v>
      </c>
      <c r="F888" s="514" t="s">
        <v>743</v>
      </c>
      <c r="G888" s="67" t="s">
        <v>919</v>
      </c>
      <c r="H888" s="73"/>
      <c r="I888" s="439"/>
      <c r="J888" s="439"/>
      <c r="K888" s="430"/>
      <c r="L888" s="439"/>
      <c r="M888" s="65">
        <v>20000</v>
      </c>
      <c r="N888" s="66" t="s">
        <v>101</v>
      </c>
      <c r="O888" s="66" t="s">
        <v>26</v>
      </c>
      <c r="P888" s="84" t="str">
        <f>IF(AND('331-CT'!$E$7=TH!H888,OR(N888="331",O888="331")),"x","")</f>
        <v/>
      </c>
      <c r="Q888" s="84" t="str">
        <f>IF(AND(B888='111'!$L$11,OR($N888=$Q$7,$O888=$Q$7)),"x","")</f>
        <v/>
      </c>
      <c r="R888" s="84" t="str">
        <f>IF(AND($N888=$Q$7,$B888&lt;'111'!$L$11),"x","")</f>
        <v/>
      </c>
      <c r="S888" s="84" t="str">
        <f>IF(AND($O888=$Q$7,$B888&lt;'111'!$L$11),"x","")</f>
        <v/>
      </c>
      <c r="T888" s="84" t="str">
        <f>IF(ISERROR(FIND('112'!$M$9,G888,1)),"",IF((AND(FIND('112'!$M$9,G888,1)&gt;=1,B888='112'!$K$9,OR($N888='112'!$I$6,$O888='112'!$I$6))),"x",""))</f>
        <v/>
      </c>
      <c r="U888" s="84" t="str">
        <f>IF(ISERROR(FIND('112'!$M$9,G888,1)),"",IF((AND(LEFT(G888,2)=LEFT('112'!$M$9,2),B888&lt;'112'!$K$9,$N888='112'!$I$6)),"x",""))</f>
        <v/>
      </c>
      <c r="V888" s="84" t="str">
        <f>IF(ISERROR(FIND('112'!$M$9,G888,1)),"",IF((AND(RIGHT(G888,2)=RIGHT('112'!$M$9,2),B888&lt;'112'!$K$9,$O888='112'!$I$6)),"x",""))</f>
        <v>x</v>
      </c>
      <c r="W888" s="84" t="str">
        <f>IF(AND('341-CT'!$H$9=H888,OR(LEFT(N888,3)=$W$7,LEFT(O888,3)=$W$7)),"x","")</f>
        <v/>
      </c>
      <c r="X888" s="84" t="str">
        <f>IF(OR(TH!N888=TH!$X$7,O888=TH!$X$7),"x","")</f>
        <v/>
      </c>
      <c r="Y888" s="84" t="str">
        <f>IF(AND(OR(N888="131",O888="131"),H888='131-CT'!$H$9),"x","")</f>
        <v/>
      </c>
      <c r="Z888" s="84"/>
      <c r="AA888" s="84" t="str">
        <f>IF(AND(MONTH(E888)='IN-NX'!$J$5,'IN-NX'!$D$7=D888),"x","")</f>
        <v/>
      </c>
      <c r="AB888" s="84" t="str">
        <f>IF(AND(OR(LEFT(TH!N888,2)="15",LEFT(TH!O888,2)="15"),LEFT(TH!O888,3)&lt;&gt;"111",'152-CT'!$J$8=TH!F888),"x","")</f>
        <v/>
      </c>
      <c r="AC888" s="84" t="str">
        <f>IF(AND(OR(LEFT(TH!N888,2)="15",LEFT(TH!O888,2)="15"),TK!$E$7=TH!F888),"x","")</f>
        <v/>
      </c>
      <c r="AD888" s="84" t="str">
        <f>IF(AND(N888="1521",MONTH(C888)='BK-NL'!$M$11),"x","")</f>
        <v/>
      </c>
    </row>
    <row r="889" spans="1:31" ht="15.75" hidden="1" customHeight="1">
      <c r="A889" s="336" t="str">
        <f>IF(B889&lt;&gt;"",IF(AND(B889='IN-TC'!$S$4,OR(TH!N889="1111",TH!O889="1111")),TH!D889,""),"")</f>
        <v/>
      </c>
      <c r="B889" s="63">
        <f t="shared" si="165"/>
        <v>2</v>
      </c>
      <c r="C889" s="64">
        <v>42403</v>
      </c>
      <c r="D889" s="64" t="s">
        <v>705</v>
      </c>
      <c r="E889" s="64">
        <v>42403</v>
      </c>
      <c r="F889" s="514" t="s">
        <v>745</v>
      </c>
      <c r="G889" s="67" t="s">
        <v>919</v>
      </c>
      <c r="H889" s="73"/>
      <c r="I889" s="439"/>
      <c r="J889" s="439"/>
      <c r="K889" s="430"/>
      <c r="L889" s="439"/>
      <c r="M889" s="65">
        <v>2000</v>
      </c>
      <c r="N889" s="66" t="s">
        <v>9</v>
      </c>
      <c r="O889" s="66" t="s">
        <v>26</v>
      </c>
      <c r="P889" s="84" t="str">
        <f>IF(AND('331-CT'!$E$7=TH!H889,OR(N889="331",O889="331")),"x","")</f>
        <v/>
      </c>
      <c r="Q889" s="84" t="str">
        <f>IF(AND(B889='111'!$L$11,OR($N889=$Q$7,$O889=$Q$7)),"x","")</f>
        <v/>
      </c>
      <c r="R889" s="84" t="str">
        <f>IF(AND($N889=$Q$7,$B889&lt;'111'!$L$11),"x","")</f>
        <v/>
      </c>
      <c r="S889" s="84" t="str">
        <f>IF(AND($O889=$Q$7,$B889&lt;'111'!$L$11),"x","")</f>
        <v/>
      </c>
      <c r="T889" s="84" t="str">
        <f>IF(ISERROR(FIND('112'!$M$9,G889,1)),"",IF((AND(FIND('112'!$M$9,G889,1)&gt;=1,B889='112'!$K$9,OR($N889='112'!$I$6,$O889='112'!$I$6))),"x",""))</f>
        <v/>
      </c>
      <c r="U889" s="84" t="str">
        <f>IF(ISERROR(FIND('112'!$M$9,G889,1)),"",IF((AND(LEFT(G889,2)=LEFT('112'!$M$9,2),B889&lt;'112'!$K$9,$N889='112'!$I$6)),"x",""))</f>
        <v/>
      </c>
      <c r="V889" s="84" t="str">
        <f>IF(ISERROR(FIND('112'!$M$9,G889,1)),"",IF((AND(RIGHT(G889,2)=RIGHT('112'!$M$9,2),B889&lt;'112'!$K$9,$O889='112'!$I$6)),"x",""))</f>
        <v>x</v>
      </c>
      <c r="W889" s="84" t="str">
        <f>IF(AND('341-CT'!$H$9=H889,OR(LEFT(N889,3)=$W$7,LEFT(O889,3)=$W$7)),"x","")</f>
        <v/>
      </c>
      <c r="X889" s="84" t="str">
        <f>IF(OR(TH!N889=TH!$X$7,O889=TH!$X$7),"x","")</f>
        <v/>
      </c>
      <c r="Y889" s="84" t="str">
        <f>IF(AND(OR(N889="131",O889="131"),H889='131-CT'!$H$9),"x","")</f>
        <v/>
      </c>
      <c r="Z889" s="84"/>
      <c r="AA889" s="84" t="str">
        <f>IF(AND(MONTH(E889)='IN-NX'!$J$5,'IN-NX'!$D$7=D889),"x","")</f>
        <v/>
      </c>
      <c r="AB889" s="84" t="str">
        <f>IF(AND(OR(LEFT(TH!N889,2)="15",LEFT(TH!O889,2)="15"),LEFT(TH!O889,3)&lt;&gt;"111",'152-CT'!$J$8=TH!F889),"x","")</f>
        <v/>
      </c>
      <c r="AC889" s="84" t="str">
        <f>IF(AND(OR(LEFT(TH!N889,2)="15",LEFT(TH!O889,2)="15"),TK!$E$7=TH!F889),"x","")</f>
        <v/>
      </c>
      <c r="AD889" s="84" t="str">
        <f>IF(AND(N889="1521",MONTH(C889)='BK-NL'!$M$11),"x","")</f>
        <v/>
      </c>
    </row>
    <row r="890" spans="1:31" ht="15.75" hidden="1" customHeight="1">
      <c r="A890" s="336" t="str">
        <f>IF(B890&lt;&gt;"",IF(AND(B890='IN-TC'!$S$4,OR(TH!N890="1111",TH!O890="1111")),TH!D890,""),"")</f>
        <v/>
      </c>
      <c r="B890" s="63">
        <f t="shared" si="165"/>
        <v>2</v>
      </c>
      <c r="C890" s="64">
        <v>42403</v>
      </c>
      <c r="D890" s="64" t="s">
        <v>705</v>
      </c>
      <c r="E890" s="64">
        <v>42403</v>
      </c>
      <c r="F890" s="514" t="s">
        <v>1100</v>
      </c>
      <c r="G890" s="67" t="s">
        <v>919</v>
      </c>
      <c r="H890" s="73" t="s">
        <v>624</v>
      </c>
      <c r="I890" s="439"/>
      <c r="J890" s="439"/>
      <c r="K890" s="430"/>
      <c r="L890" s="439"/>
      <c r="M890" s="65">
        <v>60000000</v>
      </c>
      <c r="N890" s="66" t="s">
        <v>8</v>
      </c>
      <c r="O890" s="66" t="s">
        <v>26</v>
      </c>
      <c r="P890" s="84" t="str">
        <f>IF(AND('331-CT'!$E$7=TH!H890,OR(N890="331",O890="331")),"x","")</f>
        <v/>
      </c>
      <c r="Q890" s="84" t="str">
        <f>IF(AND(B890='111'!$L$11,OR($N890=$Q$7,$O890=$Q$7)),"x","")</f>
        <v/>
      </c>
      <c r="R890" s="84" t="str">
        <f>IF(AND($N890=$Q$7,$B890&lt;'111'!$L$11),"x","")</f>
        <v/>
      </c>
      <c r="S890" s="84" t="str">
        <f>IF(AND($O890=$Q$7,$B890&lt;'111'!$L$11),"x","")</f>
        <v/>
      </c>
      <c r="T890" s="84" t="str">
        <f>IF(ISERROR(FIND('112'!$M$9,G890,1)),"",IF((AND(FIND('112'!$M$9,G890,1)&gt;=1,B890='112'!$K$9,OR($N890='112'!$I$6,$O890='112'!$I$6))),"x",""))</f>
        <v/>
      </c>
      <c r="U890" s="84" t="str">
        <f>IF(ISERROR(FIND('112'!$M$9,G890,1)),"",IF((AND(LEFT(G890,2)=LEFT('112'!$M$9,2),B890&lt;'112'!$K$9,$N890='112'!$I$6)),"x",""))</f>
        <v/>
      </c>
      <c r="V890" s="84" t="str">
        <f>IF(ISERROR(FIND('112'!$M$9,G890,1)),"",IF((AND(RIGHT(G890,2)=RIGHT('112'!$M$9,2),B890&lt;'112'!$K$9,$O890='112'!$I$6)),"x",""))</f>
        <v>x</v>
      </c>
      <c r="W890" s="84" t="str">
        <f>IF(AND('341-CT'!$H$9=H890,OR(LEFT(N890,3)=$W$7,LEFT(O890,3)=$W$7)),"x","")</f>
        <v/>
      </c>
      <c r="X890" s="84" t="str">
        <f>IF(OR(TH!N890=TH!$X$7,O890=TH!$X$7),"x","")</f>
        <v/>
      </c>
      <c r="Y890" s="84" t="str">
        <f>IF(AND(OR(N890="131",O890="131"),H890='131-CT'!$H$9),"x","")</f>
        <v/>
      </c>
      <c r="Z890" s="84"/>
      <c r="AA890" s="84" t="str">
        <f>IF(AND(MONTH(E890)='IN-NX'!$J$5,'IN-NX'!$D$7=D890),"x","")</f>
        <v/>
      </c>
      <c r="AB890" s="84" t="str">
        <f>IF(AND(OR(LEFT(TH!N890,2)="15",LEFT(TH!O890,2)="15"),LEFT(TH!O890,3)&lt;&gt;"111",'152-CT'!$J$8=TH!F890),"x","")</f>
        <v/>
      </c>
      <c r="AC890" s="84" t="str">
        <f>IF(AND(OR(LEFT(TH!N890,2)="15",LEFT(TH!O890,2)="15"),TK!$E$7=TH!F890),"x","")</f>
        <v/>
      </c>
      <c r="AD890" s="84" t="str">
        <f>IF(AND(N890="1521",MONTH(C890)='BK-NL'!$M$11),"x","")</f>
        <v/>
      </c>
      <c r="AE890" s="1146" t="str">
        <f>IF(H890&lt;&gt;VLOOKUP(H890,DSKH,1,0),"","x")</f>
        <v>x</v>
      </c>
    </row>
    <row r="891" spans="1:31" ht="15.75" hidden="1" customHeight="1">
      <c r="A891" s="336" t="str">
        <f>IF(B891&lt;&gt;"",IF(AND(B891='IN-TC'!$S$4,OR(TH!N891="1111",TH!O891="1111")),TH!D891,""),"")</f>
        <v/>
      </c>
      <c r="B891" s="63">
        <f t="shared" si="165"/>
        <v>2</v>
      </c>
      <c r="C891" s="64">
        <v>42403</v>
      </c>
      <c r="D891" s="64" t="s">
        <v>705</v>
      </c>
      <c r="E891" s="64">
        <v>42403</v>
      </c>
      <c r="F891" s="514" t="s">
        <v>743</v>
      </c>
      <c r="G891" s="67" t="s">
        <v>919</v>
      </c>
      <c r="H891" s="73"/>
      <c r="I891" s="439"/>
      <c r="J891" s="439"/>
      <c r="K891" s="430"/>
      <c r="L891" s="439"/>
      <c r="M891" s="65">
        <v>30000</v>
      </c>
      <c r="N891" s="66" t="s">
        <v>101</v>
      </c>
      <c r="O891" s="66" t="s">
        <v>26</v>
      </c>
      <c r="P891" s="84" t="str">
        <f>IF(AND('331-CT'!$E$7=TH!H891,OR(N891="331",O891="331")),"x","")</f>
        <v/>
      </c>
      <c r="Q891" s="84" t="str">
        <f>IF(AND(B891='111'!$L$11,OR($N891=$Q$7,$O891=$Q$7)),"x","")</f>
        <v/>
      </c>
      <c r="R891" s="84" t="str">
        <f>IF(AND($N891=$Q$7,$B891&lt;'111'!$L$11),"x","")</f>
        <v/>
      </c>
      <c r="S891" s="84" t="str">
        <f>IF(AND($O891=$Q$7,$B891&lt;'111'!$L$11),"x","")</f>
        <v/>
      </c>
      <c r="T891" s="84" t="str">
        <f>IF(ISERROR(FIND('112'!$M$9,G891,1)),"",IF((AND(FIND('112'!$M$9,G891,1)&gt;=1,B891='112'!$K$9,OR($N891='112'!$I$6,$O891='112'!$I$6))),"x",""))</f>
        <v/>
      </c>
      <c r="U891" s="84" t="str">
        <f>IF(ISERROR(FIND('112'!$M$9,G891,1)),"",IF((AND(LEFT(G891,2)=LEFT('112'!$M$9,2),B891&lt;'112'!$K$9,$N891='112'!$I$6)),"x",""))</f>
        <v/>
      </c>
      <c r="V891" s="84" t="str">
        <f>IF(ISERROR(FIND('112'!$M$9,G891,1)),"",IF((AND(RIGHT(G891,2)=RIGHT('112'!$M$9,2),B891&lt;'112'!$K$9,$O891='112'!$I$6)),"x",""))</f>
        <v>x</v>
      </c>
      <c r="W891" s="84" t="str">
        <f>IF(AND('341-CT'!$H$9=H891,OR(LEFT(N891,3)=$W$7,LEFT(O891,3)=$W$7)),"x","")</f>
        <v/>
      </c>
      <c r="X891" s="84" t="str">
        <f>IF(OR(TH!N891=TH!$X$7,O891=TH!$X$7),"x","")</f>
        <v/>
      </c>
      <c r="Y891" s="84" t="str">
        <f>IF(AND(OR(N891="131",O891="131"),H891='131-CT'!$H$9),"x","")</f>
        <v/>
      </c>
      <c r="Z891" s="84"/>
      <c r="AA891" s="84" t="str">
        <f>IF(AND(MONTH(E891)='IN-NX'!$J$5,'IN-NX'!$D$7=D891),"x","")</f>
        <v/>
      </c>
      <c r="AB891" s="84" t="str">
        <f>IF(AND(OR(LEFT(TH!N891,2)="15",LEFT(TH!O891,2)="15"),LEFT(TH!O891,3)&lt;&gt;"111",'152-CT'!$J$8=TH!F891),"x","")</f>
        <v/>
      </c>
      <c r="AC891" s="84" t="str">
        <f>IF(AND(OR(LEFT(TH!N891,2)="15",LEFT(TH!O891,2)="15"),TK!$E$7=TH!F891),"x","")</f>
        <v/>
      </c>
      <c r="AD891" s="84" t="str">
        <f>IF(AND(N891="1521",MONTH(C891)='BK-NL'!$M$11),"x","")</f>
        <v/>
      </c>
    </row>
    <row r="892" spans="1:31" ht="15.75" hidden="1" customHeight="1">
      <c r="A892" s="336" t="str">
        <f>IF(B892&lt;&gt;"",IF(AND(B892='IN-TC'!$S$4,OR(TH!N892="1111",TH!O892="1111")),TH!D892,""),"")</f>
        <v/>
      </c>
      <c r="B892" s="63">
        <f t="shared" si="165"/>
        <v>2</v>
      </c>
      <c r="C892" s="64">
        <v>42403</v>
      </c>
      <c r="D892" s="64" t="s">
        <v>705</v>
      </c>
      <c r="E892" s="64">
        <v>42403</v>
      </c>
      <c r="F892" s="514" t="s">
        <v>745</v>
      </c>
      <c r="G892" s="67" t="s">
        <v>919</v>
      </c>
      <c r="H892" s="73"/>
      <c r="I892" s="439"/>
      <c r="J892" s="439"/>
      <c r="K892" s="430"/>
      <c r="L892" s="439"/>
      <c r="M892" s="65">
        <v>3000</v>
      </c>
      <c r="N892" s="66" t="s">
        <v>9</v>
      </c>
      <c r="O892" s="66" t="s">
        <v>26</v>
      </c>
      <c r="P892" s="84" t="str">
        <f>IF(AND('331-CT'!$E$7=TH!H892,OR(N892="331",O892="331")),"x","")</f>
        <v/>
      </c>
      <c r="Q892" s="84" t="str">
        <f>IF(AND(B892='111'!$L$11,OR($N892=$Q$7,$O892=$Q$7)),"x","")</f>
        <v/>
      </c>
      <c r="R892" s="84" t="str">
        <f>IF(AND($N892=$Q$7,$B892&lt;'111'!$L$11),"x","")</f>
        <v/>
      </c>
      <c r="S892" s="84" t="str">
        <f>IF(AND($O892=$Q$7,$B892&lt;'111'!$L$11),"x","")</f>
        <v/>
      </c>
      <c r="T892" s="84" t="str">
        <f>IF(ISERROR(FIND('112'!$M$9,G892,1)),"",IF((AND(FIND('112'!$M$9,G892,1)&gt;=1,B892='112'!$K$9,OR($N892='112'!$I$6,$O892='112'!$I$6))),"x",""))</f>
        <v/>
      </c>
      <c r="U892" s="84" t="str">
        <f>IF(ISERROR(FIND('112'!$M$9,G892,1)),"",IF((AND(LEFT(G892,2)=LEFT('112'!$M$9,2),B892&lt;'112'!$K$9,$N892='112'!$I$6)),"x",""))</f>
        <v/>
      </c>
      <c r="V892" s="84" t="str">
        <f>IF(ISERROR(FIND('112'!$M$9,G892,1)),"",IF((AND(RIGHT(G892,2)=RIGHT('112'!$M$9,2),B892&lt;'112'!$K$9,$O892='112'!$I$6)),"x",""))</f>
        <v>x</v>
      </c>
      <c r="W892" s="84" t="str">
        <f>IF(AND('341-CT'!$H$9=H892,OR(LEFT(N892,3)=$W$7,LEFT(O892,3)=$W$7)),"x","")</f>
        <v/>
      </c>
      <c r="X892" s="84" t="str">
        <f>IF(OR(TH!N892=TH!$X$7,O892=TH!$X$7),"x","")</f>
        <v/>
      </c>
      <c r="Y892" s="84" t="str">
        <f>IF(AND(OR(N892="131",O892="131"),H892='131-CT'!$H$9),"x","")</f>
        <v/>
      </c>
      <c r="Z892" s="84"/>
      <c r="AA892" s="84" t="str">
        <f>IF(AND(MONTH(E892)='IN-NX'!$J$5,'IN-NX'!$D$7=D892),"x","")</f>
        <v/>
      </c>
      <c r="AB892" s="84" t="str">
        <f>IF(AND(OR(LEFT(TH!N892,2)="15",LEFT(TH!O892,2)="15"),LEFT(TH!O892,3)&lt;&gt;"111",'152-CT'!$J$8=TH!F892),"x","")</f>
        <v/>
      </c>
      <c r="AC892" s="84" t="str">
        <f>IF(AND(OR(LEFT(TH!N892,2)="15",LEFT(TH!O892,2)="15"),TK!$E$7=TH!F892),"x","")</f>
        <v/>
      </c>
      <c r="AD892" s="84" t="str">
        <f>IF(AND(N892="1521",MONTH(C892)='BK-NL'!$M$11),"x","")</f>
        <v/>
      </c>
    </row>
    <row r="893" spans="1:31" ht="15.75" hidden="1" customHeight="1">
      <c r="A893" s="336" t="str">
        <f>IF(B893&lt;&gt;"",IF(AND(B893='IN-TC'!$S$4,OR(TH!N893="1111",TH!O893="1111")),TH!D893,""),"")</f>
        <v/>
      </c>
      <c r="B893" s="63">
        <f t="shared" si="165"/>
        <v>2</v>
      </c>
      <c r="C893" s="64">
        <v>42403</v>
      </c>
      <c r="D893" s="64" t="s">
        <v>705</v>
      </c>
      <c r="E893" s="64">
        <v>42403</v>
      </c>
      <c r="F893" s="514" t="s">
        <v>1101</v>
      </c>
      <c r="G893" s="67" t="s">
        <v>919</v>
      </c>
      <c r="H893" s="73"/>
      <c r="I893" s="439"/>
      <c r="J893" s="439"/>
      <c r="K893" s="430"/>
      <c r="L893" s="439"/>
      <c r="M893" s="65">
        <v>32260140</v>
      </c>
      <c r="N893" s="66" t="s">
        <v>19</v>
      </c>
      <c r="O893" s="66" t="s">
        <v>26</v>
      </c>
      <c r="P893" s="84" t="str">
        <f>IF(AND('331-CT'!$E$7=TH!H893,OR(N893="331",O893="331")),"x","")</f>
        <v/>
      </c>
      <c r="Q893" s="84" t="str">
        <f>IF(AND(B893='111'!$L$11,OR($N893=$Q$7,$O893=$Q$7)),"x","")</f>
        <v/>
      </c>
      <c r="R893" s="84" t="str">
        <f>IF(AND($N893=$Q$7,$B893&lt;'111'!$L$11),"x","")</f>
        <v/>
      </c>
      <c r="S893" s="84" t="str">
        <f>IF(AND($O893=$Q$7,$B893&lt;'111'!$L$11),"x","")</f>
        <v/>
      </c>
      <c r="T893" s="84" t="str">
        <f>IF(ISERROR(FIND('112'!$M$9,G893,1)),"",IF((AND(FIND('112'!$M$9,G893,1)&gt;=1,B893='112'!$K$9,OR($N893='112'!$I$6,$O893='112'!$I$6))),"x",""))</f>
        <v/>
      </c>
      <c r="U893" s="84" t="str">
        <f>IF(ISERROR(FIND('112'!$M$9,G893,1)),"",IF((AND(LEFT(G893,2)=LEFT('112'!$M$9,2),B893&lt;'112'!$K$9,$N893='112'!$I$6)),"x",""))</f>
        <v/>
      </c>
      <c r="V893" s="84" t="str">
        <f>IF(ISERROR(FIND('112'!$M$9,G893,1)),"",IF((AND(RIGHT(G893,2)=RIGHT('112'!$M$9,2),B893&lt;'112'!$K$9,$O893='112'!$I$6)),"x",""))</f>
        <v>x</v>
      </c>
      <c r="W893" s="84" t="str">
        <f>IF(AND('341-CT'!$H$9=H893,OR(LEFT(N893,3)=$W$7,LEFT(O893,3)=$W$7)),"x","")</f>
        <v/>
      </c>
      <c r="X893" s="84" t="str">
        <f>IF(OR(TH!N893=TH!$X$7,O893=TH!$X$7),"x","")</f>
        <v/>
      </c>
      <c r="Y893" s="84" t="str">
        <f>IF(AND(OR(N893="131",O893="131"),H893='131-CT'!$H$9),"x","")</f>
        <v/>
      </c>
      <c r="Z893" s="84"/>
      <c r="AA893" s="84" t="str">
        <f>IF(AND(MONTH(E893)='IN-NX'!$J$5,'IN-NX'!$D$7=D893),"x","")</f>
        <v/>
      </c>
      <c r="AB893" s="84" t="str">
        <f>IF(AND(OR(LEFT(TH!N893,2)="15",LEFT(TH!O893,2)="15"),LEFT(TH!O893,3)&lt;&gt;"111",'152-CT'!$J$8=TH!F893),"x","")</f>
        <v/>
      </c>
      <c r="AC893" s="84" t="str">
        <f>IF(AND(OR(LEFT(TH!N893,2)="15",LEFT(TH!O893,2)="15"),TK!$E$7=TH!F893),"x","")</f>
        <v/>
      </c>
      <c r="AD893" s="84" t="str">
        <f>IF(AND(N893="1521",MONTH(C893)='BK-NL'!$M$11),"x","")</f>
        <v/>
      </c>
    </row>
    <row r="894" spans="1:31" ht="15.75" hidden="1" customHeight="1">
      <c r="A894" s="336" t="str">
        <f>IF(B894&lt;&gt;"",IF(AND(B894='IN-TC'!$S$4,OR(TH!N894="1111",TH!O894="1111")),TH!D894,""),"")</f>
        <v/>
      </c>
      <c r="B894" s="63">
        <f t="shared" ref="B894:B957" si="166">IF(C894&lt;&gt;"",MONTH(C894),"")</f>
        <v>2</v>
      </c>
      <c r="C894" s="64">
        <v>42403</v>
      </c>
      <c r="D894" s="64" t="s">
        <v>705</v>
      </c>
      <c r="E894" s="64">
        <v>42403</v>
      </c>
      <c r="F894" s="514" t="s">
        <v>743</v>
      </c>
      <c r="G894" s="67" t="s">
        <v>919</v>
      </c>
      <c r="H894" s="73"/>
      <c r="I894" s="439"/>
      <c r="J894" s="439"/>
      <c r="K894" s="430"/>
      <c r="L894" s="439"/>
      <c r="M894" s="65">
        <v>25000</v>
      </c>
      <c r="N894" s="66" t="s">
        <v>101</v>
      </c>
      <c r="O894" s="66" t="s">
        <v>26</v>
      </c>
      <c r="P894" s="84" t="str">
        <f>IF(AND('331-CT'!$E$7=TH!H894,OR(N894="331",O894="331")),"x","")</f>
        <v/>
      </c>
      <c r="Q894" s="84" t="str">
        <f>IF(AND(B894='111'!$L$11,OR($N894=$Q$7,$O894=$Q$7)),"x","")</f>
        <v/>
      </c>
      <c r="R894" s="84" t="str">
        <f>IF(AND($N894=$Q$7,$B894&lt;'111'!$L$11),"x","")</f>
        <v/>
      </c>
      <c r="S894" s="84" t="str">
        <f>IF(AND($O894=$Q$7,$B894&lt;'111'!$L$11),"x","")</f>
        <v/>
      </c>
      <c r="T894" s="84" t="str">
        <f>IF(ISERROR(FIND('112'!$M$9,G894,1)),"",IF((AND(FIND('112'!$M$9,G894,1)&gt;=1,B894='112'!$K$9,OR($N894='112'!$I$6,$O894='112'!$I$6))),"x",""))</f>
        <v/>
      </c>
      <c r="U894" s="84" t="str">
        <f>IF(ISERROR(FIND('112'!$M$9,G894,1)),"",IF((AND(LEFT(G894,2)=LEFT('112'!$M$9,2),B894&lt;'112'!$K$9,$N894='112'!$I$6)),"x",""))</f>
        <v/>
      </c>
      <c r="V894" s="84" t="str">
        <f>IF(ISERROR(FIND('112'!$M$9,G894,1)),"",IF((AND(RIGHT(G894,2)=RIGHT('112'!$M$9,2),B894&lt;'112'!$K$9,$O894='112'!$I$6)),"x",""))</f>
        <v>x</v>
      </c>
      <c r="W894" s="84" t="str">
        <f>IF(AND('341-CT'!$H$9=H894,OR(LEFT(N894,3)=$W$7,LEFT(O894,3)=$W$7)),"x","")</f>
        <v/>
      </c>
      <c r="X894" s="84" t="str">
        <f>IF(OR(TH!N894=TH!$X$7,O894=TH!$X$7),"x","")</f>
        <v/>
      </c>
      <c r="Y894" s="84" t="str">
        <f>IF(AND(OR(N894="131",O894="131"),H894='131-CT'!$H$9),"x","")</f>
        <v/>
      </c>
      <c r="Z894" s="84"/>
      <c r="AA894" s="84" t="str">
        <f>IF(AND(MONTH(E894)='IN-NX'!$J$5,'IN-NX'!$D$7=D894),"x","")</f>
        <v/>
      </c>
      <c r="AB894" s="84" t="str">
        <f>IF(AND(OR(LEFT(TH!N894,2)="15",LEFT(TH!O894,2)="15"),LEFT(TH!O894,3)&lt;&gt;"111",'152-CT'!$J$8=TH!F894),"x","")</f>
        <v/>
      </c>
      <c r="AC894" s="84" t="str">
        <f>IF(AND(OR(LEFT(TH!N894,2)="15",LEFT(TH!O894,2)="15"),TK!$E$7=TH!F894),"x","")</f>
        <v/>
      </c>
      <c r="AD894" s="84" t="str">
        <f>IF(AND(N894="1521",MONTH(C894)='BK-NL'!$M$11),"x","")</f>
        <v/>
      </c>
    </row>
    <row r="895" spans="1:31" ht="15.75" hidden="1" customHeight="1">
      <c r="A895" s="336" t="str">
        <f>IF(B895&lt;&gt;"",IF(AND(B895='IN-TC'!$S$4,OR(TH!N895="1111",TH!O895="1111")),TH!D895,""),"")</f>
        <v/>
      </c>
      <c r="B895" s="63">
        <f t="shared" si="166"/>
        <v>2</v>
      </c>
      <c r="C895" s="149">
        <v>42403</v>
      </c>
      <c r="D895" s="64" t="s">
        <v>705</v>
      </c>
      <c r="E895" s="149">
        <v>42403</v>
      </c>
      <c r="F895" s="514" t="s">
        <v>745</v>
      </c>
      <c r="G895" s="67" t="s">
        <v>919</v>
      </c>
      <c r="H895" s="73"/>
      <c r="I895" s="444"/>
      <c r="J895" s="444"/>
      <c r="K895" s="435"/>
      <c r="L895" s="444"/>
      <c r="M895" s="150">
        <v>2500</v>
      </c>
      <c r="N895" s="151" t="s">
        <v>9</v>
      </c>
      <c r="O895" s="66" t="s">
        <v>26</v>
      </c>
      <c r="P895" s="84" t="str">
        <f>IF(AND('331-CT'!$E$7=TH!H895,OR(N895="331",O895="331")),"x","")</f>
        <v/>
      </c>
      <c r="Q895" s="84" t="str">
        <f>IF(AND(B895='111'!$L$11,OR($N895=$Q$7,$O895=$Q$7)),"x","")</f>
        <v/>
      </c>
      <c r="R895" s="84" t="str">
        <f>IF(AND($N895=$Q$7,$B895&lt;'111'!$L$11),"x","")</f>
        <v/>
      </c>
      <c r="S895" s="84" t="str">
        <f>IF(AND($O895=$Q$7,$B895&lt;'111'!$L$11),"x","")</f>
        <v/>
      </c>
      <c r="T895" s="84" t="str">
        <f>IF(ISERROR(FIND('112'!$M$9,G895,1)),"",IF((AND(FIND('112'!$M$9,G895,1)&gt;=1,B895='112'!$K$9,OR($N895='112'!$I$6,$O895='112'!$I$6))),"x",""))</f>
        <v/>
      </c>
      <c r="U895" s="84" t="str">
        <f>IF(ISERROR(FIND('112'!$M$9,G895,1)),"",IF((AND(LEFT(G895,2)=LEFT('112'!$M$9,2),B895&lt;'112'!$K$9,$N895='112'!$I$6)),"x",""))</f>
        <v/>
      </c>
      <c r="V895" s="84" t="str">
        <f>IF(ISERROR(FIND('112'!$M$9,G895,1)),"",IF((AND(RIGHT(G895,2)=RIGHT('112'!$M$9,2),B895&lt;'112'!$K$9,$O895='112'!$I$6)),"x",""))</f>
        <v>x</v>
      </c>
      <c r="W895" s="84" t="str">
        <f>IF(AND('341-CT'!$H$9=H895,OR(LEFT(N895,3)=$W$7,LEFT(O895,3)=$W$7)),"x","")</f>
        <v/>
      </c>
      <c r="X895" s="84" t="str">
        <f>IF(OR(TH!N895=TH!$X$7,O895=TH!$X$7),"x","")</f>
        <v/>
      </c>
      <c r="Y895" s="84" t="str">
        <f>IF(AND(OR(N895="131",O895="131"),H895='131-CT'!$H$9),"x","")</f>
        <v/>
      </c>
      <c r="Z895" s="84"/>
      <c r="AA895" s="84" t="str">
        <f>IF(AND(MONTH(E895)='IN-NX'!$J$5,'IN-NX'!$D$7=D895),"x","")</f>
        <v/>
      </c>
      <c r="AB895" s="84" t="str">
        <f>IF(AND(OR(LEFT(TH!N895,2)="15",LEFT(TH!O895,2)="15"),LEFT(TH!O895,3)&lt;&gt;"111",'152-CT'!$J$8=TH!F895),"x","")</f>
        <v/>
      </c>
      <c r="AC895" s="84" t="str">
        <f>IF(AND(OR(LEFT(TH!N895,2)="15",LEFT(TH!O895,2)="15"),TK!$E$7=TH!F895),"x","")</f>
        <v/>
      </c>
      <c r="AD895" s="84" t="str">
        <f>IF(AND(N895="1521",MONTH(C895)='BK-NL'!$M$11),"x","")</f>
        <v/>
      </c>
    </row>
    <row r="896" spans="1:31" ht="15.75" hidden="1" customHeight="1">
      <c r="A896" s="336" t="str">
        <f>IF(B896&lt;&gt;"",IF(AND(B896='IN-TC'!$S$4,OR(TH!N896="1111",TH!O896="1111")),TH!D896,""),"")</f>
        <v>T01</v>
      </c>
      <c r="B896" s="63">
        <f t="shared" si="166"/>
        <v>2</v>
      </c>
      <c r="C896" s="64">
        <v>42403</v>
      </c>
      <c r="D896" s="64" t="s">
        <v>874</v>
      </c>
      <c r="E896" s="64">
        <v>42403</v>
      </c>
      <c r="F896" s="514" t="s">
        <v>755</v>
      </c>
      <c r="G896" s="67" t="s">
        <v>918</v>
      </c>
      <c r="H896" s="74" t="s">
        <v>763</v>
      </c>
      <c r="I896" s="439"/>
      <c r="J896" s="439"/>
      <c r="K896" s="430"/>
      <c r="L896" s="439"/>
      <c r="M896" s="65">
        <v>1670000000</v>
      </c>
      <c r="N896" s="66" t="s">
        <v>63</v>
      </c>
      <c r="O896" s="66" t="s">
        <v>26</v>
      </c>
      <c r="P896" s="84" t="str">
        <f>IF(AND('331-CT'!$E$7=TH!H896,OR(N896="331",O896="331")),"x","")</f>
        <v/>
      </c>
      <c r="Q896" s="84" t="str">
        <f>IF(AND(B896='111'!$L$11,OR($N896=$Q$7,$O896=$Q$7)),"x","")</f>
        <v/>
      </c>
      <c r="R896" s="84" t="str">
        <f>IF(AND($N896=$Q$7,$B896&lt;'111'!$L$11),"x","")</f>
        <v/>
      </c>
      <c r="S896" s="84" t="str">
        <f>IF(AND($O896=$Q$7,$B896&lt;'111'!$L$11),"x","")</f>
        <v/>
      </c>
      <c r="T896" s="84" t="str">
        <f>IF(ISERROR(FIND('112'!$M$9,G896,1)),"",IF((AND(FIND('112'!$M$9,G896,1)&gt;=1,B896='112'!$K$9,OR($N896='112'!$I$6,$O896='112'!$I$6))),"x",""))</f>
        <v/>
      </c>
      <c r="U896" s="84" t="str">
        <f>IF(ISERROR(FIND('112'!$M$9,G896,1)),"",IF((AND(LEFT(G896,2)=LEFT('112'!$M$9,2),B896&lt;'112'!$K$9,$N896='112'!$I$6)),"x",""))</f>
        <v/>
      </c>
      <c r="V896" s="84" t="str">
        <f>IF(ISERROR(FIND('112'!$M$9,G896,1)),"",IF((AND(RIGHT(G896,2)=RIGHT('112'!$M$9,2),B896&lt;'112'!$K$9,$O896='112'!$I$6)),"x",""))</f>
        <v/>
      </c>
      <c r="W896" s="84" t="str">
        <f>IF(AND('341-CT'!$H$9=H896,OR(LEFT(N896,3)=$W$7,LEFT(O896,3)=$W$7)),"x","")</f>
        <v/>
      </c>
      <c r="X896" s="84" t="str">
        <f>IF(OR(TH!N896=TH!$X$7,O896=TH!$X$7),"x","")</f>
        <v/>
      </c>
      <c r="Y896" s="84" t="str">
        <f>IF(AND(OR(N896="131",O896="131"),H896='131-CT'!$H$9),"x","")</f>
        <v/>
      </c>
      <c r="Z896" s="84"/>
      <c r="AA896" s="84" t="str">
        <f>IF(AND(MONTH(E896)='IN-NX'!$J$5,'IN-NX'!$D$7=D896),"x","")</f>
        <v/>
      </c>
      <c r="AB896" s="84" t="str">
        <f>IF(AND(OR(LEFT(TH!N896,2)="15",LEFT(TH!O896,2)="15"),LEFT(TH!O896,3)&lt;&gt;"111",'152-CT'!$J$8=TH!F896),"x","")</f>
        <v/>
      </c>
      <c r="AC896" s="84" t="str">
        <f>IF(AND(OR(LEFT(TH!N896,2)="15",LEFT(TH!O896,2)="15"),TK!$E$7=TH!F896),"x","")</f>
        <v/>
      </c>
      <c r="AD896" s="84" t="str">
        <f>IF(AND(N896="1521",MONTH(C896)='BK-NL'!$M$11),"x","")</f>
        <v/>
      </c>
    </row>
    <row r="897" spans="1:30" ht="15.75" hidden="1" customHeight="1">
      <c r="A897" s="336" t="str">
        <f>IF(B897&lt;&gt;"",IF(AND(B897='IN-TC'!$S$4,OR(TH!N897="1111",TH!O897="1111")),TH!D897,""),"")</f>
        <v>C05</v>
      </c>
      <c r="B897" s="63">
        <f t="shared" si="166"/>
        <v>2</v>
      </c>
      <c r="C897" s="64">
        <v>42404</v>
      </c>
      <c r="D897" s="64" t="s">
        <v>872</v>
      </c>
      <c r="E897" s="64">
        <v>42404</v>
      </c>
      <c r="F897" s="514" t="s">
        <v>771</v>
      </c>
      <c r="G897" s="67" t="s">
        <v>1024</v>
      </c>
      <c r="H897" s="346" t="s">
        <v>808</v>
      </c>
      <c r="I897" s="443"/>
      <c r="J897" s="443"/>
      <c r="K897" s="434"/>
      <c r="L897" s="443"/>
      <c r="M897" s="65">
        <v>452873</v>
      </c>
      <c r="N897" s="66" t="s">
        <v>101</v>
      </c>
      <c r="O897" s="66" t="s">
        <v>63</v>
      </c>
      <c r="P897" s="84" t="str">
        <f>IF(AND('331-CT'!$E$7=TH!H897,OR(N897="331",O897="331")),"x","")</f>
        <v/>
      </c>
      <c r="Q897" s="84" t="str">
        <f>IF(AND(B897='111'!$L$11,OR($N897=$Q$7,$O897=$Q$7)),"x","")</f>
        <v/>
      </c>
      <c r="R897" s="84" t="str">
        <f>IF(AND($N897=$Q$7,$B897&lt;'111'!$L$11),"x","")</f>
        <v/>
      </c>
      <c r="S897" s="84" t="str">
        <f>IF(AND($O897=$Q$7,$B897&lt;'111'!$L$11),"x","")</f>
        <v/>
      </c>
      <c r="T897" s="84" t="str">
        <f>IF(ISERROR(FIND('112'!$M$9,G897,1)),"",IF((AND(FIND('112'!$M$9,G897,1)&gt;=1,B897='112'!$K$9,OR($N897='112'!$I$6,$O897='112'!$I$6))),"x",""))</f>
        <v/>
      </c>
      <c r="U897" s="84" t="str">
        <f>IF(ISERROR(FIND('112'!$M$9,G897,1)),"",IF((AND(LEFT(G897,2)=LEFT('112'!$M$9,2),B897&lt;'112'!$K$9,$N897='112'!$I$6)),"x",""))</f>
        <v/>
      </c>
      <c r="V897" s="84" t="str">
        <f>IF(ISERROR(FIND('112'!$M$9,G897,1)),"",IF((AND(RIGHT(G897,2)=RIGHT('112'!$M$9,2),B897&lt;'112'!$K$9,$O897='112'!$I$6)),"x",""))</f>
        <v/>
      </c>
      <c r="W897" s="84" t="str">
        <f>IF(AND('341-CT'!$H$9=H897,OR(LEFT(N897,3)=$W$7,LEFT(O897,3)=$W$7)),"x","")</f>
        <v/>
      </c>
      <c r="X897" s="84" t="str">
        <f>IF(OR(TH!N897=TH!$X$7,O897=TH!$X$7),"x","")</f>
        <v/>
      </c>
      <c r="Y897" s="84" t="str">
        <f>IF(AND(OR(N897="131",O897="131"),H897='131-CT'!$H$9),"x","")</f>
        <v/>
      </c>
      <c r="Z897" s="84"/>
      <c r="AA897" s="84" t="str">
        <f>IF(AND(MONTH(E897)='IN-NX'!$J$5,'IN-NX'!$D$7=D897),"x","")</f>
        <v/>
      </c>
      <c r="AB897" s="84" t="str">
        <f>IF(AND(OR(LEFT(TH!N897,2)="15",LEFT(TH!O897,2)="15"),LEFT(TH!O897,3)&lt;&gt;"111",'152-CT'!$J$8=TH!F897),"x","")</f>
        <v/>
      </c>
      <c r="AC897" s="84" t="str">
        <f>IF(AND(OR(LEFT(TH!N897,2)="15",LEFT(TH!O897,2)="15"),TK!$E$7=TH!F897),"x","")</f>
        <v/>
      </c>
      <c r="AD897" s="84" t="str">
        <f>IF(AND(N897="1521",MONTH(C897)='BK-NL'!$M$11),"x","")</f>
        <v/>
      </c>
    </row>
    <row r="898" spans="1:30" ht="15.75" hidden="1" customHeight="1">
      <c r="A898" s="336" t="str">
        <f>IF(B898&lt;&gt;"",IF(AND(B898='IN-TC'!$S$4,OR(TH!N898="1111",TH!O898="1111")),TH!D898,""),"")</f>
        <v>C05</v>
      </c>
      <c r="B898" s="63">
        <f t="shared" si="166"/>
        <v>2</v>
      </c>
      <c r="C898" s="64">
        <v>42404</v>
      </c>
      <c r="D898" s="64" t="s">
        <v>872</v>
      </c>
      <c r="E898" s="64">
        <v>42404</v>
      </c>
      <c r="F898" s="514" t="s">
        <v>772</v>
      </c>
      <c r="G898" s="67" t="s">
        <v>1024</v>
      </c>
      <c r="H898" s="73" t="s">
        <v>808</v>
      </c>
      <c r="I898" s="439"/>
      <c r="J898" s="439"/>
      <c r="K898" s="430"/>
      <c r="L898" s="439"/>
      <c r="M898" s="65">
        <v>45287</v>
      </c>
      <c r="N898" s="66" t="s">
        <v>9</v>
      </c>
      <c r="O898" s="66" t="s">
        <v>63</v>
      </c>
      <c r="P898" s="84" t="str">
        <f>IF(AND('331-CT'!$E$7=TH!H898,OR(N898="331",O898="331")),"x","")</f>
        <v/>
      </c>
      <c r="Q898" s="84" t="str">
        <f>IF(AND(B898='111'!$L$11,OR($N898=$Q$7,$O898=$Q$7)),"x","")</f>
        <v/>
      </c>
      <c r="R898" s="84" t="str">
        <f>IF(AND($N898=$Q$7,$B898&lt;'111'!$L$11),"x","")</f>
        <v/>
      </c>
      <c r="S898" s="84" t="str">
        <f>IF(AND($O898=$Q$7,$B898&lt;'111'!$L$11),"x","")</f>
        <v/>
      </c>
      <c r="T898" s="84" t="str">
        <f>IF(ISERROR(FIND('112'!$M$9,G898,1)),"",IF((AND(FIND('112'!$M$9,G898,1)&gt;=1,B898='112'!$K$9,OR($N898='112'!$I$6,$O898='112'!$I$6))),"x",""))</f>
        <v/>
      </c>
      <c r="U898" s="84" t="str">
        <f>IF(ISERROR(FIND('112'!$M$9,G898,1)),"",IF((AND(LEFT(G898,2)=LEFT('112'!$M$9,2),B898&lt;'112'!$K$9,$N898='112'!$I$6)),"x",""))</f>
        <v/>
      </c>
      <c r="V898" s="84" t="str">
        <f>IF(ISERROR(FIND('112'!$M$9,G898,1)),"",IF((AND(RIGHT(G898,2)=RIGHT('112'!$M$9,2),B898&lt;'112'!$K$9,$O898='112'!$I$6)),"x",""))</f>
        <v/>
      </c>
      <c r="W898" s="84" t="str">
        <f>IF(AND('341-CT'!$H$9=H898,OR(LEFT(N898,3)=$W$7,LEFT(O898,3)=$W$7)),"x","")</f>
        <v/>
      </c>
      <c r="X898" s="84" t="str">
        <f>IF(OR(TH!N898=TH!$X$7,O898=TH!$X$7),"x","")</f>
        <v/>
      </c>
      <c r="Y898" s="84" t="str">
        <f>IF(AND(OR(N898="131",O898="131"),H898='131-CT'!$H$9),"x","")</f>
        <v/>
      </c>
      <c r="Z898" s="84"/>
      <c r="AA898" s="84" t="str">
        <f>IF(AND(MONTH(E898)='IN-NX'!$J$5,'IN-NX'!$D$7=D898),"x","")</f>
        <v/>
      </c>
      <c r="AB898" s="84" t="str">
        <f>IF(AND(OR(LEFT(TH!N898,2)="15",LEFT(TH!O898,2)="15"),LEFT(TH!O898,3)&lt;&gt;"111",'152-CT'!$J$8=TH!F898),"x","")</f>
        <v/>
      </c>
      <c r="AC898" s="84" t="str">
        <f>IF(AND(OR(LEFT(TH!N898,2)="15",LEFT(TH!O898,2)="15"),TK!$E$7=TH!F898),"x","")</f>
        <v/>
      </c>
      <c r="AD898" s="84" t="str">
        <f>IF(AND(N898="1521",MONTH(C898)='BK-NL'!$M$11),"x","")</f>
        <v/>
      </c>
    </row>
    <row r="899" spans="1:30" ht="15.75" hidden="1" customHeight="1">
      <c r="A899" s="336" t="str">
        <f>IF(B899&lt;&gt;"",IF(AND(B899='IN-TC'!$S$4,OR(TH!N899="1111",TH!O899="1111")),TH!D899,""),"")</f>
        <v>T02</v>
      </c>
      <c r="B899" s="63">
        <f t="shared" si="166"/>
        <v>2</v>
      </c>
      <c r="C899" s="149">
        <v>42404</v>
      </c>
      <c r="D899" s="64" t="s">
        <v>903</v>
      </c>
      <c r="E899" s="149">
        <v>42404</v>
      </c>
      <c r="F899" s="514" t="s">
        <v>746</v>
      </c>
      <c r="G899" s="67" t="s">
        <v>919</v>
      </c>
      <c r="H899" s="74" t="s">
        <v>763</v>
      </c>
      <c r="I899" s="444"/>
      <c r="J899" s="444"/>
      <c r="K899" s="435"/>
      <c r="L899" s="444"/>
      <c r="M899" s="150">
        <v>390000000</v>
      </c>
      <c r="N899" s="151" t="s">
        <v>63</v>
      </c>
      <c r="O899" s="66" t="s">
        <v>26</v>
      </c>
      <c r="P899" s="84" t="str">
        <f>IF(AND('331-CT'!$E$7=TH!H899,OR(N899="331",O899="331")),"x","")</f>
        <v/>
      </c>
      <c r="Q899" s="84" t="str">
        <f>IF(AND(B899='111'!$L$11,OR($N899=$Q$7,$O899=$Q$7)),"x","")</f>
        <v/>
      </c>
      <c r="R899" s="84" t="str">
        <f>IF(AND($N899=$Q$7,$B899&lt;'111'!$L$11),"x","")</f>
        <v/>
      </c>
      <c r="S899" s="84" t="str">
        <f>IF(AND($O899=$Q$7,$B899&lt;'111'!$L$11),"x","")</f>
        <v/>
      </c>
      <c r="T899" s="84" t="str">
        <f>IF(ISERROR(FIND('112'!$M$9,G899,1)),"",IF((AND(FIND('112'!$M$9,G899,1)&gt;=1,B899='112'!$K$9,OR($N899='112'!$I$6,$O899='112'!$I$6))),"x",""))</f>
        <v/>
      </c>
      <c r="U899" s="84" t="str">
        <f>IF(ISERROR(FIND('112'!$M$9,G899,1)),"",IF((AND(LEFT(G899,2)=LEFT('112'!$M$9,2),B899&lt;'112'!$K$9,$N899='112'!$I$6)),"x",""))</f>
        <v/>
      </c>
      <c r="V899" s="84" t="str">
        <f>IF(ISERROR(FIND('112'!$M$9,G899,1)),"",IF((AND(RIGHT(G899,2)=RIGHT('112'!$M$9,2),B899&lt;'112'!$K$9,$O899='112'!$I$6)),"x",""))</f>
        <v>x</v>
      </c>
      <c r="W899" s="84" t="str">
        <f>IF(AND('341-CT'!$H$9=H899,OR(LEFT(N899,3)=$W$7,LEFT(O899,3)=$W$7)),"x","")</f>
        <v/>
      </c>
      <c r="X899" s="84" t="str">
        <f>IF(OR(TH!N899=TH!$X$7,O899=TH!$X$7),"x","")</f>
        <v/>
      </c>
      <c r="Y899" s="84" t="str">
        <f>IF(AND(OR(N899="131",O899="131"),H899='131-CT'!$H$9),"x","")</f>
        <v/>
      </c>
      <c r="Z899" s="84"/>
      <c r="AA899" s="84" t="str">
        <f>IF(AND(MONTH(E899)='IN-NX'!$J$5,'IN-NX'!$D$7=D899),"x","")</f>
        <v/>
      </c>
      <c r="AB899" s="84" t="str">
        <f>IF(AND(OR(LEFT(TH!N899,2)="15",LEFT(TH!O899,2)="15"),LEFT(TH!O899,3)&lt;&gt;"111",'152-CT'!$J$8=TH!F899),"x","")</f>
        <v/>
      </c>
      <c r="AC899" s="84" t="str">
        <f>IF(AND(OR(LEFT(TH!N899,2)="15",LEFT(TH!O899,2)="15"),TK!$E$7=TH!F899),"x","")</f>
        <v/>
      </c>
      <c r="AD899" s="84" t="str">
        <f>IF(AND(N899="1521",MONTH(C899)='BK-NL'!$M$11),"x","")</f>
        <v/>
      </c>
    </row>
    <row r="900" spans="1:30" ht="15.75" hidden="1" customHeight="1">
      <c r="A900" s="336" t="str">
        <f>IF(B900&lt;&gt;"",IF(AND(B900='IN-TC'!$S$4,OR(TH!N900="1111",TH!O900="1111")),TH!D900,""),"")</f>
        <v/>
      </c>
      <c r="B900" s="63">
        <f t="shared" si="166"/>
        <v>2</v>
      </c>
      <c r="C900" s="64">
        <v>42405</v>
      </c>
      <c r="D900" s="64" t="s">
        <v>702</v>
      </c>
      <c r="E900" s="64">
        <v>42405</v>
      </c>
      <c r="F900" s="514" t="s">
        <v>1047</v>
      </c>
      <c r="G900" s="67" t="s">
        <v>919</v>
      </c>
      <c r="H900" s="73"/>
      <c r="I900" s="439"/>
      <c r="J900" s="439"/>
      <c r="K900" s="430"/>
      <c r="L900" s="439"/>
      <c r="M900" s="65">
        <v>32260140</v>
      </c>
      <c r="N900" s="66" t="s">
        <v>26</v>
      </c>
      <c r="O900" s="66" t="s">
        <v>19</v>
      </c>
      <c r="P900" s="84" t="str">
        <f>IF(AND('331-CT'!$E$7=TH!H900,OR(N900="331",O900="331")),"x","")</f>
        <v/>
      </c>
      <c r="Q900" s="84" t="str">
        <f>IF(AND(B900='111'!$L$11,OR($N900=$Q$7,$O900=$Q$7)),"x","")</f>
        <v/>
      </c>
      <c r="R900" s="84" t="str">
        <f>IF(AND($N900=$Q$7,$B900&lt;'111'!$L$11),"x","")</f>
        <v/>
      </c>
      <c r="S900" s="84" t="str">
        <f>IF(AND($O900=$Q$7,$B900&lt;'111'!$L$11),"x","")</f>
        <v/>
      </c>
      <c r="T900" s="84" t="str">
        <f>IF(ISERROR(FIND('112'!$M$9,G900,1)),"",IF((AND(FIND('112'!$M$9,G900,1)&gt;=1,B900='112'!$K$9,OR($N900='112'!$I$6,$O900='112'!$I$6))),"x",""))</f>
        <v/>
      </c>
      <c r="U900" s="84" t="str">
        <f>IF(ISERROR(FIND('112'!$M$9,G900,1)),"",IF((AND(LEFT(G900,2)=LEFT('112'!$M$9,2),B900&lt;'112'!$K$9,$N900='112'!$I$6)),"x",""))</f>
        <v>x</v>
      </c>
      <c r="V900" s="84" t="str">
        <f>IF(ISERROR(FIND('112'!$M$9,G900,1)),"",IF((AND(RIGHT(G900,2)=RIGHT('112'!$M$9,2),B900&lt;'112'!$K$9,$O900='112'!$I$6)),"x",""))</f>
        <v/>
      </c>
      <c r="W900" s="84" t="str">
        <f>IF(AND('341-CT'!$H$9=H900,OR(LEFT(N900,3)=$W$7,LEFT(O900,3)=$W$7)),"x","")</f>
        <v/>
      </c>
      <c r="X900" s="84" t="str">
        <f>IF(OR(TH!N900=TH!$X$7,O900=TH!$X$7),"x","")</f>
        <v/>
      </c>
      <c r="Y900" s="84" t="str">
        <f>IF(AND(OR(N900="131",O900="131"),H900='131-CT'!$H$9),"x","")</f>
        <v/>
      </c>
      <c r="Z900" s="84"/>
      <c r="AA900" s="84" t="str">
        <f>IF(AND(MONTH(E900)='IN-NX'!$J$5,'IN-NX'!$D$7=D900),"x","")</f>
        <v/>
      </c>
      <c r="AB900" s="84" t="str">
        <f>IF(AND(OR(LEFT(TH!N900,2)="15",LEFT(TH!O900,2)="15"),LEFT(TH!O900,3)&lt;&gt;"111",'152-CT'!$J$8=TH!F900),"x","")</f>
        <v/>
      </c>
      <c r="AC900" s="84" t="str">
        <f>IF(AND(OR(LEFT(TH!N900,2)="15",LEFT(TH!O900,2)="15"),TK!$E$7=TH!F900),"x","")</f>
        <v/>
      </c>
      <c r="AD900" s="84" t="str">
        <f>IF(AND(N900="1521",MONTH(C900)='BK-NL'!$M$11),"x","")</f>
        <v/>
      </c>
    </row>
    <row r="901" spans="1:30" ht="15.75" hidden="1" customHeight="1">
      <c r="A901" s="336" t="str">
        <f>IF(B901&lt;&gt;"",IF(AND(B901='IN-TC'!$S$4,OR(TH!N901="1111",TH!O901="1111")),TH!D901,""),"")</f>
        <v/>
      </c>
      <c r="B901" s="63">
        <f t="shared" si="166"/>
        <v>2</v>
      </c>
      <c r="C901" s="64">
        <v>42405</v>
      </c>
      <c r="D901" s="64" t="s">
        <v>702</v>
      </c>
      <c r="E901" s="64">
        <v>42405</v>
      </c>
      <c r="F901" s="514" t="s">
        <v>1052</v>
      </c>
      <c r="G901" s="67" t="s">
        <v>919</v>
      </c>
      <c r="H901" s="73" t="s">
        <v>601</v>
      </c>
      <c r="I901" s="439"/>
      <c r="J901" s="439"/>
      <c r="K901" s="430">
        <v>7743.32</v>
      </c>
      <c r="L901" s="439">
        <v>22270</v>
      </c>
      <c r="M901" s="65">
        <f>ROUND(K901*L901,0)</f>
        <v>172443736</v>
      </c>
      <c r="N901" s="66" t="s">
        <v>266</v>
      </c>
      <c r="O901" s="66" t="s">
        <v>588</v>
      </c>
      <c r="P901" s="84" t="str">
        <f>IF(AND('331-CT'!$E$7=TH!H901,OR(N901="331",O901="331")),"x","")</f>
        <v/>
      </c>
      <c r="Q901" s="84" t="str">
        <f>IF(AND(B901='111'!$L$11,OR($N901=$Q$7,$O901=$Q$7)),"x","")</f>
        <v/>
      </c>
      <c r="R901" s="84" t="str">
        <f>IF(AND($N901=$Q$7,$B901&lt;'111'!$L$11),"x","")</f>
        <v/>
      </c>
      <c r="S901" s="84" t="str">
        <f>IF(AND($O901=$Q$7,$B901&lt;'111'!$L$11),"x","")</f>
        <v/>
      </c>
      <c r="T901" s="84" t="str">
        <f>IF(ISERROR(FIND('112'!$M$9,G901,1)),"",IF((AND(FIND('112'!$M$9,G901,1)&gt;=1,B901='112'!$K$9,OR($N901='112'!$I$6,$O901='112'!$I$6))),"x",""))</f>
        <v/>
      </c>
      <c r="U901" s="84" t="str">
        <f>IF(ISERROR(FIND('112'!$M$9,G901,1)),"",IF((AND(LEFT(G901,2)=LEFT('112'!$M$9,2),B901&lt;'112'!$K$9,$N901='112'!$I$6)),"x",""))</f>
        <v/>
      </c>
      <c r="V901" s="84" t="str">
        <f>IF(ISERROR(FIND('112'!$M$9,G901,1)),"",IF((AND(RIGHT(G901,2)=RIGHT('112'!$M$9,2),B901&lt;'112'!$K$9,$O901='112'!$I$6)),"x",""))</f>
        <v/>
      </c>
      <c r="W901" s="84" t="str">
        <f>IF(AND('341-CT'!$H$9=H901,OR(LEFT(N901,3)=$W$7,LEFT(O901,3)=$W$7)),"x","")</f>
        <v/>
      </c>
      <c r="X901" s="84" t="str">
        <f>IF(OR(TH!N901=TH!$X$7,O901=TH!$X$7),"x","")</f>
        <v/>
      </c>
      <c r="Y901" s="84" t="str">
        <f>IF(AND(OR(N901="131",O901="131"),H901='131-CT'!$H$9),"x","")</f>
        <v>x</v>
      </c>
      <c r="Z901" s="84"/>
      <c r="AA901" s="84" t="str">
        <f>IF(AND(MONTH(E901)='IN-NX'!$J$5,'IN-NX'!$D$7=D901),"x","")</f>
        <v/>
      </c>
      <c r="AB901" s="84" t="str">
        <f>IF(AND(OR(LEFT(TH!N901,2)="15",LEFT(TH!O901,2)="15"),LEFT(TH!O901,3)&lt;&gt;"111",'152-CT'!$J$8=TH!F901),"x","")</f>
        <v/>
      </c>
      <c r="AC901" s="84" t="str">
        <f>IF(AND(OR(LEFT(TH!N901,2)="15",LEFT(TH!O901,2)="15"),TK!$E$7=TH!F901),"x","")</f>
        <v/>
      </c>
      <c r="AD901" s="84" t="str">
        <f>IF(AND(N901="1521",MONTH(C901)='BK-NL'!$M$11),"x","")</f>
        <v/>
      </c>
    </row>
    <row r="902" spans="1:30" ht="15.75" hidden="1" customHeight="1">
      <c r="A902" s="336" t="str">
        <f>IF(B902&lt;&gt;"",IF(AND(B902='IN-TC'!$S$4,OR(TH!N902="1111",TH!O902="1111")),TH!D902,""),"")</f>
        <v/>
      </c>
      <c r="B902" s="63">
        <f t="shared" si="166"/>
        <v>2</v>
      </c>
      <c r="C902" s="64">
        <f t="shared" ref="C902:C907" si="167">E902</f>
        <v>42405</v>
      </c>
      <c r="D902" s="64" t="s">
        <v>582</v>
      </c>
      <c r="E902" s="64">
        <v>42405</v>
      </c>
      <c r="F902" s="514" t="s">
        <v>1064</v>
      </c>
      <c r="G902" s="67" t="s">
        <v>919</v>
      </c>
      <c r="H902" s="73" t="s">
        <v>601</v>
      </c>
      <c r="I902" s="439"/>
      <c r="J902" s="439"/>
      <c r="K902" s="430">
        <v>107.34</v>
      </c>
      <c r="L902" s="439">
        <v>22270</v>
      </c>
      <c r="M902" s="65">
        <f>ROUND(K902*L902,0)</f>
        <v>2390462</v>
      </c>
      <c r="N902" s="66" t="s">
        <v>101</v>
      </c>
      <c r="O902" s="66" t="s">
        <v>588</v>
      </c>
      <c r="P902" s="84" t="str">
        <f>IF(AND('331-CT'!$E$7=TH!H902,OR(N902="331",O902="331")),"x","")</f>
        <v/>
      </c>
      <c r="Q902" s="84" t="str">
        <f>IF(AND(B902='111'!$L$11,OR($N902=$Q$7,$O902=$Q$7)),"x","")</f>
        <v/>
      </c>
      <c r="R902" s="84" t="str">
        <f>IF(AND($N902=$Q$7,$B902&lt;'111'!$L$11),"x","")</f>
        <v/>
      </c>
      <c r="S902" s="84" t="str">
        <f>IF(AND($O902=$Q$7,$B902&lt;'111'!$L$11),"x","")</f>
        <v/>
      </c>
      <c r="T902" s="84" t="str">
        <f>IF(ISERROR(FIND('112'!$M$9,G902,1)),"",IF((AND(FIND('112'!$M$9,G902,1)&gt;=1,B902='112'!$K$9,OR($N902='112'!$I$6,$O902='112'!$I$6))),"x",""))</f>
        <v/>
      </c>
      <c r="U902" s="84" t="str">
        <f>IF(ISERROR(FIND('112'!$M$9,G902,1)),"",IF((AND(LEFT(G902,2)=LEFT('112'!$M$9,2),B902&lt;'112'!$K$9,$N902='112'!$I$6)),"x",""))</f>
        <v/>
      </c>
      <c r="V902" s="84" t="str">
        <f>IF(ISERROR(FIND('112'!$M$9,G902,1)),"",IF((AND(RIGHT(G902,2)=RIGHT('112'!$M$9,2),B902&lt;'112'!$K$9,$O902='112'!$I$6)),"x",""))</f>
        <v/>
      </c>
      <c r="W902" s="84" t="str">
        <f>IF(AND('341-CT'!$H$9=H902,OR(LEFT(N902,3)=$W$7,LEFT(O902,3)=$W$7)),"x","")</f>
        <v/>
      </c>
      <c r="X902" s="84" t="str">
        <f>IF(OR(TH!N902=TH!$X$7,O902=TH!$X$7),"x","")</f>
        <v/>
      </c>
      <c r="Y902" s="84" t="str">
        <f>IF(AND(OR(N902="131",O902="131"),H902='131-CT'!$H$9),"x","")</f>
        <v>x</v>
      </c>
      <c r="Z902" s="84"/>
      <c r="AA902" s="84" t="str">
        <f>IF(AND(MONTH(E902)='IN-NX'!$J$5,'IN-NX'!$D$7=D902),"x","")</f>
        <v/>
      </c>
      <c r="AB902" s="84" t="str">
        <f>IF(AND(OR(LEFT(TH!N902,2)="15",LEFT(TH!O902,2)="15"),LEFT(TH!O902,3)&lt;&gt;"111",'152-CT'!$J$8=TH!F902),"x","")</f>
        <v/>
      </c>
      <c r="AC902" s="84" t="str">
        <f>IF(AND(OR(LEFT(TH!N902,2)="15",LEFT(TH!O902,2)="15"),TK!$E$7=TH!F902),"x","")</f>
        <v/>
      </c>
      <c r="AD902" s="84" t="str">
        <f>IF(AND(N902="1521",MONTH(C902)='BK-NL'!$M$11),"x","")</f>
        <v/>
      </c>
    </row>
    <row r="903" spans="1:30" ht="15.75" hidden="1" customHeight="1">
      <c r="A903" s="336" t="str">
        <f>IF(B903&lt;&gt;"",IF(AND(B903='IN-TC'!$S$4,OR(TH!N903="1111",TH!O903="1111")),TH!D903,""),"")</f>
        <v/>
      </c>
      <c r="B903" s="63">
        <f t="shared" si="166"/>
        <v>2</v>
      </c>
      <c r="C903" s="64">
        <f t="shared" si="167"/>
        <v>42405</v>
      </c>
      <c r="D903" s="64" t="s">
        <v>582</v>
      </c>
      <c r="E903" s="64">
        <v>42405</v>
      </c>
      <c r="F903" s="514" t="s">
        <v>1065</v>
      </c>
      <c r="G903" s="67" t="s">
        <v>919</v>
      </c>
      <c r="H903" s="73" t="s">
        <v>601</v>
      </c>
      <c r="I903" s="439"/>
      <c r="J903" s="439"/>
      <c r="K903" s="430">
        <v>10.73</v>
      </c>
      <c r="L903" s="439">
        <v>22270</v>
      </c>
      <c r="M903" s="65">
        <f>ROUND(K903*L903,0)</f>
        <v>238957</v>
      </c>
      <c r="N903" s="66" t="s">
        <v>9</v>
      </c>
      <c r="O903" s="66" t="s">
        <v>588</v>
      </c>
      <c r="P903" s="84" t="str">
        <f>IF(AND('331-CT'!$E$7=TH!H903,OR(N903="331",O903="331")),"x","")</f>
        <v/>
      </c>
      <c r="Q903" s="84" t="str">
        <f>IF(AND(B903='111'!$L$11,OR($N903=$Q$7,$O903=$Q$7)),"x","")</f>
        <v/>
      </c>
      <c r="R903" s="84" t="str">
        <f>IF(AND($N903=$Q$7,$B903&lt;'111'!$L$11),"x","")</f>
        <v/>
      </c>
      <c r="S903" s="84" t="str">
        <f>IF(AND($O903=$Q$7,$B903&lt;'111'!$L$11),"x","")</f>
        <v/>
      </c>
      <c r="T903" s="84" t="str">
        <f>IF(ISERROR(FIND('112'!$M$9,G903,1)),"",IF((AND(FIND('112'!$M$9,G903,1)&gt;=1,B903='112'!$K$9,OR($N903='112'!$I$6,$O903='112'!$I$6))),"x",""))</f>
        <v/>
      </c>
      <c r="U903" s="84" t="str">
        <f>IF(ISERROR(FIND('112'!$M$9,G903,1)),"",IF((AND(LEFT(G903,2)=LEFT('112'!$M$9,2),B903&lt;'112'!$K$9,$N903='112'!$I$6)),"x",""))</f>
        <v/>
      </c>
      <c r="V903" s="84" t="str">
        <f>IF(ISERROR(FIND('112'!$M$9,G903,1)),"",IF((AND(RIGHT(G903,2)=RIGHT('112'!$M$9,2),B903&lt;'112'!$K$9,$O903='112'!$I$6)),"x",""))</f>
        <v/>
      </c>
      <c r="W903" s="84" t="str">
        <f>IF(AND('341-CT'!$H$9=H903,OR(LEFT(N903,3)=$W$7,LEFT(O903,3)=$W$7)),"x","")</f>
        <v/>
      </c>
      <c r="X903" s="84" t="str">
        <f>IF(OR(TH!N903=TH!$X$7,O903=TH!$X$7),"x","")</f>
        <v/>
      </c>
      <c r="Y903" s="84" t="str">
        <f>IF(AND(OR(N903="131",O903="131"),H903='131-CT'!$H$9),"x","")</f>
        <v>x</v>
      </c>
      <c r="Z903" s="84"/>
      <c r="AA903" s="84" t="str">
        <f>IF(AND(MONTH(E903)='IN-NX'!$J$5,'IN-NX'!$D$7=D903),"x","")</f>
        <v/>
      </c>
      <c r="AB903" s="84" t="str">
        <f>IF(AND(OR(LEFT(TH!N903,2)="15",LEFT(TH!O903,2)="15"),LEFT(TH!O903,3)&lt;&gt;"111",'152-CT'!$J$8=TH!F903),"x","")</f>
        <v/>
      </c>
      <c r="AC903" s="84" t="str">
        <f>IF(AND(OR(LEFT(TH!N903,2)="15",LEFT(TH!O903,2)="15"),TK!$E$7=TH!F903),"x","")</f>
        <v/>
      </c>
      <c r="AD903" s="84" t="str">
        <f>IF(AND(N903="1521",MONTH(C903)='BK-NL'!$M$11),"x","")</f>
        <v/>
      </c>
    </row>
    <row r="904" spans="1:30" ht="15.75" hidden="1" customHeight="1">
      <c r="A904" s="336" t="str">
        <f>IF(B904&lt;&gt;"",IF(AND(B904='IN-TC'!$S$4,OR(TH!N904="1111",TH!O904="1111")),TH!D904,""),"")</f>
        <v/>
      </c>
      <c r="B904" s="63">
        <f t="shared" si="166"/>
        <v>2</v>
      </c>
      <c r="C904" s="64">
        <f t="shared" si="167"/>
        <v>42405</v>
      </c>
      <c r="D904" s="64" t="s">
        <v>582</v>
      </c>
      <c r="E904" s="64">
        <v>42405</v>
      </c>
      <c r="F904" s="514" t="s">
        <v>1066</v>
      </c>
      <c r="G904" s="67" t="s">
        <v>919</v>
      </c>
      <c r="H904" s="73" t="s">
        <v>601</v>
      </c>
      <c r="I904" s="439"/>
      <c r="J904" s="439"/>
      <c r="K904" s="430">
        <v>63.61</v>
      </c>
      <c r="L904" s="439">
        <v>22270</v>
      </c>
      <c r="M904" s="65">
        <f>ROUND(K904*L904,0)</f>
        <v>1416595</v>
      </c>
      <c r="N904" s="66" t="s">
        <v>99</v>
      </c>
      <c r="O904" s="66" t="s">
        <v>588</v>
      </c>
      <c r="P904" s="84" t="str">
        <f>IF(AND('331-CT'!$E$7=TH!H904,OR(N904="331",O904="331")),"x","")</f>
        <v/>
      </c>
      <c r="Q904" s="84" t="str">
        <f>IF(AND(B904='111'!$L$11,OR($N904=$Q$7,$O904=$Q$7)),"x","")</f>
        <v/>
      </c>
      <c r="R904" s="84" t="str">
        <f>IF(AND($N904=$Q$7,$B904&lt;'111'!$L$11),"x","")</f>
        <v/>
      </c>
      <c r="S904" s="84" t="str">
        <f>IF(AND($O904=$Q$7,$B904&lt;'111'!$L$11),"x","")</f>
        <v/>
      </c>
      <c r="T904" s="84" t="str">
        <f>IF(ISERROR(FIND('112'!$M$9,G904,1)),"",IF((AND(FIND('112'!$M$9,G904,1)&gt;=1,B904='112'!$K$9,OR($N904='112'!$I$6,$O904='112'!$I$6))),"x",""))</f>
        <v/>
      </c>
      <c r="U904" s="84" t="str">
        <f>IF(ISERROR(FIND('112'!$M$9,G904,1)),"",IF((AND(LEFT(G904,2)=LEFT('112'!$M$9,2),B904&lt;'112'!$K$9,$N904='112'!$I$6)),"x",""))</f>
        <v/>
      </c>
      <c r="V904" s="84" t="str">
        <f>IF(ISERROR(FIND('112'!$M$9,G904,1)),"",IF((AND(RIGHT(G904,2)=RIGHT('112'!$M$9,2),B904&lt;'112'!$K$9,$O904='112'!$I$6)),"x",""))</f>
        <v/>
      </c>
      <c r="W904" s="84" t="str">
        <f>IF(AND('341-CT'!$H$9=H904,OR(LEFT(N904,3)=$W$7,LEFT(O904,3)=$W$7)),"x","")</f>
        <v/>
      </c>
      <c r="X904" s="84" t="str">
        <f>IF(OR(TH!N904=TH!$X$7,O904=TH!$X$7),"x","")</f>
        <v/>
      </c>
      <c r="Y904" s="84" t="str">
        <f>IF(AND(OR(N904="131",O904="131"),H904='131-CT'!$H$9),"x","")</f>
        <v>x</v>
      </c>
      <c r="Z904" s="84"/>
      <c r="AA904" s="84" t="str">
        <f>IF(AND(MONTH(E904)='IN-NX'!$J$5,'IN-NX'!$D$7=D904),"x","")</f>
        <v/>
      </c>
      <c r="AB904" s="84" t="str">
        <f>IF(AND(OR(LEFT(TH!N904,2)="15",LEFT(TH!O904,2)="15"),LEFT(TH!O904,3)&lt;&gt;"111",'152-CT'!$J$8=TH!F904),"x","")</f>
        <v/>
      </c>
      <c r="AC904" s="84" t="str">
        <f>IF(AND(OR(LEFT(TH!N904,2)="15",LEFT(TH!O904,2)="15"),TK!$E$7=TH!F904),"x","")</f>
        <v/>
      </c>
      <c r="AD904" s="84" t="str">
        <f>IF(AND(N904="1521",MONTH(C904)='BK-NL'!$M$11),"x","")</f>
        <v/>
      </c>
    </row>
    <row r="905" spans="1:30" ht="15.75" hidden="1" customHeight="1">
      <c r="A905" s="336" t="str">
        <f>IF(B905&lt;&gt;"",IF(AND(B905='IN-TC'!$S$4,OR(TH!N905="1111",TH!O905="1111")),TH!D905,""),"")</f>
        <v/>
      </c>
      <c r="B905" s="63">
        <f t="shared" si="166"/>
        <v>2</v>
      </c>
      <c r="C905" s="64">
        <f t="shared" si="167"/>
        <v>42405</v>
      </c>
      <c r="D905" s="64" t="s">
        <v>582</v>
      </c>
      <c r="E905" s="64">
        <v>42405</v>
      </c>
      <c r="F905" s="514" t="s">
        <v>1067</v>
      </c>
      <c r="G905" s="67" t="s">
        <v>919</v>
      </c>
      <c r="H905" s="73" t="s">
        <v>601</v>
      </c>
      <c r="I905" s="439"/>
      <c r="J905" s="439"/>
      <c r="K905" s="430">
        <v>35</v>
      </c>
      <c r="L905" s="439">
        <v>22270</v>
      </c>
      <c r="M905" s="65">
        <f>ROUND(K905*L905,0)</f>
        <v>779450</v>
      </c>
      <c r="N905" s="66" t="s">
        <v>101</v>
      </c>
      <c r="O905" s="66" t="s">
        <v>588</v>
      </c>
      <c r="P905" s="84" t="str">
        <f>IF(AND('331-CT'!$E$7=TH!H905,OR(N905="331",O905="331")),"x","")</f>
        <v/>
      </c>
      <c r="Q905" s="84" t="str">
        <f>IF(AND(B905='111'!$L$11,OR($N905=$Q$7,$O905=$Q$7)),"x","")</f>
        <v/>
      </c>
      <c r="R905" s="84" t="str">
        <f>IF(AND($N905=$Q$7,$B905&lt;'111'!$L$11),"x","")</f>
        <v/>
      </c>
      <c r="S905" s="84" t="str">
        <f>IF(AND($O905=$Q$7,$B905&lt;'111'!$L$11),"x","")</f>
        <v/>
      </c>
      <c r="T905" s="84" t="str">
        <f>IF(ISERROR(FIND('112'!$M$9,G905,1)),"",IF((AND(FIND('112'!$M$9,G905,1)&gt;=1,B905='112'!$K$9,OR($N905='112'!$I$6,$O905='112'!$I$6))),"x",""))</f>
        <v/>
      </c>
      <c r="U905" s="84" t="str">
        <f>IF(ISERROR(FIND('112'!$M$9,G905,1)),"",IF((AND(LEFT(G905,2)=LEFT('112'!$M$9,2),B905&lt;'112'!$K$9,$N905='112'!$I$6)),"x",""))</f>
        <v/>
      </c>
      <c r="V905" s="84" t="str">
        <f>IF(ISERROR(FIND('112'!$M$9,G905,1)),"",IF((AND(RIGHT(G905,2)=RIGHT('112'!$M$9,2),B905&lt;'112'!$K$9,$O905='112'!$I$6)),"x",""))</f>
        <v/>
      </c>
      <c r="W905" s="84" t="str">
        <f>IF(AND('341-CT'!$H$9=H905,OR(LEFT(N905,3)=$W$7,LEFT(O905,3)=$W$7)),"x","")</f>
        <v/>
      </c>
      <c r="X905" s="84" t="str">
        <f>IF(OR(TH!N905=TH!$X$7,O905=TH!$X$7),"x","")</f>
        <v/>
      </c>
      <c r="Y905" s="84" t="str">
        <f>IF(AND(OR(N905="131",O905="131"),H905='131-CT'!$H$9),"x","")</f>
        <v>x</v>
      </c>
      <c r="Z905" s="84"/>
      <c r="AA905" s="84" t="str">
        <f>IF(AND(MONTH(E905)='IN-NX'!$J$5,'IN-NX'!$D$7=D905),"x","")</f>
        <v/>
      </c>
      <c r="AB905" s="84" t="str">
        <f>IF(AND(OR(LEFT(TH!N905,2)="15",LEFT(TH!O905,2)="15"),LEFT(TH!O905,3)&lt;&gt;"111",'152-CT'!$J$8=TH!F905),"x","")</f>
        <v/>
      </c>
      <c r="AC905" s="84" t="str">
        <f>IF(AND(OR(LEFT(TH!N905,2)="15",LEFT(TH!O905,2)="15"),TK!$E$7=TH!F905),"x","")</f>
        <v/>
      </c>
      <c r="AD905" s="84" t="str">
        <f>IF(AND(N905="1521",MONTH(C905)='BK-NL'!$M$11),"x","")</f>
        <v/>
      </c>
    </row>
    <row r="906" spans="1:30" ht="15.75" hidden="1" customHeight="1">
      <c r="A906" s="336" t="str">
        <f>IF(B906&lt;&gt;"",IF(AND(B906='IN-TC'!$S$4,OR(TH!N906="1111",TH!O906="1111")),TH!D906,""),"")</f>
        <v/>
      </c>
      <c r="B906" s="63">
        <f t="shared" si="166"/>
        <v>2</v>
      </c>
      <c r="C906" s="64">
        <f t="shared" si="167"/>
        <v>42405</v>
      </c>
      <c r="D906" s="64" t="s">
        <v>582</v>
      </c>
      <c r="E906" s="64">
        <v>42405</v>
      </c>
      <c r="F906" s="514" t="s">
        <v>1068</v>
      </c>
      <c r="G906" s="67"/>
      <c r="H906" s="73" t="s">
        <v>601</v>
      </c>
      <c r="I906" s="439"/>
      <c r="J906" s="439"/>
      <c r="K906" s="430"/>
      <c r="L906" s="439"/>
      <c r="M906" s="65">
        <v>5407186</v>
      </c>
      <c r="N906" s="66" t="s">
        <v>99</v>
      </c>
      <c r="O906" s="66" t="s">
        <v>588</v>
      </c>
      <c r="P906" s="84" t="str">
        <f>IF(AND('331-CT'!$E$7=TH!H906,OR(N906="331",O906="331")),"x","")</f>
        <v/>
      </c>
      <c r="Q906" s="84" t="str">
        <f>IF(AND(B906='111'!$L$11,OR($N906=$Q$7,$O906=$Q$7)),"x","")</f>
        <v/>
      </c>
      <c r="R906" s="84" t="str">
        <f>IF(AND($N906=$Q$7,$B906&lt;'111'!$L$11),"x","")</f>
        <v/>
      </c>
      <c r="S906" s="84" t="str">
        <f>IF(AND($O906=$Q$7,$B906&lt;'111'!$L$11),"x","")</f>
        <v/>
      </c>
      <c r="T906" s="84" t="str">
        <f>IF(ISERROR(FIND('112'!$M$9,G906,1)),"",IF((AND(FIND('112'!$M$9,G906,1)&gt;=1,B906='112'!$K$9,OR($N906='112'!$I$6,$O906='112'!$I$6))),"x",""))</f>
        <v/>
      </c>
      <c r="U906" s="84" t="str">
        <f>IF(ISERROR(FIND('112'!$M$9,G906,1)),"",IF((AND(LEFT(G906,2)=LEFT('112'!$M$9,2),B906&lt;'112'!$K$9,$N906='112'!$I$6)),"x",""))</f>
        <v/>
      </c>
      <c r="V906" s="84" t="str">
        <f>IF(ISERROR(FIND('112'!$M$9,G906,1)),"",IF((AND(RIGHT(G906,2)=RIGHT('112'!$M$9,2),B906&lt;'112'!$K$9,$O906='112'!$I$6)),"x",""))</f>
        <v/>
      </c>
      <c r="W906" s="84" t="str">
        <f>IF(AND('341-CT'!$H$9=H906,OR(LEFT(N906,3)=$W$7,LEFT(O906,3)=$W$7)),"x","")</f>
        <v/>
      </c>
      <c r="X906" s="84" t="str">
        <f>IF(OR(TH!N906=TH!$X$7,O906=TH!$X$7),"x","")</f>
        <v/>
      </c>
      <c r="Y906" s="84" t="str">
        <f>IF(AND(OR(N906="131",O906="131"),H906='131-CT'!$H$9),"x","")</f>
        <v>x</v>
      </c>
      <c r="Z906" s="84"/>
      <c r="AA906" s="84" t="str">
        <f>IF(AND(MONTH(E906)='IN-NX'!$J$5,'IN-NX'!$D$7=D906),"x","")</f>
        <v/>
      </c>
      <c r="AB906" s="84" t="str">
        <f>IF(AND(OR(LEFT(TH!N906,2)="15",LEFT(TH!O906,2)="15"),LEFT(TH!O906,3)&lt;&gt;"111",'152-CT'!$J$8=TH!F906),"x","")</f>
        <v/>
      </c>
      <c r="AC906" s="84" t="str">
        <f>IF(AND(OR(LEFT(TH!N906,2)="15",LEFT(TH!O906,2)="15"),TK!$E$7=TH!F906),"x","")</f>
        <v/>
      </c>
      <c r="AD906" s="84" t="str">
        <f>IF(AND(N906="1521",MONTH(C906)='BK-NL'!$M$11),"x","")</f>
        <v/>
      </c>
    </row>
    <row r="907" spans="1:30" ht="15.75" hidden="1" customHeight="1">
      <c r="A907" s="336" t="str">
        <f>IF(B907&lt;&gt;"",IF(AND(B907='IN-TC'!$S$4,OR(TH!N907="1111",TH!O907="1111")),TH!D907,""),"")</f>
        <v>C06</v>
      </c>
      <c r="B907" s="63">
        <f t="shared" si="166"/>
        <v>2</v>
      </c>
      <c r="C907" s="318">
        <f t="shared" si="167"/>
        <v>42405</v>
      </c>
      <c r="D907" s="64" t="s">
        <v>873</v>
      </c>
      <c r="E907" s="318">
        <v>42405</v>
      </c>
      <c r="F907" s="514" t="s">
        <v>964</v>
      </c>
      <c r="G907" s="81"/>
      <c r="H907" s="82" t="s">
        <v>963</v>
      </c>
      <c r="I907" s="437"/>
      <c r="J907" s="437"/>
      <c r="K907" s="428"/>
      <c r="L907" s="437"/>
      <c r="M907" s="83">
        <v>300000000</v>
      </c>
      <c r="N907" s="84" t="s">
        <v>272</v>
      </c>
      <c r="O907" s="66" t="s">
        <v>63</v>
      </c>
      <c r="P907" s="84" t="str">
        <f>IF(AND('331-CT'!$E$7=TH!H907,OR(N907="331",O907="331")),"x","")</f>
        <v/>
      </c>
      <c r="Q907" s="84" t="str">
        <f>IF(AND(B907='111'!$L$11,OR($N907=$Q$7,$O907=$Q$7)),"x","")</f>
        <v/>
      </c>
      <c r="R907" s="84" t="str">
        <f>IF(AND($N907=$Q$7,$B907&lt;'111'!$L$11),"x","")</f>
        <v/>
      </c>
      <c r="S907" s="84" t="str">
        <f>IF(AND($O907=$Q$7,$B907&lt;'111'!$L$11),"x","")</f>
        <v/>
      </c>
      <c r="T907" s="84" t="str">
        <f>IF(ISERROR(FIND('112'!$M$9,G907,1)),"",IF((AND(FIND('112'!$M$9,G907,1)&gt;=1,B907='112'!$K$9,OR($N907='112'!$I$6,$O907='112'!$I$6))),"x",""))</f>
        <v/>
      </c>
      <c r="U907" s="84" t="str">
        <f>IF(ISERROR(FIND('112'!$M$9,G907,1)),"",IF((AND(LEFT(G907,2)=LEFT('112'!$M$9,2),B907&lt;'112'!$K$9,$N907='112'!$I$6)),"x",""))</f>
        <v/>
      </c>
      <c r="V907" s="84" t="str">
        <f>IF(ISERROR(FIND('112'!$M$9,G907,1)),"",IF((AND(RIGHT(G907,2)=RIGHT('112'!$M$9,2),B907&lt;'112'!$K$9,$O907='112'!$I$6)),"x",""))</f>
        <v/>
      </c>
      <c r="W907" s="84" t="str">
        <f>IF(AND('341-CT'!$H$9=H907,OR(LEFT(N907,3)=$W$7,LEFT(O907,3)=$W$7)),"x","")</f>
        <v/>
      </c>
      <c r="X907" s="84" t="str">
        <f>IF(OR(TH!N907=TH!$X$7,O907=TH!$X$7),"x","")</f>
        <v/>
      </c>
      <c r="Y907" s="84" t="str">
        <f>IF(AND(OR(N907="131",O907="131"),H907='131-CT'!$H$9),"x","")</f>
        <v/>
      </c>
      <c r="Z907" s="84"/>
      <c r="AA907" s="84" t="str">
        <f>IF(AND(MONTH(E907)='IN-NX'!$J$5,'IN-NX'!$D$7=D907),"x","")</f>
        <v/>
      </c>
      <c r="AB907" s="84" t="str">
        <f>IF(AND(OR(LEFT(TH!N907,2)="15",LEFT(TH!O907,2)="15"),LEFT(TH!O907,3)&lt;&gt;"111",'152-CT'!$J$8=TH!F907),"x","")</f>
        <v/>
      </c>
      <c r="AC907" s="84" t="str">
        <f>IF(AND(OR(LEFT(TH!N907,2)="15",LEFT(TH!O907,2)="15"),TK!$E$7=TH!F907),"x","")</f>
        <v/>
      </c>
      <c r="AD907" s="84" t="str">
        <f>IF(AND(N907="1521",MONTH(C907)='BK-NL'!$M$11),"x","")</f>
        <v/>
      </c>
    </row>
    <row r="908" spans="1:30" ht="15.75" hidden="1" customHeight="1">
      <c r="A908" s="336" t="str">
        <f>IF(B908&lt;&gt;"",IF(AND(B908='IN-TC'!$S$4,OR(TH!N908="1111",TH!O908="1111")),TH!D908,""),"")</f>
        <v>C07</v>
      </c>
      <c r="B908" s="63">
        <f t="shared" si="166"/>
        <v>2</v>
      </c>
      <c r="C908" s="64">
        <v>42406</v>
      </c>
      <c r="D908" s="64" t="s">
        <v>875</v>
      </c>
      <c r="E908" s="64">
        <v>42406</v>
      </c>
      <c r="F908" s="514" t="s">
        <v>1005</v>
      </c>
      <c r="G908" s="67" t="s">
        <v>1025</v>
      </c>
      <c r="H908" s="73" t="s">
        <v>808</v>
      </c>
      <c r="I908" s="439"/>
      <c r="J908" s="439"/>
      <c r="K908" s="430"/>
      <c r="L908" s="439"/>
      <c r="M908" s="65">
        <v>798518</v>
      </c>
      <c r="N908" s="66" t="s">
        <v>101</v>
      </c>
      <c r="O908" s="66" t="s">
        <v>63</v>
      </c>
      <c r="P908" s="84" t="str">
        <f>IF(AND('331-CT'!$E$7=TH!H908,OR(N908="331",O908="331")),"x","")</f>
        <v/>
      </c>
      <c r="Q908" s="84" t="str">
        <f>IF(AND(B908='111'!$L$11,OR($N908=$Q$7,$O908=$Q$7)),"x","")</f>
        <v/>
      </c>
      <c r="R908" s="84" t="str">
        <f>IF(AND($N908=$Q$7,$B908&lt;'111'!$L$11),"x","")</f>
        <v/>
      </c>
      <c r="S908" s="84" t="str">
        <f>IF(AND($O908=$Q$7,$B908&lt;'111'!$L$11),"x","")</f>
        <v/>
      </c>
      <c r="T908" s="84" t="str">
        <f>IF(ISERROR(FIND('112'!$M$9,G908,1)),"",IF((AND(FIND('112'!$M$9,G908,1)&gt;=1,B908='112'!$K$9,OR($N908='112'!$I$6,$O908='112'!$I$6))),"x",""))</f>
        <v/>
      </c>
      <c r="U908" s="84" t="str">
        <f>IF(ISERROR(FIND('112'!$M$9,G908,1)),"",IF((AND(LEFT(G908,2)=LEFT('112'!$M$9,2),B908&lt;'112'!$K$9,$N908='112'!$I$6)),"x",""))</f>
        <v/>
      </c>
      <c r="V908" s="84" t="str">
        <f>IF(ISERROR(FIND('112'!$M$9,G908,1)),"",IF((AND(RIGHT(G908,2)=RIGHT('112'!$M$9,2),B908&lt;'112'!$K$9,$O908='112'!$I$6)),"x",""))</f>
        <v/>
      </c>
      <c r="W908" s="84" t="str">
        <f>IF(AND('341-CT'!$H$9=H908,OR(LEFT(N908,3)=$W$7,LEFT(O908,3)=$W$7)),"x","")</f>
        <v/>
      </c>
      <c r="X908" s="84" t="str">
        <f>IF(OR(TH!N908=TH!$X$7,O908=TH!$X$7),"x","")</f>
        <v/>
      </c>
      <c r="Y908" s="84" t="str">
        <f>IF(AND(OR(N908="131",O908="131"),H908='131-CT'!$H$9),"x","")</f>
        <v/>
      </c>
      <c r="Z908" s="84"/>
      <c r="AA908" s="84" t="str">
        <f>IF(AND(MONTH(E908)='IN-NX'!$J$5,'IN-NX'!$D$7=D908),"x","")</f>
        <v/>
      </c>
      <c r="AB908" s="84" t="str">
        <f>IF(AND(OR(LEFT(TH!N908,2)="15",LEFT(TH!O908,2)="15"),LEFT(TH!O908,3)&lt;&gt;"111",'152-CT'!$J$8=TH!F908),"x","")</f>
        <v/>
      </c>
      <c r="AC908" s="84" t="str">
        <f>IF(AND(OR(LEFT(TH!N908,2)="15",LEFT(TH!O908,2)="15"),TK!$E$7=TH!F908),"x","")</f>
        <v/>
      </c>
      <c r="AD908" s="84" t="str">
        <f>IF(AND(N908="1521",MONTH(C908)='BK-NL'!$M$11),"x","")</f>
        <v/>
      </c>
    </row>
    <row r="909" spans="1:30" ht="15.75" hidden="1" customHeight="1">
      <c r="A909" s="336" t="str">
        <f>IF(B909&lt;&gt;"",IF(AND(B909='IN-TC'!$S$4,OR(TH!N909="1111",TH!O909="1111")),TH!D909,""),"")</f>
        <v>C07</v>
      </c>
      <c r="B909" s="63">
        <f t="shared" si="166"/>
        <v>2</v>
      </c>
      <c r="C909" s="64">
        <v>42406</v>
      </c>
      <c r="D909" s="64" t="s">
        <v>875</v>
      </c>
      <c r="E909" s="64">
        <v>42406</v>
      </c>
      <c r="F909" s="514" t="s">
        <v>1006</v>
      </c>
      <c r="G909" s="67" t="s">
        <v>1025</v>
      </c>
      <c r="H909" s="73" t="s">
        <v>808</v>
      </c>
      <c r="I909" s="439"/>
      <c r="J909" s="439"/>
      <c r="K909" s="430"/>
      <c r="L909" s="439"/>
      <c r="M909" s="65">
        <v>79852</v>
      </c>
      <c r="N909" s="66" t="s">
        <v>9</v>
      </c>
      <c r="O909" s="66" t="s">
        <v>63</v>
      </c>
      <c r="P909" s="84" t="str">
        <f>IF(AND('331-CT'!$E$7=TH!H909,OR(N909="331",O909="331")),"x","")</f>
        <v/>
      </c>
      <c r="Q909" s="84" t="str">
        <f>IF(AND(B909='111'!$L$11,OR($N909=$Q$7,$O909=$Q$7)),"x","")</f>
        <v/>
      </c>
      <c r="R909" s="84" t="str">
        <f>IF(AND($N909=$Q$7,$B909&lt;'111'!$L$11),"x","")</f>
        <v/>
      </c>
      <c r="S909" s="84" t="str">
        <f>IF(AND($O909=$Q$7,$B909&lt;'111'!$L$11),"x","")</f>
        <v/>
      </c>
      <c r="T909" s="84" t="str">
        <f>IF(ISERROR(FIND('112'!$M$9,G909,1)),"",IF((AND(FIND('112'!$M$9,G909,1)&gt;=1,B909='112'!$K$9,OR($N909='112'!$I$6,$O909='112'!$I$6))),"x",""))</f>
        <v/>
      </c>
      <c r="U909" s="84" t="str">
        <f>IF(ISERROR(FIND('112'!$M$9,G909,1)),"",IF((AND(LEFT(G909,2)=LEFT('112'!$M$9,2),B909&lt;'112'!$K$9,$N909='112'!$I$6)),"x",""))</f>
        <v/>
      </c>
      <c r="V909" s="84" t="str">
        <f>IF(ISERROR(FIND('112'!$M$9,G909,1)),"",IF((AND(RIGHT(G909,2)=RIGHT('112'!$M$9,2),B909&lt;'112'!$K$9,$O909='112'!$I$6)),"x",""))</f>
        <v/>
      </c>
      <c r="W909" s="84" t="str">
        <f>IF(AND('341-CT'!$H$9=H909,OR(LEFT(N909,3)=$W$7,LEFT(O909,3)=$W$7)),"x","")</f>
        <v/>
      </c>
      <c r="X909" s="84" t="str">
        <f>IF(OR(TH!N909=TH!$X$7,O909=TH!$X$7),"x","")</f>
        <v/>
      </c>
      <c r="Y909" s="84" t="str">
        <f>IF(AND(OR(N909="131",O909="131"),H909='131-CT'!$H$9),"x","")</f>
        <v/>
      </c>
      <c r="Z909" s="84"/>
      <c r="AA909" s="84" t="str">
        <f>IF(AND(MONTH(E909)='IN-NX'!$J$5,'IN-NX'!$D$7=D909),"x","")</f>
        <v/>
      </c>
      <c r="AB909" s="84" t="str">
        <f>IF(AND(OR(LEFT(TH!N909,2)="15",LEFT(TH!O909,2)="15"),LEFT(TH!O909,3)&lt;&gt;"111",'152-CT'!$J$8=TH!F909),"x","")</f>
        <v/>
      </c>
      <c r="AC909" s="84" t="str">
        <f>IF(AND(OR(LEFT(TH!N909,2)="15",LEFT(TH!O909,2)="15"),TK!$E$7=TH!F909),"x","")</f>
        <v/>
      </c>
      <c r="AD909" s="84" t="str">
        <f>IF(AND(N909="1521",MONTH(C909)='BK-NL'!$M$11),"x","")</f>
        <v/>
      </c>
    </row>
    <row r="910" spans="1:30" ht="15.75" hidden="1" customHeight="1">
      <c r="A910" s="336" t="str">
        <f>IF(B910&lt;&gt;"",IF(AND(B910='IN-TC'!$S$4,OR(TH!N910="1111",TH!O910="1111")),TH!D910,""),"")</f>
        <v/>
      </c>
      <c r="B910" s="63">
        <f t="shared" si="166"/>
        <v>2</v>
      </c>
      <c r="C910" s="149">
        <v>42415</v>
      </c>
      <c r="D910" s="64" t="s">
        <v>705</v>
      </c>
      <c r="E910" s="149">
        <v>42415</v>
      </c>
      <c r="F910" s="514" t="s">
        <v>1048</v>
      </c>
      <c r="G910" s="67" t="s">
        <v>919</v>
      </c>
      <c r="H910" s="73" t="s">
        <v>712</v>
      </c>
      <c r="I910" s="439"/>
      <c r="J910" s="439"/>
      <c r="K910" s="430"/>
      <c r="L910" s="439"/>
      <c r="M910" s="150">
        <v>1341984</v>
      </c>
      <c r="N910" s="66" t="s">
        <v>99</v>
      </c>
      <c r="O910" s="66" t="s">
        <v>26</v>
      </c>
      <c r="P910" s="84" t="str">
        <f>IF(AND('331-CT'!$E$7=TH!H910,OR(N910="331",O910="331")),"x","")</f>
        <v/>
      </c>
      <c r="Q910" s="84" t="str">
        <f>IF(AND(B910='111'!$L$11,OR($N910=$Q$7,$O910=$Q$7)),"x","")</f>
        <v/>
      </c>
      <c r="R910" s="84" t="str">
        <f>IF(AND($N910=$Q$7,$B910&lt;'111'!$L$11),"x","")</f>
        <v/>
      </c>
      <c r="S910" s="84" t="str">
        <f>IF(AND($O910=$Q$7,$B910&lt;'111'!$L$11),"x","")</f>
        <v/>
      </c>
      <c r="T910" s="84" t="str">
        <f>IF(ISERROR(FIND('112'!$M$9,G910,1)),"",IF((AND(FIND('112'!$M$9,G910,1)&gt;=1,B910='112'!$K$9,OR($N910='112'!$I$6,$O910='112'!$I$6))),"x",""))</f>
        <v/>
      </c>
      <c r="U910" s="84" t="str">
        <f>IF(ISERROR(FIND('112'!$M$9,G910,1)),"",IF((AND(LEFT(G910,2)=LEFT('112'!$M$9,2),B910&lt;'112'!$K$9,$N910='112'!$I$6)),"x",""))</f>
        <v/>
      </c>
      <c r="V910" s="84" t="str">
        <f>IF(ISERROR(FIND('112'!$M$9,G910,1)),"",IF((AND(RIGHT(G910,2)=RIGHT('112'!$M$9,2),B910&lt;'112'!$K$9,$O910='112'!$I$6)),"x",""))</f>
        <v>x</v>
      </c>
      <c r="W910" s="84" t="str">
        <f>IF(AND('341-CT'!$H$9=H910,OR(LEFT(N910,3)=$W$7,LEFT(O910,3)=$W$7)),"x","")</f>
        <v/>
      </c>
      <c r="X910" s="84" t="str">
        <f>IF(OR(TH!N910=TH!$X$7,O910=TH!$X$7),"x","")</f>
        <v/>
      </c>
      <c r="Y910" s="84" t="str">
        <f>IF(AND(OR(N910="131",O910="131"),H910='131-CT'!$H$9),"x","")</f>
        <v/>
      </c>
      <c r="Z910" s="84"/>
      <c r="AA910" s="84" t="str">
        <f>IF(AND(MONTH(E910)='IN-NX'!$J$5,'IN-NX'!$D$7=D910),"x","")</f>
        <v/>
      </c>
      <c r="AB910" s="84" t="str">
        <f>IF(AND(OR(LEFT(TH!N910,2)="15",LEFT(TH!O910,2)="15"),LEFT(TH!O910,3)&lt;&gt;"111",'152-CT'!$J$8=TH!F910),"x","")</f>
        <v/>
      </c>
      <c r="AC910" s="84" t="str">
        <f>IF(AND(OR(LEFT(TH!N910,2)="15",LEFT(TH!O910,2)="15"),TK!$E$7=TH!F910),"x","")</f>
        <v/>
      </c>
      <c r="AD910" s="84" t="str">
        <f>IF(AND(N910="1521",MONTH(C910)='BK-NL'!$M$11),"x","")</f>
        <v/>
      </c>
    </row>
    <row r="911" spans="1:30" ht="15.75" hidden="1" customHeight="1">
      <c r="A911" s="336" t="str">
        <f>IF(B911&lt;&gt;"",IF(AND(B911='IN-TC'!$S$4,OR(TH!N911="1111",TH!O911="1111")),TH!D911,""),"")</f>
        <v/>
      </c>
      <c r="B911" s="63">
        <f t="shared" si="166"/>
        <v>2</v>
      </c>
      <c r="C911" s="64">
        <v>42415</v>
      </c>
      <c r="D911" s="64" t="s">
        <v>705</v>
      </c>
      <c r="E911" s="64">
        <v>42415</v>
      </c>
      <c r="F911" s="514" t="s">
        <v>1049</v>
      </c>
      <c r="G911" s="67" t="s">
        <v>919</v>
      </c>
      <c r="H911" s="344" t="s">
        <v>713</v>
      </c>
      <c r="I911" s="441"/>
      <c r="J911" s="441"/>
      <c r="K911" s="432"/>
      <c r="L911" s="441"/>
      <c r="M911" s="65">
        <v>2892064</v>
      </c>
      <c r="N911" s="66" t="s">
        <v>99</v>
      </c>
      <c r="O911" s="66" t="s">
        <v>26</v>
      </c>
      <c r="P911" s="84" t="str">
        <f>IF(AND('331-CT'!$E$7=TH!H911,OR(N911="331",O911="331")),"x","")</f>
        <v/>
      </c>
      <c r="Q911" s="84" t="str">
        <f>IF(AND(B911='111'!$L$11,OR($N911=$Q$7,$O911=$Q$7)),"x","")</f>
        <v/>
      </c>
      <c r="R911" s="84" t="str">
        <f>IF(AND($N911=$Q$7,$B911&lt;'111'!$L$11),"x","")</f>
        <v/>
      </c>
      <c r="S911" s="84" t="str">
        <f>IF(AND($O911=$Q$7,$B911&lt;'111'!$L$11),"x","")</f>
        <v/>
      </c>
      <c r="T911" s="84" t="str">
        <f>IF(ISERROR(FIND('112'!$M$9,G911,1)),"",IF((AND(FIND('112'!$M$9,G911,1)&gt;=1,B911='112'!$K$9,OR($N911='112'!$I$6,$O911='112'!$I$6))),"x",""))</f>
        <v/>
      </c>
      <c r="U911" s="84" t="str">
        <f>IF(ISERROR(FIND('112'!$M$9,G911,1)),"",IF((AND(LEFT(G911,2)=LEFT('112'!$M$9,2),B911&lt;'112'!$K$9,$N911='112'!$I$6)),"x",""))</f>
        <v/>
      </c>
      <c r="V911" s="84" t="str">
        <f>IF(ISERROR(FIND('112'!$M$9,G911,1)),"",IF((AND(RIGHT(G911,2)=RIGHT('112'!$M$9,2),B911&lt;'112'!$K$9,$O911='112'!$I$6)),"x",""))</f>
        <v>x</v>
      </c>
      <c r="W911" s="84" t="str">
        <f>IF(AND('341-CT'!$H$9=H911,OR(LEFT(N911,3)=$W$7,LEFT(O911,3)=$W$7)),"x","")</f>
        <v/>
      </c>
      <c r="X911" s="84" t="str">
        <f>IF(OR(TH!N911=TH!$X$7,O911=TH!$X$7),"x","")</f>
        <v/>
      </c>
      <c r="Y911" s="84" t="str">
        <f>IF(AND(OR(N911="131",O911="131"),H911='131-CT'!$H$9),"x","")</f>
        <v/>
      </c>
      <c r="Z911" s="84"/>
      <c r="AA911" s="84" t="str">
        <f>IF(AND(MONTH(E911)='IN-NX'!$J$5,'IN-NX'!$D$7=D911),"x","")</f>
        <v/>
      </c>
      <c r="AB911" s="84" t="str">
        <f>IF(AND(OR(LEFT(TH!N911,2)="15",LEFT(TH!O911,2)="15"),LEFT(TH!O911,3)&lt;&gt;"111",'152-CT'!$J$8=TH!F911),"x","")</f>
        <v/>
      </c>
      <c r="AC911" s="84" t="str">
        <f>IF(AND(OR(LEFT(TH!N911,2)="15",LEFT(TH!O911,2)="15"),TK!$E$7=TH!F911),"x","")</f>
        <v/>
      </c>
      <c r="AD911" s="84" t="str">
        <f>IF(AND(N911="1521",MONTH(C911)='BK-NL'!$M$11),"x","")</f>
        <v/>
      </c>
    </row>
    <row r="912" spans="1:30" ht="15.75" hidden="1" customHeight="1">
      <c r="A912" s="336" t="str">
        <f>IF(B912&lt;&gt;"",IF(AND(B912='IN-TC'!$S$4,OR(TH!N912="1111",TH!O912="1111")),TH!D912,""),"")</f>
        <v/>
      </c>
      <c r="B912" s="63">
        <f t="shared" si="166"/>
        <v>2</v>
      </c>
      <c r="C912" s="64">
        <v>42415</v>
      </c>
      <c r="D912" s="64" t="s">
        <v>705</v>
      </c>
      <c r="E912" s="64">
        <v>42415</v>
      </c>
      <c r="F912" s="514" t="s">
        <v>1050</v>
      </c>
      <c r="G912" s="67" t="s">
        <v>919</v>
      </c>
      <c r="H912" s="344" t="s">
        <v>714</v>
      </c>
      <c r="I912" s="441"/>
      <c r="J912" s="441"/>
      <c r="K912" s="432"/>
      <c r="L912" s="441"/>
      <c r="M912" s="65">
        <v>1780800</v>
      </c>
      <c r="N912" s="66" t="s">
        <v>99</v>
      </c>
      <c r="O912" s="66" t="s">
        <v>26</v>
      </c>
      <c r="P912" s="84" t="str">
        <f>IF(AND('331-CT'!$E$7=TH!H912,OR(N912="331",O912="331")),"x","")</f>
        <v/>
      </c>
      <c r="Q912" s="84" t="str">
        <f>IF(AND(B912='111'!$L$11,OR($N912=$Q$7,$O912=$Q$7)),"x","")</f>
        <v/>
      </c>
      <c r="R912" s="84" t="str">
        <f>IF(AND($N912=$Q$7,$B912&lt;'111'!$L$11),"x","")</f>
        <v/>
      </c>
      <c r="S912" s="84" t="str">
        <f>IF(AND($O912=$Q$7,$B912&lt;'111'!$L$11),"x","")</f>
        <v/>
      </c>
      <c r="T912" s="84" t="str">
        <f>IF(ISERROR(FIND('112'!$M$9,G912,1)),"",IF((AND(FIND('112'!$M$9,G912,1)&gt;=1,B912='112'!$K$9,OR($N912='112'!$I$6,$O912='112'!$I$6))),"x",""))</f>
        <v/>
      </c>
      <c r="U912" s="84" t="str">
        <f>IF(ISERROR(FIND('112'!$M$9,G912,1)),"",IF((AND(LEFT(G912,2)=LEFT('112'!$M$9,2),B912&lt;'112'!$K$9,$N912='112'!$I$6)),"x",""))</f>
        <v/>
      </c>
      <c r="V912" s="84" t="str">
        <f>IF(ISERROR(FIND('112'!$M$9,G912,1)),"",IF((AND(RIGHT(G912,2)=RIGHT('112'!$M$9,2),B912&lt;'112'!$K$9,$O912='112'!$I$6)),"x",""))</f>
        <v>x</v>
      </c>
      <c r="W912" s="84" t="str">
        <f>IF(AND('341-CT'!$H$9=H912,OR(LEFT(N912,3)=$W$7,LEFT(O912,3)=$W$7)),"x","")</f>
        <v/>
      </c>
      <c r="X912" s="84" t="str">
        <f>IF(OR(TH!N912=TH!$X$7,O912=TH!$X$7),"x","")</f>
        <v/>
      </c>
      <c r="Y912" s="84" t="str">
        <f>IF(AND(OR(N912="131",O912="131"),H912='131-CT'!$H$9),"x","")</f>
        <v/>
      </c>
      <c r="Z912" s="84"/>
      <c r="AA912" s="84" t="str">
        <f>IF(AND(MONTH(E912)='IN-NX'!$J$5,'IN-NX'!$D$7=D912),"x","")</f>
        <v/>
      </c>
      <c r="AB912" s="84" t="str">
        <f>IF(AND(OR(LEFT(TH!N912,2)="15",LEFT(TH!O912,2)="15"),LEFT(TH!O912,3)&lt;&gt;"111",'152-CT'!$J$8=TH!F912),"x","")</f>
        <v/>
      </c>
      <c r="AC912" s="84" t="str">
        <f>IF(AND(OR(LEFT(TH!N912,2)="15",LEFT(TH!O912,2)="15"),TK!$E$7=TH!F912),"x","")</f>
        <v/>
      </c>
      <c r="AD912" s="84" t="str">
        <f>IF(AND(N912="1521",MONTH(C912)='BK-NL'!$M$11),"x","")</f>
        <v/>
      </c>
    </row>
    <row r="913" spans="1:31" ht="15.75" hidden="1" customHeight="1">
      <c r="A913" s="336" t="str">
        <f>IF(B913&lt;&gt;"",IF(AND(B913='IN-TC'!$S$4,OR(TH!N913="1111",TH!O913="1111")),TH!D913,""),"")</f>
        <v/>
      </c>
      <c r="B913" s="63">
        <f t="shared" si="166"/>
        <v>2</v>
      </c>
      <c r="C913" s="64">
        <v>42415</v>
      </c>
      <c r="D913" s="64" t="s">
        <v>705</v>
      </c>
      <c r="E913" s="64">
        <v>42415</v>
      </c>
      <c r="F913" s="514" t="s">
        <v>1051</v>
      </c>
      <c r="G913" s="67" t="s">
        <v>919</v>
      </c>
      <c r="H913" s="73" t="s">
        <v>715</v>
      </c>
      <c r="I913" s="439"/>
      <c r="J913" s="439"/>
      <c r="K913" s="430"/>
      <c r="L913" s="439"/>
      <c r="M913" s="65">
        <v>2492896</v>
      </c>
      <c r="N913" s="66" t="s">
        <v>99</v>
      </c>
      <c r="O913" s="66" t="s">
        <v>26</v>
      </c>
      <c r="P913" s="84" t="str">
        <f>IF(AND('331-CT'!$E$7=TH!H913,OR(N913="331",O913="331")),"x","")</f>
        <v/>
      </c>
      <c r="Q913" s="84" t="str">
        <f>IF(AND(B913='111'!$L$11,OR($N913=$Q$7,$O913=$Q$7)),"x","")</f>
        <v/>
      </c>
      <c r="R913" s="84" t="str">
        <f>IF(AND($N913=$Q$7,$B913&lt;'111'!$L$11),"x","")</f>
        <v/>
      </c>
      <c r="S913" s="84" t="str">
        <f>IF(AND($O913=$Q$7,$B913&lt;'111'!$L$11),"x","")</f>
        <v/>
      </c>
      <c r="T913" s="84" t="str">
        <f>IF(ISERROR(FIND('112'!$M$9,G913,1)),"",IF((AND(FIND('112'!$M$9,G913,1)&gt;=1,B913='112'!$K$9,OR($N913='112'!$I$6,$O913='112'!$I$6))),"x",""))</f>
        <v/>
      </c>
      <c r="U913" s="84" t="str">
        <f>IF(ISERROR(FIND('112'!$M$9,G913,1)),"",IF((AND(LEFT(G913,2)=LEFT('112'!$M$9,2),B913&lt;'112'!$K$9,$N913='112'!$I$6)),"x",""))</f>
        <v/>
      </c>
      <c r="V913" s="84" t="str">
        <f>IF(ISERROR(FIND('112'!$M$9,G913,1)),"",IF((AND(RIGHT(G913,2)=RIGHT('112'!$M$9,2),B913&lt;'112'!$K$9,$O913='112'!$I$6)),"x",""))</f>
        <v>x</v>
      </c>
      <c r="W913" s="84" t="str">
        <f>IF(AND('341-CT'!$H$9=H913,OR(LEFT(N913,3)=$W$7,LEFT(O913,3)=$W$7)),"x","")</f>
        <v/>
      </c>
      <c r="X913" s="84" t="str">
        <f>IF(OR(TH!N913=TH!$X$7,O913=TH!$X$7),"x","")</f>
        <v/>
      </c>
      <c r="Y913" s="84" t="str">
        <f>IF(AND(OR(N913="131",O913="131"),H913='131-CT'!$H$9),"x","")</f>
        <v/>
      </c>
      <c r="Z913" s="84"/>
      <c r="AA913" s="84" t="str">
        <f>IF(AND(MONTH(E913)='IN-NX'!$J$5,'IN-NX'!$D$7=D913),"x","")</f>
        <v/>
      </c>
      <c r="AB913" s="84" t="str">
        <f>IF(AND(OR(LEFT(TH!N913,2)="15",LEFT(TH!O913,2)="15"),LEFT(TH!O913,3)&lt;&gt;"111",'152-CT'!$J$8=TH!F913),"x","")</f>
        <v/>
      </c>
      <c r="AC913" s="84" t="str">
        <f>IF(AND(OR(LEFT(TH!N913,2)="15",LEFT(TH!O913,2)="15"),TK!$E$7=TH!F913),"x","")</f>
        <v/>
      </c>
      <c r="AD913" s="84" t="str">
        <f>IF(AND(N913="1521",MONTH(C913)='BK-NL'!$M$11),"x","")</f>
        <v/>
      </c>
    </row>
    <row r="914" spans="1:31" ht="15.75" hidden="1" customHeight="1">
      <c r="A914" s="336" t="str">
        <f>IF(B914&lt;&gt;"",IF(AND(B914='IN-TC'!$S$4,OR(TH!N914="1111",TH!O914="1111")),TH!D914,""),"")</f>
        <v/>
      </c>
      <c r="B914" s="63">
        <f t="shared" si="166"/>
        <v>2</v>
      </c>
      <c r="C914" s="64">
        <v>42415</v>
      </c>
      <c r="D914" s="64" t="s">
        <v>705</v>
      </c>
      <c r="E914" s="64">
        <v>42415</v>
      </c>
      <c r="F914" s="514" t="s">
        <v>760</v>
      </c>
      <c r="G914" s="67" t="s">
        <v>918</v>
      </c>
      <c r="H914" s="73"/>
      <c r="I914" s="439"/>
      <c r="J914" s="439"/>
      <c r="K914" s="430"/>
      <c r="L914" s="439"/>
      <c r="M914" s="65">
        <v>50000</v>
      </c>
      <c r="N914" s="66" t="s">
        <v>101</v>
      </c>
      <c r="O914" s="66" t="s">
        <v>26</v>
      </c>
      <c r="P914" s="84" t="str">
        <f>IF(AND('331-CT'!$E$7=TH!H914,OR(N914="331",O914="331")),"x","")</f>
        <v/>
      </c>
      <c r="Q914" s="84" t="str">
        <f>IF(AND(B914='111'!$L$11,OR($N914=$Q$7,$O914=$Q$7)),"x","")</f>
        <v/>
      </c>
      <c r="R914" s="84" t="str">
        <f>IF(AND($N914=$Q$7,$B914&lt;'111'!$L$11),"x","")</f>
        <v/>
      </c>
      <c r="S914" s="84" t="str">
        <f>IF(AND($O914=$Q$7,$B914&lt;'111'!$L$11),"x","")</f>
        <v/>
      </c>
      <c r="T914" s="84" t="str">
        <f>IF(ISERROR(FIND('112'!$M$9,G914,1)),"",IF((AND(FIND('112'!$M$9,G914,1)&gt;=1,B914='112'!$K$9,OR($N914='112'!$I$6,$O914='112'!$I$6))),"x",""))</f>
        <v/>
      </c>
      <c r="U914" s="84" t="str">
        <f>IF(ISERROR(FIND('112'!$M$9,G914,1)),"",IF((AND(LEFT(G914,2)=LEFT('112'!$M$9,2),B914&lt;'112'!$K$9,$N914='112'!$I$6)),"x",""))</f>
        <v/>
      </c>
      <c r="V914" s="84" t="str">
        <f>IF(ISERROR(FIND('112'!$M$9,G914,1)),"",IF((AND(RIGHT(G914,2)=RIGHT('112'!$M$9,2),B914&lt;'112'!$K$9,$O914='112'!$I$6)),"x",""))</f>
        <v/>
      </c>
      <c r="W914" s="84" t="str">
        <f>IF(AND('341-CT'!$H$9=H914,OR(LEFT(N914,3)=$W$7,LEFT(O914,3)=$W$7)),"x","")</f>
        <v/>
      </c>
      <c r="X914" s="84" t="str">
        <f>IF(OR(TH!N914=TH!$X$7,O914=TH!$X$7),"x","")</f>
        <v/>
      </c>
      <c r="Y914" s="84" t="str">
        <f>IF(AND(OR(N914="131",O914="131"),H914='131-CT'!$H$9),"x","")</f>
        <v/>
      </c>
      <c r="Z914" s="84"/>
      <c r="AA914" s="84" t="str">
        <f>IF(AND(MONTH(E914)='IN-NX'!$J$5,'IN-NX'!$D$7=D914),"x","")</f>
        <v/>
      </c>
      <c r="AB914" s="84" t="str">
        <f>IF(AND(OR(LEFT(TH!N914,2)="15",LEFT(TH!O914,2)="15"),LEFT(TH!O914,3)&lt;&gt;"111",'152-CT'!$J$8=TH!F914),"x","")</f>
        <v/>
      </c>
      <c r="AC914" s="84" t="str">
        <f>IF(AND(OR(LEFT(TH!N914,2)="15",LEFT(TH!O914,2)="15"),TK!$E$7=TH!F914),"x","")</f>
        <v/>
      </c>
      <c r="AD914" s="84" t="str">
        <f>IF(AND(N914="1521",MONTH(C914)='BK-NL'!$M$11),"x","")</f>
        <v/>
      </c>
    </row>
    <row r="915" spans="1:31" ht="15.75" hidden="1" customHeight="1">
      <c r="A915" s="336" t="str">
        <f>IF(B915&lt;&gt;"",IF(AND(B915='IN-TC'!$S$4,OR(TH!N915="1111",TH!O915="1111")),TH!D915,""),"")</f>
        <v/>
      </c>
      <c r="B915" s="63">
        <f t="shared" si="166"/>
        <v>2</v>
      </c>
      <c r="C915" s="64">
        <v>42415</v>
      </c>
      <c r="D915" s="64" t="s">
        <v>705</v>
      </c>
      <c r="E915" s="64">
        <v>42415</v>
      </c>
      <c r="F915" s="514" t="s">
        <v>761</v>
      </c>
      <c r="G915" s="67" t="s">
        <v>918</v>
      </c>
      <c r="H915" s="73"/>
      <c r="I915" s="439"/>
      <c r="J915" s="439"/>
      <c r="K915" s="430"/>
      <c r="L915" s="439"/>
      <c r="M915" s="65">
        <v>5000</v>
      </c>
      <c r="N915" s="66" t="s">
        <v>9</v>
      </c>
      <c r="O915" s="66" t="s">
        <v>26</v>
      </c>
      <c r="P915" s="84" t="str">
        <f>IF(AND('331-CT'!$E$7=TH!H915,OR(N915="331",O915="331")),"x","")</f>
        <v/>
      </c>
      <c r="Q915" s="84" t="str">
        <f>IF(AND(B915='111'!$L$11,OR($N915=$Q$7,$O915=$Q$7)),"x","")</f>
        <v/>
      </c>
      <c r="R915" s="84" t="str">
        <f>IF(AND($N915=$Q$7,$B915&lt;'111'!$L$11),"x","")</f>
        <v/>
      </c>
      <c r="S915" s="84" t="str">
        <f>IF(AND($O915=$Q$7,$B915&lt;'111'!$L$11),"x","")</f>
        <v/>
      </c>
      <c r="T915" s="84" t="str">
        <f>IF(ISERROR(FIND('112'!$M$9,G915,1)),"",IF((AND(FIND('112'!$M$9,G915,1)&gt;=1,B915='112'!$K$9,OR($N915='112'!$I$6,$O915='112'!$I$6))),"x",""))</f>
        <v/>
      </c>
      <c r="U915" s="84" t="str">
        <f>IF(ISERROR(FIND('112'!$M$9,G915,1)),"",IF((AND(LEFT(G915,2)=LEFT('112'!$M$9,2),B915&lt;'112'!$K$9,$N915='112'!$I$6)),"x",""))</f>
        <v/>
      </c>
      <c r="V915" s="84" t="str">
        <f>IF(ISERROR(FIND('112'!$M$9,G915,1)),"",IF((AND(RIGHT(G915,2)=RIGHT('112'!$M$9,2),B915&lt;'112'!$K$9,$O915='112'!$I$6)),"x",""))</f>
        <v/>
      </c>
      <c r="W915" s="84" t="str">
        <f>IF(AND('341-CT'!$H$9=H915,OR(LEFT(N915,3)=$W$7,LEFT(O915,3)=$W$7)),"x","")</f>
        <v/>
      </c>
      <c r="X915" s="84" t="str">
        <f>IF(OR(TH!N915=TH!$X$7,O915=TH!$X$7),"x","")</f>
        <v/>
      </c>
      <c r="Y915" s="84" t="str">
        <f>IF(AND(OR(N915="131",O915="131"),H915='131-CT'!$H$9),"x","")</f>
        <v/>
      </c>
      <c r="Z915" s="84"/>
      <c r="AA915" s="84" t="str">
        <f>IF(AND(MONTH(E915)='IN-NX'!$J$5,'IN-NX'!$D$7=D915),"x","")</f>
        <v/>
      </c>
      <c r="AB915" s="84" t="str">
        <f>IF(AND(OR(LEFT(TH!N915,2)="15",LEFT(TH!O915,2)="15"),LEFT(TH!O915,3)&lt;&gt;"111",'152-CT'!$J$8=TH!F915),"x","")</f>
        <v/>
      </c>
      <c r="AC915" s="84" t="str">
        <f>IF(AND(OR(LEFT(TH!N915,2)="15",LEFT(TH!O915,2)="15"),TK!$E$7=TH!F915),"x","")</f>
        <v/>
      </c>
      <c r="AD915" s="84" t="str">
        <f>IF(AND(N915="1521",MONTH(C915)='BK-NL'!$M$11),"x","")</f>
        <v/>
      </c>
    </row>
    <row r="916" spans="1:31" ht="15.75" hidden="1" customHeight="1">
      <c r="A916" s="336" t="str">
        <f>IF(B916&lt;&gt;"",IF(AND(B916='IN-TC'!$S$4,OR(TH!N916="1111",TH!O916="1111")),TH!D916,""),"")</f>
        <v/>
      </c>
      <c r="B916" s="63">
        <f t="shared" si="166"/>
        <v>2</v>
      </c>
      <c r="C916" s="64">
        <v>42415</v>
      </c>
      <c r="D916" s="64" t="s">
        <v>705</v>
      </c>
      <c r="E916" s="64">
        <v>42415</v>
      </c>
      <c r="F916" s="514" t="s">
        <v>760</v>
      </c>
      <c r="G916" s="67" t="s">
        <v>918</v>
      </c>
      <c r="H916" s="73"/>
      <c r="I916" s="439"/>
      <c r="J916" s="439"/>
      <c r="K916" s="430"/>
      <c r="L916" s="439"/>
      <c r="M916" s="65">
        <v>50000</v>
      </c>
      <c r="N916" s="66" t="s">
        <v>101</v>
      </c>
      <c r="O916" s="66" t="s">
        <v>26</v>
      </c>
      <c r="P916" s="84" t="str">
        <f>IF(AND('331-CT'!$E$7=TH!H916,OR(N916="331",O916="331")),"x","")</f>
        <v/>
      </c>
      <c r="Q916" s="84" t="str">
        <f>IF(AND(B916='111'!$L$11,OR($N916=$Q$7,$O916=$Q$7)),"x","")</f>
        <v/>
      </c>
      <c r="R916" s="84" t="str">
        <f>IF(AND($N916=$Q$7,$B916&lt;'111'!$L$11),"x","")</f>
        <v/>
      </c>
      <c r="S916" s="84" t="str">
        <f>IF(AND($O916=$Q$7,$B916&lt;'111'!$L$11),"x","")</f>
        <v/>
      </c>
      <c r="T916" s="84" t="str">
        <f>IF(ISERROR(FIND('112'!$M$9,G916,1)),"",IF((AND(FIND('112'!$M$9,G916,1)&gt;=1,B916='112'!$K$9,OR($N916='112'!$I$6,$O916='112'!$I$6))),"x",""))</f>
        <v/>
      </c>
      <c r="U916" s="84" t="str">
        <f>IF(ISERROR(FIND('112'!$M$9,G916,1)),"",IF((AND(LEFT(G916,2)=LEFT('112'!$M$9,2),B916&lt;'112'!$K$9,$N916='112'!$I$6)),"x",""))</f>
        <v/>
      </c>
      <c r="V916" s="84" t="str">
        <f>IF(ISERROR(FIND('112'!$M$9,G916,1)),"",IF((AND(RIGHT(G916,2)=RIGHT('112'!$M$9,2),B916&lt;'112'!$K$9,$O916='112'!$I$6)),"x",""))</f>
        <v/>
      </c>
      <c r="W916" s="84" t="str">
        <f>IF(AND('341-CT'!$H$9=H916,OR(LEFT(N916,3)=$W$7,LEFT(O916,3)=$W$7)),"x","")</f>
        <v/>
      </c>
      <c r="X916" s="84" t="str">
        <f>IF(OR(TH!N916=TH!$X$7,O916=TH!$X$7),"x","")</f>
        <v/>
      </c>
      <c r="Y916" s="84" t="str">
        <f>IF(AND(OR(N916="131",O916="131"),H916='131-CT'!$H$9),"x","")</f>
        <v/>
      </c>
      <c r="Z916" s="84"/>
      <c r="AA916" s="84" t="str">
        <f>IF(AND(MONTH(E916)='IN-NX'!$J$5,'IN-NX'!$D$7=D916),"x","")</f>
        <v/>
      </c>
      <c r="AB916" s="84" t="str">
        <f>IF(AND(OR(LEFT(TH!N916,2)="15",LEFT(TH!O916,2)="15"),LEFT(TH!O916,3)&lt;&gt;"111",'152-CT'!$J$8=TH!F916),"x","")</f>
        <v/>
      </c>
      <c r="AC916" s="84" t="str">
        <f>IF(AND(OR(LEFT(TH!N916,2)="15",LEFT(TH!O916,2)="15"),TK!$E$7=TH!F916),"x","")</f>
        <v/>
      </c>
      <c r="AD916" s="84" t="str">
        <f>IF(AND(N916="1521",MONTH(C916)='BK-NL'!$M$11),"x","")</f>
        <v/>
      </c>
    </row>
    <row r="917" spans="1:31" ht="15.75" hidden="1" customHeight="1">
      <c r="A917" s="336" t="str">
        <f>IF(B917&lt;&gt;"",IF(AND(B917='IN-TC'!$S$4,OR(TH!N917="1111",TH!O917="1111")),TH!D917,""),"")</f>
        <v/>
      </c>
      <c r="B917" s="63">
        <f t="shared" si="166"/>
        <v>2</v>
      </c>
      <c r="C917" s="64">
        <v>42415</v>
      </c>
      <c r="D917" s="64" t="s">
        <v>705</v>
      </c>
      <c r="E917" s="64">
        <v>42415</v>
      </c>
      <c r="F917" s="514" t="s">
        <v>761</v>
      </c>
      <c r="G917" s="67" t="s">
        <v>918</v>
      </c>
      <c r="H917" s="73"/>
      <c r="I917" s="439"/>
      <c r="J917" s="439"/>
      <c r="K917" s="430"/>
      <c r="L917" s="439"/>
      <c r="M917" s="65">
        <v>5000</v>
      </c>
      <c r="N917" s="66" t="s">
        <v>9</v>
      </c>
      <c r="O917" s="66" t="s">
        <v>26</v>
      </c>
      <c r="P917" s="84" t="str">
        <f>IF(AND('331-CT'!$E$7=TH!H917,OR(N917="331",O917="331")),"x","")</f>
        <v/>
      </c>
      <c r="Q917" s="84" t="str">
        <f>IF(AND(B917='111'!$L$11,OR($N917=$Q$7,$O917=$Q$7)),"x","")</f>
        <v/>
      </c>
      <c r="R917" s="84" t="str">
        <f>IF(AND($N917=$Q$7,$B917&lt;'111'!$L$11),"x","")</f>
        <v/>
      </c>
      <c r="S917" s="84" t="str">
        <f>IF(AND($O917=$Q$7,$B917&lt;'111'!$L$11),"x","")</f>
        <v/>
      </c>
      <c r="T917" s="84" t="str">
        <f>IF(ISERROR(FIND('112'!$M$9,G917,1)),"",IF((AND(FIND('112'!$M$9,G917,1)&gt;=1,B917='112'!$K$9,OR($N917='112'!$I$6,$O917='112'!$I$6))),"x",""))</f>
        <v/>
      </c>
      <c r="U917" s="84" t="str">
        <f>IF(ISERROR(FIND('112'!$M$9,G917,1)),"",IF((AND(LEFT(G917,2)=LEFT('112'!$M$9,2),B917&lt;'112'!$K$9,$N917='112'!$I$6)),"x",""))</f>
        <v/>
      </c>
      <c r="V917" s="84" t="str">
        <f>IF(ISERROR(FIND('112'!$M$9,G917,1)),"",IF((AND(RIGHT(G917,2)=RIGHT('112'!$M$9,2),B917&lt;'112'!$K$9,$O917='112'!$I$6)),"x",""))</f>
        <v/>
      </c>
      <c r="W917" s="84" t="str">
        <f>IF(AND('341-CT'!$H$9=H917,OR(LEFT(N917,3)=$W$7,LEFT(O917,3)=$W$7)),"x","")</f>
        <v/>
      </c>
      <c r="X917" s="84" t="str">
        <f>IF(OR(TH!N917=TH!$X$7,O917=TH!$X$7),"x","")</f>
        <v/>
      </c>
      <c r="Y917" s="84" t="str">
        <f>IF(AND(OR(N917="131",O917="131"),H917='131-CT'!$H$9),"x","")</f>
        <v/>
      </c>
      <c r="Z917" s="84"/>
      <c r="AA917" s="84" t="str">
        <f>IF(AND(MONTH(E917)='IN-NX'!$J$5,'IN-NX'!$D$7=D917),"x","")</f>
        <v/>
      </c>
      <c r="AB917" s="84" t="str">
        <f>IF(AND(OR(LEFT(TH!N917,2)="15",LEFT(TH!O917,2)="15"),LEFT(TH!O917,3)&lt;&gt;"111",'152-CT'!$J$8=TH!F917),"x","")</f>
        <v/>
      </c>
      <c r="AC917" s="84" t="str">
        <f>IF(AND(OR(LEFT(TH!N917,2)="15",LEFT(TH!O917,2)="15"),TK!$E$7=TH!F917),"x","")</f>
        <v/>
      </c>
      <c r="AD917" s="84" t="str">
        <f>IF(AND(N917="1521",MONTH(C917)='BK-NL'!$M$11),"x","")</f>
        <v/>
      </c>
    </row>
    <row r="918" spans="1:31" ht="15.75" hidden="1" customHeight="1">
      <c r="A918" s="336" t="str">
        <f>IF(B918&lt;&gt;"",IF(AND(B918='IN-TC'!$S$4,OR(TH!N918="1111",TH!O918="1111")),TH!D918,""),"")</f>
        <v>C08</v>
      </c>
      <c r="B918" s="63">
        <f t="shared" si="166"/>
        <v>2</v>
      </c>
      <c r="C918" s="318">
        <f>E918</f>
        <v>42417</v>
      </c>
      <c r="D918" s="64" t="s">
        <v>876</v>
      </c>
      <c r="E918" s="318">
        <v>42417</v>
      </c>
      <c r="F918" s="514" t="s">
        <v>964</v>
      </c>
      <c r="G918" s="81"/>
      <c r="H918" s="82" t="s">
        <v>963</v>
      </c>
      <c r="I918" s="437"/>
      <c r="J918" s="437"/>
      <c r="K918" s="428"/>
      <c r="L918" s="437"/>
      <c r="M918" s="83">
        <v>360000000</v>
      </c>
      <c r="N918" s="84" t="s">
        <v>272</v>
      </c>
      <c r="O918" s="66" t="s">
        <v>63</v>
      </c>
      <c r="P918" s="84" t="str">
        <f>IF(AND('331-CT'!$E$7=TH!H918,OR(N918="331",O918="331")),"x","")</f>
        <v/>
      </c>
      <c r="Q918" s="84" t="str">
        <f>IF(AND(B918='111'!$L$11,OR($N918=$Q$7,$O918=$Q$7)),"x","")</f>
        <v/>
      </c>
      <c r="R918" s="84" t="str">
        <f>IF(AND($N918=$Q$7,$B918&lt;'111'!$L$11),"x","")</f>
        <v/>
      </c>
      <c r="S918" s="84" t="str">
        <f>IF(AND($O918=$Q$7,$B918&lt;'111'!$L$11),"x","")</f>
        <v/>
      </c>
      <c r="T918" s="84" t="str">
        <f>IF(ISERROR(FIND('112'!$M$9,G918,1)),"",IF((AND(FIND('112'!$M$9,G918,1)&gt;=1,B918='112'!$K$9,OR($N918='112'!$I$6,$O918='112'!$I$6))),"x",""))</f>
        <v/>
      </c>
      <c r="U918" s="84" t="str">
        <f>IF(ISERROR(FIND('112'!$M$9,G918,1)),"",IF((AND(LEFT(G918,2)=LEFT('112'!$M$9,2),B918&lt;'112'!$K$9,$N918='112'!$I$6)),"x",""))</f>
        <v/>
      </c>
      <c r="V918" s="84" t="str">
        <f>IF(ISERROR(FIND('112'!$M$9,G918,1)),"",IF((AND(RIGHT(G918,2)=RIGHT('112'!$M$9,2),B918&lt;'112'!$K$9,$O918='112'!$I$6)),"x",""))</f>
        <v/>
      </c>
      <c r="W918" s="84" t="str">
        <f>IF(AND('341-CT'!$H$9=H918,OR(LEFT(N918,3)=$W$7,LEFT(O918,3)=$W$7)),"x","")</f>
        <v/>
      </c>
      <c r="X918" s="84" t="str">
        <f>IF(OR(TH!N918=TH!$X$7,O918=TH!$X$7),"x","")</f>
        <v/>
      </c>
      <c r="Y918" s="84" t="str">
        <f>IF(AND(OR(N918="131",O918="131"),H918='131-CT'!$H$9),"x","")</f>
        <v/>
      </c>
      <c r="Z918" s="84"/>
      <c r="AA918" s="84" t="str">
        <f>IF(AND(MONTH(E918)='IN-NX'!$J$5,'IN-NX'!$D$7=D918),"x","")</f>
        <v/>
      </c>
      <c r="AB918" s="84" t="str">
        <f>IF(AND(OR(LEFT(TH!N918,2)="15",LEFT(TH!O918,2)="15"),LEFT(TH!O918,3)&lt;&gt;"111",'152-CT'!$J$8=TH!F918),"x","")</f>
        <v/>
      </c>
      <c r="AC918" s="84" t="str">
        <f>IF(AND(OR(LEFT(TH!N918,2)="15",LEFT(TH!O918,2)="15"),TK!$E$7=TH!F918),"x","")</f>
        <v/>
      </c>
      <c r="AD918" s="84" t="str">
        <f>IF(AND(N918="1521",MONTH(C918)='BK-NL'!$M$11),"x","")</f>
        <v/>
      </c>
    </row>
    <row r="919" spans="1:31" s="348" customFormat="1" ht="15.75" hidden="1" customHeight="1">
      <c r="A919" s="336" t="str">
        <f>IF(B919&lt;&gt;"",IF(AND(B919='IN-TC'!$S$4,OR(TH!N919="1111",TH!O919="1111")),TH!D919,""),"")</f>
        <v>C09</v>
      </c>
      <c r="B919" s="63">
        <f t="shared" si="166"/>
        <v>2</v>
      </c>
      <c r="C919" s="64">
        <v>42418</v>
      </c>
      <c r="D919" s="64" t="s">
        <v>877</v>
      </c>
      <c r="E919" s="64">
        <v>42418</v>
      </c>
      <c r="F919" s="514" t="s">
        <v>1005</v>
      </c>
      <c r="G919" s="67" t="s">
        <v>1026</v>
      </c>
      <c r="H919" s="73" t="s">
        <v>808</v>
      </c>
      <c r="I919" s="439"/>
      <c r="J919" s="439"/>
      <c r="K919" s="430"/>
      <c r="L919" s="439"/>
      <c r="M919" s="65">
        <v>602391</v>
      </c>
      <c r="N919" s="66" t="s">
        <v>101</v>
      </c>
      <c r="O919" s="66" t="s">
        <v>63</v>
      </c>
      <c r="P919" s="84" t="str">
        <f>IF(AND('331-CT'!$E$7=TH!H919,OR(N919="331",O919="331")),"x","")</f>
        <v/>
      </c>
      <c r="Q919" s="84" t="str">
        <f>IF(AND(B919='111'!$L$11,OR($N919=$Q$7,$O919=$Q$7)),"x","")</f>
        <v/>
      </c>
      <c r="R919" s="84" t="str">
        <f>IF(AND($N919=$Q$7,$B919&lt;'111'!$L$11),"x","")</f>
        <v/>
      </c>
      <c r="S919" s="84" t="str">
        <f>IF(AND($O919=$Q$7,$B919&lt;'111'!$L$11),"x","")</f>
        <v/>
      </c>
      <c r="T919" s="84" t="str">
        <f>IF(ISERROR(FIND('112'!$M$9,G919,1)),"",IF((AND(FIND('112'!$M$9,G919,1)&gt;=1,B919='112'!$K$9,OR($N919='112'!$I$6,$O919='112'!$I$6))),"x",""))</f>
        <v/>
      </c>
      <c r="U919" s="84" t="str">
        <f>IF(ISERROR(FIND('112'!$M$9,G919,1)),"",IF((AND(LEFT(G919,2)=LEFT('112'!$M$9,2),B919&lt;'112'!$K$9,$N919='112'!$I$6)),"x",""))</f>
        <v/>
      </c>
      <c r="V919" s="84" t="str">
        <f>IF(ISERROR(FIND('112'!$M$9,G919,1)),"",IF((AND(RIGHT(G919,2)=RIGHT('112'!$M$9,2),B919&lt;'112'!$K$9,$O919='112'!$I$6)),"x",""))</f>
        <v/>
      </c>
      <c r="W919" s="84" t="str">
        <f>IF(AND('341-CT'!$H$9=H919,OR(LEFT(N919,3)=$W$7,LEFT(O919,3)=$W$7)),"x","")</f>
        <v/>
      </c>
      <c r="X919" s="84" t="str">
        <f>IF(OR(TH!N919=TH!$X$7,O919=TH!$X$7),"x","")</f>
        <v/>
      </c>
      <c r="Y919" s="84" t="str">
        <f>IF(AND(OR(N919="131",O919="131"),H919='131-CT'!$H$9),"x","")</f>
        <v/>
      </c>
      <c r="Z919" s="84"/>
      <c r="AA919" s="84" t="str">
        <f>IF(AND(MONTH(E919)='IN-NX'!$J$5,'IN-NX'!$D$7=D919),"x","")</f>
        <v/>
      </c>
      <c r="AB919" s="84" t="str">
        <f>IF(AND(OR(LEFT(TH!N919,2)="15",LEFT(TH!O919,2)="15"),LEFT(TH!O919,3)&lt;&gt;"111",'152-CT'!$J$8=TH!F919),"x","")</f>
        <v/>
      </c>
      <c r="AC919" s="84" t="str">
        <f>IF(AND(OR(LEFT(TH!N919,2)="15",LEFT(TH!O919,2)="15"),TK!$E$7=TH!F919),"x","")</f>
        <v/>
      </c>
      <c r="AD919" s="84" t="str">
        <f>IF(AND(N919="1521",MONTH(C919)='BK-NL'!$M$11),"x","")</f>
        <v/>
      </c>
      <c r="AE919" s="330"/>
    </row>
    <row r="920" spans="1:31" ht="15.75" hidden="1" customHeight="1">
      <c r="A920" s="336" t="str">
        <f>IF(B920&lt;&gt;"",IF(AND(B920='IN-TC'!$S$4,OR(TH!N920="1111",TH!O920="1111")),TH!D920,""),"")</f>
        <v>C09</v>
      </c>
      <c r="B920" s="63">
        <f t="shared" si="166"/>
        <v>2</v>
      </c>
      <c r="C920" s="64">
        <v>42418</v>
      </c>
      <c r="D920" s="64" t="s">
        <v>877</v>
      </c>
      <c r="E920" s="64">
        <v>42418</v>
      </c>
      <c r="F920" s="514" t="s">
        <v>1006</v>
      </c>
      <c r="G920" s="67" t="s">
        <v>1026</v>
      </c>
      <c r="H920" s="73" t="s">
        <v>808</v>
      </c>
      <c r="I920" s="439"/>
      <c r="J920" s="439"/>
      <c r="K920" s="430"/>
      <c r="L920" s="439"/>
      <c r="M920" s="65">
        <v>60239</v>
      </c>
      <c r="N920" s="66" t="s">
        <v>9</v>
      </c>
      <c r="O920" s="66" t="s">
        <v>63</v>
      </c>
      <c r="P920" s="84" t="str">
        <f>IF(AND('331-CT'!$E$7=TH!H920,OR(N920="331",O920="331")),"x","")</f>
        <v/>
      </c>
      <c r="Q920" s="84" t="str">
        <f>IF(AND(B920='111'!$L$11,OR($N920=$Q$7,$O920=$Q$7)),"x","")</f>
        <v/>
      </c>
      <c r="R920" s="84" t="str">
        <f>IF(AND($N920=$Q$7,$B920&lt;'111'!$L$11),"x","")</f>
        <v/>
      </c>
      <c r="S920" s="84" t="str">
        <f>IF(AND($O920=$Q$7,$B920&lt;'111'!$L$11),"x","")</f>
        <v/>
      </c>
      <c r="T920" s="84" t="str">
        <f>IF(ISERROR(FIND('112'!$M$9,G920,1)),"",IF((AND(FIND('112'!$M$9,G920,1)&gt;=1,B920='112'!$K$9,OR($N920='112'!$I$6,$O920='112'!$I$6))),"x",""))</f>
        <v/>
      </c>
      <c r="U920" s="84" t="str">
        <f>IF(ISERROR(FIND('112'!$M$9,G920,1)),"",IF((AND(LEFT(G920,2)=LEFT('112'!$M$9,2),B920&lt;'112'!$K$9,$N920='112'!$I$6)),"x",""))</f>
        <v/>
      </c>
      <c r="V920" s="84" t="str">
        <f>IF(ISERROR(FIND('112'!$M$9,G920,1)),"",IF((AND(RIGHT(G920,2)=RIGHT('112'!$M$9,2),B920&lt;'112'!$K$9,$O920='112'!$I$6)),"x",""))</f>
        <v/>
      </c>
      <c r="W920" s="84" t="str">
        <f>IF(AND('341-CT'!$H$9=H920,OR(LEFT(N920,3)=$W$7,LEFT(O920,3)=$W$7)),"x","")</f>
        <v/>
      </c>
      <c r="X920" s="84" t="str">
        <f>IF(OR(TH!N920=TH!$X$7,O920=TH!$X$7),"x","")</f>
        <v/>
      </c>
      <c r="Y920" s="84" t="str">
        <f>IF(AND(OR(N920="131",O920="131"),H920='131-CT'!$H$9),"x","")</f>
        <v/>
      </c>
      <c r="Z920" s="84"/>
      <c r="AA920" s="84" t="str">
        <f>IF(AND(MONTH(E920)='IN-NX'!$J$5,'IN-NX'!$D$7=D920),"x","")</f>
        <v/>
      </c>
      <c r="AB920" s="84" t="str">
        <f>IF(AND(OR(LEFT(TH!N920,2)="15",LEFT(TH!O920,2)="15"),LEFT(TH!O920,3)&lt;&gt;"111",'152-CT'!$J$8=TH!F920),"x","")</f>
        <v/>
      </c>
      <c r="AC920" s="84" t="str">
        <f>IF(AND(OR(LEFT(TH!N920,2)="15",LEFT(TH!O920,2)="15"),TK!$E$7=TH!F920),"x","")</f>
        <v/>
      </c>
      <c r="AD920" s="84" t="str">
        <f>IF(AND(N920="1521",MONTH(C920)='BK-NL'!$M$11),"x","")</f>
        <v/>
      </c>
    </row>
    <row r="921" spans="1:31" ht="15.75" hidden="1" customHeight="1">
      <c r="A921" s="336" t="str">
        <f>IF(B921&lt;&gt;"",IF(AND(B921='IN-TC'!$S$4,OR(TH!N921="1111",TH!O921="1111")),TH!D921,""),"")</f>
        <v>C10</v>
      </c>
      <c r="B921" s="63">
        <f t="shared" si="166"/>
        <v>2</v>
      </c>
      <c r="C921" s="64">
        <v>42418</v>
      </c>
      <c r="D921" s="64" t="s">
        <v>878</v>
      </c>
      <c r="E921" s="64">
        <v>42418</v>
      </c>
      <c r="F921" s="514" t="s">
        <v>1003</v>
      </c>
      <c r="G921" s="67" t="s">
        <v>1027</v>
      </c>
      <c r="H921" s="73" t="s">
        <v>814</v>
      </c>
      <c r="I921" s="439"/>
      <c r="J921" s="439"/>
      <c r="K921" s="430"/>
      <c r="L921" s="439"/>
      <c r="M921" s="65">
        <v>106982</v>
      </c>
      <c r="N921" s="66" t="s">
        <v>101</v>
      </c>
      <c r="O921" s="66" t="s">
        <v>63</v>
      </c>
      <c r="P921" s="84" t="str">
        <f>IF(AND('331-CT'!$E$7=TH!H921,OR(N921="331",O921="331")),"x","")</f>
        <v/>
      </c>
      <c r="Q921" s="84" t="str">
        <f>IF(AND(B921='111'!$L$11,OR($N921=$Q$7,$O921=$Q$7)),"x","")</f>
        <v/>
      </c>
      <c r="R921" s="84" t="str">
        <f>IF(AND($N921=$Q$7,$B921&lt;'111'!$L$11),"x","")</f>
        <v/>
      </c>
      <c r="S921" s="84" t="str">
        <f>IF(AND($O921=$Q$7,$B921&lt;'111'!$L$11),"x","")</f>
        <v/>
      </c>
      <c r="T921" s="84" t="str">
        <f>IF(ISERROR(FIND('112'!$M$9,G921,1)),"",IF((AND(FIND('112'!$M$9,G921,1)&gt;=1,B921='112'!$K$9,OR($N921='112'!$I$6,$O921='112'!$I$6))),"x",""))</f>
        <v/>
      </c>
      <c r="U921" s="84" t="str">
        <f>IF(ISERROR(FIND('112'!$M$9,G921,1)),"",IF((AND(LEFT(G921,2)=LEFT('112'!$M$9,2),B921&lt;'112'!$K$9,$N921='112'!$I$6)),"x",""))</f>
        <v/>
      </c>
      <c r="V921" s="84" t="str">
        <f>IF(ISERROR(FIND('112'!$M$9,G921,1)),"",IF((AND(RIGHT(G921,2)=RIGHT('112'!$M$9,2),B921&lt;'112'!$K$9,$O921='112'!$I$6)),"x",""))</f>
        <v/>
      </c>
      <c r="W921" s="84" t="str">
        <f>IF(AND('341-CT'!$H$9=H921,OR(LEFT(N921,3)=$W$7,LEFT(O921,3)=$W$7)),"x","")</f>
        <v/>
      </c>
      <c r="X921" s="84" t="str">
        <f>IF(OR(TH!N921=TH!$X$7,O921=TH!$X$7),"x","")</f>
        <v/>
      </c>
      <c r="Y921" s="84" t="str">
        <f>IF(AND(OR(N921="131",O921="131"),H921='131-CT'!$H$9),"x","")</f>
        <v/>
      </c>
      <c r="Z921" s="84"/>
      <c r="AA921" s="84" t="str">
        <f>IF(AND(MONTH(E921)='IN-NX'!$J$5,'IN-NX'!$D$7=D921),"x","")</f>
        <v/>
      </c>
      <c r="AB921" s="84" t="str">
        <f>IF(AND(OR(LEFT(TH!N921,2)="15",LEFT(TH!O921,2)="15"),LEFT(TH!O921,3)&lt;&gt;"111",'152-CT'!$J$8=TH!F921),"x","")</f>
        <v/>
      </c>
      <c r="AC921" s="84" t="str">
        <f>IF(AND(OR(LEFT(TH!N921,2)="15",LEFT(TH!O921,2)="15"),TK!$E$7=TH!F921),"x","")</f>
        <v/>
      </c>
      <c r="AD921" s="84" t="str">
        <f>IF(AND(N921="1521",MONTH(C921)='BK-NL'!$M$11),"x","")</f>
        <v/>
      </c>
      <c r="AE921" s="348"/>
    </row>
    <row r="922" spans="1:31" ht="15.75" hidden="1" customHeight="1">
      <c r="A922" s="336" t="str">
        <f>IF(B922&lt;&gt;"",IF(AND(B922='IN-TC'!$S$4,OR(TH!N922="1111",TH!O922="1111")),TH!D922,""),"")</f>
        <v>C10</v>
      </c>
      <c r="B922" s="63">
        <f t="shared" si="166"/>
        <v>2</v>
      </c>
      <c r="C922" s="64">
        <v>42418</v>
      </c>
      <c r="D922" s="64" t="s">
        <v>878</v>
      </c>
      <c r="E922" s="64">
        <v>42418</v>
      </c>
      <c r="F922" s="514" t="s">
        <v>1004</v>
      </c>
      <c r="G922" s="67" t="s">
        <v>1027</v>
      </c>
      <c r="H922" s="73" t="s">
        <v>814</v>
      </c>
      <c r="I922" s="439"/>
      <c r="J922" s="439"/>
      <c r="K922" s="430"/>
      <c r="L922" s="439"/>
      <c r="M922" s="65">
        <v>10698</v>
      </c>
      <c r="N922" s="66" t="s">
        <v>9</v>
      </c>
      <c r="O922" s="66" t="s">
        <v>63</v>
      </c>
      <c r="P922" s="84" t="str">
        <f>IF(AND('331-CT'!$E$7=TH!H922,OR(N922="331",O922="331")),"x","")</f>
        <v/>
      </c>
      <c r="Q922" s="84" t="str">
        <f>IF(AND(B922='111'!$L$11,OR($N922=$Q$7,$O922=$Q$7)),"x","")</f>
        <v/>
      </c>
      <c r="R922" s="84" t="str">
        <f>IF(AND($N922=$Q$7,$B922&lt;'111'!$L$11),"x","")</f>
        <v/>
      </c>
      <c r="S922" s="84" t="str">
        <f>IF(AND($O922=$Q$7,$B922&lt;'111'!$L$11),"x","")</f>
        <v/>
      </c>
      <c r="T922" s="84" t="str">
        <f>IF(ISERROR(FIND('112'!$M$9,G922,1)),"",IF((AND(FIND('112'!$M$9,G922,1)&gt;=1,B922='112'!$K$9,OR($N922='112'!$I$6,$O922='112'!$I$6))),"x",""))</f>
        <v/>
      </c>
      <c r="U922" s="84" t="str">
        <f>IF(ISERROR(FIND('112'!$M$9,G922,1)),"",IF((AND(LEFT(G922,2)=LEFT('112'!$M$9,2),B922&lt;'112'!$K$9,$N922='112'!$I$6)),"x",""))</f>
        <v/>
      </c>
      <c r="V922" s="84" t="str">
        <f>IF(ISERROR(FIND('112'!$M$9,G922,1)),"",IF((AND(RIGHT(G922,2)=RIGHT('112'!$M$9,2),B922&lt;'112'!$K$9,$O922='112'!$I$6)),"x",""))</f>
        <v/>
      </c>
      <c r="W922" s="84" t="str">
        <f>IF(AND('341-CT'!$H$9=H922,OR(LEFT(N922,3)=$W$7,LEFT(O922,3)=$W$7)),"x","")</f>
        <v/>
      </c>
      <c r="X922" s="84" t="str">
        <f>IF(OR(TH!N922=TH!$X$7,O922=TH!$X$7),"x","")</f>
        <v/>
      </c>
      <c r="Y922" s="84" t="str">
        <f>IF(AND(OR(N922="131",O922="131"),H922='131-CT'!$H$9),"x","")</f>
        <v/>
      </c>
      <c r="Z922" s="84"/>
      <c r="AA922" s="84" t="str">
        <f>IF(AND(MONTH(E922)='IN-NX'!$J$5,'IN-NX'!$D$7=D922),"x","")</f>
        <v/>
      </c>
      <c r="AB922" s="84" t="str">
        <f>IF(AND(OR(LEFT(TH!N922,2)="15",LEFT(TH!O922,2)="15"),LEFT(TH!O922,3)&lt;&gt;"111",'152-CT'!$J$8=TH!F922),"x","")</f>
        <v/>
      </c>
      <c r="AC922" s="84" t="str">
        <f>IF(AND(OR(LEFT(TH!N922,2)="15",LEFT(TH!O922,2)="15"),TK!$E$7=TH!F922),"x","")</f>
        <v/>
      </c>
      <c r="AD922" s="84" t="str">
        <f>IF(AND(N922="1521",MONTH(C922)='BK-NL'!$M$11),"x","")</f>
        <v/>
      </c>
    </row>
    <row r="923" spans="1:31" ht="15.75" hidden="1" customHeight="1">
      <c r="A923" s="336" t="str">
        <f>IF(B923&lt;&gt;"",IF(AND(B923='IN-TC'!$S$4,OR(TH!N923="1111",TH!O923="1111")),TH!D923,""),"")</f>
        <v/>
      </c>
      <c r="B923" s="63">
        <f t="shared" si="166"/>
        <v>2</v>
      </c>
      <c r="C923" s="64">
        <v>42418</v>
      </c>
      <c r="D923" s="64" t="s">
        <v>702</v>
      </c>
      <c r="E923" s="64">
        <v>42418</v>
      </c>
      <c r="F923" s="514" t="s">
        <v>1053</v>
      </c>
      <c r="G923" s="67" t="s">
        <v>919</v>
      </c>
      <c r="H923" s="73" t="s">
        <v>598</v>
      </c>
      <c r="I923" s="439"/>
      <c r="J923" s="439"/>
      <c r="K923" s="430">
        <v>1750.86</v>
      </c>
      <c r="L923" s="439">
        <v>22370</v>
      </c>
      <c r="M923" s="65">
        <f>ROUND(K923*L923,0)</f>
        <v>39166738</v>
      </c>
      <c r="N923" s="66" t="s">
        <v>266</v>
      </c>
      <c r="O923" s="66" t="s">
        <v>588</v>
      </c>
      <c r="P923" s="84" t="str">
        <f>IF(AND('331-CT'!$E$7=TH!H923,OR(N923="331",O923="331")),"x","")</f>
        <v/>
      </c>
      <c r="Q923" s="84" t="str">
        <f>IF(AND(B923='111'!$L$11,OR($N923=$Q$7,$O923=$Q$7)),"x","")</f>
        <v/>
      </c>
      <c r="R923" s="84" t="str">
        <f>IF(AND($N923=$Q$7,$B923&lt;'111'!$L$11),"x","")</f>
        <v/>
      </c>
      <c r="S923" s="84" t="str">
        <f>IF(AND($O923=$Q$7,$B923&lt;'111'!$L$11),"x","")</f>
        <v/>
      </c>
      <c r="T923" s="84" t="str">
        <f>IF(ISERROR(FIND('112'!$M$9,G923,1)),"",IF((AND(FIND('112'!$M$9,G923,1)&gt;=1,B923='112'!$K$9,OR($N923='112'!$I$6,$O923='112'!$I$6))),"x",""))</f>
        <v/>
      </c>
      <c r="U923" s="84" t="str">
        <f>IF(ISERROR(FIND('112'!$M$9,G923,1)),"",IF((AND(LEFT(G923,2)=LEFT('112'!$M$9,2),B923&lt;'112'!$K$9,$N923='112'!$I$6)),"x",""))</f>
        <v/>
      </c>
      <c r="V923" s="84" t="str">
        <f>IF(ISERROR(FIND('112'!$M$9,G923,1)),"",IF((AND(RIGHT(G923,2)=RIGHT('112'!$M$9,2),B923&lt;'112'!$K$9,$O923='112'!$I$6)),"x",""))</f>
        <v/>
      </c>
      <c r="W923" s="84" t="str">
        <f>IF(AND('341-CT'!$H$9=H923,OR(LEFT(N923,3)=$W$7,LEFT(O923,3)=$W$7)),"x","")</f>
        <v/>
      </c>
      <c r="X923" s="84" t="str">
        <f>IF(OR(TH!N923=TH!$X$7,O923=TH!$X$7),"x","")</f>
        <v/>
      </c>
      <c r="Y923" s="84" t="str">
        <f>IF(AND(OR(N923="131",O923="131"),H923='131-CT'!$H$9),"x","")</f>
        <v/>
      </c>
      <c r="Z923" s="84"/>
      <c r="AA923" s="84" t="str">
        <f>IF(AND(MONTH(E923)='IN-NX'!$J$5,'IN-NX'!$D$7=D923),"x","")</f>
        <v/>
      </c>
      <c r="AB923" s="84" t="str">
        <f>IF(AND(OR(LEFT(TH!N923,2)="15",LEFT(TH!O923,2)="15"),LEFT(TH!O923,3)&lt;&gt;"111",'152-CT'!$J$8=TH!F923),"x","")</f>
        <v/>
      </c>
      <c r="AC923" s="84" t="str">
        <f>IF(AND(OR(LEFT(TH!N923,2)="15",LEFT(TH!O923,2)="15"),TK!$E$7=TH!F923),"x","")</f>
        <v/>
      </c>
      <c r="AD923" s="84" t="str">
        <f>IF(AND(N923="1521",MONTH(C923)='BK-NL'!$M$11),"x","")</f>
        <v/>
      </c>
    </row>
    <row r="924" spans="1:31" ht="15.75" hidden="1" customHeight="1">
      <c r="A924" s="336" t="str">
        <f>IF(B924&lt;&gt;"",IF(AND(B924='IN-TC'!$S$4,OR(TH!N924="1111",TH!O924="1111")),TH!D924,""),"")</f>
        <v/>
      </c>
      <c r="B924" s="63">
        <f t="shared" si="166"/>
        <v>2</v>
      </c>
      <c r="C924" s="64">
        <f>E924</f>
        <v>42418</v>
      </c>
      <c r="D924" s="64" t="s">
        <v>582</v>
      </c>
      <c r="E924" s="64">
        <v>42418</v>
      </c>
      <c r="F924" s="514" t="s">
        <v>1064</v>
      </c>
      <c r="G924" s="67" t="s">
        <v>919</v>
      </c>
      <c r="H924" s="73" t="s">
        <v>598</v>
      </c>
      <c r="I924" s="439"/>
      <c r="J924" s="439"/>
      <c r="K924" s="430">
        <v>59.4</v>
      </c>
      <c r="L924" s="439">
        <v>22370</v>
      </c>
      <c r="M924" s="65">
        <f>ROUND(K924*L924,0)</f>
        <v>1328778</v>
      </c>
      <c r="N924" s="66" t="s">
        <v>101</v>
      </c>
      <c r="O924" s="66" t="s">
        <v>588</v>
      </c>
      <c r="P924" s="84" t="str">
        <f>IF(AND('331-CT'!$E$7=TH!H924,OR(N924="331",O924="331")),"x","")</f>
        <v/>
      </c>
      <c r="Q924" s="84" t="str">
        <f>IF(AND(B924='111'!$L$11,OR($N924=$Q$7,$O924=$Q$7)),"x","")</f>
        <v/>
      </c>
      <c r="R924" s="84" t="str">
        <f>IF(AND($N924=$Q$7,$B924&lt;'111'!$L$11),"x","")</f>
        <v/>
      </c>
      <c r="S924" s="84" t="str">
        <f>IF(AND($O924=$Q$7,$B924&lt;'111'!$L$11),"x","")</f>
        <v/>
      </c>
      <c r="T924" s="84" t="str">
        <f>IF(ISERROR(FIND('112'!$M$9,G924,1)),"",IF((AND(FIND('112'!$M$9,G924,1)&gt;=1,B924='112'!$K$9,OR($N924='112'!$I$6,$O924='112'!$I$6))),"x",""))</f>
        <v/>
      </c>
      <c r="U924" s="84" t="str">
        <f>IF(ISERROR(FIND('112'!$M$9,G924,1)),"",IF((AND(LEFT(G924,2)=LEFT('112'!$M$9,2),B924&lt;'112'!$K$9,$N924='112'!$I$6)),"x",""))</f>
        <v/>
      </c>
      <c r="V924" s="84" t="str">
        <f>IF(ISERROR(FIND('112'!$M$9,G924,1)),"",IF((AND(RIGHT(G924,2)=RIGHT('112'!$M$9,2),B924&lt;'112'!$K$9,$O924='112'!$I$6)),"x",""))</f>
        <v/>
      </c>
      <c r="W924" s="84" t="str">
        <f>IF(AND('341-CT'!$H$9=H924,OR(LEFT(N924,3)=$W$7,LEFT(O924,3)=$W$7)),"x","")</f>
        <v/>
      </c>
      <c r="X924" s="84" t="str">
        <f>IF(OR(TH!N924=TH!$X$7,O924=TH!$X$7),"x","")</f>
        <v/>
      </c>
      <c r="Y924" s="84" t="str">
        <f>IF(AND(OR(N924="131",O924="131"),H924='131-CT'!$H$9),"x","")</f>
        <v/>
      </c>
      <c r="Z924" s="84"/>
      <c r="AA924" s="84" t="str">
        <f>IF(AND(MONTH(E924)='IN-NX'!$J$5,'IN-NX'!$D$7=D924),"x","")</f>
        <v/>
      </c>
      <c r="AB924" s="84" t="str">
        <f>IF(AND(OR(LEFT(TH!N924,2)="15",LEFT(TH!O924,2)="15"),LEFT(TH!O924,3)&lt;&gt;"111",'152-CT'!$J$8=TH!F924),"x","")</f>
        <v/>
      </c>
      <c r="AC924" s="84" t="str">
        <f>IF(AND(OR(LEFT(TH!N924,2)="15",LEFT(TH!O924,2)="15"),TK!$E$7=TH!F924),"x","")</f>
        <v/>
      </c>
      <c r="AD924" s="84" t="str">
        <f>IF(AND(N924="1521",MONTH(C924)='BK-NL'!$M$11),"x","")</f>
        <v/>
      </c>
    </row>
    <row r="925" spans="1:31" ht="15.75" hidden="1" customHeight="1">
      <c r="A925" s="336" t="str">
        <f>IF(B925&lt;&gt;"",IF(AND(B925='IN-TC'!$S$4,OR(TH!N925="1111",TH!O925="1111")),TH!D925,""),"")</f>
        <v/>
      </c>
      <c r="B925" s="63">
        <f t="shared" si="166"/>
        <v>2</v>
      </c>
      <c r="C925" s="64">
        <f>E925</f>
        <v>42418</v>
      </c>
      <c r="D925" s="64" t="s">
        <v>582</v>
      </c>
      <c r="E925" s="64">
        <v>42418</v>
      </c>
      <c r="F925" s="514" t="s">
        <v>1065</v>
      </c>
      <c r="G925" s="67" t="s">
        <v>919</v>
      </c>
      <c r="H925" s="73" t="s">
        <v>598</v>
      </c>
      <c r="I925" s="439"/>
      <c r="J925" s="439"/>
      <c r="K925" s="430">
        <v>5.94</v>
      </c>
      <c r="L925" s="439">
        <v>22370</v>
      </c>
      <c r="M925" s="65">
        <f>ROUND(K925*L925,0)</f>
        <v>132878</v>
      </c>
      <c r="N925" s="66" t="s">
        <v>9</v>
      </c>
      <c r="O925" s="66" t="s">
        <v>588</v>
      </c>
      <c r="P925" s="84" t="str">
        <f>IF(AND('331-CT'!$E$7=TH!H925,OR(N925="331",O925="331")),"x","")</f>
        <v/>
      </c>
      <c r="Q925" s="84" t="str">
        <f>IF(AND(B925='111'!$L$11,OR($N925=$Q$7,$O925=$Q$7)),"x","")</f>
        <v/>
      </c>
      <c r="R925" s="84" t="str">
        <f>IF(AND($N925=$Q$7,$B925&lt;'111'!$L$11),"x","")</f>
        <v/>
      </c>
      <c r="S925" s="84" t="str">
        <f>IF(AND($O925=$Q$7,$B925&lt;'111'!$L$11),"x","")</f>
        <v/>
      </c>
      <c r="T925" s="84" t="str">
        <f>IF(ISERROR(FIND('112'!$M$9,G925,1)),"",IF((AND(FIND('112'!$M$9,G925,1)&gt;=1,B925='112'!$K$9,OR($N925='112'!$I$6,$O925='112'!$I$6))),"x",""))</f>
        <v/>
      </c>
      <c r="U925" s="84" t="str">
        <f>IF(ISERROR(FIND('112'!$M$9,G925,1)),"",IF((AND(LEFT(G925,2)=LEFT('112'!$M$9,2),B925&lt;'112'!$K$9,$N925='112'!$I$6)),"x",""))</f>
        <v/>
      </c>
      <c r="V925" s="84" t="str">
        <f>IF(ISERROR(FIND('112'!$M$9,G925,1)),"",IF((AND(RIGHT(G925,2)=RIGHT('112'!$M$9,2),B925&lt;'112'!$K$9,$O925='112'!$I$6)),"x",""))</f>
        <v/>
      </c>
      <c r="W925" s="84" t="str">
        <f>IF(AND('341-CT'!$H$9=H925,OR(LEFT(N925,3)=$W$7,LEFT(O925,3)=$W$7)),"x","")</f>
        <v/>
      </c>
      <c r="X925" s="84" t="str">
        <f>IF(OR(TH!N925=TH!$X$7,O925=TH!$X$7),"x","")</f>
        <v/>
      </c>
      <c r="Y925" s="84" t="str">
        <f>IF(AND(OR(N925="131",O925="131"),H925='131-CT'!$H$9),"x","")</f>
        <v/>
      </c>
      <c r="Z925" s="84"/>
      <c r="AA925" s="84" t="str">
        <f>IF(AND(MONTH(E925)='IN-NX'!$J$5,'IN-NX'!$D$7=D925),"x","")</f>
        <v/>
      </c>
      <c r="AB925" s="84" t="str">
        <f>IF(AND(OR(LEFT(TH!N925,2)="15",LEFT(TH!O925,2)="15"),LEFT(TH!O925,3)&lt;&gt;"111",'152-CT'!$J$8=TH!F925),"x","")</f>
        <v/>
      </c>
      <c r="AC925" s="84" t="str">
        <f>IF(AND(OR(LEFT(TH!N925,2)="15",LEFT(TH!O925,2)="15"),TK!$E$7=TH!F925),"x","")</f>
        <v/>
      </c>
      <c r="AD925" s="84" t="str">
        <f>IF(AND(N925="1521",MONTH(C925)='BK-NL'!$M$11),"x","")</f>
        <v/>
      </c>
    </row>
    <row r="926" spans="1:31" ht="15.75" hidden="1" customHeight="1">
      <c r="A926" s="336" t="str">
        <f>IF(B926&lt;&gt;"",IF(AND(B926='IN-TC'!$S$4,OR(TH!N926="1111",TH!O926="1111")),TH!D926,""),"")</f>
        <v/>
      </c>
      <c r="B926" s="63">
        <f t="shared" si="166"/>
        <v>2</v>
      </c>
      <c r="C926" s="64">
        <f>E926</f>
        <v>42418</v>
      </c>
      <c r="D926" s="64" t="s">
        <v>582</v>
      </c>
      <c r="E926" s="64">
        <v>42418</v>
      </c>
      <c r="F926" s="514" t="s">
        <v>1066</v>
      </c>
      <c r="G926" s="67" t="s">
        <v>919</v>
      </c>
      <c r="H926" s="73" t="s">
        <v>598</v>
      </c>
      <c r="I926" s="439"/>
      <c r="J926" s="439"/>
      <c r="K926" s="430">
        <v>96.8</v>
      </c>
      <c r="L926" s="439">
        <v>22370</v>
      </c>
      <c r="M926" s="65">
        <f>ROUND(K926*L926,0)</f>
        <v>2165416</v>
      </c>
      <c r="N926" s="66" t="s">
        <v>99</v>
      </c>
      <c r="O926" s="66" t="s">
        <v>588</v>
      </c>
      <c r="P926" s="84" t="str">
        <f>IF(AND('331-CT'!$E$7=TH!H926,OR(N926="331",O926="331")),"x","")</f>
        <v/>
      </c>
      <c r="Q926" s="84" t="str">
        <f>IF(AND(B926='111'!$L$11,OR($N926=$Q$7,$O926=$Q$7)),"x","")</f>
        <v/>
      </c>
      <c r="R926" s="84" t="str">
        <f>IF(AND($N926=$Q$7,$B926&lt;'111'!$L$11),"x","")</f>
        <v/>
      </c>
      <c r="S926" s="84" t="str">
        <f>IF(AND($O926=$Q$7,$B926&lt;'111'!$L$11),"x","")</f>
        <v/>
      </c>
      <c r="T926" s="84" t="str">
        <f>IF(ISERROR(FIND('112'!$M$9,G926,1)),"",IF((AND(FIND('112'!$M$9,G926,1)&gt;=1,B926='112'!$K$9,OR($N926='112'!$I$6,$O926='112'!$I$6))),"x",""))</f>
        <v/>
      </c>
      <c r="U926" s="84" t="str">
        <f>IF(ISERROR(FIND('112'!$M$9,G926,1)),"",IF((AND(LEFT(G926,2)=LEFT('112'!$M$9,2),B926&lt;'112'!$K$9,$N926='112'!$I$6)),"x",""))</f>
        <v/>
      </c>
      <c r="V926" s="84" t="str">
        <f>IF(ISERROR(FIND('112'!$M$9,G926,1)),"",IF((AND(RIGHT(G926,2)=RIGHT('112'!$M$9,2),B926&lt;'112'!$K$9,$O926='112'!$I$6)),"x",""))</f>
        <v/>
      </c>
      <c r="W926" s="84" t="str">
        <f>IF(AND('341-CT'!$H$9=H926,OR(LEFT(N926,3)=$W$7,LEFT(O926,3)=$W$7)),"x","")</f>
        <v/>
      </c>
      <c r="X926" s="84" t="str">
        <f>IF(OR(TH!N926=TH!$X$7,O926=TH!$X$7),"x","")</f>
        <v/>
      </c>
      <c r="Y926" s="84" t="str">
        <f>IF(AND(OR(N926="131",O926="131"),H926='131-CT'!$H$9),"x","")</f>
        <v/>
      </c>
      <c r="Z926" s="84"/>
      <c r="AA926" s="84" t="str">
        <f>IF(AND(MONTH(E926)='IN-NX'!$J$5,'IN-NX'!$D$7=D926),"x","")</f>
        <v/>
      </c>
      <c r="AB926" s="84" t="str">
        <f>IF(AND(OR(LEFT(TH!N926,2)="15",LEFT(TH!O926,2)="15"),LEFT(TH!O926,3)&lt;&gt;"111",'152-CT'!$J$8=TH!F926),"x","")</f>
        <v/>
      </c>
      <c r="AC926" s="84" t="str">
        <f>IF(AND(OR(LEFT(TH!N926,2)="15",LEFT(TH!O926,2)="15"),TK!$E$7=TH!F926),"x","")</f>
        <v/>
      </c>
      <c r="AD926" s="84" t="str">
        <f>IF(AND(N926="1521",MONTH(C926)='BK-NL'!$M$11),"x","")</f>
        <v/>
      </c>
    </row>
    <row r="927" spans="1:31" s="347" customFormat="1" ht="15.75" hidden="1" customHeight="1">
      <c r="A927" s="336" t="str">
        <f>IF(B927&lt;&gt;"",IF(AND(B927='IN-TC'!$S$4,OR(TH!N927="1111",TH!O927="1111")),TH!D927,""),"")</f>
        <v/>
      </c>
      <c r="B927" s="63">
        <f t="shared" si="166"/>
        <v>2</v>
      </c>
      <c r="C927" s="64">
        <f>E927</f>
        <v>42418</v>
      </c>
      <c r="D927" s="64" t="s">
        <v>582</v>
      </c>
      <c r="E927" s="64">
        <v>42418</v>
      </c>
      <c r="F927" s="514" t="s">
        <v>1093</v>
      </c>
      <c r="G927" s="67" t="s">
        <v>919</v>
      </c>
      <c r="H927" s="73" t="s">
        <v>598</v>
      </c>
      <c r="I927" s="439"/>
      <c r="J927" s="439"/>
      <c r="K927" s="430">
        <v>247</v>
      </c>
      <c r="L927" s="439">
        <v>22370</v>
      </c>
      <c r="M927" s="65">
        <f>ROUND(K927*L927,0)</f>
        <v>5525390</v>
      </c>
      <c r="N927" s="66" t="s">
        <v>101</v>
      </c>
      <c r="O927" s="66" t="s">
        <v>588</v>
      </c>
      <c r="P927" s="84" t="str">
        <f>IF(AND('331-CT'!$E$7=TH!H927,OR(N927="331",O927="331")),"x","")</f>
        <v/>
      </c>
      <c r="Q927" s="84" t="str">
        <f>IF(AND(B927='111'!$L$11,OR($N927=$Q$7,$O927=$Q$7)),"x","")</f>
        <v/>
      </c>
      <c r="R927" s="84" t="str">
        <f>IF(AND($N927=$Q$7,$B927&lt;'111'!$L$11),"x","")</f>
        <v/>
      </c>
      <c r="S927" s="84" t="str">
        <f>IF(AND($O927=$Q$7,$B927&lt;'111'!$L$11),"x","")</f>
        <v/>
      </c>
      <c r="T927" s="84" t="str">
        <f>IF(ISERROR(FIND('112'!$M$9,G927,1)),"",IF((AND(FIND('112'!$M$9,G927,1)&gt;=1,B927='112'!$K$9,OR($N927='112'!$I$6,$O927='112'!$I$6))),"x",""))</f>
        <v/>
      </c>
      <c r="U927" s="84" t="str">
        <f>IF(ISERROR(FIND('112'!$M$9,G927,1)),"",IF((AND(LEFT(G927,2)=LEFT('112'!$M$9,2),B927&lt;'112'!$K$9,$N927='112'!$I$6)),"x",""))</f>
        <v/>
      </c>
      <c r="V927" s="84" t="str">
        <f>IF(ISERROR(FIND('112'!$M$9,G927,1)),"",IF((AND(RIGHT(G927,2)=RIGHT('112'!$M$9,2),B927&lt;'112'!$K$9,$O927='112'!$I$6)),"x",""))</f>
        <v/>
      </c>
      <c r="W927" s="84" t="str">
        <f>IF(AND('341-CT'!$H$9=H927,OR(LEFT(N927,3)=$W$7,LEFT(O927,3)=$W$7)),"x","")</f>
        <v/>
      </c>
      <c r="X927" s="84" t="str">
        <f>IF(OR(TH!N927=TH!$X$7,O927=TH!$X$7),"x","")</f>
        <v/>
      </c>
      <c r="Y927" s="84" t="str">
        <f>IF(AND(OR(N927="131",O927="131"),H927='131-CT'!$H$9),"x","")</f>
        <v/>
      </c>
      <c r="Z927" s="84"/>
      <c r="AA927" s="84" t="str">
        <f>IF(AND(MONTH(E927)='IN-NX'!$J$5,'IN-NX'!$D$7=D927),"x","")</f>
        <v/>
      </c>
      <c r="AB927" s="84" t="str">
        <f>IF(AND(OR(LEFT(TH!N927,2)="15",LEFT(TH!O927,2)="15"),LEFT(TH!O927,3)&lt;&gt;"111",'152-CT'!$J$8=TH!F927),"x","")</f>
        <v/>
      </c>
      <c r="AC927" s="84" t="str">
        <f>IF(AND(OR(LEFT(TH!N927,2)="15",LEFT(TH!O927,2)="15"),TK!$E$7=TH!F927),"x","")</f>
        <v/>
      </c>
      <c r="AD927" s="84" t="str">
        <f>IF(AND(N927="1521",MONTH(C927)='BK-NL'!$M$11),"x","")</f>
        <v/>
      </c>
      <c r="AE927" s="330"/>
    </row>
    <row r="928" spans="1:31" ht="15.75" hidden="1" customHeight="1">
      <c r="A928" s="336" t="str">
        <f>IF(B928&lt;&gt;"",IF(AND(B928='IN-TC'!$S$4,OR(TH!N928="1111",TH!O928="1111")),TH!D928,""),"")</f>
        <v/>
      </c>
      <c r="B928" s="63">
        <f t="shared" si="166"/>
        <v>2</v>
      </c>
      <c r="C928" s="64">
        <f>E928</f>
        <v>42418</v>
      </c>
      <c r="D928" s="64" t="s">
        <v>582</v>
      </c>
      <c r="E928" s="64">
        <v>42418</v>
      </c>
      <c r="F928" s="514" t="s">
        <v>1068</v>
      </c>
      <c r="G928" s="67"/>
      <c r="H928" s="73" t="s">
        <v>598</v>
      </c>
      <c r="I928" s="439"/>
      <c r="J928" s="439"/>
      <c r="K928" s="430"/>
      <c r="L928" s="439"/>
      <c r="M928" s="65">
        <v>2167200</v>
      </c>
      <c r="N928" s="66" t="s">
        <v>99</v>
      </c>
      <c r="O928" s="66" t="s">
        <v>588</v>
      </c>
      <c r="P928" s="84" t="str">
        <f>IF(AND('331-CT'!$E$7=TH!H928,OR(N928="331",O928="331")),"x","")</f>
        <v/>
      </c>
      <c r="Q928" s="84" t="str">
        <f>IF(AND(B928='111'!$L$11,OR($N928=$Q$7,$O928=$Q$7)),"x","")</f>
        <v/>
      </c>
      <c r="R928" s="84" t="str">
        <f>IF(AND($N928=$Q$7,$B928&lt;'111'!$L$11),"x","")</f>
        <v/>
      </c>
      <c r="S928" s="84" t="str">
        <f>IF(AND($O928=$Q$7,$B928&lt;'111'!$L$11),"x","")</f>
        <v/>
      </c>
      <c r="T928" s="84" t="str">
        <f>IF(ISERROR(FIND('112'!$M$9,G928,1)),"",IF((AND(FIND('112'!$M$9,G928,1)&gt;=1,B928='112'!$K$9,OR($N928='112'!$I$6,$O928='112'!$I$6))),"x",""))</f>
        <v/>
      </c>
      <c r="U928" s="84" t="str">
        <f>IF(ISERROR(FIND('112'!$M$9,G928,1)),"",IF((AND(LEFT(G928,2)=LEFT('112'!$M$9,2),B928&lt;'112'!$K$9,$N928='112'!$I$6)),"x",""))</f>
        <v/>
      </c>
      <c r="V928" s="84" t="str">
        <f>IF(ISERROR(FIND('112'!$M$9,G928,1)),"",IF((AND(RIGHT(G928,2)=RIGHT('112'!$M$9,2),B928&lt;'112'!$K$9,$O928='112'!$I$6)),"x",""))</f>
        <v/>
      </c>
      <c r="W928" s="84" t="str">
        <f>IF(AND('341-CT'!$H$9=H928,OR(LEFT(N928,3)=$W$7,LEFT(O928,3)=$W$7)),"x","")</f>
        <v/>
      </c>
      <c r="X928" s="84" t="str">
        <f>IF(OR(TH!N928=TH!$X$7,O928=TH!$X$7),"x","")</f>
        <v/>
      </c>
      <c r="Y928" s="84" t="str">
        <f>IF(AND(OR(N928="131",O928="131"),H928='131-CT'!$H$9),"x","")</f>
        <v/>
      </c>
      <c r="Z928" s="84"/>
      <c r="AA928" s="84" t="str">
        <f>IF(AND(MONTH(E928)='IN-NX'!$J$5,'IN-NX'!$D$7=D928),"x","")</f>
        <v/>
      </c>
      <c r="AB928" s="84" t="str">
        <f>IF(AND(OR(LEFT(TH!N928,2)="15",LEFT(TH!O928,2)="15"),LEFT(TH!O928,3)&lt;&gt;"111",'152-CT'!$J$8=TH!F928),"x","")</f>
        <v/>
      </c>
      <c r="AC928" s="84" t="str">
        <f>IF(AND(OR(LEFT(TH!N928,2)="15",LEFT(TH!O928,2)="15"),TK!$E$7=TH!F928),"x","")</f>
        <v/>
      </c>
      <c r="AD928" s="84" t="str">
        <f>IF(AND(N928="1521",MONTH(C928)='BK-NL'!$M$11),"x","")</f>
        <v/>
      </c>
    </row>
    <row r="929" spans="1:31" ht="15.75" hidden="1" customHeight="1">
      <c r="A929" s="336" t="str">
        <f>IF(B929&lt;&gt;"",IF(AND(B929='IN-TC'!$S$4,OR(TH!N929="1111",TH!O929="1111")),TH!D929,""),"")</f>
        <v/>
      </c>
      <c r="B929" s="63">
        <f t="shared" si="166"/>
        <v>2</v>
      </c>
      <c r="C929" s="64">
        <v>42418</v>
      </c>
      <c r="D929" s="64" t="s">
        <v>705</v>
      </c>
      <c r="E929" s="64">
        <v>42418</v>
      </c>
      <c r="F929" s="514" t="s">
        <v>1055</v>
      </c>
      <c r="G929" s="67" t="s">
        <v>919</v>
      </c>
      <c r="H929" s="73" t="s">
        <v>722</v>
      </c>
      <c r="I929" s="439"/>
      <c r="J929" s="439"/>
      <c r="K929" s="430">
        <v>282.44</v>
      </c>
      <c r="L929" s="439">
        <v>22370</v>
      </c>
      <c r="M929" s="65">
        <f t="shared" ref="M929:M936" si="168">ROUND(K929*L929,0)</f>
        <v>6318183</v>
      </c>
      <c r="N929" s="66" t="s">
        <v>99</v>
      </c>
      <c r="O929" s="66" t="s">
        <v>266</v>
      </c>
      <c r="P929" s="84" t="str">
        <f>IF(AND('331-CT'!$E$7=TH!H929,OR(N929="331",O929="331")),"x","")</f>
        <v/>
      </c>
      <c r="Q929" s="84" t="str">
        <f>IF(AND(B929='111'!$L$11,OR($N929=$Q$7,$O929=$Q$7)),"x","")</f>
        <v/>
      </c>
      <c r="R929" s="84" t="str">
        <f>IF(AND($N929=$Q$7,$B929&lt;'111'!$L$11),"x","")</f>
        <v/>
      </c>
      <c r="S929" s="84" t="str">
        <f>IF(AND($O929=$Q$7,$B929&lt;'111'!$L$11),"x","")</f>
        <v/>
      </c>
      <c r="T929" s="84" t="str">
        <f>IF(ISERROR(FIND('112'!$M$9,G929,1)),"",IF((AND(FIND('112'!$M$9,G929,1)&gt;=1,B929='112'!$K$9,OR($N929='112'!$I$6,$O929='112'!$I$6))),"x",""))</f>
        <v/>
      </c>
      <c r="U929" s="84" t="str">
        <f>IF(ISERROR(FIND('112'!$M$9,G929,1)),"",IF((AND(LEFT(G929,2)=LEFT('112'!$M$9,2),B929&lt;'112'!$K$9,$N929='112'!$I$6)),"x",""))</f>
        <v/>
      </c>
      <c r="V929" s="84" t="str">
        <f>IF(ISERROR(FIND('112'!$M$9,G929,1)),"",IF((AND(RIGHT(G929,2)=RIGHT('112'!$M$9,2),B929&lt;'112'!$K$9,$O929='112'!$I$6)),"x",""))</f>
        <v/>
      </c>
      <c r="W929" s="84" t="str">
        <f>IF(AND('341-CT'!$H$9=H929,OR(LEFT(N929,3)=$W$7,LEFT(O929,3)=$W$7)),"x","")</f>
        <v/>
      </c>
      <c r="X929" s="84" t="str">
        <f>IF(OR(TH!N929=TH!$X$7,O929=TH!$X$7),"x","")</f>
        <v/>
      </c>
      <c r="Y929" s="84" t="str">
        <f>IF(AND(OR(N929="131",O929="131"),H929='131-CT'!$H$9),"x","")</f>
        <v/>
      </c>
      <c r="Z929" s="84"/>
      <c r="AA929" s="84" t="str">
        <f>IF(AND(MONTH(E929)='IN-NX'!$J$5,'IN-NX'!$D$7=D929),"x","")</f>
        <v/>
      </c>
      <c r="AB929" s="84" t="str">
        <f>IF(AND(OR(LEFT(TH!N929,2)="15",LEFT(TH!O929,2)="15"),LEFT(TH!O929,3)&lt;&gt;"111",'152-CT'!$J$8=TH!F929),"x","")</f>
        <v/>
      </c>
      <c r="AC929" s="84" t="str">
        <f>IF(AND(OR(LEFT(TH!N929,2)="15",LEFT(TH!O929,2)="15"),TK!$E$7=TH!F929),"x","")</f>
        <v/>
      </c>
      <c r="AD929" s="84" t="str">
        <f>IF(AND(N929="1521",MONTH(C929)='BK-NL'!$M$11),"x","")</f>
        <v/>
      </c>
      <c r="AE929" s="347"/>
    </row>
    <row r="930" spans="1:31" ht="15.75" hidden="1" customHeight="1">
      <c r="A930" s="336" t="str">
        <f>IF(B930&lt;&gt;"",IF(AND(B930='IN-TC'!$S$4,OR(TH!N930="1111",TH!O930="1111")),TH!D930,""),"")</f>
        <v/>
      </c>
      <c r="B930" s="63">
        <f t="shared" si="166"/>
        <v>2</v>
      </c>
      <c r="C930" s="64">
        <v>42418</v>
      </c>
      <c r="D930" s="64" t="s">
        <v>705</v>
      </c>
      <c r="E930" s="64">
        <v>42418</v>
      </c>
      <c r="F930" s="514" t="s">
        <v>1056</v>
      </c>
      <c r="G930" s="67" t="s">
        <v>919</v>
      </c>
      <c r="H930" s="73" t="s">
        <v>723</v>
      </c>
      <c r="I930" s="439"/>
      <c r="J930" s="439"/>
      <c r="K930" s="430">
        <v>137.78</v>
      </c>
      <c r="L930" s="439">
        <v>22370</v>
      </c>
      <c r="M930" s="65">
        <f t="shared" si="168"/>
        <v>3082139</v>
      </c>
      <c r="N930" s="66" t="s">
        <v>99</v>
      </c>
      <c r="O930" s="66" t="s">
        <v>266</v>
      </c>
      <c r="P930" s="84" t="str">
        <f>IF(AND('331-CT'!$E$7=TH!H930,OR(N930="331",O930="331")),"x","")</f>
        <v/>
      </c>
      <c r="Q930" s="84" t="str">
        <f>IF(AND(B930='111'!$L$11,OR($N930=$Q$7,$O930=$Q$7)),"x","")</f>
        <v/>
      </c>
      <c r="R930" s="84" t="str">
        <f>IF(AND($N930=$Q$7,$B930&lt;'111'!$L$11),"x","")</f>
        <v/>
      </c>
      <c r="S930" s="84" t="str">
        <f>IF(AND($O930=$Q$7,$B930&lt;'111'!$L$11),"x","")</f>
        <v/>
      </c>
      <c r="T930" s="84" t="str">
        <f>IF(ISERROR(FIND('112'!$M$9,G930,1)),"",IF((AND(FIND('112'!$M$9,G930,1)&gt;=1,B930='112'!$K$9,OR($N930='112'!$I$6,$O930='112'!$I$6))),"x",""))</f>
        <v/>
      </c>
      <c r="U930" s="84" t="str">
        <f>IF(ISERROR(FIND('112'!$M$9,G930,1)),"",IF((AND(LEFT(G930,2)=LEFT('112'!$M$9,2),B930&lt;'112'!$K$9,$N930='112'!$I$6)),"x",""))</f>
        <v/>
      </c>
      <c r="V930" s="84" t="str">
        <f>IF(ISERROR(FIND('112'!$M$9,G930,1)),"",IF((AND(RIGHT(G930,2)=RIGHT('112'!$M$9,2),B930&lt;'112'!$K$9,$O930='112'!$I$6)),"x",""))</f>
        <v/>
      </c>
      <c r="W930" s="84" t="str">
        <f>IF(AND('341-CT'!$H$9=H930,OR(LEFT(N930,3)=$W$7,LEFT(O930,3)=$W$7)),"x","")</f>
        <v/>
      </c>
      <c r="X930" s="84" t="str">
        <f>IF(OR(TH!N930=TH!$X$7,O930=TH!$X$7),"x","")</f>
        <v/>
      </c>
      <c r="Y930" s="84" t="str">
        <f>IF(AND(OR(N930="131",O930="131"),H930='131-CT'!$H$9),"x","")</f>
        <v/>
      </c>
      <c r="Z930" s="84"/>
      <c r="AA930" s="84" t="str">
        <f>IF(AND(MONTH(E930)='IN-NX'!$J$5,'IN-NX'!$D$7=D930),"x","")</f>
        <v/>
      </c>
      <c r="AB930" s="84" t="str">
        <f>IF(AND(OR(LEFT(TH!N930,2)="15",LEFT(TH!O930,2)="15"),LEFT(TH!O930,3)&lt;&gt;"111",'152-CT'!$J$8=TH!F930),"x","")</f>
        <v/>
      </c>
      <c r="AC930" s="84" t="str">
        <f>IF(AND(OR(LEFT(TH!N930,2)="15",LEFT(TH!O930,2)="15"),TK!$E$7=TH!F930),"x","")</f>
        <v/>
      </c>
      <c r="AD930" s="84" t="str">
        <f>IF(AND(N930="1521",MONTH(C930)='BK-NL'!$M$11),"x","")</f>
        <v/>
      </c>
    </row>
    <row r="931" spans="1:31" ht="15.75" hidden="1" customHeight="1">
      <c r="A931" s="336" t="str">
        <f>IF(B931&lt;&gt;"",IF(AND(B931='IN-TC'!$S$4,OR(TH!N931="1111",TH!O931="1111")),TH!D931,""),"")</f>
        <v/>
      </c>
      <c r="B931" s="63">
        <f t="shared" si="166"/>
        <v>2</v>
      </c>
      <c r="C931" s="64">
        <v>42418</v>
      </c>
      <c r="D931" s="64" t="s">
        <v>705</v>
      </c>
      <c r="E931" s="64">
        <v>42418</v>
      </c>
      <c r="F931" s="514" t="s">
        <v>1057</v>
      </c>
      <c r="G931" s="67" t="s">
        <v>919</v>
      </c>
      <c r="H931" s="73" t="s">
        <v>724</v>
      </c>
      <c r="I931" s="439"/>
      <c r="J931" s="439"/>
      <c r="K931" s="430">
        <v>172.22</v>
      </c>
      <c r="L931" s="439">
        <v>22370</v>
      </c>
      <c r="M931" s="65">
        <f t="shared" si="168"/>
        <v>3852561</v>
      </c>
      <c r="N931" s="66" t="s">
        <v>99</v>
      </c>
      <c r="O931" s="66" t="s">
        <v>266</v>
      </c>
      <c r="P931" s="84" t="str">
        <f>IF(AND('331-CT'!$E$7=TH!H931,OR(N931="331",O931="331")),"x","")</f>
        <v/>
      </c>
      <c r="Q931" s="84" t="str">
        <f>IF(AND(B931='111'!$L$11,OR($N931=$Q$7,$O931=$Q$7)),"x","")</f>
        <v/>
      </c>
      <c r="R931" s="84" t="str">
        <f>IF(AND($N931=$Q$7,$B931&lt;'111'!$L$11),"x","")</f>
        <v/>
      </c>
      <c r="S931" s="84" t="str">
        <f>IF(AND($O931=$Q$7,$B931&lt;'111'!$L$11),"x","")</f>
        <v/>
      </c>
      <c r="T931" s="84" t="str">
        <f>IF(ISERROR(FIND('112'!$M$9,G931,1)),"",IF((AND(FIND('112'!$M$9,G931,1)&gt;=1,B931='112'!$K$9,OR($N931='112'!$I$6,$O931='112'!$I$6))),"x",""))</f>
        <v/>
      </c>
      <c r="U931" s="84" t="str">
        <f>IF(ISERROR(FIND('112'!$M$9,G931,1)),"",IF((AND(LEFT(G931,2)=LEFT('112'!$M$9,2),B931&lt;'112'!$K$9,$N931='112'!$I$6)),"x",""))</f>
        <v/>
      </c>
      <c r="V931" s="84" t="str">
        <f>IF(ISERROR(FIND('112'!$M$9,G931,1)),"",IF((AND(RIGHT(G931,2)=RIGHT('112'!$M$9,2),B931&lt;'112'!$K$9,$O931='112'!$I$6)),"x",""))</f>
        <v/>
      </c>
      <c r="W931" s="84" t="str">
        <f>IF(AND('341-CT'!$H$9=H931,OR(LEFT(N931,3)=$W$7,LEFT(O931,3)=$W$7)),"x","")</f>
        <v/>
      </c>
      <c r="X931" s="84" t="str">
        <f>IF(OR(TH!N931=TH!$X$7,O931=TH!$X$7),"x","")</f>
        <v/>
      </c>
      <c r="Y931" s="84" t="str">
        <f>IF(AND(OR(N931="131",O931="131"),H931='131-CT'!$H$9),"x","")</f>
        <v/>
      </c>
      <c r="Z931" s="84"/>
      <c r="AA931" s="84" t="str">
        <f>IF(AND(MONTH(E931)='IN-NX'!$J$5,'IN-NX'!$D$7=D931),"x","")</f>
        <v/>
      </c>
      <c r="AB931" s="84" t="str">
        <f>IF(AND(OR(LEFT(TH!N931,2)="15",LEFT(TH!O931,2)="15"),LEFT(TH!O931,3)&lt;&gt;"111",'152-CT'!$J$8=TH!F931),"x","")</f>
        <v/>
      </c>
      <c r="AC931" s="84" t="str">
        <f>IF(AND(OR(LEFT(TH!N931,2)="15",LEFT(TH!O931,2)="15"),TK!$E$7=TH!F931),"x","")</f>
        <v/>
      </c>
      <c r="AD931" s="84" t="str">
        <f>IF(AND(N931="1521",MONTH(C931)='BK-NL'!$M$11),"x","")</f>
        <v/>
      </c>
    </row>
    <row r="932" spans="1:31" ht="15.75" hidden="1" customHeight="1">
      <c r="A932" s="336" t="str">
        <f>IF(B932&lt;&gt;"",IF(AND(B932='IN-TC'!$S$4,OR(TH!N932="1111",TH!O932="1111")),TH!D932,""),"")</f>
        <v/>
      </c>
      <c r="B932" s="63">
        <f t="shared" si="166"/>
        <v>2</v>
      </c>
      <c r="C932" s="64">
        <v>42418</v>
      </c>
      <c r="D932" s="64" t="s">
        <v>705</v>
      </c>
      <c r="E932" s="64">
        <v>42418</v>
      </c>
      <c r="F932" s="514" t="s">
        <v>1058</v>
      </c>
      <c r="G932" s="67" t="s">
        <v>919</v>
      </c>
      <c r="H932" s="73" t="s">
        <v>725</v>
      </c>
      <c r="I932" s="439"/>
      <c r="J932" s="439"/>
      <c r="K932" s="430">
        <v>308.27999999999997</v>
      </c>
      <c r="L932" s="439">
        <v>22370</v>
      </c>
      <c r="M932" s="65">
        <f t="shared" si="168"/>
        <v>6896224</v>
      </c>
      <c r="N932" s="66" t="s">
        <v>99</v>
      </c>
      <c r="O932" s="66" t="s">
        <v>266</v>
      </c>
      <c r="P932" s="84" t="str">
        <f>IF(AND('331-CT'!$E$7=TH!H932,OR(N932="331",O932="331")),"x","")</f>
        <v/>
      </c>
      <c r="Q932" s="84" t="str">
        <f>IF(AND(B932='111'!$L$11,OR($N932=$Q$7,$O932=$Q$7)),"x","")</f>
        <v/>
      </c>
      <c r="R932" s="84" t="str">
        <f>IF(AND($N932=$Q$7,$B932&lt;'111'!$L$11),"x","")</f>
        <v/>
      </c>
      <c r="S932" s="84" t="str">
        <f>IF(AND($O932=$Q$7,$B932&lt;'111'!$L$11),"x","")</f>
        <v/>
      </c>
      <c r="T932" s="84" t="str">
        <f>IF(ISERROR(FIND('112'!$M$9,G932,1)),"",IF((AND(FIND('112'!$M$9,G932,1)&gt;=1,B932='112'!$K$9,OR($N932='112'!$I$6,$O932='112'!$I$6))),"x",""))</f>
        <v/>
      </c>
      <c r="U932" s="84" t="str">
        <f>IF(ISERROR(FIND('112'!$M$9,G932,1)),"",IF((AND(LEFT(G932,2)=LEFT('112'!$M$9,2),B932&lt;'112'!$K$9,$N932='112'!$I$6)),"x",""))</f>
        <v/>
      </c>
      <c r="V932" s="84" t="str">
        <f>IF(ISERROR(FIND('112'!$M$9,G932,1)),"",IF((AND(RIGHT(G932,2)=RIGHT('112'!$M$9,2),B932&lt;'112'!$K$9,$O932='112'!$I$6)),"x",""))</f>
        <v/>
      </c>
      <c r="W932" s="84" t="str">
        <f>IF(AND('341-CT'!$H$9=H932,OR(LEFT(N932,3)=$W$7,LEFT(O932,3)=$W$7)),"x","")</f>
        <v/>
      </c>
      <c r="X932" s="84" t="str">
        <f>IF(OR(TH!N932=TH!$X$7,O932=TH!$X$7),"x","")</f>
        <v/>
      </c>
      <c r="Y932" s="84" t="str">
        <f>IF(AND(OR(N932="131",O932="131"),H932='131-CT'!$H$9),"x","")</f>
        <v/>
      </c>
      <c r="Z932" s="84"/>
      <c r="AA932" s="84" t="str">
        <f>IF(AND(MONTH(E932)='IN-NX'!$J$5,'IN-NX'!$D$7=D932),"x","")</f>
        <v/>
      </c>
      <c r="AB932" s="84" t="str">
        <f>IF(AND(OR(LEFT(TH!N932,2)="15",LEFT(TH!O932,2)="15"),LEFT(TH!O932,3)&lt;&gt;"111",'152-CT'!$J$8=TH!F932),"x","")</f>
        <v/>
      </c>
      <c r="AC932" s="84" t="str">
        <f>IF(AND(OR(LEFT(TH!N932,2)="15",LEFT(TH!O932,2)="15"),TK!$E$7=TH!F932),"x","")</f>
        <v/>
      </c>
      <c r="AD932" s="84" t="str">
        <f>IF(AND(N932="1521",MONTH(C932)='BK-NL'!$M$11),"x","")</f>
        <v/>
      </c>
    </row>
    <row r="933" spans="1:31" ht="15.75" hidden="1" customHeight="1">
      <c r="A933" s="336" t="str">
        <f>IF(B933&lt;&gt;"",IF(AND(B933='IN-TC'!$S$4,OR(TH!N933="1111",TH!O933="1111")),TH!D933,""),"")</f>
        <v/>
      </c>
      <c r="B933" s="63">
        <f t="shared" si="166"/>
        <v>2</v>
      </c>
      <c r="C933" s="64">
        <v>42418</v>
      </c>
      <c r="D933" s="64" t="s">
        <v>705</v>
      </c>
      <c r="E933" s="64">
        <v>42418</v>
      </c>
      <c r="F933" s="514" t="s">
        <v>1059</v>
      </c>
      <c r="G933" s="67" t="s">
        <v>919</v>
      </c>
      <c r="H933" s="73" t="s">
        <v>726</v>
      </c>
      <c r="I933" s="439"/>
      <c r="J933" s="439"/>
      <c r="K933" s="430">
        <v>306.56</v>
      </c>
      <c r="L933" s="439">
        <v>22370</v>
      </c>
      <c r="M933" s="65">
        <f t="shared" si="168"/>
        <v>6857747</v>
      </c>
      <c r="N933" s="66" t="s">
        <v>99</v>
      </c>
      <c r="O933" s="66" t="s">
        <v>266</v>
      </c>
      <c r="P933" s="84" t="str">
        <f>IF(AND('331-CT'!$E$7=TH!H933,OR(N933="331",O933="331")),"x","")</f>
        <v/>
      </c>
      <c r="Q933" s="84" t="str">
        <f>IF(AND(B933='111'!$L$11,OR($N933=$Q$7,$O933=$Q$7)),"x","")</f>
        <v/>
      </c>
      <c r="R933" s="84" t="str">
        <f>IF(AND($N933=$Q$7,$B933&lt;'111'!$L$11),"x","")</f>
        <v/>
      </c>
      <c r="S933" s="84" t="str">
        <f>IF(AND($O933=$Q$7,$B933&lt;'111'!$L$11),"x","")</f>
        <v/>
      </c>
      <c r="T933" s="84" t="str">
        <f>IF(ISERROR(FIND('112'!$M$9,G933,1)),"",IF((AND(FIND('112'!$M$9,G933,1)&gt;=1,B933='112'!$K$9,OR($N933='112'!$I$6,$O933='112'!$I$6))),"x",""))</f>
        <v/>
      </c>
      <c r="U933" s="84" t="str">
        <f>IF(ISERROR(FIND('112'!$M$9,G933,1)),"",IF((AND(LEFT(G933,2)=LEFT('112'!$M$9,2),B933&lt;'112'!$K$9,$N933='112'!$I$6)),"x",""))</f>
        <v/>
      </c>
      <c r="V933" s="84" t="str">
        <f>IF(ISERROR(FIND('112'!$M$9,G933,1)),"",IF((AND(RIGHT(G933,2)=RIGHT('112'!$M$9,2),B933&lt;'112'!$K$9,$O933='112'!$I$6)),"x",""))</f>
        <v/>
      </c>
      <c r="W933" s="84" t="str">
        <f>IF(AND('341-CT'!$H$9=H933,OR(LEFT(N933,3)=$W$7,LEFT(O933,3)=$W$7)),"x","")</f>
        <v/>
      </c>
      <c r="X933" s="84" t="str">
        <f>IF(OR(TH!N933=TH!$X$7,O933=TH!$X$7),"x","")</f>
        <v/>
      </c>
      <c r="Y933" s="84" t="str">
        <f>IF(AND(OR(N933="131",O933="131"),H933='131-CT'!$H$9),"x","")</f>
        <v/>
      </c>
      <c r="Z933" s="84"/>
      <c r="AA933" s="84" t="str">
        <f>IF(AND(MONTH(E933)='IN-NX'!$J$5,'IN-NX'!$D$7=D933),"x","")</f>
        <v/>
      </c>
      <c r="AB933" s="84" t="str">
        <f>IF(AND(OR(LEFT(TH!N933,2)="15",LEFT(TH!O933,2)="15"),LEFT(TH!O933,3)&lt;&gt;"111",'152-CT'!$J$8=TH!F933),"x","")</f>
        <v/>
      </c>
      <c r="AC933" s="84" t="str">
        <f>IF(AND(OR(LEFT(TH!N933,2)="15",LEFT(TH!O933,2)="15"),TK!$E$7=TH!F933),"x","")</f>
        <v/>
      </c>
      <c r="AD933" s="84" t="str">
        <f>IF(AND(N933="1521",MONTH(C933)='BK-NL'!$M$11),"x","")</f>
        <v/>
      </c>
    </row>
    <row r="934" spans="1:31" ht="15.75" hidden="1" customHeight="1">
      <c r="A934" s="336" t="str">
        <f>IF(B934&lt;&gt;"",IF(AND(B934='IN-TC'!$S$4,OR(TH!N934="1111",TH!O934="1111")),TH!D934,""),"")</f>
        <v/>
      </c>
      <c r="B934" s="63">
        <f t="shared" si="166"/>
        <v>2</v>
      </c>
      <c r="C934" s="64">
        <v>42418</v>
      </c>
      <c r="D934" s="64" t="s">
        <v>705</v>
      </c>
      <c r="E934" s="64">
        <v>42418</v>
      </c>
      <c r="F934" s="514" t="s">
        <v>1060</v>
      </c>
      <c r="G934" s="67" t="s">
        <v>919</v>
      </c>
      <c r="H934" s="73" t="s">
        <v>733</v>
      </c>
      <c r="I934" s="439"/>
      <c r="J934" s="439"/>
      <c r="K934" s="430">
        <v>210.11</v>
      </c>
      <c r="L934" s="439">
        <v>22370</v>
      </c>
      <c r="M934" s="65">
        <f t="shared" si="168"/>
        <v>4700161</v>
      </c>
      <c r="N934" s="66" t="s">
        <v>99</v>
      </c>
      <c r="O934" s="66" t="s">
        <v>266</v>
      </c>
      <c r="P934" s="84" t="str">
        <f>IF(AND('331-CT'!$E$7=TH!H934,OR(N934="331",O934="331")),"x","")</f>
        <v/>
      </c>
      <c r="Q934" s="84" t="str">
        <f>IF(AND(B934='111'!$L$11,OR($N934=$Q$7,$O934=$Q$7)),"x","")</f>
        <v/>
      </c>
      <c r="R934" s="84" t="str">
        <f>IF(AND($N934=$Q$7,$B934&lt;'111'!$L$11),"x","")</f>
        <v/>
      </c>
      <c r="S934" s="84" t="str">
        <f>IF(AND($O934=$Q$7,$B934&lt;'111'!$L$11),"x","")</f>
        <v/>
      </c>
      <c r="T934" s="84" t="str">
        <f>IF(ISERROR(FIND('112'!$M$9,G934,1)),"",IF((AND(FIND('112'!$M$9,G934,1)&gt;=1,B934='112'!$K$9,OR($N934='112'!$I$6,$O934='112'!$I$6))),"x",""))</f>
        <v/>
      </c>
      <c r="U934" s="84" t="str">
        <f>IF(ISERROR(FIND('112'!$M$9,G934,1)),"",IF((AND(LEFT(G934,2)=LEFT('112'!$M$9,2),B934&lt;'112'!$K$9,$N934='112'!$I$6)),"x",""))</f>
        <v/>
      </c>
      <c r="V934" s="84" t="str">
        <f>IF(ISERROR(FIND('112'!$M$9,G934,1)),"",IF((AND(RIGHT(G934,2)=RIGHT('112'!$M$9,2),B934&lt;'112'!$K$9,$O934='112'!$I$6)),"x",""))</f>
        <v/>
      </c>
      <c r="W934" s="84" t="str">
        <f>IF(AND('341-CT'!$H$9=H934,OR(LEFT(N934,3)=$W$7,LEFT(O934,3)=$W$7)),"x","")</f>
        <v/>
      </c>
      <c r="X934" s="84" t="str">
        <f>IF(OR(TH!N934=TH!$X$7,O934=TH!$X$7),"x","")</f>
        <v/>
      </c>
      <c r="Y934" s="84" t="str">
        <f>IF(AND(OR(N934="131",O934="131"),H934='131-CT'!$H$9),"x","")</f>
        <v/>
      </c>
      <c r="Z934" s="84"/>
      <c r="AA934" s="84" t="str">
        <f>IF(AND(MONTH(E934)='IN-NX'!$J$5,'IN-NX'!$D$7=D934),"x","")</f>
        <v/>
      </c>
      <c r="AB934" s="84" t="str">
        <f>IF(AND(OR(LEFT(TH!N934,2)="15",LEFT(TH!O934,2)="15"),LEFT(TH!O934,3)&lt;&gt;"111",'152-CT'!$J$8=TH!F934),"x","")</f>
        <v/>
      </c>
      <c r="AC934" s="84" t="str">
        <f>IF(AND(OR(LEFT(TH!N934,2)="15",LEFT(TH!O934,2)="15"),TK!$E$7=TH!F934),"x","")</f>
        <v/>
      </c>
      <c r="AD934" s="84" t="str">
        <f>IF(AND(N934="1521",MONTH(C934)='BK-NL'!$M$11),"x","")</f>
        <v/>
      </c>
    </row>
    <row r="935" spans="1:31" ht="15.75" hidden="1" customHeight="1">
      <c r="A935" s="336" t="str">
        <f>IF(B935&lt;&gt;"",IF(AND(B935='IN-TC'!$S$4,OR(TH!N935="1111",TH!O935="1111")),TH!D935,""),"")</f>
        <v/>
      </c>
      <c r="B935" s="63">
        <f t="shared" si="166"/>
        <v>2</v>
      </c>
      <c r="C935" s="64">
        <v>42418</v>
      </c>
      <c r="D935" s="64" t="s">
        <v>705</v>
      </c>
      <c r="E935" s="64">
        <v>42418</v>
      </c>
      <c r="F935" s="514" t="s">
        <v>1061</v>
      </c>
      <c r="G935" s="67" t="s">
        <v>919</v>
      </c>
      <c r="H935" s="73" t="s">
        <v>728</v>
      </c>
      <c r="I935" s="439"/>
      <c r="J935" s="439"/>
      <c r="K935" s="430">
        <v>567.11</v>
      </c>
      <c r="L935" s="439">
        <v>22370</v>
      </c>
      <c r="M935" s="65">
        <f t="shared" si="168"/>
        <v>12686251</v>
      </c>
      <c r="N935" s="66" t="s">
        <v>99</v>
      </c>
      <c r="O935" s="66" t="s">
        <v>266</v>
      </c>
      <c r="P935" s="84" t="str">
        <f>IF(AND('331-CT'!$E$7=TH!H935,OR(N935="331",O935="331")),"x","")</f>
        <v/>
      </c>
      <c r="Q935" s="84" t="str">
        <f>IF(AND(B935='111'!$L$11,OR($N935=$Q$7,$O935=$Q$7)),"x","")</f>
        <v/>
      </c>
      <c r="R935" s="84" t="str">
        <f>IF(AND($N935=$Q$7,$B935&lt;'111'!$L$11),"x","")</f>
        <v/>
      </c>
      <c r="S935" s="84" t="str">
        <f>IF(AND($O935=$Q$7,$B935&lt;'111'!$L$11),"x","")</f>
        <v/>
      </c>
      <c r="T935" s="84" t="str">
        <f>IF(ISERROR(FIND('112'!$M$9,G935,1)),"",IF((AND(FIND('112'!$M$9,G935,1)&gt;=1,B935='112'!$K$9,OR($N935='112'!$I$6,$O935='112'!$I$6))),"x",""))</f>
        <v/>
      </c>
      <c r="U935" s="84" t="str">
        <f>IF(ISERROR(FIND('112'!$M$9,G935,1)),"",IF((AND(LEFT(G935,2)=LEFT('112'!$M$9,2),B935&lt;'112'!$K$9,$N935='112'!$I$6)),"x",""))</f>
        <v/>
      </c>
      <c r="V935" s="84" t="str">
        <f>IF(ISERROR(FIND('112'!$M$9,G935,1)),"",IF((AND(RIGHT(G935,2)=RIGHT('112'!$M$9,2),B935&lt;'112'!$K$9,$O935='112'!$I$6)),"x",""))</f>
        <v/>
      </c>
      <c r="W935" s="84" t="str">
        <f>IF(AND('341-CT'!$H$9=H935,OR(LEFT(N935,3)=$W$7,LEFT(O935,3)=$W$7)),"x","")</f>
        <v/>
      </c>
      <c r="X935" s="84" t="str">
        <f>IF(OR(TH!N935=TH!$X$7,O935=TH!$X$7),"x","")</f>
        <v/>
      </c>
      <c r="Y935" s="84" t="str">
        <f>IF(AND(OR(N935="131",O935="131"),H935='131-CT'!$H$9),"x","")</f>
        <v/>
      </c>
      <c r="Z935" s="84"/>
      <c r="AA935" s="84" t="str">
        <f>IF(AND(MONTH(E935)='IN-NX'!$J$5,'IN-NX'!$D$7=D935),"x","")</f>
        <v/>
      </c>
      <c r="AB935" s="84" t="str">
        <f>IF(AND(OR(LEFT(TH!N935,2)="15",LEFT(TH!O935,2)="15"),LEFT(TH!O935,3)&lt;&gt;"111",'152-CT'!$J$8=TH!F935),"x","")</f>
        <v/>
      </c>
      <c r="AC935" s="84" t="str">
        <f>IF(AND(OR(LEFT(TH!N935,2)="15",LEFT(TH!O935,2)="15"),TK!$E$7=TH!F935),"x","")</f>
        <v/>
      </c>
      <c r="AD935" s="84" t="str">
        <f>IF(AND(N935="1521",MONTH(C935)='BK-NL'!$M$11),"x","")</f>
        <v/>
      </c>
    </row>
    <row r="936" spans="1:31" ht="15.75" hidden="1" customHeight="1">
      <c r="A936" s="336" t="str">
        <f>IF(B936&lt;&gt;"",IF(AND(B936='IN-TC'!$S$4,OR(TH!N936="1111",TH!O936="1111")),TH!D936,""),"")</f>
        <v/>
      </c>
      <c r="B936" s="63">
        <f t="shared" si="166"/>
        <v>2</v>
      </c>
      <c r="C936" s="64">
        <v>42418</v>
      </c>
      <c r="D936" s="64" t="s">
        <v>705</v>
      </c>
      <c r="E936" s="64">
        <v>42418</v>
      </c>
      <c r="F936" s="514" t="s">
        <v>754</v>
      </c>
      <c r="G936" s="67" t="s">
        <v>919</v>
      </c>
      <c r="H936" s="73" t="s">
        <v>727</v>
      </c>
      <c r="I936" s="439"/>
      <c r="J936" s="439"/>
      <c r="K936" s="430">
        <v>306.56</v>
      </c>
      <c r="L936" s="439">
        <v>22370</v>
      </c>
      <c r="M936" s="65">
        <f t="shared" si="168"/>
        <v>6857747</v>
      </c>
      <c r="N936" s="66" t="s">
        <v>99</v>
      </c>
      <c r="O936" s="66" t="s">
        <v>266</v>
      </c>
      <c r="P936" s="84" t="str">
        <f>IF(AND('331-CT'!$E$7=TH!H936,OR(N936="331",O936="331")),"x","")</f>
        <v/>
      </c>
      <c r="Q936" s="84" t="str">
        <f>IF(AND(B936='111'!$L$11,OR($N936=$Q$7,$O936=$Q$7)),"x","")</f>
        <v/>
      </c>
      <c r="R936" s="84" t="str">
        <f>IF(AND($N936=$Q$7,$B936&lt;'111'!$L$11),"x","")</f>
        <v/>
      </c>
      <c r="S936" s="84" t="str">
        <f>IF(AND($O936=$Q$7,$B936&lt;'111'!$L$11),"x","")</f>
        <v/>
      </c>
      <c r="T936" s="84" t="str">
        <f>IF(ISERROR(FIND('112'!$M$9,G936,1)),"",IF((AND(FIND('112'!$M$9,G936,1)&gt;=1,B936='112'!$K$9,OR($N936='112'!$I$6,$O936='112'!$I$6))),"x",""))</f>
        <v/>
      </c>
      <c r="U936" s="84" t="str">
        <f>IF(ISERROR(FIND('112'!$M$9,G936,1)),"",IF((AND(LEFT(G936,2)=LEFT('112'!$M$9,2),B936&lt;'112'!$K$9,$N936='112'!$I$6)),"x",""))</f>
        <v/>
      </c>
      <c r="V936" s="84" t="str">
        <f>IF(ISERROR(FIND('112'!$M$9,G936,1)),"",IF((AND(RIGHT(G936,2)=RIGHT('112'!$M$9,2),B936&lt;'112'!$K$9,$O936='112'!$I$6)),"x",""))</f>
        <v/>
      </c>
      <c r="W936" s="84" t="str">
        <f>IF(AND('341-CT'!$H$9=H936,OR(LEFT(N936,3)=$W$7,LEFT(O936,3)=$W$7)),"x","")</f>
        <v/>
      </c>
      <c r="X936" s="84" t="str">
        <f>IF(OR(TH!N936=TH!$X$7,O936=TH!$X$7),"x","")</f>
        <v/>
      </c>
      <c r="Y936" s="84" t="str">
        <f>IF(AND(OR(N936="131",O936="131"),H936='131-CT'!$H$9),"x","")</f>
        <v/>
      </c>
      <c r="Z936" s="84"/>
      <c r="AA936" s="84" t="str">
        <f>IF(AND(MONTH(E936)='IN-NX'!$J$5,'IN-NX'!$D$7=D936),"x","")</f>
        <v/>
      </c>
      <c r="AB936" s="84" t="str">
        <f>IF(AND(OR(LEFT(TH!N936,2)="15",LEFT(TH!O936,2)="15"),LEFT(TH!O936,3)&lt;&gt;"111",'152-CT'!$J$8=TH!F936),"x","")</f>
        <v/>
      </c>
      <c r="AC936" s="84" t="str">
        <f>IF(AND(OR(LEFT(TH!N936,2)="15",LEFT(TH!O936,2)="15"),TK!$E$7=TH!F936),"x","")</f>
        <v/>
      </c>
      <c r="AD936" s="84" t="str">
        <f>IF(AND(N936="1521",MONTH(C936)='BK-NL'!$M$11),"x","")</f>
        <v/>
      </c>
    </row>
    <row r="937" spans="1:31" s="348" customFormat="1" ht="15.75" hidden="1" customHeight="1">
      <c r="A937" s="336" t="str">
        <f>IF(B937&lt;&gt;"",IF(AND(B937='IN-TC'!$S$4,OR(TH!N937="1111",TH!O937="1111")),TH!D937,""),"")</f>
        <v>C11</v>
      </c>
      <c r="B937" s="63">
        <f t="shared" si="166"/>
        <v>2</v>
      </c>
      <c r="C937" s="64">
        <v>42419</v>
      </c>
      <c r="D937" s="64" t="s">
        <v>879</v>
      </c>
      <c r="E937" s="64">
        <v>42419</v>
      </c>
      <c r="F937" s="514" t="s">
        <v>1007</v>
      </c>
      <c r="G937" s="67" t="s">
        <v>1028</v>
      </c>
      <c r="H937" s="73" t="s">
        <v>1029</v>
      </c>
      <c r="I937" s="444"/>
      <c r="J937" s="444"/>
      <c r="K937" s="435"/>
      <c r="L937" s="444"/>
      <c r="M937" s="65">
        <v>4889537</v>
      </c>
      <c r="N937" s="66" t="s">
        <v>591</v>
      </c>
      <c r="O937" s="66" t="s">
        <v>63</v>
      </c>
      <c r="P937" s="84" t="str">
        <f>IF(AND('331-CT'!$E$7=TH!H937,OR(N937="331",O937="331")),"x","")</f>
        <v/>
      </c>
      <c r="Q937" s="84" t="str">
        <f>IF(AND(B937='111'!$L$11,OR($N937=$Q$7,$O937=$Q$7)),"x","")</f>
        <v/>
      </c>
      <c r="R937" s="84" t="str">
        <f>IF(AND($N937=$Q$7,$B937&lt;'111'!$L$11),"x","")</f>
        <v/>
      </c>
      <c r="S937" s="84" t="str">
        <f>IF(AND($O937=$Q$7,$B937&lt;'111'!$L$11),"x","")</f>
        <v/>
      </c>
      <c r="T937" s="84" t="str">
        <f>IF(ISERROR(FIND('112'!$M$9,G937,1)),"",IF((AND(FIND('112'!$M$9,G937,1)&gt;=1,B937='112'!$K$9,OR($N937='112'!$I$6,$O937='112'!$I$6))),"x",""))</f>
        <v/>
      </c>
      <c r="U937" s="84" t="str">
        <f>IF(ISERROR(FIND('112'!$M$9,G937,1)),"",IF((AND(LEFT(G937,2)=LEFT('112'!$M$9,2),B937&lt;'112'!$K$9,$N937='112'!$I$6)),"x",""))</f>
        <v/>
      </c>
      <c r="V937" s="84" t="str">
        <f>IF(ISERROR(FIND('112'!$M$9,G937,1)),"",IF((AND(RIGHT(G937,2)=RIGHT('112'!$M$9,2),B937&lt;'112'!$K$9,$O937='112'!$I$6)),"x",""))</f>
        <v/>
      </c>
      <c r="W937" s="84" t="str">
        <f>IF(AND('341-CT'!$H$9=H937,OR(LEFT(N937,3)=$W$7,LEFT(O937,3)=$W$7)),"x","")</f>
        <v/>
      </c>
      <c r="X937" s="84" t="str">
        <f>IF(OR(TH!N937=TH!$X$7,O937=TH!$X$7),"x","")</f>
        <v/>
      </c>
      <c r="Y937" s="84" t="str">
        <f>IF(AND(OR(N937="131",O937="131"),H937='131-CT'!$H$9),"x","")</f>
        <v/>
      </c>
      <c r="Z937" s="84"/>
      <c r="AA937" s="84" t="str">
        <f>IF(AND(MONTH(E937)='IN-NX'!$J$5,'IN-NX'!$D$7=D937),"x","")</f>
        <v/>
      </c>
      <c r="AB937" s="84" t="str">
        <f>IF(AND(OR(LEFT(TH!N937,2)="15",LEFT(TH!O937,2)="15"),LEFT(TH!O937,3)&lt;&gt;"111",'152-CT'!$J$8=TH!F937),"x","")</f>
        <v/>
      </c>
      <c r="AC937" s="84" t="str">
        <f>IF(AND(OR(LEFT(TH!N937,2)="15",LEFT(TH!O937,2)="15"),TK!$E$7=TH!F937),"x","")</f>
        <v/>
      </c>
      <c r="AD937" s="84" t="str">
        <f>IF(AND(N937="1521",MONTH(C937)='BK-NL'!$M$11),"x","")</f>
        <v/>
      </c>
      <c r="AE937" s="330"/>
    </row>
    <row r="938" spans="1:31" s="348" customFormat="1" ht="15.75" hidden="1" customHeight="1">
      <c r="A938" s="336" t="str">
        <f>IF(B938&lt;&gt;"",IF(AND(B938='IN-TC'!$S$4,OR(TH!N938="1111",TH!O938="1111")),TH!D938,""),"")</f>
        <v>C11</v>
      </c>
      <c r="B938" s="63">
        <f t="shared" si="166"/>
        <v>2</v>
      </c>
      <c r="C938" s="64">
        <v>42419</v>
      </c>
      <c r="D938" s="64" t="s">
        <v>879</v>
      </c>
      <c r="E938" s="64">
        <v>42419</v>
      </c>
      <c r="F938" s="514" t="s">
        <v>1008</v>
      </c>
      <c r="G938" s="67" t="s">
        <v>1028</v>
      </c>
      <c r="H938" s="73" t="s">
        <v>1029</v>
      </c>
      <c r="I938" s="444"/>
      <c r="J938" s="444"/>
      <c r="K938" s="435"/>
      <c r="L938" s="444"/>
      <c r="M938" s="65">
        <v>270263</v>
      </c>
      <c r="N938" s="66" t="s">
        <v>9</v>
      </c>
      <c r="O938" s="66" t="s">
        <v>63</v>
      </c>
      <c r="P938" s="84" t="str">
        <f>IF(AND('331-CT'!$E$7=TH!H938,OR(N938="331",O938="331")),"x","")</f>
        <v/>
      </c>
      <c r="Q938" s="84" t="str">
        <f>IF(AND(B938='111'!$L$11,OR($N938=$Q$7,$O938=$Q$7)),"x","")</f>
        <v/>
      </c>
      <c r="R938" s="84" t="str">
        <f>IF(AND($N938=$Q$7,$B938&lt;'111'!$L$11),"x","")</f>
        <v/>
      </c>
      <c r="S938" s="84" t="str">
        <f>IF(AND($O938=$Q$7,$B938&lt;'111'!$L$11),"x","")</f>
        <v/>
      </c>
      <c r="T938" s="84" t="str">
        <f>IF(ISERROR(FIND('112'!$M$9,G938,1)),"",IF((AND(FIND('112'!$M$9,G938,1)&gt;=1,B938='112'!$K$9,OR($N938='112'!$I$6,$O938='112'!$I$6))),"x",""))</f>
        <v/>
      </c>
      <c r="U938" s="84" t="str">
        <f>IF(ISERROR(FIND('112'!$M$9,G938,1)),"",IF((AND(LEFT(G938,2)=LEFT('112'!$M$9,2),B938&lt;'112'!$K$9,$N938='112'!$I$6)),"x",""))</f>
        <v/>
      </c>
      <c r="V938" s="84" t="str">
        <f>IF(ISERROR(FIND('112'!$M$9,G938,1)),"",IF((AND(RIGHT(G938,2)=RIGHT('112'!$M$9,2),B938&lt;'112'!$K$9,$O938='112'!$I$6)),"x",""))</f>
        <v/>
      </c>
      <c r="W938" s="84" t="str">
        <f>IF(AND('341-CT'!$H$9=H938,OR(LEFT(N938,3)=$W$7,LEFT(O938,3)=$W$7)),"x","")</f>
        <v/>
      </c>
      <c r="X938" s="84" t="str">
        <f>IF(OR(TH!N938=TH!$X$7,O938=TH!$X$7),"x","")</f>
        <v/>
      </c>
      <c r="Y938" s="84" t="str">
        <f>IF(AND(OR(N938="131",O938="131"),H938='131-CT'!$H$9),"x","")</f>
        <v/>
      </c>
      <c r="Z938" s="84"/>
      <c r="AA938" s="84" t="str">
        <f>IF(AND(MONTH(E938)='IN-NX'!$J$5,'IN-NX'!$D$7=D938),"x","")</f>
        <v/>
      </c>
      <c r="AB938" s="84" t="str">
        <f>IF(AND(OR(LEFT(TH!N938,2)="15",LEFT(TH!O938,2)="15"),LEFT(TH!O938,3)&lt;&gt;"111",'152-CT'!$J$8=TH!F938),"x","")</f>
        <v/>
      </c>
      <c r="AC938" s="84" t="str">
        <f>IF(AND(OR(LEFT(TH!N938,2)="15",LEFT(TH!O938,2)="15"),TK!$E$7=TH!F938),"x","")</f>
        <v/>
      </c>
      <c r="AD938" s="84" t="str">
        <f>IF(AND(N938="1521",MONTH(C938)='BK-NL'!$M$11),"x","")</f>
        <v/>
      </c>
      <c r="AE938" s="330"/>
    </row>
    <row r="939" spans="1:31" s="349" customFormat="1" ht="15.75" hidden="1" customHeight="1">
      <c r="A939" s="336" t="str">
        <f>IF(B939&lt;&gt;"",IF(AND(B939='IN-TC'!$S$4,OR(TH!N939="1111",TH!O939="1111")),TH!D939,""),"")</f>
        <v/>
      </c>
      <c r="B939" s="63">
        <f t="shared" si="166"/>
        <v>2</v>
      </c>
      <c r="C939" s="64">
        <v>42419</v>
      </c>
      <c r="D939" s="64" t="s">
        <v>702</v>
      </c>
      <c r="E939" s="64">
        <v>42419</v>
      </c>
      <c r="F939" s="514" t="s">
        <v>1045</v>
      </c>
      <c r="G939" s="67" t="s">
        <v>920</v>
      </c>
      <c r="H939" s="73"/>
      <c r="I939" s="439"/>
      <c r="J939" s="439"/>
      <c r="K939" s="430"/>
      <c r="L939" s="439"/>
      <c r="M939" s="65">
        <v>5000000</v>
      </c>
      <c r="N939" s="66" t="s">
        <v>26</v>
      </c>
      <c r="O939" s="66" t="s">
        <v>26</v>
      </c>
      <c r="P939" s="84" t="str">
        <f>IF(AND('331-CT'!$E$7=TH!H939,OR(N939="331",O939="331")),"x","")</f>
        <v/>
      </c>
      <c r="Q939" s="84" t="str">
        <f>IF(AND(B939='111'!$L$11,OR($N939=$Q$7,$O939=$Q$7)),"x","")</f>
        <v/>
      </c>
      <c r="R939" s="84" t="str">
        <f>IF(AND($N939=$Q$7,$B939&lt;'111'!$L$11),"x","")</f>
        <v/>
      </c>
      <c r="S939" s="84" t="str">
        <f>IF(AND($O939=$Q$7,$B939&lt;'111'!$L$11),"x","")</f>
        <v/>
      </c>
      <c r="T939" s="84" t="str">
        <f>IF(ISERROR(FIND('112'!$M$9,G939,1)),"",IF((AND(FIND('112'!$M$9,G939,1)&gt;=1,B939='112'!$K$9,OR($N939='112'!$I$6,$O939='112'!$I$6))),"x",""))</f>
        <v/>
      </c>
      <c r="U939" s="84" t="str">
        <f>IF(ISERROR(FIND('112'!$M$9,G939,1)),"",IF((AND(LEFT(G939,2)=LEFT('112'!$M$9,2),B939&lt;'112'!$K$9,$N939='112'!$I$6)),"x",""))</f>
        <v>x</v>
      </c>
      <c r="V939" s="84" t="str">
        <f>IF(ISERROR(FIND('112'!$M$9,G939,1)),"",IF((AND(RIGHT(G939,2)=RIGHT('112'!$M$9,2),B939&lt;'112'!$K$9,$O939='112'!$I$6)),"x",""))</f>
        <v/>
      </c>
      <c r="W939" s="84" t="str">
        <f>IF(AND('341-CT'!$H$9=H939,OR(LEFT(N939,3)=$W$7,LEFT(O939,3)=$W$7)),"x","")</f>
        <v/>
      </c>
      <c r="X939" s="84" t="str">
        <f>IF(OR(TH!N939=TH!$X$7,O939=TH!$X$7),"x","")</f>
        <v/>
      </c>
      <c r="Y939" s="84" t="str">
        <f>IF(AND(OR(N939="131",O939="131"),H939='131-CT'!$H$9),"x","")</f>
        <v/>
      </c>
      <c r="Z939" s="84"/>
      <c r="AA939" s="84" t="str">
        <f>IF(AND(MONTH(E939)='IN-NX'!$J$5,'IN-NX'!$D$7=D939),"x","")</f>
        <v/>
      </c>
      <c r="AB939" s="84" t="str">
        <f>IF(AND(OR(LEFT(TH!N939,2)="15",LEFT(TH!O939,2)="15"),LEFT(TH!O939,3)&lt;&gt;"111",'152-CT'!$J$8=TH!F939),"x","")</f>
        <v/>
      </c>
      <c r="AC939" s="84" t="str">
        <f>IF(AND(OR(LEFT(TH!N939,2)="15",LEFT(TH!O939,2)="15"),TK!$E$7=TH!F939),"x","")</f>
        <v/>
      </c>
      <c r="AD939" s="84" t="str">
        <f>IF(AND(N939="1521",MONTH(C939)='BK-NL'!$M$11),"x","")</f>
        <v/>
      </c>
      <c r="AE939" s="348"/>
    </row>
    <row r="940" spans="1:31" ht="15.75" hidden="1" customHeight="1">
      <c r="A940" s="336" t="str">
        <f>IF(B940&lt;&gt;"",IF(AND(B940='IN-TC'!$S$4,OR(TH!N940="1111",TH!O940="1111")),TH!D940,""),"")</f>
        <v/>
      </c>
      <c r="B940" s="63">
        <f t="shared" si="166"/>
        <v>2</v>
      </c>
      <c r="C940" s="64">
        <v>42419</v>
      </c>
      <c r="D940" s="64" t="s">
        <v>702</v>
      </c>
      <c r="E940" s="64">
        <v>42419</v>
      </c>
      <c r="F940" s="514" t="s">
        <v>1103</v>
      </c>
      <c r="G940" s="67" t="s">
        <v>919</v>
      </c>
      <c r="H940" s="67" t="s">
        <v>632</v>
      </c>
      <c r="I940" s="441"/>
      <c r="J940" s="441"/>
      <c r="K940" s="432"/>
      <c r="L940" s="441"/>
      <c r="M940" s="65">
        <v>32260140</v>
      </c>
      <c r="N940" s="66" t="s">
        <v>8</v>
      </c>
      <c r="O940" s="66" t="s">
        <v>26</v>
      </c>
      <c r="P940" s="84" t="str">
        <f>IF(AND('331-CT'!$E$7=TH!H940,OR(N940="331",O940="331")),"x","")</f>
        <v/>
      </c>
      <c r="Q940" s="84" t="str">
        <f>IF(AND(B940='111'!$L$11,OR($N940=$Q$7,$O940=$Q$7)),"x","")</f>
        <v/>
      </c>
      <c r="R940" s="84" t="str">
        <f>IF(AND($N940=$Q$7,$B940&lt;'111'!$L$11),"x","")</f>
        <v/>
      </c>
      <c r="S940" s="84" t="str">
        <f>IF(AND($O940=$Q$7,$B940&lt;'111'!$L$11),"x","")</f>
        <v/>
      </c>
      <c r="T940" s="84" t="str">
        <f>IF(ISERROR(FIND('112'!$M$9,G940,1)),"",IF((AND(FIND('112'!$M$9,G940,1)&gt;=1,B940='112'!$K$9,OR($N940='112'!$I$6,$O940='112'!$I$6))),"x",""))</f>
        <v/>
      </c>
      <c r="U940" s="84" t="str">
        <f>IF(ISERROR(FIND('112'!$M$9,G940,1)),"",IF((AND(LEFT(G940,2)=LEFT('112'!$M$9,2),B940&lt;'112'!$K$9,$N940='112'!$I$6)),"x",""))</f>
        <v/>
      </c>
      <c r="V940" s="84" t="str">
        <f>IF(ISERROR(FIND('112'!$M$9,G940,1)),"",IF((AND(RIGHT(G940,2)=RIGHT('112'!$M$9,2),B940&lt;'112'!$K$9,$O940='112'!$I$6)),"x",""))</f>
        <v>x</v>
      </c>
      <c r="W940" s="84" t="str">
        <f>IF(AND('341-CT'!$H$9=H940,OR(LEFT(N940,3)=$W$7,LEFT(O940,3)=$W$7)),"x","")</f>
        <v/>
      </c>
      <c r="X940" s="84" t="str">
        <f>IF(OR(TH!N940=TH!$X$7,O940=TH!$X$7),"x","")</f>
        <v/>
      </c>
      <c r="Y940" s="84" t="str">
        <f>IF(AND(OR(N940="131",O940="131"),H940='131-CT'!$H$9),"x","")</f>
        <v/>
      </c>
      <c r="Z940" s="84"/>
      <c r="AA940" s="84" t="str">
        <f>IF(AND(MONTH(E940)='IN-NX'!$J$5,'IN-NX'!$D$7=D940),"x","")</f>
        <v/>
      </c>
      <c r="AB940" s="84" t="str">
        <f>IF(AND(OR(LEFT(TH!N940,2)="15",LEFT(TH!O940,2)="15"),LEFT(TH!O940,3)&lt;&gt;"111",'152-CT'!$J$8=TH!F940),"x","")</f>
        <v/>
      </c>
      <c r="AC940" s="84" t="str">
        <f>IF(AND(OR(LEFT(TH!N940,2)="15",LEFT(TH!O940,2)="15"),TK!$E$7=TH!F940),"x","")</f>
        <v/>
      </c>
      <c r="AD940" s="84" t="str">
        <f>IF(AND(N940="1521",MONTH(C940)='BK-NL'!$M$11),"x","")</f>
        <v/>
      </c>
      <c r="AE940" s="1146" t="str">
        <f>IF(H940&lt;&gt;VLOOKUP(H940,DSKH,1,0),"","x")</f>
        <v>x</v>
      </c>
    </row>
    <row r="941" spans="1:31" ht="15.75" hidden="1" customHeight="1">
      <c r="A941" s="336" t="str">
        <f>IF(B941&lt;&gt;"",IF(AND(B941='IN-TC'!$S$4,OR(TH!N941="1111",TH!O941="1111")),TH!D941,""),"")</f>
        <v/>
      </c>
      <c r="B941" s="63">
        <f t="shared" si="166"/>
        <v>2</v>
      </c>
      <c r="C941" s="64">
        <v>42420</v>
      </c>
      <c r="D941" s="64" t="s">
        <v>702</v>
      </c>
      <c r="E941" s="64">
        <v>42420</v>
      </c>
      <c r="F941" s="514" t="s">
        <v>1054</v>
      </c>
      <c r="G941" s="67" t="s">
        <v>918</v>
      </c>
      <c r="H941" s="344" t="s">
        <v>599</v>
      </c>
      <c r="I941" s="439"/>
      <c r="J941" s="439"/>
      <c r="K941" s="430">
        <v>4819.12</v>
      </c>
      <c r="L941" s="439">
        <v>22345</v>
      </c>
      <c r="M941" s="65">
        <f>ROUND(K941*L941,0)</f>
        <v>107683236</v>
      </c>
      <c r="N941" s="66" t="s">
        <v>266</v>
      </c>
      <c r="O941" s="66" t="s">
        <v>588</v>
      </c>
      <c r="P941" s="84" t="str">
        <f>IF(AND('331-CT'!$E$7=TH!H941,OR(N941="331",O941="331")),"x","")</f>
        <v/>
      </c>
      <c r="Q941" s="84" t="str">
        <f>IF(AND(B941='111'!$L$11,OR($N941=$Q$7,$O941=$Q$7)),"x","")</f>
        <v/>
      </c>
      <c r="R941" s="84" t="str">
        <f>IF(AND($N941=$Q$7,$B941&lt;'111'!$L$11),"x","")</f>
        <v/>
      </c>
      <c r="S941" s="84" t="str">
        <f>IF(AND($O941=$Q$7,$B941&lt;'111'!$L$11),"x","")</f>
        <v/>
      </c>
      <c r="T941" s="84" t="str">
        <f>IF(ISERROR(FIND('112'!$M$9,G941,1)),"",IF((AND(FIND('112'!$M$9,G941,1)&gt;=1,B941='112'!$K$9,OR($N941='112'!$I$6,$O941='112'!$I$6))),"x",""))</f>
        <v/>
      </c>
      <c r="U941" s="84" t="str">
        <f>IF(ISERROR(FIND('112'!$M$9,G941,1)),"",IF((AND(LEFT(G941,2)=LEFT('112'!$M$9,2),B941&lt;'112'!$K$9,$N941='112'!$I$6)),"x",""))</f>
        <v/>
      </c>
      <c r="V941" s="84" t="str">
        <f>IF(ISERROR(FIND('112'!$M$9,G941,1)),"",IF((AND(RIGHT(G941,2)=RIGHT('112'!$M$9,2),B941&lt;'112'!$K$9,$O941='112'!$I$6)),"x",""))</f>
        <v/>
      </c>
      <c r="W941" s="84" t="str">
        <f>IF(AND('341-CT'!$H$9=H941,OR(LEFT(N941,3)=$W$7,LEFT(O941,3)=$W$7)),"x","")</f>
        <v/>
      </c>
      <c r="X941" s="84" t="str">
        <f>IF(OR(TH!N941=TH!$X$7,O941=TH!$X$7),"x","")</f>
        <v/>
      </c>
      <c r="Y941" s="84" t="str">
        <f>IF(AND(OR(N941="131",O941="131"),H941='131-CT'!$H$9),"x","")</f>
        <v/>
      </c>
      <c r="Z941" s="84"/>
      <c r="AA941" s="84" t="str">
        <f>IF(AND(MONTH(E941)='IN-NX'!$J$5,'IN-NX'!$D$7=D941),"x","")</f>
        <v/>
      </c>
      <c r="AB941" s="84" t="str">
        <f>IF(AND(OR(LEFT(TH!N941,2)="15",LEFT(TH!O941,2)="15"),LEFT(TH!O941,3)&lt;&gt;"111",'152-CT'!$J$8=TH!F941),"x","")</f>
        <v/>
      </c>
      <c r="AC941" s="84" t="str">
        <f>IF(AND(OR(LEFT(TH!N941,2)="15",LEFT(TH!O941,2)="15"),TK!$E$7=TH!F941),"x","")</f>
        <v/>
      </c>
      <c r="AD941" s="84" t="str">
        <f>IF(AND(N941="1521",MONTH(C941)='BK-NL'!$M$11),"x","")</f>
        <v/>
      </c>
      <c r="AE941" s="349"/>
    </row>
    <row r="942" spans="1:31" ht="15.75" hidden="1" customHeight="1">
      <c r="A942" s="336" t="str">
        <f>IF(B942&lt;&gt;"",IF(AND(B942='IN-TC'!$S$4,OR(TH!N942="1111",TH!O942="1111")),TH!D942,""),"")</f>
        <v/>
      </c>
      <c r="B942" s="63">
        <f t="shared" si="166"/>
        <v>2</v>
      </c>
      <c r="C942" s="64">
        <f>E942</f>
        <v>42420</v>
      </c>
      <c r="D942" s="318" t="s">
        <v>582</v>
      </c>
      <c r="E942" s="318">
        <v>42420</v>
      </c>
      <c r="F942" s="514" t="s">
        <v>1071</v>
      </c>
      <c r="G942" s="67" t="s">
        <v>918</v>
      </c>
      <c r="H942" s="320" t="s">
        <v>599</v>
      </c>
      <c r="I942" s="439"/>
      <c r="J942" s="439"/>
      <c r="K942" s="430">
        <v>154.44</v>
      </c>
      <c r="L942" s="439">
        <v>22345</v>
      </c>
      <c r="M942" s="65">
        <f>ROUND(K942*L942,0)</f>
        <v>3450962</v>
      </c>
      <c r="N942" s="321" t="s">
        <v>101</v>
      </c>
      <c r="O942" s="66" t="s">
        <v>588</v>
      </c>
      <c r="P942" s="84" t="str">
        <f>IF(AND('331-CT'!$E$7=TH!H942,OR(N942="331",O942="331")),"x","")</f>
        <v/>
      </c>
      <c r="Q942" s="84" t="str">
        <f>IF(AND(B942='111'!$L$11,OR($N942=$Q$7,$O942=$Q$7)),"x","")</f>
        <v/>
      </c>
      <c r="R942" s="84" t="str">
        <f>IF(AND($N942=$Q$7,$B942&lt;'111'!$L$11),"x","")</f>
        <v/>
      </c>
      <c r="S942" s="84" t="str">
        <f>IF(AND($O942=$Q$7,$B942&lt;'111'!$L$11),"x","")</f>
        <v/>
      </c>
      <c r="T942" s="84" t="str">
        <f>IF(ISERROR(FIND('112'!$M$9,G942,1)),"",IF((AND(FIND('112'!$M$9,G942,1)&gt;=1,B942='112'!$K$9,OR($N942='112'!$I$6,$O942='112'!$I$6))),"x",""))</f>
        <v/>
      </c>
      <c r="U942" s="84" t="str">
        <f>IF(ISERROR(FIND('112'!$M$9,G942,1)),"",IF((AND(LEFT(G942,2)=LEFT('112'!$M$9,2),B942&lt;'112'!$K$9,$N942='112'!$I$6)),"x",""))</f>
        <v/>
      </c>
      <c r="V942" s="84" t="str">
        <f>IF(ISERROR(FIND('112'!$M$9,G942,1)),"",IF((AND(RIGHT(G942,2)=RIGHT('112'!$M$9,2),B942&lt;'112'!$K$9,$O942='112'!$I$6)),"x",""))</f>
        <v/>
      </c>
      <c r="W942" s="84" t="str">
        <f>IF(AND('341-CT'!$H$9=H942,OR(LEFT(N942,3)=$W$7,LEFT(O942,3)=$W$7)),"x","")</f>
        <v/>
      </c>
      <c r="X942" s="84" t="str">
        <f>IF(OR(TH!N942=TH!$X$7,O942=TH!$X$7),"x","")</f>
        <v/>
      </c>
      <c r="Y942" s="84" t="str">
        <f>IF(AND(OR(N942="131",O942="131"),H942='131-CT'!$H$9),"x","")</f>
        <v/>
      </c>
      <c r="Z942" s="84"/>
      <c r="AA942" s="84" t="str">
        <f>IF(AND(MONTH(E942)='IN-NX'!$J$5,'IN-NX'!$D$7=D942),"x","")</f>
        <v/>
      </c>
      <c r="AB942" s="84" t="str">
        <f>IF(AND(OR(LEFT(TH!N942,2)="15",LEFT(TH!O942,2)="15"),LEFT(TH!O942,3)&lt;&gt;"111",'152-CT'!$J$8=TH!F942),"x","")</f>
        <v/>
      </c>
      <c r="AC942" s="84" t="str">
        <f>IF(AND(OR(LEFT(TH!N942,2)="15",LEFT(TH!O942,2)="15"),TK!$E$7=TH!F942),"x","")</f>
        <v/>
      </c>
      <c r="AD942" s="84" t="str">
        <f>IF(AND(N942="1521",MONTH(C942)='BK-NL'!$M$11),"x","")</f>
        <v/>
      </c>
    </row>
    <row r="943" spans="1:31" ht="15.75" hidden="1" customHeight="1">
      <c r="A943" s="336" t="str">
        <f>IF(B943&lt;&gt;"",IF(AND(B943='IN-TC'!$S$4,OR(TH!N943="1111",TH!O943="1111")),TH!D943,""),"")</f>
        <v/>
      </c>
      <c r="B943" s="63">
        <f t="shared" si="166"/>
        <v>2</v>
      </c>
      <c r="C943" s="64">
        <f>E943</f>
        <v>42420</v>
      </c>
      <c r="D943" s="318" t="s">
        <v>582</v>
      </c>
      <c r="E943" s="318">
        <v>42420</v>
      </c>
      <c r="F943" s="514" t="s">
        <v>1072</v>
      </c>
      <c r="G943" s="67" t="s">
        <v>918</v>
      </c>
      <c r="H943" s="320" t="s">
        <v>599</v>
      </c>
      <c r="I943" s="439"/>
      <c r="J943" s="439"/>
      <c r="K943" s="430">
        <v>15.44</v>
      </c>
      <c r="L943" s="439">
        <v>22345</v>
      </c>
      <c r="M943" s="65">
        <f>ROUND(K943*L943,0)</f>
        <v>345007</v>
      </c>
      <c r="N943" s="321" t="s">
        <v>9</v>
      </c>
      <c r="O943" s="66" t="s">
        <v>588</v>
      </c>
      <c r="P943" s="84" t="str">
        <f>IF(AND('331-CT'!$E$7=TH!H943,OR(N943="331",O943="331")),"x","")</f>
        <v/>
      </c>
      <c r="Q943" s="84" t="str">
        <f>IF(AND(B943='111'!$L$11,OR($N943=$Q$7,$O943=$Q$7)),"x","")</f>
        <v/>
      </c>
      <c r="R943" s="84" t="str">
        <f>IF(AND($N943=$Q$7,$B943&lt;'111'!$L$11),"x","")</f>
        <v/>
      </c>
      <c r="S943" s="84" t="str">
        <f>IF(AND($O943=$Q$7,$B943&lt;'111'!$L$11),"x","")</f>
        <v/>
      </c>
      <c r="T943" s="84" t="str">
        <f>IF(ISERROR(FIND('112'!$M$9,G943,1)),"",IF((AND(FIND('112'!$M$9,G943,1)&gt;=1,B943='112'!$K$9,OR($N943='112'!$I$6,$O943='112'!$I$6))),"x",""))</f>
        <v/>
      </c>
      <c r="U943" s="84" t="str">
        <f>IF(ISERROR(FIND('112'!$M$9,G943,1)),"",IF((AND(LEFT(G943,2)=LEFT('112'!$M$9,2),B943&lt;'112'!$K$9,$N943='112'!$I$6)),"x",""))</f>
        <v/>
      </c>
      <c r="V943" s="84" t="str">
        <f>IF(ISERROR(FIND('112'!$M$9,G943,1)),"",IF((AND(RIGHT(G943,2)=RIGHT('112'!$M$9,2),B943&lt;'112'!$K$9,$O943='112'!$I$6)),"x",""))</f>
        <v/>
      </c>
      <c r="W943" s="84" t="str">
        <f>IF(AND('341-CT'!$H$9=H943,OR(LEFT(N943,3)=$W$7,LEFT(O943,3)=$W$7)),"x","")</f>
        <v/>
      </c>
      <c r="X943" s="84" t="str">
        <f>IF(OR(TH!N943=TH!$X$7,O943=TH!$X$7),"x","")</f>
        <v/>
      </c>
      <c r="Y943" s="84" t="str">
        <f>IF(AND(OR(N943="131",O943="131"),H943='131-CT'!$H$9),"x","")</f>
        <v/>
      </c>
      <c r="Z943" s="84"/>
      <c r="AA943" s="84" t="str">
        <f>IF(AND(MONTH(E943)='IN-NX'!$J$5,'IN-NX'!$D$7=D943),"x","")</f>
        <v/>
      </c>
      <c r="AB943" s="84" t="str">
        <f>IF(AND(OR(LEFT(TH!N943,2)="15",LEFT(TH!O943,2)="15"),LEFT(TH!O943,3)&lt;&gt;"111",'152-CT'!$J$8=TH!F943),"x","")</f>
        <v/>
      </c>
      <c r="AC943" s="84" t="str">
        <f>IF(AND(OR(LEFT(TH!N943,2)="15",LEFT(TH!O943,2)="15"),TK!$E$7=TH!F943),"x","")</f>
        <v/>
      </c>
      <c r="AD943" s="84" t="str">
        <f>IF(AND(N943="1521",MONTH(C943)='BK-NL'!$M$11),"x","")</f>
        <v/>
      </c>
    </row>
    <row r="944" spans="1:31" ht="15.75" hidden="1" customHeight="1">
      <c r="A944" s="336" t="str">
        <f>IF(B944&lt;&gt;"",IF(AND(B944='IN-TC'!$S$4,OR(TH!N944="1111",TH!O944="1111")),TH!D944,""),"")</f>
        <v/>
      </c>
      <c r="B944" s="63">
        <f t="shared" si="166"/>
        <v>2</v>
      </c>
      <c r="C944" s="64">
        <f>E944</f>
        <v>42420</v>
      </c>
      <c r="D944" s="318" t="s">
        <v>582</v>
      </c>
      <c r="E944" s="318">
        <v>42420</v>
      </c>
      <c r="F944" s="514" t="s">
        <v>1074</v>
      </c>
      <c r="G944" s="67" t="s">
        <v>918</v>
      </c>
      <c r="H944" s="344" t="s">
        <v>599</v>
      </c>
      <c r="I944" s="439"/>
      <c r="J944" s="439"/>
      <c r="K944" s="430">
        <v>171</v>
      </c>
      <c r="L944" s="439">
        <v>22345</v>
      </c>
      <c r="M944" s="65">
        <f>ROUND(K944*L944,0)</f>
        <v>3820995</v>
      </c>
      <c r="N944" s="66" t="s">
        <v>101</v>
      </c>
      <c r="O944" s="66" t="s">
        <v>588</v>
      </c>
      <c r="P944" s="84" t="str">
        <f>IF(AND('331-CT'!$E$7=TH!H944,OR(N944="331",O944="331")),"x","")</f>
        <v/>
      </c>
      <c r="Q944" s="84" t="str">
        <f>IF(AND(B944='111'!$L$11,OR($N944=$Q$7,$O944=$Q$7)),"x","")</f>
        <v/>
      </c>
      <c r="R944" s="84" t="str">
        <f>IF(AND($N944=$Q$7,$B944&lt;'111'!$L$11),"x","")</f>
        <v/>
      </c>
      <c r="S944" s="84" t="str">
        <f>IF(AND($O944=$Q$7,$B944&lt;'111'!$L$11),"x","")</f>
        <v/>
      </c>
      <c r="T944" s="84" t="str">
        <f>IF(ISERROR(FIND('112'!$M$9,G944,1)),"",IF((AND(FIND('112'!$M$9,G944,1)&gt;=1,B944='112'!$K$9,OR($N944='112'!$I$6,$O944='112'!$I$6))),"x",""))</f>
        <v/>
      </c>
      <c r="U944" s="84" t="str">
        <f>IF(ISERROR(FIND('112'!$M$9,G944,1)),"",IF((AND(LEFT(G944,2)=LEFT('112'!$M$9,2),B944&lt;'112'!$K$9,$N944='112'!$I$6)),"x",""))</f>
        <v/>
      </c>
      <c r="V944" s="84" t="str">
        <f>IF(ISERROR(FIND('112'!$M$9,G944,1)),"",IF((AND(RIGHT(G944,2)=RIGHT('112'!$M$9,2),B944&lt;'112'!$K$9,$O944='112'!$I$6)),"x",""))</f>
        <v/>
      </c>
      <c r="W944" s="84" t="str">
        <f>IF(AND('341-CT'!$H$9=H944,OR(LEFT(N944,3)=$W$7,LEFT(O944,3)=$W$7)),"x","")</f>
        <v/>
      </c>
      <c r="X944" s="84" t="str">
        <f>IF(OR(TH!N944=TH!$X$7,O944=TH!$X$7),"x","")</f>
        <v/>
      </c>
      <c r="Y944" s="84" t="str">
        <f>IF(AND(OR(N944="131",O944="131"),H944='131-CT'!$H$9),"x","")</f>
        <v/>
      </c>
      <c r="Z944" s="84"/>
      <c r="AA944" s="84" t="str">
        <f>IF(AND(MONTH(E944)='IN-NX'!$J$5,'IN-NX'!$D$7=D944),"x","")</f>
        <v/>
      </c>
      <c r="AB944" s="84" t="str">
        <f>IF(AND(OR(LEFT(TH!N944,2)="15",LEFT(TH!O944,2)="15"),LEFT(TH!O944,3)&lt;&gt;"111",'152-CT'!$J$8=TH!F944),"x","")</f>
        <v/>
      </c>
      <c r="AC944" s="84" t="str">
        <f>IF(AND(OR(LEFT(TH!N944,2)="15",LEFT(TH!O944,2)="15"),TK!$E$7=TH!F944),"x","")</f>
        <v/>
      </c>
      <c r="AD944" s="84" t="str">
        <f>IF(AND(N944="1521",MONTH(C944)='BK-NL'!$M$11),"x","")</f>
        <v/>
      </c>
    </row>
    <row r="945" spans="1:31" ht="15.75" hidden="1" customHeight="1">
      <c r="A945" s="336" t="str">
        <f>IF(B945&lt;&gt;"",IF(AND(B945='IN-TC'!$S$4,OR(TH!N945="1111",TH!O945="1111")),TH!D945,""),"")</f>
        <v/>
      </c>
      <c r="B945" s="63">
        <f t="shared" si="166"/>
        <v>2</v>
      </c>
      <c r="C945" s="64">
        <f>E945</f>
        <v>42420</v>
      </c>
      <c r="D945" s="318" t="s">
        <v>582</v>
      </c>
      <c r="E945" s="318">
        <v>42420</v>
      </c>
      <c r="F945" s="514" t="s">
        <v>1068</v>
      </c>
      <c r="G945" s="67"/>
      <c r="H945" s="344" t="s">
        <v>599</v>
      </c>
      <c r="I945" s="439"/>
      <c r="J945" s="439"/>
      <c r="K945" s="430"/>
      <c r="L945" s="439"/>
      <c r="M945" s="65">
        <v>4093800</v>
      </c>
      <c r="N945" s="66" t="s">
        <v>588</v>
      </c>
      <c r="O945" s="66" t="s">
        <v>43</v>
      </c>
      <c r="P945" s="84" t="str">
        <f>IF(AND('331-CT'!$E$7=TH!H945,OR(N945="331",O945="331")),"x","")</f>
        <v/>
      </c>
      <c r="Q945" s="84" t="str">
        <f>IF(AND(B945='111'!$L$11,OR($N945=$Q$7,$O945=$Q$7)),"x","")</f>
        <v/>
      </c>
      <c r="R945" s="84" t="str">
        <f>IF(AND($N945=$Q$7,$B945&lt;'111'!$L$11),"x","")</f>
        <v/>
      </c>
      <c r="S945" s="84" t="str">
        <f>IF(AND($O945=$Q$7,$B945&lt;'111'!$L$11),"x","")</f>
        <v/>
      </c>
      <c r="T945" s="84" t="str">
        <f>IF(ISERROR(FIND('112'!$M$9,G945,1)),"",IF((AND(FIND('112'!$M$9,G945,1)&gt;=1,B945='112'!$K$9,OR($N945='112'!$I$6,$O945='112'!$I$6))),"x",""))</f>
        <v/>
      </c>
      <c r="U945" s="84" t="str">
        <f>IF(ISERROR(FIND('112'!$M$9,G945,1)),"",IF((AND(LEFT(G945,2)=LEFT('112'!$M$9,2),B945&lt;'112'!$K$9,$N945='112'!$I$6)),"x",""))</f>
        <v/>
      </c>
      <c r="V945" s="84" t="str">
        <f>IF(ISERROR(FIND('112'!$M$9,G945,1)),"",IF((AND(RIGHT(G945,2)=RIGHT('112'!$M$9,2),B945&lt;'112'!$K$9,$O945='112'!$I$6)),"x",""))</f>
        <v/>
      </c>
      <c r="W945" s="84" t="str">
        <f>IF(AND('341-CT'!$H$9=H945,OR(LEFT(N945,3)=$W$7,LEFT(O945,3)=$W$7)),"x","")</f>
        <v/>
      </c>
      <c r="X945" s="84" t="str">
        <f>IF(OR(TH!N945=TH!$X$7,O945=TH!$X$7),"x","")</f>
        <v/>
      </c>
      <c r="Y945" s="84" t="str">
        <f>IF(AND(OR(N945="131",O945="131"),H945='131-CT'!$H$9),"x","")</f>
        <v/>
      </c>
      <c r="Z945" s="84"/>
      <c r="AA945" s="84" t="str">
        <f>IF(AND(MONTH(E945)='IN-NX'!$J$5,'IN-NX'!$D$7=D945),"x","")</f>
        <v/>
      </c>
      <c r="AB945" s="84" t="str">
        <f>IF(AND(OR(LEFT(TH!N945,2)="15",LEFT(TH!O945,2)="15"),LEFT(TH!O945,3)&lt;&gt;"111",'152-CT'!$J$8=TH!F945),"x","")</f>
        <v/>
      </c>
      <c r="AC945" s="84" t="str">
        <f>IF(AND(OR(LEFT(TH!N945,2)="15",LEFT(TH!O945,2)="15"),TK!$E$7=TH!F945),"x","")</f>
        <v/>
      </c>
      <c r="AD945" s="84" t="str">
        <f>IF(AND(N945="1521",MONTH(C945)='BK-NL'!$M$11),"x","")</f>
        <v/>
      </c>
    </row>
    <row r="946" spans="1:31" s="350" customFormat="1" ht="15.75" hidden="1" customHeight="1">
      <c r="A946" s="336" t="str">
        <f>IF(B946&lt;&gt;"",IF(AND(B946='IN-TC'!$S$4,OR(TH!N946="1111",TH!O946="1111")),TH!D946,""),"")</f>
        <v/>
      </c>
      <c r="B946" s="63">
        <f t="shared" si="166"/>
        <v>2</v>
      </c>
      <c r="C946" s="64">
        <v>42420</v>
      </c>
      <c r="D946" s="64" t="s">
        <v>705</v>
      </c>
      <c r="E946" s="64">
        <v>42420</v>
      </c>
      <c r="F946" s="73" t="s">
        <v>1066</v>
      </c>
      <c r="G946" s="67" t="s">
        <v>918</v>
      </c>
      <c r="H946" s="73"/>
      <c r="I946" s="439"/>
      <c r="J946" s="439"/>
      <c r="K946" s="430">
        <v>161.63999999999999</v>
      </c>
      <c r="L946" s="439">
        <v>22345</v>
      </c>
      <c r="M946" s="65">
        <f>ROUND(K946*L946,0)</f>
        <v>3611846</v>
      </c>
      <c r="N946" s="66" t="s">
        <v>99</v>
      </c>
      <c r="O946" s="66" t="s">
        <v>266</v>
      </c>
      <c r="P946" s="84" t="str">
        <f>IF(AND('331-CT'!$E$7=TH!H946,OR(N946="331",O946="331")),"x","")</f>
        <v/>
      </c>
      <c r="Q946" s="84" t="str">
        <f>IF(AND(B946='111'!$L$11,OR($N946=$Q$7,$O946=$Q$7)),"x","")</f>
        <v/>
      </c>
      <c r="R946" s="84" t="str">
        <f>IF(AND($N946=$Q$7,$B946&lt;'111'!$L$11),"x","")</f>
        <v/>
      </c>
      <c r="S946" s="84" t="str">
        <f>IF(AND($O946=$Q$7,$B946&lt;'111'!$L$11),"x","")</f>
        <v/>
      </c>
      <c r="T946" s="84" t="str">
        <f>IF(ISERROR(FIND('112'!$M$9,G946,1)),"",IF((AND(FIND('112'!$M$9,G946,1)&gt;=1,B946='112'!$K$9,OR($N946='112'!$I$6,$O946='112'!$I$6))),"x",""))</f>
        <v/>
      </c>
      <c r="U946" s="84" t="str">
        <f>IF(ISERROR(FIND('112'!$M$9,G946,1)),"",IF((AND(LEFT(G946,2)=LEFT('112'!$M$9,2),B946&lt;'112'!$K$9,$N946='112'!$I$6)),"x",""))</f>
        <v/>
      </c>
      <c r="V946" s="84" t="str">
        <f>IF(ISERROR(FIND('112'!$M$9,G946,1)),"",IF((AND(RIGHT(G946,2)=RIGHT('112'!$M$9,2),B946&lt;'112'!$K$9,$O946='112'!$I$6)),"x",""))</f>
        <v/>
      </c>
      <c r="W946" s="84" t="str">
        <f>IF(AND('341-CT'!$H$9=H946,OR(LEFT(N946,3)=$W$7,LEFT(O946,3)=$W$7)),"x","")</f>
        <v/>
      </c>
      <c r="X946" s="84" t="str">
        <f>IF(OR(TH!N946=TH!$X$7,O946=TH!$X$7),"x","")</f>
        <v/>
      </c>
      <c r="Y946" s="84" t="str">
        <f>IF(AND(OR(N946="131",O946="131"),H946='131-CT'!$H$9),"x","")</f>
        <v/>
      </c>
      <c r="Z946" s="84"/>
      <c r="AA946" s="84" t="str">
        <f>IF(AND(MONTH(E946)='IN-NX'!$J$5,'IN-NX'!$D$7=D946),"x","")</f>
        <v/>
      </c>
      <c r="AB946" s="84" t="str">
        <f>IF(AND(OR(LEFT(TH!N946,2)="15",LEFT(TH!O946,2)="15"),LEFT(TH!O946,3)&lt;&gt;"111",'152-CT'!$J$8=TH!F946),"x","")</f>
        <v/>
      </c>
      <c r="AC946" s="84" t="str">
        <f>IF(AND(OR(LEFT(TH!N946,2)="15",LEFT(TH!O946,2)="15"),TK!$E$7=TH!F946),"x","")</f>
        <v/>
      </c>
      <c r="AD946" s="84" t="str">
        <f>IF(AND(N946="1521",MONTH(C946)='BK-NL'!$M$11),"x","")</f>
        <v/>
      </c>
      <c r="AE946" s="330"/>
    </row>
    <row r="947" spans="1:31" s="350" customFormat="1" ht="15.75" hidden="1" customHeight="1">
      <c r="A947" s="336" t="str">
        <f>IF(B947&lt;&gt;"",IF(AND(B947='IN-TC'!$S$4,OR(TH!N947="1111",TH!O947="1111")),TH!D947,""),"")</f>
        <v>C12</v>
      </c>
      <c r="B947" s="63">
        <f t="shared" si="166"/>
        <v>2</v>
      </c>
      <c r="C947" s="64">
        <v>42422</v>
      </c>
      <c r="D947" s="64" t="s">
        <v>880</v>
      </c>
      <c r="E947" s="64">
        <v>42422</v>
      </c>
      <c r="F947" s="514" t="s">
        <v>1005</v>
      </c>
      <c r="G947" s="67" t="s">
        <v>1030</v>
      </c>
      <c r="H947" s="346" t="s">
        <v>808</v>
      </c>
      <c r="I947" s="443"/>
      <c r="J947" s="443"/>
      <c r="K947" s="434"/>
      <c r="L947" s="443"/>
      <c r="M947" s="65">
        <v>538591</v>
      </c>
      <c r="N947" s="66" t="s">
        <v>101</v>
      </c>
      <c r="O947" s="66" t="s">
        <v>63</v>
      </c>
      <c r="P947" s="84" t="str">
        <f>IF(AND('331-CT'!$E$7=TH!H947,OR(N947="331",O947="331")),"x","")</f>
        <v/>
      </c>
      <c r="Q947" s="84" t="str">
        <f>IF(AND(B947='111'!$L$11,OR($N947=$Q$7,$O947=$Q$7)),"x","")</f>
        <v/>
      </c>
      <c r="R947" s="84" t="str">
        <f>IF(AND($N947=$Q$7,$B947&lt;'111'!$L$11),"x","")</f>
        <v/>
      </c>
      <c r="S947" s="84" t="str">
        <f>IF(AND($O947=$Q$7,$B947&lt;'111'!$L$11),"x","")</f>
        <v/>
      </c>
      <c r="T947" s="84" t="str">
        <f>IF(ISERROR(FIND('112'!$M$9,G947,1)),"",IF((AND(FIND('112'!$M$9,G947,1)&gt;=1,B947='112'!$K$9,OR($N947='112'!$I$6,$O947='112'!$I$6))),"x",""))</f>
        <v/>
      </c>
      <c r="U947" s="84" t="str">
        <f>IF(ISERROR(FIND('112'!$M$9,G947,1)),"",IF((AND(LEFT(G947,2)=LEFT('112'!$M$9,2),B947&lt;'112'!$K$9,$N947='112'!$I$6)),"x",""))</f>
        <v/>
      </c>
      <c r="V947" s="84" t="str">
        <f>IF(ISERROR(FIND('112'!$M$9,G947,1)),"",IF((AND(RIGHT(G947,2)=RIGHT('112'!$M$9,2),B947&lt;'112'!$K$9,$O947='112'!$I$6)),"x",""))</f>
        <v/>
      </c>
      <c r="W947" s="84" t="str">
        <f>IF(AND('341-CT'!$H$9=H947,OR(LEFT(N947,3)=$W$7,LEFT(O947,3)=$W$7)),"x","")</f>
        <v/>
      </c>
      <c r="X947" s="84" t="str">
        <f>IF(OR(TH!N947=TH!$X$7,O947=TH!$X$7),"x","")</f>
        <v/>
      </c>
      <c r="Y947" s="84" t="str">
        <f>IF(AND(OR(N947="131",O947="131"),H947='131-CT'!$H$9),"x","")</f>
        <v/>
      </c>
      <c r="Z947" s="84"/>
      <c r="AA947" s="84" t="str">
        <f>IF(AND(MONTH(E947)='IN-NX'!$J$5,'IN-NX'!$D$7=D947),"x","")</f>
        <v/>
      </c>
      <c r="AB947" s="84" t="str">
        <f>IF(AND(OR(LEFT(TH!N947,2)="15",LEFT(TH!O947,2)="15"),LEFT(TH!O947,3)&lt;&gt;"111",'152-CT'!$J$8=TH!F947),"x","")</f>
        <v/>
      </c>
      <c r="AC947" s="84" t="str">
        <f>IF(AND(OR(LEFT(TH!N947,2)="15",LEFT(TH!O947,2)="15"),TK!$E$7=TH!F947),"x","")</f>
        <v/>
      </c>
      <c r="AD947" s="84" t="str">
        <f>IF(AND(N947="1521",MONTH(C947)='BK-NL'!$M$11),"x","")</f>
        <v/>
      </c>
      <c r="AE947" s="330"/>
    </row>
    <row r="948" spans="1:31" ht="15.75" hidden="1" customHeight="1">
      <c r="A948" s="336" t="str">
        <f>IF(B948&lt;&gt;"",IF(AND(B948='IN-TC'!$S$4,OR(TH!N948="1111",TH!O948="1111")),TH!D948,""),"")</f>
        <v>C12</v>
      </c>
      <c r="B948" s="63">
        <f t="shared" si="166"/>
        <v>2</v>
      </c>
      <c r="C948" s="64">
        <v>42422</v>
      </c>
      <c r="D948" s="64" t="s">
        <v>880</v>
      </c>
      <c r="E948" s="64">
        <v>42422</v>
      </c>
      <c r="F948" s="514" t="s">
        <v>1006</v>
      </c>
      <c r="G948" s="67" t="s">
        <v>1030</v>
      </c>
      <c r="H948" s="73" t="s">
        <v>808</v>
      </c>
      <c r="I948" s="439"/>
      <c r="J948" s="439"/>
      <c r="K948" s="430"/>
      <c r="L948" s="439"/>
      <c r="M948" s="65">
        <v>53859</v>
      </c>
      <c r="N948" s="66" t="s">
        <v>9</v>
      </c>
      <c r="O948" s="66" t="s">
        <v>63</v>
      </c>
      <c r="P948" s="84" t="str">
        <f>IF(AND('331-CT'!$E$7=TH!H948,OR(N948="331",O948="331")),"x","")</f>
        <v/>
      </c>
      <c r="Q948" s="84" t="str">
        <f>IF(AND(B948='111'!$L$11,OR($N948=$Q$7,$O948=$Q$7)),"x","")</f>
        <v/>
      </c>
      <c r="R948" s="84" t="str">
        <f>IF(AND($N948=$Q$7,$B948&lt;'111'!$L$11),"x","")</f>
        <v/>
      </c>
      <c r="S948" s="84" t="str">
        <f>IF(AND($O948=$Q$7,$B948&lt;'111'!$L$11),"x","")</f>
        <v/>
      </c>
      <c r="T948" s="84" t="str">
        <f>IF(ISERROR(FIND('112'!$M$9,G948,1)),"",IF((AND(FIND('112'!$M$9,G948,1)&gt;=1,B948='112'!$K$9,OR($N948='112'!$I$6,$O948='112'!$I$6))),"x",""))</f>
        <v/>
      </c>
      <c r="U948" s="84" t="str">
        <f>IF(ISERROR(FIND('112'!$M$9,G948,1)),"",IF((AND(LEFT(G948,2)=LEFT('112'!$M$9,2),B948&lt;'112'!$K$9,$N948='112'!$I$6)),"x",""))</f>
        <v/>
      </c>
      <c r="V948" s="84" t="str">
        <f>IF(ISERROR(FIND('112'!$M$9,G948,1)),"",IF((AND(RIGHT(G948,2)=RIGHT('112'!$M$9,2),B948&lt;'112'!$K$9,$O948='112'!$I$6)),"x",""))</f>
        <v/>
      </c>
      <c r="W948" s="84" t="str">
        <f>IF(AND('341-CT'!$H$9=H948,OR(LEFT(N948,3)=$W$7,LEFT(O948,3)=$W$7)),"x","")</f>
        <v/>
      </c>
      <c r="X948" s="84" t="str">
        <f>IF(OR(TH!N948=TH!$X$7,O948=TH!$X$7),"x","")</f>
        <v/>
      </c>
      <c r="Y948" s="84" t="str">
        <f>IF(AND(OR(N948="131",O948="131"),H948='131-CT'!$H$9),"x","")</f>
        <v/>
      </c>
      <c r="Z948" s="84"/>
      <c r="AA948" s="84" t="str">
        <f>IF(AND(MONTH(E948)='IN-NX'!$J$5,'IN-NX'!$D$7=D948),"x","")</f>
        <v/>
      </c>
      <c r="AB948" s="84" t="str">
        <f>IF(AND(OR(LEFT(TH!N948,2)="15",LEFT(TH!O948,2)="15"),LEFT(TH!O948,3)&lt;&gt;"111",'152-CT'!$J$8=TH!F948),"x","")</f>
        <v/>
      </c>
      <c r="AC948" s="84" t="str">
        <f>IF(AND(OR(LEFT(TH!N948,2)="15",LEFT(TH!O948,2)="15"),TK!$E$7=TH!F948),"x","")</f>
        <v/>
      </c>
      <c r="AD948" s="84" t="str">
        <f>IF(AND(N948="1521",MONTH(C948)='BK-NL'!$M$11),"x","")</f>
        <v/>
      </c>
      <c r="AE948" s="350"/>
    </row>
    <row r="949" spans="1:31" ht="15.75" hidden="1" customHeight="1">
      <c r="A949" s="336" t="str">
        <f>IF(B949&lt;&gt;"",IF(AND(B949='IN-TC'!$S$4,OR(TH!N949="1111",TH!O949="1111")),TH!D949,""),"")</f>
        <v/>
      </c>
      <c r="B949" s="63">
        <f t="shared" si="166"/>
        <v>2</v>
      </c>
      <c r="C949" s="64">
        <v>42422</v>
      </c>
      <c r="D949" s="64" t="s">
        <v>702</v>
      </c>
      <c r="E949" s="64">
        <v>42422</v>
      </c>
      <c r="F949" s="514" t="s">
        <v>703</v>
      </c>
      <c r="G949" s="67" t="s">
        <v>920</v>
      </c>
      <c r="H949" s="73"/>
      <c r="I949" s="439"/>
      <c r="J949" s="439"/>
      <c r="K949" s="430">
        <v>3600</v>
      </c>
      <c r="L949" s="439">
        <v>22340</v>
      </c>
      <c r="M949" s="65">
        <f t="shared" ref="M949:M954" si="169">ROUND(K949*L949,0)</f>
        <v>80424000</v>
      </c>
      <c r="N949" s="66" t="s">
        <v>266</v>
      </c>
      <c r="O949" s="66" t="s">
        <v>266</v>
      </c>
      <c r="P949" s="84" t="str">
        <f>IF(AND('331-CT'!$E$7=TH!H949,OR(N949="331",O949="331")),"x","")</f>
        <v/>
      </c>
      <c r="Q949" s="84" t="str">
        <f>IF(AND(B949='111'!$L$11,OR($N949=$Q$7,$O949=$Q$7)),"x","")</f>
        <v/>
      </c>
      <c r="R949" s="84" t="str">
        <f>IF(AND($N949=$Q$7,$B949&lt;'111'!$L$11),"x","")</f>
        <v/>
      </c>
      <c r="S949" s="84" t="str">
        <f>IF(AND($O949=$Q$7,$B949&lt;'111'!$L$11),"x","")</f>
        <v/>
      </c>
      <c r="T949" s="84" t="str">
        <f>IF(ISERROR(FIND('112'!$M$9,G949,1)),"",IF((AND(FIND('112'!$M$9,G949,1)&gt;=1,B949='112'!$K$9,OR($N949='112'!$I$6,$O949='112'!$I$6))),"x",""))</f>
        <v/>
      </c>
      <c r="U949" s="84" t="str">
        <f>IF(ISERROR(FIND('112'!$M$9,G949,1)),"",IF((AND(LEFT(G949,2)=LEFT('112'!$M$9,2),B949&lt;'112'!$K$9,$N949='112'!$I$6)),"x",""))</f>
        <v/>
      </c>
      <c r="V949" s="84" t="str">
        <f>IF(ISERROR(FIND('112'!$M$9,G949,1)),"",IF((AND(RIGHT(G949,2)=RIGHT('112'!$M$9,2),B949&lt;'112'!$K$9,$O949='112'!$I$6)),"x",""))</f>
        <v/>
      </c>
      <c r="W949" s="84" t="str">
        <f>IF(AND('341-CT'!$H$9=H949,OR(LEFT(N949,3)=$W$7,LEFT(O949,3)=$W$7)),"x","")</f>
        <v/>
      </c>
      <c r="X949" s="84" t="str">
        <f>IF(OR(TH!N949=TH!$X$7,O949=TH!$X$7),"x","")</f>
        <v/>
      </c>
      <c r="Y949" s="84" t="str">
        <f>IF(AND(OR(N949="131",O949="131"),H949='131-CT'!$H$9),"x","")</f>
        <v/>
      </c>
      <c r="Z949" s="84"/>
      <c r="AA949" s="84" t="str">
        <f>IF(AND(MONTH(E949)='IN-NX'!$J$5,'IN-NX'!$D$7=D949),"x","")</f>
        <v/>
      </c>
      <c r="AB949" s="84" t="str">
        <f>IF(AND(OR(LEFT(TH!N949,2)="15",LEFT(TH!O949,2)="15"),LEFT(TH!O949,3)&lt;&gt;"111",'152-CT'!$J$8=TH!F949),"x","")</f>
        <v/>
      </c>
      <c r="AC949" s="84" t="str">
        <f>IF(AND(OR(LEFT(TH!N949,2)="15",LEFT(TH!O949,2)="15"),TK!$E$7=TH!F949),"x","")</f>
        <v/>
      </c>
      <c r="AD949" s="84" t="str">
        <f>IF(AND(N949="1521",MONTH(C949)='BK-NL'!$M$11),"x","")</f>
        <v/>
      </c>
      <c r="AE949" s="350"/>
    </row>
    <row r="950" spans="1:31" ht="15.75" hidden="1" customHeight="1">
      <c r="A950" s="336" t="str">
        <f>IF(B950&lt;&gt;"",IF(AND(B950='IN-TC'!$S$4,OR(TH!N950="1111",TH!O950="1111")),TH!D950,""),"")</f>
        <v/>
      </c>
      <c r="B950" s="63">
        <f t="shared" si="166"/>
        <v>2</v>
      </c>
      <c r="C950" s="64">
        <v>42422</v>
      </c>
      <c r="D950" s="64" t="s">
        <v>705</v>
      </c>
      <c r="E950" s="64">
        <v>42422</v>
      </c>
      <c r="F950" s="73" t="s">
        <v>1445</v>
      </c>
      <c r="G950" s="67" t="s">
        <v>919</v>
      </c>
      <c r="H950" s="73"/>
      <c r="I950" s="439"/>
      <c r="J950" s="439"/>
      <c r="K950" s="430">
        <v>10800</v>
      </c>
      <c r="L950" s="439">
        <v>22375</v>
      </c>
      <c r="M950" s="65">
        <f t="shared" si="169"/>
        <v>241650000</v>
      </c>
      <c r="N950" s="66" t="s">
        <v>26</v>
      </c>
      <c r="O950" s="66" t="s">
        <v>266</v>
      </c>
      <c r="P950" s="84" t="str">
        <f>IF(AND('331-CT'!$E$7=TH!H950,OR(N950="331",O950="331")),"x","")</f>
        <v/>
      </c>
      <c r="Q950" s="84" t="str">
        <f>IF(AND(B950='111'!$L$11,OR($N950=$Q$7,$O950=$Q$7)),"x","")</f>
        <v/>
      </c>
      <c r="R950" s="84" t="str">
        <f>IF(AND($N950=$Q$7,$B950&lt;'111'!$L$11),"x","")</f>
        <v/>
      </c>
      <c r="S950" s="84" t="str">
        <f>IF(AND($O950=$Q$7,$B950&lt;'111'!$L$11),"x","")</f>
        <v/>
      </c>
      <c r="T950" s="84" t="str">
        <f>IF(ISERROR(FIND('112'!$M$9,G950,1)),"",IF((AND(FIND('112'!$M$9,G950,1)&gt;=1,B950='112'!$K$9,OR($N950='112'!$I$6,$O950='112'!$I$6))),"x",""))</f>
        <v/>
      </c>
      <c r="U950" s="84" t="str">
        <f>IF(ISERROR(FIND('112'!$M$9,G950,1)),"",IF((AND(LEFT(G950,2)=LEFT('112'!$M$9,2),B950&lt;'112'!$K$9,$N950='112'!$I$6)),"x",""))</f>
        <v>x</v>
      </c>
      <c r="V950" s="84" t="str">
        <f>IF(ISERROR(FIND('112'!$M$9,G950,1)),"",IF((AND(RIGHT(G950,2)=RIGHT('112'!$M$9,2),B950&lt;'112'!$K$9,$O950='112'!$I$6)),"x",""))</f>
        <v/>
      </c>
      <c r="W950" s="84" t="str">
        <f>IF(AND('341-CT'!$H$9=H950,OR(LEFT(N950,3)=$W$7,LEFT(O950,3)=$W$7)),"x","")</f>
        <v/>
      </c>
      <c r="X950" s="84" t="str">
        <f>IF(OR(TH!N950=TH!$X$7,O950=TH!$X$7),"x","")</f>
        <v/>
      </c>
      <c r="Y950" s="84" t="str">
        <f>IF(AND(OR(N950="131",O950="131"),H950='131-CT'!$H$9),"x","")</f>
        <v/>
      </c>
      <c r="Z950" s="84"/>
      <c r="AA950" s="84" t="str">
        <f>IF(AND(MONTH(E950)='IN-NX'!$J$5,'IN-NX'!$D$7=D950),"x","")</f>
        <v/>
      </c>
      <c r="AB950" s="84" t="str">
        <f>IF(AND(OR(LEFT(TH!N950,2)="15",LEFT(TH!O950,2)="15"),LEFT(TH!O950,3)&lt;&gt;"111",'152-CT'!$J$8=TH!F950),"x","")</f>
        <v/>
      </c>
      <c r="AC950" s="84" t="str">
        <f>IF(AND(OR(LEFT(TH!N950,2)="15",LEFT(TH!O950,2)="15"),TK!$E$7=TH!F950),"x","")</f>
        <v/>
      </c>
      <c r="AD950" s="84" t="str">
        <f>IF(AND(N950="1521",MONTH(C950)='BK-NL'!$M$11),"x","")</f>
        <v/>
      </c>
    </row>
    <row r="951" spans="1:31" ht="15.75" hidden="1" customHeight="1">
      <c r="A951" s="336" t="str">
        <f>IF(B951&lt;&gt;"",IF(AND(B951='IN-TC'!$S$4,OR(TH!N951="1111",TH!O951="1111")),TH!D951,""),"")</f>
        <v/>
      </c>
      <c r="B951" s="63">
        <f t="shared" si="166"/>
        <v>2</v>
      </c>
      <c r="C951" s="64">
        <v>42422</v>
      </c>
      <c r="D951" s="64" t="s">
        <v>705</v>
      </c>
      <c r="E951" s="64">
        <v>42422</v>
      </c>
      <c r="F951" s="514" t="s">
        <v>757</v>
      </c>
      <c r="G951" s="67" t="s">
        <v>918</v>
      </c>
      <c r="H951" s="73" t="s">
        <v>729</v>
      </c>
      <c r="I951" s="439"/>
      <c r="J951" s="439"/>
      <c r="K951" s="430">
        <v>244.49</v>
      </c>
      <c r="L951" s="439">
        <v>22340</v>
      </c>
      <c r="M951" s="65">
        <f t="shared" si="169"/>
        <v>5461907</v>
      </c>
      <c r="N951" s="66" t="s">
        <v>99</v>
      </c>
      <c r="O951" s="66" t="s">
        <v>266</v>
      </c>
      <c r="P951" s="84" t="str">
        <f>IF(AND('331-CT'!$E$7=TH!H951,OR(N951="331",O951="331")),"x","")</f>
        <v/>
      </c>
      <c r="Q951" s="84" t="str">
        <f>IF(AND(B951='111'!$L$11,OR($N951=$Q$7,$O951=$Q$7)),"x","")</f>
        <v/>
      </c>
      <c r="R951" s="84" t="str">
        <f>IF(AND($N951=$Q$7,$B951&lt;'111'!$L$11),"x","")</f>
        <v/>
      </c>
      <c r="S951" s="84" t="str">
        <f>IF(AND($O951=$Q$7,$B951&lt;'111'!$L$11),"x","")</f>
        <v/>
      </c>
      <c r="T951" s="84" t="str">
        <f>IF(ISERROR(FIND('112'!$M$9,G951,1)),"",IF((AND(FIND('112'!$M$9,G951,1)&gt;=1,B951='112'!$K$9,OR($N951='112'!$I$6,$O951='112'!$I$6))),"x",""))</f>
        <v/>
      </c>
      <c r="U951" s="84" t="str">
        <f>IF(ISERROR(FIND('112'!$M$9,G951,1)),"",IF((AND(LEFT(G951,2)=LEFT('112'!$M$9,2),B951&lt;'112'!$K$9,$N951='112'!$I$6)),"x",""))</f>
        <v/>
      </c>
      <c r="V951" s="84" t="str">
        <f>IF(ISERROR(FIND('112'!$M$9,G951,1)),"",IF((AND(RIGHT(G951,2)=RIGHT('112'!$M$9,2),B951&lt;'112'!$K$9,$O951='112'!$I$6)),"x",""))</f>
        <v/>
      </c>
      <c r="W951" s="84" t="str">
        <f>IF(AND('341-CT'!$H$9=H951,OR(LEFT(N951,3)=$W$7,LEFT(O951,3)=$W$7)),"x","")</f>
        <v/>
      </c>
      <c r="X951" s="84" t="str">
        <f>IF(OR(TH!N951=TH!$X$7,O951=TH!$X$7),"x","")</f>
        <v/>
      </c>
      <c r="Y951" s="84" t="str">
        <f>IF(AND(OR(N951="131",O951="131"),H951='131-CT'!$H$9),"x","")</f>
        <v/>
      </c>
      <c r="Z951" s="84"/>
      <c r="AA951" s="84" t="str">
        <f>IF(AND(MONTH(E951)='IN-NX'!$J$5,'IN-NX'!$D$7=D951),"x","")</f>
        <v/>
      </c>
      <c r="AB951" s="84" t="str">
        <f>IF(AND(OR(LEFT(TH!N951,2)="15",LEFT(TH!O951,2)="15"),LEFT(TH!O951,3)&lt;&gt;"111",'152-CT'!$J$8=TH!F951),"x","")</f>
        <v/>
      </c>
      <c r="AC951" s="84" t="str">
        <f>IF(AND(OR(LEFT(TH!N951,2)="15",LEFT(TH!O951,2)="15"),TK!$E$7=TH!F951),"x","")</f>
        <v/>
      </c>
      <c r="AD951" s="84" t="str">
        <f>IF(AND(N951="1521",MONTH(C951)='BK-NL'!$M$11),"x","")</f>
        <v/>
      </c>
    </row>
    <row r="952" spans="1:31" ht="15.75" hidden="1" customHeight="1">
      <c r="A952" s="336" t="str">
        <f>IF(B952&lt;&gt;"",IF(AND(B952='IN-TC'!$S$4,OR(TH!N952="1111",TH!O952="1111")),TH!D952,""),"")</f>
        <v/>
      </c>
      <c r="B952" s="63">
        <f t="shared" si="166"/>
        <v>2</v>
      </c>
      <c r="C952" s="64">
        <v>42422</v>
      </c>
      <c r="D952" s="64" t="s">
        <v>705</v>
      </c>
      <c r="E952" s="64">
        <v>42422</v>
      </c>
      <c r="F952" s="514" t="s">
        <v>758</v>
      </c>
      <c r="G952" s="67" t="s">
        <v>918</v>
      </c>
      <c r="H952" s="73" t="s">
        <v>730</v>
      </c>
      <c r="I952" s="439"/>
      <c r="J952" s="439"/>
      <c r="K952" s="430">
        <v>213.81</v>
      </c>
      <c r="L952" s="439">
        <v>22340</v>
      </c>
      <c r="M952" s="65">
        <f t="shared" si="169"/>
        <v>4776515</v>
      </c>
      <c r="N952" s="66" t="s">
        <v>99</v>
      </c>
      <c r="O952" s="66" t="s">
        <v>266</v>
      </c>
      <c r="P952" s="84" t="str">
        <f>IF(AND('331-CT'!$E$7=TH!H952,OR(N952="331",O952="331")),"x","")</f>
        <v/>
      </c>
      <c r="Q952" s="84" t="str">
        <f>IF(AND(B952='111'!$L$11,OR($N952=$Q$7,$O952=$Q$7)),"x","")</f>
        <v/>
      </c>
      <c r="R952" s="84" t="str">
        <f>IF(AND($N952=$Q$7,$B952&lt;'111'!$L$11),"x","")</f>
        <v/>
      </c>
      <c r="S952" s="84" t="str">
        <f>IF(AND($O952=$Q$7,$B952&lt;'111'!$L$11),"x","")</f>
        <v/>
      </c>
      <c r="T952" s="84" t="str">
        <f>IF(ISERROR(FIND('112'!$M$9,G952,1)),"",IF((AND(FIND('112'!$M$9,G952,1)&gt;=1,B952='112'!$K$9,OR($N952='112'!$I$6,$O952='112'!$I$6))),"x",""))</f>
        <v/>
      </c>
      <c r="U952" s="84" t="str">
        <f>IF(ISERROR(FIND('112'!$M$9,G952,1)),"",IF((AND(LEFT(G952,2)=LEFT('112'!$M$9,2),B952&lt;'112'!$K$9,$N952='112'!$I$6)),"x",""))</f>
        <v/>
      </c>
      <c r="V952" s="84" t="str">
        <f>IF(ISERROR(FIND('112'!$M$9,G952,1)),"",IF((AND(RIGHT(G952,2)=RIGHT('112'!$M$9,2),B952&lt;'112'!$K$9,$O952='112'!$I$6)),"x",""))</f>
        <v/>
      </c>
      <c r="W952" s="84" t="str">
        <f>IF(AND('341-CT'!$H$9=H952,OR(LEFT(N952,3)=$W$7,LEFT(O952,3)=$W$7)),"x","")</f>
        <v/>
      </c>
      <c r="X952" s="84" t="str">
        <f>IF(OR(TH!N952=TH!$X$7,O952=TH!$X$7),"x","")</f>
        <v/>
      </c>
      <c r="Y952" s="84" t="str">
        <f>IF(AND(OR(N952="131",O952="131"),H952='131-CT'!$H$9),"x","")</f>
        <v/>
      </c>
      <c r="Z952" s="84"/>
      <c r="AA952" s="84" t="str">
        <f>IF(AND(MONTH(E952)='IN-NX'!$J$5,'IN-NX'!$D$7=D952),"x","")</f>
        <v/>
      </c>
      <c r="AB952" s="84" t="str">
        <f>IF(AND(OR(LEFT(TH!N952,2)="15",LEFT(TH!O952,2)="15"),LEFT(TH!O952,3)&lt;&gt;"111",'152-CT'!$J$8=TH!F952),"x","")</f>
        <v/>
      </c>
      <c r="AC952" s="84" t="str">
        <f>IF(AND(OR(LEFT(TH!N952,2)="15",LEFT(TH!O952,2)="15"),TK!$E$7=TH!F952),"x","")</f>
        <v/>
      </c>
      <c r="AD952" s="84" t="str">
        <f>IF(AND(N952="1521",MONTH(C952)='BK-NL'!$M$11),"x","")</f>
        <v/>
      </c>
    </row>
    <row r="953" spans="1:31" ht="15.75" hidden="1" customHeight="1">
      <c r="A953" s="336" t="str">
        <f>IF(B953&lt;&gt;"",IF(AND(B953='IN-TC'!$S$4,OR(TH!N953="1111",TH!O953="1111")),TH!D953,""),"")</f>
        <v/>
      </c>
      <c r="B953" s="63">
        <f t="shared" si="166"/>
        <v>2</v>
      </c>
      <c r="C953" s="64">
        <v>42422</v>
      </c>
      <c r="D953" s="64" t="s">
        <v>705</v>
      </c>
      <c r="E953" s="64">
        <v>42422</v>
      </c>
      <c r="F953" s="514" t="s">
        <v>759</v>
      </c>
      <c r="G953" s="67" t="s">
        <v>918</v>
      </c>
      <c r="H953" s="73" t="s">
        <v>731</v>
      </c>
      <c r="I953" s="439"/>
      <c r="J953" s="439"/>
      <c r="K953" s="430">
        <v>113.8</v>
      </c>
      <c r="L953" s="439">
        <v>22340</v>
      </c>
      <c r="M953" s="65">
        <f t="shared" si="169"/>
        <v>2542292</v>
      </c>
      <c r="N953" s="66" t="s">
        <v>99</v>
      </c>
      <c r="O953" s="66" t="s">
        <v>266</v>
      </c>
      <c r="P953" s="84" t="str">
        <f>IF(AND('331-CT'!$E$7=TH!H953,OR(N953="331",O953="331")),"x","")</f>
        <v/>
      </c>
      <c r="Q953" s="84" t="str">
        <f>IF(AND(B953='111'!$L$11,OR($N953=$Q$7,$O953=$Q$7)),"x","")</f>
        <v/>
      </c>
      <c r="R953" s="84" t="str">
        <f>IF(AND($N953=$Q$7,$B953&lt;'111'!$L$11),"x","")</f>
        <v/>
      </c>
      <c r="S953" s="84" t="str">
        <f>IF(AND($O953=$Q$7,$B953&lt;'111'!$L$11),"x","")</f>
        <v/>
      </c>
      <c r="T953" s="84" t="str">
        <f>IF(ISERROR(FIND('112'!$M$9,G953,1)),"",IF((AND(FIND('112'!$M$9,G953,1)&gt;=1,B953='112'!$K$9,OR($N953='112'!$I$6,$O953='112'!$I$6))),"x",""))</f>
        <v/>
      </c>
      <c r="U953" s="84" t="str">
        <f>IF(ISERROR(FIND('112'!$M$9,G953,1)),"",IF((AND(LEFT(G953,2)=LEFT('112'!$M$9,2),B953&lt;'112'!$K$9,$N953='112'!$I$6)),"x",""))</f>
        <v/>
      </c>
      <c r="V953" s="84" t="str">
        <f>IF(ISERROR(FIND('112'!$M$9,G953,1)),"",IF((AND(RIGHT(G953,2)=RIGHT('112'!$M$9,2),B953&lt;'112'!$K$9,$O953='112'!$I$6)),"x",""))</f>
        <v/>
      </c>
      <c r="W953" s="84" t="str">
        <f>IF(AND('341-CT'!$H$9=H953,OR(LEFT(N953,3)=$W$7,LEFT(O953,3)=$W$7)),"x","")</f>
        <v/>
      </c>
      <c r="X953" s="84" t="str">
        <f>IF(OR(TH!N953=TH!$X$7,O953=TH!$X$7),"x","")</f>
        <v/>
      </c>
      <c r="Y953" s="84" t="str">
        <f>IF(AND(OR(N953="131",O953="131"),H953='131-CT'!$H$9),"x","")</f>
        <v/>
      </c>
      <c r="Z953" s="84"/>
      <c r="AA953" s="84" t="str">
        <f>IF(AND(MONTH(E953)='IN-NX'!$J$5,'IN-NX'!$D$7=D953),"x","")</f>
        <v/>
      </c>
      <c r="AB953" s="84" t="str">
        <f>IF(AND(OR(LEFT(TH!N953,2)="15",LEFT(TH!O953,2)="15"),LEFT(TH!O953,3)&lt;&gt;"111",'152-CT'!$J$8=TH!F953),"x","")</f>
        <v/>
      </c>
      <c r="AC953" s="84" t="str">
        <f>IF(AND(OR(LEFT(TH!N953,2)="15",LEFT(TH!O953,2)="15"),TK!$E$7=TH!F953),"x","")</f>
        <v/>
      </c>
      <c r="AD953" s="84" t="str">
        <f>IF(AND(N953="1521",MONTH(C953)='BK-NL'!$M$11),"x","")</f>
        <v/>
      </c>
    </row>
    <row r="954" spans="1:31" ht="15.75" hidden="1" customHeight="1">
      <c r="A954" s="336" t="str">
        <f>IF(B954&lt;&gt;"",IF(AND(B954='IN-TC'!$S$4,OR(TH!N954="1111",TH!O954="1111")),TH!D954,""),"")</f>
        <v/>
      </c>
      <c r="B954" s="63">
        <f t="shared" si="166"/>
        <v>2</v>
      </c>
      <c r="C954" s="64">
        <v>42422</v>
      </c>
      <c r="D954" s="64" t="s">
        <v>705</v>
      </c>
      <c r="E954" s="64">
        <v>42422</v>
      </c>
      <c r="F954" s="514" t="s">
        <v>1063</v>
      </c>
      <c r="G954" s="67" t="s">
        <v>918</v>
      </c>
      <c r="H954" s="73" t="s">
        <v>732</v>
      </c>
      <c r="I954" s="439"/>
      <c r="J954" s="439"/>
      <c r="K954" s="430">
        <v>248.73</v>
      </c>
      <c r="L954" s="439">
        <v>22340</v>
      </c>
      <c r="M954" s="65">
        <f t="shared" si="169"/>
        <v>5556628</v>
      </c>
      <c r="N954" s="66" t="s">
        <v>99</v>
      </c>
      <c r="O954" s="66" t="s">
        <v>266</v>
      </c>
      <c r="P954" s="84" t="str">
        <f>IF(AND('331-CT'!$E$7=TH!H954,OR(N954="331",O954="331")),"x","")</f>
        <v/>
      </c>
      <c r="Q954" s="84" t="str">
        <f>IF(AND(B954='111'!$L$11,OR($N954=$Q$7,$O954=$Q$7)),"x","")</f>
        <v/>
      </c>
      <c r="R954" s="84" t="str">
        <f>IF(AND($N954=$Q$7,$B954&lt;'111'!$L$11),"x","")</f>
        <v/>
      </c>
      <c r="S954" s="84" t="str">
        <f>IF(AND($O954=$Q$7,$B954&lt;'111'!$L$11),"x","")</f>
        <v/>
      </c>
      <c r="T954" s="84" t="str">
        <f>IF(ISERROR(FIND('112'!$M$9,G954,1)),"",IF((AND(FIND('112'!$M$9,G954,1)&gt;=1,B954='112'!$K$9,OR($N954='112'!$I$6,$O954='112'!$I$6))),"x",""))</f>
        <v/>
      </c>
      <c r="U954" s="84" t="str">
        <f>IF(ISERROR(FIND('112'!$M$9,G954,1)),"",IF((AND(LEFT(G954,2)=LEFT('112'!$M$9,2),B954&lt;'112'!$K$9,$N954='112'!$I$6)),"x",""))</f>
        <v/>
      </c>
      <c r="V954" s="84" t="str">
        <f>IF(ISERROR(FIND('112'!$M$9,G954,1)),"",IF((AND(RIGHT(G954,2)=RIGHT('112'!$M$9,2),B954&lt;'112'!$K$9,$O954='112'!$I$6)),"x",""))</f>
        <v/>
      </c>
      <c r="W954" s="84" t="str">
        <f>IF(AND('341-CT'!$H$9=H954,OR(LEFT(N954,3)=$W$7,LEFT(O954,3)=$W$7)),"x","")</f>
        <v/>
      </c>
      <c r="X954" s="84" t="str">
        <f>IF(OR(TH!N954=TH!$X$7,O954=TH!$X$7),"x","")</f>
        <v/>
      </c>
      <c r="Y954" s="84" t="str">
        <f>IF(AND(OR(N954="131",O954="131"),H954='131-CT'!$H$9),"x","")</f>
        <v/>
      </c>
      <c r="Z954" s="84"/>
      <c r="AA954" s="84" t="str">
        <f>IF(AND(MONTH(E954)='IN-NX'!$J$5,'IN-NX'!$D$7=D954),"x","")</f>
        <v/>
      </c>
      <c r="AB954" s="84" t="str">
        <f>IF(AND(OR(LEFT(TH!N954,2)="15",LEFT(TH!O954,2)="15"),LEFT(TH!O954,3)&lt;&gt;"111",'152-CT'!$J$8=TH!F954),"x","")</f>
        <v/>
      </c>
      <c r="AC954" s="84" t="str">
        <f>IF(AND(OR(LEFT(TH!N954,2)="15",LEFT(TH!O954,2)="15"),TK!$E$7=TH!F954),"x","")</f>
        <v/>
      </c>
      <c r="AD954" s="84" t="str">
        <f>IF(AND(N954="1521",MONTH(C954)='BK-NL'!$M$11),"x","")</f>
        <v/>
      </c>
    </row>
    <row r="955" spans="1:31" ht="15.75" hidden="1" customHeight="1">
      <c r="A955" s="336" t="str">
        <f>IF(B955&lt;&gt;"",IF(AND(B955='IN-TC'!$S$4,OR(TH!N955="1111",TH!O955="1111")),TH!D955,""),"")</f>
        <v>C13</v>
      </c>
      <c r="B955" s="63">
        <f t="shared" si="166"/>
        <v>2</v>
      </c>
      <c r="C955" s="64">
        <v>42423</v>
      </c>
      <c r="D955" s="64" t="s">
        <v>881</v>
      </c>
      <c r="E955" s="64">
        <v>42423</v>
      </c>
      <c r="F955" s="514" t="s">
        <v>1009</v>
      </c>
      <c r="G955" s="67" t="s">
        <v>1031</v>
      </c>
      <c r="H955" s="73" t="s">
        <v>1032</v>
      </c>
      <c r="I955" s="439"/>
      <c r="J955" s="439"/>
      <c r="K955" s="430"/>
      <c r="L955" s="439"/>
      <c r="M955" s="65">
        <v>238000</v>
      </c>
      <c r="N955" s="66" t="s">
        <v>101</v>
      </c>
      <c r="O955" s="66" t="s">
        <v>63</v>
      </c>
      <c r="P955" s="84" t="str">
        <f>IF(AND('331-CT'!$E$7=TH!H955,OR(N955="331",O955="331")),"x","")</f>
        <v/>
      </c>
      <c r="Q955" s="84" t="str">
        <f>IF(AND(B955='111'!$L$11,OR($N955=$Q$7,$O955=$Q$7)),"x","")</f>
        <v/>
      </c>
      <c r="R955" s="84" t="str">
        <f>IF(AND($N955=$Q$7,$B955&lt;'111'!$L$11),"x","")</f>
        <v/>
      </c>
      <c r="S955" s="84" t="str">
        <f>IF(AND($O955=$Q$7,$B955&lt;'111'!$L$11),"x","")</f>
        <v/>
      </c>
      <c r="T955" s="84" t="str">
        <f>IF(ISERROR(FIND('112'!$M$9,G955,1)),"",IF((AND(FIND('112'!$M$9,G955,1)&gt;=1,B955='112'!$K$9,OR($N955='112'!$I$6,$O955='112'!$I$6))),"x",""))</f>
        <v/>
      </c>
      <c r="U955" s="84" t="str">
        <f>IF(ISERROR(FIND('112'!$M$9,G955,1)),"",IF((AND(LEFT(G955,2)=LEFT('112'!$M$9,2),B955&lt;'112'!$K$9,$N955='112'!$I$6)),"x",""))</f>
        <v/>
      </c>
      <c r="V955" s="84" t="str">
        <f>IF(ISERROR(FIND('112'!$M$9,G955,1)),"",IF((AND(RIGHT(G955,2)=RIGHT('112'!$M$9,2),B955&lt;'112'!$K$9,$O955='112'!$I$6)),"x",""))</f>
        <v/>
      </c>
      <c r="W955" s="84" t="str">
        <f>IF(AND('341-CT'!$H$9=H955,OR(LEFT(N955,3)=$W$7,LEFT(O955,3)=$W$7)),"x","")</f>
        <v/>
      </c>
      <c r="X955" s="84" t="str">
        <f>IF(OR(TH!N955=TH!$X$7,O955=TH!$X$7),"x","")</f>
        <v/>
      </c>
      <c r="Y955" s="84" t="str">
        <f>IF(AND(OR(N955="131",O955="131"),H955='131-CT'!$H$9),"x","")</f>
        <v/>
      </c>
      <c r="Z955" s="84"/>
      <c r="AA955" s="84" t="str">
        <f>IF(AND(MONTH(E955)='IN-NX'!$J$5,'IN-NX'!$D$7=D955),"x","")</f>
        <v/>
      </c>
      <c r="AB955" s="84" t="str">
        <f>IF(AND(OR(LEFT(TH!N955,2)="15",LEFT(TH!O955,2)="15"),LEFT(TH!O955,3)&lt;&gt;"111",'152-CT'!$J$8=TH!F955),"x","")</f>
        <v/>
      </c>
      <c r="AC955" s="84" t="str">
        <f>IF(AND(OR(LEFT(TH!N955,2)="15",LEFT(TH!O955,2)="15"),TK!$E$7=TH!F955),"x","")</f>
        <v/>
      </c>
      <c r="AD955" s="84" t="str">
        <f>IF(AND(N955="1521",MONTH(C955)='BK-NL'!$M$11),"x","")</f>
        <v/>
      </c>
    </row>
    <row r="956" spans="1:31" ht="15.75" hidden="1" customHeight="1">
      <c r="A956" s="336" t="str">
        <f>IF(B956&lt;&gt;"",IF(AND(B956='IN-TC'!$S$4,OR(TH!N956="1111",TH!O956="1111")),TH!D956,""),"")</f>
        <v>T03</v>
      </c>
      <c r="B956" s="63">
        <f t="shared" si="166"/>
        <v>2</v>
      </c>
      <c r="C956" s="64">
        <v>42423</v>
      </c>
      <c r="D956" s="64" t="s">
        <v>906</v>
      </c>
      <c r="E956" s="64">
        <v>42423</v>
      </c>
      <c r="F956" s="514" t="s">
        <v>746</v>
      </c>
      <c r="G956" s="67" t="s">
        <v>919</v>
      </c>
      <c r="H956" s="74" t="s">
        <v>763</v>
      </c>
      <c r="I956" s="439"/>
      <c r="J956" s="439"/>
      <c r="K956" s="430"/>
      <c r="L956" s="439"/>
      <c r="M956" s="65">
        <v>240000000</v>
      </c>
      <c r="N956" s="66" t="s">
        <v>63</v>
      </c>
      <c r="O956" s="66" t="s">
        <v>26</v>
      </c>
      <c r="P956" s="84" t="str">
        <f>IF(AND('331-CT'!$E$7=TH!H956,OR(N956="331",O956="331")),"x","")</f>
        <v/>
      </c>
      <c r="Q956" s="84" t="str">
        <f>IF(AND(B956='111'!$L$11,OR($N956=$Q$7,$O956=$Q$7)),"x","")</f>
        <v/>
      </c>
      <c r="R956" s="84" t="str">
        <f>IF(AND($N956=$Q$7,$B956&lt;'111'!$L$11),"x","")</f>
        <v/>
      </c>
      <c r="S956" s="84" t="str">
        <f>IF(AND($O956=$Q$7,$B956&lt;'111'!$L$11),"x","")</f>
        <v/>
      </c>
      <c r="T956" s="84" t="str">
        <f>IF(ISERROR(FIND('112'!$M$9,G956,1)),"",IF((AND(FIND('112'!$M$9,G956,1)&gt;=1,B956='112'!$K$9,OR($N956='112'!$I$6,$O956='112'!$I$6))),"x",""))</f>
        <v/>
      </c>
      <c r="U956" s="84" t="str">
        <f>IF(ISERROR(FIND('112'!$M$9,G956,1)),"",IF((AND(LEFT(G956,2)=LEFT('112'!$M$9,2),B956&lt;'112'!$K$9,$N956='112'!$I$6)),"x",""))</f>
        <v/>
      </c>
      <c r="V956" s="84" t="str">
        <f>IF(ISERROR(FIND('112'!$M$9,G956,1)),"",IF((AND(RIGHT(G956,2)=RIGHT('112'!$M$9,2),B956&lt;'112'!$K$9,$O956='112'!$I$6)),"x",""))</f>
        <v>x</v>
      </c>
      <c r="W956" s="84" t="str">
        <f>IF(AND('341-CT'!$H$9=H956,OR(LEFT(N956,3)=$W$7,LEFT(O956,3)=$W$7)),"x","")</f>
        <v/>
      </c>
      <c r="X956" s="84" t="str">
        <f>IF(OR(TH!N956=TH!$X$7,O956=TH!$X$7),"x","")</f>
        <v/>
      </c>
      <c r="Y956" s="84" t="str">
        <f>IF(AND(OR(N956="131",O956="131"),H956='131-CT'!$H$9),"x","")</f>
        <v/>
      </c>
      <c r="Z956" s="84"/>
      <c r="AA956" s="84" t="str">
        <f>IF(AND(MONTH(E956)='IN-NX'!$J$5,'IN-NX'!$D$7=D956),"x","")</f>
        <v/>
      </c>
      <c r="AB956" s="84" t="str">
        <f>IF(AND(OR(LEFT(TH!N956,2)="15",LEFT(TH!O956,2)="15"),LEFT(TH!O956,3)&lt;&gt;"111",'152-CT'!$J$8=TH!F956),"x","")</f>
        <v/>
      </c>
      <c r="AC956" s="84" t="str">
        <f>IF(AND(OR(LEFT(TH!N956,2)="15",LEFT(TH!O956,2)="15"),TK!$E$7=TH!F956),"x","")</f>
        <v/>
      </c>
      <c r="AD956" s="84" t="str">
        <f>IF(AND(N956="1521",MONTH(C956)='BK-NL'!$M$11),"x","")</f>
        <v/>
      </c>
    </row>
    <row r="957" spans="1:31" ht="15.75" hidden="1" customHeight="1">
      <c r="A957" s="336" t="str">
        <f>IF(B957&lt;&gt;"",IF(AND(B957='IN-TC'!$S$4,OR(TH!N957="1111",TH!O957="1111")),TH!D957,""),"")</f>
        <v>C14</v>
      </c>
      <c r="B957" s="63">
        <f t="shared" si="166"/>
        <v>2</v>
      </c>
      <c r="C957" s="64">
        <v>42424</v>
      </c>
      <c r="D957" s="64" t="s">
        <v>882</v>
      </c>
      <c r="E957" s="64">
        <v>42424</v>
      </c>
      <c r="F957" s="514" t="s">
        <v>771</v>
      </c>
      <c r="G957" s="982" t="s">
        <v>1033</v>
      </c>
      <c r="H957" s="73" t="s">
        <v>808</v>
      </c>
      <c r="I957" s="439"/>
      <c r="J957" s="439"/>
      <c r="K957" s="430"/>
      <c r="L957" s="439"/>
      <c r="M957" s="65">
        <v>313527</v>
      </c>
      <c r="N957" s="66" t="s">
        <v>101</v>
      </c>
      <c r="O957" s="66" t="s">
        <v>63</v>
      </c>
      <c r="P957" s="84" t="str">
        <f>IF(AND('331-CT'!$E$7=TH!H957,OR(N957="331",O957="331")),"x","")</f>
        <v/>
      </c>
      <c r="Q957" s="84" t="str">
        <f>IF(AND(B957='111'!$L$11,OR($N957=$Q$7,$O957=$Q$7)),"x","")</f>
        <v/>
      </c>
      <c r="R957" s="84" t="str">
        <f>IF(AND($N957=$Q$7,$B957&lt;'111'!$L$11),"x","")</f>
        <v/>
      </c>
      <c r="S957" s="84" t="str">
        <f>IF(AND($O957=$Q$7,$B957&lt;'111'!$L$11),"x","")</f>
        <v/>
      </c>
      <c r="T957" s="84" t="str">
        <f>IF(ISERROR(FIND('112'!$M$9,G957,1)),"",IF((AND(FIND('112'!$M$9,G957,1)&gt;=1,B957='112'!$K$9,OR($N957='112'!$I$6,$O957='112'!$I$6))),"x",""))</f>
        <v/>
      </c>
      <c r="U957" s="84" t="str">
        <f>IF(ISERROR(FIND('112'!$M$9,G957,1)),"",IF((AND(LEFT(G957,2)=LEFT('112'!$M$9,2),B957&lt;'112'!$K$9,$N957='112'!$I$6)),"x",""))</f>
        <v/>
      </c>
      <c r="V957" s="84" t="str">
        <f>IF(ISERROR(FIND('112'!$M$9,G957,1)),"",IF((AND(RIGHT(G957,2)=RIGHT('112'!$M$9,2),B957&lt;'112'!$K$9,$O957='112'!$I$6)),"x",""))</f>
        <v/>
      </c>
      <c r="W957" s="84" t="str">
        <f>IF(AND('341-CT'!$H$9=H957,OR(LEFT(N957,3)=$W$7,LEFT(O957,3)=$W$7)),"x","")</f>
        <v/>
      </c>
      <c r="X957" s="84" t="str">
        <f>IF(OR(TH!N957=TH!$X$7,O957=TH!$X$7),"x","")</f>
        <v/>
      </c>
      <c r="Y957" s="84" t="str">
        <f>IF(AND(OR(N957="131",O957="131"),H957='131-CT'!$H$9),"x","")</f>
        <v/>
      </c>
      <c r="Z957" s="84"/>
      <c r="AA957" s="84" t="str">
        <f>IF(AND(MONTH(E957)='IN-NX'!$J$5,'IN-NX'!$D$7=D957),"x","")</f>
        <v/>
      </c>
      <c r="AB957" s="84" t="str">
        <f>IF(AND(OR(LEFT(TH!N957,2)="15",LEFT(TH!O957,2)="15"),LEFT(TH!O957,3)&lt;&gt;"111",'152-CT'!$J$8=TH!F957),"x","")</f>
        <v/>
      </c>
      <c r="AC957" s="84" t="str">
        <f>IF(AND(OR(LEFT(TH!N957,2)="15",LEFT(TH!O957,2)="15"),TK!$E$7=TH!F957),"x","")</f>
        <v/>
      </c>
      <c r="AD957" s="84" t="str">
        <f>IF(AND(N957="1521",MONTH(C957)='BK-NL'!$M$11),"x","")</f>
        <v/>
      </c>
    </row>
    <row r="958" spans="1:31" ht="15.75" hidden="1" customHeight="1">
      <c r="A958" s="336" t="str">
        <f>IF(B958&lt;&gt;"",IF(AND(B958='IN-TC'!$S$4,OR(TH!N958="1111",TH!O958="1111")),TH!D958,""),"")</f>
        <v>C14</v>
      </c>
      <c r="B958" s="63">
        <f t="shared" ref="B958:B1029" si="170">IF(C958&lt;&gt;"",MONTH(C958),"")</f>
        <v>2</v>
      </c>
      <c r="C958" s="64">
        <v>42424</v>
      </c>
      <c r="D958" s="64" t="s">
        <v>882</v>
      </c>
      <c r="E958" s="64">
        <v>42424</v>
      </c>
      <c r="F958" s="514" t="s">
        <v>772</v>
      </c>
      <c r="G958" s="982" t="s">
        <v>1033</v>
      </c>
      <c r="H958" s="73" t="s">
        <v>808</v>
      </c>
      <c r="I958" s="439"/>
      <c r="J958" s="439"/>
      <c r="K958" s="430"/>
      <c r="L958" s="439"/>
      <c r="M958" s="65">
        <v>31353</v>
      </c>
      <c r="N958" s="66" t="s">
        <v>9</v>
      </c>
      <c r="O958" s="66" t="s">
        <v>63</v>
      </c>
      <c r="P958" s="84" t="str">
        <f>IF(AND('331-CT'!$E$7=TH!H958,OR(N958="331",O958="331")),"x","")</f>
        <v/>
      </c>
      <c r="Q958" s="84" t="str">
        <f>IF(AND(B958='111'!$L$11,OR($N958=$Q$7,$O958=$Q$7)),"x","")</f>
        <v/>
      </c>
      <c r="R958" s="84" t="str">
        <f>IF(AND($N958=$Q$7,$B958&lt;'111'!$L$11),"x","")</f>
        <v/>
      </c>
      <c r="S958" s="84" t="str">
        <f>IF(AND($O958=$Q$7,$B958&lt;'111'!$L$11),"x","")</f>
        <v/>
      </c>
      <c r="T958" s="84" t="str">
        <f>IF(ISERROR(FIND('112'!$M$9,G958,1)),"",IF((AND(FIND('112'!$M$9,G958,1)&gt;=1,B958='112'!$K$9,OR($N958='112'!$I$6,$O958='112'!$I$6))),"x",""))</f>
        <v/>
      </c>
      <c r="U958" s="84" t="str">
        <f>IF(ISERROR(FIND('112'!$M$9,G958,1)),"",IF((AND(LEFT(G958,2)=LEFT('112'!$M$9,2),B958&lt;'112'!$K$9,$N958='112'!$I$6)),"x",""))</f>
        <v/>
      </c>
      <c r="V958" s="84" t="str">
        <f>IF(ISERROR(FIND('112'!$M$9,G958,1)),"",IF((AND(RIGHT(G958,2)=RIGHT('112'!$M$9,2),B958&lt;'112'!$K$9,$O958='112'!$I$6)),"x",""))</f>
        <v/>
      </c>
      <c r="W958" s="84" t="str">
        <f>IF(AND('341-CT'!$H$9=H958,OR(LEFT(N958,3)=$W$7,LEFT(O958,3)=$W$7)),"x","")</f>
        <v/>
      </c>
      <c r="X958" s="84" t="str">
        <f>IF(OR(TH!N958=TH!$X$7,O958=TH!$X$7),"x","")</f>
        <v/>
      </c>
      <c r="Y958" s="84" t="str">
        <f>IF(AND(OR(N958="131",O958="131"),H958='131-CT'!$H$9),"x","")</f>
        <v/>
      </c>
      <c r="Z958" s="84"/>
      <c r="AA958" s="84" t="str">
        <f>IF(AND(MONTH(E958)='IN-NX'!$J$5,'IN-NX'!$D$7=D958),"x","")</f>
        <v/>
      </c>
      <c r="AB958" s="84" t="str">
        <f>IF(AND(OR(LEFT(TH!N958,2)="15",LEFT(TH!O958,2)="15"),LEFT(TH!O958,3)&lt;&gt;"111",'152-CT'!$J$8=TH!F958),"x","")</f>
        <v/>
      </c>
      <c r="AC958" s="84" t="str">
        <f>IF(AND(OR(LEFT(TH!N958,2)="15",LEFT(TH!O958,2)="15"),TK!$E$7=TH!F958),"x","")</f>
        <v/>
      </c>
      <c r="AD958" s="84" t="str">
        <f>IF(AND(N958="1521",MONTH(C958)='BK-NL'!$M$11),"x","")</f>
        <v/>
      </c>
    </row>
    <row r="959" spans="1:31" ht="15.75" hidden="1" customHeight="1">
      <c r="A959" s="336" t="str">
        <f>IF(B959&lt;&gt;"",IF(AND(B959='IN-TC'!$S$4,OR(TH!N959="1111",TH!O959="1111")),TH!D959,""),"")</f>
        <v>C15</v>
      </c>
      <c r="B959" s="63">
        <f t="shared" si="170"/>
        <v>2</v>
      </c>
      <c r="C959" s="64">
        <v>42424</v>
      </c>
      <c r="D959" s="64" t="s">
        <v>883</v>
      </c>
      <c r="E959" s="64">
        <v>42424</v>
      </c>
      <c r="F959" s="514" t="s">
        <v>737</v>
      </c>
      <c r="G959" s="67" t="s">
        <v>919</v>
      </c>
      <c r="H959" s="67" t="s">
        <v>763</v>
      </c>
      <c r="I959" s="439"/>
      <c r="J959" s="439"/>
      <c r="K959" s="430"/>
      <c r="L959" s="439"/>
      <c r="M959" s="65">
        <v>32000000</v>
      </c>
      <c r="N959" s="66" t="s">
        <v>26</v>
      </c>
      <c r="O959" s="66" t="s">
        <v>63</v>
      </c>
      <c r="P959" s="84" t="str">
        <f>IF(AND('331-CT'!$E$7=TH!H959,OR(N959="331",O959="331")),"x","")</f>
        <v/>
      </c>
      <c r="Q959" s="84" t="str">
        <f>IF(AND(B959='111'!$L$11,OR($N959=$Q$7,$O959=$Q$7)),"x","")</f>
        <v/>
      </c>
      <c r="R959" s="84" t="str">
        <f>IF(AND($N959=$Q$7,$B959&lt;'111'!$L$11),"x","")</f>
        <v/>
      </c>
      <c r="S959" s="84" t="str">
        <f>IF(AND($O959=$Q$7,$B959&lt;'111'!$L$11),"x","")</f>
        <v/>
      </c>
      <c r="T959" s="84" t="str">
        <f>IF(ISERROR(FIND('112'!$M$9,G959,1)),"",IF((AND(FIND('112'!$M$9,G959,1)&gt;=1,B959='112'!$K$9,OR($N959='112'!$I$6,$O959='112'!$I$6))),"x",""))</f>
        <v/>
      </c>
      <c r="U959" s="84" t="str">
        <f>IF(ISERROR(FIND('112'!$M$9,G959,1)),"",IF((AND(LEFT(G959,2)=LEFT('112'!$M$9,2),B959&lt;'112'!$K$9,$N959='112'!$I$6)),"x",""))</f>
        <v>x</v>
      </c>
      <c r="V959" s="84" t="str">
        <f>IF(ISERROR(FIND('112'!$M$9,G959,1)),"",IF((AND(RIGHT(G959,2)=RIGHT('112'!$M$9,2),B959&lt;'112'!$K$9,$O959='112'!$I$6)),"x",""))</f>
        <v/>
      </c>
      <c r="W959" s="84" t="str">
        <f>IF(AND('341-CT'!$H$9=H959,OR(LEFT(N959,3)=$W$7,LEFT(O959,3)=$W$7)),"x","")</f>
        <v/>
      </c>
      <c r="X959" s="84" t="str">
        <f>IF(OR(TH!N959=TH!$X$7,O959=TH!$X$7),"x","")</f>
        <v/>
      </c>
      <c r="Y959" s="84" t="str">
        <f>IF(AND(OR(N959="131",O959="131"),H959='131-CT'!$H$9),"x","")</f>
        <v/>
      </c>
      <c r="Z959" s="84"/>
      <c r="AA959" s="84" t="str">
        <f>IF(AND(MONTH(E959)='IN-NX'!$J$5,'IN-NX'!$D$7=D959),"x","")</f>
        <v/>
      </c>
      <c r="AB959" s="84" t="str">
        <f>IF(AND(OR(LEFT(TH!N959,2)="15",LEFT(TH!O959,2)="15"),LEFT(TH!O959,3)&lt;&gt;"111",'152-CT'!$J$8=TH!F959),"x","")</f>
        <v/>
      </c>
      <c r="AC959" s="84" t="str">
        <f>IF(AND(OR(LEFT(TH!N959,2)="15",LEFT(TH!O959,2)="15"),TK!$E$7=TH!F959),"x","")</f>
        <v/>
      </c>
      <c r="AD959" s="84" t="str">
        <f>IF(AND(N959="1521",MONTH(C959)='BK-NL'!$M$11),"x","")</f>
        <v/>
      </c>
    </row>
    <row r="960" spans="1:31" ht="15.75" hidden="1" customHeight="1">
      <c r="A960" s="336" t="str">
        <f>IF(B960&lt;&gt;"",IF(AND(B960='IN-TC'!$S$4,OR(TH!N960="1111",TH!O960="1111")),TH!D960,""),"")</f>
        <v/>
      </c>
      <c r="B960" s="63">
        <f t="shared" si="170"/>
        <v>2</v>
      </c>
      <c r="C960" s="64">
        <v>42424</v>
      </c>
      <c r="D960" s="64" t="s">
        <v>702</v>
      </c>
      <c r="E960" s="64">
        <v>42424</v>
      </c>
      <c r="F960" s="514" t="s">
        <v>738</v>
      </c>
      <c r="G960" s="67" t="s">
        <v>919</v>
      </c>
      <c r="H960" s="73"/>
      <c r="I960" s="439"/>
      <c r="J960" s="439"/>
      <c r="K960" s="430"/>
      <c r="L960" s="439"/>
      <c r="M960" s="65">
        <v>10829</v>
      </c>
      <c r="N960" s="66" t="s">
        <v>26</v>
      </c>
      <c r="O960" s="66" t="s">
        <v>43</v>
      </c>
      <c r="P960" s="84" t="str">
        <f>IF(AND('331-CT'!$E$7=TH!H960,OR(N960="331",O960="331")),"x","")</f>
        <v/>
      </c>
      <c r="Q960" s="84" t="str">
        <f>IF(AND(B960='111'!$L$11,OR($N960=$Q$7,$O960=$Q$7)),"x","")</f>
        <v/>
      </c>
      <c r="R960" s="84" t="str">
        <f>IF(AND($N960=$Q$7,$B960&lt;'111'!$L$11),"x","")</f>
        <v/>
      </c>
      <c r="S960" s="84" t="str">
        <f>IF(AND($O960=$Q$7,$B960&lt;'111'!$L$11),"x","")</f>
        <v/>
      </c>
      <c r="T960" s="84" t="str">
        <f>IF(ISERROR(FIND('112'!$M$9,G960,1)),"",IF((AND(FIND('112'!$M$9,G960,1)&gt;=1,B960='112'!$K$9,OR($N960='112'!$I$6,$O960='112'!$I$6))),"x",""))</f>
        <v/>
      </c>
      <c r="U960" s="84" t="str">
        <f>IF(ISERROR(FIND('112'!$M$9,G960,1)),"",IF((AND(LEFT(G960,2)=LEFT('112'!$M$9,2),B960&lt;'112'!$K$9,$N960='112'!$I$6)),"x",""))</f>
        <v>x</v>
      </c>
      <c r="V960" s="84" t="str">
        <f>IF(ISERROR(FIND('112'!$M$9,G960,1)),"",IF((AND(RIGHT(G960,2)=RIGHT('112'!$M$9,2),B960&lt;'112'!$K$9,$O960='112'!$I$6)),"x",""))</f>
        <v/>
      </c>
      <c r="W960" s="84" t="str">
        <f>IF(AND('341-CT'!$H$9=H960,OR(LEFT(N960,3)=$W$7,LEFT(O960,3)=$W$7)),"x","")</f>
        <v/>
      </c>
      <c r="X960" s="84" t="str">
        <f>IF(OR(TH!N960=TH!$X$7,O960=TH!$X$7),"x","")</f>
        <v/>
      </c>
      <c r="Y960" s="84" t="str">
        <f>IF(AND(OR(N960="131",O960="131"),H960='131-CT'!$H$9),"x","")</f>
        <v/>
      </c>
      <c r="Z960" s="84"/>
      <c r="AA960" s="84" t="str">
        <f>IF(AND(MONTH(E960)='IN-NX'!$J$5,'IN-NX'!$D$7=D960),"x","")</f>
        <v/>
      </c>
      <c r="AB960" s="84" t="str">
        <f>IF(AND(OR(LEFT(TH!N960,2)="15",LEFT(TH!O960,2)="15"),LEFT(TH!O960,3)&lt;&gt;"111",'152-CT'!$J$8=TH!F960),"x","")</f>
        <v/>
      </c>
      <c r="AC960" s="84" t="str">
        <f>IF(AND(OR(LEFT(TH!N960,2)="15",LEFT(TH!O960,2)="15"),TK!$E$7=TH!F960),"x","")</f>
        <v/>
      </c>
      <c r="AD960" s="84" t="str">
        <f>IF(AND(N960="1521",MONTH(C960)='BK-NL'!$M$11),"x","")</f>
        <v/>
      </c>
    </row>
    <row r="961" spans="1:31" ht="15.75" hidden="1" customHeight="1">
      <c r="A961" s="336" t="str">
        <f>IF(B961&lt;&gt;"",IF(AND(B961='IN-TC'!$S$4,OR(TH!N961="1111",TH!O961="1111")),TH!D961,""),"")</f>
        <v/>
      </c>
      <c r="B961" s="63">
        <f t="shared" si="170"/>
        <v>2</v>
      </c>
      <c r="C961" s="64">
        <v>42424</v>
      </c>
      <c r="D961" s="64" t="s">
        <v>702</v>
      </c>
      <c r="E961" s="64">
        <v>42424</v>
      </c>
      <c r="F961" s="514" t="s">
        <v>740</v>
      </c>
      <c r="G961" s="67" t="s">
        <v>918</v>
      </c>
      <c r="H961" s="73"/>
      <c r="I961" s="439"/>
      <c r="J961" s="439"/>
      <c r="K961" s="430"/>
      <c r="L961" s="439"/>
      <c r="M961" s="65">
        <v>1376</v>
      </c>
      <c r="N961" s="66" t="s">
        <v>26</v>
      </c>
      <c r="O961" s="66" t="s">
        <v>43</v>
      </c>
      <c r="P961" s="84" t="str">
        <f>IF(AND('331-CT'!$E$7=TH!H961,OR(N961="331",O961="331")),"x","")</f>
        <v/>
      </c>
      <c r="Q961" s="84" t="str">
        <f>IF(AND(B961='111'!$L$11,OR($N961=$Q$7,$O961=$Q$7)),"x","")</f>
        <v/>
      </c>
      <c r="R961" s="84" t="str">
        <f>IF(AND($N961=$Q$7,$B961&lt;'111'!$L$11),"x","")</f>
        <v/>
      </c>
      <c r="S961" s="84" t="str">
        <f>IF(AND($O961=$Q$7,$B961&lt;'111'!$L$11),"x","")</f>
        <v/>
      </c>
      <c r="T961" s="84" t="str">
        <f>IF(ISERROR(FIND('112'!$M$9,G961,1)),"",IF((AND(FIND('112'!$M$9,G961,1)&gt;=1,B961='112'!$K$9,OR($N961='112'!$I$6,$O961='112'!$I$6))),"x",""))</f>
        <v/>
      </c>
      <c r="U961" s="84" t="str">
        <f>IF(ISERROR(FIND('112'!$M$9,G961,1)),"",IF((AND(LEFT(G961,2)=LEFT('112'!$M$9,2),B961&lt;'112'!$K$9,$N961='112'!$I$6)),"x",""))</f>
        <v/>
      </c>
      <c r="V961" s="84" t="str">
        <f>IF(ISERROR(FIND('112'!$M$9,G961,1)),"",IF((AND(RIGHT(G961,2)=RIGHT('112'!$M$9,2),B961&lt;'112'!$K$9,$O961='112'!$I$6)),"x",""))</f>
        <v/>
      </c>
      <c r="W961" s="84" t="str">
        <f>IF(AND('341-CT'!$H$9=H961,OR(LEFT(N961,3)=$W$7,LEFT(O961,3)=$W$7)),"x","")</f>
        <v/>
      </c>
      <c r="X961" s="84" t="str">
        <f>IF(OR(TH!N961=TH!$X$7,O961=TH!$X$7),"x","")</f>
        <v/>
      </c>
      <c r="Y961" s="84" t="str">
        <f>IF(AND(OR(N961="131",O961="131"),H961='131-CT'!$H$9),"x","")</f>
        <v/>
      </c>
      <c r="Z961" s="84"/>
      <c r="AA961" s="84" t="str">
        <f>IF(AND(MONTH(E961)='IN-NX'!$J$5,'IN-NX'!$D$7=D961),"x","")</f>
        <v/>
      </c>
      <c r="AB961" s="84" t="str">
        <f>IF(AND(OR(LEFT(TH!N961,2)="15",LEFT(TH!O961,2)="15"),LEFT(TH!O961,3)&lt;&gt;"111",'152-CT'!$J$8=TH!F961),"x","")</f>
        <v/>
      </c>
      <c r="AC961" s="84" t="str">
        <f>IF(AND(OR(LEFT(TH!N961,2)="15",LEFT(TH!O961,2)="15"),TK!$E$7=TH!F961),"x","")</f>
        <v/>
      </c>
      <c r="AD961" s="84" t="str">
        <f>IF(AND(N961="1521",MONTH(C961)='BK-NL'!$M$11),"x","")</f>
        <v/>
      </c>
    </row>
    <row r="962" spans="1:31" ht="15.75" hidden="1" customHeight="1">
      <c r="A962" s="336" t="str">
        <f>IF(B962&lt;&gt;"",IF(AND(B962='IN-TC'!$S$4,OR(TH!N962="1111",TH!O962="1111")),TH!D962,""),"")</f>
        <v/>
      </c>
      <c r="B962" s="63">
        <f t="shared" si="170"/>
        <v>2</v>
      </c>
      <c r="C962" s="64">
        <v>42424</v>
      </c>
      <c r="D962" s="64" t="s">
        <v>705</v>
      </c>
      <c r="E962" s="64">
        <v>42424</v>
      </c>
      <c r="F962" s="514" t="s">
        <v>1104</v>
      </c>
      <c r="G962" s="67" t="s">
        <v>919</v>
      </c>
      <c r="H962" s="67" t="s">
        <v>632</v>
      </c>
      <c r="I962" s="439"/>
      <c r="J962" s="439"/>
      <c r="K962" s="430"/>
      <c r="L962" s="439"/>
      <c r="M962" s="65">
        <v>31890650</v>
      </c>
      <c r="N962" s="66" t="s">
        <v>8</v>
      </c>
      <c r="O962" s="66" t="s">
        <v>26</v>
      </c>
      <c r="P962" s="84" t="str">
        <f>IF(AND('331-CT'!$E$7=TH!H962,OR(N962="331",O962="331")),"x","")</f>
        <v/>
      </c>
      <c r="Q962" s="84" t="str">
        <f>IF(AND(B962='111'!$L$11,OR($N962=$Q$7,$O962=$Q$7)),"x","")</f>
        <v/>
      </c>
      <c r="R962" s="84" t="str">
        <f>IF(AND($N962=$Q$7,$B962&lt;'111'!$L$11),"x","")</f>
        <v/>
      </c>
      <c r="S962" s="84" t="str">
        <f>IF(AND($O962=$Q$7,$B962&lt;'111'!$L$11),"x","")</f>
        <v/>
      </c>
      <c r="T962" s="84" t="str">
        <f>IF(ISERROR(FIND('112'!$M$9,G962,1)),"",IF((AND(FIND('112'!$M$9,G962,1)&gt;=1,B962='112'!$K$9,OR($N962='112'!$I$6,$O962='112'!$I$6))),"x",""))</f>
        <v/>
      </c>
      <c r="U962" s="84" t="str">
        <f>IF(ISERROR(FIND('112'!$M$9,G962,1)),"",IF((AND(LEFT(G962,2)=LEFT('112'!$M$9,2),B962&lt;'112'!$K$9,$N962='112'!$I$6)),"x",""))</f>
        <v/>
      </c>
      <c r="V962" s="84" t="str">
        <f>IF(ISERROR(FIND('112'!$M$9,G962,1)),"",IF((AND(RIGHT(G962,2)=RIGHT('112'!$M$9,2),B962&lt;'112'!$K$9,$O962='112'!$I$6)),"x",""))</f>
        <v>x</v>
      </c>
      <c r="W962" s="84" t="str">
        <f>IF(AND('341-CT'!$H$9=H962,OR(LEFT(N962,3)=$W$7,LEFT(O962,3)=$W$7)),"x","")</f>
        <v/>
      </c>
      <c r="X962" s="84" t="str">
        <f>IF(OR(TH!N962=TH!$X$7,O962=TH!$X$7),"x","")</f>
        <v/>
      </c>
      <c r="Y962" s="84" t="str">
        <f>IF(AND(OR(N962="131",O962="131"),H962='131-CT'!$H$9),"x","")</f>
        <v/>
      </c>
      <c r="Z962" s="84"/>
      <c r="AA962" s="84" t="str">
        <f>IF(AND(MONTH(E962)='IN-NX'!$J$5,'IN-NX'!$D$7=D962),"x","")</f>
        <v/>
      </c>
      <c r="AB962" s="84" t="str">
        <f>IF(AND(OR(LEFT(TH!N962,2)="15",LEFT(TH!O962,2)="15"),LEFT(TH!O962,3)&lt;&gt;"111",'152-CT'!$J$8=TH!F962),"x","")</f>
        <v/>
      </c>
      <c r="AC962" s="84" t="str">
        <f>IF(AND(OR(LEFT(TH!N962,2)="15",LEFT(TH!O962,2)="15"),TK!$E$7=TH!F962),"x","")</f>
        <v/>
      </c>
      <c r="AD962" s="84" t="str">
        <f>IF(AND(N962="1521",MONTH(C962)='BK-NL'!$M$11),"x","")</f>
        <v/>
      </c>
      <c r="AE962" s="1146" t="str">
        <f>IF(H962&lt;&gt;VLOOKUP(H962,DSKH,1,0),"","x")</f>
        <v>x</v>
      </c>
    </row>
    <row r="963" spans="1:31" ht="15.75" hidden="1" customHeight="1">
      <c r="A963" s="336" t="str">
        <f>IF(B963&lt;&gt;"",IF(AND(B963='IN-TC'!$S$4,OR(TH!N963="1111",TH!O963="1111")),TH!D963,""),"")</f>
        <v/>
      </c>
      <c r="B963" s="63">
        <f t="shared" si="170"/>
        <v>2</v>
      </c>
      <c r="C963" s="64">
        <v>42424</v>
      </c>
      <c r="D963" s="64" t="s">
        <v>705</v>
      </c>
      <c r="E963" s="64">
        <v>42424</v>
      </c>
      <c r="F963" s="514" t="s">
        <v>743</v>
      </c>
      <c r="G963" s="67" t="s">
        <v>919</v>
      </c>
      <c r="H963" s="73"/>
      <c r="I963" s="439"/>
      <c r="J963" s="439"/>
      <c r="K963" s="430"/>
      <c r="L963" s="439"/>
      <c r="M963" s="65">
        <v>45000</v>
      </c>
      <c r="N963" s="66" t="s">
        <v>101</v>
      </c>
      <c r="O963" s="66" t="s">
        <v>26</v>
      </c>
      <c r="P963" s="84" t="str">
        <f>IF(AND('331-CT'!$E$7=TH!H963,OR(N963="331",O963="331")),"x","")</f>
        <v/>
      </c>
      <c r="Q963" s="84" t="str">
        <f>IF(AND(B963='111'!$L$11,OR($N963=$Q$7,$O963=$Q$7)),"x","")</f>
        <v/>
      </c>
      <c r="R963" s="84" t="str">
        <f>IF(AND($N963=$Q$7,$B963&lt;'111'!$L$11),"x","")</f>
        <v/>
      </c>
      <c r="S963" s="84" t="str">
        <f>IF(AND($O963=$Q$7,$B963&lt;'111'!$L$11),"x","")</f>
        <v/>
      </c>
      <c r="T963" s="84" t="str">
        <f>IF(ISERROR(FIND('112'!$M$9,G963,1)),"",IF((AND(FIND('112'!$M$9,G963,1)&gt;=1,B963='112'!$K$9,OR($N963='112'!$I$6,$O963='112'!$I$6))),"x",""))</f>
        <v/>
      </c>
      <c r="U963" s="84" t="str">
        <f>IF(ISERROR(FIND('112'!$M$9,G963,1)),"",IF((AND(LEFT(G963,2)=LEFT('112'!$M$9,2),B963&lt;'112'!$K$9,$N963='112'!$I$6)),"x",""))</f>
        <v/>
      </c>
      <c r="V963" s="84" t="str">
        <f>IF(ISERROR(FIND('112'!$M$9,G963,1)),"",IF((AND(RIGHT(G963,2)=RIGHT('112'!$M$9,2),B963&lt;'112'!$K$9,$O963='112'!$I$6)),"x",""))</f>
        <v>x</v>
      </c>
      <c r="W963" s="84" t="str">
        <f>IF(AND('341-CT'!$H$9=H963,OR(LEFT(N963,3)=$W$7,LEFT(O963,3)=$W$7)),"x","")</f>
        <v/>
      </c>
      <c r="X963" s="84" t="str">
        <f>IF(OR(TH!N963=TH!$X$7,O963=TH!$X$7),"x","")</f>
        <v/>
      </c>
      <c r="Y963" s="84" t="str">
        <f>IF(AND(OR(N963="131",O963="131"),H963='131-CT'!$H$9),"x","")</f>
        <v/>
      </c>
      <c r="Z963" s="84"/>
      <c r="AA963" s="84" t="str">
        <f>IF(AND(MONTH(E963)='IN-NX'!$J$5,'IN-NX'!$D$7=D963),"x","")</f>
        <v/>
      </c>
      <c r="AB963" s="84" t="str">
        <f>IF(AND(OR(LEFT(TH!N963,2)="15",LEFT(TH!O963,2)="15"),LEFT(TH!O963,3)&lt;&gt;"111",'152-CT'!$J$8=TH!F963),"x","")</f>
        <v/>
      </c>
      <c r="AC963" s="84" t="str">
        <f>IF(AND(OR(LEFT(TH!N963,2)="15",LEFT(TH!O963,2)="15"),TK!$E$7=TH!F963),"x","")</f>
        <v/>
      </c>
      <c r="AD963" s="84" t="str">
        <f>IF(AND(N963="1521",MONTH(C963)='BK-NL'!$M$11),"x","")</f>
        <v/>
      </c>
    </row>
    <row r="964" spans="1:31" ht="15.75" hidden="1" customHeight="1">
      <c r="A964" s="336" t="str">
        <f>IF(B964&lt;&gt;"",IF(AND(B964='IN-TC'!$S$4,OR(TH!N964="1111",TH!O964="1111")),TH!D964,""),"")</f>
        <v/>
      </c>
      <c r="B964" s="63">
        <f t="shared" si="170"/>
        <v>2</v>
      </c>
      <c r="C964" s="64">
        <v>42424</v>
      </c>
      <c r="D964" s="64" t="s">
        <v>705</v>
      </c>
      <c r="E964" s="64">
        <v>42424</v>
      </c>
      <c r="F964" s="514" t="s">
        <v>745</v>
      </c>
      <c r="G964" s="67" t="s">
        <v>919</v>
      </c>
      <c r="H964" s="73"/>
      <c r="I964" s="439"/>
      <c r="J964" s="439"/>
      <c r="K964" s="430"/>
      <c r="L964" s="439"/>
      <c r="M964" s="65">
        <v>4500</v>
      </c>
      <c r="N964" s="66" t="s">
        <v>9</v>
      </c>
      <c r="O964" s="66" t="s">
        <v>26</v>
      </c>
      <c r="P964" s="84" t="str">
        <f>IF(AND('331-CT'!$E$7=TH!H964,OR(N964="331",O964="331")),"x","")</f>
        <v/>
      </c>
      <c r="Q964" s="84" t="str">
        <f>IF(AND(B964='111'!$L$11,OR($N964=$Q$7,$O964=$Q$7)),"x","")</f>
        <v/>
      </c>
      <c r="R964" s="84" t="str">
        <f>IF(AND($N964=$Q$7,$B964&lt;'111'!$L$11),"x","")</f>
        <v/>
      </c>
      <c r="S964" s="84" t="str">
        <f>IF(AND($O964=$Q$7,$B964&lt;'111'!$L$11),"x","")</f>
        <v/>
      </c>
      <c r="T964" s="84" t="str">
        <f>IF(ISERROR(FIND('112'!$M$9,G964,1)),"",IF((AND(FIND('112'!$M$9,G964,1)&gt;=1,B964='112'!$K$9,OR($N964='112'!$I$6,$O964='112'!$I$6))),"x",""))</f>
        <v/>
      </c>
      <c r="U964" s="84" t="str">
        <f>IF(ISERROR(FIND('112'!$M$9,G964,1)),"",IF((AND(LEFT(G964,2)=LEFT('112'!$M$9,2),B964&lt;'112'!$K$9,$N964='112'!$I$6)),"x",""))</f>
        <v/>
      </c>
      <c r="V964" s="84" t="str">
        <f>IF(ISERROR(FIND('112'!$M$9,G964,1)),"",IF((AND(RIGHT(G964,2)=RIGHT('112'!$M$9,2),B964&lt;'112'!$K$9,$O964='112'!$I$6)),"x",""))</f>
        <v>x</v>
      </c>
      <c r="W964" s="84" t="str">
        <f>IF(AND('341-CT'!$H$9=H964,OR(LEFT(N964,3)=$W$7,LEFT(O964,3)=$W$7)),"x","")</f>
        <v/>
      </c>
      <c r="X964" s="84" t="str">
        <f>IF(OR(TH!N964=TH!$X$7,O964=TH!$X$7),"x","")</f>
        <v/>
      </c>
      <c r="Y964" s="84" t="str">
        <f>IF(AND(OR(N964="131",O964="131"),H964='131-CT'!$H$9),"x","")</f>
        <v/>
      </c>
      <c r="Z964" s="84"/>
      <c r="AA964" s="84" t="str">
        <f>IF(AND(MONTH(E964)='IN-NX'!$J$5,'IN-NX'!$D$7=D964),"x","")</f>
        <v/>
      </c>
      <c r="AB964" s="84" t="str">
        <f>IF(AND(OR(LEFT(TH!N964,2)="15",LEFT(TH!O964,2)="15"),LEFT(TH!O964,3)&lt;&gt;"111",'152-CT'!$J$8=TH!F964),"x","")</f>
        <v/>
      </c>
      <c r="AC964" s="84" t="str">
        <f>IF(AND(OR(LEFT(TH!N964,2)="15",LEFT(TH!O964,2)="15"),TK!$E$7=TH!F964),"x","")</f>
        <v/>
      </c>
      <c r="AD964" s="84" t="str">
        <f>IF(AND(N964="1521",MONTH(C964)='BK-NL'!$M$11),"x","")</f>
        <v/>
      </c>
    </row>
    <row r="965" spans="1:31" ht="15.75" hidden="1" customHeight="1">
      <c r="A965" s="336" t="str">
        <f>IF(B965&lt;&gt;"",IF(AND(B965='IN-TC'!$S$4,OR(TH!N965="1111",TH!O965="1111")),TH!D965,""),"")</f>
        <v/>
      </c>
      <c r="B965" s="63">
        <f t="shared" si="170"/>
        <v>2</v>
      </c>
      <c r="C965" s="64">
        <v>42424</v>
      </c>
      <c r="D965" s="64" t="s">
        <v>705</v>
      </c>
      <c r="E965" s="64">
        <v>42424</v>
      </c>
      <c r="F965" s="514" t="s">
        <v>1062</v>
      </c>
      <c r="G965" s="67" t="s">
        <v>919</v>
      </c>
      <c r="H965" s="73"/>
      <c r="I965" s="439"/>
      <c r="J965" s="439"/>
      <c r="K965" s="430">
        <v>3</v>
      </c>
      <c r="L965" s="439">
        <v>22340</v>
      </c>
      <c r="M965" s="65">
        <f>ROUND(K965*L965,0)</f>
        <v>67020</v>
      </c>
      <c r="N965" s="66" t="s">
        <v>101</v>
      </c>
      <c r="O965" s="66" t="s">
        <v>266</v>
      </c>
      <c r="P965" s="84" t="str">
        <f>IF(AND('331-CT'!$E$7=TH!H965,OR(N965="331",O965="331")),"x","")</f>
        <v/>
      </c>
      <c r="Q965" s="84" t="str">
        <f>IF(AND(B965='111'!$L$11,OR($N965=$Q$7,$O965=$Q$7)),"x","")</f>
        <v/>
      </c>
      <c r="R965" s="84" t="str">
        <f>IF(AND($N965=$Q$7,$B965&lt;'111'!$L$11),"x","")</f>
        <v/>
      </c>
      <c r="S965" s="84" t="str">
        <f>IF(AND($O965=$Q$7,$B965&lt;'111'!$L$11),"x","")</f>
        <v/>
      </c>
      <c r="T965" s="84" t="str">
        <f>IF(ISERROR(FIND('112'!$M$9,G965,1)),"",IF((AND(FIND('112'!$M$9,G965,1)&gt;=1,B965='112'!$K$9,OR($N965='112'!$I$6,$O965='112'!$I$6))),"x",""))</f>
        <v/>
      </c>
      <c r="U965" s="84" t="str">
        <f>IF(ISERROR(FIND('112'!$M$9,G965,1)),"",IF((AND(LEFT(G965,2)=LEFT('112'!$M$9,2),B965&lt;'112'!$K$9,$N965='112'!$I$6)),"x",""))</f>
        <v/>
      </c>
      <c r="V965" s="84" t="str">
        <f>IF(ISERROR(FIND('112'!$M$9,G965,1)),"",IF((AND(RIGHT(G965,2)=RIGHT('112'!$M$9,2),B965&lt;'112'!$K$9,$O965='112'!$I$6)),"x",""))</f>
        <v/>
      </c>
      <c r="W965" s="84" t="str">
        <f>IF(AND('341-CT'!$H$9=H965,OR(LEFT(N965,3)=$W$7,LEFT(O965,3)=$W$7)),"x","")</f>
        <v/>
      </c>
      <c r="X965" s="84" t="str">
        <f>IF(OR(TH!N965=TH!$X$7,O965=TH!$X$7),"x","")</f>
        <v/>
      </c>
      <c r="Y965" s="84" t="str">
        <f>IF(AND(OR(N965="131",O965="131"),H965='131-CT'!$H$9),"x","")</f>
        <v/>
      </c>
      <c r="Z965" s="84"/>
      <c r="AA965" s="84" t="str">
        <f>IF(AND(MONTH(E965)='IN-NX'!$J$5,'IN-NX'!$D$7=D965),"x","")</f>
        <v/>
      </c>
      <c r="AB965" s="84" t="str">
        <f>IF(AND(OR(LEFT(TH!N965,2)="15",LEFT(TH!O965,2)="15"),LEFT(TH!O965,3)&lt;&gt;"111",'152-CT'!$J$8=TH!F965),"x","")</f>
        <v/>
      </c>
      <c r="AC965" s="84" t="str">
        <f>IF(AND(OR(LEFT(TH!N965,2)="15",LEFT(TH!O965,2)="15"),TK!$E$7=TH!F965),"x","")</f>
        <v/>
      </c>
      <c r="AD965" s="84" t="str">
        <f>IF(AND(N965="1521",MONTH(C965)='BK-NL'!$M$11),"x","")</f>
        <v/>
      </c>
    </row>
    <row r="966" spans="1:31" ht="15.75" hidden="1" customHeight="1">
      <c r="A966" s="336" t="str">
        <f>IF(B966&lt;&gt;"",IF(AND(B966='IN-TC'!$S$4,OR(TH!N966="1111",TH!O966="1111")),TH!D966,""),"")</f>
        <v>C16</v>
      </c>
      <c r="B966" s="63">
        <f t="shared" si="170"/>
        <v>2</v>
      </c>
      <c r="C966" s="64">
        <v>42425</v>
      </c>
      <c r="D966" s="318" t="s">
        <v>884</v>
      </c>
      <c r="E966" s="64">
        <v>42425</v>
      </c>
      <c r="F966" s="514" t="s">
        <v>1010</v>
      </c>
      <c r="G966" s="982" t="s">
        <v>1034</v>
      </c>
      <c r="H966" s="73" t="s">
        <v>839</v>
      </c>
      <c r="I966" s="439"/>
      <c r="J966" s="439"/>
      <c r="K966" s="430"/>
      <c r="L966" s="439"/>
      <c r="M966" s="65">
        <v>15000000</v>
      </c>
      <c r="N966" s="66" t="s">
        <v>101</v>
      </c>
      <c r="O966" s="66" t="s">
        <v>63</v>
      </c>
      <c r="P966" s="84" t="str">
        <f>IF(AND('331-CT'!$E$7=TH!H966,OR(N966="331",O966="331")),"x","")</f>
        <v/>
      </c>
      <c r="Q966" s="84" t="str">
        <f>IF(AND(B966='111'!$L$11,OR($N966=$Q$7,$O966=$Q$7)),"x","")</f>
        <v/>
      </c>
      <c r="R966" s="84" t="str">
        <f>IF(AND($N966=$Q$7,$B966&lt;'111'!$L$11),"x","")</f>
        <v/>
      </c>
      <c r="S966" s="84" t="str">
        <f>IF(AND($O966=$Q$7,$B966&lt;'111'!$L$11),"x","")</f>
        <v/>
      </c>
      <c r="T966" s="84" t="str">
        <f>IF(ISERROR(FIND('112'!$M$9,G966,1)),"",IF((AND(FIND('112'!$M$9,G966,1)&gt;=1,B966='112'!$K$9,OR($N966='112'!$I$6,$O966='112'!$I$6))),"x",""))</f>
        <v/>
      </c>
      <c r="U966" s="84" t="str">
        <f>IF(ISERROR(FIND('112'!$M$9,G966,1)),"",IF((AND(LEFT(G966,2)=LEFT('112'!$M$9,2),B966&lt;'112'!$K$9,$N966='112'!$I$6)),"x",""))</f>
        <v/>
      </c>
      <c r="V966" s="84" t="str">
        <f>IF(ISERROR(FIND('112'!$M$9,G966,1)),"",IF((AND(RIGHT(G966,2)=RIGHT('112'!$M$9,2),B966&lt;'112'!$K$9,$O966='112'!$I$6)),"x",""))</f>
        <v/>
      </c>
      <c r="W966" s="84" t="str">
        <f>IF(AND('341-CT'!$H$9=H966,OR(LEFT(N966,3)=$W$7,LEFT(O966,3)=$W$7)),"x","")</f>
        <v/>
      </c>
      <c r="X966" s="84" t="str">
        <f>IF(OR(TH!N966=TH!$X$7,O966=TH!$X$7),"x","")</f>
        <v/>
      </c>
      <c r="Y966" s="84" t="str">
        <f>IF(AND(OR(N966="131",O966="131"),H966='131-CT'!$H$9),"x","")</f>
        <v/>
      </c>
      <c r="Z966" s="84"/>
      <c r="AA966" s="84" t="str">
        <f>IF(AND(MONTH(E966)='IN-NX'!$J$5,'IN-NX'!$D$7=D966),"x","")</f>
        <v/>
      </c>
      <c r="AB966" s="84" t="str">
        <f>IF(AND(OR(LEFT(TH!N966,2)="15",LEFT(TH!O966,2)="15"),LEFT(TH!O966,3)&lt;&gt;"111",'152-CT'!$J$8=TH!F966),"x","")</f>
        <v/>
      </c>
      <c r="AC966" s="84" t="str">
        <f>IF(AND(OR(LEFT(TH!N966,2)="15",LEFT(TH!O966,2)="15"),TK!$E$7=TH!F966),"x","")</f>
        <v/>
      </c>
      <c r="AD966" s="84" t="str">
        <f>IF(AND(N966="1521",MONTH(C966)='BK-NL'!$M$11),"x","")</f>
        <v/>
      </c>
    </row>
    <row r="967" spans="1:31" ht="15.75" hidden="1" customHeight="1">
      <c r="A967" s="336" t="str">
        <f>IF(B967&lt;&gt;"",IF(AND(B967='IN-TC'!$S$4,OR(TH!N967="1111",TH!O967="1111")),TH!D967,""),"")</f>
        <v>C16</v>
      </c>
      <c r="B967" s="63">
        <f t="shared" si="170"/>
        <v>2</v>
      </c>
      <c r="C967" s="64">
        <v>42425</v>
      </c>
      <c r="D967" s="318" t="s">
        <v>884</v>
      </c>
      <c r="E967" s="64">
        <v>42425</v>
      </c>
      <c r="F967" s="514" t="s">
        <v>1011</v>
      </c>
      <c r="G967" s="67" t="s">
        <v>1034</v>
      </c>
      <c r="H967" s="73" t="s">
        <v>839</v>
      </c>
      <c r="I967" s="439"/>
      <c r="J967" s="439"/>
      <c r="K967" s="430"/>
      <c r="L967" s="439"/>
      <c r="M967" s="65">
        <v>1500000</v>
      </c>
      <c r="N967" s="66" t="s">
        <v>9</v>
      </c>
      <c r="O967" s="66" t="s">
        <v>63</v>
      </c>
      <c r="P967" s="84" t="str">
        <f>IF(AND('331-CT'!$E$7=TH!H967,OR(N967="331",O967="331")),"x","")</f>
        <v/>
      </c>
      <c r="Q967" s="84" t="str">
        <f>IF(AND(B967='111'!$L$11,OR($N967=$Q$7,$O967=$Q$7)),"x","")</f>
        <v/>
      </c>
      <c r="R967" s="84" t="str">
        <f>IF(AND($N967=$Q$7,$B967&lt;'111'!$L$11),"x","")</f>
        <v/>
      </c>
      <c r="S967" s="84" t="str">
        <f>IF(AND($O967=$Q$7,$B967&lt;'111'!$L$11),"x","")</f>
        <v/>
      </c>
      <c r="T967" s="84" t="str">
        <f>IF(ISERROR(FIND('112'!$M$9,G967,1)),"",IF((AND(FIND('112'!$M$9,G967,1)&gt;=1,B967='112'!$K$9,OR($N967='112'!$I$6,$O967='112'!$I$6))),"x",""))</f>
        <v/>
      </c>
      <c r="U967" s="84" t="str">
        <f>IF(ISERROR(FIND('112'!$M$9,G967,1)),"",IF((AND(LEFT(G967,2)=LEFT('112'!$M$9,2),B967&lt;'112'!$K$9,$N967='112'!$I$6)),"x",""))</f>
        <v/>
      </c>
      <c r="V967" s="84" t="str">
        <f>IF(ISERROR(FIND('112'!$M$9,G967,1)),"",IF((AND(RIGHT(G967,2)=RIGHT('112'!$M$9,2),B967&lt;'112'!$K$9,$O967='112'!$I$6)),"x",""))</f>
        <v/>
      </c>
      <c r="W967" s="84" t="str">
        <f>IF(AND('341-CT'!$H$9=H967,OR(LEFT(N967,3)=$W$7,LEFT(O967,3)=$W$7)),"x","")</f>
        <v/>
      </c>
      <c r="X967" s="84" t="str">
        <f>IF(OR(TH!N967=TH!$X$7,O967=TH!$X$7),"x","")</f>
        <v/>
      </c>
      <c r="Y967" s="84" t="str">
        <f>IF(AND(OR(N967="131",O967="131"),H967='131-CT'!$H$9),"x","")</f>
        <v/>
      </c>
      <c r="Z967" s="84"/>
      <c r="AA967" s="84" t="str">
        <f>IF(AND(MONTH(E967)='IN-NX'!$J$5,'IN-NX'!$D$7=D967),"x","")</f>
        <v/>
      </c>
      <c r="AB967" s="84" t="str">
        <f>IF(AND(OR(LEFT(TH!N967,2)="15",LEFT(TH!O967,2)="15"),LEFT(TH!O967,3)&lt;&gt;"111",'152-CT'!$J$8=TH!F967),"x","")</f>
        <v/>
      </c>
      <c r="AC967" s="84" t="str">
        <f>IF(AND(OR(LEFT(TH!N967,2)="15",LEFT(TH!O967,2)="15"),TK!$E$7=TH!F967),"x","")</f>
        <v/>
      </c>
      <c r="AD967" s="84" t="str">
        <f>IF(AND(N967="1521",MONTH(C967)='BK-NL'!$M$11),"x","")</f>
        <v/>
      </c>
    </row>
    <row r="968" spans="1:31" ht="15.75" hidden="1" customHeight="1">
      <c r="A968" s="336" t="str">
        <f>IF(B968&lt;&gt;"",IF(AND(B968='IN-TC'!$S$4,OR(TH!N968="1111",TH!O968="1111")),TH!D968,""),"")</f>
        <v/>
      </c>
      <c r="B968" s="63">
        <f t="shared" si="170"/>
        <v>2</v>
      </c>
      <c r="C968" s="64">
        <v>42425</v>
      </c>
      <c r="D968" s="64" t="s">
        <v>705</v>
      </c>
      <c r="E968" s="64">
        <v>42425</v>
      </c>
      <c r="F968" s="514" t="s">
        <v>1046</v>
      </c>
      <c r="G968" s="67" t="s">
        <v>919</v>
      </c>
      <c r="H968" s="73" t="s">
        <v>1218</v>
      </c>
      <c r="I968" s="439"/>
      <c r="J968" s="439"/>
      <c r="K968" s="430"/>
      <c r="L968" s="439"/>
      <c r="M968" s="65">
        <v>5000000</v>
      </c>
      <c r="N968" s="66" t="s">
        <v>72</v>
      </c>
      <c r="O968" s="66" t="s">
        <v>26</v>
      </c>
      <c r="P968" s="84" t="str">
        <f>IF(AND('331-CT'!$E$7=TH!H968,OR(N968="331",O968="331")),"x","")</f>
        <v/>
      </c>
      <c r="Q968" s="84" t="str">
        <f>IF(AND(B968='111'!$L$11,OR($N968=$Q$7,$O968=$Q$7)),"x","")</f>
        <v/>
      </c>
      <c r="R968" s="84" t="str">
        <f>IF(AND($N968=$Q$7,$B968&lt;'111'!$L$11),"x","")</f>
        <v/>
      </c>
      <c r="S968" s="84" t="str">
        <f>IF(AND($O968=$Q$7,$B968&lt;'111'!$L$11),"x","")</f>
        <v/>
      </c>
      <c r="T968" s="84" t="str">
        <f>IF(ISERROR(FIND('112'!$M$9,G968,1)),"",IF((AND(FIND('112'!$M$9,G968,1)&gt;=1,B968='112'!$K$9,OR($N968='112'!$I$6,$O968='112'!$I$6))),"x",""))</f>
        <v/>
      </c>
      <c r="U968" s="84" t="str">
        <f>IF(ISERROR(FIND('112'!$M$9,G968,1)),"",IF((AND(LEFT(G968,2)=LEFT('112'!$M$9,2),B968&lt;'112'!$K$9,$N968='112'!$I$6)),"x",""))</f>
        <v/>
      </c>
      <c r="V968" s="84" t="str">
        <f>IF(ISERROR(FIND('112'!$M$9,G968,1)),"",IF((AND(RIGHT(G968,2)=RIGHT('112'!$M$9,2),B968&lt;'112'!$K$9,$O968='112'!$I$6)),"x",""))</f>
        <v>x</v>
      </c>
      <c r="W968" s="84" t="str">
        <f>IF(AND('341-CT'!$H$9=H968,OR(LEFT(N968,3)=$W$7,LEFT(O968,3)=$W$7)),"x","")</f>
        <v/>
      </c>
      <c r="X968" s="84" t="str">
        <f>IF(OR(TH!N968=TH!$X$7,O968=TH!$X$7),"x","")</f>
        <v>x</v>
      </c>
      <c r="Y968" s="84" t="str">
        <f>IF(AND(OR(N968="131",O968="131"),H968='131-CT'!$H$9),"x","")</f>
        <v/>
      </c>
      <c r="Z968" s="84"/>
      <c r="AA968" s="84" t="str">
        <f>IF(AND(MONTH(E968)='IN-NX'!$J$5,'IN-NX'!$D$7=D968),"x","")</f>
        <v/>
      </c>
      <c r="AB968" s="84" t="str">
        <f>IF(AND(OR(LEFT(TH!N968,2)="15",LEFT(TH!O968,2)="15"),LEFT(TH!O968,3)&lt;&gt;"111",'152-CT'!$J$8=TH!F968),"x","")</f>
        <v/>
      </c>
      <c r="AC968" s="84" t="str">
        <f>IF(AND(OR(LEFT(TH!N968,2)="15",LEFT(TH!O968,2)="15"),TK!$E$7=TH!F968),"x","")</f>
        <v/>
      </c>
      <c r="AD968" s="84" t="str">
        <f>IF(AND(N968="1521",MONTH(C968)='BK-NL'!$M$11),"x","")</f>
        <v/>
      </c>
    </row>
    <row r="969" spans="1:31" ht="15.75" hidden="1" customHeight="1">
      <c r="A969" s="336" t="str">
        <f>IF(B969&lt;&gt;"",IF(AND(B969='IN-TC'!$S$4,OR(TH!N969="1111",TH!O969="1111")),TH!D969,""),"")</f>
        <v>C17</v>
      </c>
      <c r="B969" s="63">
        <f t="shared" si="170"/>
        <v>2</v>
      </c>
      <c r="C969" s="64">
        <v>42426</v>
      </c>
      <c r="D969" s="64" t="s">
        <v>885</v>
      </c>
      <c r="E969" s="64">
        <v>42426</v>
      </c>
      <c r="F969" s="514" t="s">
        <v>1012</v>
      </c>
      <c r="G969" s="67" t="s">
        <v>1035</v>
      </c>
      <c r="H969" s="73" t="s">
        <v>1036</v>
      </c>
      <c r="I969" s="439"/>
      <c r="J969" s="439"/>
      <c r="K969" s="430"/>
      <c r="L969" s="439"/>
      <c r="M969" s="65">
        <v>8227273</v>
      </c>
      <c r="N969" s="66" t="s">
        <v>101</v>
      </c>
      <c r="O969" s="66" t="s">
        <v>63</v>
      </c>
      <c r="P969" s="84" t="str">
        <f>IF(AND('331-CT'!$E$7=TH!H969,OR(N969="331",O969="331")),"x","")</f>
        <v/>
      </c>
      <c r="Q969" s="84" t="str">
        <f>IF(AND(B969='111'!$L$11,OR($N969=$Q$7,$O969=$Q$7)),"x","")</f>
        <v/>
      </c>
      <c r="R969" s="84" t="str">
        <f>IF(AND($N969=$Q$7,$B969&lt;'111'!$L$11),"x","")</f>
        <v/>
      </c>
      <c r="S969" s="84" t="str">
        <f>IF(AND($O969=$Q$7,$B969&lt;'111'!$L$11),"x","")</f>
        <v/>
      </c>
      <c r="T969" s="84" t="str">
        <f>IF(ISERROR(FIND('112'!$M$9,G969,1)),"",IF((AND(FIND('112'!$M$9,G969,1)&gt;=1,B969='112'!$K$9,OR($N969='112'!$I$6,$O969='112'!$I$6))),"x",""))</f>
        <v/>
      </c>
      <c r="U969" s="84" t="str">
        <f>IF(ISERROR(FIND('112'!$M$9,G969,1)),"",IF((AND(LEFT(G969,2)=LEFT('112'!$M$9,2),B969&lt;'112'!$K$9,$N969='112'!$I$6)),"x",""))</f>
        <v/>
      </c>
      <c r="V969" s="84" t="str">
        <f>IF(ISERROR(FIND('112'!$M$9,G969,1)),"",IF((AND(RIGHT(G969,2)=RIGHT('112'!$M$9,2),B969&lt;'112'!$K$9,$O969='112'!$I$6)),"x",""))</f>
        <v/>
      </c>
      <c r="W969" s="84" t="str">
        <f>IF(AND('341-CT'!$H$9=H969,OR(LEFT(N969,3)=$W$7,LEFT(O969,3)=$W$7)),"x","")</f>
        <v/>
      </c>
      <c r="X969" s="84" t="str">
        <f>IF(OR(TH!N969=TH!$X$7,O969=TH!$X$7),"x","")</f>
        <v/>
      </c>
      <c r="Y969" s="84" t="str">
        <f>IF(AND(OR(N969="131",O969="131"),H969='131-CT'!$H$9),"x","")</f>
        <v/>
      </c>
      <c r="Z969" s="84"/>
      <c r="AA969" s="84" t="str">
        <f>IF(AND(MONTH(E969)='IN-NX'!$J$5,'IN-NX'!$D$7=D969),"x","")</f>
        <v/>
      </c>
      <c r="AB969" s="84" t="str">
        <f>IF(AND(OR(LEFT(TH!N969,2)="15",LEFT(TH!O969,2)="15"),LEFT(TH!O969,3)&lt;&gt;"111",'152-CT'!$J$8=TH!F969),"x","")</f>
        <v/>
      </c>
      <c r="AC969" s="84" t="str">
        <f>IF(AND(OR(LEFT(TH!N969,2)="15",LEFT(TH!O969,2)="15"),TK!$E$7=TH!F969),"x","")</f>
        <v/>
      </c>
      <c r="AD969" s="84" t="str">
        <f>IF(AND(N969="1521",MONTH(C969)='BK-NL'!$M$11),"x","")</f>
        <v/>
      </c>
    </row>
    <row r="970" spans="1:31" ht="15.75" hidden="1" customHeight="1">
      <c r="A970" s="336" t="str">
        <f>IF(B970&lt;&gt;"",IF(AND(B970='IN-TC'!$S$4,OR(TH!N970="1111",TH!O970="1111")),TH!D970,""),"")</f>
        <v>C17</v>
      </c>
      <c r="B970" s="63">
        <f t="shared" si="170"/>
        <v>2</v>
      </c>
      <c r="C970" s="64">
        <v>42426</v>
      </c>
      <c r="D970" s="64" t="s">
        <v>885</v>
      </c>
      <c r="E970" s="64">
        <v>42426</v>
      </c>
      <c r="F970" s="514" t="s">
        <v>1013</v>
      </c>
      <c r="G970" s="67" t="s">
        <v>1035</v>
      </c>
      <c r="H970" s="73" t="s">
        <v>1036</v>
      </c>
      <c r="I970" s="439"/>
      <c r="J970" s="439"/>
      <c r="K970" s="430"/>
      <c r="L970" s="439"/>
      <c r="M970" s="65">
        <v>822727</v>
      </c>
      <c r="N970" s="66" t="s">
        <v>9</v>
      </c>
      <c r="O970" s="66" t="s">
        <v>63</v>
      </c>
      <c r="P970" s="84" t="str">
        <f>IF(AND('331-CT'!$E$7=TH!H970,OR(N970="331",O970="331")),"x","")</f>
        <v/>
      </c>
      <c r="Q970" s="84" t="str">
        <f>IF(AND(B970='111'!$L$11,OR($N970=$Q$7,$O970=$Q$7)),"x","")</f>
        <v/>
      </c>
      <c r="R970" s="84" t="str">
        <f>IF(AND($N970=$Q$7,$B970&lt;'111'!$L$11),"x","")</f>
        <v/>
      </c>
      <c r="S970" s="84" t="str">
        <f>IF(AND($O970=$Q$7,$B970&lt;'111'!$L$11),"x","")</f>
        <v/>
      </c>
      <c r="T970" s="84" t="str">
        <f>IF(ISERROR(FIND('112'!$M$9,G970,1)),"",IF((AND(FIND('112'!$M$9,G970,1)&gt;=1,B970='112'!$K$9,OR($N970='112'!$I$6,$O970='112'!$I$6))),"x",""))</f>
        <v/>
      </c>
      <c r="U970" s="84" t="str">
        <f>IF(ISERROR(FIND('112'!$M$9,G970,1)),"",IF((AND(LEFT(G970,2)=LEFT('112'!$M$9,2),B970&lt;'112'!$K$9,$N970='112'!$I$6)),"x",""))</f>
        <v/>
      </c>
      <c r="V970" s="84" t="str">
        <f>IF(ISERROR(FIND('112'!$M$9,G970,1)),"",IF((AND(RIGHT(G970,2)=RIGHT('112'!$M$9,2),B970&lt;'112'!$K$9,$O970='112'!$I$6)),"x",""))</f>
        <v/>
      </c>
      <c r="W970" s="84" t="str">
        <f>IF(AND('341-CT'!$H$9=H970,OR(LEFT(N970,3)=$W$7,LEFT(O970,3)=$W$7)),"x","")</f>
        <v/>
      </c>
      <c r="X970" s="84" t="str">
        <f>IF(OR(TH!N970=TH!$X$7,O970=TH!$X$7),"x","")</f>
        <v/>
      </c>
      <c r="Y970" s="84" t="str">
        <f>IF(AND(OR(N970="131",O970="131"),H970='131-CT'!$H$9),"x","")</f>
        <v/>
      </c>
      <c r="Z970" s="84"/>
      <c r="AA970" s="84" t="str">
        <f>IF(AND(MONTH(E970)='IN-NX'!$J$5,'IN-NX'!$D$7=D970),"x","")</f>
        <v/>
      </c>
      <c r="AB970" s="84" t="str">
        <f>IF(AND(OR(LEFT(TH!N970,2)="15",LEFT(TH!O970,2)="15"),LEFT(TH!O970,3)&lt;&gt;"111",'152-CT'!$J$8=TH!F970),"x","")</f>
        <v/>
      </c>
      <c r="AC970" s="84" t="str">
        <f>IF(AND(OR(LEFT(TH!N970,2)="15",LEFT(TH!O970,2)="15"),TK!$E$7=TH!F970),"x","")</f>
        <v/>
      </c>
      <c r="AD970" s="84" t="str">
        <f>IF(AND(N970="1521",MONTH(C970)='BK-NL'!$M$11),"x","")</f>
        <v/>
      </c>
    </row>
    <row r="971" spans="1:31" ht="15.75" hidden="1" customHeight="1">
      <c r="A971" s="336" t="str">
        <f>IF(B971&lt;&gt;"",IF(AND(B971='IN-TC'!$S$4,OR(TH!N971="1111",TH!O971="1111")),TH!D971,""),"")</f>
        <v>C18</v>
      </c>
      <c r="B971" s="63">
        <f t="shared" si="170"/>
        <v>2</v>
      </c>
      <c r="C971" s="64">
        <v>42427</v>
      </c>
      <c r="D971" s="64" t="s">
        <v>886</v>
      </c>
      <c r="E971" s="64">
        <v>42427</v>
      </c>
      <c r="F971" s="514" t="s">
        <v>1014</v>
      </c>
      <c r="G971" s="67" t="s">
        <v>1037</v>
      </c>
      <c r="H971" s="73" t="s">
        <v>1038</v>
      </c>
      <c r="I971" s="439"/>
      <c r="J971" s="439"/>
      <c r="K971" s="430"/>
      <c r="L971" s="439"/>
      <c r="M971" s="65">
        <v>2100000</v>
      </c>
      <c r="N971" s="66" t="s">
        <v>101</v>
      </c>
      <c r="O971" s="66" t="s">
        <v>63</v>
      </c>
      <c r="P971" s="84" t="str">
        <f>IF(AND('331-CT'!$E$7=TH!H971,OR(N971="331",O971="331")),"x","")</f>
        <v/>
      </c>
      <c r="Q971" s="84" t="str">
        <f>IF(AND(B971='111'!$L$11,OR($N971=$Q$7,$O971=$Q$7)),"x","")</f>
        <v/>
      </c>
      <c r="R971" s="84" t="str">
        <f>IF(AND($N971=$Q$7,$B971&lt;'111'!$L$11),"x","")</f>
        <v/>
      </c>
      <c r="S971" s="84" t="str">
        <f>IF(AND($O971=$Q$7,$B971&lt;'111'!$L$11),"x","")</f>
        <v/>
      </c>
      <c r="T971" s="84" t="str">
        <f>IF(ISERROR(FIND('112'!$M$9,G971,1)),"",IF((AND(FIND('112'!$M$9,G971,1)&gt;=1,B971='112'!$K$9,OR($N971='112'!$I$6,$O971='112'!$I$6))),"x",""))</f>
        <v/>
      </c>
      <c r="U971" s="84" t="str">
        <f>IF(ISERROR(FIND('112'!$M$9,G971,1)),"",IF((AND(LEFT(G971,2)=LEFT('112'!$M$9,2),B971&lt;'112'!$K$9,$N971='112'!$I$6)),"x",""))</f>
        <v/>
      </c>
      <c r="V971" s="84" t="str">
        <f>IF(ISERROR(FIND('112'!$M$9,G971,1)),"",IF((AND(RIGHT(G971,2)=RIGHT('112'!$M$9,2),B971&lt;'112'!$K$9,$O971='112'!$I$6)),"x",""))</f>
        <v/>
      </c>
      <c r="W971" s="84" t="str">
        <f>IF(AND('341-CT'!$H$9=H971,OR(LEFT(N971,3)=$W$7,LEFT(O971,3)=$W$7)),"x","")</f>
        <v/>
      </c>
      <c r="X971" s="84" t="str">
        <f>IF(OR(TH!N971=TH!$X$7,O971=TH!$X$7),"x","")</f>
        <v/>
      </c>
      <c r="Y971" s="84" t="str">
        <f>IF(AND(OR(N971="131",O971="131"),H971='131-CT'!$H$9),"x","")</f>
        <v/>
      </c>
      <c r="Z971" s="84"/>
      <c r="AA971" s="84" t="str">
        <f>IF(AND(MONTH(E971)='IN-NX'!$J$5,'IN-NX'!$D$7=D971),"x","")</f>
        <v/>
      </c>
      <c r="AB971" s="84" t="str">
        <f>IF(AND(OR(LEFT(TH!N971,2)="15",LEFT(TH!O971,2)="15"),LEFT(TH!O971,3)&lt;&gt;"111",'152-CT'!$J$8=TH!F971),"x","")</f>
        <v/>
      </c>
      <c r="AC971" s="84" t="str">
        <f>IF(AND(OR(LEFT(TH!N971,2)="15",LEFT(TH!O971,2)="15"),TK!$E$7=TH!F971),"x","")</f>
        <v/>
      </c>
      <c r="AD971" s="84" t="str">
        <f>IF(AND(N971="1521",MONTH(C971)='BK-NL'!$M$11),"x","")</f>
        <v/>
      </c>
    </row>
    <row r="972" spans="1:31" ht="15.75" hidden="1" customHeight="1">
      <c r="A972" s="336" t="str">
        <f>IF(B972&lt;&gt;"",IF(AND(B972='IN-TC'!$S$4,OR(TH!N972="1111",TH!O972="1111")),TH!D972,""),"")</f>
        <v>C19</v>
      </c>
      <c r="B972" s="63">
        <f t="shared" si="170"/>
        <v>2</v>
      </c>
      <c r="C972" s="64">
        <v>42427</v>
      </c>
      <c r="D972" s="64" t="s">
        <v>887</v>
      </c>
      <c r="E972" s="64">
        <v>42427</v>
      </c>
      <c r="F972" s="514" t="s">
        <v>1005</v>
      </c>
      <c r="G972" s="67" t="s">
        <v>1039</v>
      </c>
      <c r="H972" s="73" t="s">
        <v>808</v>
      </c>
      <c r="I972" s="439"/>
      <c r="J972" s="439"/>
      <c r="K972" s="430"/>
      <c r="L972" s="439"/>
      <c r="M972" s="65">
        <v>512318</v>
      </c>
      <c r="N972" s="66" t="s">
        <v>101</v>
      </c>
      <c r="O972" s="66" t="s">
        <v>63</v>
      </c>
      <c r="P972" s="84" t="str">
        <f>IF(AND('331-CT'!$E$7=TH!H972,OR(N972="331",O972="331")),"x","")</f>
        <v/>
      </c>
      <c r="Q972" s="84" t="str">
        <f>IF(AND(B972='111'!$L$11,OR($N972=$Q$7,$O972=$Q$7)),"x","")</f>
        <v/>
      </c>
      <c r="R972" s="84" t="str">
        <f>IF(AND($N972=$Q$7,$B972&lt;'111'!$L$11),"x","")</f>
        <v/>
      </c>
      <c r="S972" s="84" t="str">
        <f>IF(AND($O972=$Q$7,$B972&lt;'111'!$L$11),"x","")</f>
        <v/>
      </c>
      <c r="T972" s="84" t="str">
        <f>IF(ISERROR(FIND('112'!$M$9,G972,1)),"",IF((AND(FIND('112'!$M$9,G972,1)&gt;=1,B972='112'!$K$9,OR($N972='112'!$I$6,$O972='112'!$I$6))),"x",""))</f>
        <v/>
      </c>
      <c r="U972" s="84" t="str">
        <f>IF(ISERROR(FIND('112'!$M$9,G972,1)),"",IF((AND(LEFT(G972,2)=LEFT('112'!$M$9,2),B972&lt;'112'!$K$9,$N972='112'!$I$6)),"x",""))</f>
        <v/>
      </c>
      <c r="V972" s="84" t="str">
        <f>IF(ISERROR(FIND('112'!$M$9,G972,1)),"",IF((AND(RIGHT(G972,2)=RIGHT('112'!$M$9,2),B972&lt;'112'!$K$9,$O972='112'!$I$6)),"x",""))</f>
        <v/>
      </c>
      <c r="W972" s="84" t="str">
        <f>IF(AND('341-CT'!$H$9=H972,OR(LEFT(N972,3)=$W$7,LEFT(O972,3)=$W$7)),"x","")</f>
        <v/>
      </c>
      <c r="X972" s="84" t="str">
        <f>IF(OR(TH!N972=TH!$X$7,O972=TH!$X$7),"x","")</f>
        <v/>
      </c>
      <c r="Y972" s="84" t="str">
        <f>IF(AND(OR(N972="131",O972="131"),H972='131-CT'!$H$9),"x","")</f>
        <v/>
      </c>
      <c r="Z972" s="84"/>
      <c r="AA972" s="84" t="str">
        <f>IF(AND(MONTH(E972)='IN-NX'!$J$5,'IN-NX'!$D$7=D972),"x","")</f>
        <v/>
      </c>
      <c r="AB972" s="84" t="str">
        <f>IF(AND(OR(LEFT(TH!N972,2)="15",LEFT(TH!O972,2)="15"),LEFT(TH!O972,3)&lt;&gt;"111",'152-CT'!$J$8=TH!F972),"x","")</f>
        <v/>
      </c>
      <c r="AC972" s="84" t="str">
        <f>IF(AND(OR(LEFT(TH!N972,2)="15",LEFT(TH!O972,2)="15"),TK!$E$7=TH!F972),"x","")</f>
        <v/>
      </c>
      <c r="AD972" s="84" t="str">
        <f>IF(AND(N972="1521",MONTH(C972)='BK-NL'!$M$11),"x","")</f>
        <v/>
      </c>
    </row>
    <row r="973" spans="1:31" ht="15.75" hidden="1" customHeight="1">
      <c r="A973" s="336" t="str">
        <f>IF(B973&lt;&gt;"",IF(AND(B973='IN-TC'!$S$4,OR(TH!N973="1111",TH!O973="1111")),TH!D973,""),"")</f>
        <v>C19</v>
      </c>
      <c r="B973" s="63">
        <f t="shared" si="170"/>
        <v>2</v>
      </c>
      <c r="C973" s="64">
        <v>42427</v>
      </c>
      <c r="D973" s="64" t="s">
        <v>887</v>
      </c>
      <c r="E973" s="64">
        <v>42427</v>
      </c>
      <c r="F973" s="514" t="s">
        <v>1006</v>
      </c>
      <c r="G973" s="67" t="s">
        <v>1039</v>
      </c>
      <c r="H973" s="73" t="s">
        <v>808</v>
      </c>
      <c r="I973" s="439"/>
      <c r="J973" s="439"/>
      <c r="K973" s="430"/>
      <c r="L973" s="439"/>
      <c r="M973" s="65">
        <v>51232</v>
      </c>
      <c r="N973" s="66" t="s">
        <v>9</v>
      </c>
      <c r="O973" s="66" t="s">
        <v>63</v>
      </c>
      <c r="P973" s="84" t="str">
        <f>IF(AND('331-CT'!$E$7=TH!H973,OR(N973="331",O973="331")),"x","")</f>
        <v/>
      </c>
      <c r="Q973" s="84" t="str">
        <f>IF(AND(B973='111'!$L$11,OR($N973=$Q$7,$O973=$Q$7)),"x","")</f>
        <v/>
      </c>
      <c r="R973" s="84" t="str">
        <f>IF(AND($N973=$Q$7,$B973&lt;'111'!$L$11),"x","")</f>
        <v/>
      </c>
      <c r="S973" s="84" t="str">
        <f>IF(AND($O973=$Q$7,$B973&lt;'111'!$L$11),"x","")</f>
        <v/>
      </c>
      <c r="T973" s="84" t="str">
        <f>IF(ISERROR(FIND('112'!$M$9,G973,1)),"",IF((AND(FIND('112'!$M$9,G973,1)&gt;=1,B973='112'!$K$9,OR($N973='112'!$I$6,$O973='112'!$I$6))),"x",""))</f>
        <v/>
      </c>
      <c r="U973" s="84" t="str">
        <f>IF(ISERROR(FIND('112'!$M$9,G973,1)),"",IF((AND(LEFT(G973,2)=LEFT('112'!$M$9,2),B973&lt;'112'!$K$9,$N973='112'!$I$6)),"x",""))</f>
        <v/>
      </c>
      <c r="V973" s="84" t="str">
        <f>IF(ISERROR(FIND('112'!$M$9,G973,1)),"",IF((AND(RIGHT(G973,2)=RIGHT('112'!$M$9,2),B973&lt;'112'!$K$9,$O973='112'!$I$6)),"x",""))</f>
        <v/>
      </c>
      <c r="W973" s="84" t="str">
        <f>IF(AND('341-CT'!$H$9=H973,OR(LEFT(N973,3)=$W$7,LEFT(O973,3)=$W$7)),"x","")</f>
        <v/>
      </c>
      <c r="X973" s="84" t="str">
        <f>IF(OR(TH!N973=TH!$X$7,O973=TH!$X$7),"x","")</f>
        <v/>
      </c>
      <c r="Y973" s="84" t="str">
        <f>IF(AND(OR(N973="131",O973="131"),H973='131-CT'!$H$9),"x","")</f>
        <v/>
      </c>
      <c r="Z973" s="84"/>
      <c r="AA973" s="84" t="str">
        <f>IF(AND(MONTH(E973)='IN-NX'!$J$5,'IN-NX'!$D$7=D973),"x","")</f>
        <v/>
      </c>
      <c r="AB973" s="84" t="str">
        <f>IF(AND(OR(LEFT(TH!N973,2)="15",LEFT(TH!O973,2)="15"),LEFT(TH!O973,3)&lt;&gt;"111",'152-CT'!$J$8=TH!F973),"x","")</f>
        <v/>
      </c>
      <c r="AC973" s="84" t="str">
        <f>IF(AND(OR(LEFT(TH!N973,2)="15",LEFT(TH!O973,2)="15"),TK!$E$7=TH!F973),"x","")</f>
        <v/>
      </c>
      <c r="AD973" s="84" t="str">
        <f>IF(AND(N973="1521",MONTH(C973)='BK-NL'!$M$11),"x","")</f>
        <v/>
      </c>
    </row>
    <row r="974" spans="1:31" ht="15.75" hidden="1" customHeight="1">
      <c r="A974" s="336" t="str">
        <f>IF(B974&lt;&gt;"",IF(AND(B974='IN-TC'!$S$4,OR(TH!N974="1111",TH!O974="1111")),TH!D974,""),"")</f>
        <v>C20</v>
      </c>
      <c r="B974" s="63">
        <f t="shared" si="170"/>
        <v>2</v>
      </c>
      <c r="C974" s="64">
        <v>42429</v>
      </c>
      <c r="D974" s="64" t="s">
        <v>888</v>
      </c>
      <c r="E974" s="64">
        <v>42429</v>
      </c>
      <c r="F974" s="514" t="s">
        <v>1015</v>
      </c>
      <c r="G974" s="67" t="s">
        <v>1040</v>
      </c>
      <c r="H974" s="73" t="s">
        <v>814</v>
      </c>
      <c r="I974" s="439"/>
      <c r="J974" s="439"/>
      <c r="K974" s="430"/>
      <c r="L974" s="439"/>
      <c r="M974" s="65">
        <v>945909</v>
      </c>
      <c r="N974" s="66" t="s">
        <v>101</v>
      </c>
      <c r="O974" s="66" t="s">
        <v>63</v>
      </c>
      <c r="P974" s="84" t="str">
        <f>IF(AND('331-CT'!$E$7=TH!H974,OR(N974="331",O974="331")),"x","")</f>
        <v/>
      </c>
      <c r="Q974" s="84" t="str">
        <f>IF(AND(B974='111'!$L$11,OR($N974=$Q$7,$O974=$Q$7)),"x","")</f>
        <v/>
      </c>
      <c r="R974" s="84" t="str">
        <f>IF(AND($N974=$Q$7,$B974&lt;'111'!$L$11),"x","")</f>
        <v/>
      </c>
      <c r="S974" s="84" t="str">
        <f>IF(AND($O974=$Q$7,$B974&lt;'111'!$L$11),"x","")</f>
        <v/>
      </c>
      <c r="T974" s="84" t="str">
        <f>IF(ISERROR(FIND('112'!$M$9,G974,1)),"",IF((AND(FIND('112'!$M$9,G974,1)&gt;=1,B974='112'!$K$9,OR($N974='112'!$I$6,$O974='112'!$I$6))),"x",""))</f>
        <v/>
      </c>
      <c r="U974" s="84" t="str">
        <f>IF(ISERROR(FIND('112'!$M$9,G974,1)),"",IF((AND(LEFT(G974,2)=LEFT('112'!$M$9,2),B974&lt;'112'!$K$9,$N974='112'!$I$6)),"x",""))</f>
        <v/>
      </c>
      <c r="V974" s="84" t="str">
        <f>IF(ISERROR(FIND('112'!$M$9,G974,1)),"",IF((AND(RIGHT(G974,2)=RIGHT('112'!$M$9,2),B974&lt;'112'!$K$9,$O974='112'!$I$6)),"x",""))</f>
        <v/>
      </c>
      <c r="W974" s="84" t="str">
        <f>IF(AND('341-CT'!$H$9=H974,OR(LEFT(N974,3)=$W$7,LEFT(O974,3)=$W$7)),"x","")</f>
        <v/>
      </c>
      <c r="X974" s="84" t="str">
        <f>IF(OR(TH!N974=TH!$X$7,O974=TH!$X$7),"x","")</f>
        <v/>
      </c>
      <c r="Y974" s="84" t="str">
        <f>IF(AND(OR(N974="131",O974="131"),H974='131-CT'!$H$9),"x","")</f>
        <v/>
      </c>
      <c r="Z974" s="84"/>
      <c r="AA974" s="84" t="str">
        <f>IF(AND(MONTH(E974)='IN-NX'!$J$5,'IN-NX'!$D$7=D974),"x","")</f>
        <v/>
      </c>
      <c r="AB974" s="84" t="str">
        <f>IF(AND(OR(LEFT(TH!N974,2)="15",LEFT(TH!O974,2)="15"),LEFT(TH!O974,3)&lt;&gt;"111",'152-CT'!$J$8=TH!F974),"x","")</f>
        <v/>
      </c>
      <c r="AC974" s="84" t="str">
        <f>IF(AND(OR(LEFT(TH!N974,2)="15",LEFT(TH!O974,2)="15"),TK!$E$7=TH!F974),"x","")</f>
        <v/>
      </c>
      <c r="AD974" s="84" t="str">
        <f>IF(AND(N974="1521",MONTH(C974)='BK-NL'!$M$11),"x","")</f>
        <v/>
      </c>
    </row>
    <row r="975" spans="1:31" ht="15.75" hidden="1" customHeight="1">
      <c r="A975" s="336" t="str">
        <f>IF(B975&lt;&gt;"",IF(AND(B975='IN-TC'!$S$4,OR(TH!N975="1111",TH!O975="1111")),TH!D975,""),"")</f>
        <v>C20</v>
      </c>
      <c r="B975" s="63">
        <f t="shared" si="170"/>
        <v>2</v>
      </c>
      <c r="C975" s="64">
        <v>42429</v>
      </c>
      <c r="D975" s="64" t="s">
        <v>888</v>
      </c>
      <c r="E975" s="64">
        <v>42429</v>
      </c>
      <c r="F975" s="514" t="s">
        <v>1016</v>
      </c>
      <c r="G975" s="67" t="s">
        <v>1040</v>
      </c>
      <c r="H975" s="73" t="s">
        <v>814</v>
      </c>
      <c r="I975" s="439"/>
      <c r="J975" s="439"/>
      <c r="K975" s="430"/>
      <c r="L975" s="439"/>
      <c r="M975" s="65">
        <v>94591</v>
      </c>
      <c r="N975" s="66" t="s">
        <v>9</v>
      </c>
      <c r="O975" s="66" t="s">
        <v>63</v>
      </c>
      <c r="P975" s="84" t="str">
        <f>IF(AND('331-CT'!$E$7=TH!H975,OR(N975="331",O975="331")),"x","")</f>
        <v/>
      </c>
      <c r="Q975" s="84" t="str">
        <f>IF(AND(B975='111'!$L$11,OR($N975=$Q$7,$O975=$Q$7)),"x","")</f>
        <v/>
      </c>
      <c r="R975" s="84" t="str">
        <f>IF(AND($N975=$Q$7,$B975&lt;'111'!$L$11),"x","")</f>
        <v/>
      </c>
      <c r="S975" s="84" t="str">
        <f>IF(AND($O975=$Q$7,$B975&lt;'111'!$L$11),"x","")</f>
        <v/>
      </c>
      <c r="T975" s="84" t="str">
        <f>IF(ISERROR(FIND('112'!$M$9,G975,1)),"",IF((AND(FIND('112'!$M$9,G975,1)&gt;=1,B975='112'!$K$9,OR($N975='112'!$I$6,$O975='112'!$I$6))),"x",""))</f>
        <v/>
      </c>
      <c r="U975" s="84" t="str">
        <f>IF(ISERROR(FIND('112'!$M$9,G975,1)),"",IF((AND(LEFT(G975,2)=LEFT('112'!$M$9,2),B975&lt;'112'!$K$9,$N975='112'!$I$6)),"x",""))</f>
        <v/>
      </c>
      <c r="V975" s="84" t="str">
        <f>IF(ISERROR(FIND('112'!$M$9,G975,1)),"",IF((AND(RIGHT(G975,2)=RIGHT('112'!$M$9,2),B975&lt;'112'!$K$9,$O975='112'!$I$6)),"x",""))</f>
        <v/>
      </c>
      <c r="W975" s="84" t="str">
        <f>IF(AND('341-CT'!$H$9=H975,OR(LEFT(N975,3)=$W$7,LEFT(O975,3)=$W$7)),"x","")</f>
        <v/>
      </c>
      <c r="X975" s="84" t="str">
        <f>IF(OR(TH!N975=TH!$X$7,O975=TH!$X$7),"x","")</f>
        <v/>
      </c>
      <c r="Y975" s="84" t="str">
        <f>IF(AND(OR(N975="131",O975="131"),H975='131-CT'!$H$9),"x","")</f>
        <v/>
      </c>
      <c r="Z975" s="84"/>
      <c r="AA975" s="84" t="str">
        <f>IF(AND(MONTH(E975)='IN-NX'!$J$5,'IN-NX'!$D$7=D975),"x","")</f>
        <v/>
      </c>
      <c r="AB975" s="84" t="str">
        <f>IF(AND(OR(LEFT(TH!N975,2)="15",LEFT(TH!O975,2)="15"),LEFT(TH!O975,3)&lt;&gt;"111",'152-CT'!$J$8=TH!F975),"x","")</f>
        <v/>
      </c>
      <c r="AC975" s="84" t="str">
        <f>IF(AND(OR(LEFT(TH!N975,2)="15",LEFT(TH!O975,2)="15"),TK!$E$7=TH!F975),"x","")</f>
        <v/>
      </c>
      <c r="AD975" s="84" t="str">
        <f>IF(AND(N975="1521",MONTH(C975)='BK-NL'!$M$11),"x","")</f>
        <v/>
      </c>
    </row>
    <row r="976" spans="1:31" ht="15.75" hidden="1" customHeight="1">
      <c r="A976" s="336" t="str">
        <f>IF(B976&lt;&gt;"",IF(AND(B976='IN-TC'!$S$4,OR(TH!N976="1111",TH!O976="1111")),TH!D976,""),"")</f>
        <v>C21</v>
      </c>
      <c r="B976" s="63">
        <f t="shared" si="170"/>
        <v>2</v>
      </c>
      <c r="C976" s="64">
        <v>42429</v>
      </c>
      <c r="D976" s="64" t="s">
        <v>889</v>
      </c>
      <c r="E976" s="64">
        <v>42429</v>
      </c>
      <c r="F976" s="514" t="s">
        <v>1001</v>
      </c>
      <c r="G976" s="67" t="s">
        <v>1041</v>
      </c>
      <c r="H976" s="73" t="s">
        <v>831</v>
      </c>
      <c r="I976" s="439"/>
      <c r="J976" s="439"/>
      <c r="K976" s="430"/>
      <c r="L976" s="439"/>
      <c r="M976" s="65">
        <v>500000</v>
      </c>
      <c r="N976" s="66" t="s">
        <v>101</v>
      </c>
      <c r="O976" s="66" t="s">
        <v>63</v>
      </c>
      <c r="P976" s="84" t="str">
        <f>IF(AND('331-CT'!$E$7=TH!H976,OR(N976="331",O976="331")),"x","")</f>
        <v/>
      </c>
      <c r="Q976" s="84" t="str">
        <f>IF(AND(B976='111'!$L$11,OR($N976=$Q$7,$O976=$Q$7)),"x","")</f>
        <v/>
      </c>
      <c r="R976" s="84" t="str">
        <f>IF(AND($N976=$Q$7,$B976&lt;'111'!$L$11),"x","")</f>
        <v/>
      </c>
      <c r="S976" s="84" t="str">
        <f>IF(AND($O976=$Q$7,$B976&lt;'111'!$L$11),"x","")</f>
        <v/>
      </c>
      <c r="T976" s="84" t="str">
        <f>IF(ISERROR(FIND('112'!$M$9,G976,1)),"",IF((AND(FIND('112'!$M$9,G976,1)&gt;=1,B976='112'!$K$9,OR($N976='112'!$I$6,$O976='112'!$I$6))),"x",""))</f>
        <v/>
      </c>
      <c r="U976" s="84" t="str">
        <f>IF(ISERROR(FIND('112'!$M$9,G976,1)),"",IF((AND(LEFT(G976,2)=LEFT('112'!$M$9,2),B976&lt;'112'!$K$9,$N976='112'!$I$6)),"x",""))</f>
        <v/>
      </c>
      <c r="V976" s="84" t="str">
        <f>IF(ISERROR(FIND('112'!$M$9,G976,1)),"",IF((AND(RIGHT(G976,2)=RIGHT('112'!$M$9,2),B976&lt;'112'!$K$9,$O976='112'!$I$6)),"x",""))</f>
        <v/>
      </c>
      <c r="W976" s="84" t="str">
        <f>IF(AND('341-CT'!$H$9=H976,OR(LEFT(N976,3)=$W$7,LEFT(O976,3)=$W$7)),"x","")</f>
        <v/>
      </c>
      <c r="X976" s="84" t="str">
        <f>IF(OR(TH!N976=TH!$X$7,O976=TH!$X$7),"x","")</f>
        <v/>
      </c>
      <c r="Y976" s="84" t="str">
        <f>IF(AND(OR(N976="131",O976="131"),H976='131-CT'!$H$9),"x","")</f>
        <v/>
      </c>
      <c r="Z976" s="84"/>
      <c r="AA976" s="84" t="str">
        <f>IF(AND(MONTH(E976)='IN-NX'!$J$5,'IN-NX'!$D$7=D976),"x","")</f>
        <v/>
      </c>
      <c r="AB976" s="84" t="str">
        <f>IF(AND(OR(LEFT(TH!N976,2)="15",LEFT(TH!O976,2)="15"),LEFT(TH!O976,3)&lt;&gt;"111",'152-CT'!$J$8=TH!F976),"x","")</f>
        <v/>
      </c>
      <c r="AC976" s="84" t="str">
        <f>IF(AND(OR(LEFT(TH!N976,2)="15",LEFT(TH!O976,2)="15"),TK!$E$7=TH!F976),"x","")</f>
        <v/>
      </c>
      <c r="AD976" s="84" t="str">
        <f>IF(AND(N976="1521",MONTH(C976)='BK-NL'!$M$11),"x","")</f>
        <v/>
      </c>
    </row>
    <row r="977" spans="1:31" ht="15.75" hidden="1" customHeight="1">
      <c r="A977" s="336" t="str">
        <f>IF(B977&lt;&gt;"",IF(AND(B977='IN-TC'!$S$4,OR(TH!N977="1111",TH!O977="1111")),TH!D977,""),"")</f>
        <v>C21</v>
      </c>
      <c r="B977" s="63">
        <f t="shared" si="170"/>
        <v>2</v>
      </c>
      <c r="C977" s="64">
        <v>42429</v>
      </c>
      <c r="D977" s="64" t="s">
        <v>889</v>
      </c>
      <c r="E977" s="64">
        <v>42429</v>
      </c>
      <c r="F977" s="514" t="s">
        <v>1002</v>
      </c>
      <c r="G977" s="67" t="s">
        <v>1041</v>
      </c>
      <c r="H977" s="73" t="s">
        <v>831</v>
      </c>
      <c r="I977" s="439"/>
      <c r="J977" s="439"/>
      <c r="K977" s="430"/>
      <c r="L977" s="439"/>
      <c r="M977" s="65">
        <v>25000</v>
      </c>
      <c r="N977" s="66" t="s">
        <v>9</v>
      </c>
      <c r="O977" s="66" t="s">
        <v>63</v>
      </c>
      <c r="P977" s="84" t="str">
        <f>IF(AND('331-CT'!$E$7=TH!H977,OR(N977="331",O977="331")),"x","")</f>
        <v/>
      </c>
      <c r="Q977" s="84" t="str">
        <f>IF(AND(B977='111'!$L$11,OR($N977=$Q$7,$O977=$Q$7)),"x","")</f>
        <v/>
      </c>
      <c r="R977" s="84" t="str">
        <f>IF(AND($N977=$Q$7,$B977&lt;'111'!$L$11),"x","")</f>
        <v/>
      </c>
      <c r="S977" s="84" t="str">
        <f>IF(AND($O977=$Q$7,$B977&lt;'111'!$L$11),"x","")</f>
        <v/>
      </c>
      <c r="T977" s="84" t="str">
        <f>IF(ISERROR(FIND('112'!$M$9,G977,1)),"",IF((AND(FIND('112'!$M$9,G977,1)&gt;=1,B977='112'!$K$9,OR($N977='112'!$I$6,$O977='112'!$I$6))),"x",""))</f>
        <v/>
      </c>
      <c r="U977" s="84" t="str">
        <f>IF(ISERROR(FIND('112'!$M$9,G977,1)),"",IF((AND(LEFT(G977,2)=LEFT('112'!$M$9,2),B977&lt;'112'!$K$9,$N977='112'!$I$6)),"x",""))</f>
        <v/>
      </c>
      <c r="V977" s="84" t="str">
        <f>IF(ISERROR(FIND('112'!$M$9,G977,1)),"",IF((AND(RIGHT(G977,2)=RIGHT('112'!$M$9,2),B977&lt;'112'!$K$9,$O977='112'!$I$6)),"x",""))</f>
        <v/>
      </c>
      <c r="W977" s="84" t="str">
        <f>IF(AND('341-CT'!$H$9=H977,OR(LEFT(N977,3)=$W$7,LEFT(O977,3)=$W$7)),"x","")</f>
        <v/>
      </c>
      <c r="X977" s="84" t="str">
        <f>IF(OR(TH!N977=TH!$X$7,O977=TH!$X$7),"x","")</f>
        <v/>
      </c>
      <c r="Y977" s="84" t="str">
        <f>IF(AND(OR(N977="131",O977="131"),H977='131-CT'!$H$9),"x","")</f>
        <v/>
      </c>
      <c r="Z977" s="84"/>
      <c r="AA977" s="84" t="str">
        <f>IF(AND(MONTH(E977)='IN-NX'!$J$5,'IN-NX'!$D$7=D977),"x","")</f>
        <v/>
      </c>
      <c r="AB977" s="84" t="str">
        <f>IF(AND(OR(LEFT(TH!N977,2)="15",LEFT(TH!O977,2)="15"),LEFT(TH!O977,3)&lt;&gt;"111",'152-CT'!$J$8=TH!F977),"x","")</f>
        <v/>
      </c>
      <c r="AC977" s="84" t="str">
        <f>IF(AND(OR(LEFT(TH!N977,2)="15",LEFT(TH!O977,2)="15"),TK!$E$7=TH!F977),"x","")</f>
        <v/>
      </c>
      <c r="AD977" s="84" t="str">
        <f>IF(AND(N977="1521",MONTH(C977)='BK-NL'!$M$11),"x","")</f>
        <v/>
      </c>
    </row>
    <row r="978" spans="1:31" ht="15.75" hidden="1" customHeight="1">
      <c r="A978" s="336" t="str">
        <f>IF(B978&lt;&gt;"",IF(AND(B978='IN-TC'!$S$4,OR(TH!N978="1111",TH!O978="1111")),TH!D978,""),"")</f>
        <v>C22</v>
      </c>
      <c r="B978" s="63">
        <f t="shared" si="170"/>
        <v>2</v>
      </c>
      <c r="C978" s="64">
        <v>42429</v>
      </c>
      <c r="D978" s="64" t="s">
        <v>890</v>
      </c>
      <c r="E978" s="64">
        <v>42429</v>
      </c>
      <c r="F978" s="514" t="s">
        <v>1017</v>
      </c>
      <c r="G978" s="67" t="s">
        <v>1042</v>
      </c>
      <c r="H978" s="73" t="s">
        <v>1043</v>
      </c>
      <c r="I978" s="439"/>
      <c r="J978" s="439"/>
      <c r="K978" s="430"/>
      <c r="L978" s="439"/>
      <c r="M978" s="65">
        <v>1461818</v>
      </c>
      <c r="N978" s="66" t="s">
        <v>101</v>
      </c>
      <c r="O978" s="66" t="s">
        <v>63</v>
      </c>
      <c r="P978" s="84" t="str">
        <f>IF(AND('331-CT'!$E$7=TH!H978,OR(N978="331",O978="331")),"x","")</f>
        <v/>
      </c>
      <c r="Q978" s="84" t="str">
        <f>IF(AND(B978='111'!$L$11,OR($N978=$Q$7,$O978=$Q$7)),"x","")</f>
        <v/>
      </c>
      <c r="R978" s="84" t="str">
        <f>IF(AND($N978=$Q$7,$B978&lt;'111'!$L$11),"x","")</f>
        <v/>
      </c>
      <c r="S978" s="84" t="str">
        <f>IF(AND($O978=$Q$7,$B978&lt;'111'!$L$11),"x","")</f>
        <v/>
      </c>
      <c r="T978" s="84" t="str">
        <f>IF(ISERROR(FIND('112'!$M$9,G978,1)),"",IF((AND(FIND('112'!$M$9,G978,1)&gt;=1,B978='112'!$K$9,OR($N978='112'!$I$6,$O978='112'!$I$6))),"x",""))</f>
        <v/>
      </c>
      <c r="U978" s="84" t="str">
        <f>IF(ISERROR(FIND('112'!$M$9,G978,1)),"",IF((AND(LEFT(G978,2)=LEFT('112'!$M$9,2),B978&lt;'112'!$K$9,$N978='112'!$I$6)),"x",""))</f>
        <v/>
      </c>
      <c r="V978" s="84" t="str">
        <f>IF(ISERROR(FIND('112'!$M$9,G978,1)),"",IF((AND(RIGHT(G978,2)=RIGHT('112'!$M$9,2),B978&lt;'112'!$K$9,$O978='112'!$I$6)),"x",""))</f>
        <v/>
      </c>
      <c r="W978" s="84" t="str">
        <f>IF(AND('341-CT'!$H$9=H978,OR(LEFT(N978,3)=$W$7,LEFT(O978,3)=$W$7)),"x","")</f>
        <v/>
      </c>
      <c r="X978" s="84" t="str">
        <f>IF(OR(TH!N978=TH!$X$7,O978=TH!$X$7),"x","")</f>
        <v/>
      </c>
      <c r="Y978" s="84" t="str">
        <f>IF(AND(OR(N978="131",O978="131"),H978='131-CT'!$H$9),"x","")</f>
        <v/>
      </c>
      <c r="Z978" s="84"/>
      <c r="AA978" s="84" t="str">
        <f>IF(AND(MONTH(E978)='IN-NX'!$J$5,'IN-NX'!$D$7=D978),"x","")</f>
        <v/>
      </c>
      <c r="AB978" s="84" t="str">
        <f>IF(AND(OR(LEFT(TH!N978,2)="15",LEFT(TH!O978,2)="15"),LEFT(TH!O978,3)&lt;&gt;"111",'152-CT'!$J$8=TH!F978),"x","")</f>
        <v/>
      </c>
      <c r="AC978" s="84" t="str">
        <f>IF(AND(OR(LEFT(TH!N978,2)="15",LEFT(TH!O978,2)="15"),TK!$E$7=TH!F978),"x","")</f>
        <v/>
      </c>
      <c r="AD978" s="84" t="str">
        <f>IF(AND(N978="1521",MONTH(C978)='BK-NL'!$M$11),"x","")</f>
        <v/>
      </c>
    </row>
    <row r="979" spans="1:31" ht="15.75" hidden="1" customHeight="1">
      <c r="A979" s="336" t="str">
        <f>IF(B979&lt;&gt;"",IF(AND(B979='IN-TC'!$S$4,OR(TH!N979="1111",TH!O979="1111")),TH!D979,""),"")</f>
        <v>C22</v>
      </c>
      <c r="B979" s="63">
        <f t="shared" si="170"/>
        <v>2</v>
      </c>
      <c r="C979" s="64">
        <v>42429</v>
      </c>
      <c r="D979" s="64" t="s">
        <v>890</v>
      </c>
      <c r="E979" s="64">
        <v>42429</v>
      </c>
      <c r="F979" s="514" t="s">
        <v>1018</v>
      </c>
      <c r="G979" s="67" t="s">
        <v>1042</v>
      </c>
      <c r="H979" s="73" t="s">
        <v>1043</v>
      </c>
      <c r="I979" s="439"/>
      <c r="J979" s="439"/>
      <c r="K979" s="430"/>
      <c r="L979" s="439"/>
      <c r="M979" s="65">
        <v>146182</v>
      </c>
      <c r="N979" s="66" t="s">
        <v>9</v>
      </c>
      <c r="O979" s="66" t="s">
        <v>63</v>
      </c>
      <c r="P979" s="84" t="str">
        <f>IF(AND('331-CT'!$E$7=TH!H979,OR(N979="331",O979="331")),"x","")</f>
        <v/>
      </c>
      <c r="Q979" s="84" t="str">
        <f>IF(AND(B979='111'!$L$11,OR($N979=$Q$7,$O979=$Q$7)),"x","")</f>
        <v/>
      </c>
      <c r="R979" s="84" t="str">
        <f>IF(AND($N979=$Q$7,$B979&lt;'111'!$L$11),"x","")</f>
        <v/>
      </c>
      <c r="S979" s="84" t="str">
        <f>IF(AND($O979=$Q$7,$B979&lt;'111'!$L$11),"x","")</f>
        <v/>
      </c>
      <c r="T979" s="84" t="str">
        <f>IF(ISERROR(FIND('112'!$M$9,G979,1)),"",IF((AND(FIND('112'!$M$9,G979,1)&gt;=1,B979='112'!$K$9,OR($N979='112'!$I$6,$O979='112'!$I$6))),"x",""))</f>
        <v/>
      </c>
      <c r="U979" s="84" t="str">
        <f>IF(ISERROR(FIND('112'!$M$9,G979,1)),"",IF((AND(LEFT(G979,2)=LEFT('112'!$M$9,2),B979&lt;'112'!$K$9,$N979='112'!$I$6)),"x",""))</f>
        <v/>
      </c>
      <c r="V979" s="84" t="str">
        <f>IF(ISERROR(FIND('112'!$M$9,G979,1)),"",IF((AND(RIGHT(G979,2)=RIGHT('112'!$M$9,2),B979&lt;'112'!$K$9,$O979='112'!$I$6)),"x",""))</f>
        <v/>
      </c>
      <c r="W979" s="84" t="str">
        <f>IF(AND('341-CT'!$H$9=H979,OR(LEFT(N979,3)=$W$7,LEFT(O979,3)=$W$7)),"x","")</f>
        <v/>
      </c>
      <c r="X979" s="84" t="str">
        <f>IF(OR(TH!N979=TH!$X$7,O979=TH!$X$7),"x","")</f>
        <v/>
      </c>
      <c r="Y979" s="84" t="str">
        <f>IF(AND(OR(N979="131",O979="131"),H979='131-CT'!$H$9),"x","")</f>
        <v/>
      </c>
      <c r="Z979" s="84"/>
      <c r="AA979" s="84" t="str">
        <f>IF(AND(MONTH(E979)='IN-NX'!$J$5,'IN-NX'!$D$7=D979),"x","")</f>
        <v/>
      </c>
      <c r="AB979" s="84" t="str">
        <f>IF(AND(OR(LEFT(TH!N979,2)="15",LEFT(TH!O979,2)="15"),LEFT(TH!O979,3)&lt;&gt;"111",'152-CT'!$J$8=TH!F979),"x","")</f>
        <v/>
      </c>
      <c r="AC979" s="84" t="str">
        <f>IF(AND(OR(LEFT(TH!N979,2)="15",LEFT(TH!O979,2)="15"),TK!$E$7=TH!F979),"x","")</f>
        <v/>
      </c>
      <c r="AD979" s="84" t="str">
        <f>IF(AND(N979="1521",MONTH(C979)='BK-NL'!$M$11),"x","")</f>
        <v/>
      </c>
    </row>
    <row r="980" spans="1:31" s="347" customFormat="1" ht="15.75" hidden="1" customHeight="1">
      <c r="A980" s="1176" t="str">
        <f>IF(B980&lt;&gt;"",IF(AND(B980='IN-TC'!$S$4,OR(TH!N980="1111",TH!O980="1111")),TH!D980,""),"")</f>
        <v>C23</v>
      </c>
      <c r="B980" s="1003">
        <f t="shared" si="170"/>
        <v>2</v>
      </c>
      <c r="C980" s="80">
        <v>42429</v>
      </c>
      <c r="D980" s="80" t="s">
        <v>891</v>
      </c>
      <c r="E980" s="80">
        <v>42429</v>
      </c>
      <c r="F980" s="1183" t="s">
        <v>1019</v>
      </c>
      <c r="G980" s="81"/>
      <c r="H980" s="966" t="s">
        <v>849</v>
      </c>
      <c r="I980" s="961"/>
      <c r="J980" s="961"/>
      <c r="K980" s="967"/>
      <c r="L980" s="961"/>
      <c r="M980" s="83">
        <v>114054537</v>
      </c>
      <c r="N980" s="84" t="s">
        <v>592</v>
      </c>
      <c r="O980" s="84" t="s">
        <v>63</v>
      </c>
      <c r="P980" s="84" t="str">
        <f>IF(AND('331-CT'!$E$7=TH!H980,OR(N980="331",O980="331")),"x","")</f>
        <v/>
      </c>
      <c r="Q980" s="84" t="str">
        <f>IF(AND(B980='111'!$L$11,OR($N980=$Q$7,$O980=$Q$7)),"x","")</f>
        <v/>
      </c>
      <c r="R980" s="84" t="str">
        <f>IF(AND($N980=$Q$7,$B980&lt;'111'!$L$11),"x","")</f>
        <v/>
      </c>
      <c r="S980" s="84" t="str">
        <f>IF(AND($O980=$Q$7,$B980&lt;'111'!$L$11),"x","")</f>
        <v/>
      </c>
      <c r="T980" s="84" t="str">
        <f>IF(ISERROR(FIND('112'!$M$9,G980,1)),"",IF((AND(FIND('112'!$M$9,G980,1)&gt;=1,B980='112'!$K$9,OR($N980='112'!$I$6,$O980='112'!$I$6))),"x",""))</f>
        <v/>
      </c>
      <c r="U980" s="84" t="str">
        <f>IF(ISERROR(FIND('112'!$M$9,G980,1)),"",IF((AND(LEFT(G980,2)=LEFT('112'!$M$9,2),B980&lt;'112'!$K$9,$N980='112'!$I$6)),"x",""))</f>
        <v/>
      </c>
      <c r="V980" s="84" t="str">
        <f>IF(ISERROR(FIND('112'!$M$9,G980,1)),"",IF((AND(RIGHT(G980,2)=RIGHT('112'!$M$9,2),B980&lt;'112'!$K$9,$O980='112'!$I$6)),"x",""))</f>
        <v/>
      </c>
      <c r="W980" s="84" t="str">
        <f>IF(AND('341-CT'!$H$9=H980,OR(LEFT(N980,3)=$W$7,LEFT(O980,3)=$W$7)),"x","")</f>
        <v/>
      </c>
      <c r="X980" s="84" t="str">
        <f>IF(OR(TH!N980=TH!$X$7,O980=TH!$X$7),"x","")</f>
        <v/>
      </c>
      <c r="Y980" s="84" t="str">
        <f>IF(AND(OR(N980="131",O980="131"),H980='131-CT'!$H$9),"x","")</f>
        <v/>
      </c>
      <c r="Z980" s="84"/>
      <c r="AA980" s="84" t="str">
        <f>IF(AND(MONTH(E980)='IN-NX'!$J$5,'IN-NX'!$D$7=D980),"x","")</f>
        <v/>
      </c>
      <c r="AB980" s="84" t="str">
        <f>IF(AND(OR(LEFT(TH!N980,2)="15",LEFT(TH!O980,2)="15"),LEFT(TH!O980,3)&lt;&gt;"111",'152-CT'!$J$8=TH!F980),"x","")</f>
        <v/>
      </c>
      <c r="AC980" s="84" t="str">
        <f>IF(AND(OR(LEFT(TH!N980,2)="15",LEFT(TH!O980,2)="15"),TK!$E$7=TH!F980),"x","")</f>
        <v/>
      </c>
      <c r="AD980" s="84" t="str">
        <f>IF(AND(N980="1521",MONTH(C980)='BK-NL'!$M$11),"x","")</f>
        <v/>
      </c>
    </row>
    <row r="981" spans="1:31" ht="15.75" hidden="1" customHeight="1">
      <c r="A981" s="336" t="str">
        <f>IF(B981&lt;&gt;"",IF(AND(B981='IN-TC'!$S$4,OR(TH!N981="1111",TH!O981="1111")),TH!D981,""),"")</f>
        <v>C24</v>
      </c>
      <c r="B981" s="63">
        <f t="shared" si="170"/>
        <v>2</v>
      </c>
      <c r="C981" s="318">
        <v>42429</v>
      </c>
      <c r="D981" s="64" t="s">
        <v>892</v>
      </c>
      <c r="E981" s="318">
        <v>42416</v>
      </c>
      <c r="F981" s="514" t="s">
        <v>1085</v>
      </c>
      <c r="G981" s="986" t="s">
        <v>1079</v>
      </c>
      <c r="H981" s="320" t="s">
        <v>632</v>
      </c>
      <c r="I981" s="439"/>
      <c r="J981" s="439"/>
      <c r="K981" s="430"/>
      <c r="L981" s="439"/>
      <c r="M981" s="65">
        <v>16038100</v>
      </c>
      <c r="N981" s="321" t="s">
        <v>282</v>
      </c>
      <c r="O981" s="66" t="s">
        <v>63</v>
      </c>
      <c r="P981" s="84" t="str">
        <f>IF(AND('331-CT'!$E$7=TH!H981,OR(N981="331",O981="331")),"x","")</f>
        <v/>
      </c>
      <c r="Q981" s="84" t="str">
        <f>IF(AND(B981='111'!$L$11,OR($N981=$Q$7,$O981=$Q$7)),"x","")</f>
        <v/>
      </c>
      <c r="R981" s="84" t="str">
        <f>IF(AND($N981=$Q$7,$B981&lt;'111'!$L$11),"x","")</f>
        <v/>
      </c>
      <c r="S981" s="84" t="str">
        <f>IF(AND($O981=$Q$7,$B981&lt;'111'!$L$11),"x","")</f>
        <v/>
      </c>
      <c r="T981" s="84" t="str">
        <f>IF(ISERROR(FIND('112'!$M$9,G981,1)),"",IF((AND(FIND('112'!$M$9,G981,1)&gt;=1,B981='112'!$K$9,OR($N981='112'!$I$6,$O981='112'!$I$6))),"x",""))</f>
        <v/>
      </c>
      <c r="U981" s="84" t="str">
        <f>IF(ISERROR(FIND('112'!$M$9,G981,1)),"",IF((AND(LEFT(G981,2)=LEFT('112'!$M$9,2),B981&lt;'112'!$K$9,$N981='112'!$I$6)),"x",""))</f>
        <v/>
      </c>
      <c r="V981" s="84" t="str">
        <f>IF(ISERROR(FIND('112'!$M$9,G981,1)),"",IF((AND(RIGHT(G981,2)=RIGHT('112'!$M$9,2),B981&lt;'112'!$K$9,$O981='112'!$I$6)),"x",""))</f>
        <v/>
      </c>
      <c r="W981" s="84" t="str">
        <f>IF(AND('341-CT'!$H$9=H981,OR(LEFT(N981,3)=$W$7,LEFT(O981,3)=$W$7)),"x","")</f>
        <v/>
      </c>
      <c r="X981" s="84" t="str">
        <f>IF(OR(TH!N981=TH!$X$7,O981=TH!$X$7),"x","")</f>
        <v/>
      </c>
      <c r="Y981" s="84" t="str">
        <f>IF(AND(OR(N981="131",O981="131"),H981='131-CT'!$H$9),"x","")</f>
        <v/>
      </c>
      <c r="Z981" s="84"/>
      <c r="AA981" s="84" t="str">
        <f>IF(AND(MONTH(E981)='IN-NX'!$J$5,'IN-NX'!$D$7=D981),"x","")</f>
        <v/>
      </c>
      <c r="AB981" s="84" t="str">
        <f>IF(AND(OR(LEFT(TH!N981,2)="15",LEFT(TH!O981,2)="15"),LEFT(TH!O981,3)&lt;&gt;"111",'152-CT'!$J$8=TH!F981),"x","")</f>
        <v/>
      </c>
      <c r="AC981" s="84" t="str">
        <f>IF(AND(OR(LEFT(TH!N981,2)="15",LEFT(TH!O981,2)="15"),TK!$E$7=TH!F981),"x","")</f>
        <v/>
      </c>
      <c r="AD981" s="84" t="str">
        <f>IF(AND(N981="1521",MONTH(C981)='BK-NL'!$M$11),"x","")</f>
        <v/>
      </c>
    </row>
    <row r="982" spans="1:31" ht="15.75" hidden="1" customHeight="1">
      <c r="A982" s="336" t="str">
        <f>IF(B982&lt;&gt;"",IF(AND(B982='IN-TC'!$S$4,OR(TH!N982="1111",TH!O982="1111")),TH!D982,""),"")</f>
        <v>C24</v>
      </c>
      <c r="B982" s="63">
        <f t="shared" si="170"/>
        <v>2</v>
      </c>
      <c r="C982" s="318">
        <v>42429</v>
      </c>
      <c r="D982" s="64" t="s">
        <v>892</v>
      </c>
      <c r="E982" s="318">
        <v>42416</v>
      </c>
      <c r="F982" s="514" t="s">
        <v>1086</v>
      </c>
      <c r="G982" s="986" t="s">
        <v>1079</v>
      </c>
      <c r="H982" s="320" t="s">
        <v>632</v>
      </c>
      <c r="I982" s="439"/>
      <c r="J982" s="439"/>
      <c r="K982" s="430"/>
      <c r="L982" s="439"/>
      <c r="M982" s="65">
        <v>1603810</v>
      </c>
      <c r="N982" s="321" t="s">
        <v>9</v>
      </c>
      <c r="O982" s="66" t="s">
        <v>63</v>
      </c>
      <c r="P982" s="84" t="str">
        <f>IF(AND('331-CT'!$E$7=TH!H982,OR(N982="331",O982="331")),"x","")</f>
        <v/>
      </c>
      <c r="Q982" s="84" t="str">
        <f>IF(AND(B982='111'!$L$11,OR($N982=$Q$7,$O982=$Q$7)),"x","")</f>
        <v/>
      </c>
      <c r="R982" s="84" t="str">
        <f>IF(AND($N982=$Q$7,$B982&lt;'111'!$L$11),"x","")</f>
        <v/>
      </c>
      <c r="S982" s="84" t="str">
        <f>IF(AND($O982=$Q$7,$B982&lt;'111'!$L$11),"x","")</f>
        <v/>
      </c>
      <c r="T982" s="84" t="str">
        <f>IF(ISERROR(FIND('112'!$M$9,G982,1)),"",IF((AND(FIND('112'!$M$9,G982,1)&gt;=1,B982='112'!$K$9,OR($N982='112'!$I$6,$O982='112'!$I$6))),"x",""))</f>
        <v/>
      </c>
      <c r="U982" s="84" t="str">
        <f>IF(ISERROR(FIND('112'!$M$9,G982,1)),"",IF((AND(LEFT(G982,2)=LEFT('112'!$M$9,2),B982&lt;'112'!$K$9,$N982='112'!$I$6)),"x",""))</f>
        <v/>
      </c>
      <c r="V982" s="84" t="str">
        <f>IF(ISERROR(FIND('112'!$M$9,G982,1)),"",IF((AND(RIGHT(G982,2)=RIGHT('112'!$M$9,2),B982&lt;'112'!$K$9,$O982='112'!$I$6)),"x",""))</f>
        <v/>
      </c>
      <c r="W982" s="84" t="str">
        <f>IF(AND('341-CT'!$H$9=H982,OR(LEFT(N982,3)=$W$7,LEFT(O982,3)=$W$7)),"x","")</f>
        <v/>
      </c>
      <c r="X982" s="84" t="str">
        <f>IF(OR(TH!N982=TH!$X$7,O982=TH!$X$7),"x","")</f>
        <v/>
      </c>
      <c r="Y982" s="84" t="str">
        <f>IF(AND(OR(N982="131",O982="131"),H982='131-CT'!$H$9),"x","")</f>
        <v/>
      </c>
      <c r="Z982" s="84"/>
      <c r="AA982" s="84" t="str">
        <f>IF(AND(MONTH(E982)='IN-NX'!$J$5,'IN-NX'!$D$7=D982),"x","")</f>
        <v/>
      </c>
      <c r="AB982" s="84" t="str">
        <f>IF(AND(OR(LEFT(TH!N982,2)="15",LEFT(TH!O982,2)="15"),LEFT(TH!O982,3)&lt;&gt;"111",'152-CT'!$J$8=TH!F982),"x","")</f>
        <v/>
      </c>
      <c r="AC982" s="84" t="str">
        <f>IF(AND(OR(LEFT(TH!N982,2)="15",LEFT(TH!O982,2)="15"),TK!$E$7=TH!F982),"x","")</f>
        <v/>
      </c>
      <c r="AD982" s="84" t="str">
        <f>IF(AND(N982="1521",MONTH(C982)='BK-NL'!$M$11),"x","")</f>
        <v/>
      </c>
    </row>
    <row r="983" spans="1:31" ht="15.75" hidden="1" customHeight="1">
      <c r="A983" s="336" t="str">
        <f>IF(B983&lt;&gt;"",IF(AND(B983='IN-TC'!$S$4,OR(TH!N983="1111",TH!O983="1111")),TH!D983,""),"")</f>
        <v/>
      </c>
      <c r="B983" s="63">
        <f t="shared" si="170"/>
        <v>3</v>
      </c>
      <c r="C983" s="318">
        <v>42430</v>
      </c>
      <c r="D983" s="318" t="s">
        <v>868</v>
      </c>
      <c r="E983" s="318">
        <v>42400</v>
      </c>
      <c r="F983" s="514" t="s">
        <v>1184</v>
      </c>
      <c r="G983" s="982" t="s">
        <v>1186</v>
      </c>
      <c r="H983" s="73" t="s">
        <v>1106</v>
      </c>
      <c r="I983" s="439"/>
      <c r="J983" s="439"/>
      <c r="K983" s="430"/>
      <c r="L983" s="439"/>
      <c r="M983" s="65">
        <v>80705</v>
      </c>
      <c r="N983" s="66" t="s">
        <v>101</v>
      </c>
      <c r="O983" s="66" t="s">
        <v>63</v>
      </c>
      <c r="P983" s="84" t="str">
        <f>IF(AND('331-CT'!$E$7=TH!H983,OR(N983="331",O983="331")),"x","")</f>
        <v/>
      </c>
      <c r="Q983" s="84" t="str">
        <f>IF(AND(B983='111'!$L$11,OR($N983=$Q$7,$O983=$Q$7)),"x","")</f>
        <v/>
      </c>
      <c r="R983" s="84" t="str">
        <f>IF(AND($N983=$Q$7,$B983&lt;'111'!$L$11),"x","")</f>
        <v/>
      </c>
      <c r="S983" s="84" t="str">
        <f>IF(AND($O983=$Q$7,$B983&lt;'111'!$L$11),"x","")</f>
        <v/>
      </c>
      <c r="T983" s="84" t="str">
        <f>IF(ISERROR(FIND('112'!$M$9,G983,1)),"",IF((AND(FIND('112'!$M$9,G983,1)&gt;=1,B983='112'!$K$9,OR($N983='112'!$I$6,$O983='112'!$I$6))),"x",""))</f>
        <v/>
      </c>
      <c r="U983" s="84" t="str">
        <f>IF(ISERROR(FIND('112'!$M$9,G983,1)),"",IF((AND(LEFT(G983,2)=LEFT('112'!$M$9,2),B983&lt;'112'!$K$9,$N983='112'!$I$6)),"x",""))</f>
        <v/>
      </c>
      <c r="V983" s="84" t="str">
        <f>IF(ISERROR(FIND('112'!$M$9,G983,1)),"",IF((AND(RIGHT(G983,2)=RIGHT('112'!$M$9,2),B983&lt;'112'!$K$9,$O983='112'!$I$6)),"x",""))</f>
        <v/>
      </c>
      <c r="W983" s="84" t="str">
        <f>IF(AND('341-CT'!$H$9=H983,OR(LEFT(N983,3)=$W$7,LEFT(O983,3)=$W$7)),"x","")</f>
        <v/>
      </c>
      <c r="X983" s="84" t="str">
        <f>IF(OR(TH!N983=TH!$X$7,O983=TH!$X$7),"x","")</f>
        <v/>
      </c>
      <c r="Y983" s="84" t="str">
        <f>IF(AND(OR(N983="131",O983="131"),H983='131-CT'!$H$9),"x","")</f>
        <v/>
      </c>
      <c r="Z983" s="84"/>
      <c r="AA983" s="84" t="str">
        <f>IF(AND(MONTH(E983)='IN-NX'!$J$5,'IN-NX'!$D$7=D983),"x","")</f>
        <v/>
      </c>
      <c r="AB983" s="84" t="str">
        <f>IF(AND(OR(LEFT(TH!N983,2)="15",LEFT(TH!O983,2)="15"),LEFT(TH!O983,3)&lt;&gt;"111",'152-CT'!$J$8=TH!F983),"x","")</f>
        <v/>
      </c>
      <c r="AC983" s="84" t="str">
        <f>IF(AND(OR(LEFT(TH!N983,2)="15",LEFT(TH!O983,2)="15"),TK!$E$7=TH!F983),"x","")</f>
        <v/>
      </c>
      <c r="AD983" s="84" t="str">
        <f>IF(AND(N983="1521",MONTH(C983)='BK-NL'!$M$11),"x","")</f>
        <v/>
      </c>
      <c r="AE983" s="351"/>
    </row>
    <row r="984" spans="1:31" ht="15.75" hidden="1" customHeight="1">
      <c r="A984" s="336" t="str">
        <f>IF(B984&lt;&gt;"",IF(AND(B984='IN-TC'!$S$4,OR(TH!N984="1111",TH!O984="1111")),TH!D984,""),"")</f>
        <v/>
      </c>
      <c r="B984" s="63">
        <f t="shared" si="170"/>
        <v>3</v>
      </c>
      <c r="C984" s="318">
        <v>42430</v>
      </c>
      <c r="D984" s="318" t="s">
        <v>868</v>
      </c>
      <c r="E984" s="318">
        <v>42400</v>
      </c>
      <c r="F984" s="514" t="s">
        <v>1185</v>
      </c>
      <c r="G984" s="982" t="s">
        <v>1186</v>
      </c>
      <c r="H984" s="73" t="s">
        <v>1106</v>
      </c>
      <c r="I984" s="439"/>
      <c r="J984" s="439"/>
      <c r="K984" s="430"/>
      <c r="L984" s="439"/>
      <c r="M984" s="65">
        <v>8071</v>
      </c>
      <c r="N984" s="66" t="s">
        <v>9</v>
      </c>
      <c r="O984" s="66" t="s">
        <v>63</v>
      </c>
      <c r="P984" s="84" t="str">
        <f>IF(AND('331-CT'!$E$7=TH!H984,OR(N984="331",O984="331")),"x","")</f>
        <v/>
      </c>
      <c r="Q984" s="84" t="str">
        <f>IF(AND(B984='111'!$L$11,OR($N984=$Q$7,$O984=$Q$7)),"x","")</f>
        <v/>
      </c>
      <c r="R984" s="84" t="str">
        <f>IF(AND($N984=$Q$7,$B984&lt;'111'!$L$11),"x","")</f>
        <v/>
      </c>
      <c r="S984" s="84" t="str">
        <f>IF(AND($O984=$Q$7,$B984&lt;'111'!$L$11),"x","")</f>
        <v/>
      </c>
      <c r="T984" s="84" t="str">
        <f>IF(ISERROR(FIND('112'!$M$9,G984,1)),"",IF((AND(FIND('112'!$M$9,G984,1)&gt;=1,B984='112'!$K$9,OR($N984='112'!$I$6,$O984='112'!$I$6))),"x",""))</f>
        <v/>
      </c>
      <c r="U984" s="84" t="str">
        <f>IF(ISERROR(FIND('112'!$M$9,G984,1)),"",IF((AND(LEFT(G984,2)=LEFT('112'!$M$9,2),B984&lt;'112'!$K$9,$N984='112'!$I$6)),"x",""))</f>
        <v/>
      </c>
      <c r="V984" s="84" t="str">
        <f>IF(ISERROR(FIND('112'!$M$9,G984,1)),"",IF((AND(RIGHT(G984,2)=RIGHT('112'!$M$9,2),B984&lt;'112'!$K$9,$O984='112'!$I$6)),"x",""))</f>
        <v/>
      </c>
      <c r="W984" s="84" t="str">
        <f>IF(AND('341-CT'!$H$9=H984,OR(LEFT(N984,3)=$W$7,LEFT(O984,3)=$W$7)),"x","")</f>
        <v/>
      </c>
      <c r="X984" s="84" t="str">
        <f>IF(OR(TH!N984=TH!$X$7,O984=TH!$X$7),"x","")</f>
        <v/>
      </c>
      <c r="Y984" s="84" t="str">
        <f>IF(AND(OR(N984="131",O984="131"),H984='131-CT'!$H$9),"x","")</f>
        <v/>
      </c>
      <c r="Z984" s="84"/>
      <c r="AA984" s="84" t="str">
        <f>IF(AND(MONTH(E984)='IN-NX'!$J$5,'IN-NX'!$D$7=D984),"x","")</f>
        <v/>
      </c>
      <c r="AB984" s="84" t="str">
        <f>IF(AND(OR(LEFT(TH!N984,2)="15",LEFT(TH!O984,2)="15"),LEFT(TH!O984,3)&lt;&gt;"111",'152-CT'!$J$8=TH!F984),"x","")</f>
        <v/>
      </c>
      <c r="AC984" s="84" t="str">
        <f>IF(AND(OR(LEFT(TH!N984,2)="15",LEFT(TH!O984,2)="15"),TK!$E$7=TH!F984),"x","")</f>
        <v/>
      </c>
      <c r="AD984" s="84" t="str">
        <f>IF(AND(N984="1521",MONTH(C984)='BK-NL'!$M$11),"x","")</f>
        <v/>
      </c>
      <c r="AE984" s="351"/>
    </row>
    <row r="985" spans="1:31" ht="15.75" hidden="1" customHeight="1">
      <c r="A985" s="336" t="str">
        <f>IF(B985&lt;&gt;"",IF(AND(B985='IN-TC'!$S$4,OR(TH!N985="1111",TH!O985="1111")),TH!D985,""),"")</f>
        <v/>
      </c>
      <c r="B985" s="63">
        <f t="shared" ref="B985:B992" si="171">IF(C985&lt;&gt;"",MONTH(C985),"")</f>
        <v>3</v>
      </c>
      <c r="C985" s="318">
        <v>42430</v>
      </c>
      <c r="D985" s="318" t="s">
        <v>869</v>
      </c>
      <c r="E985" s="318">
        <v>42395</v>
      </c>
      <c r="F985" s="514" t="s">
        <v>1372</v>
      </c>
      <c r="G985" s="67" t="s">
        <v>1374</v>
      </c>
      <c r="H985" s="73" t="s">
        <v>1375</v>
      </c>
      <c r="I985" s="439"/>
      <c r="J985" s="439"/>
      <c r="K985" s="430"/>
      <c r="L985" s="439"/>
      <c r="M985" s="65">
        <v>731818</v>
      </c>
      <c r="N985" s="66" t="s">
        <v>101</v>
      </c>
      <c r="O985" s="66" t="s">
        <v>63</v>
      </c>
      <c r="P985" s="84" t="str">
        <f>IF(AND('331-CT'!$E$7=TH!H985,OR(N985="331",O985="331")),"x","")</f>
        <v/>
      </c>
      <c r="Q985" s="84" t="str">
        <f>IF(AND(B985='111'!$L$11,OR($N985=$Q$7,$O985=$Q$7)),"x","")</f>
        <v/>
      </c>
      <c r="R985" s="84" t="str">
        <f>IF(AND($N985=$Q$7,$B985&lt;'111'!$L$11),"x","")</f>
        <v/>
      </c>
      <c r="S985" s="84" t="str">
        <f>IF(AND($O985=$Q$7,$B985&lt;'111'!$L$11),"x","")</f>
        <v/>
      </c>
      <c r="T985" s="84" t="str">
        <f>IF(ISERROR(FIND('112'!$M$9,G985,1)),"",IF((AND(FIND('112'!$M$9,G985,1)&gt;=1,B985='112'!$K$9,OR($N985='112'!$I$6,$O985='112'!$I$6))),"x",""))</f>
        <v/>
      </c>
      <c r="U985" s="84" t="str">
        <f>IF(ISERROR(FIND('112'!$M$9,G985,1)),"",IF((AND(LEFT(G985,2)=LEFT('112'!$M$9,2),B985&lt;'112'!$K$9,$N985='112'!$I$6)),"x",""))</f>
        <v/>
      </c>
      <c r="V985" s="84" t="str">
        <f>IF(ISERROR(FIND('112'!$M$9,G985,1)),"",IF((AND(RIGHT(G985,2)=RIGHT('112'!$M$9,2),B985&lt;'112'!$K$9,$O985='112'!$I$6)),"x",""))</f>
        <v/>
      </c>
      <c r="W985" s="84" t="str">
        <f>IF(AND('341-CT'!$H$9=H985,OR(LEFT(N985,3)=$W$7,LEFT(O985,3)=$W$7)),"x","")</f>
        <v/>
      </c>
      <c r="X985" s="84" t="str">
        <f>IF(OR(TH!N985=TH!$X$7,O985=TH!$X$7),"x","")</f>
        <v/>
      </c>
      <c r="Y985" s="84" t="str">
        <f>IF(AND(OR(N985="131",O985="131"),H985='131-CT'!$H$9),"x","")</f>
        <v/>
      </c>
      <c r="Z985" s="84"/>
      <c r="AA985" s="84" t="str">
        <f>IF(AND(MONTH(E985)='IN-NX'!$J$5,'IN-NX'!$D$7=D985),"x","")</f>
        <v/>
      </c>
      <c r="AB985" s="84" t="str">
        <f>IF(AND(OR(LEFT(TH!N985,2)="15",LEFT(TH!O985,2)="15"),LEFT(TH!O985,3)&lt;&gt;"111",'152-CT'!$J$8=TH!F985),"x","")</f>
        <v/>
      </c>
      <c r="AC985" s="84" t="str">
        <f>IF(AND(OR(LEFT(TH!N985,2)="15",LEFT(TH!O985,2)="15"),TK!$E$7=TH!F985),"x","")</f>
        <v/>
      </c>
      <c r="AD985" s="84" t="str">
        <f>IF(AND(N985="1521",MONTH(C985)='BK-NL'!$M$11),"x","")</f>
        <v/>
      </c>
      <c r="AE985" s="351"/>
    </row>
    <row r="986" spans="1:31" ht="15.75" hidden="1" customHeight="1">
      <c r="A986" s="336" t="str">
        <f>IF(B986&lt;&gt;"",IF(AND(B986='IN-TC'!$S$4,OR(TH!N986="1111",TH!O986="1111")),TH!D986,""),"")</f>
        <v/>
      </c>
      <c r="B986" s="63">
        <f t="shared" si="171"/>
        <v>3</v>
      </c>
      <c r="C986" s="318">
        <v>42430</v>
      </c>
      <c r="D986" s="318" t="s">
        <v>869</v>
      </c>
      <c r="E986" s="318">
        <v>42395</v>
      </c>
      <c r="F986" s="514" t="s">
        <v>1373</v>
      </c>
      <c r="G986" s="67" t="s">
        <v>1374</v>
      </c>
      <c r="H986" s="73" t="s">
        <v>1375</v>
      </c>
      <c r="I986" s="439"/>
      <c r="J986" s="439"/>
      <c r="K986" s="430"/>
      <c r="L986" s="439"/>
      <c r="M986" s="65">
        <v>73182</v>
      </c>
      <c r="N986" s="66" t="s">
        <v>9</v>
      </c>
      <c r="O986" s="66" t="s">
        <v>63</v>
      </c>
      <c r="P986" s="84" t="str">
        <f>IF(AND('331-CT'!$E$7=TH!H986,OR(N986="331",O986="331")),"x","")</f>
        <v/>
      </c>
      <c r="Q986" s="84" t="str">
        <f>IF(AND(B986='111'!$L$11,OR($N986=$Q$7,$O986=$Q$7)),"x","")</f>
        <v/>
      </c>
      <c r="R986" s="84" t="str">
        <f>IF(AND($N986=$Q$7,$B986&lt;'111'!$L$11),"x","")</f>
        <v/>
      </c>
      <c r="S986" s="84" t="str">
        <f>IF(AND($O986=$Q$7,$B986&lt;'111'!$L$11),"x","")</f>
        <v/>
      </c>
      <c r="T986" s="84" t="str">
        <f>IF(ISERROR(FIND('112'!$M$9,G986,1)),"",IF((AND(FIND('112'!$M$9,G986,1)&gt;=1,B986='112'!$K$9,OR($N986='112'!$I$6,$O986='112'!$I$6))),"x",""))</f>
        <v/>
      </c>
      <c r="U986" s="84" t="str">
        <f>IF(ISERROR(FIND('112'!$M$9,G986,1)),"",IF((AND(LEFT(G986,2)=LEFT('112'!$M$9,2),B986&lt;'112'!$K$9,$N986='112'!$I$6)),"x",""))</f>
        <v/>
      </c>
      <c r="V986" s="84" t="str">
        <f>IF(ISERROR(FIND('112'!$M$9,G986,1)),"",IF((AND(RIGHT(G986,2)=RIGHT('112'!$M$9,2),B986&lt;'112'!$K$9,$O986='112'!$I$6)),"x",""))</f>
        <v/>
      </c>
      <c r="W986" s="84" t="str">
        <f>IF(AND('341-CT'!$H$9=H986,OR(LEFT(N986,3)=$W$7,LEFT(O986,3)=$W$7)),"x","")</f>
        <v/>
      </c>
      <c r="X986" s="84" t="str">
        <f>IF(OR(TH!N986=TH!$X$7,O986=TH!$X$7),"x","")</f>
        <v/>
      </c>
      <c r="Y986" s="84" t="str">
        <f>IF(AND(OR(N986="131",O986="131"),H986='131-CT'!$H$9),"x","")</f>
        <v/>
      </c>
      <c r="Z986" s="84"/>
      <c r="AA986" s="84" t="str">
        <f>IF(AND(MONTH(E986)='IN-NX'!$J$5,'IN-NX'!$D$7=D986),"x","")</f>
        <v/>
      </c>
      <c r="AB986" s="84" t="str">
        <f>IF(AND(OR(LEFT(TH!N986,2)="15",LEFT(TH!O986,2)="15"),LEFT(TH!O986,3)&lt;&gt;"111",'152-CT'!$J$8=TH!F986),"x","")</f>
        <v/>
      </c>
      <c r="AC986" s="84" t="str">
        <f>IF(AND(OR(LEFT(TH!N986,2)="15",LEFT(TH!O986,2)="15"),TK!$E$7=TH!F986),"x","")</f>
        <v/>
      </c>
      <c r="AD986" s="84" t="str">
        <f>IF(AND(N986="1521",MONTH(C986)='BK-NL'!$M$11),"x","")</f>
        <v/>
      </c>
      <c r="AE986" s="351"/>
    </row>
    <row r="987" spans="1:31" ht="15.75" hidden="1" customHeight="1">
      <c r="A987" s="336" t="str">
        <f>IF(B987&lt;&gt;"",IF(AND(B987='IN-TC'!$S$4,OR(TH!N987="1111",TH!O987="1111")),TH!D987,""),"")</f>
        <v/>
      </c>
      <c r="B987" s="63">
        <f t="shared" si="171"/>
        <v>3</v>
      </c>
      <c r="C987" s="318">
        <v>42430</v>
      </c>
      <c r="D987" s="318" t="s">
        <v>870</v>
      </c>
      <c r="E987" s="318">
        <v>42397</v>
      </c>
      <c r="F987" s="514" t="s">
        <v>1382</v>
      </c>
      <c r="G987" s="982" t="s">
        <v>1384</v>
      </c>
      <c r="H987" s="73" t="s">
        <v>1385</v>
      </c>
      <c r="I987" s="439"/>
      <c r="J987" s="439"/>
      <c r="K987" s="430"/>
      <c r="L987" s="439"/>
      <c r="M987" s="65">
        <v>17766750</v>
      </c>
      <c r="N987" s="66" t="s">
        <v>101</v>
      </c>
      <c r="O987" s="66" t="s">
        <v>63</v>
      </c>
      <c r="P987" s="84" t="str">
        <f>IF(AND('331-CT'!$E$7=TH!H987,OR(N987="331",O987="331")),"x","")</f>
        <v/>
      </c>
      <c r="Q987" s="84" t="str">
        <f>IF(AND(B987='111'!$L$11,OR($N987=$Q$7,$O987=$Q$7)),"x","")</f>
        <v/>
      </c>
      <c r="R987" s="84" t="str">
        <f>IF(AND($N987=$Q$7,$B987&lt;'111'!$L$11),"x","")</f>
        <v/>
      </c>
      <c r="S987" s="84" t="str">
        <f>IF(AND($O987=$Q$7,$B987&lt;'111'!$L$11),"x","")</f>
        <v/>
      </c>
      <c r="T987" s="84" t="str">
        <f>IF(ISERROR(FIND('112'!$M$9,G987,1)),"",IF((AND(FIND('112'!$M$9,G987,1)&gt;=1,B987='112'!$K$9,OR($N987='112'!$I$6,$O987='112'!$I$6))),"x",""))</f>
        <v/>
      </c>
      <c r="U987" s="84" t="str">
        <f>IF(ISERROR(FIND('112'!$M$9,G987,1)),"",IF((AND(LEFT(G987,2)=LEFT('112'!$M$9,2),B987&lt;'112'!$K$9,$N987='112'!$I$6)),"x",""))</f>
        <v/>
      </c>
      <c r="V987" s="84" t="str">
        <f>IF(ISERROR(FIND('112'!$M$9,G987,1)),"",IF((AND(RIGHT(G987,2)=RIGHT('112'!$M$9,2),B987&lt;'112'!$K$9,$O987='112'!$I$6)),"x",""))</f>
        <v/>
      </c>
      <c r="W987" s="84" t="str">
        <f>IF(AND('341-CT'!$H$9=H987,OR(LEFT(N987,3)=$W$7,LEFT(O987,3)=$W$7)),"x","")</f>
        <v/>
      </c>
      <c r="X987" s="84" t="str">
        <f>IF(OR(TH!N987=TH!$X$7,O987=TH!$X$7),"x","")</f>
        <v/>
      </c>
      <c r="Y987" s="84" t="str">
        <f>IF(AND(OR(N987="131",O987="131"),H987='131-CT'!$H$9),"x","")</f>
        <v/>
      </c>
      <c r="Z987" s="84"/>
      <c r="AA987" s="84" t="str">
        <f>IF(AND(MONTH(E987)='IN-NX'!$J$5,'IN-NX'!$D$7=D987),"x","")</f>
        <v/>
      </c>
      <c r="AB987" s="84" t="str">
        <f>IF(AND(OR(LEFT(TH!N987,2)="15",LEFT(TH!O987,2)="15"),LEFT(TH!O987,3)&lt;&gt;"111",'152-CT'!$J$8=TH!F987),"x","")</f>
        <v/>
      </c>
      <c r="AC987" s="84" t="str">
        <f>IF(AND(OR(LEFT(TH!N987,2)="15",LEFT(TH!O987,2)="15"),TK!$E$7=TH!F987),"x","")</f>
        <v/>
      </c>
      <c r="AD987" s="84" t="str">
        <f>IF(AND(N987="1521",MONTH(C987)='BK-NL'!$M$11),"x","")</f>
        <v/>
      </c>
      <c r="AE987" s="351"/>
    </row>
    <row r="988" spans="1:31" ht="15.75" hidden="1" customHeight="1">
      <c r="A988" s="336" t="str">
        <f>IF(B988&lt;&gt;"",IF(AND(B988='IN-TC'!$S$4,OR(TH!N988="1111",TH!O988="1111")),TH!D988,""),"")</f>
        <v/>
      </c>
      <c r="B988" s="63">
        <f t="shared" si="171"/>
        <v>3</v>
      </c>
      <c r="C988" s="318">
        <v>42430</v>
      </c>
      <c r="D988" s="318" t="s">
        <v>870</v>
      </c>
      <c r="E988" s="318">
        <v>42397</v>
      </c>
      <c r="F988" s="514" t="s">
        <v>1383</v>
      </c>
      <c r="G988" s="982" t="s">
        <v>1384</v>
      </c>
      <c r="H988" s="73" t="s">
        <v>1385</v>
      </c>
      <c r="I988" s="439"/>
      <c r="J988" s="439"/>
      <c r="K988" s="430"/>
      <c r="L988" s="439"/>
      <c r="M988" s="65">
        <v>1078675</v>
      </c>
      <c r="N988" s="66" t="s">
        <v>9</v>
      </c>
      <c r="O988" s="66" t="s">
        <v>63</v>
      </c>
      <c r="P988" s="84" t="str">
        <f>IF(AND('331-CT'!$E$7=TH!H988,OR(N988="331",O988="331")),"x","")</f>
        <v/>
      </c>
      <c r="Q988" s="84" t="str">
        <f>IF(AND(B988='111'!$L$11,OR($N988=$Q$7,$O988=$Q$7)),"x","")</f>
        <v/>
      </c>
      <c r="R988" s="84" t="str">
        <f>IF(AND($N988=$Q$7,$B988&lt;'111'!$L$11),"x","")</f>
        <v/>
      </c>
      <c r="S988" s="84" t="str">
        <f>IF(AND($O988=$Q$7,$B988&lt;'111'!$L$11),"x","")</f>
        <v/>
      </c>
      <c r="T988" s="84" t="str">
        <f>IF(ISERROR(FIND('112'!$M$9,G988,1)),"",IF((AND(FIND('112'!$M$9,G988,1)&gt;=1,B988='112'!$K$9,OR($N988='112'!$I$6,$O988='112'!$I$6))),"x",""))</f>
        <v/>
      </c>
      <c r="U988" s="84" t="str">
        <f>IF(ISERROR(FIND('112'!$M$9,G988,1)),"",IF((AND(LEFT(G988,2)=LEFT('112'!$M$9,2),B988&lt;'112'!$K$9,$N988='112'!$I$6)),"x",""))</f>
        <v/>
      </c>
      <c r="V988" s="84" t="str">
        <f>IF(ISERROR(FIND('112'!$M$9,G988,1)),"",IF((AND(RIGHT(G988,2)=RIGHT('112'!$M$9,2),B988&lt;'112'!$K$9,$O988='112'!$I$6)),"x",""))</f>
        <v/>
      </c>
      <c r="W988" s="84" t="str">
        <f>IF(AND('341-CT'!$H$9=H988,OR(LEFT(N988,3)=$W$7,LEFT(O988,3)=$W$7)),"x","")</f>
        <v/>
      </c>
      <c r="X988" s="84" t="str">
        <f>IF(OR(TH!N988=TH!$X$7,O988=TH!$X$7),"x","")</f>
        <v/>
      </c>
      <c r="Y988" s="84" t="str">
        <f>IF(AND(OR(N988="131",O988="131"),H988='131-CT'!$H$9),"x","")</f>
        <v/>
      </c>
      <c r="Z988" s="84"/>
      <c r="AA988" s="84" t="str">
        <f>IF(AND(MONTH(E988)='IN-NX'!$J$5,'IN-NX'!$D$7=D988),"x","")</f>
        <v/>
      </c>
      <c r="AB988" s="84" t="str">
        <f>IF(AND(OR(LEFT(TH!N988,2)="15",LEFT(TH!O988,2)="15"),LEFT(TH!O988,3)&lt;&gt;"111",'152-CT'!$J$8=TH!F988),"x","")</f>
        <v/>
      </c>
      <c r="AC988" s="84" t="str">
        <f>IF(AND(OR(LEFT(TH!N988,2)="15",LEFT(TH!O988,2)="15"),TK!$E$7=TH!F988),"x","")</f>
        <v/>
      </c>
      <c r="AD988" s="84" t="str">
        <f>IF(AND(N988="1521",MONTH(C988)='BK-NL'!$M$11),"x","")</f>
        <v/>
      </c>
      <c r="AE988" s="351"/>
    </row>
    <row r="989" spans="1:31" s="351" customFormat="1" ht="15.75" hidden="1" customHeight="1">
      <c r="A989" s="336" t="str">
        <f>IF(B989&lt;&gt;"",IF(AND(B989='IN-TC'!$S$4,OR(TH!N989="1111",TH!O989="1111")),TH!D989,""),"")</f>
        <v/>
      </c>
      <c r="B989" s="63">
        <f t="shared" si="170"/>
        <v>3</v>
      </c>
      <c r="C989" s="318">
        <v>42430</v>
      </c>
      <c r="D989" s="318" t="s">
        <v>871</v>
      </c>
      <c r="E989" s="318">
        <v>42372</v>
      </c>
      <c r="F989" s="514" t="s">
        <v>1152</v>
      </c>
      <c r="G989" s="982" t="s">
        <v>1154</v>
      </c>
      <c r="H989" s="73" t="s">
        <v>1155</v>
      </c>
      <c r="I989" s="439"/>
      <c r="J989" s="439"/>
      <c r="K989" s="430"/>
      <c r="L989" s="439"/>
      <c r="M989" s="65">
        <v>17272500</v>
      </c>
      <c r="N989" s="66" t="s">
        <v>162</v>
      </c>
      <c r="O989" s="66" t="s">
        <v>63</v>
      </c>
      <c r="P989" s="84" t="str">
        <f>IF(AND('331-CT'!$E$7=TH!H989,OR(N989="331",O989="331")),"x","")</f>
        <v/>
      </c>
      <c r="Q989" s="84" t="str">
        <f>IF(AND(B989='111'!$L$11,OR($N989=$Q$7,$O989=$Q$7)),"x","")</f>
        <v/>
      </c>
      <c r="R989" s="84" t="str">
        <f>IF(AND($N989=$Q$7,$B989&lt;'111'!$L$11),"x","")</f>
        <v/>
      </c>
      <c r="S989" s="84" t="str">
        <f>IF(AND($O989=$Q$7,$B989&lt;'111'!$L$11),"x","")</f>
        <v/>
      </c>
      <c r="T989" s="84" t="str">
        <f>IF(ISERROR(FIND('112'!$M$9,G989,1)),"",IF((AND(FIND('112'!$M$9,G989,1)&gt;=1,B989='112'!$K$9,OR($N989='112'!$I$6,$O989='112'!$I$6))),"x",""))</f>
        <v/>
      </c>
      <c r="U989" s="84" t="str">
        <f>IF(ISERROR(FIND('112'!$M$9,G989,1)),"",IF((AND(LEFT(G989,2)=LEFT('112'!$M$9,2),B989&lt;'112'!$K$9,$N989='112'!$I$6)),"x",""))</f>
        <v/>
      </c>
      <c r="V989" s="84" t="str">
        <f>IF(ISERROR(FIND('112'!$M$9,G989,1)),"",IF((AND(RIGHT(G989,2)=RIGHT('112'!$M$9,2),B989&lt;'112'!$K$9,$O989='112'!$I$6)),"x",""))</f>
        <v/>
      </c>
      <c r="W989" s="84" t="str">
        <f>IF(AND('341-CT'!$H$9=H989,OR(LEFT(N989,3)=$W$7,LEFT(O989,3)=$W$7)),"x","")</f>
        <v/>
      </c>
      <c r="X989" s="84" t="str">
        <f>IF(OR(TH!N989=TH!$X$7,O989=TH!$X$7),"x","")</f>
        <v/>
      </c>
      <c r="Y989" s="84" t="str">
        <f>IF(AND(OR(N989="131",O989="131"),H989='131-CT'!$H$9),"x","")</f>
        <v/>
      </c>
      <c r="Z989" s="84"/>
      <c r="AA989" s="84" t="str">
        <f>IF(AND(MONTH(E989)='IN-NX'!$J$5,'IN-NX'!$D$7=D989),"x","")</f>
        <v/>
      </c>
      <c r="AB989" s="84" t="str">
        <f>IF(AND(OR(LEFT(TH!N989,2)="15",LEFT(TH!O989,2)="15"),LEFT(TH!O989,3)&lt;&gt;"111",'152-CT'!$J$8=TH!F989),"x","")</f>
        <v/>
      </c>
      <c r="AC989" s="84" t="str">
        <f>IF(AND(OR(LEFT(TH!N989,2)="15",LEFT(TH!O989,2)="15"),TK!$E$7=TH!F989),"x","")</f>
        <v/>
      </c>
      <c r="AD989" s="84" t="str">
        <f>IF(AND(N989="1521",MONTH(C989)='BK-NL'!$M$11),"x","")</f>
        <v/>
      </c>
    </row>
    <row r="990" spans="1:31" s="351" customFormat="1" ht="15.75" hidden="1" customHeight="1">
      <c r="A990" s="336" t="str">
        <f>IF(B990&lt;&gt;"",IF(AND(B990='IN-TC'!$S$4,OR(TH!N990="1111",TH!O990="1111")),TH!D990,""),"")</f>
        <v/>
      </c>
      <c r="B990" s="63">
        <f t="shared" si="171"/>
        <v>3</v>
      </c>
      <c r="C990" s="318">
        <v>42430</v>
      </c>
      <c r="D990" s="318" t="s">
        <v>871</v>
      </c>
      <c r="E990" s="318">
        <v>42372</v>
      </c>
      <c r="F990" s="514" t="s">
        <v>1153</v>
      </c>
      <c r="G990" s="982" t="s">
        <v>1154</v>
      </c>
      <c r="H990" s="73" t="s">
        <v>1155</v>
      </c>
      <c r="I990" s="439"/>
      <c r="J990" s="439"/>
      <c r="K990" s="430"/>
      <c r="L990" s="439"/>
      <c r="M990" s="65">
        <v>1727250</v>
      </c>
      <c r="N990" s="66" t="s">
        <v>9</v>
      </c>
      <c r="O990" s="66" t="s">
        <v>63</v>
      </c>
      <c r="P990" s="84" t="str">
        <f>IF(AND('331-CT'!$E$7=TH!H990,OR(N990="331",O990="331")),"x","")</f>
        <v/>
      </c>
      <c r="Q990" s="84" t="str">
        <f>IF(AND(B990='111'!$L$11,OR($N990=$Q$7,$O990=$Q$7)),"x","")</f>
        <v/>
      </c>
      <c r="R990" s="84" t="str">
        <f>IF(AND($N990=$Q$7,$B990&lt;'111'!$L$11),"x","")</f>
        <v/>
      </c>
      <c r="S990" s="84" t="str">
        <f>IF(AND($O990=$Q$7,$B990&lt;'111'!$L$11),"x","")</f>
        <v/>
      </c>
      <c r="T990" s="84" t="str">
        <f>IF(ISERROR(FIND('112'!$M$9,G990,1)),"",IF((AND(FIND('112'!$M$9,G990,1)&gt;=1,B990='112'!$K$9,OR($N990='112'!$I$6,$O990='112'!$I$6))),"x",""))</f>
        <v/>
      </c>
      <c r="U990" s="84" t="str">
        <f>IF(ISERROR(FIND('112'!$M$9,G990,1)),"",IF((AND(LEFT(G990,2)=LEFT('112'!$M$9,2),B990&lt;'112'!$K$9,$N990='112'!$I$6)),"x",""))</f>
        <v/>
      </c>
      <c r="V990" s="84" t="str">
        <f>IF(ISERROR(FIND('112'!$M$9,G990,1)),"",IF((AND(RIGHT(G990,2)=RIGHT('112'!$M$9,2),B990&lt;'112'!$K$9,$O990='112'!$I$6)),"x",""))</f>
        <v/>
      </c>
      <c r="W990" s="84" t="str">
        <f>IF(AND('341-CT'!$H$9=H990,OR(LEFT(N990,3)=$W$7,LEFT(O990,3)=$W$7)),"x","")</f>
        <v/>
      </c>
      <c r="X990" s="84" t="str">
        <f>IF(OR(TH!N990=TH!$X$7,O990=TH!$X$7),"x","")</f>
        <v/>
      </c>
      <c r="Y990" s="84" t="str">
        <f>IF(AND(OR(N990="131",O990="131"),H990='131-CT'!$H$9),"x","")</f>
        <v/>
      </c>
      <c r="Z990" s="84"/>
      <c r="AA990" s="84" t="str">
        <f>IF(AND(MONTH(E990)='IN-NX'!$J$5,'IN-NX'!$D$7=D990),"x","")</f>
        <v/>
      </c>
      <c r="AB990" s="84" t="str">
        <f>IF(AND(OR(LEFT(TH!N990,2)="15",LEFT(TH!O990,2)="15"),LEFT(TH!O990,3)&lt;&gt;"111",'152-CT'!$J$8=TH!F990),"x","")</f>
        <v/>
      </c>
      <c r="AC990" s="84" t="str">
        <f>IF(AND(OR(LEFT(TH!N990,2)="15",LEFT(TH!O990,2)="15"),TK!$E$7=TH!F990),"x","")</f>
        <v/>
      </c>
      <c r="AD990" s="84" t="str">
        <f>IF(AND(N990="1521",MONTH(C990)='BK-NL'!$M$11),"x","")</f>
        <v/>
      </c>
    </row>
    <row r="991" spans="1:31" s="351" customFormat="1" ht="15.75" hidden="1" customHeight="1">
      <c r="A991" s="336" t="str">
        <f>IF(B991&lt;&gt;"",IF(AND(B991='IN-TC'!$S$4,OR(TH!N991="1111",TH!O991="1111")),TH!D991,""),"")</f>
        <v/>
      </c>
      <c r="B991" s="63">
        <f>IF(C991&lt;&gt;"",MONTH(C991),"")</f>
        <v>3</v>
      </c>
      <c r="C991" s="318">
        <v>42430</v>
      </c>
      <c r="D991" s="318" t="s">
        <v>872</v>
      </c>
      <c r="E991" s="318">
        <v>42416</v>
      </c>
      <c r="F991" s="514" t="s">
        <v>769</v>
      </c>
      <c r="G991" s="982" t="s">
        <v>1371</v>
      </c>
      <c r="H991" s="73" t="s">
        <v>806</v>
      </c>
      <c r="I991" s="439"/>
      <c r="J991" s="439"/>
      <c r="K991" s="430"/>
      <c r="L991" s="439"/>
      <c r="M991" s="65">
        <v>12000000</v>
      </c>
      <c r="N991" s="66" t="s">
        <v>101</v>
      </c>
      <c r="O991" s="66" t="s">
        <v>63</v>
      </c>
      <c r="P991" s="84" t="str">
        <f>IF(AND('331-CT'!$E$7=TH!H991,OR(N991="331",O991="331")),"x","")</f>
        <v/>
      </c>
      <c r="Q991" s="84" t="str">
        <f>IF(AND(B991='111'!$L$11,OR($N991=$Q$7,$O991=$Q$7)),"x","")</f>
        <v/>
      </c>
      <c r="R991" s="84" t="str">
        <f>IF(AND($N991=$Q$7,$B991&lt;'111'!$L$11),"x","")</f>
        <v/>
      </c>
      <c r="S991" s="84" t="str">
        <f>IF(AND($O991=$Q$7,$B991&lt;'111'!$L$11),"x","")</f>
        <v/>
      </c>
      <c r="T991" s="84" t="str">
        <f>IF(ISERROR(FIND('112'!$M$9,G991,1)),"",IF((AND(FIND('112'!$M$9,G991,1)&gt;=1,B991='112'!$K$9,OR($N991='112'!$I$6,$O991='112'!$I$6))),"x",""))</f>
        <v/>
      </c>
      <c r="U991" s="84" t="str">
        <f>IF(ISERROR(FIND('112'!$M$9,G991,1)),"",IF((AND(LEFT(G991,2)=LEFT('112'!$M$9,2),B991&lt;'112'!$K$9,$N991='112'!$I$6)),"x",""))</f>
        <v/>
      </c>
      <c r="V991" s="84" t="str">
        <f>IF(ISERROR(FIND('112'!$M$9,G991,1)),"",IF((AND(RIGHT(G991,2)=RIGHT('112'!$M$9,2),B991&lt;'112'!$K$9,$O991='112'!$I$6)),"x",""))</f>
        <v/>
      </c>
      <c r="W991" s="84" t="str">
        <f>IF(AND('341-CT'!$H$9=H991,OR(LEFT(N991,3)=$W$7,LEFT(O991,3)=$W$7)),"x","")</f>
        <v/>
      </c>
      <c r="X991" s="84" t="str">
        <f>IF(OR(TH!N991=TH!$X$7,O991=TH!$X$7),"x","")</f>
        <v/>
      </c>
      <c r="Y991" s="84" t="str">
        <f>IF(AND(OR(N991="131",O991="131"),H991='131-CT'!$H$9),"x","")</f>
        <v/>
      </c>
      <c r="Z991" s="84"/>
      <c r="AA991" s="84" t="str">
        <f>IF(AND(MONTH(E991)='IN-NX'!$J$5,'IN-NX'!$D$7=D991),"x","")</f>
        <v/>
      </c>
      <c r="AB991" s="84" t="str">
        <f>IF(AND(OR(LEFT(TH!N991,2)="15",LEFT(TH!O991,2)="15"),LEFT(TH!O991,3)&lt;&gt;"111",'152-CT'!$J$8=TH!F991),"x","")</f>
        <v/>
      </c>
      <c r="AC991" s="84" t="str">
        <f>IF(AND(OR(LEFT(TH!N991,2)="15",LEFT(TH!O991,2)="15"),TK!$E$7=TH!F991),"x","")</f>
        <v/>
      </c>
      <c r="AD991" s="84" t="str">
        <f>IF(AND(N991="1521",MONTH(C991)='BK-NL'!$M$11),"x","")</f>
        <v/>
      </c>
    </row>
    <row r="992" spans="1:31" s="351" customFormat="1" ht="15.75" hidden="1" customHeight="1">
      <c r="A992" s="336" t="str">
        <f>IF(B992&lt;&gt;"",IF(AND(B992='IN-TC'!$S$4,OR(TH!N992="1111",TH!O992="1111")),TH!D992,""),"")</f>
        <v/>
      </c>
      <c r="B992" s="63">
        <f t="shared" si="171"/>
        <v>3</v>
      </c>
      <c r="C992" s="318">
        <v>42430</v>
      </c>
      <c r="D992" s="318" t="s">
        <v>872</v>
      </c>
      <c r="E992" s="318">
        <v>42416</v>
      </c>
      <c r="F992" s="514" t="s">
        <v>770</v>
      </c>
      <c r="G992" s="982" t="s">
        <v>1371</v>
      </c>
      <c r="H992" s="73" t="s">
        <v>806</v>
      </c>
      <c r="I992" s="439"/>
      <c r="J992" s="439"/>
      <c r="K992" s="430"/>
      <c r="L992" s="439"/>
      <c r="M992" s="65">
        <v>1200000</v>
      </c>
      <c r="N992" s="66" t="s">
        <v>9</v>
      </c>
      <c r="O992" s="66" t="s">
        <v>63</v>
      </c>
      <c r="P992" s="84" t="str">
        <f>IF(AND('331-CT'!$E$7=TH!H992,OR(N992="331",O992="331")),"x","")</f>
        <v/>
      </c>
      <c r="Q992" s="84" t="str">
        <f>IF(AND(B992='111'!$L$11,OR($N992=$Q$7,$O992=$Q$7)),"x","")</f>
        <v/>
      </c>
      <c r="R992" s="84" t="str">
        <f>IF(AND($N992=$Q$7,$B992&lt;'111'!$L$11),"x","")</f>
        <v/>
      </c>
      <c r="S992" s="84" t="str">
        <f>IF(AND($O992=$Q$7,$B992&lt;'111'!$L$11),"x","")</f>
        <v/>
      </c>
      <c r="T992" s="84" t="str">
        <f>IF(ISERROR(FIND('112'!$M$9,G992,1)),"",IF((AND(FIND('112'!$M$9,G992,1)&gt;=1,B992='112'!$K$9,OR($N992='112'!$I$6,$O992='112'!$I$6))),"x",""))</f>
        <v/>
      </c>
      <c r="U992" s="84" t="str">
        <f>IF(ISERROR(FIND('112'!$M$9,G992,1)),"",IF((AND(LEFT(G992,2)=LEFT('112'!$M$9,2),B992&lt;'112'!$K$9,$N992='112'!$I$6)),"x",""))</f>
        <v/>
      </c>
      <c r="V992" s="84" t="str">
        <f>IF(ISERROR(FIND('112'!$M$9,G992,1)),"",IF((AND(RIGHT(G992,2)=RIGHT('112'!$M$9,2),B992&lt;'112'!$K$9,$O992='112'!$I$6)),"x",""))</f>
        <v/>
      </c>
      <c r="W992" s="84" t="str">
        <f>IF(AND('341-CT'!$H$9=H992,OR(LEFT(N992,3)=$W$7,LEFT(O992,3)=$W$7)),"x","")</f>
        <v/>
      </c>
      <c r="X992" s="84" t="str">
        <f>IF(OR(TH!N992=TH!$X$7,O992=TH!$X$7),"x","")</f>
        <v/>
      </c>
      <c r="Y992" s="84" t="str">
        <f>IF(AND(OR(N992="131",O992="131"),H992='131-CT'!$H$9),"x","")</f>
        <v/>
      </c>
      <c r="Z992" s="84"/>
      <c r="AA992" s="84" t="str">
        <f>IF(AND(MONTH(E992)='IN-NX'!$J$5,'IN-NX'!$D$7=D992),"x","")</f>
        <v/>
      </c>
      <c r="AB992" s="84" t="str">
        <f>IF(AND(OR(LEFT(TH!N992,2)="15",LEFT(TH!O992,2)="15"),LEFT(TH!O992,3)&lt;&gt;"111",'152-CT'!$J$8=TH!F992),"x","")</f>
        <v/>
      </c>
      <c r="AC992" s="84" t="str">
        <f>IF(AND(OR(LEFT(TH!N992,2)="15",LEFT(TH!O992,2)="15"),TK!$E$7=TH!F992),"x","")</f>
        <v/>
      </c>
      <c r="AD992" s="84" t="str">
        <f>IF(AND(N992="1521",MONTH(C992)='BK-NL'!$M$11),"x","")</f>
        <v/>
      </c>
    </row>
    <row r="993" spans="1:31" s="351" customFormat="1" ht="15.75" hidden="1" customHeight="1">
      <c r="A993" s="336" t="str">
        <f>IF(B993&lt;&gt;"",IF(AND(B993='IN-TC'!$S$4,OR(TH!N993="1111",TH!O993="1111")),TH!D993,""),"")</f>
        <v/>
      </c>
      <c r="B993" s="63">
        <f t="shared" si="170"/>
        <v>3</v>
      </c>
      <c r="C993" s="318">
        <v>42430</v>
      </c>
      <c r="D993" s="318" t="s">
        <v>873</v>
      </c>
      <c r="E993" s="318">
        <v>42430</v>
      </c>
      <c r="F993" s="514" t="s">
        <v>1107</v>
      </c>
      <c r="G993" s="319" t="s">
        <v>919</v>
      </c>
      <c r="H993" s="320" t="s">
        <v>763</v>
      </c>
      <c r="I993" s="439"/>
      <c r="J993" s="439"/>
      <c r="K993" s="430"/>
      <c r="L993" s="439"/>
      <c r="M993" s="65">
        <v>33000000</v>
      </c>
      <c r="N993" s="66" t="s">
        <v>26</v>
      </c>
      <c r="O993" s="66" t="s">
        <v>63</v>
      </c>
      <c r="P993" s="84" t="str">
        <f>IF(AND('331-CT'!$E$7=TH!H993,OR(N993="331",O993="331")),"x","")</f>
        <v/>
      </c>
      <c r="Q993" s="84" t="str">
        <f>IF(AND(B993='111'!$L$11,OR($N993=$Q$7,$O993=$Q$7)),"x","")</f>
        <v/>
      </c>
      <c r="R993" s="84" t="str">
        <f>IF(AND($N993=$Q$7,$B993&lt;'111'!$L$11),"x","")</f>
        <v/>
      </c>
      <c r="S993" s="84" t="str">
        <f>IF(AND($O993=$Q$7,$B993&lt;'111'!$L$11),"x","")</f>
        <v/>
      </c>
      <c r="T993" s="84" t="str">
        <f>IF(ISERROR(FIND('112'!$M$9,G993,1)),"",IF((AND(FIND('112'!$M$9,G993,1)&gt;=1,B993='112'!$K$9,OR($N993='112'!$I$6,$O993='112'!$I$6))),"x",""))</f>
        <v/>
      </c>
      <c r="U993" s="84" t="str">
        <f>IF(ISERROR(FIND('112'!$M$9,G993,1)),"",IF((AND(LEFT(G993,2)=LEFT('112'!$M$9,2),B993&lt;'112'!$K$9,$N993='112'!$I$6)),"x",""))</f>
        <v>x</v>
      </c>
      <c r="V993" s="84" t="str">
        <f>IF(ISERROR(FIND('112'!$M$9,G993,1)),"",IF((AND(RIGHT(G993,2)=RIGHT('112'!$M$9,2),B993&lt;'112'!$K$9,$O993='112'!$I$6)),"x",""))</f>
        <v/>
      </c>
      <c r="W993" s="84" t="str">
        <f>IF(AND('341-CT'!$H$9=H993,OR(LEFT(N993,3)=$W$7,LEFT(O993,3)=$W$7)),"x","")</f>
        <v/>
      </c>
      <c r="X993" s="84" t="str">
        <f>IF(OR(TH!N993=TH!$X$7,O993=TH!$X$7),"x","")</f>
        <v/>
      </c>
      <c r="Y993" s="84" t="str">
        <f>IF(AND(OR(N993="131",O993="131"),H993='131-CT'!$H$9),"x","")</f>
        <v/>
      </c>
      <c r="Z993" s="84"/>
      <c r="AA993" s="84" t="str">
        <f>IF(AND(MONTH(E993)='IN-NX'!$J$5,'IN-NX'!$D$7=D993),"x","")</f>
        <v/>
      </c>
      <c r="AB993" s="84" t="str">
        <f>IF(AND(OR(LEFT(TH!N993,2)="15",LEFT(TH!O993,2)="15"),LEFT(TH!O993,3)&lt;&gt;"111",'152-CT'!$J$8=TH!F993),"x","")</f>
        <v/>
      </c>
      <c r="AC993" s="84" t="str">
        <f>IF(AND(OR(LEFT(TH!N993,2)="15",LEFT(TH!O993,2)="15"),TK!$E$7=TH!F993),"x","")</f>
        <v/>
      </c>
      <c r="AD993" s="84" t="str">
        <f>IF(AND(N993="1521",MONTH(C993)='BK-NL'!$M$11),"x","")</f>
        <v/>
      </c>
      <c r="AE993" s="330"/>
    </row>
    <row r="994" spans="1:31" s="351" customFormat="1" ht="15.75" hidden="1" customHeight="1">
      <c r="A994" s="336" t="str">
        <f>IF(B994&lt;&gt;"",IF(AND(B994='IN-TC'!$S$4,OR(TH!N994="1111",TH!O994="1111")),TH!D994,""),"")</f>
        <v/>
      </c>
      <c r="B994" s="63">
        <f t="shared" si="170"/>
        <v>3</v>
      </c>
      <c r="C994" s="318">
        <v>42430</v>
      </c>
      <c r="D994" s="318" t="s">
        <v>875</v>
      </c>
      <c r="E994" s="318">
        <v>42430</v>
      </c>
      <c r="F994" s="514" t="s">
        <v>771</v>
      </c>
      <c r="G994" s="986" t="s">
        <v>1108</v>
      </c>
      <c r="H994" s="320" t="s">
        <v>1109</v>
      </c>
      <c r="I994" s="439"/>
      <c r="J994" s="439"/>
      <c r="K994" s="430"/>
      <c r="L994" s="439"/>
      <c r="M994" s="65">
        <v>435455</v>
      </c>
      <c r="N994" s="321" t="s">
        <v>101</v>
      </c>
      <c r="O994" s="66" t="s">
        <v>63</v>
      </c>
      <c r="P994" s="84" t="str">
        <f>IF(AND('331-CT'!$E$7=TH!H994,OR(N994="331",O994="331")),"x","")</f>
        <v/>
      </c>
      <c r="Q994" s="84" t="str">
        <f>IF(AND(B994='111'!$L$11,OR($N994=$Q$7,$O994=$Q$7)),"x","")</f>
        <v/>
      </c>
      <c r="R994" s="84" t="str">
        <f>IF(AND($N994=$Q$7,$B994&lt;'111'!$L$11),"x","")</f>
        <v/>
      </c>
      <c r="S994" s="84" t="str">
        <f>IF(AND($O994=$Q$7,$B994&lt;'111'!$L$11),"x","")</f>
        <v/>
      </c>
      <c r="T994" s="84" t="str">
        <f>IF(ISERROR(FIND('112'!$M$9,G994,1)),"",IF((AND(FIND('112'!$M$9,G994,1)&gt;=1,B994='112'!$K$9,OR($N994='112'!$I$6,$O994='112'!$I$6))),"x",""))</f>
        <v/>
      </c>
      <c r="U994" s="84" t="str">
        <f>IF(ISERROR(FIND('112'!$M$9,G994,1)),"",IF((AND(LEFT(G994,2)=LEFT('112'!$M$9,2),B994&lt;'112'!$K$9,$N994='112'!$I$6)),"x",""))</f>
        <v/>
      </c>
      <c r="V994" s="84" t="str">
        <f>IF(ISERROR(FIND('112'!$M$9,G994,1)),"",IF((AND(RIGHT(G994,2)=RIGHT('112'!$M$9,2),B994&lt;'112'!$K$9,$O994='112'!$I$6)),"x",""))</f>
        <v/>
      </c>
      <c r="W994" s="84" t="str">
        <f>IF(AND('341-CT'!$H$9=H994,OR(LEFT(N994,3)=$W$7,LEFT(O994,3)=$W$7)),"x","")</f>
        <v/>
      </c>
      <c r="X994" s="84" t="str">
        <f>IF(OR(TH!N994=TH!$X$7,O994=TH!$X$7),"x","")</f>
        <v/>
      </c>
      <c r="Y994" s="84" t="str">
        <f>IF(AND(OR(N994="131",O994="131"),H994='131-CT'!$H$9),"x","")</f>
        <v/>
      </c>
      <c r="Z994" s="84"/>
      <c r="AA994" s="84" t="str">
        <f>IF(AND(MONTH(E994)='IN-NX'!$J$5,'IN-NX'!$D$7=D994),"x","")</f>
        <v/>
      </c>
      <c r="AB994" s="84" t="str">
        <f>IF(AND(OR(LEFT(TH!N994,2)="15",LEFT(TH!O994,2)="15"),LEFT(TH!O994,3)&lt;&gt;"111",'152-CT'!$J$8=TH!F994),"x","")</f>
        <v/>
      </c>
      <c r="AC994" s="84" t="str">
        <f>IF(AND(OR(LEFT(TH!N994,2)="15",LEFT(TH!O994,2)="15"),TK!$E$7=TH!F994),"x","")</f>
        <v/>
      </c>
      <c r="AD994" s="84" t="str">
        <f>IF(AND(N994="1521",MONTH(C994)='BK-NL'!$M$11),"x","")</f>
        <v/>
      </c>
      <c r="AE994" s="330"/>
    </row>
    <row r="995" spans="1:31" ht="15.75" hidden="1" customHeight="1">
      <c r="A995" s="336" t="str">
        <f>IF(B995&lt;&gt;"",IF(AND(B995='IN-TC'!$S$4,OR(TH!N995="1111",TH!O995="1111")),TH!D995,""),"")</f>
        <v/>
      </c>
      <c r="B995" s="63">
        <f t="shared" si="170"/>
        <v>3</v>
      </c>
      <c r="C995" s="318">
        <v>42430</v>
      </c>
      <c r="D995" s="318" t="s">
        <v>875</v>
      </c>
      <c r="E995" s="318">
        <v>42430</v>
      </c>
      <c r="F995" s="514" t="s">
        <v>772</v>
      </c>
      <c r="G995" s="986" t="s">
        <v>1108</v>
      </c>
      <c r="H995" s="320" t="s">
        <v>1109</v>
      </c>
      <c r="I995" s="439"/>
      <c r="J995" s="439"/>
      <c r="K995" s="430"/>
      <c r="L995" s="439"/>
      <c r="M995" s="65">
        <v>43545</v>
      </c>
      <c r="N995" s="321" t="s">
        <v>9</v>
      </c>
      <c r="O995" s="66" t="s">
        <v>63</v>
      </c>
      <c r="P995" s="84" t="str">
        <f>IF(AND('331-CT'!$E$7=TH!H995,OR(N995="331",O995="331")),"x","")</f>
        <v/>
      </c>
      <c r="Q995" s="84" t="str">
        <f>IF(AND(B995='111'!$L$11,OR($N995=$Q$7,$O995=$Q$7)),"x","")</f>
        <v/>
      </c>
      <c r="R995" s="84" t="str">
        <f>IF(AND($N995=$Q$7,$B995&lt;'111'!$L$11),"x","")</f>
        <v/>
      </c>
      <c r="S995" s="84" t="str">
        <f>IF(AND($O995=$Q$7,$B995&lt;'111'!$L$11),"x","")</f>
        <v/>
      </c>
      <c r="T995" s="84" t="str">
        <f>IF(ISERROR(FIND('112'!$M$9,G995,1)),"",IF((AND(FIND('112'!$M$9,G995,1)&gt;=1,B995='112'!$K$9,OR($N995='112'!$I$6,$O995='112'!$I$6))),"x",""))</f>
        <v/>
      </c>
      <c r="U995" s="84" t="str">
        <f>IF(ISERROR(FIND('112'!$M$9,G995,1)),"",IF((AND(LEFT(G995,2)=LEFT('112'!$M$9,2),B995&lt;'112'!$K$9,$N995='112'!$I$6)),"x",""))</f>
        <v/>
      </c>
      <c r="V995" s="84" t="str">
        <f>IF(ISERROR(FIND('112'!$M$9,G995,1)),"",IF((AND(RIGHT(G995,2)=RIGHT('112'!$M$9,2),B995&lt;'112'!$K$9,$O995='112'!$I$6)),"x",""))</f>
        <v/>
      </c>
      <c r="W995" s="84" t="str">
        <f>IF(AND('341-CT'!$H$9=H995,OR(LEFT(N995,3)=$W$7,LEFT(O995,3)=$W$7)),"x","")</f>
        <v/>
      </c>
      <c r="X995" s="84" t="str">
        <f>IF(OR(TH!N995=TH!$X$7,O995=TH!$X$7),"x","")</f>
        <v/>
      </c>
      <c r="Y995" s="84" t="str">
        <f>IF(AND(OR(N995="131",O995="131"),H995='131-CT'!$H$9),"x","")</f>
        <v/>
      </c>
      <c r="Z995" s="84"/>
      <c r="AA995" s="84" t="str">
        <f>IF(AND(MONTH(E995)='IN-NX'!$J$5,'IN-NX'!$D$7=D995),"x","")</f>
        <v/>
      </c>
      <c r="AB995" s="84" t="str">
        <f>IF(AND(OR(LEFT(TH!N995,2)="15",LEFT(TH!O995,2)="15"),LEFT(TH!O995,3)&lt;&gt;"111",'152-CT'!$J$8=TH!F995),"x","")</f>
        <v/>
      </c>
      <c r="AC995" s="84" t="str">
        <f>IF(AND(OR(LEFT(TH!N995,2)="15",LEFT(TH!O995,2)="15"),TK!$E$7=TH!F995),"x","")</f>
        <v/>
      </c>
      <c r="AD995" s="84" t="str">
        <f>IF(AND(N995="1521",MONTH(C995)='BK-NL'!$M$11),"x","")</f>
        <v/>
      </c>
    </row>
    <row r="996" spans="1:31" ht="15.75" hidden="1" customHeight="1">
      <c r="A996" s="336" t="str">
        <f>IF(B996&lt;&gt;"",IF(AND(B996='IN-TC'!$S$4,OR(TH!N996="1111",TH!O996="1111")),TH!D996,""),"")</f>
        <v/>
      </c>
      <c r="B996" s="63">
        <f t="shared" si="170"/>
        <v>3</v>
      </c>
      <c r="C996" s="318">
        <v>42430</v>
      </c>
      <c r="D996" s="318" t="s">
        <v>876</v>
      </c>
      <c r="E996" s="318">
        <v>42430</v>
      </c>
      <c r="F996" s="514" t="s">
        <v>1110</v>
      </c>
      <c r="G996" s="986" t="s">
        <v>1111</v>
      </c>
      <c r="H996" s="320" t="s">
        <v>1113</v>
      </c>
      <c r="I996" s="439"/>
      <c r="J996" s="439"/>
      <c r="K996" s="430"/>
      <c r="L996" s="439"/>
      <c r="M996" s="65">
        <v>1697500</v>
      </c>
      <c r="N996" s="321" t="s">
        <v>101</v>
      </c>
      <c r="O996" s="66" t="s">
        <v>63</v>
      </c>
      <c r="P996" s="84" t="str">
        <f>IF(AND('331-CT'!$E$7=TH!H996,OR(N996="331",O996="331")),"x","")</f>
        <v/>
      </c>
      <c r="Q996" s="84" t="str">
        <f>IF(AND(B996='111'!$L$11,OR($N996=$Q$7,$O996=$Q$7)),"x","")</f>
        <v/>
      </c>
      <c r="R996" s="84" t="str">
        <f>IF(AND($N996=$Q$7,$B996&lt;'111'!$L$11),"x","")</f>
        <v/>
      </c>
      <c r="S996" s="84" t="str">
        <f>IF(AND($O996=$Q$7,$B996&lt;'111'!$L$11),"x","")</f>
        <v/>
      </c>
      <c r="T996" s="84" t="str">
        <f>IF(ISERROR(FIND('112'!$M$9,G996,1)),"",IF((AND(FIND('112'!$M$9,G996,1)&gt;=1,B996='112'!$K$9,OR($N996='112'!$I$6,$O996='112'!$I$6))),"x",""))</f>
        <v/>
      </c>
      <c r="U996" s="84" t="str">
        <f>IF(ISERROR(FIND('112'!$M$9,G996,1)),"",IF((AND(LEFT(G996,2)=LEFT('112'!$M$9,2),B996&lt;'112'!$K$9,$N996='112'!$I$6)),"x",""))</f>
        <v/>
      </c>
      <c r="V996" s="84" t="str">
        <f>IF(ISERROR(FIND('112'!$M$9,G996,1)),"",IF((AND(RIGHT(G996,2)=RIGHT('112'!$M$9,2),B996&lt;'112'!$K$9,$O996='112'!$I$6)),"x",""))</f>
        <v/>
      </c>
      <c r="W996" s="84" t="str">
        <f>IF(AND('341-CT'!$H$9=H996,OR(LEFT(N996,3)=$W$7,LEFT(O996,3)=$W$7)),"x","")</f>
        <v/>
      </c>
      <c r="X996" s="84" t="str">
        <f>IF(OR(TH!N996=TH!$X$7,O996=TH!$X$7),"x","")</f>
        <v/>
      </c>
      <c r="Y996" s="84" t="str">
        <f>IF(AND(OR(N996="131",O996="131"),H996='131-CT'!$H$9),"x","")</f>
        <v/>
      </c>
      <c r="Z996" s="84"/>
      <c r="AA996" s="84" t="str">
        <f>IF(AND(MONTH(E996)='IN-NX'!$J$5,'IN-NX'!$D$7=D996),"x","")</f>
        <v/>
      </c>
      <c r="AB996" s="84" t="str">
        <f>IF(AND(OR(LEFT(TH!N996,2)="15",LEFT(TH!O996,2)="15"),LEFT(TH!O996,3)&lt;&gt;"111",'152-CT'!$J$8=TH!F996),"x","")</f>
        <v/>
      </c>
      <c r="AC996" s="84" t="str">
        <f>IF(AND(OR(LEFT(TH!N996,2)="15",LEFT(TH!O996,2)="15"),TK!$E$7=TH!F996),"x","")</f>
        <v/>
      </c>
      <c r="AD996" s="84" t="str">
        <f>IF(AND(N996="1521",MONTH(C996)='BK-NL'!$M$11),"x","")</f>
        <v/>
      </c>
    </row>
    <row r="997" spans="1:31" ht="15.75" hidden="1" customHeight="1">
      <c r="A997" s="336" t="str">
        <f>IF(B997&lt;&gt;"",IF(AND(B997='IN-TC'!$S$4,OR(TH!N997="1111",TH!O997="1111")),TH!D997,""),"")</f>
        <v/>
      </c>
      <c r="B997" s="63">
        <f t="shared" si="170"/>
        <v>3</v>
      </c>
      <c r="C997" s="318">
        <v>42430</v>
      </c>
      <c r="D997" s="318" t="s">
        <v>876</v>
      </c>
      <c r="E997" s="318">
        <v>42430</v>
      </c>
      <c r="F997" s="514" t="s">
        <v>1112</v>
      </c>
      <c r="G997" s="986" t="s">
        <v>1111</v>
      </c>
      <c r="H997" s="320" t="s">
        <v>1113</v>
      </c>
      <c r="I997" s="439"/>
      <c r="J997" s="439"/>
      <c r="K997" s="430"/>
      <c r="L997" s="439"/>
      <c r="M997" s="65">
        <v>169750</v>
      </c>
      <c r="N997" s="321" t="s">
        <v>9</v>
      </c>
      <c r="O997" s="66" t="s">
        <v>63</v>
      </c>
      <c r="P997" s="84" t="str">
        <f>IF(AND('331-CT'!$E$7=TH!H997,OR(N997="331",O997="331")),"x","")</f>
        <v/>
      </c>
      <c r="Q997" s="84" t="str">
        <f>IF(AND(B997='111'!$L$11,OR($N997=$Q$7,$O997=$Q$7)),"x","")</f>
        <v/>
      </c>
      <c r="R997" s="84" t="str">
        <f>IF(AND($N997=$Q$7,$B997&lt;'111'!$L$11),"x","")</f>
        <v/>
      </c>
      <c r="S997" s="84" t="str">
        <f>IF(AND($O997=$Q$7,$B997&lt;'111'!$L$11),"x","")</f>
        <v/>
      </c>
      <c r="T997" s="84" t="str">
        <f>IF(ISERROR(FIND('112'!$M$9,G997,1)),"",IF((AND(FIND('112'!$M$9,G997,1)&gt;=1,B997='112'!$K$9,OR($N997='112'!$I$6,$O997='112'!$I$6))),"x",""))</f>
        <v/>
      </c>
      <c r="U997" s="84" t="str">
        <f>IF(ISERROR(FIND('112'!$M$9,G997,1)),"",IF((AND(LEFT(G997,2)=LEFT('112'!$M$9,2),B997&lt;'112'!$K$9,$N997='112'!$I$6)),"x",""))</f>
        <v/>
      </c>
      <c r="V997" s="84" t="str">
        <f>IF(ISERROR(FIND('112'!$M$9,G997,1)),"",IF((AND(RIGHT(G997,2)=RIGHT('112'!$M$9,2),B997&lt;'112'!$K$9,$O997='112'!$I$6)),"x",""))</f>
        <v/>
      </c>
      <c r="W997" s="84" t="str">
        <f>IF(AND('341-CT'!$H$9=H997,OR(LEFT(N997,3)=$W$7,LEFT(O997,3)=$W$7)),"x","")</f>
        <v/>
      </c>
      <c r="X997" s="84" t="str">
        <f>IF(OR(TH!N997=TH!$X$7,O997=TH!$X$7),"x","")</f>
        <v/>
      </c>
      <c r="Y997" s="84" t="str">
        <f>IF(AND(OR(N997="131",O997="131"),H997='131-CT'!$H$9),"x","")</f>
        <v/>
      </c>
      <c r="Z997" s="84"/>
      <c r="AA997" s="84" t="str">
        <f>IF(AND(MONTH(E997)='IN-NX'!$J$5,'IN-NX'!$D$7=D997),"x","")</f>
        <v/>
      </c>
      <c r="AB997" s="84" t="str">
        <f>IF(AND(OR(LEFT(TH!N997,2)="15",LEFT(TH!O997,2)="15"),LEFT(TH!O997,3)&lt;&gt;"111",'152-CT'!$J$8=TH!F997),"x","")</f>
        <v/>
      </c>
      <c r="AC997" s="84" t="str">
        <f>IF(AND(OR(LEFT(TH!N997,2)="15",LEFT(TH!O997,2)="15"),TK!$E$7=TH!F997),"x","")</f>
        <v/>
      </c>
      <c r="AD997" s="84" t="str">
        <f>IF(AND(N997="1521",MONTH(C997)='BK-NL'!$M$11),"x","")</f>
        <v/>
      </c>
    </row>
    <row r="998" spans="1:31" ht="15.75" hidden="1" customHeight="1">
      <c r="A998" s="336" t="str">
        <f>IF(B998&lt;&gt;"",IF(AND(B998='IN-TC'!$S$4,OR(TH!N998="1111",TH!O998="1111")),TH!D998,""),"")</f>
        <v/>
      </c>
      <c r="B998" s="63">
        <f t="shared" si="170"/>
        <v>3</v>
      </c>
      <c r="C998" s="64">
        <v>42430</v>
      </c>
      <c r="D998" s="318" t="s">
        <v>705</v>
      </c>
      <c r="E998" s="64">
        <v>42430</v>
      </c>
      <c r="F998" s="514" t="s">
        <v>1205</v>
      </c>
      <c r="G998" s="67" t="s">
        <v>919</v>
      </c>
      <c r="H998" s="344" t="s">
        <v>632</v>
      </c>
      <c r="I998" s="439"/>
      <c r="J998" s="439"/>
      <c r="K998" s="430"/>
      <c r="L998" s="439"/>
      <c r="M998" s="65">
        <v>32386200</v>
      </c>
      <c r="N998" s="66" t="s">
        <v>8</v>
      </c>
      <c r="O998" s="66" t="s">
        <v>26</v>
      </c>
      <c r="P998" s="84" t="str">
        <f>IF(AND('331-CT'!$E$7=TH!H998,OR(N998="331",O998="331")),"x","")</f>
        <v/>
      </c>
      <c r="Q998" s="84" t="str">
        <f>IF(AND(B998='111'!$L$11,OR($N998=$Q$7,$O998=$Q$7)),"x","")</f>
        <v/>
      </c>
      <c r="R998" s="84" t="str">
        <f>IF(AND($N998=$Q$7,$B998&lt;'111'!$L$11),"x","")</f>
        <v/>
      </c>
      <c r="S998" s="84" t="str">
        <f>IF(AND($O998=$Q$7,$B998&lt;'111'!$L$11),"x","")</f>
        <v/>
      </c>
      <c r="T998" s="84" t="str">
        <f>IF(ISERROR(FIND('112'!$M$9,G998,1)),"",IF((AND(FIND('112'!$M$9,G998,1)&gt;=1,B998='112'!$K$9,OR($N998='112'!$I$6,$O998='112'!$I$6))),"x",""))</f>
        <v/>
      </c>
      <c r="U998" s="84" t="str">
        <f>IF(ISERROR(FIND('112'!$M$9,G998,1)),"",IF((AND(LEFT(G998,2)=LEFT('112'!$M$9,2),B998&lt;'112'!$K$9,$N998='112'!$I$6)),"x",""))</f>
        <v/>
      </c>
      <c r="V998" s="84" t="str">
        <f>IF(ISERROR(FIND('112'!$M$9,G998,1)),"",IF((AND(RIGHT(G998,2)=RIGHT('112'!$M$9,2),B998&lt;'112'!$K$9,$O998='112'!$I$6)),"x",""))</f>
        <v>x</v>
      </c>
      <c r="W998" s="84" t="str">
        <f>IF(AND('341-CT'!$H$9=H998,OR(LEFT(N998,3)=$W$7,LEFT(O998,3)=$W$7)),"x","")</f>
        <v/>
      </c>
      <c r="X998" s="84" t="str">
        <f>IF(OR(TH!N998=TH!$X$7,O998=TH!$X$7),"x","")</f>
        <v/>
      </c>
      <c r="Y998" s="84" t="str">
        <f>IF(AND(OR(N998="131",O998="131"),H998='131-CT'!$H$9),"x","")</f>
        <v/>
      </c>
      <c r="Z998" s="84"/>
      <c r="AA998" s="84" t="str">
        <f>IF(AND(MONTH(E998)='IN-NX'!$J$5,'IN-NX'!$D$7=D998),"x","")</f>
        <v/>
      </c>
      <c r="AB998" s="84" t="str">
        <f>IF(AND(OR(LEFT(TH!N998,2)="15",LEFT(TH!O998,2)="15"),LEFT(TH!O998,3)&lt;&gt;"111",'152-CT'!$J$8=TH!F998),"x","")</f>
        <v/>
      </c>
      <c r="AC998" s="84" t="str">
        <f>IF(AND(OR(LEFT(TH!N998,2)="15",LEFT(TH!O998,2)="15"),TK!$E$7=TH!F998),"x","")</f>
        <v/>
      </c>
      <c r="AD998" s="84" t="str">
        <f>IF(AND(N998="1521",MONTH(C998)='BK-NL'!$M$11),"x","")</f>
        <v/>
      </c>
      <c r="AE998" s="1146" t="str">
        <f>IF(H998&lt;&gt;VLOOKUP(H998,DSKH,1,0),"","x")</f>
        <v>x</v>
      </c>
    </row>
    <row r="999" spans="1:31" ht="15.75" hidden="1" customHeight="1">
      <c r="A999" s="336" t="str">
        <f>IF(B999&lt;&gt;"",IF(AND(B999='IN-TC'!$S$4,OR(TH!N999="1111",TH!O999="1111")),TH!D999,""),"")</f>
        <v/>
      </c>
      <c r="B999" s="63">
        <f t="shared" si="170"/>
        <v>3</v>
      </c>
      <c r="C999" s="64">
        <v>42430</v>
      </c>
      <c r="D999" s="318" t="s">
        <v>705</v>
      </c>
      <c r="E999" s="64">
        <v>42430</v>
      </c>
      <c r="F999" s="514" t="s">
        <v>1199</v>
      </c>
      <c r="G999" s="67" t="s">
        <v>919</v>
      </c>
      <c r="H999" s="73"/>
      <c r="I999" s="439"/>
      <c r="J999" s="439"/>
      <c r="K999" s="430"/>
      <c r="L999" s="439"/>
      <c r="M999" s="65">
        <v>45000</v>
      </c>
      <c r="N999" s="66" t="s">
        <v>101</v>
      </c>
      <c r="O999" s="66" t="s">
        <v>26</v>
      </c>
      <c r="P999" s="84" t="str">
        <f>IF(AND('331-CT'!$E$7=TH!H999,OR(N999="331",O999="331")),"x","")</f>
        <v/>
      </c>
      <c r="Q999" s="84" t="str">
        <f>IF(AND(B999='111'!$L$11,OR($N999=$Q$7,$O999=$Q$7)),"x","")</f>
        <v/>
      </c>
      <c r="R999" s="84" t="str">
        <f>IF(AND($N999=$Q$7,$B999&lt;'111'!$L$11),"x","")</f>
        <v/>
      </c>
      <c r="S999" s="84" t="str">
        <f>IF(AND($O999=$Q$7,$B999&lt;'111'!$L$11),"x","")</f>
        <v/>
      </c>
      <c r="T999" s="84" t="str">
        <f>IF(ISERROR(FIND('112'!$M$9,G999,1)),"",IF((AND(FIND('112'!$M$9,G999,1)&gt;=1,B999='112'!$K$9,OR($N999='112'!$I$6,$O999='112'!$I$6))),"x",""))</f>
        <v/>
      </c>
      <c r="U999" s="84" t="str">
        <f>IF(ISERROR(FIND('112'!$M$9,G999,1)),"",IF((AND(LEFT(G999,2)=LEFT('112'!$M$9,2),B999&lt;'112'!$K$9,$N999='112'!$I$6)),"x",""))</f>
        <v/>
      </c>
      <c r="V999" s="84" t="str">
        <f>IF(ISERROR(FIND('112'!$M$9,G999,1)),"",IF((AND(RIGHT(G999,2)=RIGHT('112'!$M$9,2),B999&lt;'112'!$K$9,$O999='112'!$I$6)),"x",""))</f>
        <v>x</v>
      </c>
      <c r="W999" s="84" t="str">
        <f>IF(AND('341-CT'!$H$9=H999,OR(LEFT(N999,3)=$W$7,LEFT(O999,3)=$W$7)),"x","")</f>
        <v/>
      </c>
      <c r="X999" s="84" t="str">
        <f>IF(OR(TH!N999=TH!$X$7,O999=TH!$X$7),"x","")</f>
        <v/>
      </c>
      <c r="Y999" s="84" t="str">
        <f>IF(AND(OR(N999="131",O999="131"),H999='131-CT'!$H$9),"x","")</f>
        <v/>
      </c>
      <c r="Z999" s="84"/>
      <c r="AA999" s="84" t="str">
        <f>IF(AND(MONTH(E999)='IN-NX'!$J$5,'IN-NX'!$D$7=D999),"x","")</f>
        <v/>
      </c>
      <c r="AB999" s="84" t="str">
        <f>IF(AND(OR(LEFT(TH!N999,2)="15",LEFT(TH!O999,2)="15"),LEFT(TH!O999,3)&lt;&gt;"111",'152-CT'!$J$8=TH!F999),"x","")</f>
        <v/>
      </c>
      <c r="AC999" s="84" t="str">
        <f>IF(AND(OR(LEFT(TH!N999,2)="15",LEFT(TH!O999,2)="15"),TK!$E$7=TH!F999),"x","")</f>
        <v/>
      </c>
      <c r="AD999" s="84" t="str">
        <f>IF(AND(N999="1521",MONTH(C999)='BK-NL'!$M$11),"x","")</f>
        <v/>
      </c>
    </row>
    <row r="1000" spans="1:31" ht="15.75" hidden="1" customHeight="1">
      <c r="A1000" s="336" t="str">
        <f>IF(B1000&lt;&gt;"",IF(AND(B1000='IN-TC'!$S$4,OR(TH!N1000="1111",TH!O1000="1111")),TH!D1000,""),"")</f>
        <v/>
      </c>
      <c r="B1000" s="63">
        <f t="shared" si="170"/>
        <v>3</v>
      </c>
      <c r="C1000" s="64">
        <v>42430</v>
      </c>
      <c r="D1000" s="318" t="s">
        <v>705</v>
      </c>
      <c r="E1000" s="64">
        <v>42430</v>
      </c>
      <c r="F1000" s="514" t="s">
        <v>1200</v>
      </c>
      <c r="G1000" s="67" t="s">
        <v>919</v>
      </c>
      <c r="H1000" s="73"/>
      <c r="I1000" s="439"/>
      <c r="J1000" s="439"/>
      <c r="K1000" s="430"/>
      <c r="L1000" s="439"/>
      <c r="M1000" s="65">
        <v>4500</v>
      </c>
      <c r="N1000" s="66" t="s">
        <v>9</v>
      </c>
      <c r="O1000" s="66" t="s">
        <v>26</v>
      </c>
      <c r="P1000" s="84" t="str">
        <f>IF(AND('331-CT'!$E$7=TH!H1000,OR(N1000="331",O1000="331")),"x","")</f>
        <v/>
      </c>
      <c r="Q1000" s="84" t="str">
        <f>IF(AND(B1000='111'!$L$11,OR($N1000=$Q$7,$O1000=$Q$7)),"x","")</f>
        <v/>
      </c>
      <c r="R1000" s="84" t="str">
        <f>IF(AND($N1000=$Q$7,$B1000&lt;'111'!$L$11),"x","")</f>
        <v/>
      </c>
      <c r="S1000" s="84" t="str">
        <f>IF(AND($O1000=$Q$7,$B1000&lt;'111'!$L$11),"x","")</f>
        <v/>
      </c>
      <c r="T1000" s="84" t="str">
        <f>IF(ISERROR(FIND('112'!$M$9,G1000,1)),"",IF((AND(FIND('112'!$M$9,G1000,1)&gt;=1,B1000='112'!$K$9,OR($N1000='112'!$I$6,$O1000='112'!$I$6))),"x",""))</f>
        <v/>
      </c>
      <c r="U1000" s="84" t="str">
        <f>IF(ISERROR(FIND('112'!$M$9,G1000,1)),"",IF((AND(LEFT(G1000,2)=LEFT('112'!$M$9,2),B1000&lt;'112'!$K$9,$N1000='112'!$I$6)),"x",""))</f>
        <v/>
      </c>
      <c r="V1000" s="84" t="str">
        <f>IF(ISERROR(FIND('112'!$M$9,G1000,1)),"",IF((AND(RIGHT(G1000,2)=RIGHT('112'!$M$9,2),B1000&lt;'112'!$K$9,$O1000='112'!$I$6)),"x",""))</f>
        <v>x</v>
      </c>
      <c r="W1000" s="84" t="str">
        <f>IF(AND('341-CT'!$H$9=H1000,OR(LEFT(N1000,3)=$W$7,LEFT(O1000,3)=$W$7)),"x","")</f>
        <v/>
      </c>
      <c r="X1000" s="84" t="str">
        <f>IF(OR(TH!N1000=TH!$X$7,O1000=TH!$X$7),"x","")</f>
        <v/>
      </c>
      <c r="Y1000" s="84" t="str">
        <f>IF(AND(OR(N1000="131",O1000="131"),H1000='131-CT'!$H$9),"x","")</f>
        <v/>
      </c>
      <c r="Z1000" s="84"/>
      <c r="AA1000" s="84" t="str">
        <f>IF(AND(MONTH(E1000)='IN-NX'!$J$5,'IN-NX'!$D$7=D1000),"x","")</f>
        <v/>
      </c>
      <c r="AB1000" s="84" t="str">
        <f>IF(AND(OR(LEFT(TH!N1000,2)="15",LEFT(TH!O1000,2)="15"),LEFT(TH!O1000,3)&lt;&gt;"111",'152-CT'!$J$8=TH!F1000),"x","")</f>
        <v/>
      </c>
      <c r="AC1000" s="84" t="str">
        <f>IF(AND(OR(LEFT(TH!N1000,2)="15",LEFT(TH!O1000,2)="15"),TK!$E$7=TH!F1000),"x","")</f>
        <v/>
      </c>
      <c r="AD1000" s="84" t="str">
        <f>IF(AND(N1000="1521",MONTH(C1000)='BK-NL'!$M$11),"x","")</f>
        <v/>
      </c>
    </row>
    <row r="1001" spans="1:31" ht="15.75" hidden="1" customHeight="1">
      <c r="A1001" s="336" t="str">
        <f>IF(B1001&lt;&gt;"",IF(AND(B1001='IN-TC'!$S$4,OR(TH!N1001="1111",TH!O1001="1111")),TH!D1001,""),"")</f>
        <v/>
      </c>
      <c r="B1001" s="63">
        <f t="shared" si="170"/>
        <v>3</v>
      </c>
      <c r="C1001" s="318">
        <v>42431</v>
      </c>
      <c r="D1001" s="318" t="s">
        <v>877</v>
      </c>
      <c r="E1001" s="318">
        <v>42373</v>
      </c>
      <c r="F1001" s="514" t="s">
        <v>1152</v>
      </c>
      <c r="G1001" s="986" t="s">
        <v>1156</v>
      </c>
      <c r="H1001" s="73" t="s">
        <v>1155</v>
      </c>
      <c r="I1001" s="439"/>
      <c r="J1001" s="439"/>
      <c r="K1001" s="430"/>
      <c r="L1001" s="439"/>
      <c r="M1001" s="65">
        <v>16822500</v>
      </c>
      <c r="N1001" s="321" t="s">
        <v>162</v>
      </c>
      <c r="O1001" s="66" t="s">
        <v>63</v>
      </c>
      <c r="P1001" s="84" t="str">
        <f>IF(AND('331-CT'!$E$7=TH!H1001,OR(N1001="331",O1001="331")),"x","")</f>
        <v/>
      </c>
      <c r="Q1001" s="84" t="str">
        <f>IF(AND(B1001='111'!$L$11,OR($N1001=$Q$7,$O1001=$Q$7)),"x","")</f>
        <v/>
      </c>
      <c r="R1001" s="84" t="str">
        <f>IF(AND($N1001=$Q$7,$B1001&lt;'111'!$L$11),"x","")</f>
        <v/>
      </c>
      <c r="S1001" s="84" t="str">
        <f>IF(AND($O1001=$Q$7,$B1001&lt;'111'!$L$11),"x","")</f>
        <v/>
      </c>
      <c r="T1001" s="84" t="str">
        <f>IF(ISERROR(FIND('112'!$M$9,G1001,1)),"",IF((AND(FIND('112'!$M$9,G1001,1)&gt;=1,B1001='112'!$K$9,OR($N1001='112'!$I$6,$O1001='112'!$I$6))),"x",""))</f>
        <v/>
      </c>
      <c r="U1001" s="84" t="str">
        <f>IF(ISERROR(FIND('112'!$M$9,G1001,1)),"",IF((AND(LEFT(G1001,2)=LEFT('112'!$M$9,2),B1001&lt;'112'!$K$9,$N1001='112'!$I$6)),"x",""))</f>
        <v/>
      </c>
      <c r="V1001" s="84" t="str">
        <f>IF(ISERROR(FIND('112'!$M$9,G1001,1)),"",IF((AND(RIGHT(G1001,2)=RIGHT('112'!$M$9,2),B1001&lt;'112'!$K$9,$O1001='112'!$I$6)),"x",""))</f>
        <v/>
      </c>
      <c r="W1001" s="84" t="str">
        <f>IF(AND('341-CT'!$H$9=H1001,OR(LEFT(N1001,3)=$W$7,LEFT(O1001,3)=$W$7)),"x","")</f>
        <v/>
      </c>
      <c r="X1001" s="84" t="str">
        <f>IF(OR(TH!N1001=TH!$X$7,O1001=TH!$X$7),"x","")</f>
        <v/>
      </c>
      <c r="Y1001" s="84" t="str">
        <f>IF(AND(OR(N1001="131",O1001="131"),H1001='131-CT'!$H$9),"x","")</f>
        <v/>
      </c>
      <c r="Z1001" s="84"/>
      <c r="AA1001" s="84" t="str">
        <f>IF(AND(MONTH(E1001)='IN-NX'!$J$5,'IN-NX'!$D$7=D1001),"x","")</f>
        <v/>
      </c>
      <c r="AB1001" s="84" t="str">
        <f>IF(AND(OR(LEFT(TH!N1001,2)="15",LEFT(TH!O1001,2)="15"),LEFT(TH!O1001,3)&lt;&gt;"111",'152-CT'!$J$8=TH!F1001),"x","")</f>
        <v/>
      </c>
      <c r="AC1001" s="84" t="str">
        <f>IF(AND(OR(LEFT(TH!N1001,2)="15",LEFT(TH!O1001,2)="15"),TK!$E$7=TH!F1001),"x","")</f>
        <v/>
      </c>
      <c r="AD1001" s="84" t="str">
        <f>IF(AND(N1001="1521",MONTH(C1001)='BK-NL'!$M$11),"x","")</f>
        <v/>
      </c>
    </row>
    <row r="1002" spans="1:31" ht="15.75" hidden="1" customHeight="1">
      <c r="A1002" s="336" t="str">
        <f>IF(B1002&lt;&gt;"",IF(AND(B1002='IN-TC'!$S$4,OR(TH!N1002="1111",TH!O1002="1111")),TH!D1002,""),"")</f>
        <v/>
      </c>
      <c r="B1002" s="63">
        <f t="shared" si="170"/>
        <v>3</v>
      </c>
      <c r="C1002" s="318">
        <v>42431</v>
      </c>
      <c r="D1002" s="318" t="s">
        <v>877</v>
      </c>
      <c r="E1002" s="318">
        <v>42373</v>
      </c>
      <c r="F1002" s="514" t="s">
        <v>1153</v>
      </c>
      <c r="G1002" s="986" t="s">
        <v>1156</v>
      </c>
      <c r="H1002" s="73" t="s">
        <v>1155</v>
      </c>
      <c r="I1002" s="439"/>
      <c r="J1002" s="439"/>
      <c r="K1002" s="430"/>
      <c r="L1002" s="439"/>
      <c r="M1002" s="65">
        <v>1682250</v>
      </c>
      <c r="N1002" s="321" t="s">
        <v>9</v>
      </c>
      <c r="O1002" s="66" t="s">
        <v>63</v>
      </c>
      <c r="P1002" s="84" t="str">
        <f>IF(AND('331-CT'!$E$7=TH!H1002,OR(N1002="331",O1002="331")),"x","")</f>
        <v/>
      </c>
      <c r="Q1002" s="84" t="str">
        <f>IF(AND(B1002='111'!$L$11,OR($N1002=$Q$7,$O1002=$Q$7)),"x","")</f>
        <v/>
      </c>
      <c r="R1002" s="84" t="str">
        <f>IF(AND($N1002=$Q$7,$B1002&lt;'111'!$L$11),"x","")</f>
        <v/>
      </c>
      <c r="S1002" s="84" t="str">
        <f>IF(AND($O1002=$Q$7,$B1002&lt;'111'!$L$11),"x","")</f>
        <v/>
      </c>
      <c r="T1002" s="84" t="str">
        <f>IF(ISERROR(FIND('112'!$M$9,G1002,1)),"",IF((AND(FIND('112'!$M$9,G1002,1)&gt;=1,B1002='112'!$K$9,OR($N1002='112'!$I$6,$O1002='112'!$I$6))),"x",""))</f>
        <v/>
      </c>
      <c r="U1002" s="84" t="str">
        <f>IF(ISERROR(FIND('112'!$M$9,G1002,1)),"",IF((AND(LEFT(G1002,2)=LEFT('112'!$M$9,2),B1002&lt;'112'!$K$9,$N1002='112'!$I$6)),"x",""))</f>
        <v/>
      </c>
      <c r="V1002" s="84" t="str">
        <f>IF(ISERROR(FIND('112'!$M$9,G1002,1)),"",IF((AND(RIGHT(G1002,2)=RIGHT('112'!$M$9,2),B1002&lt;'112'!$K$9,$O1002='112'!$I$6)),"x",""))</f>
        <v/>
      </c>
      <c r="W1002" s="84" t="str">
        <f>IF(AND('341-CT'!$H$9=H1002,OR(LEFT(N1002,3)=$W$7,LEFT(O1002,3)=$W$7)),"x","")</f>
        <v/>
      </c>
      <c r="X1002" s="84" t="str">
        <f>IF(OR(TH!N1002=TH!$X$7,O1002=TH!$X$7),"x","")</f>
        <v/>
      </c>
      <c r="Y1002" s="84" t="str">
        <f>IF(AND(OR(N1002="131",O1002="131"),H1002='131-CT'!$H$9),"x","")</f>
        <v/>
      </c>
      <c r="Z1002" s="84"/>
      <c r="AA1002" s="84" t="str">
        <f>IF(AND(MONTH(E1002)='IN-NX'!$J$5,'IN-NX'!$D$7=D1002),"x","")</f>
        <v/>
      </c>
      <c r="AB1002" s="84" t="str">
        <f>IF(AND(OR(LEFT(TH!N1002,2)="15",LEFT(TH!O1002,2)="15"),LEFT(TH!O1002,3)&lt;&gt;"111",'152-CT'!$J$8=TH!F1002),"x","")</f>
        <v/>
      </c>
      <c r="AC1002" s="84" t="str">
        <f>IF(AND(OR(LEFT(TH!N1002,2)="15",LEFT(TH!O1002,2)="15"),TK!$E$7=TH!F1002),"x","")</f>
        <v/>
      </c>
      <c r="AD1002" s="84" t="str">
        <f>IF(AND(N1002="1521",MONTH(C1002)='BK-NL'!$M$11),"x","")</f>
        <v/>
      </c>
    </row>
    <row r="1003" spans="1:31" ht="15.75" hidden="1" customHeight="1">
      <c r="A1003" s="336" t="str">
        <f>IF(B1003&lt;&gt;"",IF(AND(B1003='IN-TC'!$S$4,OR(TH!N1003="1111",TH!O1003="1111")),TH!D1003,""),"")</f>
        <v/>
      </c>
      <c r="B1003" s="63">
        <f t="shared" si="170"/>
        <v>3</v>
      </c>
      <c r="C1003" s="318">
        <v>42431</v>
      </c>
      <c r="D1003" s="318" t="s">
        <v>878</v>
      </c>
      <c r="E1003" s="318">
        <v>42375</v>
      </c>
      <c r="F1003" s="514" t="s">
        <v>1157</v>
      </c>
      <c r="G1003" s="986" t="s">
        <v>1159</v>
      </c>
      <c r="H1003" s="73" t="s">
        <v>1160</v>
      </c>
      <c r="I1003" s="439"/>
      <c r="J1003" s="439"/>
      <c r="K1003" s="430"/>
      <c r="L1003" s="439"/>
      <c r="M1003" s="65">
        <v>18091920</v>
      </c>
      <c r="N1003" s="321" t="s">
        <v>162</v>
      </c>
      <c r="O1003" s="66" t="s">
        <v>63</v>
      </c>
      <c r="P1003" s="84" t="str">
        <f>IF(AND('331-CT'!$E$7=TH!H1003,OR(N1003="331",O1003="331")),"x","")</f>
        <v/>
      </c>
      <c r="Q1003" s="84" t="str">
        <f>IF(AND(B1003='111'!$L$11,OR($N1003=$Q$7,$O1003=$Q$7)),"x","")</f>
        <v/>
      </c>
      <c r="R1003" s="84" t="str">
        <f>IF(AND($N1003=$Q$7,$B1003&lt;'111'!$L$11),"x","")</f>
        <v/>
      </c>
      <c r="S1003" s="84" t="str">
        <f>IF(AND($O1003=$Q$7,$B1003&lt;'111'!$L$11),"x","")</f>
        <v/>
      </c>
      <c r="T1003" s="84" t="str">
        <f>IF(ISERROR(FIND('112'!$M$9,G1003,1)),"",IF((AND(FIND('112'!$M$9,G1003,1)&gt;=1,B1003='112'!$K$9,OR($N1003='112'!$I$6,$O1003='112'!$I$6))),"x",""))</f>
        <v/>
      </c>
      <c r="U1003" s="84" t="str">
        <f>IF(ISERROR(FIND('112'!$M$9,G1003,1)),"",IF((AND(LEFT(G1003,2)=LEFT('112'!$M$9,2),B1003&lt;'112'!$K$9,$N1003='112'!$I$6)),"x",""))</f>
        <v/>
      </c>
      <c r="V1003" s="84" t="str">
        <f>IF(ISERROR(FIND('112'!$M$9,G1003,1)),"",IF((AND(RIGHT(G1003,2)=RIGHT('112'!$M$9,2),B1003&lt;'112'!$K$9,$O1003='112'!$I$6)),"x",""))</f>
        <v/>
      </c>
      <c r="W1003" s="84" t="str">
        <f>IF(AND('341-CT'!$H$9=H1003,OR(LEFT(N1003,3)=$W$7,LEFT(O1003,3)=$W$7)),"x","")</f>
        <v/>
      </c>
      <c r="X1003" s="84" t="str">
        <f>IF(OR(TH!N1003=TH!$X$7,O1003=TH!$X$7),"x","")</f>
        <v/>
      </c>
      <c r="Y1003" s="84" t="str">
        <f>IF(AND(OR(N1003="131",O1003="131"),H1003='131-CT'!$H$9),"x","")</f>
        <v/>
      </c>
      <c r="Z1003" s="84"/>
      <c r="AA1003" s="84" t="str">
        <f>IF(AND(MONTH(E1003)='IN-NX'!$J$5,'IN-NX'!$D$7=D1003),"x","")</f>
        <v/>
      </c>
      <c r="AB1003" s="84" t="str">
        <f>IF(AND(OR(LEFT(TH!N1003,2)="15",LEFT(TH!O1003,2)="15"),LEFT(TH!O1003,3)&lt;&gt;"111",'152-CT'!$J$8=TH!F1003),"x","")</f>
        <v/>
      </c>
      <c r="AC1003" s="84" t="str">
        <f>IF(AND(OR(LEFT(TH!N1003,2)="15",LEFT(TH!O1003,2)="15"),TK!$E$7=TH!F1003),"x","")</f>
        <v/>
      </c>
      <c r="AD1003" s="84" t="str">
        <f>IF(AND(N1003="1521",MONTH(C1003)='BK-NL'!$M$11),"x","")</f>
        <v/>
      </c>
    </row>
    <row r="1004" spans="1:31" ht="15.75" hidden="1" customHeight="1">
      <c r="A1004" s="336" t="str">
        <f>IF(B1004&lt;&gt;"",IF(AND(B1004='IN-TC'!$S$4,OR(TH!N1004="1111",TH!O1004="1111")),TH!D1004,""),"")</f>
        <v/>
      </c>
      <c r="B1004" s="63">
        <f t="shared" si="170"/>
        <v>3</v>
      </c>
      <c r="C1004" s="318">
        <v>42431</v>
      </c>
      <c r="D1004" s="318" t="s">
        <v>878</v>
      </c>
      <c r="E1004" s="318">
        <v>42375</v>
      </c>
      <c r="F1004" s="514" t="s">
        <v>1158</v>
      </c>
      <c r="G1004" s="986" t="s">
        <v>1159</v>
      </c>
      <c r="H1004" s="73" t="s">
        <v>1160</v>
      </c>
      <c r="I1004" s="439"/>
      <c r="J1004" s="439"/>
      <c r="K1004" s="430"/>
      <c r="L1004" s="439"/>
      <c r="M1004" s="65">
        <v>1809192</v>
      </c>
      <c r="N1004" s="321" t="s">
        <v>9</v>
      </c>
      <c r="O1004" s="66" t="s">
        <v>63</v>
      </c>
      <c r="P1004" s="84" t="str">
        <f>IF(AND('331-CT'!$E$7=TH!H1004,OR(N1004="331",O1004="331")),"x","")</f>
        <v/>
      </c>
      <c r="Q1004" s="84" t="str">
        <f>IF(AND(B1004='111'!$L$11,OR($N1004=$Q$7,$O1004=$Q$7)),"x","")</f>
        <v/>
      </c>
      <c r="R1004" s="84" t="str">
        <f>IF(AND($N1004=$Q$7,$B1004&lt;'111'!$L$11),"x","")</f>
        <v/>
      </c>
      <c r="S1004" s="84" t="str">
        <f>IF(AND($O1004=$Q$7,$B1004&lt;'111'!$L$11),"x","")</f>
        <v/>
      </c>
      <c r="T1004" s="84" t="str">
        <f>IF(ISERROR(FIND('112'!$M$9,G1004,1)),"",IF((AND(FIND('112'!$M$9,G1004,1)&gt;=1,B1004='112'!$K$9,OR($N1004='112'!$I$6,$O1004='112'!$I$6))),"x",""))</f>
        <v/>
      </c>
      <c r="U1004" s="84" t="str">
        <f>IF(ISERROR(FIND('112'!$M$9,G1004,1)),"",IF((AND(LEFT(G1004,2)=LEFT('112'!$M$9,2),B1004&lt;'112'!$K$9,$N1004='112'!$I$6)),"x",""))</f>
        <v/>
      </c>
      <c r="V1004" s="84" t="str">
        <f>IF(ISERROR(FIND('112'!$M$9,G1004,1)),"",IF((AND(RIGHT(G1004,2)=RIGHT('112'!$M$9,2),B1004&lt;'112'!$K$9,$O1004='112'!$I$6)),"x",""))</f>
        <v/>
      </c>
      <c r="W1004" s="84" t="str">
        <f>IF(AND('341-CT'!$H$9=H1004,OR(LEFT(N1004,3)=$W$7,LEFT(O1004,3)=$W$7)),"x","")</f>
        <v/>
      </c>
      <c r="X1004" s="84" t="str">
        <f>IF(OR(TH!N1004=TH!$X$7,O1004=TH!$X$7),"x","")</f>
        <v/>
      </c>
      <c r="Y1004" s="84" t="str">
        <f>IF(AND(OR(N1004="131",O1004="131"),H1004='131-CT'!$H$9),"x","")</f>
        <v/>
      </c>
      <c r="Z1004" s="84"/>
      <c r="AA1004" s="84" t="str">
        <f>IF(AND(MONTH(E1004)='IN-NX'!$J$5,'IN-NX'!$D$7=D1004),"x","")</f>
        <v/>
      </c>
      <c r="AB1004" s="84" t="str">
        <f>IF(AND(OR(LEFT(TH!N1004,2)="15",LEFT(TH!O1004,2)="15"),LEFT(TH!O1004,3)&lt;&gt;"111",'152-CT'!$J$8=TH!F1004),"x","")</f>
        <v/>
      </c>
      <c r="AC1004" s="84" t="str">
        <f>IF(AND(OR(LEFT(TH!N1004,2)="15",LEFT(TH!O1004,2)="15"),TK!$E$7=TH!F1004),"x","")</f>
        <v/>
      </c>
      <c r="AD1004" s="84" t="str">
        <f>IF(AND(N1004="1521",MONTH(C1004)='BK-NL'!$M$11),"x","")</f>
        <v/>
      </c>
    </row>
    <row r="1005" spans="1:31" ht="15.75" hidden="1" customHeight="1">
      <c r="A1005" s="336" t="str">
        <f>IF(B1005&lt;&gt;"",IF(AND(B1005='IN-TC'!$S$4,OR(TH!N1005="1111",TH!O1005="1111")),TH!D1005,""),"")</f>
        <v/>
      </c>
      <c r="B1005" s="63">
        <f t="shared" si="170"/>
        <v>3</v>
      </c>
      <c r="C1005" s="318">
        <v>42431</v>
      </c>
      <c r="D1005" s="318" t="s">
        <v>879</v>
      </c>
      <c r="E1005" s="318">
        <v>42375</v>
      </c>
      <c r="F1005" s="514" t="s">
        <v>1161</v>
      </c>
      <c r="G1005" s="986" t="s">
        <v>1163</v>
      </c>
      <c r="H1005" s="73" t="s">
        <v>1164</v>
      </c>
      <c r="I1005" s="439"/>
      <c r="J1005" s="439"/>
      <c r="K1005" s="430"/>
      <c r="L1005" s="439"/>
      <c r="M1005" s="65">
        <v>18091200</v>
      </c>
      <c r="N1005" s="321" t="s">
        <v>162</v>
      </c>
      <c r="O1005" s="66" t="s">
        <v>63</v>
      </c>
      <c r="P1005" s="84" t="str">
        <f>IF(AND('331-CT'!$E$7=TH!H1005,OR(N1005="331",O1005="331")),"x","")</f>
        <v/>
      </c>
      <c r="Q1005" s="84" t="str">
        <f>IF(AND(B1005='111'!$L$11,OR($N1005=$Q$7,$O1005=$Q$7)),"x","")</f>
        <v/>
      </c>
      <c r="R1005" s="84" t="str">
        <f>IF(AND($N1005=$Q$7,$B1005&lt;'111'!$L$11),"x","")</f>
        <v/>
      </c>
      <c r="S1005" s="84" t="str">
        <f>IF(AND($O1005=$Q$7,$B1005&lt;'111'!$L$11),"x","")</f>
        <v/>
      </c>
      <c r="T1005" s="84" t="str">
        <f>IF(ISERROR(FIND('112'!$M$9,G1005,1)),"",IF((AND(FIND('112'!$M$9,G1005,1)&gt;=1,B1005='112'!$K$9,OR($N1005='112'!$I$6,$O1005='112'!$I$6))),"x",""))</f>
        <v/>
      </c>
      <c r="U1005" s="84" t="str">
        <f>IF(ISERROR(FIND('112'!$M$9,G1005,1)),"",IF((AND(LEFT(G1005,2)=LEFT('112'!$M$9,2),B1005&lt;'112'!$K$9,$N1005='112'!$I$6)),"x",""))</f>
        <v/>
      </c>
      <c r="V1005" s="84" t="str">
        <f>IF(ISERROR(FIND('112'!$M$9,G1005,1)),"",IF((AND(RIGHT(G1005,2)=RIGHT('112'!$M$9,2),B1005&lt;'112'!$K$9,$O1005='112'!$I$6)),"x",""))</f>
        <v/>
      </c>
      <c r="W1005" s="84" t="str">
        <f>IF(AND('341-CT'!$H$9=H1005,OR(LEFT(N1005,3)=$W$7,LEFT(O1005,3)=$W$7)),"x","")</f>
        <v/>
      </c>
      <c r="X1005" s="84" t="str">
        <f>IF(OR(TH!N1005=TH!$X$7,O1005=TH!$X$7),"x","")</f>
        <v/>
      </c>
      <c r="Y1005" s="84" t="str">
        <f>IF(AND(OR(N1005="131",O1005="131"),H1005='131-CT'!$H$9),"x","")</f>
        <v/>
      </c>
      <c r="Z1005" s="84"/>
      <c r="AA1005" s="84" t="str">
        <f>IF(AND(MONTH(E1005)='IN-NX'!$J$5,'IN-NX'!$D$7=D1005),"x","")</f>
        <v/>
      </c>
      <c r="AB1005" s="84" t="str">
        <f>IF(AND(OR(LEFT(TH!N1005,2)="15",LEFT(TH!O1005,2)="15"),LEFT(TH!O1005,3)&lt;&gt;"111",'152-CT'!$J$8=TH!F1005),"x","")</f>
        <v/>
      </c>
      <c r="AC1005" s="84" t="str">
        <f>IF(AND(OR(LEFT(TH!N1005,2)="15",LEFT(TH!O1005,2)="15"),TK!$E$7=TH!F1005),"x","")</f>
        <v/>
      </c>
      <c r="AD1005" s="84" t="str">
        <f>IF(AND(N1005="1521",MONTH(C1005)='BK-NL'!$M$11),"x","")</f>
        <v/>
      </c>
    </row>
    <row r="1006" spans="1:31" ht="15.75" hidden="1" customHeight="1">
      <c r="A1006" s="336" t="str">
        <f>IF(B1006&lt;&gt;"",IF(AND(B1006='IN-TC'!$S$4,OR(TH!N1006="1111",TH!O1006="1111")),TH!D1006,""),"")</f>
        <v/>
      </c>
      <c r="B1006" s="63">
        <f t="shared" si="170"/>
        <v>3</v>
      </c>
      <c r="C1006" s="318">
        <v>42431</v>
      </c>
      <c r="D1006" s="318" t="s">
        <v>879</v>
      </c>
      <c r="E1006" s="318">
        <v>42375</v>
      </c>
      <c r="F1006" s="514" t="s">
        <v>1162</v>
      </c>
      <c r="G1006" s="986" t="s">
        <v>1163</v>
      </c>
      <c r="H1006" s="73" t="s">
        <v>1164</v>
      </c>
      <c r="I1006" s="439"/>
      <c r="J1006" s="439"/>
      <c r="K1006" s="430"/>
      <c r="L1006" s="439"/>
      <c r="M1006" s="65">
        <v>1809120</v>
      </c>
      <c r="N1006" s="321" t="s">
        <v>9</v>
      </c>
      <c r="O1006" s="66" t="s">
        <v>63</v>
      </c>
      <c r="P1006" s="84" t="str">
        <f>IF(AND('331-CT'!$E$7=TH!H1006,OR(N1006="331",O1006="331")),"x","")</f>
        <v/>
      </c>
      <c r="Q1006" s="84" t="str">
        <f>IF(AND(B1006='111'!$L$11,OR($N1006=$Q$7,$O1006=$Q$7)),"x","")</f>
        <v/>
      </c>
      <c r="R1006" s="84" t="str">
        <f>IF(AND($N1006=$Q$7,$B1006&lt;'111'!$L$11),"x","")</f>
        <v/>
      </c>
      <c r="S1006" s="84" t="str">
        <f>IF(AND($O1006=$Q$7,$B1006&lt;'111'!$L$11),"x","")</f>
        <v/>
      </c>
      <c r="T1006" s="84" t="str">
        <f>IF(ISERROR(FIND('112'!$M$9,G1006,1)),"",IF((AND(FIND('112'!$M$9,G1006,1)&gt;=1,B1006='112'!$K$9,OR($N1006='112'!$I$6,$O1006='112'!$I$6))),"x",""))</f>
        <v/>
      </c>
      <c r="U1006" s="84" t="str">
        <f>IF(ISERROR(FIND('112'!$M$9,G1006,1)),"",IF((AND(LEFT(G1006,2)=LEFT('112'!$M$9,2),B1006&lt;'112'!$K$9,$N1006='112'!$I$6)),"x",""))</f>
        <v/>
      </c>
      <c r="V1006" s="84" t="str">
        <f>IF(ISERROR(FIND('112'!$M$9,G1006,1)),"",IF((AND(RIGHT(G1006,2)=RIGHT('112'!$M$9,2),B1006&lt;'112'!$K$9,$O1006='112'!$I$6)),"x",""))</f>
        <v/>
      </c>
      <c r="W1006" s="84" t="str">
        <f>IF(AND('341-CT'!$H$9=H1006,OR(LEFT(N1006,3)=$W$7,LEFT(O1006,3)=$W$7)),"x","")</f>
        <v/>
      </c>
      <c r="X1006" s="84" t="str">
        <f>IF(OR(TH!N1006=TH!$X$7,O1006=TH!$X$7),"x","")</f>
        <v/>
      </c>
      <c r="Y1006" s="84" t="str">
        <f>IF(AND(OR(N1006="131",O1006="131"),H1006='131-CT'!$H$9),"x","")</f>
        <v/>
      </c>
      <c r="Z1006" s="84"/>
      <c r="AA1006" s="84" t="str">
        <f>IF(AND(MONTH(E1006)='IN-NX'!$J$5,'IN-NX'!$D$7=D1006),"x","")</f>
        <v/>
      </c>
      <c r="AB1006" s="84" t="str">
        <f>IF(AND(OR(LEFT(TH!N1006,2)="15",LEFT(TH!O1006,2)="15"),LEFT(TH!O1006,3)&lt;&gt;"111",'152-CT'!$J$8=TH!F1006),"x","")</f>
        <v/>
      </c>
      <c r="AC1006" s="84" t="str">
        <f>IF(AND(OR(LEFT(TH!N1006,2)="15",LEFT(TH!O1006,2)="15"),TK!$E$7=TH!F1006),"x","")</f>
        <v/>
      </c>
      <c r="AD1006" s="84" t="str">
        <f>IF(AND(N1006="1521",MONTH(C1006)='BK-NL'!$M$11),"x","")</f>
        <v/>
      </c>
    </row>
    <row r="1007" spans="1:31" ht="15.75" hidden="1" customHeight="1">
      <c r="A1007" s="336" t="str">
        <f>IF(B1007&lt;&gt;"",IF(AND(B1007='IN-TC'!$S$4,OR(TH!N1007="1111",TH!O1007="1111")),TH!D1007,""),"")</f>
        <v/>
      </c>
      <c r="B1007" s="63">
        <f t="shared" si="170"/>
        <v>3</v>
      </c>
      <c r="C1007" s="318">
        <v>42431</v>
      </c>
      <c r="D1007" s="318" t="s">
        <v>880</v>
      </c>
      <c r="E1007" s="318">
        <v>42429</v>
      </c>
      <c r="F1007" s="514" t="s">
        <v>1382</v>
      </c>
      <c r="G1007" s="986" t="s">
        <v>1386</v>
      </c>
      <c r="H1007" s="73" t="s">
        <v>1385</v>
      </c>
      <c r="I1007" s="439"/>
      <c r="J1007" s="439"/>
      <c r="K1007" s="430"/>
      <c r="L1007" s="439"/>
      <c r="M1007" s="65">
        <v>16754250</v>
      </c>
      <c r="N1007" s="321" t="s">
        <v>101</v>
      </c>
      <c r="O1007" s="66" t="s">
        <v>63</v>
      </c>
      <c r="P1007" s="84" t="str">
        <f>IF(AND('331-CT'!$E$7=TH!H1007,OR(N1007="331",O1007="331")),"x","")</f>
        <v/>
      </c>
      <c r="Q1007" s="84" t="str">
        <f>IF(AND(B1007='111'!$L$11,OR($N1007=$Q$7,$O1007=$Q$7)),"x","")</f>
        <v/>
      </c>
      <c r="R1007" s="84" t="str">
        <f>IF(AND($N1007=$Q$7,$B1007&lt;'111'!$L$11),"x","")</f>
        <v/>
      </c>
      <c r="S1007" s="84" t="str">
        <f>IF(AND($O1007=$Q$7,$B1007&lt;'111'!$L$11),"x","")</f>
        <v/>
      </c>
      <c r="T1007" s="84" t="str">
        <f>IF(ISERROR(FIND('112'!$M$9,G1007,1)),"",IF((AND(FIND('112'!$M$9,G1007,1)&gt;=1,B1007='112'!$K$9,OR($N1007='112'!$I$6,$O1007='112'!$I$6))),"x",""))</f>
        <v/>
      </c>
      <c r="U1007" s="84" t="str">
        <f>IF(ISERROR(FIND('112'!$M$9,G1007,1)),"",IF((AND(LEFT(G1007,2)=LEFT('112'!$M$9,2),B1007&lt;'112'!$K$9,$N1007='112'!$I$6)),"x",""))</f>
        <v/>
      </c>
      <c r="V1007" s="84" t="str">
        <f>IF(ISERROR(FIND('112'!$M$9,G1007,1)),"",IF((AND(RIGHT(G1007,2)=RIGHT('112'!$M$9,2),B1007&lt;'112'!$K$9,$O1007='112'!$I$6)),"x",""))</f>
        <v/>
      </c>
      <c r="W1007" s="84" t="str">
        <f>IF(AND('341-CT'!$H$9=H1007,OR(LEFT(N1007,3)=$W$7,LEFT(O1007,3)=$W$7)),"x","")</f>
        <v/>
      </c>
      <c r="X1007" s="84" t="str">
        <f>IF(OR(TH!N1007=TH!$X$7,O1007=TH!$X$7),"x","")</f>
        <v/>
      </c>
      <c r="Y1007" s="84" t="str">
        <f>IF(AND(OR(N1007="131",O1007="131"),H1007='131-CT'!$H$9),"x","")</f>
        <v/>
      </c>
      <c r="Z1007" s="84"/>
      <c r="AA1007" s="84" t="str">
        <f>IF(AND(MONTH(E1007)='IN-NX'!$J$5,'IN-NX'!$D$7=D1007),"x","")</f>
        <v/>
      </c>
      <c r="AB1007" s="84" t="str">
        <f>IF(AND(OR(LEFT(TH!N1007,2)="15",LEFT(TH!O1007,2)="15"),LEFT(TH!O1007,3)&lt;&gt;"111",'152-CT'!$J$8=TH!F1007),"x","")</f>
        <v/>
      </c>
      <c r="AC1007" s="84" t="str">
        <f>IF(AND(OR(LEFT(TH!N1007,2)="15",LEFT(TH!O1007,2)="15"),TK!$E$7=TH!F1007),"x","")</f>
        <v/>
      </c>
      <c r="AD1007" s="84" t="str">
        <f>IF(AND(N1007="1521",MONTH(C1007)='BK-NL'!$M$11),"x","")</f>
        <v/>
      </c>
    </row>
    <row r="1008" spans="1:31" ht="15.75" hidden="1" customHeight="1">
      <c r="A1008" s="336" t="str">
        <f>IF(B1008&lt;&gt;"",IF(AND(B1008='IN-TC'!$S$4,OR(TH!N1008="1111",TH!O1008="1111")),TH!D1008,""),"")</f>
        <v/>
      </c>
      <c r="B1008" s="63">
        <f t="shared" si="170"/>
        <v>3</v>
      </c>
      <c r="C1008" s="318">
        <v>42431</v>
      </c>
      <c r="D1008" s="318" t="s">
        <v>880</v>
      </c>
      <c r="E1008" s="318">
        <v>42429</v>
      </c>
      <c r="F1008" s="514" t="s">
        <v>1383</v>
      </c>
      <c r="G1008" s="986" t="s">
        <v>1386</v>
      </c>
      <c r="H1008" s="73" t="s">
        <v>1385</v>
      </c>
      <c r="I1008" s="439"/>
      <c r="J1008" s="439"/>
      <c r="K1008" s="430"/>
      <c r="L1008" s="439"/>
      <c r="M1008" s="65">
        <v>1017425</v>
      </c>
      <c r="N1008" s="321" t="s">
        <v>9</v>
      </c>
      <c r="O1008" s="66" t="s">
        <v>63</v>
      </c>
      <c r="P1008" s="84" t="str">
        <f>IF(AND('331-CT'!$E$7=TH!H1008,OR(N1008="331",O1008="331")),"x","")</f>
        <v/>
      </c>
      <c r="Q1008" s="84" t="str">
        <f>IF(AND(B1008='111'!$L$11,OR($N1008=$Q$7,$O1008=$Q$7)),"x","")</f>
        <v/>
      </c>
      <c r="R1008" s="84" t="str">
        <f>IF(AND($N1008=$Q$7,$B1008&lt;'111'!$L$11),"x","")</f>
        <v/>
      </c>
      <c r="S1008" s="84" t="str">
        <f>IF(AND($O1008=$Q$7,$B1008&lt;'111'!$L$11),"x","")</f>
        <v/>
      </c>
      <c r="T1008" s="84" t="str">
        <f>IF(ISERROR(FIND('112'!$M$9,G1008,1)),"",IF((AND(FIND('112'!$M$9,G1008,1)&gt;=1,B1008='112'!$K$9,OR($N1008='112'!$I$6,$O1008='112'!$I$6))),"x",""))</f>
        <v/>
      </c>
      <c r="U1008" s="84" t="str">
        <f>IF(ISERROR(FIND('112'!$M$9,G1008,1)),"",IF((AND(LEFT(G1008,2)=LEFT('112'!$M$9,2),B1008&lt;'112'!$K$9,$N1008='112'!$I$6)),"x",""))</f>
        <v/>
      </c>
      <c r="V1008" s="84" t="str">
        <f>IF(ISERROR(FIND('112'!$M$9,G1008,1)),"",IF((AND(RIGHT(G1008,2)=RIGHT('112'!$M$9,2),B1008&lt;'112'!$K$9,$O1008='112'!$I$6)),"x",""))</f>
        <v/>
      </c>
      <c r="W1008" s="84" t="str">
        <f>IF(AND('341-CT'!$H$9=H1008,OR(LEFT(N1008,3)=$W$7,LEFT(O1008,3)=$W$7)),"x","")</f>
        <v/>
      </c>
      <c r="X1008" s="84" t="str">
        <f>IF(OR(TH!N1008=TH!$X$7,O1008=TH!$X$7),"x","")</f>
        <v/>
      </c>
      <c r="Y1008" s="84" t="str">
        <f>IF(AND(OR(N1008="131",O1008="131"),H1008='131-CT'!$H$9),"x","")</f>
        <v/>
      </c>
      <c r="Z1008" s="84"/>
      <c r="AA1008" s="84" t="str">
        <f>IF(AND(MONTH(E1008)='IN-NX'!$J$5,'IN-NX'!$D$7=D1008),"x","")</f>
        <v/>
      </c>
      <c r="AB1008" s="84" t="str">
        <f>IF(AND(OR(LEFT(TH!N1008,2)="15",LEFT(TH!O1008,2)="15"),LEFT(TH!O1008,3)&lt;&gt;"111",'152-CT'!$J$8=TH!F1008),"x","")</f>
        <v/>
      </c>
      <c r="AC1008" s="84" t="str">
        <f>IF(AND(OR(LEFT(TH!N1008,2)="15",LEFT(TH!O1008,2)="15"),TK!$E$7=TH!F1008),"x","")</f>
        <v/>
      </c>
      <c r="AD1008" s="84" t="str">
        <f>IF(AND(N1008="1521",MONTH(C1008)='BK-NL'!$M$11),"x","")</f>
        <v/>
      </c>
    </row>
    <row r="1009" spans="1:31" ht="15.75" hidden="1" customHeight="1">
      <c r="A1009" s="336" t="str">
        <f>IF(B1009&lt;&gt;"",IF(AND(B1009='IN-TC'!$S$4,OR(TH!N1009="1111",TH!O1009="1111")),TH!D1009,""),"")</f>
        <v/>
      </c>
      <c r="B1009" s="63">
        <f t="shared" si="170"/>
        <v>3</v>
      </c>
      <c r="C1009" s="318">
        <v>42433</v>
      </c>
      <c r="D1009" s="318" t="s">
        <v>881</v>
      </c>
      <c r="E1009" s="318">
        <v>42433</v>
      </c>
      <c r="F1009" s="514" t="s">
        <v>791</v>
      </c>
      <c r="G1009" s="986" t="s">
        <v>1115</v>
      </c>
      <c r="H1009" s="320" t="s">
        <v>1109</v>
      </c>
      <c r="I1009" s="443"/>
      <c r="J1009" s="443"/>
      <c r="K1009" s="434"/>
      <c r="L1009" s="443"/>
      <c r="M1009" s="65">
        <f>444164+656818</f>
        <v>1100982</v>
      </c>
      <c r="N1009" s="321" t="s">
        <v>101</v>
      </c>
      <c r="O1009" s="66" t="s">
        <v>63</v>
      </c>
      <c r="P1009" s="84" t="str">
        <f>IF(AND('331-CT'!$E$7=TH!H1009,OR(N1009="331",O1009="331")),"x","")</f>
        <v/>
      </c>
      <c r="Q1009" s="84" t="str">
        <f>IF(AND(B1009='111'!$L$11,OR($N1009=$Q$7,$O1009=$Q$7)),"x","")</f>
        <v/>
      </c>
      <c r="R1009" s="84" t="str">
        <f>IF(AND($N1009=$Q$7,$B1009&lt;'111'!$L$11),"x","")</f>
        <v/>
      </c>
      <c r="S1009" s="84" t="str">
        <f>IF(AND($O1009=$Q$7,$B1009&lt;'111'!$L$11),"x","")</f>
        <v/>
      </c>
      <c r="T1009" s="84" t="str">
        <f>IF(ISERROR(FIND('112'!$M$9,G1009,1)),"",IF((AND(FIND('112'!$M$9,G1009,1)&gt;=1,B1009='112'!$K$9,OR($N1009='112'!$I$6,$O1009='112'!$I$6))),"x",""))</f>
        <v/>
      </c>
      <c r="U1009" s="84" t="str">
        <f>IF(ISERROR(FIND('112'!$M$9,G1009,1)),"",IF((AND(LEFT(G1009,2)=LEFT('112'!$M$9,2),B1009&lt;'112'!$K$9,$N1009='112'!$I$6)),"x",""))</f>
        <v/>
      </c>
      <c r="V1009" s="84" t="str">
        <f>IF(ISERROR(FIND('112'!$M$9,G1009,1)),"",IF((AND(RIGHT(G1009,2)=RIGHT('112'!$M$9,2),B1009&lt;'112'!$K$9,$O1009='112'!$I$6)),"x",""))</f>
        <v/>
      </c>
      <c r="W1009" s="84" t="str">
        <f>IF(AND('341-CT'!$H$9=H1009,OR(LEFT(N1009,3)=$W$7,LEFT(O1009,3)=$W$7)),"x","")</f>
        <v/>
      </c>
      <c r="X1009" s="84" t="str">
        <f>IF(OR(TH!N1009=TH!$X$7,O1009=TH!$X$7),"x","")</f>
        <v/>
      </c>
      <c r="Y1009" s="84" t="str">
        <f>IF(AND(OR(N1009="131",O1009="131"),H1009='131-CT'!$H$9),"x","")</f>
        <v/>
      </c>
      <c r="Z1009" s="84"/>
      <c r="AA1009" s="84" t="str">
        <f>IF(AND(MONTH(E1009)='IN-NX'!$J$5,'IN-NX'!$D$7=D1009),"x","")</f>
        <v/>
      </c>
      <c r="AB1009" s="84" t="str">
        <f>IF(AND(OR(LEFT(TH!N1009,2)="15",LEFT(TH!O1009,2)="15"),LEFT(TH!O1009,3)&lt;&gt;"111",'152-CT'!$J$8=TH!F1009),"x","")</f>
        <v/>
      </c>
      <c r="AC1009" s="84" t="str">
        <f>IF(AND(OR(LEFT(TH!N1009,2)="15",LEFT(TH!O1009,2)="15"),TK!$E$7=TH!F1009),"x","")</f>
        <v/>
      </c>
      <c r="AD1009" s="84" t="str">
        <f>IF(AND(N1009="1521",MONTH(C1009)='BK-NL'!$M$11),"x","")</f>
        <v/>
      </c>
    </row>
    <row r="1010" spans="1:31" ht="15.75" hidden="1" customHeight="1">
      <c r="A1010" s="336" t="str">
        <f>IF(B1010&lt;&gt;"",IF(AND(B1010='IN-TC'!$S$4,OR(TH!N1010="1111",TH!O1010="1111")),TH!D1010,""),"")</f>
        <v/>
      </c>
      <c r="B1010" s="63">
        <f t="shared" si="170"/>
        <v>3</v>
      </c>
      <c r="C1010" s="318">
        <v>42433</v>
      </c>
      <c r="D1010" s="318" t="s">
        <v>881</v>
      </c>
      <c r="E1010" s="318">
        <v>42433</v>
      </c>
      <c r="F1010" s="514" t="s">
        <v>1016</v>
      </c>
      <c r="G1010" s="986" t="s">
        <v>1115</v>
      </c>
      <c r="H1010" s="320" t="s">
        <v>1109</v>
      </c>
      <c r="I1010" s="439"/>
      <c r="J1010" s="439"/>
      <c r="K1010" s="430"/>
      <c r="L1010" s="439"/>
      <c r="M1010" s="65">
        <v>110098</v>
      </c>
      <c r="N1010" s="321" t="s">
        <v>9</v>
      </c>
      <c r="O1010" s="66" t="s">
        <v>63</v>
      </c>
      <c r="P1010" s="84" t="str">
        <f>IF(AND('331-CT'!$E$7=TH!H1010,OR(N1010="331",O1010="331")),"x","")</f>
        <v/>
      </c>
      <c r="Q1010" s="84" t="str">
        <f>IF(AND(B1010='111'!$L$11,OR($N1010=$Q$7,$O1010=$Q$7)),"x","")</f>
        <v/>
      </c>
      <c r="R1010" s="84" t="str">
        <f>IF(AND($N1010=$Q$7,$B1010&lt;'111'!$L$11),"x","")</f>
        <v/>
      </c>
      <c r="S1010" s="84" t="str">
        <f>IF(AND($O1010=$Q$7,$B1010&lt;'111'!$L$11),"x","")</f>
        <v/>
      </c>
      <c r="T1010" s="84" t="str">
        <f>IF(ISERROR(FIND('112'!$M$9,G1010,1)),"",IF((AND(FIND('112'!$M$9,G1010,1)&gt;=1,B1010='112'!$K$9,OR($N1010='112'!$I$6,$O1010='112'!$I$6))),"x",""))</f>
        <v/>
      </c>
      <c r="U1010" s="84" t="str">
        <f>IF(ISERROR(FIND('112'!$M$9,G1010,1)),"",IF((AND(LEFT(G1010,2)=LEFT('112'!$M$9,2),B1010&lt;'112'!$K$9,$N1010='112'!$I$6)),"x",""))</f>
        <v/>
      </c>
      <c r="V1010" s="84" t="str">
        <f>IF(ISERROR(FIND('112'!$M$9,G1010,1)),"",IF((AND(RIGHT(G1010,2)=RIGHT('112'!$M$9,2),B1010&lt;'112'!$K$9,$O1010='112'!$I$6)),"x",""))</f>
        <v/>
      </c>
      <c r="W1010" s="84" t="str">
        <f>IF(AND('341-CT'!$H$9=H1010,OR(LEFT(N1010,3)=$W$7,LEFT(O1010,3)=$W$7)),"x","")</f>
        <v/>
      </c>
      <c r="X1010" s="84" t="str">
        <f>IF(OR(TH!N1010=TH!$X$7,O1010=TH!$X$7),"x","")</f>
        <v/>
      </c>
      <c r="Y1010" s="84" t="str">
        <f>IF(AND(OR(N1010="131",O1010="131"),H1010='131-CT'!$H$9),"x","")</f>
        <v/>
      </c>
      <c r="Z1010" s="84"/>
      <c r="AA1010" s="84" t="str">
        <f>IF(AND(MONTH(E1010)='IN-NX'!$J$5,'IN-NX'!$D$7=D1010),"x","")</f>
        <v/>
      </c>
      <c r="AB1010" s="84" t="str">
        <f>IF(AND(OR(LEFT(TH!N1010,2)="15",LEFT(TH!O1010,2)="15"),LEFT(TH!O1010,3)&lt;&gt;"111",'152-CT'!$J$8=TH!F1010),"x","")</f>
        <v/>
      </c>
      <c r="AC1010" s="84" t="str">
        <f>IF(AND(OR(LEFT(TH!N1010,2)="15",LEFT(TH!O1010,2)="15"),TK!$E$7=TH!F1010),"x","")</f>
        <v/>
      </c>
      <c r="AD1010" s="84" t="str">
        <f>IF(AND(N1010="1521",MONTH(C1010)='BK-NL'!$M$11),"x","")</f>
        <v/>
      </c>
    </row>
    <row r="1011" spans="1:31" ht="15.75" hidden="1" customHeight="1">
      <c r="A1011" s="336" t="str">
        <f>IF(B1011&lt;&gt;"",IF(AND(B1011='IN-TC'!$S$4,OR(TH!N1011="1111",TH!O1011="1111")),TH!D1011,""),"")</f>
        <v/>
      </c>
      <c r="B1011" s="63">
        <f t="shared" si="170"/>
        <v>3</v>
      </c>
      <c r="C1011" s="318">
        <v>42433</v>
      </c>
      <c r="D1011" s="318" t="s">
        <v>882</v>
      </c>
      <c r="E1011" s="318">
        <v>42377</v>
      </c>
      <c r="F1011" s="514" t="s">
        <v>1152</v>
      </c>
      <c r="G1011" s="986" t="s">
        <v>1165</v>
      </c>
      <c r="H1011" s="73" t="s">
        <v>1155</v>
      </c>
      <c r="I1011" s="439"/>
      <c r="J1011" s="439"/>
      <c r="K1011" s="430"/>
      <c r="L1011" s="439"/>
      <c r="M1011" s="65">
        <v>17272500</v>
      </c>
      <c r="N1011" s="321" t="s">
        <v>162</v>
      </c>
      <c r="O1011" s="66" t="s">
        <v>63</v>
      </c>
      <c r="P1011" s="84" t="str">
        <f>IF(AND('331-CT'!$E$7=TH!H1011,OR(N1011="331",O1011="331")),"x","")</f>
        <v/>
      </c>
      <c r="Q1011" s="84" t="str">
        <f>IF(AND(B1011='111'!$L$11,OR($N1011=$Q$7,$O1011=$Q$7)),"x","")</f>
        <v/>
      </c>
      <c r="R1011" s="84" t="str">
        <f>IF(AND($N1011=$Q$7,$B1011&lt;'111'!$L$11),"x","")</f>
        <v/>
      </c>
      <c r="S1011" s="84" t="str">
        <f>IF(AND($O1011=$Q$7,$B1011&lt;'111'!$L$11),"x","")</f>
        <v/>
      </c>
      <c r="T1011" s="84" t="str">
        <f>IF(ISERROR(FIND('112'!$M$9,G1011,1)),"",IF((AND(FIND('112'!$M$9,G1011,1)&gt;=1,B1011='112'!$K$9,OR($N1011='112'!$I$6,$O1011='112'!$I$6))),"x",""))</f>
        <v/>
      </c>
      <c r="U1011" s="84" t="str">
        <f>IF(ISERROR(FIND('112'!$M$9,G1011,1)),"",IF((AND(LEFT(G1011,2)=LEFT('112'!$M$9,2),B1011&lt;'112'!$K$9,$N1011='112'!$I$6)),"x",""))</f>
        <v/>
      </c>
      <c r="V1011" s="84" t="str">
        <f>IF(ISERROR(FIND('112'!$M$9,G1011,1)),"",IF((AND(RIGHT(G1011,2)=RIGHT('112'!$M$9,2),B1011&lt;'112'!$K$9,$O1011='112'!$I$6)),"x",""))</f>
        <v/>
      </c>
      <c r="W1011" s="84" t="str">
        <f>IF(AND('341-CT'!$H$9=H1011,OR(LEFT(N1011,3)=$W$7,LEFT(O1011,3)=$W$7)),"x","")</f>
        <v/>
      </c>
      <c r="X1011" s="84" t="str">
        <f>IF(OR(TH!N1011=TH!$X$7,O1011=TH!$X$7),"x","")</f>
        <v/>
      </c>
      <c r="Y1011" s="84" t="str">
        <f>IF(AND(OR(N1011="131",O1011="131"),H1011='131-CT'!$H$9),"x","")</f>
        <v/>
      </c>
      <c r="Z1011" s="84"/>
      <c r="AA1011" s="84" t="str">
        <f>IF(AND(MONTH(E1011)='IN-NX'!$J$5,'IN-NX'!$D$7=D1011),"x","")</f>
        <v/>
      </c>
      <c r="AB1011" s="84" t="str">
        <f>IF(AND(OR(LEFT(TH!N1011,2)="15",LEFT(TH!O1011,2)="15"),LEFT(TH!O1011,3)&lt;&gt;"111",'152-CT'!$J$8=TH!F1011),"x","")</f>
        <v/>
      </c>
      <c r="AC1011" s="84" t="str">
        <f>IF(AND(OR(LEFT(TH!N1011,2)="15",LEFT(TH!O1011,2)="15"),TK!$E$7=TH!F1011),"x","")</f>
        <v/>
      </c>
      <c r="AD1011" s="84" t="str">
        <f>IF(AND(N1011="1521",MONTH(C1011)='BK-NL'!$M$11),"x","")</f>
        <v/>
      </c>
    </row>
    <row r="1012" spans="1:31" ht="15.75" hidden="1" customHeight="1">
      <c r="A1012" s="336" t="str">
        <f>IF(B1012&lt;&gt;"",IF(AND(B1012='IN-TC'!$S$4,OR(TH!N1012="1111",TH!O1012="1111")),TH!D1012,""),"")</f>
        <v/>
      </c>
      <c r="B1012" s="63">
        <f t="shared" si="170"/>
        <v>3</v>
      </c>
      <c r="C1012" s="318">
        <v>42433</v>
      </c>
      <c r="D1012" s="318" t="s">
        <v>882</v>
      </c>
      <c r="E1012" s="318">
        <v>42377</v>
      </c>
      <c r="F1012" s="514" t="s">
        <v>1153</v>
      </c>
      <c r="G1012" s="986" t="s">
        <v>1165</v>
      </c>
      <c r="H1012" s="73" t="s">
        <v>1155</v>
      </c>
      <c r="I1012" s="439"/>
      <c r="J1012" s="439"/>
      <c r="K1012" s="430"/>
      <c r="L1012" s="439"/>
      <c r="M1012" s="65">
        <v>1727250</v>
      </c>
      <c r="N1012" s="321" t="s">
        <v>9</v>
      </c>
      <c r="O1012" s="66" t="s">
        <v>63</v>
      </c>
      <c r="P1012" s="84" t="str">
        <f>IF(AND('331-CT'!$E$7=TH!H1012,OR(N1012="331",O1012="331")),"x","")</f>
        <v/>
      </c>
      <c r="Q1012" s="84" t="str">
        <f>IF(AND(B1012='111'!$L$11,OR($N1012=$Q$7,$O1012=$Q$7)),"x","")</f>
        <v/>
      </c>
      <c r="R1012" s="84" t="str">
        <f>IF(AND($N1012=$Q$7,$B1012&lt;'111'!$L$11),"x","")</f>
        <v/>
      </c>
      <c r="S1012" s="84" t="str">
        <f>IF(AND($O1012=$Q$7,$B1012&lt;'111'!$L$11),"x","")</f>
        <v/>
      </c>
      <c r="T1012" s="84" t="str">
        <f>IF(ISERROR(FIND('112'!$M$9,G1012,1)),"",IF((AND(FIND('112'!$M$9,G1012,1)&gt;=1,B1012='112'!$K$9,OR($N1012='112'!$I$6,$O1012='112'!$I$6))),"x",""))</f>
        <v/>
      </c>
      <c r="U1012" s="84" t="str">
        <f>IF(ISERROR(FIND('112'!$M$9,G1012,1)),"",IF((AND(LEFT(G1012,2)=LEFT('112'!$M$9,2),B1012&lt;'112'!$K$9,$N1012='112'!$I$6)),"x",""))</f>
        <v/>
      </c>
      <c r="V1012" s="84" t="str">
        <f>IF(ISERROR(FIND('112'!$M$9,G1012,1)),"",IF((AND(RIGHT(G1012,2)=RIGHT('112'!$M$9,2),B1012&lt;'112'!$K$9,$O1012='112'!$I$6)),"x",""))</f>
        <v/>
      </c>
      <c r="W1012" s="84" t="str">
        <f>IF(AND('341-CT'!$H$9=H1012,OR(LEFT(N1012,3)=$W$7,LEFT(O1012,3)=$W$7)),"x","")</f>
        <v/>
      </c>
      <c r="X1012" s="84" t="str">
        <f>IF(OR(TH!N1012=TH!$X$7,O1012=TH!$X$7),"x","")</f>
        <v/>
      </c>
      <c r="Y1012" s="84" t="str">
        <f>IF(AND(OR(N1012="131",O1012="131"),H1012='131-CT'!$H$9),"x","")</f>
        <v/>
      </c>
      <c r="Z1012" s="84"/>
      <c r="AA1012" s="84" t="str">
        <f>IF(AND(MONTH(E1012)='IN-NX'!$J$5,'IN-NX'!$D$7=D1012),"x","")</f>
        <v/>
      </c>
      <c r="AB1012" s="84" t="str">
        <f>IF(AND(OR(LEFT(TH!N1012,2)="15",LEFT(TH!O1012,2)="15"),LEFT(TH!O1012,3)&lt;&gt;"111",'152-CT'!$J$8=TH!F1012),"x","")</f>
        <v/>
      </c>
      <c r="AC1012" s="84" t="str">
        <f>IF(AND(OR(LEFT(TH!N1012,2)="15",LEFT(TH!O1012,2)="15"),TK!$E$7=TH!F1012),"x","")</f>
        <v/>
      </c>
      <c r="AD1012" s="84" t="str">
        <f>IF(AND(N1012="1521",MONTH(C1012)='BK-NL'!$M$11),"x","")</f>
        <v/>
      </c>
    </row>
    <row r="1013" spans="1:31" ht="15.75" hidden="1" customHeight="1">
      <c r="A1013" s="336" t="str">
        <f>IF(B1013&lt;&gt;"",IF(AND(B1013='IN-TC'!$S$4,OR(TH!N1013="1111",TH!O1013="1111")),TH!D1013,""),"")</f>
        <v/>
      </c>
      <c r="B1013" s="63">
        <f t="shared" si="170"/>
        <v>3</v>
      </c>
      <c r="C1013" s="318">
        <v>42434</v>
      </c>
      <c r="D1013" s="318" t="s">
        <v>883</v>
      </c>
      <c r="E1013" s="318">
        <v>42434</v>
      </c>
      <c r="F1013" s="514" t="s">
        <v>1150</v>
      </c>
      <c r="G1013" s="986" t="s">
        <v>1151</v>
      </c>
      <c r="H1013" s="320" t="s">
        <v>846</v>
      </c>
      <c r="I1013" s="439"/>
      <c r="J1013" s="439"/>
      <c r="K1013" s="430"/>
      <c r="L1013" s="439"/>
      <c r="M1013" s="65">
        <v>1911132</v>
      </c>
      <c r="N1013" s="321" t="s">
        <v>101</v>
      </c>
      <c r="O1013" s="66" t="s">
        <v>63</v>
      </c>
      <c r="P1013" s="84" t="str">
        <f>IF(AND('331-CT'!$E$7=TH!H1013,OR(N1013="331",O1013="331")),"x","")</f>
        <v/>
      </c>
      <c r="Q1013" s="84" t="str">
        <f>IF(AND(B1013='111'!$L$11,OR($N1013=$Q$7,$O1013=$Q$7)),"x","")</f>
        <v/>
      </c>
      <c r="R1013" s="84" t="str">
        <f>IF(AND($N1013=$Q$7,$B1013&lt;'111'!$L$11),"x","")</f>
        <v/>
      </c>
      <c r="S1013" s="84" t="str">
        <f>IF(AND($O1013=$Q$7,$B1013&lt;'111'!$L$11),"x","")</f>
        <v/>
      </c>
      <c r="T1013" s="84" t="str">
        <f>IF(ISERROR(FIND('112'!$M$9,G1013,1)),"",IF((AND(FIND('112'!$M$9,G1013,1)&gt;=1,B1013='112'!$K$9,OR($N1013='112'!$I$6,$O1013='112'!$I$6))),"x",""))</f>
        <v/>
      </c>
      <c r="U1013" s="84" t="str">
        <f>IF(ISERROR(FIND('112'!$M$9,G1013,1)),"",IF((AND(LEFT(G1013,2)=LEFT('112'!$M$9,2),B1013&lt;'112'!$K$9,$N1013='112'!$I$6)),"x",""))</f>
        <v/>
      </c>
      <c r="V1013" s="84" t="str">
        <f>IF(ISERROR(FIND('112'!$M$9,G1013,1)),"",IF((AND(RIGHT(G1013,2)=RIGHT('112'!$M$9,2),B1013&lt;'112'!$K$9,$O1013='112'!$I$6)),"x",""))</f>
        <v/>
      </c>
      <c r="W1013" s="84" t="str">
        <f>IF(AND('341-CT'!$H$9=H1013,OR(LEFT(N1013,3)=$W$7,LEFT(O1013,3)=$W$7)),"x","")</f>
        <v/>
      </c>
      <c r="X1013" s="84" t="str">
        <f>IF(OR(TH!N1013=TH!$X$7,O1013=TH!$X$7),"x","")</f>
        <v/>
      </c>
      <c r="Y1013" s="84" t="str">
        <f>IF(AND(OR(N1013="131",O1013="131"),H1013='131-CT'!$H$9),"x","")</f>
        <v/>
      </c>
      <c r="Z1013" s="84"/>
      <c r="AA1013" s="84" t="str">
        <f>IF(AND(MONTH(E1013)='IN-NX'!$J$5,'IN-NX'!$D$7=D1013),"x","")</f>
        <v/>
      </c>
      <c r="AB1013" s="84" t="str">
        <f>IF(AND(OR(LEFT(TH!N1013,2)="15",LEFT(TH!O1013,2)="15"),LEFT(TH!O1013,3)&lt;&gt;"111",'152-CT'!$J$8=TH!F1013),"x","")</f>
        <v/>
      </c>
      <c r="AC1013" s="84" t="str">
        <f>IF(AND(OR(LEFT(TH!N1013,2)="15",LEFT(TH!O1013,2)="15"),TK!$E$7=TH!F1013),"x","")</f>
        <v/>
      </c>
      <c r="AD1013" s="84" t="str">
        <f>IF(AND(N1013="1521",MONTH(C1013)='BK-NL'!$M$11),"x","")</f>
        <v/>
      </c>
    </row>
    <row r="1014" spans="1:31" ht="15.75" hidden="1" customHeight="1">
      <c r="A1014" s="336" t="str">
        <f>IF(B1014&lt;&gt;"",IF(AND(B1014='IN-TC'!$S$4,OR(TH!N1014="1111",TH!O1014="1111")),TH!D1014,""),"")</f>
        <v/>
      </c>
      <c r="B1014" s="63">
        <f t="shared" si="170"/>
        <v>3</v>
      </c>
      <c r="C1014" s="318">
        <v>42434</v>
      </c>
      <c r="D1014" s="318" t="s">
        <v>883</v>
      </c>
      <c r="E1014" s="318">
        <v>42434</v>
      </c>
      <c r="F1014" s="514" t="s">
        <v>1183</v>
      </c>
      <c r="G1014" s="986" t="s">
        <v>1151</v>
      </c>
      <c r="H1014" s="320" t="s">
        <v>846</v>
      </c>
      <c r="I1014" s="439"/>
      <c r="J1014" s="439"/>
      <c r="K1014" s="430"/>
      <c r="L1014" s="439"/>
      <c r="M1014" s="65">
        <v>191113</v>
      </c>
      <c r="N1014" s="321" t="s">
        <v>9</v>
      </c>
      <c r="O1014" s="66" t="s">
        <v>63</v>
      </c>
      <c r="P1014" s="84" t="str">
        <f>IF(AND('331-CT'!$E$7=TH!H1014,OR(N1014="331",O1014="331")),"x","")</f>
        <v/>
      </c>
      <c r="Q1014" s="84" t="str">
        <f>IF(AND(B1014='111'!$L$11,OR($N1014=$Q$7,$O1014=$Q$7)),"x","")</f>
        <v/>
      </c>
      <c r="R1014" s="84" t="str">
        <f>IF(AND($N1014=$Q$7,$B1014&lt;'111'!$L$11),"x","")</f>
        <v/>
      </c>
      <c r="S1014" s="84" t="str">
        <f>IF(AND($O1014=$Q$7,$B1014&lt;'111'!$L$11),"x","")</f>
        <v/>
      </c>
      <c r="T1014" s="84" t="str">
        <f>IF(ISERROR(FIND('112'!$M$9,G1014,1)),"",IF((AND(FIND('112'!$M$9,G1014,1)&gt;=1,B1014='112'!$K$9,OR($N1014='112'!$I$6,$O1014='112'!$I$6))),"x",""))</f>
        <v/>
      </c>
      <c r="U1014" s="84" t="str">
        <f>IF(ISERROR(FIND('112'!$M$9,G1014,1)),"",IF((AND(LEFT(G1014,2)=LEFT('112'!$M$9,2),B1014&lt;'112'!$K$9,$N1014='112'!$I$6)),"x",""))</f>
        <v/>
      </c>
      <c r="V1014" s="84" t="str">
        <f>IF(ISERROR(FIND('112'!$M$9,G1014,1)),"",IF((AND(RIGHT(G1014,2)=RIGHT('112'!$M$9,2),B1014&lt;'112'!$K$9,$O1014='112'!$I$6)),"x",""))</f>
        <v/>
      </c>
      <c r="W1014" s="84" t="str">
        <f>IF(AND('341-CT'!$H$9=H1014,OR(LEFT(N1014,3)=$W$7,LEFT(O1014,3)=$W$7)),"x","")</f>
        <v/>
      </c>
      <c r="X1014" s="84" t="str">
        <f>IF(OR(TH!N1014=TH!$X$7,O1014=TH!$X$7),"x","")</f>
        <v/>
      </c>
      <c r="Y1014" s="84" t="str">
        <f>IF(AND(OR(N1014="131",O1014="131"),H1014='131-CT'!$H$9),"x","")</f>
        <v/>
      </c>
      <c r="Z1014" s="84"/>
      <c r="AA1014" s="84" t="str">
        <f>IF(AND(MONTH(E1014)='IN-NX'!$J$5,'IN-NX'!$D$7=D1014),"x","")</f>
        <v/>
      </c>
      <c r="AB1014" s="84" t="str">
        <f>IF(AND(OR(LEFT(TH!N1014,2)="15",LEFT(TH!O1014,2)="15"),LEFT(TH!O1014,3)&lt;&gt;"111",'152-CT'!$J$8=TH!F1014),"x","")</f>
        <v/>
      </c>
      <c r="AC1014" s="84" t="str">
        <f>IF(AND(OR(LEFT(TH!N1014,2)="15",LEFT(TH!O1014,2)="15"),TK!$E$7=TH!F1014),"x","")</f>
        <v/>
      </c>
      <c r="AD1014" s="84" t="str">
        <f>IF(AND(N1014="1521",MONTH(C1014)='BK-NL'!$M$11),"x","")</f>
        <v/>
      </c>
    </row>
    <row r="1015" spans="1:31" ht="15.75" hidden="1" customHeight="1">
      <c r="A1015" s="336" t="str">
        <f>IF(B1015&lt;&gt;"",IF(AND(B1015='IN-TC'!$S$4,OR(TH!N1015="1111",TH!O1015="1111")),TH!D1015,""),"")</f>
        <v/>
      </c>
      <c r="B1015" s="63">
        <f t="shared" si="170"/>
        <v>3</v>
      </c>
      <c r="C1015" s="318">
        <v>42435</v>
      </c>
      <c r="D1015" s="318" t="s">
        <v>884</v>
      </c>
      <c r="E1015" s="318">
        <v>42435</v>
      </c>
      <c r="F1015" s="514" t="s">
        <v>776</v>
      </c>
      <c r="G1015" s="986" t="s">
        <v>1116</v>
      </c>
      <c r="H1015" s="320" t="s">
        <v>1109</v>
      </c>
      <c r="I1015" s="443"/>
      <c r="J1015" s="443"/>
      <c r="K1015" s="434"/>
      <c r="L1015" s="443"/>
      <c r="M1015" s="65">
        <v>564864</v>
      </c>
      <c r="N1015" s="321" t="s">
        <v>101</v>
      </c>
      <c r="O1015" s="66" t="s">
        <v>63</v>
      </c>
      <c r="P1015" s="84" t="str">
        <f>IF(AND('331-CT'!$E$7=TH!H1015,OR(N1015="331",O1015="331")),"x","")</f>
        <v/>
      </c>
      <c r="Q1015" s="84" t="str">
        <f>IF(AND(B1015='111'!$L$11,OR($N1015=$Q$7,$O1015=$Q$7)),"x","")</f>
        <v/>
      </c>
      <c r="R1015" s="84" t="str">
        <f>IF(AND($N1015=$Q$7,$B1015&lt;'111'!$L$11),"x","")</f>
        <v/>
      </c>
      <c r="S1015" s="84" t="str">
        <f>IF(AND($O1015=$Q$7,$B1015&lt;'111'!$L$11),"x","")</f>
        <v/>
      </c>
      <c r="T1015" s="84" t="str">
        <f>IF(ISERROR(FIND('112'!$M$9,G1015,1)),"",IF((AND(FIND('112'!$M$9,G1015,1)&gt;=1,B1015='112'!$K$9,OR($N1015='112'!$I$6,$O1015='112'!$I$6))),"x",""))</f>
        <v/>
      </c>
      <c r="U1015" s="84" t="str">
        <f>IF(ISERROR(FIND('112'!$M$9,G1015,1)),"",IF((AND(LEFT(G1015,2)=LEFT('112'!$M$9,2),B1015&lt;'112'!$K$9,$N1015='112'!$I$6)),"x",""))</f>
        <v/>
      </c>
      <c r="V1015" s="84" t="str">
        <f>IF(ISERROR(FIND('112'!$M$9,G1015,1)),"",IF((AND(RIGHT(G1015,2)=RIGHT('112'!$M$9,2),B1015&lt;'112'!$K$9,$O1015='112'!$I$6)),"x",""))</f>
        <v/>
      </c>
      <c r="W1015" s="84" t="str">
        <f>IF(AND('341-CT'!$H$9=H1015,OR(LEFT(N1015,3)=$W$7,LEFT(O1015,3)=$W$7)),"x","")</f>
        <v/>
      </c>
      <c r="X1015" s="84" t="str">
        <f>IF(OR(TH!N1015=TH!$X$7,O1015=TH!$X$7),"x","")</f>
        <v/>
      </c>
      <c r="Y1015" s="84" t="str">
        <f>IF(AND(OR(N1015="131",O1015="131"),H1015='131-CT'!$H$9),"x","")</f>
        <v/>
      </c>
      <c r="Z1015" s="84"/>
      <c r="AA1015" s="84" t="str">
        <f>IF(AND(MONTH(E1015)='IN-NX'!$J$5,'IN-NX'!$D$7=D1015),"x","")</f>
        <v/>
      </c>
      <c r="AB1015" s="84" t="str">
        <f>IF(AND(OR(LEFT(TH!N1015,2)="15",LEFT(TH!O1015,2)="15"),LEFT(TH!O1015,3)&lt;&gt;"111",'152-CT'!$J$8=TH!F1015),"x","")</f>
        <v/>
      </c>
      <c r="AC1015" s="84" t="str">
        <f>IF(AND(OR(LEFT(TH!N1015,2)="15",LEFT(TH!O1015,2)="15"),TK!$E$7=TH!F1015),"x","")</f>
        <v/>
      </c>
      <c r="AD1015" s="84" t="str">
        <f>IF(AND(N1015="1521",MONTH(C1015)='BK-NL'!$M$11),"x","")</f>
        <v/>
      </c>
    </row>
    <row r="1016" spans="1:31" ht="15.75" hidden="1" customHeight="1">
      <c r="A1016" s="336" t="str">
        <f>IF(B1016&lt;&gt;"",IF(AND(B1016='IN-TC'!$S$4,OR(TH!N1016="1111",TH!O1016="1111")),TH!D1016,""),"")</f>
        <v/>
      </c>
      <c r="B1016" s="63">
        <f t="shared" si="170"/>
        <v>3</v>
      </c>
      <c r="C1016" s="318">
        <v>42435</v>
      </c>
      <c r="D1016" s="318" t="s">
        <v>884</v>
      </c>
      <c r="E1016" s="318">
        <v>42435</v>
      </c>
      <c r="F1016" s="514" t="s">
        <v>777</v>
      </c>
      <c r="G1016" s="986" t="s">
        <v>1116</v>
      </c>
      <c r="H1016" s="320" t="s">
        <v>1109</v>
      </c>
      <c r="I1016" s="439"/>
      <c r="J1016" s="439"/>
      <c r="K1016" s="430"/>
      <c r="L1016" s="439"/>
      <c r="M1016" s="65">
        <v>56486</v>
      </c>
      <c r="N1016" s="321" t="s">
        <v>9</v>
      </c>
      <c r="O1016" s="66" t="s">
        <v>63</v>
      </c>
      <c r="P1016" s="84" t="str">
        <f>IF(AND('331-CT'!$E$7=TH!H1016,OR(N1016="331",O1016="331")),"x","")</f>
        <v/>
      </c>
      <c r="Q1016" s="84" t="str">
        <f>IF(AND(B1016='111'!$L$11,OR($N1016=$Q$7,$O1016=$Q$7)),"x","")</f>
        <v/>
      </c>
      <c r="R1016" s="84" t="str">
        <f>IF(AND($N1016=$Q$7,$B1016&lt;'111'!$L$11),"x","")</f>
        <v/>
      </c>
      <c r="S1016" s="84" t="str">
        <f>IF(AND($O1016=$Q$7,$B1016&lt;'111'!$L$11),"x","")</f>
        <v/>
      </c>
      <c r="T1016" s="84" t="str">
        <f>IF(ISERROR(FIND('112'!$M$9,G1016,1)),"",IF((AND(FIND('112'!$M$9,G1016,1)&gt;=1,B1016='112'!$K$9,OR($N1016='112'!$I$6,$O1016='112'!$I$6))),"x",""))</f>
        <v/>
      </c>
      <c r="U1016" s="84" t="str">
        <f>IF(ISERROR(FIND('112'!$M$9,G1016,1)),"",IF((AND(LEFT(G1016,2)=LEFT('112'!$M$9,2),B1016&lt;'112'!$K$9,$N1016='112'!$I$6)),"x",""))</f>
        <v/>
      </c>
      <c r="V1016" s="84" t="str">
        <f>IF(ISERROR(FIND('112'!$M$9,G1016,1)),"",IF((AND(RIGHT(G1016,2)=RIGHT('112'!$M$9,2),B1016&lt;'112'!$K$9,$O1016='112'!$I$6)),"x",""))</f>
        <v/>
      </c>
      <c r="W1016" s="84" t="str">
        <f>IF(AND('341-CT'!$H$9=H1016,OR(LEFT(N1016,3)=$W$7,LEFT(O1016,3)=$W$7)),"x","")</f>
        <v/>
      </c>
      <c r="X1016" s="84" t="str">
        <f>IF(OR(TH!N1016=TH!$X$7,O1016=TH!$X$7),"x","")</f>
        <v/>
      </c>
      <c r="Y1016" s="84" t="str">
        <f>IF(AND(OR(N1016="131",O1016="131"),H1016='131-CT'!$H$9),"x","")</f>
        <v/>
      </c>
      <c r="Z1016" s="84"/>
      <c r="AA1016" s="84" t="str">
        <f>IF(AND(MONTH(E1016)='IN-NX'!$J$5,'IN-NX'!$D$7=D1016),"x","")</f>
        <v/>
      </c>
      <c r="AB1016" s="84" t="str">
        <f>IF(AND(OR(LEFT(TH!N1016,2)="15",LEFT(TH!O1016,2)="15"),LEFT(TH!O1016,3)&lt;&gt;"111",'152-CT'!$J$8=TH!F1016),"x","")</f>
        <v/>
      </c>
      <c r="AC1016" s="84" t="str">
        <f>IF(AND(OR(LEFT(TH!N1016,2)="15",LEFT(TH!O1016,2)="15"),TK!$E$7=TH!F1016),"x","")</f>
        <v/>
      </c>
      <c r="AD1016" s="84" t="str">
        <f>IF(AND(N1016="1521",MONTH(C1016)='BK-NL'!$M$11),"x","")</f>
        <v/>
      </c>
    </row>
    <row r="1017" spans="1:31" ht="15.75" hidden="1" customHeight="1">
      <c r="A1017" s="336" t="str">
        <f>IF(B1017&lt;&gt;"",IF(AND(B1017='IN-TC'!$S$4,OR(TH!N1017="1111",TH!O1017="1111")),TH!D1017,""),"")</f>
        <v/>
      </c>
      <c r="B1017" s="63">
        <f t="shared" si="170"/>
        <v>3</v>
      </c>
      <c r="C1017" s="64">
        <v>42436</v>
      </c>
      <c r="D1017" s="318" t="s">
        <v>885</v>
      </c>
      <c r="E1017" s="64">
        <v>42436</v>
      </c>
      <c r="F1017" s="514" t="s">
        <v>1107</v>
      </c>
      <c r="G1017" s="319" t="s">
        <v>919</v>
      </c>
      <c r="H1017" s="320" t="s">
        <v>1206</v>
      </c>
      <c r="I1017" s="439"/>
      <c r="J1017" s="439"/>
      <c r="K1017" s="430"/>
      <c r="L1017" s="439"/>
      <c r="M1017" s="65">
        <v>1900000000</v>
      </c>
      <c r="N1017" s="66" t="s">
        <v>26</v>
      </c>
      <c r="O1017" s="66" t="s">
        <v>63</v>
      </c>
      <c r="P1017" s="84" t="str">
        <f>IF(AND('331-CT'!$E$7=TH!H1017,OR(N1017="331",O1017="331")),"x","")</f>
        <v/>
      </c>
      <c r="Q1017" s="84" t="str">
        <f>IF(AND(B1017='111'!$L$11,OR($N1017=$Q$7,$O1017=$Q$7)),"x","")</f>
        <v/>
      </c>
      <c r="R1017" s="84" t="str">
        <f>IF(AND($N1017=$Q$7,$B1017&lt;'111'!$L$11),"x","")</f>
        <v/>
      </c>
      <c r="S1017" s="84" t="str">
        <f>IF(AND($O1017=$Q$7,$B1017&lt;'111'!$L$11),"x","")</f>
        <v/>
      </c>
      <c r="T1017" s="84" t="str">
        <f>IF(ISERROR(FIND('112'!$M$9,G1017,1)),"",IF((AND(FIND('112'!$M$9,G1017,1)&gt;=1,B1017='112'!$K$9,OR($N1017='112'!$I$6,$O1017='112'!$I$6))),"x",""))</f>
        <v/>
      </c>
      <c r="U1017" s="84" t="str">
        <f>IF(ISERROR(FIND('112'!$M$9,G1017,1)),"",IF((AND(LEFT(G1017,2)=LEFT('112'!$M$9,2),B1017&lt;'112'!$K$9,$N1017='112'!$I$6)),"x",""))</f>
        <v>x</v>
      </c>
      <c r="V1017" s="84" t="str">
        <f>IF(ISERROR(FIND('112'!$M$9,G1017,1)),"",IF((AND(RIGHT(G1017,2)=RIGHT('112'!$M$9,2),B1017&lt;'112'!$K$9,$O1017='112'!$I$6)),"x",""))</f>
        <v/>
      </c>
      <c r="W1017" s="84" t="str">
        <f>IF(AND('341-CT'!$H$9=H1017,OR(LEFT(N1017,3)=$W$7,LEFT(O1017,3)=$W$7)),"x","")</f>
        <v/>
      </c>
      <c r="X1017" s="84" t="str">
        <f>IF(OR(TH!N1017=TH!$X$7,O1017=TH!$X$7),"x","")</f>
        <v/>
      </c>
      <c r="Y1017" s="84" t="str">
        <f>IF(AND(OR(N1017="131",O1017="131"),H1017='131-CT'!$H$9),"x","")</f>
        <v/>
      </c>
      <c r="Z1017" s="84"/>
      <c r="AA1017" s="84" t="str">
        <f>IF(AND(MONTH(E1017)='IN-NX'!$J$5,'IN-NX'!$D$7=D1017),"x","")</f>
        <v/>
      </c>
      <c r="AB1017" s="84" t="str">
        <f>IF(AND(OR(LEFT(TH!N1017,2)="15",LEFT(TH!O1017,2)="15"),LEFT(TH!O1017,3)&lt;&gt;"111",'152-CT'!$J$8=TH!F1017),"x","")</f>
        <v/>
      </c>
      <c r="AC1017" s="84" t="str">
        <f>IF(AND(OR(LEFT(TH!N1017,2)="15",LEFT(TH!O1017,2)="15"),TK!$E$7=TH!F1017),"x","")</f>
        <v/>
      </c>
      <c r="AD1017" s="84" t="str">
        <f>IF(AND(N1017="1521",MONTH(C1017)='BK-NL'!$M$11),"x","")</f>
        <v/>
      </c>
    </row>
    <row r="1018" spans="1:31" ht="15.75" hidden="1" customHeight="1">
      <c r="A1018" s="336" t="str">
        <f>IF(B1018&lt;&gt;"",IF(AND(B1018='IN-TC'!$S$4,OR(TH!N1018="1111",TH!O1018="1111")),TH!D1018,""),"")</f>
        <v/>
      </c>
      <c r="B1018" s="63">
        <f t="shared" si="170"/>
        <v>3</v>
      </c>
      <c r="C1018" s="318">
        <v>42436</v>
      </c>
      <c r="D1018" s="64" t="s">
        <v>702</v>
      </c>
      <c r="E1018" s="318">
        <v>42436</v>
      </c>
      <c r="F1018" s="514" t="s">
        <v>1187</v>
      </c>
      <c r="G1018" s="319" t="s">
        <v>919</v>
      </c>
      <c r="H1018" s="344"/>
      <c r="I1018" s="439"/>
      <c r="J1018" s="439"/>
      <c r="K1018" s="430">
        <v>82000</v>
      </c>
      <c r="L1018" s="439">
        <v>22300</v>
      </c>
      <c r="M1018" s="65">
        <v>1828600000</v>
      </c>
      <c r="N1018" s="321" t="s">
        <v>266</v>
      </c>
      <c r="O1018" s="66" t="s">
        <v>26</v>
      </c>
      <c r="P1018" s="84" t="str">
        <f>IF(AND('331-CT'!$E$7=TH!H1018,OR(N1018="331",O1018="331")),"x","")</f>
        <v/>
      </c>
      <c r="Q1018" s="84" t="str">
        <f>IF(AND(B1018='111'!$L$11,OR($N1018=$Q$7,$O1018=$Q$7)),"x","")</f>
        <v/>
      </c>
      <c r="R1018" s="84" t="str">
        <f>IF(AND($N1018=$Q$7,$B1018&lt;'111'!$L$11),"x","")</f>
        <v/>
      </c>
      <c r="S1018" s="84" t="str">
        <f>IF(AND($O1018=$Q$7,$B1018&lt;'111'!$L$11),"x","")</f>
        <v/>
      </c>
      <c r="T1018" s="84" t="str">
        <f>IF(ISERROR(FIND('112'!$M$9,G1018,1)),"",IF((AND(FIND('112'!$M$9,G1018,1)&gt;=1,B1018='112'!$K$9,OR($N1018='112'!$I$6,$O1018='112'!$I$6))),"x",""))</f>
        <v/>
      </c>
      <c r="U1018" s="84" t="str">
        <f>IF(ISERROR(FIND('112'!$M$9,G1018,1)),"",IF((AND(LEFT(G1018,2)=LEFT('112'!$M$9,2),B1018&lt;'112'!$K$9,$N1018='112'!$I$6)),"x",""))</f>
        <v/>
      </c>
      <c r="V1018" s="84" t="str">
        <f>IF(ISERROR(FIND('112'!$M$9,G1018,1)),"",IF((AND(RIGHT(G1018,2)=RIGHT('112'!$M$9,2),B1018&lt;'112'!$K$9,$O1018='112'!$I$6)),"x",""))</f>
        <v>x</v>
      </c>
      <c r="W1018" s="84" t="str">
        <f>IF(AND('341-CT'!$H$9=H1018,OR(LEFT(N1018,3)=$W$7,LEFT(O1018,3)=$W$7)),"x","")</f>
        <v/>
      </c>
      <c r="X1018" s="84" t="str">
        <f>IF(OR(TH!N1018=TH!$X$7,O1018=TH!$X$7),"x","")</f>
        <v/>
      </c>
      <c r="Y1018" s="84" t="str">
        <f>IF(AND(OR(N1018="131",O1018="131"),H1018='131-CT'!$H$9),"x","")</f>
        <v/>
      </c>
      <c r="Z1018" s="84"/>
      <c r="AA1018" s="84" t="str">
        <f>IF(AND(MONTH(E1018)='IN-NX'!$J$5,'IN-NX'!$D$7=D1018),"x","")</f>
        <v/>
      </c>
      <c r="AB1018" s="84" t="str">
        <f>IF(AND(OR(LEFT(TH!N1018,2)="15",LEFT(TH!O1018,2)="15"),LEFT(TH!O1018,3)&lt;&gt;"111",'152-CT'!$J$8=TH!F1018),"x","")</f>
        <v/>
      </c>
      <c r="AC1018" s="84" t="str">
        <f>IF(AND(OR(LEFT(TH!N1018,2)="15",LEFT(TH!O1018,2)="15"),TK!$E$7=TH!F1018),"x","")</f>
        <v/>
      </c>
      <c r="AD1018" s="84" t="str">
        <f>IF(AND(N1018="1521",MONTH(C1018)='BK-NL'!$M$11),"x","")</f>
        <v/>
      </c>
      <c r="AE1018" s="350"/>
    </row>
    <row r="1019" spans="1:31" ht="15.75" hidden="1" customHeight="1">
      <c r="A1019" s="336" t="str">
        <f>IF(B1019&lt;&gt;"",IF(AND(B1019='IN-TC'!$S$4,OR(TH!N1019="1111",TH!O1019="1111")),TH!D1019,""),"")</f>
        <v/>
      </c>
      <c r="B1019" s="63">
        <f t="shared" si="170"/>
        <v>3</v>
      </c>
      <c r="C1019" s="318">
        <v>42436</v>
      </c>
      <c r="D1019" s="64" t="s">
        <v>702</v>
      </c>
      <c r="E1019" s="318">
        <v>42436</v>
      </c>
      <c r="F1019" s="73" t="s">
        <v>1703</v>
      </c>
      <c r="G1019" s="319" t="s">
        <v>919</v>
      </c>
      <c r="H1019" s="73" t="s">
        <v>1188</v>
      </c>
      <c r="I1019" s="439"/>
      <c r="J1019" s="439"/>
      <c r="K1019" s="430">
        <v>82000</v>
      </c>
      <c r="L1019" s="439">
        <v>22300</v>
      </c>
      <c r="M1019" s="65">
        <v>1828600000</v>
      </c>
      <c r="N1019" s="321" t="s">
        <v>266</v>
      </c>
      <c r="O1019" s="66" t="s">
        <v>260</v>
      </c>
      <c r="P1019" s="84" t="str">
        <f>IF(AND('331-CT'!$E$7=TH!H1019,OR(N1019="331",O1019="331")),"x","")</f>
        <v/>
      </c>
      <c r="Q1019" s="84" t="str">
        <f>IF(AND(B1019='111'!$L$11,OR($N1019=$Q$7,$O1019=$Q$7)),"x","")</f>
        <v/>
      </c>
      <c r="R1019" s="84" t="str">
        <f>IF(AND($N1019=$Q$7,$B1019&lt;'111'!$L$11),"x","")</f>
        <v/>
      </c>
      <c r="S1019" s="84" t="str">
        <f>IF(AND($O1019=$Q$7,$B1019&lt;'111'!$L$11),"x","")</f>
        <v/>
      </c>
      <c r="T1019" s="84" t="str">
        <f>IF(ISERROR(FIND('112'!$M$9,G1019,1)),"",IF((AND(FIND('112'!$M$9,G1019,1)&gt;=1,B1019='112'!$K$9,OR($N1019='112'!$I$6,$O1019='112'!$I$6))),"x",""))</f>
        <v/>
      </c>
      <c r="U1019" s="84" t="str">
        <f>IF(ISERROR(FIND('112'!$M$9,G1019,1)),"",IF((AND(LEFT(G1019,2)=LEFT('112'!$M$9,2),B1019&lt;'112'!$K$9,$N1019='112'!$I$6)),"x",""))</f>
        <v/>
      </c>
      <c r="V1019" s="84" t="str">
        <f>IF(ISERROR(FIND('112'!$M$9,G1019,1)),"",IF((AND(RIGHT(G1019,2)=RIGHT('112'!$M$9,2),B1019&lt;'112'!$K$9,$O1019='112'!$I$6)),"x",""))</f>
        <v/>
      </c>
      <c r="W1019" s="84" t="str">
        <f>IF(AND('341-CT'!$H$9=H1019,OR(LEFT(N1019,3)=$W$7,LEFT(O1019,3)=$W$7)),"x","")</f>
        <v/>
      </c>
      <c r="X1019" s="84" t="str">
        <f>IF(OR(TH!N1019=TH!$X$7,O1019=TH!$X$7),"x","")</f>
        <v/>
      </c>
      <c r="Y1019" s="84" t="str">
        <f>IF(AND(OR(N1019="131",O1019="131"),H1019='131-CT'!$H$9),"x","")</f>
        <v/>
      </c>
      <c r="Z1019" s="84"/>
      <c r="AA1019" s="84" t="str">
        <f>IF(AND(MONTH(E1019)='IN-NX'!$J$5,'IN-NX'!$D$7=D1019),"x","")</f>
        <v/>
      </c>
      <c r="AB1019" s="84" t="str">
        <f>IF(AND(OR(LEFT(TH!N1019,2)="15",LEFT(TH!O1019,2)="15"),LEFT(TH!O1019,3)&lt;&gt;"111",'152-CT'!$J$8=TH!F1019),"x","")</f>
        <v/>
      </c>
      <c r="AC1019" s="84" t="str">
        <f>IF(AND(OR(LEFT(TH!N1019,2)="15",LEFT(TH!O1019,2)="15"),TK!$E$7=TH!F1019),"x","")</f>
        <v/>
      </c>
      <c r="AD1019" s="84" t="str">
        <f>IF(AND(N1019="1521",MONTH(C1019)='BK-NL'!$M$11),"x","")</f>
        <v/>
      </c>
    </row>
    <row r="1020" spans="1:31" ht="15.75" hidden="1" customHeight="1">
      <c r="A1020" s="336" t="str">
        <f>IF(B1020&lt;&gt;"",IF(AND(B1020='IN-TC'!$S$4,OR(TH!N1020="1111",TH!O1020="1111")),TH!D1020,""),"")</f>
        <v/>
      </c>
      <c r="B1020" s="63">
        <f t="shared" si="170"/>
        <v>3</v>
      </c>
      <c r="C1020" s="318">
        <v>42436</v>
      </c>
      <c r="D1020" s="64" t="s">
        <v>705</v>
      </c>
      <c r="E1020" s="318">
        <v>42436</v>
      </c>
      <c r="F1020" s="73" t="s">
        <v>1190</v>
      </c>
      <c r="G1020" s="319" t="s">
        <v>919</v>
      </c>
      <c r="H1020" s="344" t="s">
        <v>722</v>
      </c>
      <c r="I1020" s="439"/>
      <c r="J1020" s="439"/>
      <c r="K1020" s="430">
        <v>82000</v>
      </c>
      <c r="L1020" s="439">
        <v>22300</v>
      </c>
      <c r="M1020" s="65">
        <v>1828600000</v>
      </c>
      <c r="N1020" s="321" t="s">
        <v>260</v>
      </c>
      <c r="O1020" s="321" t="s">
        <v>266</v>
      </c>
      <c r="P1020" s="84" t="str">
        <f>IF(AND('331-CT'!$E$7=TH!H1020,OR(N1020="331",O1020="331")),"x","")</f>
        <v/>
      </c>
      <c r="Q1020" s="84" t="str">
        <f>IF(AND(B1020='111'!$L$11,OR($N1020=$Q$7,$O1020=$Q$7)),"x","")</f>
        <v/>
      </c>
      <c r="R1020" s="84" t="str">
        <f>IF(AND($N1020=$Q$7,$B1020&lt;'111'!$L$11),"x","")</f>
        <v/>
      </c>
      <c r="S1020" s="84" t="str">
        <f>IF(AND($O1020=$Q$7,$B1020&lt;'111'!$L$11),"x","")</f>
        <v/>
      </c>
      <c r="T1020" s="84" t="str">
        <f>IF(ISERROR(FIND('112'!$M$9,G1020,1)),"",IF((AND(FIND('112'!$M$9,G1020,1)&gt;=1,B1020='112'!$K$9,OR($N1020='112'!$I$6,$O1020='112'!$I$6))),"x",""))</f>
        <v/>
      </c>
      <c r="U1020" s="84" t="str">
        <f>IF(ISERROR(FIND('112'!$M$9,G1020,1)),"",IF((AND(LEFT(G1020,2)=LEFT('112'!$M$9,2),B1020&lt;'112'!$K$9,$N1020='112'!$I$6)),"x",""))</f>
        <v/>
      </c>
      <c r="V1020" s="84" t="str">
        <f>IF(ISERROR(FIND('112'!$M$9,G1020,1)),"",IF((AND(RIGHT(G1020,2)=RIGHT('112'!$M$9,2),B1020&lt;'112'!$K$9,$O1020='112'!$I$6)),"x",""))</f>
        <v/>
      </c>
      <c r="W1020" s="84" t="str">
        <f>IF(AND('341-CT'!$H$9=H1020,OR(LEFT(N1020,3)=$W$7,LEFT(O1020,3)=$W$7)),"x","")</f>
        <v/>
      </c>
      <c r="X1020" s="84" t="str">
        <f>IF(OR(TH!N1020=TH!$X$7,O1020=TH!$X$7),"x","")</f>
        <v/>
      </c>
      <c r="Y1020" s="84" t="str">
        <f>IF(AND(OR(N1020="131",O1020="131"),H1020='131-CT'!$H$9),"x","")</f>
        <v/>
      </c>
      <c r="Z1020" s="84"/>
      <c r="AA1020" s="84" t="str">
        <f>IF(AND(MONTH(E1020)='IN-NX'!$J$5,'IN-NX'!$D$7=D1020),"x","")</f>
        <v/>
      </c>
      <c r="AB1020" s="84" t="str">
        <f>IF(AND(OR(LEFT(TH!N1020,2)="15",LEFT(TH!O1020,2)="15"),LEFT(TH!O1020,3)&lt;&gt;"111",'152-CT'!$J$8=TH!F1020),"x","")</f>
        <v/>
      </c>
      <c r="AC1020" s="84" t="str">
        <f>IF(AND(OR(LEFT(TH!N1020,2)="15",LEFT(TH!O1020,2)="15"),TK!$E$7=TH!F1020),"x","")</f>
        <v/>
      </c>
      <c r="AD1020" s="84" t="str">
        <f>IF(AND(N1020="1521",MONTH(C1020)='BK-NL'!$M$11),"x","")</f>
        <v/>
      </c>
      <c r="AE1020" s="351"/>
    </row>
    <row r="1021" spans="1:31" ht="15.75" hidden="1" customHeight="1">
      <c r="A1021" s="336" t="str">
        <f>IF(B1021&lt;&gt;"",IF(AND(B1021='IN-TC'!$S$4,OR(TH!N1021="1111",TH!O1021="1111")),TH!D1021,""),"")</f>
        <v/>
      </c>
      <c r="B1021" s="63">
        <f t="shared" si="170"/>
        <v>3</v>
      </c>
      <c r="C1021" s="318">
        <v>42436</v>
      </c>
      <c r="D1021" s="318" t="s">
        <v>582</v>
      </c>
      <c r="E1021" s="318">
        <v>42436</v>
      </c>
      <c r="F1021" s="73" t="s">
        <v>734</v>
      </c>
      <c r="G1021" s="319" t="s">
        <v>919</v>
      </c>
      <c r="H1021" s="344" t="s">
        <v>722</v>
      </c>
      <c r="I1021" s="439"/>
      <c r="J1021" s="439"/>
      <c r="K1021" s="430"/>
      <c r="L1021" s="439"/>
      <c r="M1021" s="65">
        <v>14350000</v>
      </c>
      <c r="N1021" s="321" t="s">
        <v>260</v>
      </c>
      <c r="O1021" s="66" t="s">
        <v>43</v>
      </c>
      <c r="P1021" s="84" t="str">
        <f>IF(AND('331-CT'!$E$7=TH!H1021,OR(N1021="331",O1021="331")),"x","")</f>
        <v/>
      </c>
      <c r="Q1021" s="84" t="str">
        <f>IF(AND(B1021='111'!$L$11,OR($N1021=$Q$7,$O1021=$Q$7)),"x","")</f>
        <v/>
      </c>
      <c r="R1021" s="84" t="str">
        <f>IF(AND($N1021=$Q$7,$B1021&lt;'111'!$L$11),"x","")</f>
        <v/>
      </c>
      <c r="S1021" s="84" t="str">
        <f>IF(AND($O1021=$Q$7,$B1021&lt;'111'!$L$11),"x","")</f>
        <v/>
      </c>
      <c r="T1021" s="84" t="str">
        <f>IF(ISERROR(FIND('112'!$M$9,G1021,1)),"",IF((AND(FIND('112'!$M$9,G1021,1)&gt;=1,B1021='112'!$K$9,OR($N1021='112'!$I$6,$O1021='112'!$I$6))),"x",""))</f>
        <v/>
      </c>
      <c r="U1021" s="84" t="str">
        <f>IF(ISERROR(FIND('112'!$M$9,G1021,1)),"",IF((AND(LEFT(G1021,2)=LEFT('112'!$M$9,2),B1021&lt;'112'!$K$9,$N1021='112'!$I$6)),"x",""))</f>
        <v/>
      </c>
      <c r="V1021" s="84" t="str">
        <f>IF(ISERROR(FIND('112'!$M$9,G1021,1)),"",IF((AND(RIGHT(G1021,2)=RIGHT('112'!$M$9,2),B1021&lt;'112'!$K$9,$O1021='112'!$I$6)),"x",""))</f>
        <v/>
      </c>
      <c r="W1021" s="84" t="str">
        <f>IF(AND('341-CT'!$H$9=H1021,OR(LEFT(N1021,3)=$W$7,LEFT(O1021,3)=$W$7)),"x","")</f>
        <v/>
      </c>
      <c r="X1021" s="84" t="str">
        <f>IF(OR(TH!N1021=TH!$X$7,O1021=TH!$X$7),"x","")</f>
        <v/>
      </c>
      <c r="Y1021" s="84" t="str">
        <f>IF(AND(OR(N1021="131",O1021="131"),H1021='131-CT'!$H$9),"x","")</f>
        <v/>
      </c>
      <c r="Z1021" s="84"/>
      <c r="AA1021" s="84" t="str">
        <f>IF(AND(MONTH(E1021)='IN-NX'!$J$5,'IN-NX'!$D$7=D1021),"x","")</f>
        <v/>
      </c>
      <c r="AB1021" s="84" t="str">
        <f>IF(AND(OR(LEFT(TH!N1021,2)="15",LEFT(TH!O1021,2)="15"),LEFT(TH!O1021,3)&lt;&gt;"111",'152-CT'!$J$8=TH!F1021),"x","")</f>
        <v/>
      </c>
      <c r="AC1021" s="84" t="str">
        <f>IF(AND(OR(LEFT(TH!N1021,2)="15",LEFT(TH!O1021,2)="15"),TK!$E$7=TH!F1021),"x","")</f>
        <v/>
      </c>
      <c r="AD1021" s="84" t="str">
        <f>IF(AND(N1021="1521",MONTH(C1021)='BK-NL'!$M$11),"x","")</f>
        <v/>
      </c>
      <c r="AE1021" s="351"/>
    </row>
    <row r="1022" spans="1:31" ht="15.75" hidden="1" customHeight="1">
      <c r="A1022" s="336" t="str">
        <f>IF(B1022&lt;&gt;"",IF(AND(B1022='IN-TC'!$S$4,OR(TH!N1022="1111",TH!O1022="1111")),TH!D1022,""),"")</f>
        <v/>
      </c>
      <c r="B1022" s="63">
        <f t="shared" si="170"/>
        <v>3</v>
      </c>
      <c r="C1022" s="318">
        <v>42436</v>
      </c>
      <c r="D1022" s="64" t="s">
        <v>705</v>
      </c>
      <c r="E1022" s="318">
        <v>42436</v>
      </c>
      <c r="F1022" s="73" t="s">
        <v>1445</v>
      </c>
      <c r="G1022" s="319" t="s">
        <v>919</v>
      </c>
      <c r="H1022" s="320"/>
      <c r="I1022" s="439"/>
      <c r="J1022" s="439"/>
      <c r="K1022" s="430">
        <v>82000</v>
      </c>
      <c r="L1022" s="439">
        <v>22300</v>
      </c>
      <c r="M1022" s="65">
        <v>1828600000</v>
      </c>
      <c r="N1022" s="66" t="s">
        <v>26</v>
      </c>
      <c r="O1022" s="321" t="s">
        <v>266</v>
      </c>
      <c r="P1022" s="84" t="str">
        <f>IF(AND('331-CT'!$E$7=TH!H1022,OR(N1022="331",O1022="331")),"x","")</f>
        <v/>
      </c>
      <c r="Q1022" s="84" t="str">
        <f>IF(AND(B1022='111'!$L$11,OR($N1022=$Q$7,$O1022=$Q$7)),"x","")</f>
        <v/>
      </c>
      <c r="R1022" s="84" t="str">
        <f>IF(AND($N1022=$Q$7,$B1022&lt;'111'!$L$11),"x","")</f>
        <v/>
      </c>
      <c r="S1022" s="84" t="str">
        <f>IF(AND($O1022=$Q$7,$B1022&lt;'111'!$L$11),"x","")</f>
        <v/>
      </c>
      <c r="T1022" s="84" t="str">
        <f>IF(ISERROR(FIND('112'!$M$9,G1022,1)),"",IF((AND(FIND('112'!$M$9,G1022,1)&gt;=1,B1022='112'!$K$9,OR($N1022='112'!$I$6,$O1022='112'!$I$6))),"x",""))</f>
        <v/>
      </c>
      <c r="U1022" s="84" t="str">
        <f>IF(ISERROR(FIND('112'!$M$9,G1022,1)),"",IF((AND(LEFT(G1022,2)=LEFT('112'!$M$9,2),B1022&lt;'112'!$K$9,$N1022='112'!$I$6)),"x",""))</f>
        <v>x</v>
      </c>
      <c r="V1022" s="84" t="str">
        <f>IF(ISERROR(FIND('112'!$M$9,G1022,1)),"",IF((AND(RIGHT(G1022,2)=RIGHT('112'!$M$9,2),B1022&lt;'112'!$K$9,$O1022='112'!$I$6)),"x",""))</f>
        <v/>
      </c>
      <c r="W1022" s="84" t="str">
        <f>IF(AND('341-CT'!$H$9=H1022,OR(LEFT(N1022,3)=$W$7,LEFT(O1022,3)=$W$7)),"x","")</f>
        <v/>
      </c>
      <c r="X1022" s="84" t="str">
        <f>IF(OR(TH!N1022=TH!$X$7,O1022=TH!$X$7),"x","")</f>
        <v/>
      </c>
      <c r="Y1022" s="84" t="str">
        <f>IF(AND(OR(N1022="131",O1022="131"),H1022='131-CT'!$H$9),"x","")</f>
        <v/>
      </c>
      <c r="Z1022" s="84"/>
      <c r="AA1022" s="84" t="str">
        <f>IF(AND(MONTH(E1022)='IN-NX'!$J$5,'IN-NX'!$D$7=D1022),"x","")</f>
        <v/>
      </c>
      <c r="AB1022" s="84" t="str">
        <f>IF(AND(OR(LEFT(TH!N1022,2)="15",LEFT(TH!O1022,2)="15"),LEFT(TH!O1022,3)&lt;&gt;"111",'152-CT'!$J$8=TH!F1022),"x","")</f>
        <v/>
      </c>
      <c r="AC1022" s="84" t="str">
        <f>IF(AND(OR(LEFT(TH!N1022,2)="15",LEFT(TH!O1022,2)="15"),TK!$E$7=TH!F1022),"x","")</f>
        <v/>
      </c>
      <c r="AD1022" s="84" t="str">
        <f>IF(AND(N1022="1521",MONTH(C1022)='BK-NL'!$M$11),"x","")</f>
        <v/>
      </c>
      <c r="AE1022" s="351"/>
    </row>
    <row r="1023" spans="1:31" ht="15.75" hidden="1" customHeight="1">
      <c r="A1023" s="336" t="str">
        <f>IF(B1023&lt;&gt;"",IF(AND(B1023='IN-TC'!$S$4,OR(TH!N1023="1111",TH!O1023="1111")),TH!D1023,""),"")</f>
        <v/>
      </c>
      <c r="B1023" s="63">
        <f t="shared" si="170"/>
        <v>3</v>
      </c>
      <c r="C1023" s="64">
        <v>42436</v>
      </c>
      <c r="D1023" s="318" t="s">
        <v>705</v>
      </c>
      <c r="E1023" s="64">
        <v>42436</v>
      </c>
      <c r="F1023" s="73" t="s">
        <v>1055</v>
      </c>
      <c r="G1023" s="67" t="s">
        <v>919</v>
      </c>
      <c r="H1023" s="344" t="s">
        <v>722</v>
      </c>
      <c r="I1023" s="439"/>
      <c r="J1023" s="439"/>
      <c r="K1023" s="430">
        <v>191.33001792114695</v>
      </c>
      <c r="L1023" s="439">
        <v>22320</v>
      </c>
      <c r="M1023" s="65">
        <v>4270486</v>
      </c>
      <c r="N1023" s="66" t="s">
        <v>99</v>
      </c>
      <c r="O1023" s="66" t="s">
        <v>26</v>
      </c>
      <c r="P1023" s="84" t="str">
        <f>IF(AND('331-CT'!$E$7=TH!H1023,OR(N1023="331",O1023="331")),"x","")</f>
        <v/>
      </c>
      <c r="Q1023" s="84" t="str">
        <f>IF(AND(B1023='111'!$L$11,OR($N1023=$Q$7,$O1023=$Q$7)),"x","")</f>
        <v/>
      </c>
      <c r="R1023" s="84" t="str">
        <f>IF(AND($N1023=$Q$7,$B1023&lt;'111'!$L$11),"x","")</f>
        <v/>
      </c>
      <c r="S1023" s="84" t="str">
        <f>IF(AND($O1023=$Q$7,$B1023&lt;'111'!$L$11),"x","")</f>
        <v/>
      </c>
      <c r="T1023" s="84" t="str">
        <f>IF(ISERROR(FIND('112'!$M$9,G1023,1)),"",IF((AND(FIND('112'!$M$9,G1023,1)&gt;=1,B1023='112'!$K$9,OR($N1023='112'!$I$6,$O1023='112'!$I$6))),"x",""))</f>
        <v/>
      </c>
      <c r="U1023" s="84" t="str">
        <f>IF(ISERROR(FIND('112'!$M$9,G1023,1)),"",IF((AND(LEFT(G1023,2)=LEFT('112'!$M$9,2),B1023&lt;'112'!$K$9,$N1023='112'!$I$6)),"x",""))</f>
        <v/>
      </c>
      <c r="V1023" s="84" t="str">
        <f>IF(ISERROR(FIND('112'!$M$9,G1023,1)),"",IF((AND(RIGHT(G1023,2)=RIGHT('112'!$M$9,2),B1023&lt;'112'!$K$9,$O1023='112'!$I$6)),"x",""))</f>
        <v>x</v>
      </c>
      <c r="W1023" s="84" t="str">
        <f>IF(AND('341-CT'!$H$9=H1023,OR(LEFT(N1023,3)=$W$7,LEFT(O1023,3)=$W$7)),"x","")</f>
        <v/>
      </c>
      <c r="X1023" s="84" t="str">
        <f>IF(OR(TH!N1023=TH!$X$7,O1023=TH!$X$7),"x","")</f>
        <v/>
      </c>
      <c r="Y1023" s="84" t="str">
        <f>IF(AND(OR(N1023="131",O1023="131"),H1023='131-CT'!$H$9),"x","")</f>
        <v/>
      </c>
      <c r="Z1023" s="84"/>
      <c r="AA1023" s="84" t="str">
        <f>IF(AND(MONTH(E1023)='IN-NX'!$J$5,'IN-NX'!$D$7=D1023),"x","")</f>
        <v/>
      </c>
      <c r="AB1023" s="84" t="str">
        <f>IF(AND(OR(LEFT(TH!N1023,2)="15",LEFT(TH!O1023,2)="15"),LEFT(TH!O1023,3)&lt;&gt;"111",'152-CT'!$J$8=TH!F1023),"x","")</f>
        <v/>
      </c>
      <c r="AC1023" s="84" t="str">
        <f>IF(AND(OR(LEFT(TH!N1023,2)="15",LEFT(TH!O1023,2)="15"),TK!$E$7=TH!F1023),"x","")</f>
        <v/>
      </c>
      <c r="AD1023" s="84" t="str">
        <f>IF(AND(N1023="1521",MONTH(C1023)='BK-NL'!$M$11),"x","")</f>
        <v/>
      </c>
    </row>
    <row r="1024" spans="1:31" ht="15.75" hidden="1" customHeight="1">
      <c r="A1024" s="336" t="str">
        <f>IF(B1024&lt;&gt;"",IF(AND(B1024='IN-TC'!$S$4,OR(TH!N1024="1111",TH!O1024="1111")),TH!D1024,""),"")</f>
        <v/>
      </c>
      <c r="B1024" s="63">
        <f t="shared" si="170"/>
        <v>3</v>
      </c>
      <c r="C1024" s="64">
        <v>42436</v>
      </c>
      <c r="D1024" s="318" t="s">
        <v>705</v>
      </c>
      <c r="E1024" s="64">
        <v>42436</v>
      </c>
      <c r="F1024" s="73" t="s">
        <v>1048</v>
      </c>
      <c r="G1024" s="67" t="s">
        <v>919</v>
      </c>
      <c r="H1024" s="344" t="s">
        <v>720</v>
      </c>
      <c r="I1024" s="439"/>
      <c r="J1024" s="439"/>
      <c r="K1024" s="430">
        <v>56.05</v>
      </c>
      <c r="L1024" s="439">
        <v>22320</v>
      </c>
      <c r="M1024" s="65">
        <v>1251036</v>
      </c>
      <c r="N1024" s="66" t="s">
        <v>19</v>
      </c>
      <c r="O1024" s="66" t="s">
        <v>26</v>
      </c>
      <c r="P1024" s="84" t="str">
        <f>IF(AND('331-CT'!$E$7=TH!H1024,OR(N1024="331",O1024="331")),"x","")</f>
        <v/>
      </c>
      <c r="Q1024" s="84" t="str">
        <f>IF(AND(B1024='111'!$L$11,OR($N1024=$Q$7,$O1024=$Q$7)),"x","")</f>
        <v/>
      </c>
      <c r="R1024" s="84" t="str">
        <f>IF(AND($N1024=$Q$7,$B1024&lt;'111'!$L$11),"x","")</f>
        <v/>
      </c>
      <c r="S1024" s="84" t="str">
        <f>IF(AND($O1024=$Q$7,$B1024&lt;'111'!$L$11),"x","")</f>
        <v/>
      </c>
      <c r="T1024" s="84" t="str">
        <f>IF(ISERROR(FIND('112'!$M$9,G1024,1)),"",IF((AND(FIND('112'!$M$9,G1024,1)&gt;=1,B1024='112'!$K$9,OR($N1024='112'!$I$6,$O1024='112'!$I$6))),"x",""))</f>
        <v/>
      </c>
      <c r="U1024" s="84" t="str">
        <f>IF(ISERROR(FIND('112'!$M$9,G1024,1)),"",IF((AND(LEFT(G1024,2)=LEFT('112'!$M$9,2),B1024&lt;'112'!$K$9,$N1024='112'!$I$6)),"x",""))</f>
        <v/>
      </c>
      <c r="V1024" s="84" t="str">
        <f>IF(ISERROR(FIND('112'!$M$9,G1024,1)),"",IF((AND(RIGHT(G1024,2)=RIGHT('112'!$M$9,2),B1024&lt;'112'!$K$9,$O1024='112'!$I$6)),"x",""))</f>
        <v>x</v>
      </c>
      <c r="W1024" s="84" t="str">
        <f>IF(AND('341-CT'!$H$9=H1024,OR(LEFT(N1024,3)=$W$7,LEFT(O1024,3)=$W$7)),"x","")</f>
        <v/>
      </c>
      <c r="X1024" s="84" t="str">
        <f>IF(OR(TH!N1024=TH!$X$7,O1024=TH!$X$7),"x","")</f>
        <v/>
      </c>
      <c r="Y1024" s="84" t="str">
        <f>IF(AND(OR(N1024="131",O1024="131"),H1024='131-CT'!$H$9),"x","")</f>
        <v/>
      </c>
      <c r="Z1024" s="84"/>
      <c r="AA1024" s="84" t="str">
        <f>IF(AND(MONTH(E1024)='IN-NX'!$J$5,'IN-NX'!$D$7=D1024),"x","")</f>
        <v/>
      </c>
      <c r="AB1024" s="84" t="str">
        <f>IF(AND(OR(LEFT(TH!N1024,2)="15",LEFT(TH!O1024,2)="15"),LEFT(TH!O1024,3)&lt;&gt;"111",'152-CT'!$J$8=TH!F1024),"x","")</f>
        <v/>
      </c>
      <c r="AC1024" s="84" t="str">
        <f>IF(AND(OR(LEFT(TH!N1024,2)="15",LEFT(TH!O1024,2)="15"),TK!$E$7=TH!F1024),"x","")</f>
        <v/>
      </c>
      <c r="AD1024" s="84" t="str">
        <f>IF(AND(N1024="1521",MONTH(C1024)='BK-NL'!$M$11),"x","")</f>
        <v/>
      </c>
    </row>
    <row r="1025" spans="1:31" ht="15.75" hidden="1" customHeight="1">
      <c r="A1025" s="336" t="str">
        <f>IF(B1025&lt;&gt;"",IF(AND(B1025='IN-TC'!$S$4,OR(TH!N1025="1111",TH!O1025="1111")),TH!D1025,""),"")</f>
        <v/>
      </c>
      <c r="B1025" s="63">
        <f t="shared" si="170"/>
        <v>3</v>
      </c>
      <c r="C1025" s="64">
        <v>42436</v>
      </c>
      <c r="D1025" s="318" t="s">
        <v>705</v>
      </c>
      <c r="E1025" s="64">
        <v>42436</v>
      </c>
      <c r="F1025" s="73" t="s">
        <v>1049</v>
      </c>
      <c r="G1025" s="67" t="s">
        <v>919</v>
      </c>
      <c r="H1025" s="344" t="s">
        <v>713</v>
      </c>
      <c r="I1025" s="439"/>
      <c r="J1025" s="439"/>
      <c r="K1025" s="430">
        <v>120.78001792114695</v>
      </c>
      <c r="L1025" s="439">
        <v>22320</v>
      </c>
      <c r="M1025" s="65">
        <v>2695810</v>
      </c>
      <c r="N1025" s="66" t="s">
        <v>99</v>
      </c>
      <c r="O1025" s="66" t="s">
        <v>26</v>
      </c>
      <c r="P1025" s="84" t="str">
        <f>IF(AND('331-CT'!$E$7=TH!H1025,OR(N1025="331",O1025="331")),"x","")</f>
        <v/>
      </c>
      <c r="Q1025" s="84" t="str">
        <f>IF(AND(B1025='111'!$L$11,OR($N1025=$Q$7,$O1025=$Q$7)),"x","")</f>
        <v/>
      </c>
      <c r="R1025" s="84" t="str">
        <f>IF(AND($N1025=$Q$7,$B1025&lt;'111'!$L$11),"x","")</f>
        <v/>
      </c>
      <c r="S1025" s="84" t="str">
        <f>IF(AND($O1025=$Q$7,$B1025&lt;'111'!$L$11),"x","")</f>
        <v/>
      </c>
      <c r="T1025" s="84" t="str">
        <f>IF(ISERROR(FIND('112'!$M$9,G1025,1)),"",IF((AND(FIND('112'!$M$9,G1025,1)&gt;=1,B1025='112'!$K$9,OR($N1025='112'!$I$6,$O1025='112'!$I$6))),"x",""))</f>
        <v/>
      </c>
      <c r="U1025" s="84" t="str">
        <f>IF(ISERROR(FIND('112'!$M$9,G1025,1)),"",IF((AND(LEFT(G1025,2)=LEFT('112'!$M$9,2),B1025&lt;'112'!$K$9,$N1025='112'!$I$6)),"x",""))</f>
        <v/>
      </c>
      <c r="V1025" s="84" t="str">
        <f>IF(ISERROR(FIND('112'!$M$9,G1025,1)),"",IF((AND(RIGHT(G1025,2)=RIGHT('112'!$M$9,2),B1025&lt;'112'!$K$9,$O1025='112'!$I$6)),"x",""))</f>
        <v>x</v>
      </c>
      <c r="W1025" s="84" t="str">
        <f>IF(AND('341-CT'!$H$9=H1025,OR(LEFT(N1025,3)=$W$7,LEFT(O1025,3)=$W$7)),"x","")</f>
        <v/>
      </c>
      <c r="X1025" s="84" t="str">
        <f>IF(OR(TH!N1025=TH!$X$7,O1025=TH!$X$7),"x","")</f>
        <v/>
      </c>
      <c r="Y1025" s="84" t="str">
        <f>IF(AND(OR(N1025="131",O1025="131"),H1025='131-CT'!$H$9),"x","")</f>
        <v/>
      </c>
      <c r="Z1025" s="84"/>
      <c r="AA1025" s="84" t="str">
        <f>IF(AND(MONTH(E1025)='IN-NX'!$J$5,'IN-NX'!$D$7=D1025),"x","")</f>
        <v/>
      </c>
      <c r="AB1025" s="84" t="str">
        <f>IF(AND(OR(LEFT(TH!N1025,2)="15",LEFT(TH!O1025,2)="15"),LEFT(TH!O1025,3)&lt;&gt;"111",'152-CT'!$J$8=TH!F1025),"x","")</f>
        <v/>
      </c>
      <c r="AC1025" s="84" t="str">
        <f>IF(AND(OR(LEFT(TH!N1025,2)="15",LEFT(TH!O1025,2)="15"),TK!$E$7=TH!F1025),"x","")</f>
        <v/>
      </c>
      <c r="AD1025" s="84" t="str">
        <f>IF(AND(N1025="1521",MONTH(C1025)='BK-NL'!$M$11),"x","")</f>
        <v/>
      </c>
    </row>
    <row r="1026" spans="1:31" ht="15.75" hidden="1" customHeight="1">
      <c r="A1026" s="336" t="str">
        <f>IF(B1026&lt;&gt;"",IF(AND(B1026='IN-TC'!$S$4,OR(TH!N1026="1111",TH!O1026="1111")),TH!D1026,""),"")</f>
        <v/>
      </c>
      <c r="B1026" s="63">
        <f t="shared" si="170"/>
        <v>3</v>
      </c>
      <c r="C1026" s="64">
        <v>42436</v>
      </c>
      <c r="D1026" s="318" t="s">
        <v>705</v>
      </c>
      <c r="E1026" s="64">
        <v>42436</v>
      </c>
      <c r="F1026" s="73" t="s">
        <v>1050</v>
      </c>
      <c r="G1026" s="67" t="s">
        <v>919</v>
      </c>
      <c r="H1026" s="344" t="s">
        <v>714</v>
      </c>
      <c r="I1026" s="439"/>
      <c r="J1026" s="439"/>
      <c r="K1026" s="430">
        <v>74.369982078853042</v>
      </c>
      <c r="L1026" s="439">
        <v>22320</v>
      </c>
      <c r="M1026" s="65">
        <v>1659938</v>
      </c>
      <c r="N1026" s="66" t="s">
        <v>99</v>
      </c>
      <c r="O1026" s="66" t="s">
        <v>26</v>
      </c>
      <c r="P1026" s="84" t="str">
        <f>IF(AND('331-CT'!$E$7=TH!H1026,OR(N1026="331",O1026="331")),"x","")</f>
        <v/>
      </c>
      <c r="Q1026" s="84" t="str">
        <f>IF(AND(B1026='111'!$L$11,OR($N1026=$Q$7,$O1026=$Q$7)),"x","")</f>
        <v/>
      </c>
      <c r="R1026" s="84" t="str">
        <f>IF(AND($N1026=$Q$7,$B1026&lt;'111'!$L$11),"x","")</f>
        <v/>
      </c>
      <c r="S1026" s="84" t="str">
        <f>IF(AND($O1026=$Q$7,$B1026&lt;'111'!$L$11),"x","")</f>
        <v/>
      </c>
      <c r="T1026" s="84" t="str">
        <f>IF(ISERROR(FIND('112'!$M$9,G1026,1)),"",IF((AND(FIND('112'!$M$9,G1026,1)&gt;=1,B1026='112'!$K$9,OR($N1026='112'!$I$6,$O1026='112'!$I$6))),"x",""))</f>
        <v/>
      </c>
      <c r="U1026" s="84" t="str">
        <f>IF(ISERROR(FIND('112'!$M$9,G1026,1)),"",IF((AND(LEFT(G1026,2)=LEFT('112'!$M$9,2),B1026&lt;'112'!$K$9,$N1026='112'!$I$6)),"x",""))</f>
        <v/>
      </c>
      <c r="V1026" s="84" t="str">
        <f>IF(ISERROR(FIND('112'!$M$9,G1026,1)),"",IF((AND(RIGHT(G1026,2)=RIGHT('112'!$M$9,2),B1026&lt;'112'!$K$9,$O1026='112'!$I$6)),"x",""))</f>
        <v>x</v>
      </c>
      <c r="W1026" s="84" t="str">
        <f>IF(AND('341-CT'!$H$9=H1026,OR(LEFT(N1026,3)=$W$7,LEFT(O1026,3)=$W$7)),"x","")</f>
        <v/>
      </c>
      <c r="X1026" s="84" t="str">
        <f>IF(OR(TH!N1026=TH!$X$7,O1026=TH!$X$7),"x","")</f>
        <v/>
      </c>
      <c r="Y1026" s="84" t="str">
        <f>IF(AND(OR(N1026="131",O1026="131"),H1026='131-CT'!$H$9),"x","")</f>
        <v/>
      </c>
      <c r="Z1026" s="84"/>
      <c r="AA1026" s="84" t="str">
        <f>IF(AND(MONTH(E1026)='IN-NX'!$J$5,'IN-NX'!$D$7=D1026),"x","")</f>
        <v/>
      </c>
      <c r="AB1026" s="84" t="str">
        <f>IF(AND(OR(LEFT(TH!N1026,2)="15",LEFT(TH!O1026,2)="15"),LEFT(TH!O1026,3)&lt;&gt;"111",'152-CT'!$J$8=TH!F1026),"x","")</f>
        <v/>
      </c>
      <c r="AC1026" s="84" t="str">
        <f>IF(AND(OR(LEFT(TH!N1026,2)="15",LEFT(TH!O1026,2)="15"),TK!$E$7=TH!F1026),"x","")</f>
        <v/>
      </c>
      <c r="AD1026" s="84" t="str">
        <f>IF(AND(N1026="1521",MONTH(C1026)='BK-NL'!$M$11),"x","")</f>
        <v/>
      </c>
    </row>
    <row r="1027" spans="1:31" ht="15.75" hidden="1" customHeight="1">
      <c r="A1027" s="336" t="str">
        <f>IF(B1027&lt;&gt;"",IF(AND(B1027='IN-TC'!$S$4,OR(TH!N1027="1111",TH!O1027="1111")),TH!D1027,""),"")</f>
        <v/>
      </c>
      <c r="B1027" s="63">
        <f t="shared" si="170"/>
        <v>3</v>
      </c>
      <c r="C1027" s="64">
        <v>42436</v>
      </c>
      <c r="D1027" s="318" t="s">
        <v>705</v>
      </c>
      <c r="E1027" s="64">
        <v>42436</v>
      </c>
      <c r="F1027" s="73" t="s">
        <v>1051</v>
      </c>
      <c r="G1027" s="67" t="s">
        <v>919</v>
      </c>
      <c r="H1027" s="344" t="s">
        <v>721</v>
      </c>
      <c r="I1027" s="439"/>
      <c r="J1027" s="439"/>
      <c r="K1027" s="430">
        <v>104.10999103942652</v>
      </c>
      <c r="L1027" s="439">
        <v>22320</v>
      </c>
      <c r="M1027" s="65">
        <v>2323735</v>
      </c>
      <c r="N1027" s="66" t="s">
        <v>99</v>
      </c>
      <c r="O1027" s="66" t="s">
        <v>26</v>
      </c>
      <c r="P1027" s="84" t="str">
        <f>IF(AND('331-CT'!$E$7=TH!H1027,OR(N1027="331",O1027="331")),"x","")</f>
        <v/>
      </c>
      <c r="Q1027" s="84" t="str">
        <f>IF(AND(B1027='111'!$L$11,OR($N1027=$Q$7,$O1027=$Q$7)),"x","")</f>
        <v/>
      </c>
      <c r="R1027" s="84" t="str">
        <f>IF(AND($N1027=$Q$7,$B1027&lt;'111'!$L$11),"x","")</f>
        <v/>
      </c>
      <c r="S1027" s="84" t="str">
        <f>IF(AND($O1027=$Q$7,$B1027&lt;'111'!$L$11),"x","")</f>
        <v/>
      </c>
      <c r="T1027" s="84" t="str">
        <f>IF(ISERROR(FIND('112'!$M$9,G1027,1)),"",IF((AND(FIND('112'!$M$9,G1027,1)&gt;=1,B1027='112'!$K$9,OR($N1027='112'!$I$6,$O1027='112'!$I$6))),"x",""))</f>
        <v/>
      </c>
      <c r="U1027" s="84" t="str">
        <f>IF(ISERROR(FIND('112'!$M$9,G1027,1)),"",IF((AND(LEFT(G1027,2)=LEFT('112'!$M$9,2),B1027&lt;'112'!$K$9,$N1027='112'!$I$6)),"x",""))</f>
        <v/>
      </c>
      <c r="V1027" s="84" t="str">
        <f>IF(ISERROR(FIND('112'!$M$9,G1027,1)),"",IF((AND(RIGHT(G1027,2)=RIGHT('112'!$M$9,2),B1027&lt;'112'!$K$9,$O1027='112'!$I$6)),"x",""))</f>
        <v>x</v>
      </c>
      <c r="W1027" s="84" t="str">
        <f>IF(AND('341-CT'!$H$9=H1027,OR(LEFT(N1027,3)=$W$7,LEFT(O1027,3)=$W$7)),"x","")</f>
        <v/>
      </c>
      <c r="X1027" s="84" t="str">
        <f>IF(OR(TH!N1027=TH!$X$7,O1027=TH!$X$7),"x","")</f>
        <v/>
      </c>
      <c r="Y1027" s="84" t="str">
        <f>IF(AND(OR(N1027="131",O1027="131"),H1027='131-CT'!$H$9),"x","")</f>
        <v/>
      </c>
      <c r="Z1027" s="84"/>
      <c r="AA1027" s="84" t="str">
        <f>IF(AND(MONTH(E1027)='IN-NX'!$J$5,'IN-NX'!$D$7=D1027),"x","")</f>
        <v/>
      </c>
      <c r="AB1027" s="84" t="str">
        <f>IF(AND(OR(LEFT(TH!N1027,2)="15",LEFT(TH!O1027,2)="15"),LEFT(TH!O1027,3)&lt;&gt;"111",'152-CT'!$J$8=TH!F1027),"x","")</f>
        <v/>
      </c>
      <c r="AC1027" s="84" t="str">
        <f>IF(AND(OR(LEFT(TH!N1027,2)="15",LEFT(TH!O1027,2)="15"),TK!$E$7=TH!F1027),"x","")</f>
        <v/>
      </c>
      <c r="AD1027" s="84" t="str">
        <f>IF(AND(N1027="1521",MONTH(C1027)='BK-NL'!$M$11),"x","")</f>
        <v/>
      </c>
    </row>
    <row r="1028" spans="1:31" ht="15.75" hidden="1" customHeight="1">
      <c r="A1028" s="336" t="str">
        <f>IF(B1028&lt;&gt;"",IF(AND(B1028='IN-TC'!$S$4,OR(TH!N1028="1111",TH!O1028="1111")),TH!D1028,""),"")</f>
        <v/>
      </c>
      <c r="B1028" s="63">
        <f t="shared" si="170"/>
        <v>3</v>
      </c>
      <c r="C1028" s="64">
        <v>42436</v>
      </c>
      <c r="D1028" s="318" t="s">
        <v>702</v>
      </c>
      <c r="E1028" s="64">
        <v>42436</v>
      </c>
      <c r="F1028" s="73" t="s">
        <v>1207</v>
      </c>
      <c r="G1028" s="67" t="s">
        <v>919</v>
      </c>
      <c r="H1028" s="344" t="s">
        <v>720</v>
      </c>
      <c r="I1028" s="439"/>
      <c r="J1028" s="439"/>
      <c r="K1028" s="430"/>
      <c r="L1028" s="439"/>
      <c r="M1028" s="65">
        <v>1251036</v>
      </c>
      <c r="N1028" s="66" t="s">
        <v>26</v>
      </c>
      <c r="O1028" s="66" t="s">
        <v>19</v>
      </c>
      <c r="P1028" s="84" t="str">
        <f>IF(AND('331-CT'!$E$7=TH!H1028,OR(N1028="331",O1028="331")),"x","")</f>
        <v/>
      </c>
      <c r="Q1028" s="84" t="str">
        <f>IF(AND(B1028='111'!$L$11,OR($N1028=$Q$7,$O1028=$Q$7)),"x","")</f>
        <v/>
      </c>
      <c r="R1028" s="84" t="str">
        <f>IF(AND($N1028=$Q$7,$B1028&lt;'111'!$L$11),"x","")</f>
        <v/>
      </c>
      <c r="S1028" s="84" t="str">
        <f>IF(AND($O1028=$Q$7,$B1028&lt;'111'!$L$11),"x","")</f>
        <v/>
      </c>
      <c r="T1028" s="84" t="str">
        <f>IF(ISERROR(FIND('112'!$M$9,G1028,1)),"",IF((AND(FIND('112'!$M$9,G1028,1)&gt;=1,B1028='112'!$K$9,OR($N1028='112'!$I$6,$O1028='112'!$I$6))),"x",""))</f>
        <v/>
      </c>
      <c r="U1028" s="84" t="str">
        <f>IF(ISERROR(FIND('112'!$M$9,G1028,1)),"",IF((AND(LEFT(G1028,2)=LEFT('112'!$M$9,2),B1028&lt;'112'!$K$9,$N1028='112'!$I$6)),"x",""))</f>
        <v>x</v>
      </c>
      <c r="V1028" s="84" t="str">
        <f>IF(ISERROR(FIND('112'!$M$9,G1028,1)),"",IF((AND(RIGHT(G1028,2)=RIGHT('112'!$M$9,2),B1028&lt;'112'!$K$9,$O1028='112'!$I$6)),"x",""))</f>
        <v/>
      </c>
      <c r="W1028" s="84" t="str">
        <f>IF(AND('341-CT'!$H$9=H1028,OR(LEFT(N1028,3)=$W$7,LEFT(O1028,3)=$W$7)),"x","")</f>
        <v/>
      </c>
      <c r="X1028" s="84" t="str">
        <f>IF(OR(TH!N1028=TH!$X$7,O1028=TH!$X$7),"x","")</f>
        <v/>
      </c>
      <c r="Y1028" s="84" t="str">
        <f>IF(AND(OR(N1028="131",O1028="131"),H1028='131-CT'!$H$9),"x","")</f>
        <v/>
      </c>
      <c r="Z1028" s="84"/>
      <c r="AA1028" s="84" t="str">
        <f>IF(AND(MONTH(E1028)='IN-NX'!$J$5,'IN-NX'!$D$7=D1028),"x","")</f>
        <v/>
      </c>
      <c r="AB1028" s="84" t="str">
        <f>IF(AND(OR(LEFT(TH!N1028,2)="15",LEFT(TH!O1028,2)="15"),LEFT(TH!O1028,3)&lt;&gt;"111",'152-CT'!$J$8=TH!F1028),"x","")</f>
        <v/>
      </c>
      <c r="AC1028" s="84" t="str">
        <f>IF(AND(OR(LEFT(TH!N1028,2)="15",LEFT(TH!O1028,2)="15"),TK!$E$7=TH!F1028),"x","")</f>
        <v/>
      </c>
      <c r="AD1028" s="84" t="str">
        <f>IF(AND(N1028="1521",MONTH(C1028)='BK-NL'!$M$11),"x","")</f>
        <v/>
      </c>
    </row>
    <row r="1029" spans="1:31" ht="15.75" hidden="1" customHeight="1">
      <c r="A1029" s="336" t="str">
        <f>IF(B1029&lt;&gt;"",IF(AND(B1029='IN-TC'!$S$4,OR(TH!N1029="1111",TH!O1029="1111")),TH!D1029,""),"")</f>
        <v/>
      </c>
      <c r="B1029" s="63">
        <f t="shared" si="170"/>
        <v>3</v>
      </c>
      <c r="C1029" s="64">
        <v>42436</v>
      </c>
      <c r="D1029" s="318" t="s">
        <v>705</v>
      </c>
      <c r="E1029" s="64">
        <v>42436</v>
      </c>
      <c r="F1029" s="73" t="s">
        <v>1048</v>
      </c>
      <c r="G1029" s="67" t="s">
        <v>919</v>
      </c>
      <c r="H1029" s="344" t="s">
        <v>720</v>
      </c>
      <c r="I1029" s="439"/>
      <c r="J1029" s="439"/>
      <c r="K1029" s="430">
        <v>50.440008960573479</v>
      </c>
      <c r="L1029" s="439">
        <v>22320</v>
      </c>
      <c r="M1029" s="65">
        <v>1125821</v>
      </c>
      <c r="N1029" s="66" t="s">
        <v>99</v>
      </c>
      <c r="O1029" s="66" t="s">
        <v>26</v>
      </c>
      <c r="P1029" s="84" t="str">
        <f>IF(AND('331-CT'!$E$7=TH!H1029,OR(N1029="331",O1029="331")),"x","")</f>
        <v/>
      </c>
      <c r="Q1029" s="84" t="str">
        <f>IF(AND(B1029='111'!$L$11,OR($N1029=$Q$7,$O1029=$Q$7)),"x","")</f>
        <v/>
      </c>
      <c r="R1029" s="84" t="str">
        <f>IF(AND($N1029=$Q$7,$B1029&lt;'111'!$L$11),"x","")</f>
        <v/>
      </c>
      <c r="S1029" s="84" t="str">
        <f>IF(AND($O1029=$Q$7,$B1029&lt;'111'!$L$11),"x","")</f>
        <v/>
      </c>
      <c r="T1029" s="84" t="str">
        <f>IF(ISERROR(FIND('112'!$M$9,G1029,1)),"",IF((AND(FIND('112'!$M$9,G1029,1)&gt;=1,B1029='112'!$K$9,OR($N1029='112'!$I$6,$O1029='112'!$I$6))),"x",""))</f>
        <v/>
      </c>
      <c r="U1029" s="84" t="str">
        <f>IF(ISERROR(FIND('112'!$M$9,G1029,1)),"",IF((AND(LEFT(G1029,2)=LEFT('112'!$M$9,2),B1029&lt;'112'!$K$9,$N1029='112'!$I$6)),"x",""))</f>
        <v/>
      </c>
      <c r="V1029" s="84" t="str">
        <f>IF(ISERROR(FIND('112'!$M$9,G1029,1)),"",IF((AND(RIGHT(G1029,2)=RIGHT('112'!$M$9,2),B1029&lt;'112'!$K$9,$O1029='112'!$I$6)),"x",""))</f>
        <v>x</v>
      </c>
      <c r="W1029" s="84" t="str">
        <f>IF(AND('341-CT'!$H$9=H1029,OR(LEFT(N1029,3)=$W$7,LEFT(O1029,3)=$W$7)),"x","")</f>
        <v/>
      </c>
      <c r="X1029" s="84" t="str">
        <f>IF(OR(TH!N1029=TH!$X$7,O1029=TH!$X$7),"x","")</f>
        <v/>
      </c>
      <c r="Y1029" s="84" t="str">
        <f>IF(AND(OR(N1029="131",O1029="131"),H1029='131-CT'!$H$9),"x","")</f>
        <v/>
      </c>
      <c r="Z1029" s="84"/>
      <c r="AA1029" s="84" t="str">
        <f>IF(AND(MONTH(E1029)='IN-NX'!$J$5,'IN-NX'!$D$7=D1029),"x","")</f>
        <v/>
      </c>
      <c r="AB1029" s="84" t="str">
        <f>IF(AND(OR(LEFT(TH!N1029,2)="15",LEFT(TH!O1029,2)="15"),LEFT(TH!O1029,3)&lt;&gt;"111",'152-CT'!$J$8=TH!F1029),"x","")</f>
        <v/>
      </c>
      <c r="AC1029" s="84" t="str">
        <f>IF(AND(OR(LEFT(TH!N1029,2)="15",LEFT(TH!O1029,2)="15"),TK!$E$7=TH!F1029),"x","")</f>
        <v/>
      </c>
      <c r="AD1029" s="84" t="str">
        <f>IF(AND(N1029="1521",MONTH(C1029)='BK-NL'!$M$11),"x","")</f>
        <v/>
      </c>
    </row>
    <row r="1030" spans="1:31" ht="15.75" hidden="1" customHeight="1">
      <c r="A1030" s="336" t="str">
        <f>IF(B1030&lt;&gt;"",IF(AND(B1030='IN-TC'!$S$4,OR(TH!N1030="1111",TH!O1030="1111")),TH!D1030,""),"")</f>
        <v/>
      </c>
      <c r="B1030" s="63">
        <f t="shared" ref="B1030:B1099" si="172">IF(C1030&lt;&gt;"",MONTH(C1030),"")</f>
        <v>3</v>
      </c>
      <c r="C1030" s="64">
        <v>42436</v>
      </c>
      <c r="D1030" s="318" t="s">
        <v>874</v>
      </c>
      <c r="E1030" s="64">
        <v>42436</v>
      </c>
      <c r="F1030" s="73" t="s">
        <v>1146</v>
      </c>
      <c r="G1030" s="67" t="s">
        <v>919</v>
      </c>
      <c r="H1030" s="320" t="s">
        <v>763</v>
      </c>
      <c r="I1030" s="439"/>
      <c r="J1030" s="439"/>
      <c r="K1030" s="430"/>
      <c r="L1030" s="439"/>
      <c r="M1030" s="65">
        <v>1828600000</v>
      </c>
      <c r="N1030" s="321" t="s">
        <v>63</v>
      </c>
      <c r="O1030" s="66" t="s">
        <v>26</v>
      </c>
      <c r="P1030" s="84" t="str">
        <f>IF(AND('331-CT'!$E$7=TH!H1030,OR(N1030="331",O1030="331")),"x","")</f>
        <v/>
      </c>
      <c r="Q1030" s="84" t="str">
        <f>IF(AND(B1030='111'!$L$11,OR($N1030=$Q$7,$O1030=$Q$7)),"x","")</f>
        <v/>
      </c>
      <c r="R1030" s="84" t="str">
        <f>IF(AND($N1030=$Q$7,$B1030&lt;'111'!$L$11),"x","")</f>
        <v/>
      </c>
      <c r="S1030" s="84" t="str">
        <f>IF(AND($O1030=$Q$7,$B1030&lt;'111'!$L$11),"x","")</f>
        <v/>
      </c>
      <c r="T1030" s="84" t="str">
        <f>IF(ISERROR(FIND('112'!$M$9,G1030,1)),"",IF((AND(FIND('112'!$M$9,G1030,1)&gt;=1,B1030='112'!$K$9,OR($N1030='112'!$I$6,$O1030='112'!$I$6))),"x",""))</f>
        <v/>
      </c>
      <c r="U1030" s="84" t="str">
        <f>IF(ISERROR(FIND('112'!$M$9,G1030,1)),"",IF((AND(LEFT(G1030,2)=LEFT('112'!$M$9,2),B1030&lt;'112'!$K$9,$N1030='112'!$I$6)),"x",""))</f>
        <v/>
      </c>
      <c r="V1030" s="84" t="str">
        <f>IF(ISERROR(FIND('112'!$M$9,G1030,1)),"",IF((AND(RIGHT(G1030,2)=RIGHT('112'!$M$9,2),B1030&lt;'112'!$K$9,$O1030='112'!$I$6)),"x",""))</f>
        <v>x</v>
      </c>
      <c r="W1030" s="84" t="str">
        <f>IF(AND('341-CT'!$H$9=H1030,OR(LEFT(N1030,3)=$W$7,LEFT(O1030,3)=$W$7)),"x","")</f>
        <v/>
      </c>
      <c r="X1030" s="84" t="str">
        <f>IF(OR(TH!N1030=TH!$X$7,O1030=TH!$X$7),"x","")</f>
        <v/>
      </c>
      <c r="Y1030" s="84" t="str">
        <f>IF(AND(OR(N1030="131",O1030="131"),H1030='131-CT'!$H$9),"x","")</f>
        <v/>
      </c>
      <c r="Z1030" s="84"/>
      <c r="AA1030" s="84" t="str">
        <f>IF(AND(MONTH(E1030)='IN-NX'!$J$5,'IN-NX'!$D$7=D1030),"x","")</f>
        <v/>
      </c>
      <c r="AB1030" s="84" t="str">
        <f>IF(AND(OR(LEFT(TH!N1030,2)="15",LEFT(TH!O1030,2)="15"),LEFT(TH!O1030,3)&lt;&gt;"111",'152-CT'!$J$8=TH!F1030),"x","")</f>
        <v/>
      </c>
      <c r="AC1030" s="84" t="str">
        <f>IF(AND(OR(LEFT(TH!N1030,2)="15",LEFT(TH!O1030,2)="15"),TK!$E$7=TH!F1030),"x","")</f>
        <v/>
      </c>
      <c r="AD1030" s="84" t="str">
        <f>IF(AND(N1030="1521",MONTH(C1030)='BK-NL'!$M$11),"x","")</f>
        <v/>
      </c>
    </row>
    <row r="1031" spans="1:31" ht="15.75" hidden="1" customHeight="1">
      <c r="A1031" s="336" t="str">
        <f>IF(B1031&lt;&gt;"",IF(AND(B1031='IN-TC'!$S$4,OR(TH!N1031="1111",TH!O1031="1111")),TH!D1031,""),"")</f>
        <v/>
      </c>
      <c r="B1031" s="63">
        <f t="shared" si="172"/>
        <v>3</v>
      </c>
      <c r="C1031" s="318">
        <v>42437</v>
      </c>
      <c r="D1031" s="318" t="s">
        <v>886</v>
      </c>
      <c r="E1031" s="318">
        <v>42437</v>
      </c>
      <c r="F1031" s="73" t="s">
        <v>1107</v>
      </c>
      <c r="G1031" s="319" t="s">
        <v>919</v>
      </c>
      <c r="H1031" s="320" t="s">
        <v>763</v>
      </c>
      <c r="I1031" s="439"/>
      <c r="J1031" s="439"/>
      <c r="K1031" s="430"/>
      <c r="L1031" s="439"/>
      <c r="M1031" s="65">
        <v>64000000</v>
      </c>
      <c r="N1031" s="66" t="s">
        <v>26</v>
      </c>
      <c r="O1031" s="66" t="s">
        <v>63</v>
      </c>
      <c r="P1031" s="84" t="str">
        <f>IF(AND('331-CT'!$E$7=TH!H1031,OR(N1031="331",O1031="331")),"x","")</f>
        <v/>
      </c>
      <c r="Q1031" s="84" t="str">
        <f>IF(AND(B1031='111'!$L$11,OR($N1031=$Q$7,$O1031=$Q$7)),"x","")</f>
        <v/>
      </c>
      <c r="R1031" s="84" t="str">
        <f>IF(AND($N1031=$Q$7,$B1031&lt;'111'!$L$11),"x","")</f>
        <v/>
      </c>
      <c r="S1031" s="84" t="str">
        <f>IF(AND($O1031=$Q$7,$B1031&lt;'111'!$L$11),"x","")</f>
        <v/>
      </c>
      <c r="T1031" s="84" t="str">
        <f>IF(ISERROR(FIND('112'!$M$9,G1031,1)),"",IF((AND(FIND('112'!$M$9,G1031,1)&gt;=1,B1031='112'!$K$9,OR($N1031='112'!$I$6,$O1031='112'!$I$6))),"x",""))</f>
        <v/>
      </c>
      <c r="U1031" s="84" t="str">
        <f>IF(ISERROR(FIND('112'!$M$9,G1031,1)),"",IF((AND(LEFT(G1031,2)=LEFT('112'!$M$9,2),B1031&lt;'112'!$K$9,$N1031='112'!$I$6)),"x",""))</f>
        <v>x</v>
      </c>
      <c r="V1031" s="84" t="str">
        <f>IF(ISERROR(FIND('112'!$M$9,G1031,1)),"",IF((AND(RIGHT(G1031,2)=RIGHT('112'!$M$9,2),B1031&lt;'112'!$K$9,$O1031='112'!$I$6)),"x",""))</f>
        <v/>
      </c>
      <c r="W1031" s="84" t="str">
        <f>IF(AND('341-CT'!$H$9=H1031,OR(LEFT(N1031,3)=$W$7,LEFT(O1031,3)=$W$7)),"x","")</f>
        <v/>
      </c>
      <c r="X1031" s="84" t="str">
        <f>IF(OR(TH!N1031=TH!$X$7,O1031=TH!$X$7),"x","")</f>
        <v/>
      </c>
      <c r="Y1031" s="84" t="str">
        <f>IF(AND(OR(N1031="131",O1031="131"),H1031='131-CT'!$H$9),"x","")</f>
        <v/>
      </c>
      <c r="Z1031" s="84"/>
      <c r="AA1031" s="84" t="str">
        <f>IF(AND(MONTH(E1031)='IN-NX'!$J$5,'IN-NX'!$D$7=D1031),"x","")</f>
        <v/>
      </c>
      <c r="AB1031" s="84" t="str">
        <f>IF(AND(OR(LEFT(TH!N1031,2)="15",LEFT(TH!O1031,2)="15"),LEFT(TH!O1031,3)&lt;&gt;"111",'152-CT'!$J$8=TH!F1031),"x","")</f>
        <v/>
      </c>
      <c r="AC1031" s="84" t="str">
        <f>IF(AND(OR(LEFT(TH!N1031,2)="15",LEFT(TH!O1031,2)="15"),TK!$E$7=TH!F1031),"x","")</f>
        <v/>
      </c>
      <c r="AD1031" s="84" t="str">
        <f>IF(AND(N1031="1521",MONTH(C1031)='BK-NL'!$M$11),"x","")</f>
        <v/>
      </c>
    </row>
    <row r="1032" spans="1:31" ht="15.75" hidden="1" customHeight="1">
      <c r="A1032" s="336" t="str">
        <f>IF(B1032&lt;&gt;"",IF(AND(B1032='IN-TC'!$S$4,OR(TH!N1032="1111",TH!O1032="1111")),TH!D1032,""),"")</f>
        <v/>
      </c>
      <c r="B1032" s="63">
        <f t="shared" si="172"/>
        <v>3</v>
      </c>
      <c r="C1032" s="318">
        <v>42437</v>
      </c>
      <c r="D1032" s="318" t="s">
        <v>887</v>
      </c>
      <c r="E1032" s="318">
        <v>42437</v>
      </c>
      <c r="F1032" s="73" t="s">
        <v>771</v>
      </c>
      <c r="G1032" s="986" t="s">
        <v>1117</v>
      </c>
      <c r="H1032" s="320" t="s">
        <v>1109</v>
      </c>
      <c r="I1032" s="439"/>
      <c r="J1032" s="439"/>
      <c r="K1032" s="430"/>
      <c r="L1032" s="439"/>
      <c r="M1032" s="65">
        <v>452873</v>
      </c>
      <c r="N1032" s="321" t="s">
        <v>101</v>
      </c>
      <c r="O1032" s="66" t="s">
        <v>63</v>
      </c>
      <c r="P1032" s="84" t="str">
        <f>IF(AND('331-CT'!$E$7=TH!H1032,OR(N1032="331",O1032="331")),"x","")</f>
        <v/>
      </c>
      <c r="Q1032" s="84" t="str">
        <f>IF(AND(B1032='111'!$L$11,OR($N1032=$Q$7,$O1032=$Q$7)),"x","")</f>
        <v/>
      </c>
      <c r="R1032" s="84" t="str">
        <f>IF(AND($N1032=$Q$7,$B1032&lt;'111'!$L$11),"x","")</f>
        <v/>
      </c>
      <c r="S1032" s="84" t="str">
        <f>IF(AND($O1032=$Q$7,$B1032&lt;'111'!$L$11),"x","")</f>
        <v/>
      </c>
      <c r="T1032" s="84" t="str">
        <f>IF(ISERROR(FIND('112'!$M$9,G1032,1)),"",IF((AND(FIND('112'!$M$9,G1032,1)&gt;=1,B1032='112'!$K$9,OR($N1032='112'!$I$6,$O1032='112'!$I$6))),"x",""))</f>
        <v/>
      </c>
      <c r="U1032" s="84" t="str">
        <f>IF(ISERROR(FIND('112'!$M$9,G1032,1)),"",IF((AND(LEFT(G1032,2)=LEFT('112'!$M$9,2),B1032&lt;'112'!$K$9,$N1032='112'!$I$6)),"x",""))</f>
        <v/>
      </c>
      <c r="V1032" s="84" t="str">
        <f>IF(ISERROR(FIND('112'!$M$9,G1032,1)),"",IF((AND(RIGHT(G1032,2)=RIGHT('112'!$M$9,2),B1032&lt;'112'!$K$9,$O1032='112'!$I$6)),"x",""))</f>
        <v/>
      </c>
      <c r="W1032" s="84" t="str">
        <f>IF(AND('341-CT'!$H$9=H1032,OR(LEFT(N1032,3)=$W$7,LEFT(O1032,3)=$W$7)),"x","")</f>
        <v/>
      </c>
      <c r="X1032" s="84" t="str">
        <f>IF(OR(TH!N1032=TH!$X$7,O1032=TH!$X$7),"x","")</f>
        <v/>
      </c>
      <c r="Y1032" s="84" t="str">
        <f>IF(AND(OR(N1032="131",O1032="131"),H1032='131-CT'!$H$9),"x","")</f>
        <v/>
      </c>
      <c r="Z1032" s="84"/>
      <c r="AA1032" s="84" t="str">
        <f>IF(AND(MONTH(E1032)='IN-NX'!$J$5,'IN-NX'!$D$7=D1032),"x","")</f>
        <v/>
      </c>
      <c r="AB1032" s="84" t="str">
        <f>IF(AND(OR(LEFT(TH!N1032,2)="15",LEFT(TH!O1032,2)="15"),LEFT(TH!O1032,3)&lt;&gt;"111",'152-CT'!$J$8=TH!F1032),"x","")</f>
        <v/>
      </c>
      <c r="AC1032" s="84" t="str">
        <f>IF(AND(OR(LEFT(TH!N1032,2)="15",LEFT(TH!O1032,2)="15"),TK!$E$7=TH!F1032),"x","")</f>
        <v/>
      </c>
      <c r="AD1032" s="84" t="str">
        <f>IF(AND(N1032="1521",MONTH(C1032)='BK-NL'!$M$11),"x","")</f>
        <v/>
      </c>
    </row>
    <row r="1033" spans="1:31" ht="15.75" hidden="1" customHeight="1">
      <c r="A1033" s="336" t="str">
        <f>IF(B1033&lt;&gt;"",IF(AND(B1033='IN-TC'!$S$4,OR(TH!N1033="1111",TH!O1033="1111")),TH!D1033,""),"")</f>
        <v/>
      </c>
      <c r="B1033" s="63">
        <f t="shared" si="172"/>
        <v>3</v>
      </c>
      <c r="C1033" s="318">
        <v>42437</v>
      </c>
      <c r="D1033" s="318" t="s">
        <v>887</v>
      </c>
      <c r="E1033" s="318">
        <v>42437</v>
      </c>
      <c r="F1033" s="73" t="s">
        <v>772</v>
      </c>
      <c r="G1033" s="986" t="s">
        <v>1117</v>
      </c>
      <c r="H1033" s="320" t="s">
        <v>1109</v>
      </c>
      <c r="I1033" s="439"/>
      <c r="J1033" s="439"/>
      <c r="K1033" s="430"/>
      <c r="L1033" s="439"/>
      <c r="M1033" s="65">
        <v>45287</v>
      </c>
      <c r="N1033" s="321" t="s">
        <v>9</v>
      </c>
      <c r="O1033" s="66" t="s">
        <v>63</v>
      </c>
      <c r="P1033" s="84" t="str">
        <f>IF(AND('331-CT'!$E$7=TH!H1033,OR(N1033="331",O1033="331")),"x","")</f>
        <v/>
      </c>
      <c r="Q1033" s="84" t="str">
        <f>IF(AND(B1033='111'!$L$11,OR($N1033=$Q$7,$O1033=$Q$7)),"x","")</f>
        <v/>
      </c>
      <c r="R1033" s="84" t="str">
        <f>IF(AND($N1033=$Q$7,$B1033&lt;'111'!$L$11),"x","")</f>
        <v/>
      </c>
      <c r="S1033" s="84" t="str">
        <f>IF(AND($O1033=$Q$7,$B1033&lt;'111'!$L$11),"x","")</f>
        <v/>
      </c>
      <c r="T1033" s="84" t="str">
        <f>IF(ISERROR(FIND('112'!$M$9,G1033,1)),"",IF((AND(FIND('112'!$M$9,G1033,1)&gt;=1,B1033='112'!$K$9,OR($N1033='112'!$I$6,$O1033='112'!$I$6))),"x",""))</f>
        <v/>
      </c>
      <c r="U1033" s="84" t="str">
        <f>IF(ISERROR(FIND('112'!$M$9,G1033,1)),"",IF((AND(LEFT(G1033,2)=LEFT('112'!$M$9,2),B1033&lt;'112'!$K$9,$N1033='112'!$I$6)),"x",""))</f>
        <v/>
      </c>
      <c r="V1033" s="84" t="str">
        <f>IF(ISERROR(FIND('112'!$M$9,G1033,1)),"",IF((AND(RIGHT(G1033,2)=RIGHT('112'!$M$9,2),B1033&lt;'112'!$K$9,$O1033='112'!$I$6)),"x",""))</f>
        <v/>
      </c>
      <c r="W1033" s="84" t="str">
        <f>IF(AND('341-CT'!$H$9=H1033,OR(LEFT(N1033,3)=$W$7,LEFT(O1033,3)=$W$7)),"x","")</f>
        <v/>
      </c>
      <c r="X1033" s="84" t="str">
        <f>IF(OR(TH!N1033=TH!$X$7,O1033=TH!$X$7),"x","")</f>
        <v/>
      </c>
      <c r="Y1033" s="84" t="str">
        <f>IF(AND(OR(N1033="131",O1033="131"),H1033='131-CT'!$H$9),"x","")</f>
        <v/>
      </c>
      <c r="Z1033" s="84"/>
      <c r="AA1033" s="84" t="str">
        <f>IF(AND(MONTH(E1033)='IN-NX'!$J$5,'IN-NX'!$D$7=D1033),"x","")</f>
        <v/>
      </c>
      <c r="AB1033" s="84" t="str">
        <f>IF(AND(OR(LEFT(TH!N1033,2)="15",LEFT(TH!O1033,2)="15"),LEFT(TH!O1033,3)&lt;&gt;"111",'152-CT'!$J$8=TH!F1033),"x","")</f>
        <v/>
      </c>
      <c r="AC1033" s="84" t="str">
        <f>IF(AND(OR(LEFT(TH!N1033,2)="15",LEFT(TH!O1033,2)="15"),TK!$E$7=TH!F1033),"x","")</f>
        <v/>
      </c>
      <c r="AD1033" s="84" t="str">
        <f>IF(AND(N1033="1521",MONTH(C1033)='BK-NL'!$M$11),"x","")</f>
        <v/>
      </c>
    </row>
    <row r="1034" spans="1:31" ht="15.75" hidden="1" customHeight="1">
      <c r="A1034" s="336" t="str">
        <f>IF(B1034&lt;&gt;"",IF(AND(B1034='IN-TC'!$S$4,OR(TH!N1034="1111",TH!O1034="1111")),TH!D1034,""),"")</f>
        <v/>
      </c>
      <c r="B1034" s="63">
        <f t="shared" si="172"/>
        <v>3</v>
      </c>
      <c r="C1034" s="64">
        <v>42437</v>
      </c>
      <c r="D1034" s="318" t="s">
        <v>888</v>
      </c>
      <c r="E1034" s="64">
        <v>42437</v>
      </c>
      <c r="F1034" s="73" t="s">
        <v>1107</v>
      </c>
      <c r="G1034" s="319" t="s">
        <v>919</v>
      </c>
      <c r="H1034" s="320" t="s">
        <v>1208</v>
      </c>
      <c r="I1034" s="439"/>
      <c r="J1034" s="439"/>
      <c r="K1034" s="430"/>
      <c r="L1034" s="439"/>
      <c r="M1034" s="65">
        <v>1928600000</v>
      </c>
      <c r="N1034" s="66" t="s">
        <v>26</v>
      </c>
      <c r="O1034" s="66" t="s">
        <v>63</v>
      </c>
      <c r="P1034" s="84" t="str">
        <f>IF(AND('331-CT'!$E$7=TH!H1034,OR(N1034="331",O1034="331")),"x","")</f>
        <v/>
      </c>
      <c r="Q1034" s="84" t="str">
        <f>IF(AND(B1034='111'!$L$11,OR($N1034=$Q$7,$O1034=$Q$7)),"x","")</f>
        <v/>
      </c>
      <c r="R1034" s="84" t="str">
        <f>IF(AND($N1034=$Q$7,$B1034&lt;'111'!$L$11),"x","")</f>
        <v/>
      </c>
      <c r="S1034" s="84" t="str">
        <f>IF(AND($O1034=$Q$7,$B1034&lt;'111'!$L$11),"x","")</f>
        <v/>
      </c>
      <c r="T1034" s="84" t="str">
        <f>IF(ISERROR(FIND('112'!$M$9,G1034,1)),"",IF((AND(FIND('112'!$M$9,G1034,1)&gt;=1,B1034='112'!$K$9,OR($N1034='112'!$I$6,$O1034='112'!$I$6))),"x",""))</f>
        <v/>
      </c>
      <c r="U1034" s="84" t="str">
        <f>IF(ISERROR(FIND('112'!$M$9,G1034,1)),"",IF((AND(LEFT(G1034,2)=LEFT('112'!$M$9,2),B1034&lt;'112'!$K$9,$N1034='112'!$I$6)),"x",""))</f>
        <v>x</v>
      </c>
      <c r="V1034" s="84" t="str">
        <f>IF(ISERROR(FIND('112'!$M$9,G1034,1)),"",IF((AND(RIGHT(G1034,2)=RIGHT('112'!$M$9,2),B1034&lt;'112'!$K$9,$O1034='112'!$I$6)),"x",""))</f>
        <v/>
      </c>
      <c r="W1034" s="84" t="str">
        <f>IF(AND('341-CT'!$H$9=H1034,OR(LEFT(N1034,3)=$W$7,LEFT(O1034,3)=$W$7)),"x","")</f>
        <v/>
      </c>
      <c r="X1034" s="84" t="str">
        <f>IF(OR(TH!N1034=TH!$X$7,O1034=TH!$X$7),"x","")</f>
        <v/>
      </c>
      <c r="Y1034" s="84" t="str">
        <f>IF(AND(OR(N1034="131",O1034="131"),H1034='131-CT'!$H$9),"x","")</f>
        <v/>
      </c>
      <c r="Z1034" s="84"/>
      <c r="AA1034" s="84" t="str">
        <f>IF(AND(MONTH(E1034)='IN-NX'!$J$5,'IN-NX'!$D$7=D1034),"x","")</f>
        <v/>
      </c>
      <c r="AB1034" s="84" t="str">
        <f>IF(AND(OR(LEFT(TH!N1034,2)="15",LEFT(TH!O1034,2)="15"),LEFT(TH!O1034,3)&lt;&gt;"111",'152-CT'!$J$8=TH!F1034),"x","")</f>
        <v/>
      </c>
      <c r="AC1034" s="84" t="str">
        <f>IF(AND(OR(LEFT(TH!N1034,2)="15",LEFT(TH!O1034,2)="15"),TK!$E$7=TH!F1034),"x","")</f>
        <v/>
      </c>
      <c r="AD1034" s="84" t="str">
        <f>IF(AND(N1034="1521",MONTH(C1034)='BK-NL'!$M$11),"x","")</f>
        <v/>
      </c>
    </row>
    <row r="1035" spans="1:31" ht="15.75" hidden="1" customHeight="1">
      <c r="A1035" s="336" t="str">
        <f>IF(B1035&lt;&gt;"",IF(AND(B1035='IN-TC'!$S$4,OR(TH!N1035="1111",TH!O1035="1111")),TH!D1035,""),"")</f>
        <v/>
      </c>
      <c r="B1035" s="63">
        <f t="shared" si="172"/>
        <v>3</v>
      </c>
      <c r="C1035" s="64">
        <v>42437</v>
      </c>
      <c r="D1035" s="64" t="s">
        <v>702</v>
      </c>
      <c r="E1035" s="318">
        <v>42437</v>
      </c>
      <c r="F1035" s="73" t="s">
        <v>1187</v>
      </c>
      <c r="G1035" s="319" t="s">
        <v>919</v>
      </c>
      <c r="H1035" s="73"/>
      <c r="I1035" s="439"/>
      <c r="J1035" s="439"/>
      <c r="K1035" s="430">
        <v>90000</v>
      </c>
      <c r="L1035" s="439">
        <v>22300</v>
      </c>
      <c r="M1035" s="65">
        <v>2007000000</v>
      </c>
      <c r="N1035" s="321" t="s">
        <v>266</v>
      </c>
      <c r="O1035" s="66" t="s">
        <v>26</v>
      </c>
      <c r="P1035" s="84" t="str">
        <f>IF(AND('331-CT'!$E$7=TH!H1035,OR(N1035="331",O1035="331")),"x","")</f>
        <v/>
      </c>
      <c r="Q1035" s="84" t="str">
        <f>IF(AND(B1035='111'!$L$11,OR($N1035=$Q$7,$O1035=$Q$7)),"x","")</f>
        <v/>
      </c>
      <c r="R1035" s="84" t="str">
        <f>IF(AND($N1035=$Q$7,$B1035&lt;'111'!$L$11),"x","")</f>
        <v/>
      </c>
      <c r="S1035" s="84" t="str">
        <f>IF(AND($O1035=$Q$7,$B1035&lt;'111'!$L$11),"x","")</f>
        <v/>
      </c>
      <c r="T1035" s="84" t="str">
        <f>IF(ISERROR(FIND('112'!$M$9,G1035,1)),"",IF((AND(FIND('112'!$M$9,G1035,1)&gt;=1,B1035='112'!$K$9,OR($N1035='112'!$I$6,$O1035='112'!$I$6))),"x",""))</f>
        <v/>
      </c>
      <c r="U1035" s="84" t="str">
        <f>IF(ISERROR(FIND('112'!$M$9,G1035,1)),"",IF((AND(LEFT(G1035,2)=LEFT('112'!$M$9,2),B1035&lt;'112'!$K$9,$N1035='112'!$I$6)),"x",""))</f>
        <v/>
      </c>
      <c r="V1035" s="84" t="str">
        <f>IF(ISERROR(FIND('112'!$M$9,G1035,1)),"",IF((AND(RIGHT(G1035,2)=RIGHT('112'!$M$9,2),B1035&lt;'112'!$K$9,$O1035='112'!$I$6)),"x",""))</f>
        <v>x</v>
      </c>
      <c r="W1035" s="84" t="str">
        <f>IF(AND('341-CT'!$H$9=H1035,OR(LEFT(N1035,3)=$W$7,LEFT(O1035,3)=$W$7)),"x","")</f>
        <v/>
      </c>
      <c r="X1035" s="84" t="str">
        <f>IF(OR(TH!N1035=TH!$X$7,O1035=TH!$X$7),"x","")</f>
        <v/>
      </c>
      <c r="Y1035" s="84" t="str">
        <f>IF(AND(OR(N1035="131",O1035="131"),H1035='131-CT'!$H$9),"x","")</f>
        <v/>
      </c>
      <c r="Z1035" s="84"/>
      <c r="AA1035" s="84" t="str">
        <f>IF(AND(MONTH(E1035)='IN-NX'!$J$5,'IN-NX'!$D$7=D1035),"x","")</f>
        <v/>
      </c>
      <c r="AB1035" s="84" t="str">
        <f>IF(AND(OR(LEFT(TH!N1035,2)="15",LEFT(TH!O1035,2)="15"),LEFT(TH!O1035,3)&lt;&gt;"111",'152-CT'!$J$8=TH!F1035),"x","")</f>
        <v/>
      </c>
      <c r="AC1035" s="84" t="str">
        <f>IF(AND(OR(LEFT(TH!N1035,2)="15",LEFT(TH!O1035,2)="15"),TK!$E$7=TH!F1035),"x","")</f>
        <v/>
      </c>
      <c r="AD1035" s="84" t="str">
        <f>IF(AND(N1035="1521",MONTH(C1035)='BK-NL'!$M$11),"x","")</f>
        <v/>
      </c>
      <c r="AE1035" s="347"/>
    </row>
    <row r="1036" spans="1:31" s="351" customFormat="1" ht="15.75" hidden="1" customHeight="1">
      <c r="A1036" s="336" t="str">
        <f>IF(B1036&lt;&gt;"",IF(AND(B1036='IN-TC'!$S$4,OR(TH!N1036="1111",TH!O1036="1111")),TH!D1036,""),"")</f>
        <v/>
      </c>
      <c r="B1036" s="63">
        <f t="shared" si="172"/>
        <v>3</v>
      </c>
      <c r="C1036" s="64">
        <v>42437</v>
      </c>
      <c r="D1036" s="64" t="s">
        <v>702</v>
      </c>
      <c r="E1036" s="318">
        <v>42437</v>
      </c>
      <c r="F1036" s="73" t="s">
        <v>1704</v>
      </c>
      <c r="G1036" s="319" t="s">
        <v>919</v>
      </c>
      <c r="H1036" s="73" t="s">
        <v>1189</v>
      </c>
      <c r="I1036" s="439"/>
      <c r="J1036" s="439"/>
      <c r="K1036" s="430">
        <v>90000</v>
      </c>
      <c r="L1036" s="439">
        <v>22300</v>
      </c>
      <c r="M1036" s="65">
        <v>2007000000</v>
      </c>
      <c r="N1036" s="321" t="s">
        <v>266</v>
      </c>
      <c r="O1036" s="66" t="s">
        <v>260</v>
      </c>
      <c r="P1036" s="84" t="str">
        <f>IF(AND('331-CT'!$E$7=TH!H1036,OR(N1036="331",O1036="331")),"x","")</f>
        <v/>
      </c>
      <c r="Q1036" s="84" t="str">
        <f>IF(AND(B1036='111'!$L$11,OR($N1036=$Q$7,$O1036=$Q$7)),"x","")</f>
        <v/>
      </c>
      <c r="R1036" s="84" t="str">
        <f>IF(AND($N1036=$Q$7,$B1036&lt;'111'!$L$11),"x","")</f>
        <v/>
      </c>
      <c r="S1036" s="84" t="str">
        <f>IF(AND($O1036=$Q$7,$B1036&lt;'111'!$L$11),"x","")</f>
        <v/>
      </c>
      <c r="T1036" s="84" t="str">
        <f>IF(ISERROR(FIND('112'!$M$9,G1036,1)),"",IF((AND(FIND('112'!$M$9,G1036,1)&gt;=1,B1036='112'!$K$9,OR($N1036='112'!$I$6,$O1036='112'!$I$6))),"x",""))</f>
        <v/>
      </c>
      <c r="U1036" s="84" t="str">
        <f>IF(ISERROR(FIND('112'!$M$9,G1036,1)),"",IF((AND(LEFT(G1036,2)=LEFT('112'!$M$9,2),B1036&lt;'112'!$K$9,$N1036='112'!$I$6)),"x",""))</f>
        <v/>
      </c>
      <c r="V1036" s="84" t="str">
        <f>IF(ISERROR(FIND('112'!$M$9,G1036,1)),"",IF((AND(RIGHT(G1036,2)=RIGHT('112'!$M$9,2),B1036&lt;'112'!$K$9,$O1036='112'!$I$6)),"x",""))</f>
        <v/>
      </c>
      <c r="W1036" s="84" t="str">
        <f>IF(AND('341-CT'!$H$9=H1036,OR(LEFT(N1036,3)=$W$7,LEFT(O1036,3)=$W$7)),"x","")</f>
        <v/>
      </c>
      <c r="X1036" s="84" t="str">
        <f>IF(OR(TH!N1036=TH!$X$7,O1036=TH!$X$7),"x","")</f>
        <v/>
      </c>
      <c r="Y1036" s="84" t="str">
        <f>IF(AND(OR(N1036="131",O1036="131"),H1036='131-CT'!$H$9),"x","")</f>
        <v/>
      </c>
      <c r="Z1036" s="84"/>
      <c r="AA1036" s="84" t="str">
        <f>IF(AND(MONTH(E1036)='IN-NX'!$J$5,'IN-NX'!$D$7=D1036),"x","")</f>
        <v/>
      </c>
      <c r="AB1036" s="84" t="str">
        <f>IF(AND(OR(LEFT(TH!N1036,2)="15",LEFT(TH!O1036,2)="15"),LEFT(TH!O1036,3)&lt;&gt;"111",'152-CT'!$J$8=TH!F1036),"x","")</f>
        <v/>
      </c>
      <c r="AC1036" s="84" t="str">
        <f>IF(AND(OR(LEFT(TH!N1036,2)="15",LEFT(TH!O1036,2)="15"),TK!$E$7=TH!F1036),"x","")</f>
        <v/>
      </c>
      <c r="AD1036" s="84" t="str">
        <f>IF(AND(N1036="1521",MONTH(C1036)='BK-NL'!$M$11),"x","")</f>
        <v/>
      </c>
    </row>
    <row r="1037" spans="1:31" s="350" customFormat="1" ht="15.75" hidden="1" customHeight="1">
      <c r="A1037" s="336" t="str">
        <f>IF(B1037&lt;&gt;"",IF(AND(B1037='IN-TC'!$S$4,OR(TH!N1037="1111",TH!O1037="1111")),TH!D1037,""),"")</f>
        <v/>
      </c>
      <c r="B1037" s="63">
        <f t="shared" si="172"/>
        <v>3</v>
      </c>
      <c r="C1037" s="318">
        <v>42437</v>
      </c>
      <c r="D1037" s="64" t="s">
        <v>705</v>
      </c>
      <c r="E1037" s="318">
        <v>42437</v>
      </c>
      <c r="F1037" s="73" t="s">
        <v>1190</v>
      </c>
      <c r="G1037" s="319" t="s">
        <v>919</v>
      </c>
      <c r="H1037" s="320" t="s">
        <v>723</v>
      </c>
      <c r="I1037" s="439"/>
      <c r="J1037" s="439"/>
      <c r="K1037" s="430">
        <v>40000</v>
      </c>
      <c r="L1037" s="439">
        <v>22300</v>
      </c>
      <c r="M1037" s="65">
        <v>892000000</v>
      </c>
      <c r="N1037" s="321" t="s">
        <v>260</v>
      </c>
      <c r="O1037" s="321" t="s">
        <v>266</v>
      </c>
      <c r="P1037" s="84" t="str">
        <f>IF(AND('331-CT'!$E$7=TH!H1037,OR(N1037="331",O1037="331")),"x","")</f>
        <v/>
      </c>
      <c r="Q1037" s="84" t="str">
        <f>IF(AND(B1037='111'!$L$11,OR($N1037=$Q$7,$O1037=$Q$7)),"x","")</f>
        <v/>
      </c>
      <c r="R1037" s="84" t="str">
        <f>IF(AND($N1037=$Q$7,$B1037&lt;'111'!$L$11),"x","")</f>
        <v/>
      </c>
      <c r="S1037" s="84" t="str">
        <f>IF(AND($O1037=$Q$7,$B1037&lt;'111'!$L$11),"x","")</f>
        <v/>
      </c>
      <c r="T1037" s="84" t="str">
        <f>IF(ISERROR(FIND('112'!$M$9,G1037,1)),"",IF((AND(FIND('112'!$M$9,G1037,1)&gt;=1,B1037='112'!$K$9,OR($N1037='112'!$I$6,$O1037='112'!$I$6))),"x",""))</f>
        <v/>
      </c>
      <c r="U1037" s="84" t="str">
        <f>IF(ISERROR(FIND('112'!$M$9,G1037,1)),"",IF((AND(LEFT(G1037,2)=LEFT('112'!$M$9,2),B1037&lt;'112'!$K$9,$N1037='112'!$I$6)),"x",""))</f>
        <v/>
      </c>
      <c r="V1037" s="84" t="str">
        <f>IF(ISERROR(FIND('112'!$M$9,G1037,1)),"",IF((AND(RIGHT(G1037,2)=RIGHT('112'!$M$9,2),B1037&lt;'112'!$K$9,$O1037='112'!$I$6)),"x",""))</f>
        <v/>
      </c>
      <c r="W1037" s="84" t="str">
        <f>IF(AND('341-CT'!$H$9=H1037,OR(LEFT(N1037,3)=$W$7,LEFT(O1037,3)=$W$7)),"x","")</f>
        <v/>
      </c>
      <c r="X1037" s="84" t="str">
        <f>IF(OR(TH!N1037=TH!$X$7,O1037=TH!$X$7),"x","")</f>
        <v/>
      </c>
      <c r="Y1037" s="84" t="str">
        <f>IF(AND(OR(N1037="131",O1037="131"),H1037='131-CT'!$H$9),"x","")</f>
        <v/>
      </c>
      <c r="Z1037" s="84"/>
      <c r="AA1037" s="84" t="str">
        <f>IF(AND(MONTH(E1037)='IN-NX'!$J$5,'IN-NX'!$D$7=D1037),"x","")</f>
        <v/>
      </c>
      <c r="AB1037" s="84" t="str">
        <f>IF(AND(OR(LEFT(TH!N1037,2)="15",LEFT(TH!O1037,2)="15"),LEFT(TH!O1037,3)&lt;&gt;"111",'152-CT'!$J$8=TH!F1037),"x","")</f>
        <v/>
      </c>
      <c r="AC1037" s="84" t="str">
        <f>IF(AND(OR(LEFT(TH!N1037,2)="15",LEFT(TH!O1037,2)="15"),TK!$E$7=TH!F1037),"x","")</f>
        <v/>
      </c>
      <c r="AD1037" s="84" t="str">
        <f>IF(AND(N1037="1521",MONTH(C1037)='BK-NL'!$M$11),"x","")</f>
        <v/>
      </c>
      <c r="AE1037" s="351"/>
    </row>
    <row r="1038" spans="1:31" ht="15.75" hidden="1" customHeight="1">
      <c r="A1038" s="336" t="str">
        <f>IF(B1038&lt;&gt;"",IF(AND(B1038='IN-TC'!$S$4,OR(TH!N1038="1111",TH!O1038="1111")),TH!D1038,""),"")</f>
        <v/>
      </c>
      <c r="B1038" s="63">
        <f t="shared" si="172"/>
        <v>3</v>
      </c>
      <c r="C1038" s="318">
        <v>42437</v>
      </c>
      <c r="D1038" s="318" t="s">
        <v>582</v>
      </c>
      <c r="E1038" s="318">
        <v>42437</v>
      </c>
      <c r="F1038" s="73" t="s">
        <v>734</v>
      </c>
      <c r="G1038" s="319" t="s">
        <v>919</v>
      </c>
      <c r="H1038" s="320" t="s">
        <v>723</v>
      </c>
      <c r="I1038" s="439"/>
      <c r="J1038" s="439"/>
      <c r="K1038" s="430"/>
      <c r="L1038" s="439">
        <v>22300</v>
      </c>
      <c r="M1038" s="441">
        <v>7520000</v>
      </c>
      <c r="N1038" s="321" t="s">
        <v>260</v>
      </c>
      <c r="O1038" s="66" t="s">
        <v>43</v>
      </c>
      <c r="P1038" s="84" t="str">
        <f>IF(AND('331-CT'!$E$7=TH!H1038,OR(N1038="331",O1038="331")),"x","")</f>
        <v/>
      </c>
      <c r="Q1038" s="84" t="str">
        <f>IF(AND(B1038='111'!$L$11,OR($N1038=$Q$7,$O1038=$Q$7)),"x","")</f>
        <v/>
      </c>
      <c r="R1038" s="84" t="str">
        <f>IF(AND($N1038=$Q$7,$B1038&lt;'111'!$L$11),"x","")</f>
        <v/>
      </c>
      <c r="S1038" s="84" t="str">
        <f>IF(AND($O1038=$Q$7,$B1038&lt;'111'!$L$11),"x","")</f>
        <v/>
      </c>
      <c r="T1038" s="84" t="str">
        <f>IF(ISERROR(FIND('112'!$M$9,G1038,1)),"",IF((AND(FIND('112'!$M$9,G1038,1)&gt;=1,B1038='112'!$K$9,OR($N1038='112'!$I$6,$O1038='112'!$I$6))),"x",""))</f>
        <v/>
      </c>
      <c r="U1038" s="84" t="str">
        <f>IF(ISERROR(FIND('112'!$M$9,G1038,1)),"",IF((AND(LEFT(G1038,2)=LEFT('112'!$M$9,2),B1038&lt;'112'!$K$9,$N1038='112'!$I$6)),"x",""))</f>
        <v/>
      </c>
      <c r="V1038" s="84" t="str">
        <f>IF(ISERROR(FIND('112'!$M$9,G1038,1)),"",IF((AND(RIGHT(G1038,2)=RIGHT('112'!$M$9,2),B1038&lt;'112'!$K$9,$O1038='112'!$I$6)),"x",""))</f>
        <v/>
      </c>
      <c r="W1038" s="84" t="str">
        <f>IF(AND('341-CT'!$H$9=H1038,OR(LEFT(N1038,3)=$W$7,LEFT(O1038,3)=$W$7)),"x","")</f>
        <v/>
      </c>
      <c r="X1038" s="84" t="str">
        <f>IF(OR(TH!N1038=TH!$X$7,O1038=TH!$X$7),"x","")</f>
        <v/>
      </c>
      <c r="Y1038" s="84" t="str">
        <f>IF(AND(OR(N1038="131",O1038="131"),H1038='131-CT'!$H$9),"x","")</f>
        <v/>
      </c>
      <c r="Z1038" s="84"/>
      <c r="AA1038" s="84" t="str">
        <f>IF(AND(MONTH(E1038)='IN-NX'!$J$5,'IN-NX'!$D$7=D1038),"x","")</f>
        <v/>
      </c>
      <c r="AB1038" s="84" t="str">
        <f>IF(AND(OR(LEFT(TH!N1038,2)="15",LEFT(TH!O1038,2)="15"),LEFT(TH!O1038,3)&lt;&gt;"111",'152-CT'!$J$8=TH!F1038),"x","")</f>
        <v/>
      </c>
      <c r="AC1038" s="84" t="str">
        <f>IF(AND(OR(LEFT(TH!N1038,2)="15",LEFT(TH!O1038,2)="15"),TK!$E$7=TH!F1038),"x","")</f>
        <v/>
      </c>
      <c r="AD1038" s="84" t="str">
        <f>IF(AND(N1038="1521",MONTH(C1038)='BK-NL'!$M$11),"x","")</f>
        <v/>
      </c>
      <c r="AE1038" s="351"/>
    </row>
    <row r="1039" spans="1:31" s="347" customFormat="1" ht="15.75" hidden="1" customHeight="1">
      <c r="A1039" s="336" t="str">
        <f>IF(B1039&lt;&gt;"",IF(AND(B1039='IN-TC'!$S$4,OR(TH!N1039="1111",TH!O1039="1111")),TH!D1039,""),"")</f>
        <v/>
      </c>
      <c r="B1039" s="63">
        <f t="shared" si="172"/>
        <v>3</v>
      </c>
      <c r="C1039" s="318">
        <v>42437</v>
      </c>
      <c r="D1039" s="64" t="s">
        <v>705</v>
      </c>
      <c r="E1039" s="318">
        <v>42437</v>
      </c>
      <c r="F1039" s="73" t="s">
        <v>1190</v>
      </c>
      <c r="G1039" s="319" t="s">
        <v>919</v>
      </c>
      <c r="H1039" s="320" t="s">
        <v>724</v>
      </c>
      <c r="I1039" s="439"/>
      <c r="J1039" s="439"/>
      <c r="K1039" s="430">
        <v>50000</v>
      </c>
      <c r="L1039" s="439">
        <v>22300</v>
      </c>
      <c r="M1039" s="65">
        <v>1115000000</v>
      </c>
      <c r="N1039" s="321" t="s">
        <v>260</v>
      </c>
      <c r="O1039" s="321" t="s">
        <v>266</v>
      </c>
      <c r="P1039" s="84" t="str">
        <f>IF(AND('331-CT'!$E$7=TH!H1039,OR(N1039="331",O1039="331")),"x","")</f>
        <v/>
      </c>
      <c r="Q1039" s="84" t="str">
        <f>IF(AND(B1039='111'!$L$11,OR($N1039=$Q$7,$O1039=$Q$7)),"x","")</f>
        <v/>
      </c>
      <c r="R1039" s="84" t="str">
        <f>IF(AND($N1039=$Q$7,$B1039&lt;'111'!$L$11),"x","")</f>
        <v/>
      </c>
      <c r="S1039" s="84" t="str">
        <f>IF(AND($O1039=$Q$7,$B1039&lt;'111'!$L$11),"x","")</f>
        <v/>
      </c>
      <c r="T1039" s="84" t="str">
        <f>IF(ISERROR(FIND('112'!$M$9,G1039,1)),"",IF((AND(FIND('112'!$M$9,G1039,1)&gt;=1,B1039='112'!$K$9,OR($N1039='112'!$I$6,$O1039='112'!$I$6))),"x",""))</f>
        <v/>
      </c>
      <c r="U1039" s="84" t="str">
        <f>IF(ISERROR(FIND('112'!$M$9,G1039,1)),"",IF((AND(LEFT(G1039,2)=LEFT('112'!$M$9,2),B1039&lt;'112'!$K$9,$N1039='112'!$I$6)),"x",""))</f>
        <v/>
      </c>
      <c r="V1039" s="84" t="str">
        <f>IF(ISERROR(FIND('112'!$M$9,G1039,1)),"",IF((AND(RIGHT(G1039,2)=RIGHT('112'!$M$9,2),B1039&lt;'112'!$K$9,$O1039='112'!$I$6)),"x",""))</f>
        <v/>
      </c>
      <c r="W1039" s="84" t="str">
        <f>IF(AND('341-CT'!$H$9=H1039,OR(LEFT(N1039,3)=$W$7,LEFT(O1039,3)=$W$7)),"x","")</f>
        <v/>
      </c>
      <c r="X1039" s="84" t="str">
        <f>IF(OR(TH!N1039=TH!$X$7,O1039=TH!$X$7),"x","")</f>
        <v/>
      </c>
      <c r="Y1039" s="84" t="str">
        <f>IF(AND(OR(N1039="131",O1039="131"),H1039='131-CT'!$H$9),"x","")</f>
        <v/>
      </c>
      <c r="Z1039" s="84"/>
      <c r="AA1039" s="84" t="str">
        <f>IF(AND(MONTH(E1039)='IN-NX'!$J$5,'IN-NX'!$D$7=D1039),"x","")</f>
        <v/>
      </c>
      <c r="AB1039" s="84" t="str">
        <f>IF(AND(OR(LEFT(TH!N1039,2)="15",LEFT(TH!O1039,2)="15"),LEFT(TH!O1039,3)&lt;&gt;"111",'152-CT'!$J$8=TH!F1039),"x","")</f>
        <v/>
      </c>
      <c r="AC1039" s="84" t="str">
        <f>IF(AND(OR(LEFT(TH!N1039,2)="15",LEFT(TH!O1039,2)="15"),TK!$E$7=TH!F1039),"x","")</f>
        <v/>
      </c>
      <c r="AD1039" s="84" t="str">
        <f>IF(AND(N1039="1521",MONTH(C1039)='BK-NL'!$M$11),"x","")</f>
        <v/>
      </c>
      <c r="AE1039" s="351"/>
    </row>
    <row r="1040" spans="1:31" s="351" customFormat="1" ht="15.75" hidden="1" customHeight="1">
      <c r="A1040" s="336" t="str">
        <f>IF(B1040&lt;&gt;"",IF(AND(B1040='IN-TC'!$S$4,OR(TH!N1040="1111",TH!O1040="1111")),TH!D1040,""),"")</f>
        <v/>
      </c>
      <c r="B1040" s="63">
        <f t="shared" si="172"/>
        <v>3</v>
      </c>
      <c r="C1040" s="318">
        <v>42437</v>
      </c>
      <c r="D1040" s="318" t="s">
        <v>582</v>
      </c>
      <c r="E1040" s="318">
        <v>42437</v>
      </c>
      <c r="F1040" s="73" t="s">
        <v>734</v>
      </c>
      <c r="G1040" s="319" t="s">
        <v>919</v>
      </c>
      <c r="H1040" s="320" t="s">
        <v>724</v>
      </c>
      <c r="I1040" s="439"/>
      <c r="J1040" s="439"/>
      <c r="K1040" s="430"/>
      <c r="L1040" s="439">
        <v>22300</v>
      </c>
      <c r="M1040" s="65">
        <v>9250000</v>
      </c>
      <c r="N1040" s="321" t="s">
        <v>260</v>
      </c>
      <c r="O1040" s="66" t="s">
        <v>43</v>
      </c>
      <c r="P1040" s="84" t="str">
        <f>IF(AND('331-CT'!$E$7=TH!H1040,OR(N1040="331",O1040="331")),"x","")</f>
        <v/>
      </c>
      <c r="Q1040" s="84" t="str">
        <f>IF(AND(B1040='111'!$L$11,OR($N1040=$Q$7,$O1040=$Q$7)),"x","")</f>
        <v/>
      </c>
      <c r="R1040" s="84" t="str">
        <f>IF(AND($N1040=$Q$7,$B1040&lt;'111'!$L$11),"x","")</f>
        <v/>
      </c>
      <c r="S1040" s="84" t="str">
        <f>IF(AND($O1040=$Q$7,$B1040&lt;'111'!$L$11),"x","")</f>
        <v/>
      </c>
      <c r="T1040" s="84" t="str">
        <f>IF(ISERROR(FIND('112'!$M$9,G1040,1)),"",IF((AND(FIND('112'!$M$9,G1040,1)&gt;=1,B1040='112'!$K$9,OR($N1040='112'!$I$6,$O1040='112'!$I$6))),"x",""))</f>
        <v/>
      </c>
      <c r="U1040" s="84" t="str">
        <f>IF(ISERROR(FIND('112'!$M$9,G1040,1)),"",IF((AND(LEFT(G1040,2)=LEFT('112'!$M$9,2),B1040&lt;'112'!$K$9,$N1040='112'!$I$6)),"x",""))</f>
        <v/>
      </c>
      <c r="V1040" s="84" t="str">
        <f>IF(ISERROR(FIND('112'!$M$9,G1040,1)),"",IF((AND(RIGHT(G1040,2)=RIGHT('112'!$M$9,2),B1040&lt;'112'!$K$9,$O1040='112'!$I$6)),"x",""))</f>
        <v/>
      </c>
      <c r="W1040" s="84" t="str">
        <f>IF(AND('341-CT'!$H$9=H1040,OR(LEFT(N1040,3)=$W$7,LEFT(O1040,3)=$W$7)),"x","")</f>
        <v/>
      </c>
      <c r="X1040" s="84" t="str">
        <f>IF(OR(TH!N1040=TH!$X$7,O1040=TH!$X$7),"x","")</f>
        <v/>
      </c>
      <c r="Y1040" s="84" t="str">
        <f>IF(AND(OR(N1040="131",O1040="131"),H1040='131-CT'!$H$9),"x","")</f>
        <v/>
      </c>
      <c r="Z1040" s="84"/>
      <c r="AA1040" s="84" t="str">
        <f>IF(AND(MONTH(E1040)='IN-NX'!$J$5,'IN-NX'!$D$7=D1040),"x","")</f>
        <v/>
      </c>
      <c r="AB1040" s="84" t="str">
        <f>IF(AND(OR(LEFT(TH!N1040,2)="15",LEFT(TH!O1040,2)="15"),LEFT(TH!O1040,3)&lt;&gt;"111",'152-CT'!$J$8=TH!F1040),"x","")</f>
        <v/>
      </c>
      <c r="AC1040" s="84" t="str">
        <f>IF(AND(OR(LEFT(TH!N1040,2)="15",LEFT(TH!O1040,2)="15"),TK!$E$7=TH!F1040),"x","")</f>
        <v/>
      </c>
      <c r="AD1040" s="84" t="str">
        <f>IF(AND(N1040="1521",MONTH(C1040)='BK-NL'!$M$11),"x","")</f>
        <v/>
      </c>
    </row>
    <row r="1041" spans="1:31" s="351" customFormat="1" ht="15.75" hidden="1" customHeight="1">
      <c r="A1041" s="336" t="str">
        <f>IF(B1041&lt;&gt;"",IF(AND(B1041='IN-TC'!$S$4,OR(TH!N1041="1111",TH!O1041="1111")),TH!D1041,""),"")</f>
        <v/>
      </c>
      <c r="B1041" s="63">
        <f t="shared" si="172"/>
        <v>3</v>
      </c>
      <c r="C1041" s="318">
        <v>42437</v>
      </c>
      <c r="D1041" s="64" t="s">
        <v>705</v>
      </c>
      <c r="E1041" s="318">
        <v>42437</v>
      </c>
      <c r="F1041" s="73" t="s">
        <v>1445</v>
      </c>
      <c r="G1041" s="319" t="s">
        <v>919</v>
      </c>
      <c r="H1041" s="320"/>
      <c r="I1041" s="439"/>
      <c r="J1041" s="439"/>
      <c r="K1041" s="430">
        <v>90000</v>
      </c>
      <c r="L1041" s="439">
        <v>22300</v>
      </c>
      <c r="M1041" s="65">
        <v>2007000000</v>
      </c>
      <c r="N1041" s="66" t="s">
        <v>26</v>
      </c>
      <c r="O1041" s="321" t="s">
        <v>266</v>
      </c>
      <c r="P1041" s="84" t="str">
        <f>IF(AND('331-CT'!$E$7=TH!H1041,OR(N1041="331",O1041="331")),"x","")</f>
        <v/>
      </c>
      <c r="Q1041" s="84" t="str">
        <f>IF(AND(B1041='111'!$L$11,OR($N1041=$Q$7,$O1041=$Q$7)),"x","")</f>
        <v/>
      </c>
      <c r="R1041" s="84" t="str">
        <f>IF(AND($N1041=$Q$7,$B1041&lt;'111'!$L$11),"x","")</f>
        <v/>
      </c>
      <c r="S1041" s="84" t="str">
        <f>IF(AND($O1041=$Q$7,$B1041&lt;'111'!$L$11),"x","")</f>
        <v/>
      </c>
      <c r="T1041" s="84" t="str">
        <f>IF(ISERROR(FIND('112'!$M$9,G1041,1)),"",IF((AND(FIND('112'!$M$9,G1041,1)&gt;=1,B1041='112'!$K$9,OR($N1041='112'!$I$6,$O1041='112'!$I$6))),"x",""))</f>
        <v/>
      </c>
      <c r="U1041" s="84" t="str">
        <f>IF(ISERROR(FIND('112'!$M$9,G1041,1)),"",IF((AND(LEFT(G1041,2)=LEFT('112'!$M$9,2),B1041&lt;'112'!$K$9,$N1041='112'!$I$6)),"x",""))</f>
        <v>x</v>
      </c>
      <c r="V1041" s="84" t="str">
        <f>IF(ISERROR(FIND('112'!$M$9,G1041,1)),"",IF((AND(RIGHT(G1041,2)=RIGHT('112'!$M$9,2),B1041&lt;'112'!$K$9,$O1041='112'!$I$6)),"x",""))</f>
        <v/>
      </c>
      <c r="W1041" s="84" t="str">
        <f>IF(AND('341-CT'!$H$9=H1041,OR(LEFT(N1041,3)=$W$7,LEFT(O1041,3)=$W$7)),"x","")</f>
        <v/>
      </c>
      <c r="X1041" s="84" t="str">
        <f>IF(OR(TH!N1041=TH!$X$7,O1041=TH!$X$7),"x","")</f>
        <v/>
      </c>
      <c r="Y1041" s="84" t="str">
        <f>IF(AND(OR(N1041="131",O1041="131"),H1041='131-CT'!$H$9),"x","")</f>
        <v/>
      </c>
      <c r="Z1041" s="84"/>
      <c r="AA1041" s="84" t="str">
        <f>IF(AND(MONTH(E1041)='IN-NX'!$J$5,'IN-NX'!$D$7=D1041),"x","")</f>
        <v/>
      </c>
      <c r="AB1041" s="84" t="str">
        <f>IF(AND(OR(LEFT(TH!N1041,2)="15",LEFT(TH!O1041,2)="15"),LEFT(TH!O1041,3)&lt;&gt;"111",'152-CT'!$J$8=TH!F1041),"x","")</f>
        <v/>
      </c>
      <c r="AC1041" s="84" t="str">
        <f>IF(AND(OR(LEFT(TH!N1041,2)="15",LEFT(TH!O1041,2)="15"),TK!$E$7=TH!F1041),"x","")</f>
        <v/>
      </c>
      <c r="AD1041" s="84" t="str">
        <f>IF(AND(N1041="1521",MONTH(C1041)='BK-NL'!$M$11),"x","")</f>
        <v/>
      </c>
    </row>
    <row r="1042" spans="1:31" s="351" customFormat="1" ht="15.75" hidden="1" customHeight="1">
      <c r="A1042" s="336" t="str">
        <f>IF(B1042&lt;&gt;"",IF(AND(B1042='IN-TC'!$S$4,OR(TH!N1042="1111",TH!O1042="1111")),TH!D1042,""),"")</f>
        <v/>
      </c>
      <c r="B1042" s="63">
        <f t="shared" si="172"/>
        <v>3</v>
      </c>
      <c r="C1042" s="64">
        <v>42437</v>
      </c>
      <c r="D1042" s="318" t="s">
        <v>705</v>
      </c>
      <c r="E1042" s="64">
        <v>42437</v>
      </c>
      <c r="F1042" s="73" t="s">
        <v>1056</v>
      </c>
      <c r="G1042" s="67" t="s">
        <v>919</v>
      </c>
      <c r="H1042" s="73" t="s">
        <v>723</v>
      </c>
      <c r="I1042" s="439"/>
      <c r="J1042" s="439"/>
      <c r="K1042" s="430">
        <v>93.371818996415769</v>
      </c>
      <c r="L1042" s="439">
        <v>22320</v>
      </c>
      <c r="M1042" s="65">
        <v>2084059</v>
      </c>
      <c r="N1042" s="66" t="s">
        <v>99</v>
      </c>
      <c r="O1042" s="66" t="s">
        <v>26</v>
      </c>
      <c r="P1042" s="84" t="str">
        <f>IF(AND('331-CT'!$E$7=TH!H1042,OR(N1042="331",O1042="331")),"x","")</f>
        <v/>
      </c>
      <c r="Q1042" s="84" t="str">
        <f>IF(AND(B1042='111'!$L$11,OR($N1042=$Q$7,$O1042=$Q$7)),"x","")</f>
        <v/>
      </c>
      <c r="R1042" s="84" t="str">
        <f>IF(AND($N1042=$Q$7,$B1042&lt;'111'!$L$11),"x","")</f>
        <v/>
      </c>
      <c r="S1042" s="84" t="str">
        <f>IF(AND($O1042=$Q$7,$B1042&lt;'111'!$L$11),"x","")</f>
        <v/>
      </c>
      <c r="T1042" s="84" t="str">
        <f>IF(ISERROR(FIND('112'!$M$9,G1042,1)),"",IF((AND(FIND('112'!$M$9,G1042,1)&gt;=1,B1042='112'!$K$9,OR($N1042='112'!$I$6,$O1042='112'!$I$6))),"x",""))</f>
        <v/>
      </c>
      <c r="U1042" s="84" t="str">
        <f>IF(ISERROR(FIND('112'!$M$9,G1042,1)),"",IF((AND(LEFT(G1042,2)=LEFT('112'!$M$9,2),B1042&lt;'112'!$K$9,$N1042='112'!$I$6)),"x",""))</f>
        <v/>
      </c>
      <c r="V1042" s="84" t="str">
        <f>IF(ISERROR(FIND('112'!$M$9,G1042,1)),"",IF((AND(RIGHT(G1042,2)=RIGHT('112'!$M$9,2),B1042&lt;'112'!$K$9,$O1042='112'!$I$6)),"x",""))</f>
        <v>x</v>
      </c>
      <c r="W1042" s="84" t="str">
        <f>IF(AND('341-CT'!$H$9=H1042,OR(LEFT(N1042,3)=$W$7,LEFT(O1042,3)=$W$7)),"x","")</f>
        <v/>
      </c>
      <c r="X1042" s="84" t="str">
        <f>IF(OR(TH!N1042=TH!$X$7,O1042=TH!$X$7),"x","")</f>
        <v/>
      </c>
      <c r="Y1042" s="84" t="str">
        <f>IF(AND(OR(N1042="131",O1042="131"),H1042='131-CT'!$H$9),"x","")</f>
        <v/>
      </c>
      <c r="Z1042" s="84"/>
      <c r="AA1042" s="84" t="str">
        <f>IF(AND(MONTH(E1042)='IN-NX'!$J$5,'IN-NX'!$D$7=D1042),"x","")</f>
        <v/>
      </c>
      <c r="AB1042" s="84" t="str">
        <f>IF(AND(OR(LEFT(TH!N1042,2)="15",LEFT(TH!O1042,2)="15"),LEFT(TH!O1042,3)&lt;&gt;"111",'152-CT'!$J$8=TH!F1042),"x","")</f>
        <v/>
      </c>
      <c r="AC1042" s="84" t="str">
        <f>IF(AND(OR(LEFT(TH!N1042,2)="15",LEFT(TH!O1042,2)="15"),TK!$E$7=TH!F1042),"x","")</f>
        <v/>
      </c>
      <c r="AD1042" s="84" t="str">
        <f>IF(AND(N1042="1521",MONTH(C1042)='BK-NL'!$M$11),"x","")</f>
        <v/>
      </c>
    </row>
    <row r="1043" spans="1:31" s="351" customFormat="1" ht="15.75" hidden="1" customHeight="1">
      <c r="A1043" s="336" t="str">
        <f>IF(B1043&lt;&gt;"",IF(AND(B1043='IN-TC'!$S$4,OR(TH!N1043="1111",TH!O1043="1111")),TH!D1043,""),"")</f>
        <v/>
      </c>
      <c r="B1043" s="63">
        <f t="shared" si="172"/>
        <v>3</v>
      </c>
      <c r="C1043" s="64">
        <v>42437</v>
      </c>
      <c r="D1043" s="318" t="s">
        <v>705</v>
      </c>
      <c r="E1043" s="64">
        <v>42437</v>
      </c>
      <c r="F1043" s="73" t="s">
        <v>1057</v>
      </c>
      <c r="G1043" s="67" t="s">
        <v>919</v>
      </c>
      <c r="H1043" s="73" t="s">
        <v>724</v>
      </c>
      <c r="I1043" s="439"/>
      <c r="J1043" s="439"/>
      <c r="K1043" s="430">
        <v>113.9410394265233</v>
      </c>
      <c r="L1043" s="439">
        <v>22320</v>
      </c>
      <c r="M1043" s="65">
        <v>2543164</v>
      </c>
      <c r="N1043" s="66" t="s">
        <v>99</v>
      </c>
      <c r="O1043" s="66" t="s">
        <v>26</v>
      </c>
      <c r="P1043" s="84" t="str">
        <f>IF(AND('331-CT'!$E$7=TH!H1043,OR(N1043="331",O1043="331")),"x","")</f>
        <v/>
      </c>
      <c r="Q1043" s="84" t="str">
        <f>IF(AND(B1043='111'!$L$11,OR($N1043=$Q$7,$O1043=$Q$7)),"x","")</f>
        <v/>
      </c>
      <c r="R1043" s="84" t="str">
        <f>IF(AND($N1043=$Q$7,$B1043&lt;'111'!$L$11),"x","")</f>
        <v/>
      </c>
      <c r="S1043" s="84" t="str">
        <f>IF(AND($O1043=$Q$7,$B1043&lt;'111'!$L$11),"x","")</f>
        <v/>
      </c>
      <c r="T1043" s="84" t="str">
        <f>IF(ISERROR(FIND('112'!$M$9,G1043,1)),"",IF((AND(FIND('112'!$M$9,G1043,1)&gt;=1,B1043='112'!$K$9,OR($N1043='112'!$I$6,$O1043='112'!$I$6))),"x",""))</f>
        <v/>
      </c>
      <c r="U1043" s="84" t="str">
        <f>IF(ISERROR(FIND('112'!$M$9,G1043,1)),"",IF((AND(LEFT(G1043,2)=LEFT('112'!$M$9,2),B1043&lt;'112'!$K$9,$N1043='112'!$I$6)),"x",""))</f>
        <v/>
      </c>
      <c r="V1043" s="84" t="str">
        <f>IF(ISERROR(FIND('112'!$M$9,G1043,1)),"",IF((AND(RIGHT(G1043,2)=RIGHT('112'!$M$9,2),B1043&lt;'112'!$K$9,$O1043='112'!$I$6)),"x",""))</f>
        <v>x</v>
      </c>
      <c r="W1043" s="84" t="str">
        <f>IF(AND('341-CT'!$H$9=H1043,OR(LEFT(N1043,3)=$W$7,LEFT(O1043,3)=$W$7)),"x","")</f>
        <v/>
      </c>
      <c r="X1043" s="84" t="str">
        <f>IF(OR(TH!N1043=TH!$X$7,O1043=TH!$X$7),"x","")</f>
        <v/>
      </c>
      <c r="Y1043" s="84" t="str">
        <f>IF(AND(OR(N1043="131",O1043="131"),H1043='131-CT'!$H$9),"x","")</f>
        <v/>
      </c>
      <c r="Z1043" s="84"/>
      <c r="AA1043" s="84" t="str">
        <f>IF(AND(MONTH(E1043)='IN-NX'!$J$5,'IN-NX'!$D$7=D1043),"x","")</f>
        <v/>
      </c>
      <c r="AB1043" s="84" t="str">
        <f>IF(AND(OR(LEFT(TH!N1043,2)="15",LEFT(TH!O1043,2)="15"),LEFT(TH!O1043,3)&lt;&gt;"111",'152-CT'!$J$8=TH!F1043),"x","")</f>
        <v/>
      </c>
      <c r="AC1043" s="84" t="str">
        <f>IF(AND(OR(LEFT(TH!N1043,2)="15",LEFT(TH!O1043,2)="15"),TK!$E$7=TH!F1043),"x","")</f>
        <v/>
      </c>
      <c r="AD1043" s="84" t="str">
        <f>IF(AND(N1043="1521",MONTH(C1043)='BK-NL'!$M$11),"x","")</f>
        <v/>
      </c>
      <c r="AE1043" s="330"/>
    </row>
    <row r="1044" spans="1:31" s="351" customFormat="1" ht="15.75" hidden="1" customHeight="1">
      <c r="A1044" s="336" t="str">
        <f>IF(B1044&lt;&gt;"",IF(AND(B1044='IN-TC'!$S$4,OR(TH!N1044="1111",TH!O1044="1111")),TH!D1044,""),"")</f>
        <v/>
      </c>
      <c r="B1044" s="63">
        <f t="shared" si="172"/>
        <v>3</v>
      </c>
      <c r="C1044" s="64">
        <v>42437</v>
      </c>
      <c r="D1044" s="318" t="s">
        <v>903</v>
      </c>
      <c r="E1044" s="64">
        <v>42437</v>
      </c>
      <c r="F1044" s="73" t="s">
        <v>1146</v>
      </c>
      <c r="G1044" s="67" t="s">
        <v>919</v>
      </c>
      <c r="H1044" s="320" t="s">
        <v>763</v>
      </c>
      <c r="I1044" s="439"/>
      <c r="J1044" s="439"/>
      <c r="K1044" s="430"/>
      <c r="L1044" s="439"/>
      <c r="M1044" s="65">
        <v>2025000000</v>
      </c>
      <c r="N1044" s="321" t="s">
        <v>63</v>
      </c>
      <c r="O1044" s="66" t="s">
        <v>26</v>
      </c>
      <c r="P1044" s="84" t="str">
        <f>IF(AND('331-CT'!$E$7=TH!H1044,OR(N1044="331",O1044="331")),"x","")</f>
        <v/>
      </c>
      <c r="Q1044" s="84" t="str">
        <f>IF(AND(B1044='111'!$L$11,OR($N1044=$Q$7,$O1044=$Q$7)),"x","")</f>
        <v/>
      </c>
      <c r="R1044" s="84" t="str">
        <f>IF(AND($N1044=$Q$7,$B1044&lt;'111'!$L$11),"x","")</f>
        <v/>
      </c>
      <c r="S1044" s="84" t="str">
        <f>IF(AND($O1044=$Q$7,$B1044&lt;'111'!$L$11),"x","")</f>
        <v/>
      </c>
      <c r="T1044" s="84" t="str">
        <f>IF(ISERROR(FIND('112'!$M$9,G1044,1)),"",IF((AND(FIND('112'!$M$9,G1044,1)&gt;=1,B1044='112'!$K$9,OR($N1044='112'!$I$6,$O1044='112'!$I$6))),"x",""))</f>
        <v/>
      </c>
      <c r="U1044" s="84" t="str">
        <f>IF(ISERROR(FIND('112'!$M$9,G1044,1)),"",IF((AND(LEFT(G1044,2)=LEFT('112'!$M$9,2),B1044&lt;'112'!$K$9,$N1044='112'!$I$6)),"x",""))</f>
        <v/>
      </c>
      <c r="V1044" s="84" t="str">
        <f>IF(ISERROR(FIND('112'!$M$9,G1044,1)),"",IF((AND(RIGHT(G1044,2)=RIGHT('112'!$M$9,2),B1044&lt;'112'!$K$9,$O1044='112'!$I$6)),"x",""))</f>
        <v>x</v>
      </c>
      <c r="W1044" s="84" t="str">
        <f>IF(AND('341-CT'!$H$9=H1044,OR(LEFT(N1044,3)=$W$7,LEFT(O1044,3)=$W$7)),"x","")</f>
        <v/>
      </c>
      <c r="X1044" s="84" t="str">
        <f>IF(OR(TH!N1044=TH!$X$7,O1044=TH!$X$7),"x","")</f>
        <v/>
      </c>
      <c r="Y1044" s="84" t="str">
        <f>IF(AND(OR(N1044="131",O1044="131"),H1044='131-CT'!$H$9),"x","")</f>
        <v/>
      </c>
      <c r="Z1044" s="84"/>
      <c r="AA1044" s="84" t="str">
        <f>IF(AND(MONTH(E1044)='IN-NX'!$J$5,'IN-NX'!$D$7=D1044),"x","")</f>
        <v/>
      </c>
      <c r="AB1044" s="84" t="str">
        <f>IF(AND(OR(LEFT(TH!N1044,2)="15",LEFT(TH!O1044,2)="15"),LEFT(TH!O1044,3)&lt;&gt;"111",'152-CT'!$J$8=TH!F1044),"x","")</f>
        <v/>
      </c>
      <c r="AC1044" s="84" t="str">
        <f>IF(AND(OR(LEFT(TH!N1044,2)="15",LEFT(TH!O1044,2)="15"),TK!$E$7=TH!F1044),"x","")</f>
        <v/>
      </c>
      <c r="AD1044" s="84" t="str">
        <f>IF(AND(N1044="1521",MONTH(C1044)='BK-NL'!$M$11),"x","")</f>
        <v/>
      </c>
      <c r="AE1044" s="330"/>
    </row>
    <row r="1045" spans="1:31" s="351" customFormat="1" ht="15.75" hidden="1" customHeight="1">
      <c r="A1045" s="336" t="str">
        <f>IF(B1045&lt;&gt;"",IF(AND(B1045='IN-TC'!$S$4,OR(TH!N1045="1111",TH!O1045="1111")),TH!D1045,""),"")</f>
        <v/>
      </c>
      <c r="B1045" s="63">
        <f t="shared" si="172"/>
        <v>3</v>
      </c>
      <c r="C1045" s="64">
        <v>42437</v>
      </c>
      <c r="D1045" s="318" t="s">
        <v>888</v>
      </c>
      <c r="E1045" s="64">
        <v>42437</v>
      </c>
      <c r="F1045" s="73" t="s">
        <v>780</v>
      </c>
      <c r="G1045" s="982" t="s">
        <v>658</v>
      </c>
      <c r="H1045" s="344" t="s">
        <v>675</v>
      </c>
      <c r="I1045" s="439"/>
      <c r="J1045" s="439"/>
      <c r="K1045" s="430"/>
      <c r="L1045" s="439"/>
      <c r="M1045" s="65">
        <v>14800000</v>
      </c>
      <c r="N1045" s="66" t="s">
        <v>8</v>
      </c>
      <c r="O1045" s="66" t="s">
        <v>63</v>
      </c>
      <c r="P1045" s="84" t="str">
        <f>IF(AND('331-CT'!$E$7=TH!H1045,OR(N1045="331",O1045="331")),"x","")</f>
        <v/>
      </c>
      <c r="Q1045" s="84" t="str">
        <f>IF(AND(B1045='111'!$L$11,OR($N1045=$Q$7,$O1045=$Q$7)),"x","")</f>
        <v/>
      </c>
      <c r="R1045" s="84" t="str">
        <f>IF(AND($N1045=$Q$7,$B1045&lt;'111'!$L$11),"x","")</f>
        <v/>
      </c>
      <c r="S1045" s="84" t="str">
        <f>IF(AND($O1045=$Q$7,$B1045&lt;'111'!$L$11),"x","")</f>
        <v/>
      </c>
      <c r="T1045" s="84" t="str">
        <f>IF(ISERROR(FIND('112'!$M$9,G1045,1)),"",IF((AND(FIND('112'!$M$9,G1045,1)&gt;=1,B1045='112'!$K$9,OR($N1045='112'!$I$6,$O1045='112'!$I$6))),"x",""))</f>
        <v/>
      </c>
      <c r="U1045" s="84" t="str">
        <f>IF(ISERROR(FIND('112'!$M$9,G1045,1)),"",IF((AND(LEFT(G1045,2)=LEFT('112'!$M$9,2),B1045&lt;'112'!$K$9,$N1045='112'!$I$6)),"x",""))</f>
        <v/>
      </c>
      <c r="V1045" s="84" t="str">
        <f>IF(ISERROR(FIND('112'!$M$9,G1045,1)),"",IF((AND(RIGHT(G1045,2)=RIGHT('112'!$M$9,2),B1045&lt;'112'!$K$9,$O1045='112'!$I$6)),"x",""))</f>
        <v/>
      </c>
      <c r="W1045" s="84" t="str">
        <f>IF(AND('341-CT'!$H$9=H1045,OR(LEFT(N1045,3)=$W$7,LEFT(O1045,3)=$W$7)),"x","")</f>
        <v/>
      </c>
      <c r="X1045" s="84" t="str">
        <f>IF(OR(TH!N1045=TH!$X$7,O1045=TH!$X$7),"x","")</f>
        <v/>
      </c>
      <c r="Y1045" s="84" t="str">
        <f>IF(AND(OR(N1045="131",O1045="131"),H1045='131-CT'!$H$9),"x","")</f>
        <v/>
      </c>
      <c r="Z1045" s="84"/>
      <c r="AA1045" s="84" t="str">
        <f>IF(AND(MONTH(E1045)='IN-NX'!$J$5,'IN-NX'!$D$7=D1045),"x","")</f>
        <v/>
      </c>
      <c r="AB1045" s="84" t="str">
        <f>IF(AND(OR(LEFT(TH!N1045,2)="15",LEFT(TH!O1045,2)="15"),LEFT(TH!O1045,3)&lt;&gt;"111",'152-CT'!$J$8=TH!F1045),"x","")</f>
        <v/>
      </c>
      <c r="AC1045" s="84" t="str">
        <f>IF(AND(OR(LEFT(TH!N1045,2)="15",LEFT(TH!O1045,2)="15"),TK!$E$7=TH!F1045),"x","")</f>
        <v/>
      </c>
      <c r="AD1045" s="84" t="str">
        <f>IF(AND(N1045="1521",MONTH(C1045)='BK-NL'!$M$11),"x","")</f>
        <v/>
      </c>
      <c r="AE1045" s="1146" t="str">
        <f>IF(H1045&lt;&gt;VLOOKUP(H1045,DSKH,1,0),"","x")</f>
        <v>x</v>
      </c>
    </row>
    <row r="1046" spans="1:31" s="351" customFormat="1" ht="15.75" hidden="1" customHeight="1">
      <c r="A1046" s="336" t="str">
        <f>IF(B1046&lt;&gt;"",IF(AND(B1046='IN-TC'!$S$4,OR(TH!N1046="1111",TH!O1046="1111")),TH!D1046,""),"")</f>
        <v/>
      </c>
      <c r="B1046" s="63">
        <f t="shared" si="172"/>
        <v>3</v>
      </c>
      <c r="C1046" s="318">
        <v>42437</v>
      </c>
      <c r="D1046" s="318" t="s">
        <v>705</v>
      </c>
      <c r="E1046" s="318">
        <v>42437</v>
      </c>
      <c r="F1046" s="73" t="s">
        <v>1209</v>
      </c>
      <c r="G1046" s="986" t="s">
        <v>919</v>
      </c>
      <c r="H1046" s="320" t="s">
        <v>632</v>
      </c>
      <c r="I1046" s="439"/>
      <c r="J1046" s="439"/>
      <c r="K1046" s="430"/>
      <c r="L1046" s="439"/>
      <c r="M1046" s="65">
        <v>23473066</v>
      </c>
      <c r="N1046" s="321" t="s">
        <v>8</v>
      </c>
      <c r="O1046" s="66" t="s">
        <v>26</v>
      </c>
      <c r="P1046" s="84" t="str">
        <f>IF(AND('331-CT'!$E$7=TH!H1046,OR(N1046="331",O1046="331")),"x","")</f>
        <v/>
      </c>
      <c r="Q1046" s="84" t="str">
        <f>IF(AND(B1046='111'!$L$11,OR($N1046=$Q$7,$O1046=$Q$7)),"x","")</f>
        <v/>
      </c>
      <c r="R1046" s="84" t="str">
        <f>IF(AND($N1046=$Q$7,$B1046&lt;'111'!$L$11),"x","")</f>
        <v/>
      </c>
      <c r="S1046" s="84" t="str">
        <f>IF(AND($O1046=$Q$7,$B1046&lt;'111'!$L$11),"x","")</f>
        <v/>
      </c>
      <c r="T1046" s="84" t="str">
        <f>IF(ISERROR(FIND('112'!$M$9,G1046,1)),"",IF((AND(FIND('112'!$M$9,G1046,1)&gt;=1,B1046='112'!$K$9,OR($N1046='112'!$I$6,$O1046='112'!$I$6))),"x",""))</f>
        <v/>
      </c>
      <c r="U1046" s="84" t="str">
        <f>IF(ISERROR(FIND('112'!$M$9,G1046,1)),"",IF((AND(LEFT(G1046,2)=LEFT('112'!$M$9,2),B1046&lt;'112'!$K$9,$N1046='112'!$I$6)),"x",""))</f>
        <v/>
      </c>
      <c r="V1046" s="84" t="str">
        <f>IF(ISERROR(FIND('112'!$M$9,G1046,1)),"",IF((AND(RIGHT(G1046,2)=RIGHT('112'!$M$9,2),B1046&lt;'112'!$K$9,$O1046='112'!$I$6)),"x",""))</f>
        <v>x</v>
      </c>
      <c r="W1046" s="84" t="str">
        <f>IF(AND('341-CT'!$H$9=H1046,OR(LEFT(N1046,3)=$W$7,LEFT(O1046,3)=$W$7)),"x","")</f>
        <v/>
      </c>
      <c r="X1046" s="84" t="str">
        <f>IF(OR(TH!N1046=TH!$X$7,O1046=TH!$X$7),"x","")</f>
        <v/>
      </c>
      <c r="Y1046" s="84" t="str">
        <f>IF(AND(OR(N1046="131",O1046="131"),H1046='131-CT'!$H$9),"x","")</f>
        <v/>
      </c>
      <c r="Z1046" s="84"/>
      <c r="AA1046" s="84" t="str">
        <f>IF(AND(MONTH(E1046)='IN-NX'!$J$5,'IN-NX'!$D$7=D1046),"x","")</f>
        <v/>
      </c>
      <c r="AB1046" s="84" t="str">
        <f>IF(AND(OR(LEFT(TH!N1046,2)="15",LEFT(TH!O1046,2)="15"),LEFT(TH!O1046,3)&lt;&gt;"111",'152-CT'!$J$8=TH!F1046),"x","")</f>
        <v/>
      </c>
      <c r="AC1046" s="84" t="str">
        <f>IF(AND(OR(LEFT(TH!N1046,2)="15",LEFT(TH!O1046,2)="15"),TK!$E$7=TH!F1046),"x","")</f>
        <v/>
      </c>
      <c r="AD1046" s="84" t="str">
        <f>IF(AND(N1046="1521",MONTH(C1046)='BK-NL'!$M$11),"x","")</f>
        <v/>
      </c>
      <c r="AE1046" s="1146" t="str">
        <f>IF(H1046&lt;&gt;VLOOKUP(H1046,DSKH,1,0),"","x")</f>
        <v>x</v>
      </c>
    </row>
    <row r="1047" spans="1:31" s="351" customFormat="1" ht="15.75" hidden="1" customHeight="1">
      <c r="A1047" s="336" t="str">
        <f>IF(B1047&lt;&gt;"",IF(AND(B1047='IN-TC'!$S$4,OR(TH!N1047="1111",TH!O1047="1111")),TH!D1047,""),"")</f>
        <v/>
      </c>
      <c r="B1047" s="63">
        <f t="shared" si="172"/>
        <v>3</v>
      </c>
      <c r="C1047" s="318">
        <v>42438</v>
      </c>
      <c r="D1047" s="318" t="s">
        <v>889</v>
      </c>
      <c r="E1047" s="318">
        <v>42438</v>
      </c>
      <c r="F1047" s="73" t="s">
        <v>1118</v>
      </c>
      <c r="G1047" s="986" t="s">
        <v>1119</v>
      </c>
      <c r="H1047" s="320" t="s">
        <v>627</v>
      </c>
      <c r="I1047" s="439"/>
      <c r="J1047" s="439"/>
      <c r="K1047" s="430"/>
      <c r="L1047" s="439"/>
      <c r="M1047" s="65">
        <v>7500000</v>
      </c>
      <c r="N1047" s="321" t="s">
        <v>101</v>
      </c>
      <c r="O1047" s="66" t="s">
        <v>63</v>
      </c>
      <c r="P1047" s="84" t="str">
        <f>IF(AND('331-CT'!$E$7=TH!H1047,OR(N1047="331",O1047="331")),"x","")</f>
        <v/>
      </c>
      <c r="Q1047" s="84" t="str">
        <f>IF(AND(B1047='111'!$L$11,OR($N1047=$Q$7,$O1047=$Q$7)),"x","")</f>
        <v/>
      </c>
      <c r="R1047" s="84" t="str">
        <f>IF(AND($N1047=$Q$7,$B1047&lt;'111'!$L$11),"x","")</f>
        <v/>
      </c>
      <c r="S1047" s="84" t="str">
        <f>IF(AND($O1047=$Q$7,$B1047&lt;'111'!$L$11),"x","")</f>
        <v/>
      </c>
      <c r="T1047" s="84" t="str">
        <f>IF(ISERROR(FIND('112'!$M$9,G1047,1)),"",IF((AND(FIND('112'!$M$9,G1047,1)&gt;=1,B1047='112'!$K$9,OR($N1047='112'!$I$6,$O1047='112'!$I$6))),"x",""))</f>
        <v/>
      </c>
      <c r="U1047" s="84" t="str">
        <f>IF(ISERROR(FIND('112'!$M$9,G1047,1)),"",IF((AND(LEFT(G1047,2)=LEFT('112'!$M$9,2),B1047&lt;'112'!$K$9,$N1047='112'!$I$6)),"x",""))</f>
        <v/>
      </c>
      <c r="V1047" s="84" t="str">
        <f>IF(ISERROR(FIND('112'!$M$9,G1047,1)),"",IF((AND(RIGHT(G1047,2)=RIGHT('112'!$M$9,2),B1047&lt;'112'!$K$9,$O1047='112'!$I$6)),"x",""))</f>
        <v/>
      </c>
      <c r="W1047" s="84" t="str">
        <f>IF(AND('341-CT'!$H$9=H1047,OR(LEFT(N1047,3)=$W$7,LEFT(O1047,3)=$W$7)),"x","")</f>
        <v/>
      </c>
      <c r="X1047" s="84" t="str">
        <f>IF(OR(TH!N1047=TH!$X$7,O1047=TH!$X$7),"x","")</f>
        <v/>
      </c>
      <c r="Y1047" s="84" t="str">
        <f>IF(AND(OR(N1047="131",O1047="131"),H1047='131-CT'!$H$9),"x","")</f>
        <v/>
      </c>
      <c r="Z1047" s="84"/>
      <c r="AA1047" s="84" t="str">
        <f>IF(AND(MONTH(E1047)='IN-NX'!$J$5,'IN-NX'!$D$7=D1047),"x","")</f>
        <v/>
      </c>
      <c r="AB1047" s="84" t="str">
        <f>IF(AND(OR(LEFT(TH!N1047,2)="15",LEFT(TH!O1047,2)="15"),LEFT(TH!O1047,3)&lt;&gt;"111",'152-CT'!$J$8=TH!F1047),"x","")</f>
        <v/>
      </c>
      <c r="AC1047" s="84" t="str">
        <f>IF(AND(OR(LEFT(TH!N1047,2)="15",LEFT(TH!O1047,2)="15"),TK!$E$7=TH!F1047),"x","")</f>
        <v/>
      </c>
      <c r="AD1047" s="84" t="str">
        <f>IF(AND(N1047="1521",MONTH(C1047)='BK-NL'!$M$11),"x","")</f>
        <v/>
      </c>
      <c r="AE1047" s="330"/>
    </row>
    <row r="1048" spans="1:31" s="351" customFormat="1" ht="15.75" hidden="1" customHeight="1">
      <c r="A1048" s="336" t="str">
        <f>IF(B1048&lt;&gt;"",IF(AND(B1048='IN-TC'!$S$4,OR(TH!N1048="1111",TH!O1048="1111")),TH!D1048,""),"")</f>
        <v/>
      </c>
      <c r="B1048" s="63">
        <f t="shared" si="172"/>
        <v>3</v>
      </c>
      <c r="C1048" s="318">
        <v>42439</v>
      </c>
      <c r="D1048" s="318" t="s">
        <v>890</v>
      </c>
      <c r="E1048" s="318">
        <v>42439</v>
      </c>
      <c r="F1048" s="73" t="s">
        <v>1179</v>
      </c>
      <c r="G1048" s="986" t="s">
        <v>1127</v>
      </c>
      <c r="H1048" s="320" t="s">
        <v>1128</v>
      </c>
      <c r="I1048" s="439"/>
      <c r="J1048" s="439"/>
      <c r="K1048" s="430"/>
      <c r="L1048" s="439"/>
      <c r="M1048" s="65">
        <v>17737273</v>
      </c>
      <c r="N1048" s="321" t="s">
        <v>101</v>
      </c>
      <c r="O1048" s="66" t="s">
        <v>63</v>
      </c>
      <c r="P1048" s="84" t="str">
        <f>IF(AND('331-CT'!$E$7=TH!H1048,OR(N1048="331",O1048="331")),"x","")</f>
        <v/>
      </c>
      <c r="Q1048" s="84" t="str">
        <f>IF(AND(B1048='111'!$L$11,OR($N1048=$Q$7,$O1048=$Q$7)),"x","")</f>
        <v/>
      </c>
      <c r="R1048" s="84" t="str">
        <f>IF(AND($N1048=$Q$7,$B1048&lt;'111'!$L$11),"x","")</f>
        <v/>
      </c>
      <c r="S1048" s="84" t="str">
        <f>IF(AND($O1048=$Q$7,$B1048&lt;'111'!$L$11),"x","")</f>
        <v/>
      </c>
      <c r="T1048" s="84" t="str">
        <f>IF(ISERROR(FIND('112'!$M$9,G1048,1)),"",IF((AND(FIND('112'!$M$9,G1048,1)&gt;=1,B1048='112'!$K$9,OR($N1048='112'!$I$6,$O1048='112'!$I$6))),"x",""))</f>
        <v/>
      </c>
      <c r="U1048" s="84" t="str">
        <f>IF(ISERROR(FIND('112'!$M$9,G1048,1)),"",IF((AND(LEFT(G1048,2)=LEFT('112'!$M$9,2),B1048&lt;'112'!$K$9,$N1048='112'!$I$6)),"x",""))</f>
        <v/>
      </c>
      <c r="V1048" s="84" t="str">
        <f>IF(ISERROR(FIND('112'!$M$9,G1048,1)),"",IF((AND(RIGHT(G1048,2)=RIGHT('112'!$M$9,2),B1048&lt;'112'!$K$9,$O1048='112'!$I$6)),"x",""))</f>
        <v/>
      </c>
      <c r="W1048" s="84" t="str">
        <f>IF(AND('341-CT'!$H$9=H1048,OR(LEFT(N1048,3)=$W$7,LEFT(O1048,3)=$W$7)),"x","")</f>
        <v/>
      </c>
      <c r="X1048" s="84" t="str">
        <f>IF(OR(TH!N1048=TH!$X$7,O1048=TH!$X$7),"x","")</f>
        <v/>
      </c>
      <c r="Y1048" s="84" t="str">
        <f>IF(AND(OR(N1048="131",O1048="131"),H1048='131-CT'!$H$9),"x","")</f>
        <v/>
      </c>
      <c r="Z1048" s="84"/>
      <c r="AA1048" s="84" t="str">
        <f>IF(AND(MONTH(E1048)='IN-NX'!$J$5,'IN-NX'!$D$7=D1048),"x","")</f>
        <v/>
      </c>
      <c r="AB1048" s="84" t="str">
        <f>IF(AND(OR(LEFT(TH!N1048,2)="15",LEFT(TH!O1048,2)="15"),LEFT(TH!O1048,3)&lt;&gt;"111",'152-CT'!$J$8=TH!F1048),"x","")</f>
        <v/>
      </c>
      <c r="AC1048" s="84" t="str">
        <f>IF(AND(OR(LEFT(TH!N1048,2)="15",LEFT(TH!O1048,2)="15"),TK!$E$7=TH!F1048),"x","")</f>
        <v/>
      </c>
      <c r="AD1048" s="84" t="str">
        <f>IF(AND(N1048="1521",MONTH(C1048)='BK-NL'!$M$11),"x","")</f>
        <v/>
      </c>
      <c r="AE1048" s="330"/>
    </row>
    <row r="1049" spans="1:31" s="351" customFormat="1" ht="15.75" hidden="1" customHeight="1">
      <c r="A1049" s="336" t="str">
        <f>IF(B1049&lt;&gt;"",IF(AND(B1049='IN-TC'!$S$4,OR(TH!N1049="1111",TH!O1049="1111")),TH!D1049,""),"")</f>
        <v/>
      </c>
      <c r="B1049" s="63">
        <f t="shared" si="172"/>
        <v>3</v>
      </c>
      <c r="C1049" s="318">
        <v>42439</v>
      </c>
      <c r="D1049" s="318" t="s">
        <v>890</v>
      </c>
      <c r="E1049" s="318">
        <v>42439</v>
      </c>
      <c r="F1049" s="73" t="s">
        <v>1126</v>
      </c>
      <c r="G1049" s="986" t="s">
        <v>1127</v>
      </c>
      <c r="H1049" s="320" t="s">
        <v>1128</v>
      </c>
      <c r="I1049" s="439"/>
      <c r="J1049" s="439"/>
      <c r="K1049" s="430"/>
      <c r="L1049" s="439"/>
      <c r="M1049" s="65">
        <v>1773727</v>
      </c>
      <c r="N1049" s="321" t="s">
        <v>9</v>
      </c>
      <c r="O1049" s="66" t="s">
        <v>63</v>
      </c>
      <c r="P1049" s="84" t="str">
        <f>IF(AND('331-CT'!$E$7=TH!H1049,OR(N1049="331",O1049="331")),"x","")</f>
        <v/>
      </c>
      <c r="Q1049" s="84" t="str">
        <f>IF(AND(B1049='111'!$L$11,OR($N1049=$Q$7,$O1049=$Q$7)),"x","")</f>
        <v/>
      </c>
      <c r="R1049" s="84" t="str">
        <f>IF(AND($N1049=$Q$7,$B1049&lt;'111'!$L$11),"x","")</f>
        <v/>
      </c>
      <c r="S1049" s="84" t="str">
        <f>IF(AND($O1049=$Q$7,$B1049&lt;'111'!$L$11),"x","")</f>
        <v/>
      </c>
      <c r="T1049" s="84" t="str">
        <f>IF(ISERROR(FIND('112'!$M$9,G1049,1)),"",IF((AND(FIND('112'!$M$9,G1049,1)&gt;=1,B1049='112'!$K$9,OR($N1049='112'!$I$6,$O1049='112'!$I$6))),"x",""))</f>
        <v/>
      </c>
      <c r="U1049" s="84" t="str">
        <f>IF(ISERROR(FIND('112'!$M$9,G1049,1)),"",IF((AND(LEFT(G1049,2)=LEFT('112'!$M$9,2),B1049&lt;'112'!$K$9,$N1049='112'!$I$6)),"x",""))</f>
        <v/>
      </c>
      <c r="V1049" s="84" t="str">
        <f>IF(ISERROR(FIND('112'!$M$9,G1049,1)),"",IF((AND(RIGHT(G1049,2)=RIGHT('112'!$M$9,2),B1049&lt;'112'!$K$9,$O1049='112'!$I$6)),"x",""))</f>
        <v/>
      </c>
      <c r="W1049" s="84" t="str">
        <f>IF(AND('341-CT'!$H$9=H1049,OR(LEFT(N1049,3)=$W$7,LEFT(O1049,3)=$W$7)),"x","")</f>
        <v/>
      </c>
      <c r="X1049" s="84" t="str">
        <f>IF(OR(TH!N1049=TH!$X$7,O1049=TH!$X$7),"x","")</f>
        <v/>
      </c>
      <c r="Y1049" s="84" t="str">
        <f>IF(AND(OR(N1049="131",O1049="131"),H1049='131-CT'!$H$9),"x","")</f>
        <v/>
      </c>
      <c r="Z1049" s="84"/>
      <c r="AA1049" s="84" t="str">
        <f>IF(AND(MONTH(E1049)='IN-NX'!$J$5,'IN-NX'!$D$7=D1049),"x","")</f>
        <v/>
      </c>
      <c r="AB1049" s="84" t="str">
        <f>IF(AND(OR(LEFT(TH!N1049,2)="15",LEFT(TH!O1049,2)="15"),LEFT(TH!O1049,3)&lt;&gt;"111",'152-CT'!$J$8=TH!F1049),"x","")</f>
        <v/>
      </c>
      <c r="AC1049" s="84" t="str">
        <f>IF(AND(OR(LEFT(TH!N1049,2)="15",LEFT(TH!O1049,2)="15"),TK!$E$7=TH!F1049),"x","")</f>
        <v/>
      </c>
      <c r="AD1049" s="84" t="str">
        <f>IF(AND(N1049="1521",MONTH(C1049)='BK-NL'!$M$11),"x","")</f>
        <v/>
      </c>
      <c r="AE1049" s="330"/>
    </row>
    <row r="1050" spans="1:31" s="351" customFormat="1" ht="15.75" hidden="1" customHeight="1">
      <c r="A1050" s="336" t="str">
        <f>IF(B1050&lt;&gt;"",IF(AND(B1050='IN-TC'!$S$4,OR(TH!N1050="1111",TH!O1050="1111")),TH!D1050,""),"")</f>
        <v/>
      </c>
      <c r="B1050" s="63">
        <f t="shared" si="172"/>
        <v>3</v>
      </c>
      <c r="C1050" s="318">
        <v>42439</v>
      </c>
      <c r="D1050" s="318" t="s">
        <v>891</v>
      </c>
      <c r="E1050" s="318">
        <v>42439</v>
      </c>
      <c r="F1050" s="73" t="s">
        <v>1129</v>
      </c>
      <c r="G1050" s="986" t="s">
        <v>1130</v>
      </c>
      <c r="H1050" s="320" t="s">
        <v>1131</v>
      </c>
      <c r="I1050" s="439"/>
      <c r="J1050" s="439"/>
      <c r="K1050" s="430"/>
      <c r="L1050" s="439"/>
      <c r="M1050" s="65">
        <v>2650000</v>
      </c>
      <c r="N1050" s="321" t="s">
        <v>101</v>
      </c>
      <c r="O1050" s="66" t="s">
        <v>63</v>
      </c>
      <c r="P1050" s="84" t="str">
        <f>IF(AND('331-CT'!$E$7=TH!H1050,OR(N1050="331",O1050="331")),"x","")</f>
        <v/>
      </c>
      <c r="Q1050" s="84" t="str">
        <f>IF(AND(B1050='111'!$L$11,OR($N1050=$Q$7,$O1050=$Q$7)),"x","")</f>
        <v/>
      </c>
      <c r="R1050" s="84" t="str">
        <f>IF(AND($N1050=$Q$7,$B1050&lt;'111'!$L$11),"x","")</f>
        <v/>
      </c>
      <c r="S1050" s="84" t="str">
        <f>IF(AND($O1050=$Q$7,$B1050&lt;'111'!$L$11),"x","")</f>
        <v/>
      </c>
      <c r="T1050" s="84" t="str">
        <f>IF(ISERROR(FIND('112'!$M$9,G1050,1)),"",IF((AND(FIND('112'!$M$9,G1050,1)&gt;=1,B1050='112'!$K$9,OR($N1050='112'!$I$6,$O1050='112'!$I$6))),"x",""))</f>
        <v/>
      </c>
      <c r="U1050" s="84" t="str">
        <f>IF(ISERROR(FIND('112'!$M$9,G1050,1)),"",IF((AND(LEFT(G1050,2)=LEFT('112'!$M$9,2),B1050&lt;'112'!$K$9,$N1050='112'!$I$6)),"x",""))</f>
        <v/>
      </c>
      <c r="V1050" s="84" t="str">
        <f>IF(ISERROR(FIND('112'!$M$9,G1050,1)),"",IF((AND(RIGHT(G1050,2)=RIGHT('112'!$M$9,2),B1050&lt;'112'!$K$9,$O1050='112'!$I$6)),"x",""))</f>
        <v/>
      </c>
      <c r="W1050" s="84" t="str">
        <f>IF(AND('341-CT'!$H$9=H1050,OR(LEFT(N1050,3)=$W$7,LEFT(O1050,3)=$W$7)),"x","")</f>
        <v/>
      </c>
      <c r="X1050" s="84" t="str">
        <f>IF(OR(TH!N1050=TH!$X$7,O1050=TH!$X$7),"x","")</f>
        <v/>
      </c>
      <c r="Y1050" s="84" t="str">
        <f>IF(AND(OR(N1050="131",O1050="131"),H1050='131-CT'!$H$9),"x","")</f>
        <v/>
      </c>
      <c r="Z1050" s="84"/>
      <c r="AA1050" s="84" t="str">
        <f>IF(AND(MONTH(E1050)='IN-NX'!$J$5,'IN-NX'!$D$7=D1050),"x","")</f>
        <v/>
      </c>
      <c r="AB1050" s="84" t="str">
        <f>IF(AND(OR(LEFT(TH!N1050,2)="15",LEFT(TH!O1050,2)="15"),LEFT(TH!O1050,3)&lt;&gt;"111",'152-CT'!$J$8=TH!F1050),"x","")</f>
        <v/>
      </c>
      <c r="AC1050" s="84" t="str">
        <f>IF(AND(OR(LEFT(TH!N1050,2)="15",LEFT(TH!O1050,2)="15"),TK!$E$7=TH!F1050),"x","")</f>
        <v/>
      </c>
      <c r="AD1050" s="84" t="str">
        <f>IF(AND(N1050="1521",MONTH(C1050)='BK-NL'!$M$11),"x","")</f>
        <v/>
      </c>
      <c r="AE1050" s="330"/>
    </row>
    <row r="1051" spans="1:31" s="351" customFormat="1" ht="15.75" hidden="1" customHeight="1">
      <c r="A1051" s="336" t="str">
        <f>IF(B1051&lt;&gt;"",IF(AND(B1051='IN-TC'!$S$4,OR(TH!N1051="1111",TH!O1051="1111")),TH!D1051,""),"")</f>
        <v/>
      </c>
      <c r="B1051" s="63">
        <f t="shared" si="172"/>
        <v>3</v>
      </c>
      <c r="C1051" s="318">
        <v>42440</v>
      </c>
      <c r="D1051" s="318" t="s">
        <v>892</v>
      </c>
      <c r="E1051" s="318">
        <v>42440</v>
      </c>
      <c r="F1051" s="73" t="s">
        <v>771</v>
      </c>
      <c r="G1051" s="986" t="s">
        <v>1120</v>
      </c>
      <c r="H1051" s="320" t="s">
        <v>1109</v>
      </c>
      <c r="I1051" s="439"/>
      <c r="J1051" s="439"/>
      <c r="K1051" s="430"/>
      <c r="L1051" s="439"/>
      <c r="M1051" s="65">
        <v>513836</v>
      </c>
      <c r="N1051" s="321" t="s">
        <v>101</v>
      </c>
      <c r="O1051" s="66" t="s">
        <v>63</v>
      </c>
      <c r="P1051" s="84" t="str">
        <f>IF(AND('331-CT'!$E$7=TH!H1051,OR(N1051="331",O1051="331")),"x","")</f>
        <v/>
      </c>
      <c r="Q1051" s="84" t="str">
        <f>IF(AND(B1051='111'!$L$11,OR($N1051=$Q$7,$O1051=$Q$7)),"x","")</f>
        <v/>
      </c>
      <c r="R1051" s="84" t="str">
        <f>IF(AND($N1051=$Q$7,$B1051&lt;'111'!$L$11),"x","")</f>
        <v/>
      </c>
      <c r="S1051" s="84" t="str">
        <f>IF(AND($O1051=$Q$7,$B1051&lt;'111'!$L$11),"x","")</f>
        <v/>
      </c>
      <c r="T1051" s="84" t="str">
        <f>IF(ISERROR(FIND('112'!$M$9,G1051,1)),"",IF((AND(FIND('112'!$M$9,G1051,1)&gt;=1,B1051='112'!$K$9,OR($N1051='112'!$I$6,$O1051='112'!$I$6))),"x",""))</f>
        <v/>
      </c>
      <c r="U1051" s="84" t="str">
        <f>IF(ISERROR(FIND('112'!$M$9,G1051,1)),"",IF((AND(LEFT(G1051,2)=LEFT('112'!$M$9,2),B1051&lt;'112'!$K$9,$N1051='112'!$I$6)),"x",""))</f>
        <v/>
      </c>
      <c r="V1051" s="84" t="str">
        <f>IF(ISERROR(FIND('112'!$M$9,G1051,1)),"",IF((AND(RIGHT(G1051,2)=RIGHT('112'!$M$9,2),B1051&lt;'112'!$K$9,$O1051='112'!$I$6)),"x",""))</f>
        <v/>
      </c>
      <c r="W1051" s="84" t="str">
        <f>IF(AND('341-CT'!$H$9=H1051,OR(LEFT(N1051,3)=$W$7,LEFT(O1051,3)=$W$7)),"x","")</f>
        <v/>
      </c>
      <c r="X1051" s="84" t="str">
        <f>IF(OR(TH!N1051=TH!$X$7,O1051=TH!$X$7),"x","")</f>
        <v/>
      </c>
      <c r="Y1051" s="84" t="str">
        <f>IF(AND(OR(N1051="131",O1051="131"),H1051='131-CT'!$H$9),"x","")</f>
        <v/>
      </c>
      <c r="Z1051" s="84"/>
      <c r="AA1051" s="84" t="str">
        <f>IF(AND(MONTH(E1051)='IN-NX'!$J$5,'IN-NX'!$D$7=D1051),"x","")</f>
        <v/>
      </c>
      <c r="AB1051" s="84" t="str">
        <f>IF(AND(OR(LEFT(TH!N1051,2)="15",LEFT(TH!O1051,2)="15"),LEFT(TH!O1051,3)&lt;&gt;"111",'152-CT'!$J$8=TH!F1051),"x","")</f>
        <v/>
      </c>
      <c r="AC1051" s="84" t="str">
        <f>IF(AND(OR(LEFT(TH!N1051,2)="15",LEFT(TH!O1051,2)="15"),TK!$E$7=TH!F1051),"x","")</f>
        <v/>
      </c>
      <c r="AD1051" s="84" t="str">
        <f>IF(AND(N1051="1521",MONTH(C1051)='BK-NL'!$M$11),"x","")</f>
        <v/>
      </c>
      <c r="AE1051" s="330"/>
    </row>
    <row r="1052" spans="1:31" s="351" customFormat="1" ht="15.75" hidden="1" customHeight="1">
      <c r="A1052" s="336" t="str">
        <f>IF(B1052&lt;&gt;"",IF(AND(B1052='IN-TC'!$S$4,OR(TH!N1052="1111",TH!O1052="1111")),TH!D1052,""),"")</f>
        <v/>
      </c>
      <c r="B1052" s="63">
        <f t="shared" si="172"/>
        <v>3</v>
      </c>
      <c r="C1052" s="318">
        <v>42440</v>
      </c>
      <c r="D1052" s="318" t="s">
        <v>892</v>
      </c>
      <c r="E1052" s="318">
        <v>42440</v>
      </c>
      <c r="F1052" s="73" t="s">
        <v>772</v>
      </c>
      <c r="G1052" s="986" t="s">
        <v>1120</v>
      </c>
      <c r="H1052" s="320" t="s">
        <v>1109</v>
      </c>
      <c r="I1052" s="439"/>
      <c r="J1052" s="439"/>
      <c r="K1052" s="430"/>
      <c r="L1052" s="439"/>
      <c r="M1052" s="65">
        <v>51384</v>
      </c>
      <c r="N1052" s="321" t="s">
        <v>9</v>
      </c>
      <c r="O1052" s="66" t="s">
        <v>63</v>
      </c>
      <c r="P1052" s="84" t="str">
        <f>IF(AND('331-CT'!$E$7=TH!H1052,OR(N1052="331",O1052="331")),"x","")</f>
        <v/>
      </c>
      <c r="Q1052" s="84" t="str">
        <f>IF(AND(B1052='111'!$L$11,OR($N1052=$Q$7,$O1052=$Q$7)),"x","")</f>
        <v/>
      </c>
      <c r="R1052" s="84" t="str">
        <f>IF(AND($N1052=$Q$7,$B1052&lt;'111'!$L$11),"x","")</f>
        <v/>
      </c>
      <c r="S1052" s="84" t="str">
        <f>IF(AND($O1052=$Q$7,$B1052&lt;'111'!$L$11),"x","")</f>
        <v/>
      </c>
      <c r="T1052" s="84" t="str">
        <f>IF(ISERROR(FIND('112'!$M$9,G1052,1)),"",IF((AND(FIND('112'!$M$9,G1052,1)&gt;=1,B1052='112'!$K$9,OR($N1052='112'!$I$6,$O1052='112'!$I$6))),"x",""))</f>
        <v/>
      </c>
      <c r="U1052" s="84" t="str">
        <f>IF(ISERROR(FIND('112'!$M$9,G1052,1)),"",IF((AND(LEFT(G1052,2)=LEFT('112'!$M$9,2),B1052&lt;'112'!$K$9,$N1052='112'!$I$6)),"x",""))</f>
        <v/>
      </c>
      <c r="V1052" s="84" t="str">
        <f>IF(ISERROR(FIND('112'!$M$9,G1052,1)),"",IF((AND(RIGHT(G1052,2)=RIGHT('112'!$M$9,2),B1052&lt;'112'!$K$9,$O1052='112'!$I$6)),"x",""))</f>
        <v/>
      </c>
      <c r="W1052" s="84" t="str">
        <f>IF(AND('341-CT'!$H$9=H1052,OR(LEFT(N1052,3)=$W$7,LEFT(O1052,3)=$W$7)),"x","")</f>
        <v/>
      </c>
      <c r="X1052" s="84" t="str">
        <f>IF(OR(TH!N1052=TH!$X$7,O1052=TH!$X$7),"x","")</f>
        <v/>
      </c>
      <c r="Y1052" s="84" t="str">
        <f>IF(AND(OR(N1052="131",O1052="131"),H1052='131-CT'!$H$9),"x","")</f>
        <v/>
      </c>
      <c r="Z1052" s="84"/>
      <c r="AA1052" s="84" t="str">
        <f>IF(AND(MONTH(E1052)='IN-NX'!$J$5,'IN-NX'!$D$7=D1052),"x","")</f>
        <v/>
      </c>
      <c r="AB1052" s="84" t="str">
        <f>IF(AND(OR(LEFT(TH!N1052,2)="15",LEFT(TH!O1052,2)="15"),LEFT(TH!O1052,3)&lt;&gt;"111",'152-CT'!$J$8=TH!F1052),"x","")</f>
        <v/>
      </c>
      <c r="AC1052" s="84" t="str">
        <f>IF(AND(OR(LEFT(TH!N1052,2)="15",LEFT(TH!O1052,2)="15"),TK!$E$7=TH!F1052),"x","")</f>
        <v/>
      </c>
      <c r="AD1052" s="84" t="str">
        <f>IF(AND(N1052="1521",MONTH(C1052)='BK-NL'!$M$11),"x","")</f>
        <v/>
      </c>
      <c r="AE1052" s="330"/>
    </row>
    <row r="1053" spans="1:31" s="351" customFormat="1" ht="15.75" hidden="1" customHeight="1">
      <c r="A1053" s="336" t="str">
        <f>IF(B1053&lt;&gt;"",IF(AND(B1053='IN-TC'!$S$4,OR(TH!N1053="1111",TH!O1053="1111")),TH!D1053,""),"")</f>
        <v/>
      </c>
      <c r="B1053" s="63">
        <f t="shared" si="172"/>
        <v>3</v>
      </c>
      <c r="C1053" s="318">
        <v>42441</v>
      </c>
      <c r="D1053" s="318" t="s">
        <v>893</v>
      </c>
      <c r="E1053" s="318">
        <v>42441</v>
      </c>
      <c r="F1053" s="73" t="s">
        <v>1121</v>
      </c>
      <c r="G1053" s="986" t="s">
        <v>1123</v>
      </c>
      <c r="H1053" s="320" t="s">
        <v>1124</v>
      </c>
      <c r="I1053" s="439"/>
      <c r="J1053" s="439"/>
      <c r="K1053" s="430"/>
      <c r="L1053" s="439"/>
      <c r="M1053" s="65">
        <v>2000000</v>
      </c>
      <c r="N1053" s="321" t="s">
        <v>101</v>
      </c>
      <c r="O1053" s="66" t="s">
        <v>63</v>
      </c>
      <c r="P1053" s="84" t="str">
        <f>IF(AND('331-CT'!$E$7=TH!H1053,OR(N1053="331",O1053="331")),"x","")</f>
        <v/>
      </c>
      <c r="Q1053" s="84" t="str">
        <f>IF(AND(B1053='111'!$L$11,OR($N1053=$Q$7,$O1053=$Q$7)),"x","")</f>
        <v/>
      </c>
      <c r="R1053" s="84" t="str">
        <f>IF(AND($N1053=$Q$7,$B1053&lt;'111'!$L$11),"x","")</f>
        <v/>
      </c>
      <c r="S1053" s="84" t="str">
        <f>IF(AND($O1053=$Q$7,$B1053&lt;'111'!$L$11),"x","")</f>
        <v/>
      </c>
      <c r="T1053" s="84" t="str">
        <f>IF(ISERROR(FIND('112'!$M$9,G1053,1)),"",IF((AND(FIND('112'!$M$9,G1053,1)&gt;=1,B1053='112'!$K$9,OR($N1053='112'!$I$6,$O1053='112'!$I$6))),"x",""))</f>
        <v/>
      </c>
      <c r="U1053" s="84" t="str">
        <f>IF(ISERROR(FIND('112'!$M$9,G1053,1)),"",IF((AND(LEFT(G1053,2)=LEFT('112'!$M$9,2),B1053&lt;'112'!$K$9,$N1053='112'!$I$6)),"x",""))</f>
        <v/>
      </c>
      <c r="V1053" s="84" t="str">
        <f>IF(ISERROR(FIND('112'!$M$9,G1053,1)),"",IF((AND(RIGHT(G1053,2)=RIGHT('112'!$M$9,2),B1053&lt;'112'!$K$9,$O1053='112'!$I$6)),"x",""))</f>
        <v/>
      </c>
      <c r="W1053" s="84" t="str">
        <f>IF(AND('341-CT'!$H$9=H1053,OR(LEFT(N1053,3)=$W$7,LEFT(O1053,3)=$W$7)),"x","")</f>
        <v/>
      </c>
      <c r="X1053" s="84" t="str">
        <f>IF(OR(TH!N1053=TH!$X$7,O1053=TH!$X$7),"x","")</f>
        <v/>
      </c>
      <c r="Y1053" s="84" t="str">
        <f>IF(AND(OR(N1053="131",O1053="131"),H1053='131-CT'!$H$9),"x","")</f>
        <v/>
      </c>
      <c r="Z1053" s="84"/>
      <c r="AA1053" s="84" t="str">
        <f>IF(AND(MONTH(E1053)='IN-NX'!$J$5,'IN-NX'!$D$7=D1053),"x","")</f>
        <v/>
      </c>
      <c r="AB1053" s="84" t="str">
        <f>IF(AND(OR(LEFT(TH!N1053,2)="15",LEFT(TH!O1053,2)="15"),LEFT(TH!O1053,3)&lt;&gt;"111",'152-CT'!$J$8=TH!F1053),"x","")</f>
        <v/>
      </c>
      <c r="AC1053" s="84" t="str">
        <f>IF(AND(OR(LEFT(TH!N1053,2)="15",LEFT(TH!O1053,2)="15"),TK!$E$7=TH!F1053),"x","")</f>
        <v/>
      </c>
      <c r="AD1053" s="84" t="str">
        <f>IF(AND(N1053="1521",MONTH(C1053)='BK-NL'!$M$11),"x","")</f>
        <v/>
      </c>
      <c r="AE1053" s="330"/>
    </row>
    <row r="1054" spans="1:31" s="351" customFormat="1" ht="15.75" hidden="1" customHeight="1">
      <c r="A1054" s="336" t="str">
        <f>IF(B1054&lt;&gt;"",IF(AND(B1054='IN-TC'!$S$4,OR(TH!N1054="1111",TH!O1054="1111")),TH!D1054,""),"")</f>
        <v/>
      </c>
      <c r="B1054" s="63">
        <f t="shared" si="172"/>
        <v>3</v>
      </c>
      <c r="C1054" s="318">
        <v>42441</v>
      </c>
      <c r="D1054" s="318" t="s">
        <v>893</v>
      </c>
      <c r="E1054" s="318">
        <v>42441</v>
      </c>
      <c r="F1054" s="73" t="s">
        <v>1122</v>
      </c>
      <c r="G1054" s="986" t="s">
        <v>1123</v>
      </c>
      <c r="H1054" s="320" t="s">
        <v>1124</v>
      </c>
      <c r="I1054" s="439"/>
      <c r="J1054" s="439"/>
      <c r="K1054" s="430"/>
      <c r="L1054" s="439"/>
      <c r="M1054" s="65">
        <v>200000</v>
      </c>
      <c r="N1054" s="321" t="s">
        <v>9</v>
      </c>
      <c r="O1054" s="66" t="s">
        <v>63</v>
      </c>
      <c r="P1054" s="84" t="str">
        <f>IF(AND('331-CT'!$E$7=TH!H1054,OR(N1054="331",O1054="331")),"x","")</f>
        <v/>
      </c>
      <c r="Q1054" s="84" t="str">
        <f>IF(AND(B1054='111'!$L$11,OR($N1054=$Q$7,$O1054=$Q$7)),"x","")</f>
        <v/>
      </c>
      <c r="R1054" s="84" t="str">
        <f>IF(AND($N1054=$Q$7,$B1054&lt;'111'!$L$11),"x","")</f>
        <v/>
      </c>
      <c r="S1054" s="84" t="str">
        <f>IF(AND($O1054=$Q$7,$B1054&lt;'111'!$L$11),"x","")</f>
        <v/>
      </c>
      <c r="T1054" s="84" t="str">
        <f>IF(ISERROR(FIND('112'!$M$9,G1054,1)),"",IF((AND(FIND('112'!$M$9,G1054,1)&gt;=1,B1054='112'!$K$9,OR($N1054='112'!$I$6,$O1054='112'!$I$6))),"x",""))</f>
        <v/>
      </c>
      <c r="U1054" s="84" t="str">
        <f>IF(ISERROR(FIND('112'!$M$9,G1054,1)),"",IF((AND(LEFT(G1054,2)=LEFT('112'!$M$9,2),B1054&lt;'112'!$K$9,$N1054='112'!$I$6)),"x",""))</f>
        <v/>
      </c>
      <c r="V1054" s="84" t="str">
        <f>IF(ISERROR(FIND('112'!$M$9,G1054,1)),"",IF((AND(RIGHT(G1054,2)=RIGHT('112'!$M$9,2),B1054&lt;'112'!$K$9,$O1054='112'!$I$6)),"x",""))</f>
        <v/>
      </c>
      <c r="W1054" s="84" t="str">
        <f>IF(AND('341-CT'!$H$9=H1054,OR(LEFT(N1054,3)=$W$7,LEFT(O1054,3)=$W$7)),"x","")</f>
        <v/>
      </c>
      <c r="X1054" s="84" t="str">
        <f>IF(OR(TH!N1054=TH!$X$7,O1054=TH!$X$7),"x","")</f>
        <v/>
      </c>
      <c r="Y1054" s="84" t="str">
        <f>IF(AND(OR(N1054="131",O1054="131"),H1054='131-CT'!$H$9),"x","")</f>
        <v/>
      </c>
      <c r="Z1054" s="84"/>
      <c r="AA1054" s="84" t="str">
        <f>IF(AND(MONTH(E1054)='IN-NX'!$J$5,'IN-NX'!$D$7=D1054),"x","")</f>
        <v/>
      </c>
      <c r="AB1054" s="84" t="str">
        <f>IF(AND(OR(LEFT(TH!N1054,2)="15",LEFT(TH!O1054,2)="15"),LEFT(TH!O1054,3)&lt;&gt;"111",'152-CT'!$J$8=TH!F1054),"x","")</f>
        <v/>
      </c>
      <c r="AC1054" s="84" t="str">
        <f>IF(AND(OR(LEFT(TH!N1054,2)="15",LEFT(TH!O1054,2)="15"),TK!$E$7=TH!F1054),"x","")</f>
        <v/>
      </c>
      <c r="AD1054" s="84" t="str">
        <f>IF(AND(N1054="1521",MONTH(C1054)='BK-NL'!$M$11),"x","")</f>
        <v/>
      </c>
      <c r="AE1054" s="330"/>
    </row>
    <row r="1055" spans="1:31" s="351" customFormat="1" ht="15.75" hidden="1" customHeight="1">
      <c r="A1055" s="336" t="str">
        <f>IF(B1055&lt;&gt;"",IF(AND(B1055='IN-TC'!$S$4,OR(TH!N1055="1111",TH!O1055="1111")),TH!D1055,""),"")</f>
        <v/>
      </c>
      <c r="B1055" s="63">
        <f t="shared" si="172"/>
        <v>3</v>
      </c>
      <c r="C1055" s="318">
        <v>42441</v>
      </c>
      <c r="D1055" s="318" t="s">
        <v>894</v>
      </c>
      <c r="E1055" s="318">
        <v>42441</v>
      </c>
      <c r="F1055" s="73" t="s">
        <v>776</v>
      </c>
      <c r="G1055" s="986" t="s">
        <v>1125</v>
      </c>
      <c r="H1055" s="320" t="s">
        <v>1109</v>
      </c>
      <c r="I1055" s="439"/>
      <c r="J1055" s="439"/>
      <c r="K1055" s="430"/>
      <c r="L1055" s="439"/>
      <c r="M1055" s="65">
        <v>643682</v>
      </c>
      <c r="N1055" s="321" t="s">
        <v>101</v>
      </c>
      <c r="O1055" s="66" t="s">
        <v>63</v>
      </c>
      <c r="P1055" s="84" t="str">
        <f>IF(AND('331-CT'!$E$7=TH!H1055,OR(N1055="331",O1055="331")),"x","")</f>
        <v/>
      </c>
      <c r="Q1055" s="84" t="str">
        <f>IF(AND(B1055='111'!$L$11,OR($N1055=$Q$7,$O1055=$Q$7)),"x","")</f>
        <v/>
      </c>
      <c r="R1055" s="84" t="str">
        <f>IF(AND($N1055=$Q$7,$B1055&lt;'111'!$L$11),"x","")</f>
        <v/>
      </c>
      <c r="S1055" s="84" t="str">
        <f>IF(AND($O1055=$Q$7,$B1055&lt;'111'!$L$11),"x","")</f>
        <v/>
      </c>
      <c r="T1055" s="84" t="str">
        <f>IF(ISERROR(FIND('112'!$M$9,G1055,1)),"",IF((AND(FIND('112'!$M$9,G1055,1)&gt;=1,B1055='112'!$K$9,OR($N1055='112'!$I$6,$O1055='112'!$I$6))),"x",""))</f>
        <v/>
      </c>
      <c r="U1055" s="84" t="str">
        <f>IF(ISERROR(FIND('112'!$M$9,G1055,1)),"",IF((AND(LEFT(G1055,2)=LEFT('112'!$M$9,2),B1055&lt;'112'!$K$9,$N1055='112'!$I$6)),"x",""))</f>
        <v/>
      </c>
      <c r="V1055" s="84" t="str">
        <f>IF(ISERROR(FIND('112'!$M$9,G1055,1)),"",IF((AND(RIGHT(G1055,2)=RIGHT('112'!$M$9,2),B1055&lt;'112'!$K$9,$O1055='112'!$I$6)),"x",""))</f>
        <v/>
      </c>
      <c r="W1055" s="84" t="str">
        <f>IF(AND('341-CT'!$H$9=H1055,OR(LEFT(N1055,3)=$W$7,LEFT(O1055,3)=$W$7)),"x","")</f>
        <v/>
      </c>
      <c r="X1055" s="84" t="str">
        <f>IF(OR(TH!N1055=TH!$X$7,O1055=TH!$X$7),"x","")</f>
        <v/>
      </c>
      <c r="Y1055" s="84" t="str">
        <f>IF(AND(OR(N1055="131",O1055="131"),H1055='131-CT'!$H$9),"x","")</f>
        <v/>
      </c>
      <c r="Z1055" s="84"/>
      <c r="AA1055" s="84" t="str">
        <f>IF(AND(MONTH(E1055)='IN-NX'!$J$5,'IN-NX'!$D$7=D1055),"x","")</f>
        <v/>
      </c>
      <c r="AB1055" s="84" t="str">
        <f>IF(AND(OR(LEFT(TH!N1055,2)="15",LEFT(TH!O1055,2)="15"),LEFT(TH!O1055,3)&lt;&gt;"111",'152-CT'!$J$8=TH!F1055),"x","")</f>
        <v/>
      </c>
      <c r="AC1055" s="84" t="str">
        <f>IF(AND(OR(LEFT(TH!N1055,2)="15",LEFT(TH!O1055,2)="15"),TK!$E$7=TH!F1055),"x","")</f>
        <v/>
      </c>
      <c r="AD1055" s="84" t="str">
        <f>IF(AND(N1055="1521",MONTH(C1055)='BK-NL'!$M$11),"x","")</f>
        <v/>
      </c>
      <c r="AE1055" s="330"/>
    </row>
    <row r="1056" spans="1:31" s="351" customFormat="1" ht="15.75" hidden="1" customHeight="1">
      <c r="A1056" s="336" t="str">
        <f>IF(B1056&lt;&gt;"",IF(AND(B1056='IN-TC'!$S$4,OR(TH!N1056="1111",TH!O1056="1111")),TH!D1056,""),"")</f>
        <v/>
      </c>
      <c r="B1056" s="63">
        <f t="shared" si="172"/>
        <v>3</v>
      </c>
      <c r="C1056" s="318">
        <v>42441</v>
      </c>
      <c r="D1056" s="318" t="s">
        <v>894</v>
      </c>
      <c r="E1056" s="318">
        <v>42441</v>
      </c>
      <c r="F1056" s="73" t="s">
        <v>777</v>
      </c>
      <c r="G1056" s="986" t="s">
        <v>1125</v>
      </c>
      <c r="H1056" s="320" t="s">
        <v>1109</v>
      </c>
      <c r="I1056" s="439"/>
      <c r="J1056" s="439"/>
      <c r="K1056" s="430"/>
      <c r="L1056" s="439"/>
      <c r="M1056" s="65">
        <v>64368</v>
      </c>
      <c r="N1056" s="321" t="s">
        <v>9</v>
      </c>
      <c r="O1056" s="66" t="s">
        <v>63</v>
      </c>
      <c r="P1056" s="84" t="str">
        <f>IF(AND('331-CT'!$E$7=TH!H1056,OR(N1056="331",O1056="331")),"x","")</f>
        <v/>
      </c>
      <c r="Q1056" s="84" t="str">
        <f>IF(AND(B1056='111'!$L$11,OR($N1056=$Q$7,$O1056=$Q$7)),"x","")</f>
        <v/>
      </c>
      <c r="R1056" s="84" t="str">
        <f>IF(AND($N1056=$Q$7,$B1056&lt;'111'!$L$11),"x","")</f>
        <v/>
      </c>
      <c r="S1056" s="84" t="str">
        <f>IF(AND($O1056=$Q$7,$B1056&lt;'111'!$L$11),"x","")</f>
        <v/>
      </c>
      <c r="T1056" s="84" t="str">
        <f>IF(ISERROR(FIND('112'!$M$9,G1056,1)),"",IF((AND(FIND('112'!$M$9,G1056,1)&gt;=1,B1056='112'!$K$9,OR($N1056='112'!$I$6,$O1056='112'!$I$6))),"x",""))</f>
        <v/>
      </c>
      <c r="U1056" s="84" t="str">
        <f>IF(ISERROR(FIND('112'!$M$9,G1056,1)),"",IF((AND(LEFT(G1056,2)=LEFT('112'!$M$9,2),B1056&lt;'112'!$K$9,$N1056='112'!$I$6)),"x",""))</f>
        <v/>
      </c>
      <c r="V1056" s="84" t="str">
        <f>IF(ISERROR(FIND('112'!$M$9,G1056,1)),"",IF((AND(RIGHT(G1056,2)=RIGHT('112'!$M$9,2),B1056&lt;'112'!$K$9,$O1056='112'!$I$6)),"x",""))</f>
        <v/>
      </c>
      <c r="W1056" s="84" t="str">
        <f>IF(AND('341-CT'!$H$9=H1056,OR(LEFT(N1056,3)=$W$7,LEFT(O1056,3)=$W$7)),"x","")</f>
        <v/>
      </c>
      <c r="X1056" s="84" t="str">
        <f>IF(OR(TH!N1056=TH!$X$7,O1056=TH!$X$7),"x","")</f>
        <v/>
      </c>
      <c r="Y1056" s="84" t="str">
        <f>IF(AND(OR(N1056="131",O1056="131"),H1056='131-CT'!$H$9),"x","")</f>
        <v/>
      </c>
      <c r="Z1056" s="84"/>
      <c r="AA1056" s="84" t="str">
        <f>IF(AND(MONTH(E1056)='IN-NX'!$J$5,'IN-NX'!$D$7=D1056),"x","")</f>
        <v/>
      </c>
      <c r="AB1056" s="84" t="str">
        <f>IF(AND(OR(LEFT(TH!N1056,2)="15",LEFT(TH!O1056,2)="15"),LEFT(TH!O1056,3)&lt;&gt;"111",'152-CT'!$J$8=TH!F1056),"x","")</f>
        <v/>
      </c>
      <c r="AC1056" s="84" t="str">
        <f>IF(AND(OR(LEFT(TH!N1056,2)="15",LEFT(TH!O1056,2)="15"),TK!$E$7=TH!F1056),"x","")</f>
        <v/>
      </c>
      <c r="AD1056" s="84" t="str">
        <f>IF(AND(N1056="1521",MONTH(C1056)='BK-NL'!$M$11),"x","")</f>
        <v/>
      </c>
      <c r="AE1056" s="330"/>
    </row>
    <row r="1057" spans="1:31" s="351" customFormat="1" ht="15.75" hidden="1" customHeight="1">
      <c r="A1057" s="336" t="str">
        <f>IF(B1057&lt;&gt;"",IF(AND(B1057='IN-TC'!$S$4,OR(TH!N1057="1111",TH!O1057="1111")),TH!D1057,""),"")</f>
        <v/>
      </c>
      <c r="B1057" s="63">
        <f t="shared" si="172"/>
        <v>3</v>
      </c>
      <c r="C1057" s="318">
        <v>42443</v>
      </c>
      <c r="D1057" s="318" t="s">
        <v>895</v>
      </c>
      <c r="E1057" s="318">
        <v>42443</v>
      </c>
      <c r="F1057" s="73" t="s">
        <v>1132</v>
      </c>
      <c r="G1057" s="986" t="s">
        <v>1134</v>
      </c>
      <c r="H1057" s="320" t="s">
        <v>1135</v>
      </c>
      <c r="I1057" s="439"/>
      <c r="J1057" s="439"/>
      <c r="K1057" s="430"/>
      <c r="L1057" s="439"/>
      <c r="M1057" s="65">
        <v>1413000</v>
      </c>
      <c r="N1057" s="321" t="s">
        <v>101</v>
      </c>
      <c r="O1057" s="66" t="s">
        <v>63</v>
      </c>
      <c r="P1057" s="84" t="str">
        <f>IF(AND('331-CT'!$E$7=TH!H1057,OR(N1057="331",O1057="331")),"x","")</f>
        <v/>
      </c>
      <c r="Q1057" s="84" t="str">
        <f>IF(AND(B1057='111'!$L$11,OR($N1057=$Q$7,$O1057=$Q$7)),"x","")</f>
        <v/>
      </c>
      <c r="R1057" s="84" t="str">
        <f>IF(AND($N1057=$Q$7,$B1057&lt;'111'!$L$11),"x","")</f>
        <v/>
      </c>
      <c r="S1057" s="84" t="str">
        <f>IF(AND($O1057=$Q$7,$B1057&lt;'111'!$L$11),"x","")</f>
        <v/>
      </c>
      <c r="T1057" s="84" t="str">
        <f>IF(ISERROR(FIND('112'!$M$9,G1057,1)),"",IF((AND(FIND('112'!$M$9,G1057,1)&gt;=1,B1057='112'!$K$9,OR($N1057='112'!$I$6,$O1057='112'!$I$6))),"x",""))</f>
        <v/>
      </c>
      <c r="U1057" s="84" t="str">
        <f>IF(ISERROR(FIND('112'!$M$9,G1057,1)),"",IF((AND(LEFT(G1057,2)=LEFT('112'!$M$9,2),B1057&lt;'112'!$K$9,$N1057='112'!$I$6)),"x",""))</f>
        <v/>
      </c>
      <c r="V1057" s="84" t="str">
        <f>IF(ISERROR(FIND('112'!$M$9,G1057,1)),"",IF((AND(RIGHT(G1057,2)=RIGHT('112'!$M$9,2),B1057&lt;'112'!$K$9,$O1057='112'!$I$6)),"x",""))</f>
        <v/>
      </c>
      <c r="W1057" s="84" t="str">
        <f>IF(AND('341-CT'!$H$9=H1057,OR(LEFT(N1057,3)=$W$7,LEFT(O1057,3)=$W$7)),"x","")</f>
        <v/>
      </c>
      <c r="X1057" s="84" t="str">
        <f>IF(OR(TH!N1057=TH!$X$7,O1057=TH!$X$7),"x","")</f>
        <v/>
      </c>
      <c r="Y1057" s="84" t="str">
        <f>IF(AND(OR(N1057="131",O1057="131"),H1057='131-CT'!$H$9),"x","")</f>
        <v/>
      </c>
      <c r="Z1057" s="84"/>
      <c r="AA1057" s="84" t="str">
        <f>IF(AND(MONTH(E1057)='IN-NX'!$J$5,'IN-NX'!$D$7=D1057),"x","")</f>
        <v/>
      </c>
      <c r="AB1057" s="84" t="str">
        <f>IF(AND(OR(LEFT(TH!N1057,2)="15",LEFT(TH!O1057,2)="15"),LEFT(TH!O1057,3)&lt;&gt;"111",'152-CT'!$J$8=TH!F1057),"x","")</f>
        <v/>
      </c>
      <c r="AC1057" s="84" t="str">
        <f>IF(AND(OR(LEFT(TH!N1057,2)="15",LEFT(TH!O1057,2)="15"),TK!$E$7=TH!F1057),"x","")</f>
        <v/>
      </c>
      <c r="AD1057" s="84" t="str">
        <f>IF(AND(N1057="1521",MONTH(C1057)='BK-NL'!$M$11),"x","")</f>
        <v/>
      </c>
      <c r="AE1057" s="330"/>
    </row>
    <row r="1058" spans="1:31" s="347" customFormat="1" ht="15.75" hidden="1" customHeight="1">
      <c r="A1058" s="336" t="str">
        <f>IF(B1058&lt;&gt;"",IF(AND(B1058='IN-TC'!$S$4,OR(TH!N1058="1111",TH!O1058="1111")),TH!D1058,""),"")</f>
        <v/>
      </c>
      <c r="B1058" s="63">
        <f t="shared" si="172"/>
        <v>3</v>
      </c>
      <c r="C1058" s="64">
        <v>42443</v>
      </c>
      <c r="D1058" s="318" t="s">
        <v>895</v>
      </c>
      <c r="E1058" s="64">
        <v>42443</v>
      </c>
      <c r="F1058" s="73" t="s">
        <v>1133</v>
      </c>
      <c r="G1058" s="986" t="s">
        <v>1134</v>
      </c>
      <c r="H1058" s="73" t="s">
        <v>1135</v>
      </c>
      <c r="I1058" s="439"/>
      <c r="J1058" s="439"/>
      <c r="K1058" s="430"/>
      <c r="L1058" s="439"/>
      <c r="M1058" s="65">
        <v>141300</v>
      </c>
      <c r="N1058" s="66" t="s">
        <v>9</v>
      </c>
      <c r="O1058" s="66" t="s">
        <v>63</v>
      </c>
      <c r="P1058" s="84" t="str">
        <f>IF(AND('331-CT'!$E$7=TH!H1058,OR(N1058="331",O1058="331")),"x","")</f>
        <v/>
      </c>
      <c r="Q1058" s="84" t="str">
        <f>IF(AND(B1058='111'!$L$11,OR($N1058=$Q$7,$O1058=$Q$7)),"x","")</f>
        <v/>
      </c>
      <c r="R1058" s="84" t="str">
        <f>IF(AND($N1058=$Q$7,$B1058&lt;'111'!$L$11),"x","")</f>
        <v/>
      </c>
      <c r="S1058" s="84" t="str">
        <f>IF(AND($O1058=$Q$7,$B1058&lt;'111'!$L$11),"x","")</f>
        <v/>
      </c>
      <c r="T1058" s="84" t="str">
        <f>IF(ISERROR(FIND('112'!$M$9,G1058,1)),"",IF((AND(FIND('112'!$M$9,G1058,1)&gt;=1,B1058='112'!$K$9,OR($N1058='112'!$I$6,$O1058='112'!$I$6))),"x",""))</f>
        <v/>
      </c>
      <c r="U1058" s="84" t="str">
        <f>IF(ISERROR(FIND('112'!$M$9,G1058,1)),"",IF((AND(LEFT(G1058,2)=LEFT('112'!$M$9,2),B1058&lt;'112'!$K$9,$N1058='112'!$I$6)),"x",""))</f>
        <v/>
      </c>
      <c r="V1058" s="84" t="str">
        <f>IF(ISERROR(FIND('112'!$M$9,G1058,1)),"",IF((AND(RIGHT(G1058,2)=RIGHT('112'!$M$9,2),B1058&lt;'112'!$K$9,$O1058='112'!$I$6)),"x",""))</f>
        <v/>
      </c>
      <c r="W1058" s="84" t="str">
        <f>IF(AND('341-CT'!$H$9=H1058,OR(LEFT(N1058,3)=$W$7,LEFT(O1058,3)=$W$7)),"x","")</f>
        <v/>
      </c>
      <c r="X1058" s="84" t="str">
        <f>IF(OR(TH!N1058=TH!$X$7,O1058=TH!$X$7),"x","")</f>
        <v/>
      </c>
      <c r="Y1058" s="84" t="str">
        <f>IF(AND(OR(N1058="131",O1058="131"),H1058='131-CT'!$H$9),"x","")</f>
        <v/>
      </c>
      <c r="Z1058" s="84"/>
      <c r="AA1058" s="84" t="str">
        <f>IF(AND(MONTH(E1058)='IN-NX'!$J$5,'IN-NX'!$D$7=D1058),"x","")</f>
        <v/>
      </c>
      <c r="AB1058" s="84" t="str">
        <f>IF(AND(OR(LEFT(TH!N1058,2)="15",LEFT(TH!O1058,2)="15"),LEFT(TH!O1058,3)&lt;&gt;"111",'152-CT'!$J$8=TH!F1058),"x","")</f>
        <v/>
      </c>
      <c r="AC1058" s="84" t="str">
        <f>IF(AND(OR(LEFT(TH!N1058,2)="15",LEFT(TH!O1058,2)="15"),TK!$E$7=TH!F1058),"x","")</f>
        <v/>
      </c>
      <c r="AD1058" s="84" t="str">
        <f>IF(AND(N1058="1521",MONTH(C1058)='BK-NL'!$M$11),"x","")</f>
        <v/>
      </c>
      <c r="AE1058" s="351"/>
    </row>
    <row r="1059" spans="1:31" s="347" customFormat="1" ht="15.75" hidden="1" customHeight="1">
      <c r="A1059" s="336" t="str">
        <f>IF(B1059&lt;&gt;"",IF(AND(B1059='IN-TC'!$S$4,OR(TH!N1059="1111",TH!O1059="1111")),TH!D1059,""),"")</f>
        <v/>
      </c>
      <c r="B1059" s="63">
        <f t="shared" ref="B1059:B1064" si="173">IF(C1059&lt;&gt;"",MONTH(C1059),"")</f>
        <v>3</v>
      </c>
      <c r="C1059" s="64">
        <v>42443</v>
      </c>
      <c r="D1059" s="318" t="s">
        <v>896</v>
      </c>
      <c r="E1059" s="64">
        <v>42443</v>
      </c>
      <c r="F1059" s="73" t="s">
        <v>1376</v>
      </c>
      <c r="G1059" s="986" t="s">
        <v>1378</v>
      </c>
      <c r="H1059" s="73" t="s">
        <v>1379</v>
      </c>
      <c r="I1059" s="439"/>
      <c r="J1059" s="439"/>
      <c r="K1059" s="430"/>
      <c r="L1059" s="439"/>
      <c r="M1059" s="65">
        <v>800000</v>
      </c>
      <c r="N1059" s="66" t="s">
        <v>101</v>
      </c>
      <c r="O1059" s="66" t="s">
        <v>63</v>
      </c>
      <c r="P1059" s="84" t="str">
        <f>IF(AND('331-CT'!$E$7=TH!H1059,OR(N1059="331",O1059="331")),"x","")</f>
        <v/>
      </c>
      <c r="Q1059" s="84" t="str">
        <f>IF(AND(B1059='111'!$L$11,OR($N1059=$Q$7,$O1059=$Q$7)),"x","")</f>
        <v/>
      </c>
      <c r="R1059" s="84" t="str">
        <f>IF(AND($N1059=$Q$7,$B1059&lt;'111'!$L$11),"x","")</f>
        <v/>
      </c>
      <c r="S1059" s="84" t="str">
        <f>IF(AND($O1059=$Q$7,$B1059&lt;'111'!$L$11),"x","")</f>
        <v/>
      </c>
      <c r="T1059" s="84" t="str">
        <f>IF(ISERROR(FIND('112'!$M$9,G1059,1)),"",IF((AND(FIND('112'!$M$9,G1059,1)&gt;=1,B1059='112'!$K$9,OR($N1059='112'!$I$6,$O1059='112'!$I$6))),"x",""))</f>
        <v/>
      </c>
      <c r="U1059" s="84" t="str">
        <f>IF(ISERROR(FIND('112'!$M$9,G1059,1)),"",IF((AND(LEFT(G1059,2)=LEFT('112'!$M$9,2),B1059&lt;'112'!$K$9,$N1059='112'!$I$6)),"x",""))</f>
        <v/>
      </c>
      <c r="V1059" s="84" t="str">
        <f>IF(ISERROR(FIND('112'!$M$9,G1059,1)),"",IF((AND(RIGHT(G1059,2)=RIGHT('112'!$M$9,2),B1059&lt;'112'!$K$9,$O1059='112'!$I$6)),"x",""))</f>
        <v/>
      </c>
      <c r="W1059" s="84" t="str">
        <f>IF(AND('341-CT'!$H$9=H1059,OR(LEFT(N1059,3)=$W$7,LEFT(O1059,3)=$W$7)),"x","")</f>
        <v/>
      </c>
      <c r="X1059" s="84" t="str">
        <f>IF(OR(TH!N1059=TH!$X$7,O1059=TH!$X$7),"x","")</f>
        <v/>
      </c>
      <c r="Y1059" s="84" t="str">
        <f>IF(AND(OR(N1059="131",O1059="131"),H1059='131-CT'!$H$9),"x","")</f>
        <v/>
      </c>
      <c r="Z1059" s="84"/>
      <c r="AA1059" s="84" t="str">
        <f>IF(AND(MONTH(E1059)='IN-NX'!$J$5,'IN-NX'!$D$7=D1059),"x","")</f>
        <v/>
      </c>
      <c r="AB1059" s="84" t="str">
        <f>IF(AND(OR(LEFT(TH!N1059,2)="15",LEFT(TH!O1059,2)="15"),LEFT(TH!O1059,3)&lt;&gt;"111",'152-CT'!$J$8=TH!F1059),"x","")</f>
        <v/>
      </c>
      <c r="AC1059" s="84" t="str">
        <f>IF(AND(OR(LEFT(TH!N1059,2)="15",LEFT(TH!O1059,2)="15"),TK!$E$7=TH!F1059),"x","")</f>
        <v/>
      </c>
      <c r="AD1059" s="84" t="str">
        <f>IF(AND(N1059="1521",MONTH(C1059)='BK-NL'!$M$11),"x","")</f>
        <v/>
      </c>
      <c r="AE1059" s="351"/>
    </row>
    <row r="1060" spans="1:31" s="347" customFormat="1" ht="15.75" hidden="1" customHeight="1">
      <c r="A1060" s="336" t="str">
        <f>IF(B1060&lt;&gt;"",IF(AND(B1060='IN-TC'!$S$4,OR(TH!N1060="1111",TH!O1060="1111")),TH!D1060,""),"")</f>
        <v/>
      </c>
      <c r="B1060" s="63">
        <f t="shared" si="173"/>
        <v>3</v>
      </c>
      <c r="C1060" s="64">
        <v>42443</v>
      </c>
      <c r="D1060" s="318" t="s">
        <v>896</v>
      </c>
      <c r="E1060" s="64">
        <v>42443</v>
      </c>
      <c r="F1060" s="73" t="s">
        <v>1377</v>
      </c>
      <c r="G1060" s="986" t="s">
        <v>1378</v>
      </c>
      <c r="H1060" s="73" t="s">
        <v>1379</v>
      </c>
      <c r="I1060" s="439"/>
      <c r="J1060" s="439"/>
      <c r="K1060" s="430"/>
      <c r="L1060" s="439"/>
      <c r="M1060" s="65">
        <v>80000</v>
      </c>
      <c r="N1060" s="66" t="s">
        <v>9</v>
      </c>
      <c r="O1060" s="66" t="s">
        <v>63</v>
      </c>
      <c r="P1060" s="84" t="str">
        <f>IF(AND('331-CT'!$E$7=TH!H1060,OR(N1060="331",O1060="331")),"x","")</f>
        <v/>
      </c>
      <c r="Q1060" s="84" t="str">
        <f>IF(AND(B1060='111'!$L$11,OR($N1060=$Q$7,$O1060=$Q$7)),"x","")</f>
        <v/>
      </c>
      <c r="R1060" s="84" t="str">
        <f>IF(AND($N1060=$Q$7,$B1060&lt;'111'!$L$11),"x","")</f>
        <v/>
      </c>
      <c r="S1060" s="84" t="str">
        <f>IF(AND($O1060=$Q$7,$B1060&lt;'111'!$L$11),"x","")</f>
        <v/>
      </c>
      <c r="T1060" s="84" t="str">
        <f>IF(ISERROR(FIND('112'!$M$9,G1060,1)),"",IF((AND(FIND('112'!$M$9,G1060,1)&gt;=1,B1060='112'!$K$9,OR($N1060='112'!$I$6,$O1060='112'!$I$6))),"x",""))</f>
        <v/>
      </c>
      <c r="U1060" s="84" t="str">
        <f>IF(ISERROR(FIND('112'!$M$9,G1060,1)),"",IF((AND(LEFT(G1060,2)=LEFT('112'!$M$9,2),B1060&lt;'112'!$K$9,$N1060='112'!$I$6)),"x",""))</f>
        <v/>
      </c>
      <c r="V1060" s="84" t="str">
        <f>IF(ISERROR(FIND('112'!$M$9,G1060,1)),"",IF((AND(RIGHT(G1060,2)=RIGHT('112'!$M$9,2),B1060&lt;'112'!$K$9,$O1060='112'!$I$6)),"x",""))</f>
        <v/>
      </c>
      <c r="W1060" s="84" t="str">
        <f>IF(AND('341-CT'!$H$9=H1060,OR(LEFT(N1060,3)=$W$7,LEFT(O1060,3)=$W$7)),"x","")</f>
        <v/>
      </c>
      <c r="X1060" s="84" t="str">
        <f>IF(OR(TH!N1060=TH!$X$7,O1060=TH!$X$7),"x","")</f>
        <v/>
      </c>
      <c r="Y1060" s="84" t="str">
        <f>IF(AND(OR(N1060="131",O1060="131"),H1060='131-CT'!$H$9),"x","")</f>
        <v/>
      </c>
      <c r="Z1060" s="84"/>
      <c r="AA1060" s="84" t="str">
        <f>IF(AND(MONTH(E1060)='IN-NX'!$J$5,'IN-NX'!$D$7=D1060),"x","")</f>
        <v/>
      </c>
      <c r="AB1060" s="84" t="str">
        <f>IF(AND(OR(LEFT(TH!N1060,2)="15",LEFT(TH!O1060,2)="15"),LEFT(TH!O1060,3)&lt;&gt;"111",'152-CT'!$J$8=TH!F1060),"x","")</f>
        <v/>
      </c>
      <c r="AC1060" s="84" t="str">
        <f>IF(AND(OR(LEFT(TH!N1060,2)="15",LEFT(TH!O1060,2)="15"),TK!$E$7=TH!F1060),"x","")</f>
        <v/>
      </c>
      <c r="AD1060" s="84" t="str">
        <f>IF(AND(N1060="1521",MONTH(C1060)='BK-NL'!$M$11),"x","")</f>
        <v/>
      </c>
      <c r="AE1060" s="351"/>
    </row>
    <row r="1061" spans="1:31" s="347" customFormat="1" ht="15.75" hidden="1" customHeight="1">
      <c r="A1061" s="336" t="str">
        <f>IF(B1061&lt;&gt;"",IF(AND(B1061='IN-TC'!$S$4,OR(TH!N1061="1111",TH!O1061="1111")),TH!D1061,""),"")</f>
        <v/>
      </c>
      <c r="B1061" s="63">
        <f t="shared" si="173"/>
        <v>3</v>
      </c>
      <c r="C1061" s="64">
        <v>42443</v>
      </c>
      <c r="D1061" s="318" t="s">
        <v>897</v>
      </c>
      <c r="E1061" s="64">
        <v>42443</v>
      </c>
      <c r="F1061" s="73" t="s">
        <v>769</v>
      </c>
      <c r="G1061" s="986" t="s">
        <v>1380</v>
      </c>
      <c r="H1061" s="73" t="s">
        <v>806</v>
      </c>
      <c r="I1061" s="439"/>
      <c r="J1061" s="439"/>
      <c r="K1061" s="430"/>
      <c r="L1061" s="439"/>
      <c r="M1061" s="65">
        <v>7900000</v>
      </c>
      <c r="N1061" s="66" t="s">
        <v>101</v>
      </c>
      <c r="O1061" s="66" t="s">
        <v>63</v>
      </c>
      <c r="P1061" s="84" t="str">
        <f>IF(AND('331-CT'!$E$7=TH!H1061,OR(N1061="331",O1061="331")),"x","")</f>
        <v/>
      </c>
      <c r="Q1061" s="84" t="str">
        <f>IF(AND(B1061='111'!$L$11,OR($N1061=$Q$7,$O1061=$Q$7)),"x","")</f>
        <v/>
      </c>
      <c r="R1061" s="84" t="str">
        <f>IF(AND($N1061=$Q$7,$B1061&lt;'111'!$L$11),"x","")</f>
        <v/>
      </c>
      <c r="S1061" s="84" t="str">
        <f>IF(AND($O1061=$Q$7,$B1061&lt;'111'!$L$11),"x","")</f>
        <v/>
      </c>
      <c r="T1061" s="84" t="str">
        <f>IF(ISERROR(FIND('112'!$M$9,G1061,1)),"",IF((AND(FIND('112'!$M$9,G1061,1)&gt;=1,B1061='112'!$K$9,OR($N1061='112'!$I$6,$O1061='112'!$I$6))),"x",""))</f>
        <v/>
      </c>
      <c r="U1061" s="84" t="str">
        <f>IF(ISERROR(FIND('112'!$M$9,G1061,1)),"",IF((AND(LEFT(G1061,2)=LEFT('112'!$M$9,2),B1061&lt;'112'!$K$9,$N1061='112'!$I$6)),"x",""))</f>
        <v/>
      </c>
      <c r="V1061" s="84" t="str">
        <f>IF(ISERROR(FIND('112'!$M$9,G1061,1)),"",IF((AND(RIGHT(G1061,2)=RIGHT('112'!$M$9,2),B1061&lt;'112'!$K$9,$O1061='112'!$I$6)),"x",""))</f>
        <v/>
      </c>
      <c r="W1061" s="84" t="str">
        <f>IF(AND('341-CT'!$H$9=H1061,OR(LEFT(N1061,3)=$W$7,LEFT(O1061,3)=$W$7)),"x","")</f>
        <v/>
      </c>
      <c r="X1061" s="84" t="str">
        <f>IF(OR(TH!N1061=TH!$X$7,O1061=TH!$X$7),"x","")</f>
        <v/>
      </c>
      <c r="Y1061" s="84" t="str">
        <f>IF(AND(OR(N1061="131",O1061="131"),H1061='131-CT'!$H$9),"x","")</f>
        <v/>
      </c>
      <c r="Z1061" s="84"/>
      <c r="AA1061" s="84" t="str">
        <f>IF(AND(MONTH(E1061)='IN-NX'!$J$5,'IN-NX'!$D$7=D1061),"x","")</f>
        <v/>
      </c>
      <c r="AB1061" s="84" t="str">
        <f>IF(AND(OR(LEFT(TH!N1061,2)="15",LEFT(TH!O1061,2)="15"),LEFT(TH!O1061,3)&lt;&gt;"111",'152-CT'!$J$8=TH!F1061),"x","")</f>
        <v/>
      </c>
      <c r="AC1061" s="84" t="str">
        <f>IF(AND(OR(LEFT(TH!N1061,2)="15",LEFT(TH!O1061,2)="15"),TK!$E$7=TH!F1061),"x","")</f>
        <v/>
      </c>
      <c r="AD1061" s="84" t="str">
        <f>IF(AND(N1061="1521",MONTH(C1061)='BK-NL'!$M$11),"x","")</f>
        <v/>
      </c>
      <c r="AE1061" s="351"/>
    </row>
    <row r="1062" spans="1:31" s="347" customFormat="1" ht="15.75" hidden="1" customHeight="1">
      <c r="A1062" s="336" t="str">
        <f>IF(B1062&lt;&gt;"",IF(AND(B1062='IN-TC'!$S$4,OR(TH!N1062="1111",TH!O1062="1111")),TH!D1062,""),"")</f>
        <v/>
      </c>
      <c r="B1062" s="63">
        <f t="shared" si="173"/>
        <v>3</v>
      </c>
      <c r="C1062" s="64">
        <v>42443</v>
      </c>
      <c r="D1062" s="318" t="s">
        <v>897</v>
      </c>
      <c r="E1062" s="64">
        <v>42443</v>
      </c>
      <c r="F1062" s="73" t="s">
        <v>770</v>
      </c>
      <c r="G1062" s="986" t="s">
        <v>1380</v>
      </c>
      <c r="H1062" s="73" t="s">
        <v>806</v>
      </c>
      <c r="I1062" s="439"/>
      <c r="J1062" s="439"/>
      <c r="K1062" s="430"/>
      <c r="L1062" s="439"/>
      <c r="M1062" s="65">
        <v>790000</v>
      </c>
      <c r="N1062" s="66" t="s">
        <v>9</v>
      </c>
      <c r="O1062" s="66" t="s">
        <v>63</v>
      </c>
      <c r="P1062" s="84" t="str">
        <f>IF(AND('331-CT'!$E$7=TH!H1062,OR(N1062="331",O1062="331")),"x","")</f>
        <v/>
      </c>
      <c r="Q1062" s="84" t="str">
        <f>IF(AND(B1062='111'!$L$11,OR($N1062=$Q$7,$O1062=$Q$7)),"x","")</f>
        <v/>
      </c>
      <c r="R1062" s="84" t="str">
        <f>IF(AND($N1062=$Q$7,$B1062&lt;'111'!$L$11),"x","")</f>
        <v/>
      </c>
      <c r="S1062" s="84" t="str">
        <f>IF(AND($O1062=$Q$7,$B1062&lt;'111'!$L$11),"x","")</f>
        <v/>
      </c>
      <c r="T1062" s="84" t="str">
        <f>IF(ISERROR(FIND('112'!$M$9,G1062,1)),"",IF((AND(FIND('112'!$M$9,G1062,1)&gt;=1,B1062='112'!$K$9,OR($N1062='112'!$I$6,$O1062='112'!$I$6))),"x",""))</f>
        <v/>
      </c>
      <c r="U1062" s="84" t="str">
        <f>IF(ISERROR(FIND('112'!$M$9,G1062,1)),"",IF((AND(LEFT(G1062,2)=LEFT('112'!$M$9,2),B1062&lt;'112'!$K$9,$N1062='112'!$I$6)),"x",""))</f>
        <v/>
      </c>
      <c r="V1062" s="84" t="str">
        <f>IF(ISERROR(FIND('112'!$M$9,G1062,1)),"",IF((AND(RIGHT(G1062,2)=RIGHT('112'!$M$9,2),B1062&lt;'112'!$K$9,$O1062='112'!$I$6)),"x",""))</f>
        <v/>
      </c>
      <c r="W1062" s="84" t="str">
        <f>IF(AND('341-CT'!$H$9=H1062,OR(LEFT(N1062,3)=$W$7,LEFT(O1062,3)=$W$7)),"x","")</f>
        <v/>
      </c>
      <c r="X1062" s="84" t="str">
        <f>IF(OR(TH!N1062=TH!$X$7,O1062=TH!$X$7),"x","")</f>
        <v/>
      </c>
      <c r="Y1062" s="84" t="str">
        <f>IF(AND(OR(N1062="131",O1062="131"),H1062='131-CT'!$H$9),"x","")</f>
        <v/>
      </c>
      <c r="Z1062" s="84"/>
      <c r="AA1062" s="84" t="str">
        <f>IF(AND(MONTH(E1062)='IN-NX'!$J$5,'IN-NX'!$D$7=D1062),"x","")</f>
        <v/>
      </c>
      <c r="AB1062" s="84" t="str">
        <f>IF(AND(OR(LEFT(TH!N1062,2)="15",LEFT(TH!O1062,2)="15"),LEFT(TH!O1062,3)&lt;&gt;"111",'152-CT'!$J$8=TH!F1062),"x","")</f>
        <v/>
      </c>
      <c r="AC1062" s="84" t="str">
        <f>IF(AND(OR(LEFT(TH!N1062,2)="15",LEFT(TH!O1062,2)="15"),TK!$E$7=TH!F1062),"x","")</f>
        <v/>
      </c>
      <c r="AD1062" s="84" t="str">
        <f>IF(AND(N1062="1521",MONTH(C1062)='BK-NL'!$M$11),"x","")</f>
        <v/>
      </c>
      <c r="AE1062" s="351"/>
    </row>
    <row r="1063" spans="1:31" s="347" customFormat="1" ht="15.75" hidden="1" customHeight="1">
      <c r="A1063" s="336" t="str">
        <f>IF(B1063&lt;&gt;"",IF(AND(B1063='IN-TC'!$S$4,OR(TH!N1063="1111",TH!O1063="1111")),TH!D1063,""),"")</f>
        <v/>
      </c>
      <c r="B1063" s="63">
        <f t="shared" si="173"/>
        <v>3</v>
      </c>
      <c r="C1063" s="64">
        <v>42443</v>
      </c>
      <c r="D1063" s="318" t="s">
        <v>898</v>
      </c>
      <c r="E1063" s="64">
        <v>42443</v>
      </c>
      <c r="F1063" s="73" t="s">
        <v>765</v>
      </c>
      <c r="G1063" s="986" t="s">
        <v>1381</v>
      </c>
      <c r="H1063" s="73" t="s">
        <v>1036</v>
      </c>
      <c r="I1063" s="439"/>
      <c r="J1063" s="439"/>
      <c r="K1063" s="430"/>
      <c r="L1063" s="439"/>
      <c r="M1063" s="65">
        <v>1318180</v>
      </c>
      <c r="N1063" s="66" t="s">
        <v>101</v>
      </c>
      <c r="O1063" s="66" t="s">
        <v>63</v>
      </c>
      <c r="P1063" s="84" t="str">
        <f>IF(AND('331-CT'!$E$7=TH!H1063,OR(N1063="331",O1063="331")),"x","")</f>
        <v/>
      </c>
      <c r="Q1063" s="84" t="str">
        <f>IF(AND(B1063='111'!$L$11,OR($N1063=$Q$7,$O1063=$Q$7)),"x","")</f>
        <v/>
      </c>
      <c r="R1063" s="84" t="str">
        <f>IF(AND($N1063=$Q$7,$B1063&lt;'111'!$L$11),"x","")</f>
        <v/>
      </c>
      <c r="S1063" s="84" t="str">
        <f>IF(AND($O1063=$Q$7,$B1063&lt;'111'!$L$11),"x","")</f>
        <v/>
      </c>
      <c r="T1063" s="84" t="str">
        <f>IF(ISERROR(FIND('112'!$M$9,G1063,1)),"",IF((AND(FIND('112'!$M$9,G1063,1)&gt;=1,B1063='112'!$K$9,OR($N1063='112'!$I$6,$O1063='112'!$I$6))),"x",""))</f>
        <v/>
      </c>
      <c r="U1063" s="84" t="str">
        <f>IF(ISERROR(FIND('112'!$M$9,G1063,1)),"",IF((AND(LEFT(G1063,2)=LEFT('112'!$M$9,2),B1063&lt;'112'!$K$9,$N1063='112'!$I$6)),"x",""))</f>
        <v/>
      </c>
      <c r="V1063" s="84" t="str">
        <f>IF(ISERROR(FIND('112'!$M$9,G1063,1)),"",IF((AND(RIGHT(G1063,2)=RIGHT('112'!$M$9,2),B1063&lt;'112'!$K$9,$O1063='112'!$I$6)),"x",""))</f>
        <v/>
      </c>
      <c r="W1063" s="84" t="str">
        <f>IF(AND('341-CT'!$H$9=H1063,OR(LEFT(N1063,3)=$W$7,LEFT(O1063,3)=$W$7)),"x","")</f>
        <v/>
      </c>
      <c r="X1063" s="84" t="str">
        <f>IF(OR(TH!N1063=TH!$X$7,O1063=TH!$X$7),"x","")</f>
        <v/>
      </c>
      <c r="Y1063" s="84" t="str">
        <f>IF(AND(OR(N1063="131",O1063="131"),H1063='131-CT'!$H$9),"x","")</f>
        <v/>
      </c>
      <c r="Z1063" s="84"/>
      <c r="AA1063" s="84" t="str">
        <f>IF(AND(MONTH(E1063)='IN-NX'!$J$5,'IN-NX'!$D$7=D1063),"x","")</f>
        <v/>
      </c>
      <c r="AB1063" s="84" t="str">
        <f>IF(AND(OR(LEFT(TH!N1063,2)="15",LEFT(TH!O1063,2)="15"),LEFT(TH!O1063,3)&lt;&gt;"111",'152-CT'!$J$8=TH!F1063),"x","")</f>
        <v/>
      </c>
      <c r="AC1063" s="84" t="str">
        <f>IF(AND(OR(LEFT(TH!N1063,2)="15",LEFT(TH!O1063,2)="15"),TK!$E$7=TH!F1063),"x","")</f>
        <v/>
      </c>
      <c r="AD1063" s="84" t="str">
        <f>IF(AND(N1063="1521",MONTH(C1063)='BK-NL'!$M$11),"x","")</f>
        <v/>
      </c>
      <c r="AE1063" s="351"/>
    </row>
    <row r="1064" spans="1:31" s="347" customFormat="1" ht="15.75" hidden="1" customHeight="1">
      <c r="A1064" s="336" t="str">
        <f>IF(B1064&lt;&gt;"",IF(AND(B1064='IN-TC'!$S$4,OR(TH!N1064="1111",TH!O1064="1111")),TH!D1064,""),"")</f>
        <v/>
      </c>
      <c r="B1064" s="63">
        <f t="shared" si="173"/>
        <v>3</v>
      </c>
      <c r="C1064" s="64">
        <v>42443</v>
      </c>
      <c r="D1064" s="318" t="s">
        <v>898</v>
      </c>
      <c r="E1064" s="64">
        <v>42443</v>
      </c>
      <c r="F1064" s="73" t="s">
        <v>766</v>
      </c>
      <c r="G1064" s="986" t="s">
        <v>1381</v>
      </c>
      <c r="H1064" s="73" t="s">
        <v>1036</v>
      </c>
      <c r="I1064" s="439"/>
      <c r="J1064" s="439"/>
      <c r="K1064" s="430"/>
      <c r="L1064" s="439"/>
      <c r="M1064" s="65">
        <v>131820</v>
      </c>
      <c r="N1064" s="66" t="s">
        <v>9</v>
      </c>
      <c r="O1064" s="66" t="s">
        <v>63</v>
      </c>
      <c r="P1064" s="84" t="str">
        <f>IF(AND('331-CT'!$E$7=TH!H1064,OR(N1064="331",O1064="331")),"x","")</f>
        <v/>
      </c>
      <c r="Q1064" s="84" t="str">
        <f>IF(AND(B1064='111'!$L$11,OR($N1064=$Q$7,$O1064=$Q$7)),"x","")</f>
        <v/>
      </c>
      <c r="R1064" s="84" t="str">
        <f>IF(AND($N1064=$Q$7,$B1064&lt;'111'!$L$11),"x","")</f>
        <v/>
      </c>
      <c r="S1064" s="84" t="str">
        <f>IF(AND($O1064=$Q$7,$B1064&lt;'111'!$L$11),"x","")</f>
        <v/>
      </c>
      <c r="T1064" s="84" t="str">
        <f>IF(ISERROR(FIND('112'!$M$9,G1064,1)),"",IF((AND(FIND('112'!$M$9,G1064,1)&gt;=1,B1064='112'!$K$9,OR($N1064='112'!$I$6,$O1064='112'!$I$6))),"x",""))</f>
        <v/>
      </c>
      <c r="U1064" s="84" t="str">
        <f>IF(ISERROR(FIND('112'!$M$9,G1064,1)),"",IF((AND(LEFT(G1064,2)=LEFT('112'!$M$9,2),B1064&lt;'112'!$K$9,$N1064='112'!$I$6)),"x",""))</f>
        <v/>
      </c>
      <c r="V1064" s="84" t="str">
        <f>IF(ISERROR(FIND('112'!$M$9,G1064,1)),"",IF((AND(RIGHT(G1064,2)=RIGHT('112'!$M$9,2),B1064&lt;'112'!$K$9,$O1064='112'!$I$6)),"x",""))</f>
        <v/>
      </c>
      <c r="W1064" s="84" t="str">
        <f>IF(AND('341-CT'!$H$9=H1064,OR(LEFT(N1064,3)=$W$7,LEFT(O1064,3)=$W$7)),"x","")</f>
        <v/>
      </c>
      <c r="X1064" s="84" t="str">
        <f>IF(OR(TH!N1064=TH!$X$7,O1064=TH!$X$7),"x","")</f>
        <v/>
      </c>
      <c r="Y1064" s="84" t="str">
        <f>IF(AND(OR(N1064="131",O1064="131"),H1064='131-CT'!$H$9),"x","")</f>
        <v/>
      </c>
      <c r="Z1064" s="84"/>
      <c r="AA1064" s="84" t="str">
        <f>IF(AND(MONTH(E1064)='IN-NX'!$J$5,'IN-NX'!$D$7=D1064),"x","")</f>
        <v/>
      </c>
      <c r="AB1064" s="84" t="str">
        <f>IF(AND(OR(LEFT(TH!N1064,2)="15",LEFT(TH!O1064,2)="15"),LEFT(TH!O1064,3)&lt;&gt;"111",'152-CT'!$J$8=TH!F1064),"x","")</f>
        <v/>
      </c>
      <c r="AC1064" s="84" t="str">
        <f>IF(AND(OR(LEFT(TH!N1064,2)="15",LEFT(TH!O1064,2)="15"),TK!$E$7=TH!F1064),"x","")</f>
        <v/>
      </c>
      <c r="AD1064" s="84" t="str">
        <f>IF(AND(N1064="1521",MONTH(C1064)='BK-NL'!$M$11),"x","")</f>
        <v/>
      </c>
      <c r="AE1064" s="351"/>
    </row>
    <row r="1065" spans="1:31" s="347" customFormat="1" ht="15.75" hidden="1" customHeight="1">
      <c r="A1065" s="336" t="str">
        <f>IF(B1065&lt;&gt;"",IF(AND(B1065='IN-TC'!$S$4,OR(TH!N1065="1111",TH!O1065="1111")),TH!D1065,""),"")</f>
        <v/>
      </c>
      <c r="B1065" s="63">
        <f t="shared" si="172"/>
        <v>3</v>
      </c>
      <c r="C1065" s="64">
        <v>42443</v>
      </c>
      <c r="D1065" s="318" t="s">
        <v>705</v>
      </c>
      <c r="E1065" s="64">
        <v>42443</v>
      </c>
      <c r="F1065" s="73" t="s">
        <v>1199</v>
      </c>
      <c r="G1065" s="986" t="s">
        <v>918</v>
      </c>
      <c r="H1065" s="73"/>
      <c r="I1065" s="439"/>
      <c r="J1065" s="439"/>
      <c r="K1065" s="430"/>
      <c r="L1065" s="439"/>
      <c r="M1065" s="65">
        <v>25000</v>
      </c>
      <c r="N1065" s="66" t="s">
        <v>101</v>
      </c>
      <c r="O1065" s="66" t="s">
        <v>26</v>
      </c>
      <c r="P1065" s="84" t="str">
        <f>IF(AND('331-CT'!$E$7=TH!H1065,OR(N1065="331",O1065="331")),"x","")</f>
        <v/>
      </c>
      <c r="Q1065" s="84" t="str">
        <f>IF(AND(B1065='111'!$L$11,OR($N1065=$Q$7,$O1065=$Q$7)),"x","")</f>
        <v/>
      </c>
      <c r="R1065" s="84" t="str">
        <f>IF(AND($N1065=$Q$7,$B1065&lt;'111'!$L$11),"x","")</f>
        <v/>
      </c>
      <c r="S1065" s="84" t="str">
        <f>IF(AND($O1065=$Q$7,$B1065&lt;'111'!$L$11),"x","")</f>
        <v/>
      </c>
      <c r="T1065" s="84" t="str">
        <f>IF(ISERROR(FIND('112'!$M$9,G1065,1)),"",IF((AND(FIND('112'!$M$9,G1065,1)&gt;=1,B1065='112'!$K$9,OR($N1065='112'!$I$6,$O1065='112'!$I$6))),"x",""))</f>
        <v/>
      </c>
      <c r="U1065" s="84" t="str">
        <f>IF(ISERROR(FIND('112'!$M$9,G1065,1)),"",IF((AND(LEFT(G1065,2)=LEFT('112'!$M$9,2),B1065&lt;'112'!$K$9,$N1065='112'!$I$6)),"x",""))</f>
        <v/>
      </c>
      <c r="V1065" s="84" t="str">
        <f>IF(ISERROR(FIND('112'!$M$9,G1065,1)),"",IF((AND(RIGHT(G1065,2)=RIGHT('112'!$M$9,2),B1065&lt;'112'!$K$9,$O1065='112'!$I$6)),"x",""))</f>
        <v/>
      </c>
      <c r="W1065" s="84" t="str">
        <f>IF(AND('341-CT'!$H$9=H1065,OR(LEFT(N1065,3)=$W$7,LEFT(O1065,3)=$W$7)),"x","")</f>
        <v/>
      </c>
      <c r="X1065" s="84" t="str">
        <f>IF(OR(TH!N1065=TH!$X$7,O1065=TH!$X$7),"x","")</f>
        <v/>
      </c>
      <c r="Y1065" s="84" t="str">
        <f>IF(AND(OR(N1065="131",O1065="131"),H1065='131-CT'!$H$9),"x","")</f>
        <v/>
      </c>
      <c r="Z1065" s="84"/>
      <c r="AA1065" s="84" t="str">
        <f>IF(AND(MONTH(E1065)='IN-NX'!$J$5,'IN-NX'!$D$7=D1065),"x","")</f>
        <v/>
      </c>
      <c r="AB1065" s="84" t="str">
        <f>IF(AND(OR(LEFT(TH!N1065,2)="15",LEFT(TH!O1065,2)="15"),LEFT(TH!O1065,3)&lt;&gt;"111",'152-CT'!$J$8=TH!F1065),"x","")</f>
        <v/>
      </c>
      <c r="AC1065" s="84" t="str">
        <f>IF(AND(OR(LEFT(TH!N1065,2)="15",LEFT(TH!O1065,2)="15"),TK!$E$7=TH!F1065),"x","")</f>
        <v/>
      </c>
      <c r="AD1065" s="84" t="str">
        <f>IF(AND(N1065="1521",MONTH(C1065)='BK-NL'!$M$11),"x","")</f>
        <v/>
      </c>
      <c r="AE1065" s="351"/>
    </row>
    <row r="1066" spans="1:31" s="347" customFormat="1" ht="15.75" hidden="1" customHeight="1">
      <c r="A1066" s="336" t="str">
        <f>IF(B1066&lt;&gt;"",IF(AND(B1066='IN-TC'!$S$4,OR(TH!N1066="1111",TH!O1066="1111")),TH!D1066,""),"")</f>
        <v/>
      </c>
      <c r="B1066" s="63">
        <f t="shared" si="172"/>
        <v>3</v>
      </c>
      <c r="C1066" s="318">
        <v>42443</v>
      </c>
      <c r="D1066" s="318" t="s">
        <v>705</v>
      </c>
      <c r="E1066" s="318">
        <v>42443</v>
      </c>
      <c r="F1066" s="73" t="s">
        <v>1200</v>
      </c>
      <c r="G1066" s="319" t="s">
        <v>918</v>
      </c>
      <c r="H1066" s="320"/>
      <c r="I1066" s="439"/>
      <c r="J1066" s="439"/>
      <c r="K1066" s="430"/>
      <c r="L1066" s="439"/>
      <c r="M1066" s="65">
        <v>2500</v>
      </c>
      <c r="N1066" s="321" t="s">
        <v>9</v>
      </c>
      <c r="O1066" s="66" t="s">
        <v>26</v>
      </c>
      <c r="P1066" s="84" t="str">
        <f>IF(AND('331-CT'!$E$7=TH!H1066,OR(N1066="331",O1066="331")),"x","")</f>
        <v/>
      </c>
      <c r="Q1066" s="84" t="str">
        <f>IF(AND(B1066='111'!$L$11,OR($N1066=$Q$7,$O1066=$Q$7)),"x","")</f>
        <v/>
      </c>
      <c r="R1066" s="84" t="str">
        <f>IF(AND($N1066=$Q$7,$B1066&lt;'111'!$L$11),"x","")</f>
        <v/>
      </c>
      <c r="S1066" s="84" t="str">
        <f>IF(AND($O1066=$Q$7,$B1066&lt;'111'!$L$11),"x","")</f>
        <v/>
      </c>
      <c r="T1066" s="84" t="str">
        <f>IF(ISERROR(FIND('112'!$M$9,G1066,1)),"",IF((AND(FIND('112'!$M$9,G1066,1)&gt;=1,B1066='112'!$K$9,OR($N1066='112'!$I$6,$O1066='112'!$I$6))),"x",""))</f>
        <v/>
      </c>
      <c r="U1066" s="84" t="str">
        <f>IF(ISERROR(FIND('112'!$M$9,G1066,1)),"",IF((AND(LEFT(G1066,2)=LEFT('112'!$M$9,2),B1066&lt;'112'!$K$9,$N1066='112'!$I$6)),"x",""))</f>
        <v/>
      </c>
      <c r="V1066" s="84" t="str">
        <f>IF(ISERROR(FIND('112'!$M$9,G1066,1)),"",IF((AND(RIGHT(G1066,2)=RIGHT('112'!$M$9,2),B1066&lt;'112'!$K$9,$O1066='112'!$I$6)),"x",""))</f>
        <v/>
      </c>
      <c r="W1066" s="84" t="str">
        <f>IF(AND('341-CT'!$H$9=H1066,OR(LEFT(N1066,3)=$W$7,LEFT(O1066,3)=$W$7)),"x","")</f>
        <v/>
      </c>
      <c r="X1066" s="84" t="str">
        <f>IF(OR(TH!N1066=TH!$X$7,O1066=TH!$X$7),"x","")</f>
        <v/>
      </c>
      <c r="Y1066" s="84" t="str">
        <f>IF(AND(OR(N1066="131",O1066="131"),H1066='131-CT'!$H$9),"x","")</f>
        <v/>
      </c>
      <c r="Z1066" s="84"/>
      <c r="AA1066" s="84" t="str">
        <f>IF(AND(MONTH(E1066)='IN-NX'!$J$5,'IN-NX'!$D$7=D1066),"x","")</f>
        <v/>
      </c>
      <c r="AB1066" s="84" t="str">
        <f>IF(AND(OR(LEFT(TH!N1066,2)="15",LEFT(TH!O1066,2)="15"),LEFT(TH!O1066,3)&lt;&gt;"111",'152-CT'!$J$8=TH!F1066),"x","")</f>
        <v/>
      </c>
      <c r="AC1066" s="84" t="str">
        <f>IF(AND(OR(LEFT(TH!N1066,2)="15",LEFT(TH!O1066,2)="15"),TK!$E$7=TH!F1066),"x","")</f>
        <v/>
      </c>
      <c r="AD1066" s="84" t="str">
        <f>IF(AND(N1066="1521",MONTH(C1066)='BK-NL'!$M$11),"x","")</f>
        <v/>
      </c>
      <c r="AE1066" s="330"/>
    </row>
    <row r="1067" spans="1:31" s="347" customFormat="1" ht="15.75" hidden="1" customHeight="1">
      <c r="A1067" s="336" t="str">
        <f>IF(B1067&lt;&gt;"",IF(AND(B1067='IN-TC'!$S$4,OR(TH!N1067="1111",TH!O1067="1111")),TH!D1067,""),"")</f>
        <v/>
      </c>
      <c r="B1067" s="63">
        <f t="shared" si="172"/>
        <v>3</v>
      </c>
      <c r="C1067" s="318">
        <f>E1067</f>
        <v>42444</v>
      </c>
      <c r="D1067" s="318" t="s">
        <v>899</v>
      </c>
      <c r="E1067" s="318">
        <v>42444</v>
      </c>
      <c r="F1067" s="73" t="s">
        <v>964</v>
      </c>
      <c r="G1067" s="81"/>
      <c r="H1067" s="82" t="s">
        <v>963</v>
      </c>
      <c r="I1067" s="437"/>
      <c r="J1067" s="437"/>
      <c r="K1067" s="428"/>
      <c r="L1067" s="437"/>
      <c r="M1067" s="83">
        <v>300000000</v>
      </c>
      <c r="N1067" s="84" t="s">
        <v>272</v>
      </c>
      <c r="O1067" s="66" t="s">
        <v>63</v>
      </c>
      <c r="P1067" s="84" t="str">
        <f>IF(AND('331-CT'!$E$7=TH!H1067,OR(N1067="331",O1067="331")),"x","")</f>
        <v/>
      </c>
      <c r="Q1067" s="84" t="str">
        <f>IF(AND(B1067='111'!$L$11,OR($N1067=$Q$7,$O1067=$Q$7)),"x","")</f>
        <v/>
      </c>
      <c r="R1067" s="84" t="str">
        <f>IF(AND($N1067=$Q$7,$B1067&lt;'111'!$L$11),"x","")</f>
        <v/>
      </c>
      <c r="S1067" s="84" t="str">
        <f>IF(AND($O1067=$Q$7,$B1067&lt;'111'!$L$11),"x","")</f>
        <v/>
      </c>
      <c r="T1067" s="84" t="str">
        <f>IF(ISERROR(FIND('112'!$M$9,G1067,1)),"",IF((AND(FIND('112'!$M$9,G1067,1)&gt;=1,B1067='112'!$K$9,OR($N1067='112'!$I$6,$O1067='112'!$I$6))),"x",""))</f>
        <v/>
      </c>
      <c r="U1067" s="84" t="str">
        <f>IF(ISERROR(FIND('112'!$M$9,G1067,1)),"",IF((AND(LEFT(G1067,2)=LEFT('112'!$M$9,2),B1067&lt;'112'!$K$9,$N1067='112'!$I$6)),"x",""))</f>
        <v/>
      </c>
      <c r="V1067" s="84" t="str">
        <f>IF(ISERROR(FIND('112'!$M$9,G1067,1)),"",IF((AND(RIGHT(G1067,2)=RIGHT('112'!$M$9,2),B1067&lt;'112'!$K$9,$O1067='112'!$I$6)),"x",""))</f>
        <v/>
      </c>
      <c r="W1067" s="84" t="str">
        <f>IF(AND('341-CT'!$H$9=H1067,OR(LEFT(N1067,3)=$W$7,LEFT(O1067,3)=$W$7)),"x","")</f>
        <v/>
      </c>
      <c r="X1067" s="84" t="str">
        <f>IF(OR(TH!N1067=TH!$X$7,O1067=TH!$X$7),"x","")</f>
        <v/>
      </c>
      <c r="Y1067" s="84" t="str">
        <f>IF(AND(OR(N1067="131",O1067="131"),H1067='131-CT'!$H$9),"x","")</f>
        <v/>
      </c>
      <c r="Z1067" s="84"/>
      <c r="AA1067" s="84" t="str">
        <f>IF(AND(MONTH(E1067)='IN-NX'!$J$5,'IN-NX'!$D$7=D1067),"x","")</f>
        <v/>
      </c>
      <c r="AB1067" s="84" t="str">
        <f>IF(AND(OR(LEFT(TH!N1067,2)="15",LEFT(TH!O1067,2)="15"),LEFT(TH!O1067,3)&lt;&gt;"111",'152-CT'!$J$8=TH!F1067),"x","")</f>
        <v/>
      </c>
      <c r="AC1067" s="84" t="str">
        <f>IF(AND(OR(LEFT(TH!N1067,2)="15",LEFT(TH!O1067,2)="15"),TK!$E$7=TH!F1067),"x","")</f>
        <v/>
      </c>
      <c r="AD1067" s="84" t="str">
        <f>IF(AND(N1067="1521",MONTH(C1067)='BK-NL'!$M$11),"x","")</f>
        <v/>
      </c>
      <c r="AE1067" s="330"/>
    </row>
    <row r="1068" spans="1:31" s="351" customFormat="1" ht="15.75" hidden="1" customHeight="1">
      <c r="A1068" s="336" t="str">
        <f>IF(B1068&lt;&gt;"",IF(AND(B1068='IN-TC'!$S$4,OR(TH!N1068="1111",TH!O1068="1111")),TH!D1068,""),"")</f>
        <v/>
      </c>
      <c r="B1068" s="63">
        <f t="shared" si="172"/>
        <v>3</v>
      </c>
      <c r="C1068" s="318">
        <v>42444</v>
      </c>
      <c r="D1068" s="64" t="s">
        <v>702</v>
      </c>
      <c r="E1068" s="318">
        <v>42444</v>
      </c>
      <c r="F1068" s="73" t="s">
        <v>1191</v>
      </c>
      <c r="G1068" s="986" t="s">
        <v>918</v>
      </c>
      <c r="H1068" s="320" t="s">
        <v>599</v>
      </c>
      <c r="I1068" s="439"/>
      <c r="J1068" s="439"/>
      <c r="K1068" s="430">
        <v>100100</v>
      </c>
      <c r="L1068" s="439">
        <v>22295</v>
      </c>
      <c r="M1068" s="65">
        <v>2231729500</v>
      </c>
      <c r="N1068" s="321" t="s">
        <v>266</v>
      </c>
      <c r="O1068" s="66" t="s">
        <v>588</v>
      </c>
      <c r="P1068" s="84" t="str">
        <f>IF(AND('331-CT'!$E$7=TH!H1068,OR(N1068="331",O1068="331")),"x","")</f>
        <v/>
      </c>
      <c r="Q1068" s="84" t="str">
        <f>IF(AND(B1068='111'!$L$11,OR($N1068=$Q$7,$O1068=$Q$7)),"x","")</f>
        <v/>
      </c>
      <c r="R1068" s="84" t="str">
        <f>IF(AND($N1068=$Q$7,$B1068&lt;'111'!$L$11),"x","")</f>
        <v/>
      </c>
      <c r="S1068" s="84" t="str">
        <f>IF(AND($O1068=$Q$7,$B1068&lt;'111'!$L$11),"x","")</f>
        <v/>
      </c>
      <c r="T1068" s="84" t="str">
        <f>IF(ISERROR(FIND('112'!$M$9,G1068,1)),"",IF((AND(FIND('112'!$M$9,G1068,1)&gt;=1,B1068='112'!$K$9,OR($N1068='112'!$I$6,$O1068='112'!$I$6))),"x",""))</f>
        <v/>
      </c>
      <c r="U1068" s="84" t="str">
        <f>IF(ISERROR(FIND('112'!$M$9,G1068,1)),"",IF((AND(LEFT(G1068,2)=LEFT('112'!$M$9,2),B1068&lt;'112'!$K$9,$N1068='112'!$I$6)),"x",""))</f>
        <v/>
      </c>
      <c r="V1068" s="84" t="str">
        <f>IF(ISERROR(FIND('112'!$M$9,G1068,1)),"",IF((AND(RIGHT(G1068,2)=RIGHT('112'!$M$9,2),B1068&lt;'112'!$K$9,$O1068='112'!$I$6)),"x",""))</f>
        <v/>
      </c>
      <c r="W1068" s="84" t="str">
        <f>IF(AND('341-CT'!$H$9=H1068,OR(LEFT(N1068,3)=$W$7,LEFT(O1068,3)=$W$7)),"x","")</f>
        <v/>
      </c>
      <c r="X1068" s="84" t="str">
        <f>IF(OR(TH!N1068=TH!$X$7,O1068=TH!$X$7),"x","")</f>
        <v/>
      </c>
      <c r="Y1068" s="84" t="str">
        <f>IF(AND(OR(N1068="131",O1068="131"),H1068='131-CT'!$H$9),"x","")</f>
        <v/>
      </c>
      <c r="Z1068" s="84"/>
      <c r="AA1068" s="84" t="str">
        <f>IF(AND(MONTH(E1068)='IN-NX'!$J$5,'IN-NX'!$D$7=D1068),"x","")</f>
        <v/>
      </c>
      <c r="AB1068" s="84" t="str">
        <f>IF(AND(OR(LEFT(TH!N1068,2)="15",LEFT(TH!O1068,2)="15"),LEFT(TH!O1068,3)&lt;&gt;"111",'152-CT'!$J$8=TH!F1068),"x","")</f>
        <v/>
      </c>
      <c r="AC1068" s="84" t="str">
        <f>IF(AND(OR(LEFT(TH!N1068,2)="15",LEFT(TH!O1068,2)="15"),TK!$E$7=TH!F1068),"x","")</f>
        <v/>
      </c>
      <c r="AD1068" s="84" t="str">
        <f>IF(AND(N1068="1521",MONTH(C1068)='BK-NL'!$M$11),"x","")</f>
        <v/>
      </c>
    </row>
    <row r="1069" spans="1:31" s="351" customFormat="1" ht="15.75" hidden="1" customHeight="1">
      <c r="A1069" s="336" t="str">
        <f>IF(B1069&lt;&gt;"",IF(AND(B1069='IN-TC'!$S$4,OR(TH!N1069="1111",TH!O1069="1111")),TH!D1069,""),"")</f>
        <v/>
      </c>
      <c r="B1069" s="63">
        <f t="shared" si="172"/>
        <v>3</v>
      </c>
      <c r="C1069" s="318">
        <v>42444</v>
      </c>
      <c r="D1069" s="64" t="s">
        <v>705</v>
      </c>
      <c r="E1069" s="318">
        <v>42444</v>
      </c>
      <c r="F1069" s="73" t="s">
        <v>1445</v>
      </c>
      <c r="G1069" s="986" t="s">
        <v>918</v>
      </c>
      <c r="H1069" s="320"/>
      <c r="I1069" s="439"/>
      <c r="J1069" s="439"/>
      <c r="K1069" s="430">
        <v>100000</v>
      </c>
      <c r="L1069" s="439">
        <v>22295</v>
      </c>
      <c r="M1069" s="65">
        <v>2229500000</v>
      </c>
      <c r="N1069" s="66" t="s">
        <v>26</v>
      </c>
      <c r="O1069" s="66" t="s">
        <v>266</v>
      </c>
      <c r="P1069" s="84" t="str">
        <f>IF(AND('331-CT'!$E$7=TH!H1069,OR(N1069="331",O1069="331")),"x","")</f>
        <v/>
      </c>
      <c r="Q1069" s="84" t="str">
        <f>IF(AND(B1069='111'!$L$11,OR($N1069=$Q$7,$O1069=$Q$7)),"x","")</f>
        <v/>
      </c>
      <c r="R1069" s="84" t="str">
        <f>IF(AND($N1069=$Q$7,$B1069&lt;'111'!$L$11),"x","")</f>
        <v/>
      </c>
      <c r="S1069" s="84" t="str">
        <f>IF(AND($O1069=$Q$7,$B1069&lt;'111'!$L$11),"x","")</f>
        <v/>
      </c>
      <c r="T1069" s="84" t="str">
        <f>IF(ISERROR(FIND('112'!$M$9,G1069,1)),"",IF((AND(FIND('112'!$M$9,G1069,1)&gt;=1,B1069='112'!$K$9,OR($N1069='112'!$I$6,$O1069='112'!$I$6))),"x",""))</f>
        <v/>
      </c>
      <c r="U1069" s="84" t="str">
        <f>IF(ISERROR(FIND('112'!$M$9,G1069,1)),"",IF((AND(LEFT(G1069,2)=LEFT('112'!$M$9,2),B1069&lt;'112'!$K$9,$N1069='112'!$I$6)),"x",""))</f>
        <v/>
      </c>
      <c r="V1069" s="84" t="str">
        <f>IF(ISERROR(FIND('112'!$M$9,G1069,1)),"",IF((AND(RIGHT(G1069,2)=RIGHT('112'!$M$9,2),B1069&lt;'112'!$K$9,$O1069='112'!$I$6)),"x",""))</f>
        <v/>
      </c>
      <c r="W1069" s="84" t="str">
        <f>IF(AND('341-CT'!$H$9=H1069,OR(LEFT(N1069,3)=$W$7,LEFT(O1069,3)=$W$7)),"x","")</f>
        <v/>
      </c>
      <c r="X1069" s="84" t="str">
        <f>IF(OR(TH!N1069=TH!$X$7,O1069=TH!$X$7),"x","")</f>
        <v/>
      </c>
      <c r="Y1069" s="84" t="str">
        <f>IF(AND(OR(N1069="131",O1069="131"),H1069='131-CT'!$H$9),"x","")</f>
        <v/>
      </c>
      <c r="Z1069" s="84"/>
      <c r="AA1069" s="84" t="str">
        <f>IF(AND(MONTH(E1069)='IN-NX'!$J$5,'IN-NX'!$D$7=D1069),"x","")</f>
        <v/>
      </c>
      <c r="AB1069" s="84" t="str">
        <f>IF(AND(OR(LEFT(TH!N1069,2)="15",LEFT(TH!O1069,2)="15"),LEFT(TH!O1069,3)&lt;&gt;"111",'152-CT'!$J$8=TH!F1069),"x","")</f>
        <v/>
      </c>
      <c r="AC1069" s="84" t="str">
        <f>IF(AND(OR(LEFT(TH!N1069,2)="15",LEFT(TH!O1069,2)="15"),TK!$E$7=TH!F1069),"x","")</f>
        <v/>
      </c>
      <c r="AD1069" s="84" t="str">
        <f>IF(AND(N1069="1521",MONTH(C1069)='BK-NL'!$M$11),"x","")</f>
        <v/>
      </c>
    </row>
    <row r="1070" spans="1:31" s="351" customFormat="1" ht="15.75" hidden="1" customHeight="1">
      <c r="A1070" s="336" t="str">
        <f>IF(B1070&lt;&gt;"",IF(AND(B1070='IN-TC'!$S$4,OR(TH!N1070="1111",TH!O1070="1111")),TH!D1070,""),"")</f>
        <v/>
      </c>
      <c r="B1070" s="63">
        <f t="shared" si="172"/>
        <v>3</v>
      </c>
      <c r="C1070" s="318">
        <v>42444</v>
      </c>
      <c r="D1070" s="64" t="s">
        <v>705</v>
      </c>
      <c r="E1070" s="318">
        <v>42444</v>
      </c>
      <c r="F1070" s="73" t="s">
        <v>1192</v>
      </c>
      <c r="G1070" s="986" t="s">
        <v>918</v>
      </c>
      <c r="H1070" s="320"/>
      <c r="I1070" s="439"/>
      <c r="J1070" s="439"/>
      <c r="K1070" s="430">
        <v>15</v>
      </c>
      <c r="L1070" s="439">
        <v>22295</v>
      </c>
      <c r="M1070" s="65">
        <v>334425</v>
      </c>
      <c r="N1070" s="321" t="s">
        <v>101</v>
      </c>
      <c r="O1070" s="66" t="s">
        <v>266</v>
      </c>
      <c r="P1070" s="84" t="str">
        <f>IF(AND('331-CT'!$E$7=TH!H1070,OR(N1070="331",O1070="331")),"x","")</f>
        <v/>
      </c>
      <c r="Q1070" s="84" t="str">
        <f>IF(AND(B1070='111'!$L$11,OR($N1070=$Q$7,$O1070=$Q$7)),"x","")</f>
        <v/>
      </c>
      <c r="R1070" s="84" t="str">
        <f>IF(AND($N1070=$Q$7,$B1070&lt;'111'!$L$11),"x","")</f>
        <v/>
      </c>
      <c r="S1070" s="84" t="str">
        <f>IF(AND($O1070=$Q$7,$B1070&lt;'111'!$L$11),"x","")</f>
        <v/>
      </c>
      <c r="T1070" s="84" t="str">
        <f>IF(ISERROR(FIND('112'!$M$9,G1070,1)),"",IF((AND(FIND('112'!$M$9,G1070,1)&gt;=1,B1070='112'!$K$9,OR($N1070='112'!$I$6,$O1070='112'!$I$6))),"x",""))</f>
        <v/>
      </c>
      <c r="U1070" s="84" t="str">
        <f>IF(ISERROR(FIND('112'!$M$9,G1070,1)),"",IF((AND(LEFT(G1070,2)=LEFT('112'!$M$9,2),B1070&lt;'112'!$K$9,$N1070='112'!$I$6)),"x",""))</f>
        <v/>
      </c>
      <c r="V1070" s="84" t="str">
        <f>IF(ISERROR(FIND('112'!$M$9,G1070,1)),"",IF((AND(RIGHT(G1070,2)=RIGHT('112'!$M$9,2),B1070&lt;'112'!$K$9,$O1070='112'!$I$6)),"x",""))</f>
        <v/>
      </c>
      <c r="W1070" s="84" t="str">
        <f>IF(AND('341-CT'!$H$9=H1070,OR(LEFT(N1070,3)=$W$7,LEFT(O1070,3)=$W$7)),"x","")</f>
        <v/>
      </c>
      <c r="X1070" s="84" t="str">
        <f>IF(OR(TH!N1070=TH!$X$7,O1070=TH!$X$7),"x","")</f>
        <v/>
      </c>
      <c r="Y1070" s="84" t="str">
        <f>IF(AND(OR(N1070="131",O1070="131"),H1070='131-CT'!$H$9),"x","")</f>
        <v/>
      </c>
      <c r="Z1070" s="84"/>
      <c r="AA1070" s="84" t="str">
        <f>IF(AND(MONTH(E1070)='IN-NX'!$J$5,'IN-NX'!$D$7=D1070),"x","")</f>
        <v/>
      </c>
      <c r="AB1070" s="84" t="str">
        <f>IF(AND(OR(LEFT(TH!N1070,2)="15",LEFT(TH!O1070,2)="15"),LEFT(TH!O1070,3)&lt;&gt;"111",'152-CT'!$J$8=TH!F1070),"x","")</f>
        <v/>
      </c>
      <c r="AC1070" s="84" t="str">
        <f>IF(AND(OR(LEFT(TH!N1070,2)="15",LEFT(TH!O1070,2)="15"),TK!$E$7=TH!F1070),"x","")</f>
        <v/>
      </c>
      <c r="AD1070" s="84" t="str">
        <f>IF(AND(N1070="1521",MONTH(C1070)='BK-NL'!$M$11),"x","")</f>
        <v/>
      </c>
    </row>
    <row r="1071" spans="1:31" s="351" customFormat="1" ht="15.75" hidden="1" customHeight="1">
      <c r="A1071" s="336" t="str">
        <f>IF(B1071&lt;&gt;"",IF(AND(B1071='IN-TC'!$S$4,OR(TH!N1071="1111",TH!O1071="1111")),TH!D1071,""),"")</f>
        <v/>
      </c>
      <c r="B1071" s="63">
        <f t="shared" si="172"/>
        <v>3</v>
      </c>
      <c r="C1071" s="318">
        <v>42444</v>
      </c>
      <c r="D1071" s="64" t="s">
        <v>705</v>
      </c>
      <c r="E1071" s="318">
        <v>42444</v>
      </c>
      <c r="F1071" s="73" t="s">
        <v>1193</v>
      </c>
      <c r="G1071" s="986" t="s">
        <v>918</v>
      </c>
      <c r="H1071" s="320"/>
      <c r="I1071" s="439"/>
      <c r="J1071" s="439"/>
      <c r="K1071" s="430">
        <v>1.5</v>
      </c>
      <c r="L1071" s="439">
        <v>22295</v>
      </c>
      <c r="M1071" s="65">
        <v>33443</v>
      </c>
      <c r="N1071" s="321" t="s">
        <v>9</v>
      </c>
      <c r="O1071" s="66" t="s">
        <v>266</v>
      </c>
      <c r="P1071" s="84" t="str">
        <f>IF(AND('331-CT'!$E$7=TH!H1071,OR(N1071="331",O1071="331")),"x","")</f>
        <v/>
      </c>
      <c r="Q1071" s="84" t="str">
        <f>IF(AND(B1071='111'!$L$11,OR($N1071=$Q$7,$O1071=$Q$7)),"x","")</f>
        <v/>
      </c>
      <c r="R1071" s="84" t="str">
        <f>IF(AND($N1071=$Q$7,$B1071&lt;'111'!$L$11),"x","")</f>
        <v/>
      </c>
      <c r="S1071" s="84" t="str">
        <f>IF(AND($O1071=$Q$7,$B1071&lt;'111'!$L$11),"x","")</f>
        <v/>
      </c>
      <c r="T1071" s="84" t="str">
        <f>IF(ISERROR(FIND('112'!$M$9,G1071,1)),"",IF((AND(FIND('112'!$M$9,G1071,1)&gt;=1,B1071='112'!$K$9,OR($N1071='112'!$I$6,$O1071='112'!$I$6))),"x",""))</f>
        <v/>
      </c>
      <c r="U1071" s="84" t="str">
        <f>IF(ISERROR(FIND('112'!$M$9,G1071,1)),"",IF((AND(LEFT(G1071,2)=LEFT('112'!$M$9,2),B1071&lt;'112'!$K$9,$N1071='112'!$I$6)),"x",""))</f>
        <v/>
      </c>
      <c r="V1071" s="84" t="str">
        <f>IF(ISERROR(FIND('112'!$M$9,G1071,1)),"",IF((AND(RIGHT(G1071,2)=RIGHT('112'!$M$9,2),B1071&lt;'112'!$K$9,$O1071='112'!$I$6)),"x",""))</f>
        <v/>
      </c>
      <c r="W1071" s="84" t="str">
        <f>IF(AND('341-CT'!$H$9=H1071,OR(LEFT(N1071,3)=$W$7,LEFT(O1071,3)=$W$7)),"x","")</f>
        <v/>
      </c>
      <c r="X1071" s="84" t="str">
        <f>IF(OR(TH!N1071=TH!$X$7,O1071=TH!$X$7),"x","")</f>
        <v/>
      </c>
      <c r="Y1071" s="84" t="str">
        <f>IF(AND(OR(N1071="131",O1071="131"),H1071='131-CT'!$H$9),"x","")</f>
        <v/>
      </c>
      <c r="Z1071" s="84"/>
      <c r="AA1071" s="84" t="str">
        <f>IF(AND(MONTH(E1071)='IN-NX'!$J$5,'IN-NX'!$D$7=D1071),"x","")</f>
        <v/>
      </c>
      <c r="AB1071" s="84" t="str">
        <f>IF(AND(OR(LEFT(TH!N1071,2)="15",LEFT(TH!O1071,2)="15"),LEFT(TH!O1071,3)&lt;&gt;"111",'152-CT'!$J$8=TH!F1071),"x","")</f>
        <v/>
      </c>
      <c r="AC1071" s="84" t="str">
        <f>IF(AND(OR(LEFT(TH!N1071,2)="15",LEFT(TH!O1071,2)="15"),TK!$E$7=TH!F1071),"x","")</f>
        <v/>
      </c>
      <c r="AD1071" s="84" t="str">
        <f>IF(AND(N1071="1521",MONTH(C1071)='BK-NL'!$M$11),"x","")</f>
        <v/>
      </c>
    </row>
    <row r="1072" spans="1:31" ht="15.75" hidden="1" customHeight="1">
      <c r="A1072" s="336" t="str">
        <f>IF(B1072&lt;&gt;"",IF(AND(B1072='IN-TC'!$S$4,OR(TH!N1072="1111",TH!O1072="1111")),TH!D1072,""),"")</f>
        <v/>
      </c>
      <c r="B1072" s="63">
        <f t="shared" si="172"/>
        <v>3</v>
      </c>
      <c r="C1072" s="318">
        <v>42444</v>
      </c>
      <c r="D1072" s="64" t="s">
        <v>705</v>
      </c>
      <c r="E1072" s="318">
        <v>42444</v>
      </c>
      <c r="F1072" s="73" t="s">
        <v>614</v>
      </c>
      <c r="G1072" s="986" t="s">
        <v>918</v>
      </c>
      <c r="H1072" s="73"/>
      <c r="I1072" s="439"/>
      <c r="J1072" s="439"/>
      <c r="K1072" s="430">
        <v>10</v>
      </c>
      <c r="L1072" s="439">
        <v>22295</v>
      </c>
      <c r="M1072" s="65">
        <v>222950</v>
      </c>
      <c r="N1072" s="321" t="s">
        <v>101</v>
      </c>
      <c r="O1072" s="66" t="s">
        <v>266</v>
      </c>
      <c r="P1072" s="84" t="str">
        <f>IF(AND('331-CT'!$E$7=TH!H1072,OR(N1072="331",O1072="331")),"x","")</f>
        <v/>
      </c>
      <c r="Q1072" s="84" t="str">
        <f>IF(AND(B1072='111'!$L$11,OR($N1072=$Q$7,$O1072=$Q$7)),"x","")</f>
        <v/>
      </c>
      <c r="R1072" s="84" t="str">
        <f>IF(AND($N1072=$Q$7,$B1072&lt;'111'!$L$11),"x","")</f>
        <v/>
      </c>
      <c r="S1072" s="84" t="str">
        <f>IF(AND($O1072=$Q$7,$B1072&lt;'111'!$L$11),"x","")</f>
        <v/>
      </c>
      <c r="T1072" s="84" t="str">
        <f>IF(ISERROR(FIND('112'!$M$9,G1072,1)),"",IF((AND(FIND('112'!$M$9,G1072,1)&gt;=1,B1072='112'!$K$9,OR($N1072='112'!$I$6,$O1072='112'!$I$6))),"x",""))</f>
        <v/>
      </c>
      <c r="U1072" s="84" t="str">
        <f>IF(ISERROR(FIND('112'!$M$9,G1072,1)),"",IF((AND(LEFT(G1072,2)=LEFT('112'!$M$9,2),B1072&lt;'112'!$K$9,$N1072='112'!$I$6)),"x",""))</f>
        <v/>
      </c>
      <c r="V1072" s="84" t="str">
        <f>IF(ISERROR(FIND('112'!$M$9,G1072,1)),"",IF((AND(RIGHT(G1072,2)=RIGHT('112'!$M$9,2),B1072&lt;'112'!$K$9,$O1072='112'!$I$6)),"x",""))</f>
        <v/>
      </c>
      <c r="W1072" s="84" t="str">
        <f>IF(AND('341-CT'!$H$9=H1072,OR(LEFT(N1072,3)=$W$7,LEFT(O1072,3)=$W$7)),"x","")</f>
        <v/>
      </c>
      <c r="X1072" s="84" t="str">
        <f>IF(OR(TH!N1072=TH!$X$7,O1072=TH!$X$7),"x","")</f>
        <v/>
      </c>
      <c r="Y1072" s="84" t="str">
        <f>IF(AND(OR(N1072="131",O1072="131"),H1072='131-CT'!$H$9),"x","")</f>
        <v/>
      </c>
      <c r="Z1072" s="84"/>
      <c r="AA1072" s="84" t="str">
        <f>IF(AND(MONTH(E1072)='IN-NX'!$J$5,'IN-NX'!$D$7=D1072),"x","")</f>
        <v/>
      </c>
      <c r="AB1072" s="84" t="str">
        <f>IF(AND(OR(LEFT(TH!N1072,2)="15",LEFT(TH!O1072,2)="15"),LEFT(TH!O1072,3)&lt;&gt;"111",'152-CT'!$J$8=TH!F1072),"x","")</f>
        <v/>
      </c>
      <c r="AC1072" s="84" t="str">
        <f>IF(AND(OR(LEFT(TH!N1072,2)="15",LEFT(TH!O1072,2)="15"),TK!$E$7=TH!F1072),"x","")</f>
        <v/>
      </c>
      <c r="AD1072" s="84" t="str">
        <f>IF(AND(N1072="1521",MONTH(C1072)='BK-NL'!$M$11),"x","")</f>
        <v/>
      </c>
      <c r="AE1072" s="351"/>
    </row>
    <row r="1073" spans="1:31" ht="15.75" hidden="1" customHeight="1">
      <c r="A1073" s="336" t="str">
        <f>IF(B1073&lt;&gt;"",IF(AND(B1073='IN-TC'!$S$4,OR(TH!N1073="1111",TH!O1073="1111")),TH!D1073,""),"")</f>
        <v/>
      </c>
      <c r="B1073" s="63">
        <f t="shared" si="172"/>
        <v>3</v>
      </c>
      <c r="C1073" s="318">
        <v>42444</v>
      </c>
      <c r="D1073" s="64" t="s">
        <v>705</v>
      </c>
      <c r="E1073" s="318">
        <v>42444</v>
      </c>
      <c r="F1073" s="73" t="s">
        <v>1194</v>
      </c>
      <c r="G1073" s="986" t="s">
        <v>918</v>
      </c>
      <c r="H1073" s="73"/>
      <c r="I1073" s="439"/>
      <c r="J1073" s="439"/>
      <c r="K1073" s="430">
        <v>1</v>
      </c>
      <c r="L1073" s="439">
        <v>22295</v>
      </c>
      <c r="M1073" s="65">
        <v>22295</v>
      </c>
      <c r="N1073" s="321" t="s">
        <v>9</v>
      </c>
      <c r="O1073" s="66" t="s">
        <v>266</v>
      </c>
      <c r="P1073" s="84" t="str">
        <f>IF(AND('331-CT'!$E$7=TH!H1073,OR(N1073="331",O1073="331")),"x","")</f>
        <v/>
      </c>
      <c r="Q1073" s="84" t="str">
        <f>IF(AND(B1073='111'!$L$11,OR($N1073=$Q$7,$O1073=$Q$7)),"x","")</f>
        <v/>
      </c>
      <c r="R1073" s="84" t="str">
        <f>IF(AND($N1073=$Q$7,$B1073&lt;'111'!$L$11),"x","")</f>
        <v/>
      </c>
      <c r="S1073" s="84" t="str">
        <f>IF(AND($O1073=$Q$7,$B1073&lt;'111'!$L$11),"x","")</f>
        <v/>
      </c>
      <c r="T1073" s="84" t="str">
        <f>IF(ISERROR(FIND('112'!$M$9,G1073,1)),"",IF((AND(FIND('112'!$M$9,G1073,1)&gt;=1,B1073='112'!$K$9,OR($N1073='112'!$I$6,$O1073='112'!$I$6))),"x",""))</f>
        <v/>
      </c>
      <c r="U1073" s="84" t="str">
        <f>IF(ISERROR(FIND('112'!$M$9,G1073,1)),"",IF((AND(LEFT(G1073,2)=LEFT('112'!$M$9,2),B1073&lt;'112'!$K$9,$N1073='112'!$I$6)),"x",""))</f>
        <v/>
      </c>
      <c r="V1073" s="84" t="str">
        <f>IF(ISERROR(FIND('112'!$M$9,G1073,1)),"",IF((AND(RIGHT(G1073,2)=RIGHT('112'!$M$9,2),B1073&lt;'112'!$K$9,$O1073='112'!$I$6)),"x",""))</f>
        <v/>
      </c>
      <c r="W1073" s="84" t="str">
        <f>IF(AND('341-CT'!$H$9=H1073,OR(LEFT(N1073,3)=$W$7,LEFT(O1073,3)=$W$7)),"x","")</f>
        <v/>
      </c>
      <c r="X1073" s="84" t="str">
        <f>IF(OR(TH!N1073=TH!$X$7,O1073=TH!$X$7),"x","")</f>
        <v/>
      </c>
      <c r="Y1073" s="84" t="str">
        <f>IF(AND(OR(N1073="131",O1073="131"),H1073='131-CT'!$H$9),"x","")</f>
        <v/>
      </c>
      <c r="Z1073" s="84"/>
      <c r="AA1073" s="84" t="str">
        <f>IF(AND(MONTH(E1073)='IN-NX'!$J$5,'IN-NX'!$D$7=D1073),"x","")</f>
        <v/>
      </c>
      <c r="AB1073" s="84" t="str">
        <f>IF(AND(OR(LEFT(TH!N1073,2)="15",LEFT(TH!O1073,2)="15"),LEFT(TH!O1073,3)&lt;&gt;"111",'152-CT'!$J$8=TH!F1073),"x","")</f>
        <v/>
      </c>
      <c r="AC1073" s="84" t="str">
        <f>IF(AND(OR(LEFT(TH!N1073,2)="15",LEFT(TH!O1073,2)="15"),TK!$E$7=TH!F1073),"x","")</f>
        <v/>
      </c>
      <c r="AD1073" s="84" t="str">
        <f>IF(AND(N1073="1521",MONTH(C1073)='BK-NL'!$M$11),"x","")</f>
        <v/>
      </c>
      <c r="AE1073" s="351"/>
    </row>
    <row r="1074" spans="1:31" ht="15.75" hidden="1" customHeight="1">
      <c r="A1074" s="336" t="str">
        <f>IF(B1074&lt;&gt;"",IF(AND(B1074='IN-TC'!$S$4,OR(TH!N1074="1111",TH!O1074="1111")),TH!D1074,""),"")</f>
        <v/>
      </c>
      <c r="B1074" s="63">
        <f t="shared" si="172"/>
        <v>3</v>
      </c>
      <c r="C1074" s="318">
        <v>42444</v>
      </c>
      <c r="D1074" s="64" t="s">
        <v>705</v>
      </c>
      <c r="E1074" s="318">
        <v>42444</v>
      </c>
      <c r="F1074" s="73" t="s">
        <v>1195</v>
      </c>
      <c r="G1074" s="986" t="s">
        <v>918</v>
      </c>
      <c r="H1074" s="320"/>
      <c r="I1074" s="439"/>
      <c r="J1074" s="439"/>
      <c r="K1074" s="430">
        <v>31.64</v>
      </c>
      <c r="L1074" s="439">
        <v>22295</v>
      </c>
      <c r="M1074" s="65">
        <v>705414</v>
      </c>
      <c r="N1074" s="321" t="s">
        <v>101</v>
      </c>
      <c r="O1074" s="66" t="s">
        <v>266</v>
      </c>
      <c r="P1074" s="84" t="str">
        <f>IF(AND('331-CT'!$E$7=TH!H1074,OR(N1074="331",O1074="331")),"x","")</f>
        <v/>
      </c>
      <c r="Q1074" s="84" t="str">
        <f>IF(AND(B1074='111'!$L$11,OR($N1074=$Q$7,$O1074=$Q$7)),"x","")</f>
        <v/>
      </c>
      <c r="R1074" s="84" t="str">
        <f>IF(AND($N1074=$Q$7,$B1074&lt;'111'!$L$11),"x","")</f>
        <v/>
      </c>
      <c r="S1074" s="84" t="str">
        <f>IF(AND($O1074=$Q$7,$B1074&lt;'111'!$L$11),"x","")</f>
        <v/>
      </c>
      <c r="T1074" s="84" t="str">
        <f>IF(ISERROR(FIND('112'!$M$9,G1074,1)),"",IF((AND(FIND('112'!$M$9,G1074,1)&gt;=1,B1074='112'!$K$9,OR($N1074='112'!$I$6,$O1074='112'!$I$6))),"x",""))</f>
        <v/>
      </c>
      <c r="U1074" s="84" t="str">
        <f>IF(ISERROR(FIND('112'!$M$9,G1074,1)),"",IF((AND(LEFT(G1074,2)=LEFT('112'!$M$9,2),B1074&lt;'112'!$K$9,$N1074='112'!$I$6)),"x",""))</f>
        <v/>
      </c>
      <c r="V1074" s="84" t="str">
        <f>IF(ISERROR(FIND('112'!$M$9,G1074,1)),"",IF((AND(RIGHT(G1074,2)=RIGHT('112'!$M$9,2),B1074&lt;'112'!$K$9,$O1074='112'!$I$6)),"x",""))</f>
        <v/>
      </c>
      <c r="W1074" s="84" t="str">
        <f>IF(AND('341-CT'!$H$9=H1074,OR(LEFT(N1074,3)=$W$7,LEFT(O1074,3)=$W$7)),"x","")</f>
        <v/>
      </c>
      <c r="X1074" s="84" t="str">
        <f>IF(OR(TH!N1074=TH!$X$7,O1074=TH!$X$7),"x","")</f>
        <v/>
      </c>
      <c r="Y1074" s="84" t="str">
        <f>IF(AND(OR(N1074="131",O1074="131"),H1074='131-CT'!$H$9),"x","")</f>
        <v/>
      </c>
      <c r="Z1074" s="84"/>
      <c r="AA1074" s="84" t="str">
        <f>IF(AND(MONTH(E1074)='IN-NX'!$J$5,'IN-NX'!$D$7=D1074),"x","")</f>
        <v/>
      </c>
      <c r="AB1074" s="84" t="str">
        <f>IF(AND(OR(LEFT(TH!N1074,2)="15",LEFT(TH!O1074,2)="15"),LEFT(TH!O1074,3)&lt;&gt;"111",'152-CT'!$J$8=TH!F1074),"x","")</f>
        <v/>
      </c>
      <c r="AC1074" s="84" t="str">
        <f>IF(AND(OR(LEFT(TH!N1074,2)="15",LEFT(TH!O1074,2)="15"),TK!$E$7=TH!F1074),"x","")</f>
        <v/>
      </c>
      <c r="AD1074" s="84" t="str">
        <f>IF(AND(N1074="1521",MONTH(C1074)='BK-NL'!$M$11),"x","")</f>
        <v/>
      </c>
      <c r="AE1074" s="351"/>
    </row>
    <row r="1075" spans="1:31" ht="15.75" hidden="1" customHeight="1">
      <c r="A1075" s="336" t="str">
        <f>IF(B1075&lt;&gt;"",IF(AND(B1075='IN-TC'!$S$4,OR(TH!N1075="1111",TH!O1075="1111")),TH!D1075,""),"")</f>
        <v/>
      </c>
      <c r="B1075" s="63">
        <f t="shared" si="172"/>
        <v>3</v>
      </c>
      <c r="C1075" s="64">
        <v>42444</v>
      </c>
      <c r="D1075" s="64" t="s">
        <v>705</v>
      </c>
      <c r="E1075" s="64">
        <v>42444</v>
      </c>
      <c r="F1075" s="73" t="s">
        <v>1196</v>
      </c>
      <c r="G1075" s="986" t="s">
        <v>918</v>
      </c>
      <c r="H1075" s="73"/>
      <c r="I1075" s="439"/>
      <c r="J1075" s="439"/>
      <c r="K1075" s="430">
        <v>3.16</v>
      </c>
      <c r="L1075" s="439">
        <v>22295</v>
      </c>
      <c r="M1075" s="65">
        <v>70452</v>
      </c>
      <c r="N1075" s="66" t="s">
        <v>9</v>
      </c>
      <c r="O1075" s="66" t="s">
        <v>266</v>
      </c>
      <c r="P1075" s="84" t="str">
        <f>IF(AND('331-CT'!$E$7=TH!H1075,OR(N1075="331",O1075="331")),"x","")</f>
        <v/>
      </c>
      <c r="Q1075" s="84" t="str">
        <f>IF(AND(B1075='111'!$L$11,OR($N1075=$Q$7,$O1075=$Q$7)),"x","")</f>
        <v/>
      </c>
      <c r="R1075" s="84" t="str">
        <f>IF(AND($N1075=$Q$7,$B1075&lt;'111'!$L$11),"x","")</f>
        <v/>
      </c>
      <c r="S1075" s="84" t="str">
        <f>IF(AND($O1075=$Q$7,$B1075&lt;'111'!$L$11),"x","")</f>
        <v/>
      </c>
      <c r="T1075" s="84" t="str">
        <f>IF(ISERROR(FIND('112'!$M$9,G1075,1)),"",IF((AND(FIND('112'!$M$9,G1075,1)&gt;=1,B1075='112'!$K$9,OR($N1075='112'!$I$6,$O1075='112'!$I$6))),"x",""))</f>
        <v/>
      </c>
      <c r="U1075" s="84" t="str">
        <f>IF(ISERROR(FIND('112'!$M$9,G1075,1)),"",IF((AND(LEFT(G1075,2)=LEFT('112'!$M$9,2),B1075&lt;'112'!$K$9,$N1075='112'!$I$6)),"x",""))</f>
        <v/>
      </c>
      <c r="V1075" s="84" t="str">
        <f>IF(ISERROR(FIND('112'!$M$9,G1075,1)),"",IF((AND(RIGHT(G1075,2)=RIGHT('112'!$M$9,2),B1075&lt;'112'!$K$9,$O1075='112'!$I$6)),"x",""))</f>
        <v/>
      </c>
      <c r="W1075" s="84" t="str">
        <f>IF(AND('341-CT'!$H$9=H1075,OR(LEFT(N1075,3)=$W$7,LEFT(O1075,3)=$W$7)),"x","")</f>
        <v/>
      </c>
      <c r="X1075" s="84" t="str">
        <f>IF(OR(TH!N1075=TH!$X$7,O1075=TH!$X$7),"x","")</f>
        <v/>
      </c>
      <c r="Y1075" s="84" t="str">
        <f>IF(AND(OR(N1075="131",O1075="131"),H1075='131-CT'!$H$9),"x","")</f>
        <v/>
      </c>
      <c r="Z1075" s="84"/>
      <c r="AA1075" s="84" t="str">
        <f>IF(AND(MONTH(E1075)='IN-NX'!$J$5,'IN-NX'!$D$7=D1075),"x","")</f>
        <v/>
      </c>
      <c r="AB1075" s="84" t="str">
        <f>IF(AND(OR(LEFT(TH!N1075,2)="15",LEFT(TH!O1075,2)="15"),LEFT(TH!O1075,3)&lt;&gt;"111",'152-CT'!$J$8=TH!F1075),"x","")</f>
        <v/>
      </c>
      <c r="AC1075" s="84" t="str">
        <f>IF(AND(OR(LEFT(TH!N1075,2)="15",LEFT(TH!O1075,2)="15"),TK!$E$7=TH!F1075),"x","")</f>
        <v/>
      </c>
      <c r="AD1075" s="84" t="str">
        <f>IF(AND(N1075="1521",MONTH(C1075)='BK-NL'!$M$11),"x","")</f>
        <v/>
      </c>
    </row>
    <row r="1076" spans="1:31" ht="15.75" hidden="1" customHeight="1">
      <c r="A1076" s="336" t="str">
        <f>IF(B1076&lt;&gt;"",IF(AND(B1076='IN-TC'!$S$4,OR(TH!N1076="1111",TH!O1076="1111")),TH!D1076,""),"")</f>
        <v/>
      </c>
      <c r="B1076" s="63">
        <f t="shared" si="172"/>
        <v>3</v>
      </c>
      <c r="C1076" s="64">
        <v>42444</v>
      </c>
      <c r="D1076" s="318" t="s">
        <v>705</v>
      </c>
      <c r="E1076" s="64">
        <v>42444</v>
      </c>
      <c r="F1076" s="73" t="s">
        <v>1201</v>
      </c>
      <c r="G1076" s="986" t="s">
        <v>920</v>
      </c>
      <c r="H1076" s="73"/>
      <c r="I1076" s="439"/>
      <c r="J1076" s="439"/>
      <c r="K1076" s="430"/>
      <c r="L1076" s="439"/>
      <c r="M1076" s="65">
        <v>310000000</v>
      </c>
      <c r="N1076" s="66" t="s">
        <v>26</v>
      </c>
      <c r="O1076" s="66" t="s">
        <v>26</v>
      </c>
      <c r="P1076" s="84" t="str">
        <f>IF(AND('331-CT'!$E$7=TH!H1076,OR(N1076="331",O1076="331")),"x","")</f>
        <v/>
      </c>
      <c r="Q1076" s="84" t="str">
        <f>IF(AND(B1076='111'!$L$11,OR($N1076=$Q$7,$O1076=$Q$7)),"x","")</f>
        <v/>
      </c>
      <c r="R1076" s="84" t="str">
        <f>IF(AND($N1076=$Q$7,$B1076&lt;'111'!$L$11),"x","")</f>
        <v/>
      </c>
      <c r="S1076" s="84" t="str">
        <f>IF(AND($O1076=$Q$7,$B1076&lt;'111'!$L$11),"x","")</f>
        <v/>
      </c>
      <c r="T1076" s="84" t="str">
        <f>IF(ISERROR(FIND('112'!$M$9,G1076,1)),"",IF((AND(FIND('112'!$M$9,G1076,1)&gt;=1,B1076='112'!$K$9,OR($N1076='112'!$I$6,$O1076='112'!$I$6))),"x",""))</f>
        <v/>
      </c>
      <c r="U1076" s="84" t="str">
        <f>IF(ISERROR(FIND('112'!$M$9,G1076,1)),"",IF((AND(LEFT(G1076,2)=LEFT('112'!$M$9,2),B1076&lt;'112'!$K$9,$N1076='112'!$I$6)),"x",""))</f>
        <v>x</v>
      </c>
      <c r="V1076" s="84" t="str">
        <f>IF(ISERROR(FIND('112'!$M$9,G1076,1)),"",IF((AND(RIGHT(G1076,2)=RIGHT('112'!$M$9,2),B1076&lt;'112'!$K$9,$O1076='112'!$I$6)),"x",""))</f>
        <v/>
      </c>
      <c r="W1076" s="84" t="str">
        <f>IF(AND('341-CT'!$H$9=H1076,OR(LEFT(N1076,3)=$W$7,LEFT(O1076,3)=$W$7)),"x","")</f>
        <v/>
      </c>
      <c r="X1076" s="84" t="str">
        <f>IF(OR(TH!N1076=TH!$X$7,O1076=TH!$X$7),"x","")</f>
        <v/>
      </c>
      <c r="Y1076" s="84" t="str">
        <f>IF(AND(OR(N1076="131",O1076="131"),H1076='131-CT'!$H$9),"x","")</f>
        <v/>
      </c>
      <c r="Z1076" s="84"/>
      <c r="AA1076" s="84" t="str">
        <f>IF(AND(MONTH(E1076)='IN-NX'!$J$5,'IN-NX'!$D$7=D1076),"x","")</f>
        <v/>
      </c>
      <c r="AB1076" s="84" t="str">
        <f>IF(AND(OR(LEFT(TH!N1076,2)="15",LEFT(TH!O1076,2)="15"),LEFT(TH!O1076,3)&lt;&gt;"111",'152-CT'!$J$8=TH!F1076),"x","")</f>
        <v/>
      </c>
      <c r="AC1076" s="84" t="str">
        <f>IF(AND(OR(LEFT(TH!N1076,2)="15",LEFT(TH!O1076,2)="15"),TK!$E$7=TH!F1076),"x","")</f>
        <v/>
      </c>
      <c r="AD1076" s="84" t="str">
        <f>IF(AND(N1076="1521",MONTH(C1076)='BK-NL'!$M$11),"x","")</f>
        <v/>
      </c>
    </row>
    <row r="1077" spans="1:31" ht="15.75" hidden="1" customHeight="1">
      <c r="A1077" s="336" t="str">
        <f>IF(B1077&lt;&gt;"",IF(AND(B1077='IN-TC'!$S$4,OR(TH!N1077="1111",TH!O1077="1111")),TH!D1077,""),"")</f>
        <v/>
      </c>
      <c r="B1077" s="63">
        <f t="shared" si="172"/>
        <v>3</v>
      </c>
      <c r="C1077" s="64">
        <v>42444</v>
      </c>
      <c r="D1077" s="318" t="s">
        <v>705</v>
      </c>
      <c r="E1077" s="64">
        <v>42444</v>
      </c>
      <c r="F1077" s="514" t="s">
        <v>759</v>
      </c>
      <c r="G1077" s="67" t="s">
        <v>918</v>
      </c>
      <c r="H1077" s="344" t="s">
        <v>731</v>
      </c>
      <c r="I1077" s="439"/>
      <c r="J1077" s="439"/>
      <c r="K1077" s="430">
        <v>106.36998207885304</v>
      </c>
      <c r="L1077" s="439">
        <v>22320</v>
      </c>
      <c r="M1077" s="65">
        <v>2374178</v>
      </c>
      <c r="N1077" s="66" t="s">
        <v>99</v>
      </c>
      <c r="O1077" s="66" t="s">
        <v>26</v>
      </c>
      <c r="P1077" s="84" t="str">
        <f>IF(AND('331-CT'!$E$7=TH!H1077,OR(N1077="331",O1077="331")),"x","")</f>
        <v/>
      </c>
      <c r="Q1077" s="84" t="str">
        <f>IF(AND(B1077='111'!$L$11,OR($N1077=$Q$7,$O1077=$Q$7)),"x","")</f>
        <v/>
      </c>
      <c r="R1077" s="84" t="str">
        <f>IF(AND($N1077=$Q$7,$B1077&lt;'111'!$L$11),"x","")</f>
        <v/>
      </c>
      <c r="S1077" s="84" t="str">
        <f>IF(AND($O1077=$Q$7,$B1077&lt;'111'!$L$11),"x","")</f>
        <v/>
      </c>
      <c r="T1077" s="84" t="str">
        <f>IF(ISERROR(FIND('112'!$M$9,G1077,1)),"",IF((AND(FIND('112'!$M$9,G1077,1)&gt;=1,B1077='112'!$K$9,OR($N1077='112'!$I$6,$O1077='112'!$I$6))),"x",""))</f>
        <v/>
      </c>
      <c r="U1077" s="84" t="str">
        <f>IF(ISERROR(FIND('112'!$M$9,G1077,1)),"",IF((AND(LEFT(G1077,2)=LEFT('112'!$M$9,2),B1077&lt;'112'!$K$9,$N1077='112'!$I$6)),"x",""))</f>
        <v/>
      </c>
      <c r="V1077" s="84" t="str">
        <f>IF(ISERROR(FIND('112'!$M$9,G1077,1)),"",IF((AND(RIGHT(G1077,2)=RIGHT('112'!$M$9,2),B1077&lt;'112'!$K$9,$O1077='112'!$I$6)),"x",""))</f>
        <v/>
      </c>
      <c r="W1077" s="84" t="str">
        <f>IF(AND('341-CT'!$H$9=H1077,OR(LEFT(N1077,3)=$W$7,LEFT(O1077,3)=$W$7)),"x","")</f>
        <v/>
      </c>
      <c r="X1077" s="84" t="str">
        <f>IF(OR(TH!N1077=TH!$X$7,O1077=TH!$X$7),"x","")</f>
        <v/>
      </c>
      <c r="Y1077" s="84" t="str">
        <f>IF(AND(OR(N1077="131",O1077="131"),H1077='131-CT'!$H$9),"x","")</f>
        <v/>
      </c>
      <c r="Z1077" s="84"/>
      <c r="AA1077" s="84" t="str">
        <f>IF(AND(MONTH(E1077)='IN-NX'!$J$5,'IN-NX'!$D$7=D1077),"x","")</f>
        <v/>
      </c>
      <c r="AB1077" s="84" t="str">
        <f>IF(AND(OR(LEFT(TH!N1077,2)="15",LEFT(TH!O1077,2)="15"),LEFT(TH!O1077,3)&lt;&gt;"111",'152-CT'!$J$8=TH!F1077),"x","")</f>
        <v/>
      </c>
      <c r="AC1077" s="84" t="str">
        <f>IF(AND(OR(LEFT(TH!N1077,2)="15",LEFT(TH!O1077,2)="15"),TK!$E$7=TH!F1077),"x","")</f>
        <v/>
      </c>
      <c r="AD1077" s="84" t="str">
        <f>IF(AND(N1077="1521",MONTH(C1077)='BK-NL'!$M$11),"x","")</f>
        <v/>
      </c>
    </row>
    <row r="1078" spans="1:31" ht="15.75" hidden="1" customHeight="1">
      <c r="A1078" s="336" t="str">
        <f>IF(B1078&lt;&gt;"",IF(AND(B1078='IN-TC'!$S$4,OR(TH!N1078="1111",TH!O1078="1111")),TH!D1078,""),"")</f>
        <v/>
      </c>
      <c r="B1078" s="63">
        <f t="shared" si="172"/>
        <v>3</v>
      </c>
      <c r="C1078" s="64">
        <v>42444</v>
      </c>
      <c r="D1078" s="318" t="s">
        <v>705</v>
      </c>
      <c r="E1078" s="64">
        <v>42444</v>
      </c>
      <c r="F1078" s="73" t="s">
        <v>1210</v>
      </c>
      <c r="G1078" s="67" t="s">
        <v>919</v>
      </c>
      <c r="H1078" s="73" t="s">
        <v>629</v>
      </c>
      <c r="I1078" s="439"/>
      <c r="J1078" s="439"/>
      <c r="K1078" s="430"/>
      <c r="L1078" s="439"/>
      <c r="M1078" s="65">
        <v>5737000</v>
      </c>
      <c r="N1078" s="66" t="s">
        <v>8</v>
      </c>
      <c r="O1078" s="66" t="s">
        <v>26</v>
      </c>
      <c r="P1078" s="84" t="str">
        <f>IF(AND('331-CT'!$E$7=TH!H1078,OR(N1078="331",O1078="331")),"x","")</f>
        <v/>
      </c>
      <c r="Q1078" s="84" t="str">
        <f>IF(AND(B1078='111'!$L$11,OR($N1078=$Q$7,$O1078=$Q$7)),"x","")</f>
        <v/>
      </c>
      <c r="R1078" s="84" t="str">
        <f>IF(AND($N1078=$Q$7,$B1078&lt;'111'!$L$11),"x","")</f>
        <v/>
      </c>
      <c r="S1078" s="84" t="str">
        <f>IF(AND($O1078=$Q$7,$B1078&lt;'111'!$L$11),"x","")</f>
        <v/>
      </c>
      <c r="T1078" s="84" t="str">
        <f>IF(ISERROR(FIND('112'!$M$9,G1078,1)),"",IF((AND(FIND('112'!$M$9,G1078,1)&gt;=1,B1078='112'!$K$9,OR($N1078='112'!$I$6,$O1078='112'!$I$6))),"x",""))</f>
        <v/>
      </c>
      <c r="U1078" s="84" t="str">
        <f>IF(ISERROR(FIND('112'!$M$9,G1078,1)),"",IF((AND(LEFT(G1078,2)=LEFT('112'!$M$9,2),B1078&lt;'112'!$K$9,$N1078='112'!$I$6)),"x",""))</f>
        <v/>
      </c>
      <c r="V1078" s="84" t="str">
        <f>IF(ISERROR(FIND('112'!$M$9,G1078,1)),"",IF((AND(RIGHT(G1078,2)=RIGHT('112'!$M$9,2),B1078&lt;'112'!$K$9,$O1078='112'!$I$6)),"x",""))</f>
        <v>x</v>
      </c>
      <c r="W1078" s="84" t="str">
        <f>IF(AND('341-CT'!$H$9=H1078,OR(LEFT(N1078,3)=$W$7,LEFT(O1078,3)=$W$7)),"x","")</f>
        <v/>
      </c>
      <c r="X1078" s="84" t="str">
        <f>IF(OR(TH!N1078=TH!$X$7,O1078=TH!$X$7),"x","")</f>
        <v/>
      </c>
      <c r="Y1078" s="84" t="str">
        <f>IF(AND(OR(N1078="131",O1078="131"),H1078='131-CT'!$H$9),"x","")</f>
        <v/>
      </c>
      <c r="Z1078" s="84"/>
      <c r="AA1078" s="84" t="str">
        <f>IF(AND(MONTH(E1078)='IN-NX'!$J$5,'IN-NX'!$D$7=D1078),"x","")</f>
        <v/>
      </c>
      <c r="AB1078" s="84" t="str">
        <f>IF(AND(OR(LEFT(TH!N1078,2)="15",LEFT(TH!O1078,2)="15"),LEFT(TH!O1078,3)&lt;&gt;"111",'152-CT'!$J$8=TH!F1078),"x","")</f>
        <v/>
      </c>
      <c r="AC1078" s="84" t="str">
        <f>IF(AND(OR(LEFT(TH!N1078,2)="15",LEFT(TH!O1078,2)="15"),TK!$E$7=TH!F1078),"x","")</f>
        <v/>
      </c>
      <c r="AD1078" s="84" t="str">
        <f>IF(AND(N1078="1521",MONTH(C1078)='BK-NL'!$M$11),"x","")</f>
        <v/>
      </c>
      <c r="AE1078" s="1146" t="str">
        <f>IF(H1078&lt;&gt;VLOOKUP(H1078,DSKH,1,0),"","x")</f>
        <v>x</v>
      </c>
    </row>
    <row r="1079" spans="1:31" ht="15.75" hidden="1" customHeight="1">
      <c r="A1079" s="336" t="str">
        <f>IF(B1079&lt;&gt;"",IF(AND(B1079='IN-TC'!$S$4,OR(TH!N1079="1111",TH!O1079="1111")),TH!D1079,""),"")</f>
        <v/>
      </c>
      <c r="B1079" s="63">
        <f t="shared" si="172"/>
        <v>3</v>
      </c>
      <c r="C1079" s="64">
        <v>42444</v>
      </c>
      <c r="D1079" s="318" t="s">
        <v>705</v>
      </c>
      <c r="E1079" s="64">
        <v>42444</v>
      </c>
      <c r="F1079" s="73" t="s">
        <v>1199</v>
      </c>
      <c r="G1079" s="67" t="s">
        <v>919</v>
      </c>
      <c r="H1079" s="73"/>
      <c r="I1079" s="439"/>
      <c r="J1079" s="439"/>
      <c r="K1079" s="430"/>
      <c r="L1079" s="439"/>
      <c r="M1079" s="65">
        <v>20000</v>
      </c>
      <c r="N1079" s="66" t="s">
        <v>101</v>
      </c>
      <c r="O1079" s="66" t="s">
        <v>26</v>
      </c>
      <c r="P1079" s="84" t="str">
        <f>IF(AND('331-CT'!$E$7=TH!H1079,OR(N1079="331",O1079="331")),"x","")</f>
        <v/>
      </c>
      <c r="Q1079" s="84" t="str">
        <f>IF(AND(B1079='111'!$L$11,OR($N1079=$Q$7,$O1079=$Q$7)),"x","")</f>
        <v/>
      </c>
      <c r="R1079" s="84" t="str">
        <f>IF(AND($N1079=$Q$7,$B1079&lt;'111'!$L$11),"x","")</f>
        <v/>
      </c>
      <c r="S1079" s="84" t="str">
        <f>IF(AND($O1079=$Q$7,$B1079&lt;'111'!$L$11),"x","")</f>
        <v/>
      </c>
      <c r="T1079" s="84" t="str">
        <f>IF(ISERROR(FIND('112'!$M$9,G1079,1)),"",IF((AND(FIND('112'!$M$9,G1079,1)&gt;=1,B1079='112'!$K$9,OR($N1079='112'!$I$6,$O1079='112'!$I$6))),"x",""))</f>
        <v/>
      </c>
      <c r="U1079" s="84" t="str">
        <f>IF(ISERROR(FIND('112'!$M$9,G1079,1)),"",IF((AND(LEFT(G1079,2)=LEFT('112'!$M$9,2),B1079&lt;'112'!$K$9,$N1079='112'!$I$6)),"x",""))</f>
        <v/>
      </c>
      <c r="V1079" s="84" t="str">
        <f>IF(ISERROR(FIND('112'!$M$9,G1079,1)),"",IF((AND(RIGHT(G1079,2)=RIGHT('112'!$M$9,2),B1079&lt;'112'!$K$9,$O1079='112'!$I$6)),"x",""))</f>
        <v>x</v>
      </c>
      <c r="W1079" s="84" t="str">
        <f>IF(AND('341-CT'!$H$9=H1079,OR(LEFT(N1079,3)=$W$7,LEFT(O1079,3)=$W$7)),"x","")</f>
        <v/>
      </c>
      <c r="X1079" s="84" t="str">
        <f>IF(OR(TH!N1079=TH!$X$7,O1079=TH!$X$7),"x","")</f>
        <v/>
      </c>
      <c r="Y1079" s="84" t="str">
        <f>IF(AND(OR(N1079="131",O1079="131"),H1079='131-CT'!$H$9),"x","")</f>
        <v/>
      </c>
      <c r="Z1079" s="84"/>
      <c r="AA1079" s="84" t="str">
        <f>IF(AND(MONTH(E1079)='IN-NX'!$J$5,'IN-NX'!$D$7=D1079),"x","")</f>
        <v/>
      </c>
      <c r="AB1079" s="84" t="str">
        <f>IF(AND(OR(LEFT(TH!N1079,2)="15",LEFT(TH!O1079,2)="15"),LEFT(TH!O1079,3)&lt;&gt;"111",'152-CT'!$J$8=TH!F1079),"x","")</f>
        <v/>
      </c>
      <c r="AC1079" s="84" t="str">
        <f>IF(AND(OR(LEFT(TH!N1079,2)="15",LEFT(TH!O1079,2)="15"),TK!$E$7=TH!F1079),"x","")</f>
        <v/>
      </c>
      <c r="AD1079" s="84" t="str">
        <f>IF(AND(N1079="1521",MONTH(C1079)='BK-NL'!$M$11),"x","")</f>
        <v/>
      </c>
    </row>
    <row r="1080" spans="1:31" ht="15.75" hidden="1" customHeight="1">
      <c r="A1080" s="336" t="str">
        <f>IF(B1080&lt;&gt;"",IF(AND(B1080='IN-TC'!$S$4,OR(TH!N1080="1111",TH!O1080="1111")),TH!D1080,""),"")</f>
        <v/>
      </c>
      <c r="B1080" s="63">
        <f t="shared" si="172"/>
        <v>3</v>
      </c>
      <c r="C1080" s="64">
        <v>42444</v>
      </c>
      <c r="D1080" s="318" t="s">
        <v>705</v>
      </c>
      <c r="E1080" s="64">
        <v>42444</v>
      </c>
      <c r="F1080" s="73" t="s">
        <v>1200</v>
      </c>
      <c r="G1080" s="67" t="s">
        <v>919</v>
      </c>
      <c r="H1080" s="344"/>
      <c r="I1080" s="439"/>
      <c r="J1080" s="439"/>
      <c r="K1080" s="430"/>
      <c r="L1080" s="439"/>
      <c r="M1080" s="65">
        <v>2000</v>
      </c>
      <c r="N1080" s="66" t="s">
        <v>9</v>
      </c>
      <c r="O1080" s="66" t="s">
        <v>26</v>
      </c>
      <c r="P1080" s="84" t="str">
        <f>IF(AND('331-CT'!$E$7=TH!H1080,OR(N1080="331",O1080="331")),"x","")</f>
        <v/>
      </c>
      <c r="Q1080" s="84" t="str">
        <f>IF(AND(B1080='111'!$L$11,OR($N1080=$Q$7,$O1080=$Q$7)),"x","")</f>
        <v/>
      </c>
      <c r="R1080" s="84" t="str">
        <f>IF(AND($N1080=$Q$7,$B1080&lt;'111'!$L$11),"x","")</f>
        <v/>
      </c>
      <c r="S1080" s="84" t="str">
        <f>IF(AND($O1080=$Q$7,$B1080&lt;'111'!$L$11),"x","")</f>
        <v/>
      </c>
      <c r="T1080" s="84" t="str">
        <f>IF(ISERROR(FIND('112'!$M$9,G1080,1)),"",IF((AND(FIND('112'!$M$9,G1080,1)&gt;=1,B1080='112'!$K$9,OR($N1080='112'!$I$6,$O1080='112'!$I$6))),"x",""))</f>
        <v/>
      </c>
      <c r="U1080" s="84" t="str">
        <f>IF(ISERROR(FIND('112'!$M$9,G1080,1)),"",IF((AND(LEFT(G1080,2)=LEFT('112'!$M$9,2),B1080&lt;'112'!$K$9,$N1080='112'!$I$6)),"x",""))</f>
        <v/>
      </c>
      <c r="V1080" s="84" t="str">
        <f>IF(ISERROR(FIND('112'!$M$9,G1080,1)),"",IF((AND(RIGHT(G1080,2)=RIGHT('112'!$M$9,2),B1080&lt;'112'!$K$9,$O1080='112'!$I$6)),"x",""))</f>
        <v>x</v>
      </c>
      <c r="W1080" s="84" t="str">
        <f>IF(AND('341-CT'!$H$9=H1080,OR(LEFT(N1080,3)=$W$7,LEFT(O1080,3)=$W$7)),"x","")</f>
        <v/>
      </c>
      <c r="X1080" s="84" t="str">
        <f>IF(OR(TH!N1080=TH!$X$7,O1080=TH!$X$7),"x","")</f>
        <v/>
      </c>
      <c r="Y1080" s="84" t="str">
        <f>IF(AND(OR(N1080="131",O1080="131"),H1080='131-CT'!$H$9),"x","")</f>
        <v/>
      </c>
      <c r="Z1080" s="84"/>
      <c r="AA1080" s="84" t="str">
        <f>IF(AND(MONTH(E1080)='IN-NX'!$J$5,'IN-NX'!$D$7=D1080),"x","")</f>
        <v/>
      </c>
      <c r="AB1080" s="84" t="str">
        <f>IF(AND(OR(LEFT(TH!N1080,2)="15",LEFT(TH!O1080,2)="15"),LEFT(TH!O1080,3)&lt;&gt;"111",'152-CT'!$J$8=TH!F1080),"x","")</f>
        <v/>
      </c>
      <c r="AC1080" s="84" t="str">
        <f>IF(AND(OR(LEFT(TH!N1080,2)="15",LEFT(TH!O1080,2)="15"),TK!$E$7=TH!F1080),"x","")</f>
        <v/>
      </c>
      <c r="AD1080" s="84" t="str">
        <f>IF(AND(N1080="1521",MONTH(C1080)='BK-NL'!$M$11),"x","")</f>
        <v/>
      </c>
    </row>
    <row r="1081" spans="1:31" ht="15.75" hidden="1" customHeight="1">
      <c r="A1081" s="336" t="str">
        <f>IF(B1081&lt;&gt;"",IF(AND(B1081='IN-TC'!$S$4,OR(TH!N1081="1111",TH!O1081="1111")),TH!D1081,""),"")</f>
        <v/>
      </c>
      <c r="B1081" s="63">
        <f t="shared" si="172"/>
        <v>3</v>
      </c>
      <c r="C1081" s="64">
        <v>42444</v>
      </c>
      <c r="D1081" s="318" t="s">
        <v>705</v>
      </c>
      <c r="E1081" s="64">
        <v>42444</v>
      </c>
      <c r="F1081" s="73" t="s">
        <v>1210</v>
      </c>
      <c r="G1081" s="67" t="s">
        <v>919</v>
      </c>
      <c r="H1081" s="73" t="s">
        <v>629</v>
      </c>
      <c r="I1081" s="439"/>
      <c r="J1081" s="439"/>
      <c r="K1081" s="430"/>
      <c r="L1081" s="439"/>
      <c r="M1081" s="65">
        <v>480000</v>
      </c>
      <c r="N1081" s="66" t="s">
        <v>8</v>
      </c>
      <c r="O1081" s="66" t="s">
        <v>26</v>
      </c>
      <c r="P1081" s="84" t="str">
        <f>IF(AND('331-CT'!$E$7=TH!H1081,OR(N1081="331",O1081="331")),"x","")</f>
        <v/>
      </c>
      <c r="Q1081" s="84" t="str">
        <f>IF(AND(B1081='111'!$L$11,OR($N1081=$Q$7,$O1081=$Q$7)),"x","")</f>
        <v/>
      </c>
      <c r="R1081" s="84" t="str">
        <f>IF(AND($N1081=$Q$7,$B1081&lt;'111'!$L$11),"x","")</f>
        <v/>
      </c>
      <c r="S1081" s="84" t="str">
        <f>IF(AND($O1081=$Q$7,$B1081&lt;'111'!$L$11),"x","")</f>
        <v/>
      </c>
      <c r="T1081" s="84" t="str">
        <f>IF(ISERROR(FIND('112'!$M$9,G1081,1)),"",IF((AND(FIND('112'!$M$9,G1081,1)&gt;=1,B1081='112'!$K$9,OR($N1081='112'!$I$6,$O1081='112'!$I$6))),"x",""))</f>
        <v/>
      </c>
      <c r="U1081" s="84" t="str">
        <f>IF(ISERROR(FIND('112'!$M$9,G1081,1)),"",IF((AND(LEFT(G1081,2)=LEFT('112'!$M$9,2),B1081&lt;'112'!$K$9,$N1081='112'!$I$6)),"x",""))</f>
        <v/>
      </c>
      <c r="V1081" s="84" t="str">
        <f>IF(ISERROR(FIND('112'!$M$9,G1081,1)),"",IF((AND(RIGHT(G1081,2)=RIGHT('112'!$M$9,2),B1081&lt;'112'!$K$9,$O1081='112'!$I$6)),"x",""))</f>
        <v>x</v>
      </c>
      <c r="W1081" s="84" t="str">
        <f>IF(AND('341-CT'!$H$9=H1081,OR(LEFT(N1081,3)=$W$7,LEFT(O1081,3)=$W$7)),"x","")</f>
        <v/>
      </c>
      <c r="X1081" s="84" t="str">
        <f>IF(OR(TH!N1081=TH!$X$7,O1081=TH!$X$7),"x","")</f>
        <v/>
      </c>
      <c r="Y1081" s="84" t="str">
        <f>IF(AND(OR(N1081="131",O1081="131"),H1081='131-CT'!$H$9),"x","")</f>
        <v/>
      </c>
      <c r="Z1081" s="84"/>
      <c r="AA1081" s="84" t="str">
        <f>IF(AND(MONTH(E1081)='IN-NX'!$J$5,'IN-NX'!$D$7=D1081),"x","")</f>
        <v/>
      </c>
      <c r="AB1081" s="84" t="str">
        <f>IF(AND(OR(LEFT(TH!N1081,2)="15",LEFT(TH!O1081,2)="15"),LEFT(TH!O1081,3)&lt;&gt;"111",'152-CT'!$J$8=TH!F1081),"x","")</f>
        <v/>
      </c>
      <c r="AC1081" s="84" t="str">
        <f>IF(AND(OR(LEFT(TH!N1081,2)="15",LEFT(TH!O1081,2)="15"),TK!$E$7=TH!F1081),"x","")</f>
        <v/>
      </c>
      <c r="AD1081" s="84" t="str">
        <f>IF(AND(N1081="1521",MONTH(C1081)='BK-NL'!$M$11),"x","")</f>
        <v/>
      </c>
      <c r="AE1081" s="1146" t="str">
        <f>IF(H1081&lt;&gt;VLOOKUP(H1081,DSKH,1,0),"","x")</f>
        <v>x</v>
      </c>
    </row>
    <row r="1082" spans="1:31" ht="15.75" hidden="1" customHeight="1">
      <c r="A1082" s="336" t="str">
        <f>IF(B1082&lt;&gt;"",IF(AND(B1082='IN-TC'!$S$4,OR(TH!N1082="1111",TH!O1082="1111")),TH!D1082,""),"")</f>
        <v/>
      </c>
      <c r="B1082" s="63">
        <f t="shared" si="172"/>
        <v>3</v>
      </c>
      <c r="C1082" s="64">
        <v>42444</v>
      </c>
      <c r="D1082" s="318" t="s">
        <v>705</v>
      </c>
      <c r="E1082" s="64">
        <v>42444</v>
      </c>
      <c r="F1082" s="73" t="s">
        <v>1199</v>
      </c>
      <c r="G1082" s="67" t="s">
        <v>919</v>
      </c>
      <c r="H1082" s="73"/>
      <c r="I1082" s="439"/>
      <c r="J1082" s="439"/>
      <c r="K1082" s="430"/>
      <c r="L1082" s="439"/>
      <c r="M1082" s="65">
        <v>20000</v>
      </c>
      <c r="N1082" s="66" t="s">
        <v>101</v>
      </c>
      <c r="O1082" s="66" t="s">
        <v>26</v>
      </c>
      <c r="P1082" s="84" t="str">
        <f>IF(AND('331-CT'!$E$7=TH!H1082,OR(N1082="331",O1082="331")),"x","")</f>
        <v/>
      </c>
      <c r="Q1082" s="84" t="str">
        <f>IF(AND(B1082='111'!$L$11,OR($N1082=$Q$7,$O1082=$Q$7)),"x","")</f>
        <v/>
      </c>
      <c r="R1082" s="84" t="str">
        <f>IF(AND($N1082=$Q$7,$B1082&lt;'111'!$L$11),"x","")</f>
        <v/>
      </c>
      <c r="S1082" s="84" t="str">
        <f>IF(AND($O1082=$Q$7,$B1082&lt;'111'!$L$11),"x","")</f>
        <v/>
      </c>
      <c r="T1082" s="84" t="str">
        <f>IF(ISERROR(FIND('112'!$M$9,G1082,1)),"",IF((AND(FIND('112'!$M$9,G1082,1)&gt;=1,B1082='112'!$K$9,OR($N1082='112'!$I$6,$O1082='112'!$I$6))),"x",""))</f>
        <v/>
      </c>
      <c r="U1082" s="84" t="str">
        <f>IF(ISERROR(FIND('112'!$M$9,G1082,1)),"",IF((AND(LEFT(G1082,2)=LEFT('112'!$M$9,2),B1082&lt;'112'!$K$9,$N1082='112'!$I$6)),"x",""))</f>
        <v/>
      </c>
      <c r="V1082" s="84" t="str">
        <f>IF(ISERROR(FIND('112'!$M$9,G1082,1)),"",IF((AND(RIGHT(G1082,2)=RIGHT('112'!$M$9,2),B1082&lt;'112'!$K$9,$O1082='112'!$I$6)),"x",""))</f>
        <v>x</v>
      </c>
      <c r="W1082" s="84" t="str">
        <f>IF(AND('341-CT'!$H$9=H1082,OR(LEFT(N1082,3)=$W$7,LEFT(O1082,3)=$W$7)),"x","")</f>
        <v/>
      </c>
      <c r="X1082" s="84" t="str">
        <f>IF(OR(TH!N1082=TH!$X$7,O1082=TH!$X$7),"x","")</f>
        <v/>
      </c>
      <c r="Y1082" s="84" t="str">
        <f>IF(AND(OR(N1082="131",O1082="131"),H1082='131-CT'!$H$9),"x","")</f>
        <v/>
      </c>
      <c r="Z1082" s="84"/>
      <c r="AA1082" s="84" t="str">
        <f>IF(AND(MONTH(E1082)='IN-NX'!$J$5,'IN-NX'!$D$7=D1082),"x","")</f>
        <v/>
      </c>
      <c r="AB1082" s="84" t="str">
        <f>IF(AND(OR(LEFT(TH!N1082,2)="15",LEFT(TH!O1082,2)="15"),LEFT(TH!O1082,3)&lt;&gt;"111",'152-CT'!$J$8=TH!F1082),"x","")</f>
        <v/>
      </c>
      <c r="AC1082" s="84" t="str">
        <f>IF(AND(OR(LEFT(TH!N1082,2)="15",LEFT(TH!O1082,2)="15"),TK!$E$7=TH!F1082),"x","")</f>
        <v/>
      </c>
      <c r="AD1082" s="84" t="str">
        <f>IF(AND(N1082="1521",MONTH(C1082)='BK-NL'!$M$11),"x","")</f>
        <v/>
      </c>
    </row>
    <row r="1083" spans="1:31" ht="15.75" hidden="1" customHeight="1">
      <c r="A1083" s="336" t="str">
        <f>IF(B1083&lt;&gt;"",IF(AND(B1083='IN-TC'!$S$4,OR(TH!N1083="1111",TH!O1083="1111")),TH!D1083,""),"")</f>
        <v/>
      </c>
      <c r="B1083" s="63">
        <f t="shared" si="172"/>
        <v>3</v>
      </c>
      <c r="C1083" s="64">
        <v>42444</v>
      </c>
      <c r="D1083" s="318" t="s">
        <v>705</v>
      </c>
      <c r="E1083" s="64">
        <v>42444</v>
      </c>
      <c r="F1083" s="73" t="s">
        <v>1200</v>
      </c>
      <c r="G1083" s="67" t="s">
        <v>919</v>
      </c>
      <c r="H1083" s="344"/>
      <c r="I1083" s="439"/>
      <c r="J1083" s="439"/>
      <c r="K1083" s="430"/>
      <c r="L1083" s="439"/>
      <c r="M1083" s="65">
        <v>2000</v>
      </c>
      <c r="N1083" s="66" t="s">
        <v>9</v>
      </c>
      <c r="O1083" s="66" t="s">
        <v>26</v>
      </c>
      <c r="P1083" s="84" t="str">
        <f>IF(AND('331-CT'!$E$7=TH!H1083,OR(N1083="331",O1083="331")),"x","")</f>
        <v/>
      </c>
      <c r="Q1083" s="84" t="str">
        <f>IF(AND(B1083='111'!$L$11,OR($N1083=$Q$7,$O1083=$Q$7)),"x","")</f>
        <v/>
      </c>
      <c r="R1083" s="84" t="str">
        <f>IF(AND($N1083=$Q$7,$B1083&lt;'111'!$L$11),"x","")</f>
        <v/>
      </c>
      <c r="S1083" s="84" t="str">
        <f>IF(AND($O1083=$Q$7,$B1083&lt;'111'!$L$11),"x","")</f>
        <v/>
      </c>
      <c r="T1083" s="84" t="str">
        <f>IF(ISERROR(FIND('112'!$M$9,G1083,1)),"",IF((AND(FIND('112'!$M$9,G1083,1)&gt;=1,B1083='112'!$K$9,OR($N1083='112'!$I$6,$O1083='112'!$I$6))),"x",""))</f>
        <v/>
      </c>
      <c r="U1083" s="84" t="str">
        <f>IF(ISERROR(FIND('112'!$M$9,G1083,1)),"",IF((AND(LEFT(G1083,2)=LEFT('112'!$M$9,2),B1083&lt;'112'!$K$9,$N1083='112'!$I$6)),"x",""))</f>
        <v/>
      </c>
      <c r="V1083" s="84" t="str">
        <f>IF(ISERROR(FIND('112'!$M$9,G1083,1)),"",IF((AND(RIGHT(G1083,2)=RIGHT('112'!$M$9,2),B1083&lt;'112'!$K$9,$O1083='112'!$I$6)),"x",""))</f>
        <v>x</v>
      </c>
      <c r="W1083" s="84" t="str">
        <f>IF(AND('341-CT'!$H$9=H1083,OR(LEFT(N1083,3)=$W$7,LEFT(O1083,3)=$W$7)),"x","")</f>
        <v/>
      </c>
      <c r="X1083" s="84" t="str">
        <f>IF(OR(TH!N1083=TH!$X$7,O1083=TH!$X$7),"x","")</f>
        <v/>
      </c>
      <c r="Y1083" s="84" t="str">
        <f>IF(AND(OR(N1083="131",O1083="131"),H1083='131-CT'!$H$9),"x","")</f>
        <v/>
      </c>
      <c r="Z1083" s="84"/>
      <c r="AA1083" s="84" t="str">
        <f>IF(AND(MONTH(E1083)='IN-NX'!$J$5,'IN-NX'!$D$7=D1083),"x","")</f>
        <v/>
      </c>
      <c r="AB1083" s="84" t="str">
        <f>IF(AND(OR(LEFT(TH!N1083,2)="15",LEFT(TH!O1083,2)="15"),LEFT(TH!O1083,3)&lt;&gt;"111",'152-CT'!$J$8=TH!F1083),"x","")</f>
        <v/>
      </c>
      <c r="AC1083" s="84" t="str">
        <f>IF(AND(OR(LEFT(TH!N1083,2)="15",LEFT(TH!O1083,2)="15"),TK!$E$7=TH!F1083),"x","")</f>
        <v/>
      </c>
      <c r="AD1083" s="84" t="str">
        <f>IF(AND(N1083="1521",MONTH(C1083)='BK-NL'!$M$11),"x","")</f>
        <v/>
      </c>
    </row>
    <row r="1084" spans="1:31" ht="15.75" hidden="1" customHeight="1">
      <c r="A1084" s="336" t="str">
        <f>IF(B1084&lt;&gt;"",IF(AND(B1084='IN-TC'!$S$4,OR(TH!N1084="1111",TH!O1084="1111")),TH!D1084,""),"")</f>
        <v/>
      </c>
      <c r="B1084" s="63">
        <f t="shared" si="172"/>
        <v>3</v>
      </c>
      <c r="C1084" s="64">
        <v>42444</v>
      </c>
      <c r="D1084" s="318" t="s">
        <v>705</v>
      </c>
      <c r="E1084" s="64">
        <v>42444</v>
      </c>
      <c r="F1084" s="73" t="s">
        <v>1211</v>
      </c>
      <c r="G1084" s="67" t="s">
        <v>919</v>
      </c>
      <c r="H1084" s="73" t="s">
        <v>632</v>
      </c>
      <c r="I1084" s="439"/>
      <c r="J1084" s="439"/>
      <c r="K1084" s="430"/>
      <c r="L1084" s="439"/>
      <c r="M1084" s="65">
        <v>22749430</v>
      </c>
      <c r="N1084" s="66" t="s">
        <v>8</v>
      </c>
      <c r="O1084" s="66" t="s">
        <v>26</v>
      </c>
      <c r="P1084" s="84" t="str">
        <f>IF(AND('331-CT'!$E$7=TH!H1084,OR(N1084="331",O1084="331")),"x","")</f>
        <v/>
      </c>
      <c r="Q1084" s="84" t="str">
        <f>IF(AND(B1084='111'!$L$11,OR($N1084=$Q$7,$O1084=$Q$7)),"x","")</f>
        <v/>
      </c>
      <c r="R1084" s="84" t="str">
        <f>IF(AND($N1084=$Q$7,$B1084&lt;'111'!$L$11),"x","")</f>
        <v/>
      </c>
      <c r="S1084" s="84" t="str">
        <f>IF(AND($O1084=$Q$7,$B1084&lt;'111'!$L$11),"x","")</f>
        <v/>
      </c>
      <c r="T1084" s="84" t="str">
        <f>IF(ISERROR(FIND('112'!$M$9,G1084,1)),"",IF((AND(FIND('112'!$M$9,G1084,1)&gt;=1,B1084='112'!$K$9,OR($N1084='112'!$I$6,$O1084='112'!$I$6))),"x",""))</f>
        <v/>
      </c>
      <c r="U1084" s="84" t="str">
        <f>IF(ISERROR(FIND('112'!$M$9,G1084,1)),"",IF((AND(LEFT(G1084,2)=LEFT('112'!$M$9,2),B1084&lt;'112'!$K$9,$N1084='112'!$I$6)),"x",""))</f>
        <v/>
      </c>
      <c r="V1084" s="84" t="str">
        <f>IF(ISERROR(FIND('112'!$M$9,G1084,1)),"",IF((AND(RIGHT(G1084,2)=RIGHT('112'!$M$9,2),B1084&lt;'112'!$K$9,$O1084='112'!$I$6)),"x",""))</f>
        <v>x</v>
      </c>
      <c r="W1084" s="84" t="str">
        <f>IF(AND('341-CT'!$H$9=H1084,OR(LEFT(N1084,3)=$W$7,LEFT(O1084,3)=$W$7)),"x","")</f>
        <v/>
      </c>
      <c r="X1084" s="84" t="str">
        <f>IF(OR(TH!N1084=TH!$X$7,O1084=TH!$X$7),"x","")</f>
        <v/>
      </c>
      <c r="Y1084" s="84" t="str">
        <f>IF(AND(OR(N1084="131",O1084="131"),H1084='131-CT'!$H$9),"x","")</f>
        <v/>
      </c>
      <c r="Z1084" s="84"/>
      <c r="AA1084" s="84" t="str">
        <f>IF(AND(MONTH(E1084)='IN-NX'!$J$5,'IN-NX'!$D$7=D1084),"x","")</f>
        <v/>
      </c>
      <c r="AB1084" s="84" t="str">
        <f>IF(AND(OR(LEFT(TH!N1084,2)="15",LEFT(TH!O1084,2)="15"),LEFT(TH!O1084,3)&lt;&gt;"111",'152-CT'!$J$8=TH!F1084),"x","")</f>
        <v/>
      </c>
      <c r="AC1084" s="84" t="str">
        <f>IF(AND(OR(LEFT(TH!N1084,2)="15",LEFT(TH!O1084,2)="15"),TK!$E$7=TH!F1084),"x","")</f>
        <v/>
      </c>
      <c r="AD1084" s="84" t="str">
        <f>IF(AND(N1084="1521",MONTH(C1084)='BK-NL'!$M$11),"x","")</f>
        <v/>
      </c>
      <c r="AE1084" s="1146" t="str">
        <f>IF(H1084&lt;&gt;VLOOKUP(H1084,DSKH,1,0),"","x")</f>
        <v>x</v>
      </c>
    </row>
    <row r="1085" spans="1:31" ht="15.75" hidden="1" customHeight="1">
      <c r="A1085" s="336" t="str">
        <f>IF(B1085&lt;&gt;"",IF(AND(B1085='IN-TC'!$S$4,OR(TH!N1085="1111",TH!O1085="1111")),TH!D1085,""),"")</f>
        <v/>
      </c>
      <c r="B1085" s="63">
        <f t="shared" si="172"/>
        <v>3</v>
      </c>
      <c r="C1085" s="64">
        <v>42444</v>
      </c>
      <c r="D1085" s="318" t="s">
        <v>705</v>
      </c>
      <c r="E1085" s="64">
        <v>42444</v>
      </c>
      <c r="F1085" s="73" t="s">
        <v>1199</v>
      </c>
      <c r="G1085" s="67" t="s">
        <v>919</v>
      </c>
      <c r="H1085" s="73"/>
      <c r="I1085" s="439"/>
      <c r="J1085" s="439"/>
      <c r="K1085" s="430"/>
      <c r="L1085" s="439"/>
      <c r="M1085" s="65">
        <v>25000</v>
      </c>
      <c r="N1085" s="66" t="s">
        <v>101</v>
      </c>
      <c r="O1085" s="66" t="s">
        <v>26</v>
      </c>
      <c r="P1085" s="84" t="str">
        <f>IF(AND('331-CT'!$E$7=TH!H1085,OR(N1085="331",O1085="331")),"x","")</f>
        <v/>
      </c>
      <c r="Q1085" s="84" t="str">
        <f>IF(AND(B1085='111'!$L$11,OR($N1085=$Q$7,$O1085=$Q$7)),"x","")</f>
        <v/>
      </c>
      <c r="R1085" s="84" t="str">
        <f>IF(AND($N1085=$Q$7,$B1085&lt;'111'!$L$11),"x","")</f>
        <v/>
      </c>
      <c r="S1085" s="84" t="str">
        <f>IF(AND($O1085=$Q$7,$B1085&lt;'111'!$L$11),"x","")</f>
        <v/>
      </c>
      <c r="T1085" s="84" t="str">
        <f>IF(ISERROR(FIND('112'!$M$9,G1085,1)),"",IF((AND(FIND('112'!$M$9,G1085,1)&gt;=1,B1085='112'!$K$9,OR($N1085='112'!$I$6,$O1085='112'!$I$6))),"x",""))</f>
        <v/>
      </c>
      <c r="U1085" s="84" t="str">
        <f>IF(ISERROR(FIND('112'!$M$9,G1085,1)),"",IF((AND(LEFT(G1085,2)=LEFT('112'!$M$9,2),B1085&lt;'112'!$K$9,$N1085='112'!$I$6)),"x",""))</f>
        <v/>
      </c>
      <c r="V1085" s="84" t="str">
        <f>IF(ISERROR(FIND('112'!$M$9,G1085,1)),"",IF((AND(RIGHT(G1085,2)=RIGHT('112'!$M$9,2),B1085&lt;'112'!$K$9,$O1085='112'!$I$6)),"x",""))</f>
        <v>x</v>
      </c>
      <c r="W1085" s="84" t="str">
        <f>IF(AND('341-CT'!$H$9=H1085,OR(LEFT(N1085,3)=$W$7,LEFT(O1085,3)=$W$7)),"x","")</f>
        <v/>
      </c>
      <c r="X1085" s="84" t="str">
        <f>IF(OR(TH!N1085=TH!$X$7,O1085=TH!$X$7),"x","")</f>
        <v/>
      </c>
      <c r="Y1085" s="84" t="str">
        <f>IF(AND(OR(N1085="131",O1085="131"),H1085='131-CT'!$H$9),"x","")</f>
        <v/>
      </c>
      <c r="Z1085" s="84"/>
      <c r="AA1085" s="84" t="str">
        <f>IF(AND(MONTH(E1085)='IN-NX'!$J$5,'IN-NX'!$D$7=D1085),"x","")</f>
        <v/>
      </c>
      <c r="AB1085" s="84" t="str">
        <f>IF(AND(OR(LEFT(TH!N1085,2)="15",LEFT(TH!O1085,2)="15"),LEFT(TH!O1085,3)&lt;&gt;"111",'152-CT'!$J$8=TH!F1085),"x","")</f>
        <v/>
      </c>
      <c r="AC1085" s="84" t="str">
        <f>IF(AND(OR(LEFT(TH!N1085,2)="15",LEFT(TH!O1085,2)="15"),TK!$E$7=TH!F1085),"x","")</f>
        <v/>
      </c>
      <c r="AD1085" s="84" t="str">
        <f>IF(AND(N1085="1521",MONTH(C1085)='BK-NL'!$M$11),"x","")</f>
        <v/>
      </c>
    </row>
    <row r="1086" spans="1:31" ht="15.75" hidden="1" customHeight="1">
      <c r="A1086" s="336" t="str">
        <f>IF(B1086&lt;&gt;"",IF(AND(B1086='IN-TC'!$S$4,OR(TH!N1086="1111",TH!O1086="1111")),TH!D1086,""),"")</f>
        <v/>
      </c>
      <c r="B1086" s="63">
        <f t="shared" si="172"/>
        <v>3</v>
      </c>
      <c r="C1086" s="64">
        <v>42444</v>
      </c>
      <c r="D1086" s="318" t="s">
        <v>705</v>
      </c>
      <c r="E1086" s="64">
        <v>42444</v>
      </c>
      <c r="F1086" s="73" t="s">
        <v>1200</v>
      </c>
      <c r="G1086" s="67" t="s">
        <v>919</v>
      </c>
      <c r="H1086" s="344"/>
      <c r="I1086" s="439"/>
      <c r="J1086" s="439"/>
      <c r="K1086" s="430"/>
      <c r="L1086" s="439"/>
      <c r="M1086" s="65">
        <v>2500</v>
      </c>
      <c r="N1086" s="66" t="s">
        <v>9</v>
      </c>
      <c r="O1086" s="66" t="s">
        <v>26</v>
      </c>
      <c r="P1086" s="84" t="str">
        <f>IF(AND('331-CT'!$E$7=TH!H1086,OR(N1086="331",O1086="331")),"x","")</f>
        <v/>
      </c>
      <c r="Q1086" s="84" t="str">
        <f>IF(AND(B1086='111'!$L$11,OR($N1086=$Q$7,$O1086=$Q$7)),"x","")</f>
        <v/>
      </c>
      <c r="R1086" s="84" t="str">
        <f>IF(AND($N1086=$Q$7,$B1086&lt;'111'!$L$11),"x","")</f>
        <v/>
      </c>
      <c r="S1086" s="84" t="str">
        <f>IF(AND($O1086=$Q$7,$B1086&lt;'111'!$L$11),"x","")</f>
        <v/>
      </c>
      <c r="T1086" s="84" t="str">
        <f>IF(ISERROR(FIND('112'!$M$9,G1086,1)),"",IF((AND(FIND('112'!$M$9,G1086,1)&gt;=1,B1086='112'!$K$9,OR($N1086='112'!$I$6,$O1086='112'!$I$6))),"x",""))</f>
        <v/>
      </c>
      <c r="U1086" s="84" t="str">
        <f>IF(ISERROR(FIND('112'!$M$9,G1086,1)),"",IF((AND(LEFT(G1086,2)=LEFT('112'!$M$9,2),B1086&lt;'112'!$K$9,$N1086='112'!$I$6)),"x",""))</f>
        <v/>
      </c>
      <c r="V1086" s="84" t="str">
        <f>IF(ISERROR(FIND('112'!$M$9,G1086,1)),"",IF((AND(RIGHT(G1086,2)=RIGHT('112'!$M$9,2),B1086&lt;'112'!$K$9,$O1086='112'!$I$6)),"x",""))</f>
        <v>x</v>
      </c>
      <c r="W1086" s="84" t="str">
        <f>IF(AND('341-CT'!$H$9=H1086,OR(LEFT(N1086,3)=$W$7,LEFT(O1086,3)=$W$7)),"x","")</f>
        <v/>
      </c>
      <c r="X1086" s="84" t="str">
        <f>IF(OR(TH!N1086=TH!$X$7,O1086=TH!$X$7),"x","")</f>
        <v/>
      </c>
      <c r="Y1086" s="84" t="str">
        <f>IF(AND(OR(N1086="131",O1086="131"),H1086='131-CT'!$H$9),"x","")</f>
        <v/>
      </c>
      <c r="Z1086" s="84"/>
      <c r="AA1086" s="84" t="str">
        <f>IF(AND(MONTH(E1086)='IN-NX'!$J$5,'IN-NX'!$D$7=D1086),"x","")</f>
        <v/>
      </c>
      <c r="AB1086" s="84" t="str">
        <f>IF(AND(OR(LEFT(TH!N1086,2)="15",LEFT(TH!O1086,2)="15"),LEFT(TH!O1086,3)&lt;&gt;"111",'152-CT'!$J$8=TH!F1086),"x","")</f>
        <v/>
      </c>
      <c r="AC1086" s="84" t="str">
        <f>IF(AND(OR(LEFT(TH!N1086,2)="15",LEFT(TH!O1086,2)="15"),TK!$E$7=TH!F1086),"x","")</f>
        <v/>
      </c>
      <c r="AD1086" s="84" t="str">
        <f>IF(AND(N1086="1521",MONTH(C1086)='BK-NL'!$M$11),"x","")</f>
        <v/>
      </c>
    </row>
    <row r="1087" spans="1:31" ht="15.75" hidden="1" customHeight="1">
      <c r="A1087" s="336" t="str">
        <f>IF(B1087&lt;&gt;"",IF(AND(B1087='IN-TC'!$S$4,OR(TH!N1087="1111",TH!O1087="1111")),TH!D1087,""),"")</f>
        <v/>
      </c>
      <c r="B1087" s="63">
        <f t="shared" si="172"/>
        <v>3</v>
      </c>
      <c r="C1087" s="64">
        <v>42444</v>
      </c>
      <c r="D1087" s="318" t="s">
        <v>705</v>
      </c>
      <c r="E1087" s="64">
        <v>42444</v>
      </c>
      <c r="F1087" s="73" t="s">
        <v>1212</v>
      </c>
      <c r="G1087" s="67" t="s">
        <v>919</v>
      </c>
      <c r="H1087" s="73" t="s">
        <v>676</v>
      </c>
      <c r="I1087" s="439"/>
      <c r="J1087" s="439"/>
      <c r="K1087" s="430"/>
      <c r="L1087" s="439"/>
      <c r="M1087" s="65">
        <v>36300000</v>
      </c>
      <c r="N1087" s="66" t="s">
        <v>8</v>
      </c>
      <c r="O1087" s="66" t="s">
        <v>26</v>
      </c>
      <c r="P1087" s="84" t="str">
        <f>IF(AND('331-CT'!$E$7=TH!H1087,OR(N1087="331",O1087="331")),"x","")</f>
        <v/>
      </c>
      <c r="Q1087" s="84" t="str">
        <f>IF(AND(B1087='111'!$L$11,OR($N1087=$Q$7,$O1087=$Q$7)),"x","")</f>
        <v/>
      </c>
      <c r="R1087" s="84" t="str">
        <f>IF(AND($N1087=$Q$7,$B1087&lt;'111'!$L$11),"x","")</f>
        <v/>
      </c>
      <c r="S1087" s="84" t="str">
        <f>IF(AND($O1087=$Q$7,$B1087&lt;'111'!$L$11),"x","")</f>
        <v/>
      </c>
      <c r="T1087" s="84" t="str">
        <f>IF(ISERROR(FIND('112'!$M$9,G1087,1)),"",IF((AND(FIND('112'!$M$9,G1087,1)&gt;=1,B1087='112'!$K$9,OR($N1087='112'!$I$6,$O1087='112'!$I$6))),"x",""))</f>
        <v/>
      </c>
      <c r="U1087" s="84" t="str">
        <f>IF(ISERROR(FIND('112'!$M$9,G1087,1)),"",IF((AND(LEFT(G1087,2)=LEFT('112'!$M$9,2),B1087&lt;'112'!$K$9,$N1087='112'!$I$6)),"x",""))</f>
        <v/>
      </c>
      <c r="V1087" s="84" t="str">
        <f>IF(ISERROR(FIND('112'!$M$9,G1087,1)),"",IF((AND(RIGHT(G1087,2)=RIGHT('112'!$M$9,2),B1087&lt;'112'!$K$9,$O1087='112'!$I$6)),"x",""))</f>
        <v>x</v>
      </c>
      <c r="W1087" s="84" t="str">
        <f>IF(AND('341-CT'!$H$9=H1087,OR(LEFT(N1087,3)=$W$7,LEFT(O1087,3)=$W$7)),"x","")</f>
        <v/>
      </c>
      <c r="X1087" s="84" t="str">
        <f>IF(OR(TH!N1087=TH!$X$7,O1087=TH!$X$7),"x","")</f>
        <v/>
      </c>
      <c r="Y1087" s="84" t="str">
        <f>IF(AND(OR(N1087="131",O1087="131"),H1087='131-CT'!$H$9),"x","")</f>
        <v/>
      </c>
      <c r="Z1087" s="84"/>
      <c r="AA1087" s="84" t="str">
        <f>IF(AND(MONTH(E1087)='IN-NX'!$J$5,'IN-NX'!$D$7=D1087),"x","")</f>
        <v/>
      </c>
      <c r="AB1087" s="84" t="str">
        <f>IF(AND(OR(LEFT(TH!N1087,2)="15",LEFT(TH!O1087,2)="15"),LEFT(TH!O1087,3)&lt;&gt;"111",'152-CT'!$J$8=TH!F1087),"x","")</f>
        <v/>
      </c>
      <c r="AC1087" s="84" t="str">
        <f>IF(AND(OR(LEFT(TH!N1087,2)="15",LEFT(TH!O1087,2)="15"),TK!$E$7=TH!F1087),"x","")</f>
        <v/>
      </c>
      <c r="AD1087" s="84" t="str">
        <f>IF(AND(N1087="1521",MONTH(C1087)='BK-NL'!$M$11),"x","")</f>
        <v/>
      </c>
      <c r="AE1087" s="1146" t="str">
        <f>IF(H1087&lt;&gt;VLOOKUP(H1087,DSKH,1,0),"","x")</f>
        <v>x</v>
      </c>
    </row>
    <row r="1088" spans="1:31" ht="15.75" hidden="1" customHeight="1">
      <c r="A1088" s="336" t="str">
        <f>IF(B1088&lt;&gt;"",IF(AND(B1088='IN-TC'!$S$4,OR(TH!N1088="1111",TH!O1088="1111")),TH!D1088,""),"")</f>
        <v/>
      </c>
      <c r="B1088" s="63">
        <f t="shared" si="172"/>
        <v>3</v>
      </c>
      <c r="C1088" s="64">
        <v>42444</v>
      </c>
      <c r="D1088" s="318" t="s">
        <v>705</v>
      </c>
      <c r="E1088" s="64">
        <v>42444</v>
      </c>
      <c r="F1088" s="73" t="s">
        <v>1199</v>
      </c>
      <c r="G1088" s="67" t="s">
        <v>919</v>
      </c>
      <c r="H1088" s="73"/>
      <c r="I1088" s="439"/>
      <c r="J1088" s="439"/>
      <c r="K1088" s="430"/>
      <c r="L1088" s="439"/>
      <c r="M1088" s="65">
        <v>25000</v>
      </c>
      <c r="N1088" s="66" t="s">
        <v>101</v>
      </c>
      <c r="O1088" s="66" t="s">
        <v>26</v>
      </c>
      <c r="P1088" s="84" t="str">
        <f>IF(AND('331-CT'!$E$7=TH!H1088,OR(N1088="331",O1088="331")),"x","")</f>
        <v/>
      </c>
      <c r="Q1088" s="84" t="str">
        <f>IF(AND(B1088='111'!$L$11,OR($N1088=$Q$7,$O1088=$Q$7)),"x","")</f>
        <v/>
      </c>
      <c r="R1088" s="84" t="str">
        <f>IF(AND($N1088=$Q$7,$B1088&lt;'111'!$L$11),"x","")</f>
        <v/>
      </c>
      <c r="S1088" s="84" t="str">
        <f>IF(AND($O1088=$Q$7,$B1088&lt;'111'!$L$11),"x","")</f>
        <v/>
      </c>
      <c r="T1088" s="84" t="str">
        <f>IF(ISERROR(FIND('112'!$M$9,G1088,1)),"",IF((AND(FIND('112'!$M$9,G1088,1)&gt;=1,B1088='112'!$K$9,OR($N1088='112'!$I$6,$O1088='112'!$I$6))),"x",""))</f>
        <v/>
      </c>
      <c r="U1088" s="84" t="str">
        <f>IF(ISERROR(FIND('112'!$M$9,G1088,1)),"",IF((AND(LEFT(G1088,2)=LEFT('112'!$M$9,2),B1088&lt;'112'!$K$9,$N1088='112'!$I$6)),"x",""))</f>
        <v/>
      </c>
      <c r="V1088" s="84" t="str">
        <f>IF(ISERROR(FIND('112'!$M$9,G1088,1)),"",IF((AND(RIGHT(G1088,2)=RIGHT('112'!$M$9,2),B1088&lt;'112'!$K$9,$O1088='112'!$I$6)),"x",""))</f>
        <v>x</v>
      </c>
      <c r="W1088" s="84" t="str">
        <f>IF(AND('341-CT'!$H$9=H1088,OR(LEFT(N1088,3)=$W$7,LEFT(O1088,3)=$W$7)),"x","")</f>
        <v/>
      </c>
      <c r="X1088" s="84" t="str">
        <f>IF(OR(TH!N1088=TH!$X$7,O1088=TH!$X$7),"x","")</f>
        <v/>
      </c>
      <c r="Y1088" s="84" t="str">
        <f>IF(AND(OR(N1088="131",O1088="131"),H1088='131-CT'!$H$9),"x","")</f>
        <v/>
      </c>
      <c r="Z1088" s="84"/>
      <c r="AA1088" s="84" t="str">
        <f>IF(AND(MONTH(E1088)='IN-NX'!$J$5,'IN-NX'!$D$7=D1088),"x","")</f>
        <v/>
      </c>
      <c r="AB1088" s="84" t="str">
        <f>IF(AND(OR(LEFT(TH!N1088,2)="15",LEFT(TH!O1088,2)="15"),LEFT(TH!O1088,3)&lt;&gt;"111",'152-CT'!$J$8=TH!F1088),"x","")</f>
        <v/>
      </c>
      <c r="AC1088" s="84" t="str">
        <f>IF(AND(OR(LEFT(TH!N1088,2)="15",LEFT(TH!O1088,2)="15"),TK!$E$7=TH!F1088),"x","")</f>
        <v/>
      </c>
      <c r="AD1088" s="84" t="str">
        <f>IF(AND(N1088="1521",MONTH(C1088)='BK-NL'!$M$11),"x","")</f>
        <v/>
      </c>
    </row>
    <row r="1089" spans="1:31" ht="15.75" hidden="1" customHeight="1">
      <c r="A1089" s="336" t="str">
        <f>IF(B1089&lt;&gt;"",IF(AND(B1089='IN-TC'!$S$4,OR(TH!N1089="1111",TH!O1089="1111")),TH!D1089,""),"")</f>
        <v/>
      </c>
      <c r="B1089" s="63">
        <f t="shared" si="172"/>
        <v>3</v>
      </c>
      <c r="C1089" s="64">
        <v>42444</v>
      </c>
      <c r="D1089" s="318" t="s">
        <v>705</v>
      </c>
      <c r="E1089" s="64">
        <v>42444</v>
      </c>
      <c r="F1089" s="73" t="s">
        <v>1200</v>
      </c>
      <c r="G1089" s="67" t="s">
        <v>919</v>
      </c>
      <c r="H1089" s="344"/>
      <c r="I1089" s="439"/>
      <c r="J1089" s="439"/>
      <c r="K1089" s="430"/>
      <c r="L1089" s="439"/>
      <c r="M1089" s="65">
        <v>2500</v>
      </c>
      <c r="N1089" s="66" t="s">
        <v>9</v>
      </c>
      <c r="O1089" s="66" t="s">
        <v>26</v>
      </c>
      <c r="P1089" s="84" t="str">
        <f>IF(AND('331-CT'!$E$7=TH!H1089,OR(N1089="331",O1089="331")),"x","")</f>
        <v/>
      </c>
      <c r="Q1089" s="84" t="str">
        <f>IF(AND(B1089='111'!$L$11,OR($N1089=$Q$7,$O1089=$Q$7)),"x","")</f>
        <v/>
      </c>
      <c r="R1089" s="84" t="str">
        <f>IF(AND($N1089=$Q$7,$B1089&lt;'111'!$L$11),"x","")</f>
        <v/>
      </c>
      <c r="S1089" s="84" t="str">
        <f>IF(AND($O1089=$Q$7,$B1089&lt;'111'!$L$11),"x","")</f>
        <v/>
      </c>
      <c r="T1089" s="84" t="str">
        <f>IF(ISERROR(FIND('112'!$M$9,G1089,1)),"",IF((AND(FIND('112'!$M$9,G1089,1)&gt;=1,B1089='112'!$K$9,OR($N1089='112'!$I$6,$O1089='112'!$I$6))),"x",""))</f>
        <v/>
      </c>
      <c r="U1089" s="84" t="str">
        <f>IF(ISERROR(FIND('112'!$M$9,G1089,1)),"",IF((AND(LEFT(G1089,2)=LEFT('112'!$M$9,2),B1089&lt;'112'!$K$9,$N1089='112'!$I$6)),"x",""))</f>
        <v/>
      </c>
      <c r="V1089" s="84" t="str">
        <f>IF(ISERROR(FIND('112'!$M$9,G1089,1)),"",IF((AND(RIGHT(G1089,2)=RIGHT('112'!$M$9,2),B1089&lt;'112'!$K$9,$O1089='112'!$I$6)),"x",""))</f>
        <v>x</v>
      </c>
      <c r="W1089" s="84" t="str">
        <f>IF(AND('341-CT'!$H$9=H1089,OR(LEFT(N1089,3)=$W$7,LEFT(O1089,3)=$W$7)),"x","")</f>
        <v/>
      </c>
      <c r="X1089" s="84" t="str">
        <f>IF(OR(TH!N1089=TH!$X$7,O1089=TH!$X$7),"x","")</f>
        <v/>
      </c>
      <c r="Y1089" s="84" t="str">
        <f>IF(AND(OR(N1089="131",O1089="131"),H1089='131-CT'!$H$9),"x","")</f>
        <v/>
      </c>
      <c r="Z1089" s="84"/>
      <c r="AA1089" s="84" t="str">
        <f>IF(AND(MONTH(E1089)='IN-NX'!$J$5,'IN-NX'!$D$7=D1089),"x","")</f>
        <v/>
      </c>
      <c r="AB1089" s="84" t="str">
        <f>IF(AND(OR(LEFT(TH!N1089,2)="15",LEFT(TH!O1089,2)="15"),LEFT(TH!O1089,3)&lt;&gt;"111",'152-CT'!$J$8=TH!F1089),"x","")</f>
        <v/>
      </c>
      <c r="AC1089" s="84" t="str">
        <f>IF(AND(OR(LEFT(TH!N1089,2)="15",LEFT(TH!O1089,2)="15"),TK!$E$7=TH!F1089),"x","")</f>
        <v/>
      </c>
      <c r="AD1089" s="84" t="str">
        <f>IF(AND(N1089="1521",MONTH(C1089)='BK-NL'!$M$11),"x","")</f>
        <v/>
      </c>
    </row>
    <row r="1090" spans="1:31" ht="15.75" hidden="1" customHeight="1">
      <c r="A1090" s="336" t="str">
        <f>IF(B1090&lt;&gt;"",IF(AND(B1090='IN-TC'!$S$4,OR(TH!N1090="1111",TH!O1090="1111")),TH!D1090,""),"")</f>
        <v/>
      </c>
      <c r="B1090" s="1003">
        <f t="shared" si="172"/>
        <v>3</v>
      </c>
      <c r="C1090" s="80">
        <v>42444</v>
      </c>
      <c r="D1090" s="1134" t="s">
        <v>705</v>
      </c>
      <c r="E1090" s="80">
        <v>42444</v>
      </c>
      <c r="F1090" s="73" t="s">
        <v>1213</v>
      </c>
      <c r="G1090" s="81" t="s">
        <v>919</v>
      </c>
      <c r="H1090" s="966"/>
      <c r="I1090" s="437"/>
      <c r="J1090" s="437"/>
      <c r="K1090" s="428"/>
      <c r="L1090" s="437"/>
      <c r="M1090" s="83">
        <v>72666115</v>
      </c>
      <c r="N1090" s="84" t="s">
        <v>593</v>
      </c>
      <c r="O1090" s="66" t="s">
        <v>26</v>
      </c>
      <c r="P1090" s="84" t="str">
        <f>IF(AND('331-CT'!$E$7=TH!H1090,OR(N1090="331",O1090="331")),"x","")</f>
        <v/>
      </c>
      <c r="Q1090" s="84" t="str">
        <f>IF(AND(B1090='111'!$L$11,OR($N1090=$Q$7,$O1090=$Q$7)),"x","")</f>
        <v/>
      </c>
      <c r="R1090" s="84" t="str">
        <f>IF(AND($N1090=$Q$7,$B1090&lt;'111'!$L$11),"x","")</f>
        <v/>
      </c>
      <c r="S1090" s="84" t="str">
        <f>IF(AND($O1090=$Q$7,$B1090&lt;'111'!$L$11),"x","")</f>
        <v/>
      </c>
      <c r="T1090" s="84" t="str">
        <f>IF(ISERROR(FIND('112'!$M$9,G1090,1)),"",IF((AND(FIND('112'!$M$9,G1090,1)&gt;=1,B1090='112'!$K$9,OR($N1090='112'!$I$6,$O1090='112'!$I$6))),"x",""))</f>
        <v/>
      </c>
      <c r="U1090" s="84" t="str">
        <f>IF(ISERROR(FIND('112'!$M$9,G1090,1)),"",IF((AND(LEFT(G1090,2)=LEFT('112'!$M$9,2),B1090&lt;'112'!$K$9,$N1090='112'!$I$6)),"x",""))</f>
        <v/>
      </c>
      <c r="V1090" s="84" t="str">
        <f>IF(ISERROR(FIND('112'!$M$9,G1090,1)),"",IF((AND(RIGHT(G1090,2)=RIGHT('112'!$M$9,2),B1090&lt;'112'!$K$9,$O1090='112'!$I$6)),"x",""))</f>
        <v>x</v>
      </c>
      <c r="W1090" s="84" t="str">
        <f>IF(AND('341-CT'!$H$9=H1090,OR(LEFT(N1090,3)=$W$7,LEFT(O1090,3)=$W$7)),"x","")</f>
        <v/>
      </c>
      <c r="X1090" s="84" t="str">
        <f>IF(OR(TH!N1090=TH!$X$7,O1090=TH!$X$7),"x","")</f>
        <v/>
      </c>
      <c r="Y1090" s="84" t="str">
        <f>IF(AND(OR(N1090="131",O1090="131"),H1090='131-CT'!$H$9),"x","")</f>
        <v/>
      </c>
      <c r="Z1090" s="84"/>
      <c r="AA1090" s="84" t="str">
        <f>IF(AND(MONTH(E1090)='IN-NX'!$J$5,'IN-NX'!$D$7=D1090),"x","")</f>
        <v/>
      </c>
      <c r="AB1090" s="84" t="str">
        <f>IF(AND(OR(LEFT(TH!N1090,2)="15",LEFT(TH!O1090,2)="15"),LEFT(TH!O1090,3)&lt;&gt;"111",'152-CT'!$J$8=TH!F1090),"x","")</f>
        <v/>
      </c>
      <c r="AC1090" s="84" t="str">
        <f>IF(AND(OR(LEFT(TH!N1090,2)="15",LEFT(TH!O1090,2)="15"),TK!$E$7=TH!F1090),"x","")</f>
        <v/>
      </c>
      <c r="AD1090" s="84" t="str">
        <f>IF(AND(N1090="1521",MONTH(C1090)='BK-NL'!$M$11),"x","")</f>
        <v/>
      </c>
      <c r="AE1090" s="347"/>
    </row>
    <row r="1091" spans="1:31" s="347" customFormat="1" ht="15.75" hidden="1" customHeight="1">
      <c r="A1091" s="336" t="str">
        <f>IF(B1091&lt;&gt;"",IF(AND(B1091='IN-TC'!$S$4,OR(TH!N1091="1111",TH!O1091="1111")),TH!D1091,""),"")</f>
        <v/>
      </c>
      <c r="B1091" s="1003">
        <f t="shared" si="172"/>
        <v>3</v>
      </c>
      <c r="C1091" s="80">
        <v>42444</v>
      </c>
      <c r="D1091" s="1134" t="s">
        <v>705</v>
      </c>
      <c r="E1091" s="80">
        <v>42444</v>
      </c>
      <c r="F1091" s="73" t="s">
        <v>1214</v>
      </c>
      <c r="G1091" s="81" t="s">
        <v>919</v>
      </c>
      <c r="H1091" s="966"/>
      <c r="I1091" s="437"/>
      <c r="J1091" s="437"/>
      <c r="K1091" s="428"/>
      <c r="L1091" s="437"/>
      <c r="M1091" s="83">
        <v>19101465</v>
      </c>
      <c r="N1091" s="84" t="s">
        <v>594</v>
      </c>
      <c r="O1091" s="66" t="s">
        <v>26</v>
      </c>
      <c r="P1091" s="84" t="str">
        <f>IF(AND('331-CT'!$E$7=TH!H1091,OR(N1091="331",O1091="331")),"x","")</f>
        <v/>
      </c>
      <c r="Q1091" s="84" t="str">
        <f>IF(AND(B1091='111'!$L$11,OR($N1091=$Q$7,$O1091=$Q$7)),"x","")</f>
        <v/>
      </c>
      <c r="R1091" s="84" t="str">
        <f>IF(AND($N1091=$Q$7,$B1091&lt;'111'!$L$11),"x","")</f>
        <v/>
      </c>
      <c r="S1091" s="84" t="str">
        <f>IF(AND($O1091=$Q$7,$B1091&lt;'111'!$L$11),"x","")</f>
        <v/>
      </c>
      <c r="T1091" s="84" t="str">
        <f>IF(ISERROR(FIND('112'!$M$9,G1091,1)),"",IF((AND(FIND('112'!$M$9,G1091,1)&gt;=1,B1091='112'!$K$9,OR($N1091='112'!$I$6,$O1091='112'!$I$6))),"x",""))</f>
        <v/>
      </c>
      <c r="U1091" s="84" t="str">
        <f>IF(ISERROR(FIND('112'!$M$9,G1091,1)),"",IF((AND(LEFT(G1091,2)=LEFT('112'!$M$9,2),B1091&lt;'112'!$K$9,$N1091='112'!$I$6)),"x",""))</f>
        <v/>
      </c>
      <c r="V1091" s="84" t="str">
        <f>IF(ISERROR(FIND('112'!$M$9,G1091,1)),"",IF((AND(RIGHT(G1091,2)=RIGHT('112'!$M$9,2),B1091&lt;'112'!$K$9,$O1091='112'!$I$6)),"x",""))</f>
        <v>x</v>
      </c>
      <c r="W1091" s="84" t="str">
        <f>IF(AND('341-CT'!$H$9=H1091,OR(LEFT(N1091,3)=$W$7,LEFT(O1091,3)=$W$7)),"x","")</f>
        <v/>
      </c>
      <c r="X1091" s="84" t="str">
        <f>IF(OR(TH!N1091=TH!$X$7,O1091=TH!$X$7),"x","")</f>
        <v/>
      </c>
      <c r="Y1091" s="84" t="str">
        <f>IF(AND(OR(N1091="131",O1091="131"),H1091='131-CT'!$H$9),"x","")</f>
        <v/>
      </c>
      <c r="Z1091" s="84"/>
      <c r="AA1091" s="84" t="str">
        <f>IF(AND(MONTH(E1091)='IN-NX'!$J$5,'IN-NX'!$D$7=D1091),"x","")</f>
        <v/>
      </c>
      <c r="AB1091" s="84" t="str">
        <f>IF(AND(OR(LEFT(TH!N1091,2)="15",LEFT(TH!O1091,2)="15"),LEFT(TH!O1091,3)&lt;&gt;"111",'152-CT'!$J$8=TH!F1091),"x","")</f>
        <v/>
      </c>
      <c r="AC1091" s="84" t="str">
        <f>IF(AND(OR(LEFT(TH!N1091,2)="15",LEFT(TH!O1091,2)="15"),TK!$E$7=TH!F1091),"x","")</f>
        <v/>
      </c>
      <c r="AD1091" s="84" t="str">
        <f>IF(AND(N1091="1521",MONTH(C1091)='BK-NL'!$M$11),"x","")</f>
        <v/>
      </c>
    </row>
    <row r="1092" spans="1:31" s="347" customFormat="1" ht="15.75" hidden="1" customHeight="1">
      <c r="A1092" s="336" t="str">
        <f>IF(B1092&lt;&gt;"",IF(AND(B1092='IN-TC'!$S$4,OR(TH!N1092="1111",TH!O1092="1111")),TH!D1092,""),"")</f>
        <v/>
      </c>
      <c r="B1092" s="1003">
        <f t="shared" si="172"/>
        <v>3</v>
      </c>
      <c r="C1092" s="80">
        <v>42444</v>
      </c>
      <c r="D1092" s="1134" t="s">
        <v>705</v>
      </c>
      <c r="E1092" s="80">
        <v>42444</v>
      </c>
      <c r="F1092" s="73" t="s">
        <v>1215</v>
      </c>
      <c r="G1092" s="81" t="s">
        <v>919</v>
      </c>
      <c r="H1092" s="82"/>
      <c r="I1092" s="437"/>
      <c r="J1092" s="437"/>
      <c r="K1092" s="428"/>
      <c r="L1092" s="437"/>
      <c r="M1092" s="83">
        <v>8232420</v>
      </c>
      <c r="N1092" s="84" t="s">
        <v>595</v>
      </c>
      <c r="O1092" s="66" t="s">
        <v>26</v>
      </c>
      <c r="P1092" s="84" t="str">
        <f>IF(AND('331-CT'!$E$7=TH!H1092,OR(N1092="331",O1092="331")),"x","")</f>
        <v/>
      </c>
      <c r="Q1092" s="84" t="str">
        <f>IF(AND(B1092='111'!$L$11,OR($N1092=$Q$7,$O1092=$Q$7)),"x","")</f>
        <v/>
      </c>
      <c r="R1092" s="84" t="str">
        <f>IF(AND($N1092=$Q$7,$B1092&lt;'111'!$L$11),"x","")</f>
        <v/>
      </c>
      <c r="S1092" s="84" t="str">
        <f>IF(AND($O1092=$Q$7,$B1092&lt;'111'!$L$11),"x","")</f>
        <v/>
      </c>
      <c r="T1092" s="84" t="str">
        <f>IF(ISERROR(FIND('112'!$M$9,G1092,1)),"",IF((AND(FIND('112'!$M$9,G1092,1)&gt;=1,B1092='112'!$K$9,OR($N1092='112'!$I$6,$O1092='112'!$I$6))),"x",""))</f>
        <v/>
      </c>
      <c r="U1092" s="84" t="str">
        <f>IF(ISERROR(FIND('112'!$M$9,G1092,1)),"",IF((AND(LEFT(G1092,2)=LEFT('112'!$M$9,2),B1092&lt;'112'!$K$9,$N1092='112'!$I$6)),"x",""))</f>
        <v/>
      </c>
      <c r="V1092" s="84" t="str">
        <f>IF(ISERROR(FIND('112'!$M$9,G1092,1)),"",IF((AND(RIGHT(G1092,2)=RIGHT('112'!$M$9,2),B1092&lt;'112'!$K$9,$O1092='112'!$I$6)),"x",""))</f>
        <v>x</v>
      </c>
      <c r="W1092" s="84" t="str">
        <f>IF(AND('341-CT'!$H$9=H1092,OR(LEFT(N1092,3)=$W$7,LEFT(O1092,3)=$W$7)),"x","")</f>
        <v/>
      </c>
      <c r="X1092" s="84" t="str">
        <f>IF(OR(TH!N1092=TH!$X$7,O1092=TH!$X$7),"x","")</f>
        <v/>
      </c>
      <c r="Y1092" s="84" t="str">
        <f>IF(AND(OR(N1092="131",O1092="131"),H1092='131-CT'!$H$9),"x","")</f>
        <v/>
      </c>
      <c r="Z1092" s="84"/>
      <c r="AA1092" s="84" t="str">
        <f>IF(AND(MONTH(E1092)='IN-NX'!$J$5,'IN-NX'!$D$7=D1092),"x","")</f>
        <v/>
      </c>
      <c r="AB1092" s="84" t="str">
        <f>IF(AND(OR(LEFT(TH!N1092,2)="15",LEFT(TH!O1092,2)="15"),LEFT(TH!O1092,3)&lt;&gt;"111",'152-CT'!$J$8=TH!F1092),"x","")</f>
        <v/>
      </c>
      <c r="AC1092" s="84" t="str">
        <f>IF(AND(OR(LEFT(TH!N1092,2)="15",LEFT(TH!O1092,2)="15"),TK!$E$7=TH!F1092),"x","")</f>
        <v/>
      </c>
      <c r="AD1092" s="84" t="str">
        <f>IF(AND(N1092="1521",MONTH(C1092)='BK-NL'!$M$11),"x","")</f>
        <v/>
      </c>
    </row>
    <row r="1093" spans="1:31" s="347" customFormat="1" ht="15.75" hidden="1" customHeight="1">
      <c r="A1093" s="336" t="str">
        <f>IF(B1093&lt;&gt;"",IF(AND(B1093='IN-TC'!$S$4,OR(TH!N1093="1111",TH!O1093="1111")),TH!D1093,""),"")</f>
        <v/>
      </c>
      <c r="B1093" s="63">
        <f t="shared" si="172"/>
        <v>3</v>
      </c>
      <c r="C1093" s="64">
        <v>42444</v>
      </c>
      <c r="D1093" s="318" t="s">
        <v>705</v>
      </c>
      <c r="E1093" s="64">
        <v>42444</v>
      </c>
      <c r="F1093" s="73" t="s">
        <v>1199</v>
      </c>
      <c r="G1093" s="67" t="s">
        <v>919</v>
      </c>
      <c r="H1093" s="73"/>
      <c r="I1093" s="439"/>
      <c r="J1093" s="439"/>
      <c r="K1093" s="430"/>
      <c r="L1093" s="439"/>
      <c r="M1093" s="65">
        <v>50000</v>
      </c>
      <c r="N1093" s="66" t="s">
        <v>101</v>
      </c>
      <c r="O1093" s="66" t="s">
        <v>26</v>
      </c>
      <c r="P1093" s="84" t="str">
        <f>IF(AND('331-CT'!$E$7=TH!H1093,OR(N1093="331",O1093="331")),"x","")</f>
        <v/>
      </c>
      <c r="Q1093" s="84" t="str">
        <f>IF(AND(B1093='111'!$L$11,OR($N1093=$Q$7,$O1093=$Q$7)),"x","")</f>
        <v/>
      </c>
      <c r="R1093" s="84" t="str">
        <f>IF(AND($N1093=$Q$7,$B1093&lt;'111'!$L$11),"x","")</f>
        <v/>
      </c>
      <c r="S1093" s="84" t="str">
        <f>IF(AND($O1093=$Q$7,$B1093&lt;'111'!$L$11),"x","")</f>
        <v/>
      </c>
      <c r="T1093" s="84" t="str">
        <f>IF(ISERROR(FIND('112'!$M$9,G1093,1)),"",IF((AND(FIND('112'!$M$9,G1093,1)&gt;=1,B1093='112'!$K$9,OR($N1093='112'!$I$6,$O1093='112'!$I$6))),"x",""))</f>
        <v/>
      </c>
      <c r="U1093" s="84" t="str">
        <f>IF(ISERROR(FIND('112'!$M$9,G1093,1)),"",IF((AND(LEFT(G1093,2)=LEFT('112'!$M$9,2),B1093&lt;'112'!$K$9,$N1093='112'!$I$6)),"x",""))</f>
        <v/>
      </c>
      <c r="V1093" s="84" t="str">
        <f>IF(ISERROR(FIND('112'!$M$9,G1093,1)),"",IF((AND(RIGHT(G1093,2)=RIGHT('112'!$M$9,2),B1093&lt;'112'!$K$9,$O1093='112'!$I$6)),"x",""))</f>
        <v>x</v>
      </c>
      <c r="W1093" s="84" t="str">
        <f>IF(AND('341-CT'!$H$9=H1093,OR(LEFT(N1093,3)=$W$7,LEFT(O1093,3)=$W$7)),"x","")</f>
        <v/>
      </c>
      <c r="X1093" s="84" t="str">
        <f>IF(OR(TH!N1093=TH!$X$7,O1093=TH!$X$7),"x","")</f>
        <v/>
      </c>
      <c r="Y1093" s="84" t="str">
        <f>IF(AND(OR(N1093="131",O1093="131"),H1093='131-CT'!$H$9),"x","")</f>
        <v/>
      </c>
      <c r="Z1093" s="84"/>
      <c r="AA1093" s="84" t="str">
        <f>IF(AND(MONTH(E1093)='IN-NX'!$J$5,'IN-NX'!$D$7=D1093),"x","")</f>
        <v/>
      </c>
      <c r="AB1093" s="84" t="str">
        <f>IF(AND(OR(LEFT(TH!N1093,2)="15",LEFT(TH!O1093,2)="15"),LEFT(TH!O1093,3)&lt;&gt;"111",'152-CT'!$J$8=TH!F1093),"x","")</f>
        <v/>
      </c>
      <c r="AC1093" s="84" t="str">
        <f>IF(AND(OR(LEFT(TH!N1093,2)="15",LEFT(TH!O1093,2)="15"),TK!$E$7=TH!F1093),"x","")</f>
        <v/>
      </c>
      <c r="AD1093" s="84" t="str">
        <f>IF(AND(N1093="1521",MONTH(C1093)='BK-NL'!$M$11),"x","")</f>
        <v/>
      </c>
      <c r="AE1093" s="330"/>
    </row>
    <row r="1094" spans="1:31" s="351" customFormat="1" ht="15.75" hidden="1" customHeight="1">
      <c r="A1094" s="336" t="str">
        <f>IF(B1094&lt;&gt;"",IF(AND(B1094='IN-TC'!$S$4,OR(TH!N1094="1111",TH!O1094="1111")),TH!D1094,""),"")</f>
        <v/>
      </c>
      <c r="B1094" s="63">
        <f t="shared" si="172"/>
        <v>3</v>
      </c>
      <c r="C1094" s="64">
        <v>42444</v>
      </c>
      <c r="D1094" s="318" t="s">
        <v>705</v>
      </c>
      <c r="E1094" s="64">
        <v>42444</v>
      </c>
      <c r="F1094" s="73" t="s">
        <v>1200</v>
      </c>
      <c r="G1094" s="67" t="s">
        <v>919</v>
      </c>
      <c r="H1094" s="344"/>
      <c r="I1094" s="439"/>
      <c r="J1094" s="439"/>
      <c r="K1094" s="430"/>
      <c r="L1094" s="439"/>
      <c r="M1094" s="65">
        <v>5000</v>
      </c>
      <c r="N1094" s="66" t="s">
        <v>9</v>
      </c>
      <c r="O1094" s="66" t="s">
        <v>26</v>
      </c>
      <c r="P1094" s="84" t="str">
        <f>IF(AND('331-CT'!$E$7=TH!H1094,OR(N1094="331",O1094="331")),"x","")</f>
        <v/>
      </c>
      <c r="Q1094" s="84" t="str">
        <f>IF(AND(B1094='111'!$L$11,OR($N1094=$Q$7,$O1094=$Q$7)),"x","")</f>
        <v/>
      </c>
      <c r="R1094" s="84" t="str">
        <f>IF(AND($N1094=$Q$7,$B1094&lt;'111'!$L$11),"x","")</f>
        <v/>
      </c>
      <c r="S1094" s="84" t="str">
        <f>IF(AND($O1094=$Q$7,$B1094&lt;'111'!$L$11),"x","")</f>
        <v/>
      </c>
      <c r="T1094" s="84" t="str">
        <f>IF(ISERROR(FIND('112'!$M$9,G1094,1)),"",IF((AND(FIND('112'!$M$9,G1094,1)&gt;=1,B1094='112'!$K$9,OR($N1094='112'!$I$6,$O1094='112'!$I$6))),"x",""))</f>
        <v/>
      </c>
      <c r="U1094" s="84" t="str">
        <f>IF(ISERROR(FIND('112'!$M$9,G1094,1)),"",IF((AND(LEFT(G1094,2)=LEFT('112'!$M$9,2),B1094&lt;'112'!$K$9,$N1094='112'!$I$6)),"x",""))</f>
        <v/>
      </c>
      <c r="V1094" s="84" t="str">
        <f>IF(ISERROR(FIND('112'!$M$9,G1094,1)),"",IF((AND(RIGHT(G1094,2)=RIGHT('112'!$M$9,2),B1094&lt;'112'!$K$9,$O1094='112'!$I$6)),"x",""))</f>
        <v>x</v>
      </c>
      <c r="W1094" s="84" t="str">
        <f>IF(AND('341-CT'!$H$9=H1094,OR(LEFT(N1094,3)=$W$7,LEFT(O1094,3)=$W$7)),"x","")</f>
        <v/>
      </c>
      <c r="X1094" s="84" t="str">
        <f>IF(OR(TH!N1094=TH!$X$7,O1094=TH!$X$7),"x","")</f>
        <v/>
      </c>
      <c r="Y1094" s="84" t="str">
        <f>IF(AND(OR(N1094="131",O1094="131"),H1094='131-CT'!$H$9),"x","")</f>
        <v/>
      </c>
      <c r="Z1094" s="84"/>
      <c r="AA1094" s="84" t="str">
        <f>IF(AND(MONTH(E1094)='IN-NX'!$J$5,'IN-NX'!$D$7=D1094),"x","")</f>
        <v/>
      </c>
      <c r="AB1094" s="84" t="str">
        <f>IF(AND(OR(LEFT(TH!N1094,2)="15",LEFT(TH!O1094,2)="15"),LEFT(TH!O1094,3)&lt;&gt;"111",'152-CT'!$J$8=TH!F1094),"x","")</f>
        <v/>
      </c>
      <c r="AC1094" s="84" t="str">
        <f>IF(AND(OR(LEFT(TH!N1094,2)="15",LEFT(TH!O1094,2)="15"),TK!$E$7=TH!F1094),"x","")</f>
        <v/>
      </c>
      <c r="AD1094" s="84" t="str">
        <f>IF(AND(N1094="1521",MONTH(C1094)='BK-NL'!$M$11),"x","")</f>
        <v/>
      </c>
      <c r="AE1094" s="330"/>
    </row>
    <row r="1095" spans="1:31" ht="15.75" hidden="1" customHeight="1">
      <c r="A1095" s="336" t="str">
        <f>IF(B1095&lt;&gt;"",IF(AND(B1095='IN-TC'!$S$4,OR(TH!N1095="1111",TH!O1095="1111")),TH!D1095,""),"")</f>
        <v/>
      </c>
      <c r="B1095" s="63">
        <f t="shared" si="172"/>
        <v>3</v>
      </c>
      <c r="C1095" s="64">
        <v>42444</v>
      </c>
      <c r="D1095" s="318" t="s">
        <v>705</v>
      </c>
      <c r="E1095" s="64">
        <v>42444</v>
      </c>
      <c r="F1095" s="73" t="s">
        <v>1212</v>
      </c>
      <c r="G1095" s="67" t="s">
        <v>919</v>
      </c>
      <c r="H1095" s="73" t="s">
        <v>1423</v>
      </c>
      <c r="I1095" s="439"/>
      <c r="J1095" s="439"/>
      <c r="K1095" s="430"/>
      <c r="L1095" s="439"/>
      <c r="M1095" s="65">
        <v>38500000</v>
      </c>
      <c r="N1095" s="66" t="s">
        <v>8</v>
      </c>
      <c r="O1095" s="66" t="s">
        <v>26</v>
      </c>
      <c r="P1095" s="84" t="str">
        <f>IF(AND('331-CT'!$E$7=TH!H1095,OR(N1095="331",O1095="331")),"x","")</f>
        <v/>
      </c>
      <c r="Q1095" s="84" t="str">
        <f>IF(AND(B1095='111'!$L$11,OR($N1095=$Q$7,$O1095=$Q$7)),"x","")</f>
        <v/>
      </c>
      <c r="R1095" s="84" t="str">
        <f>IF(AND($N1095=$Q$7,$B1095&lt;'111'!$L$11),"x","")</f>
        <v/>
      </c>
      <c r="S1095" s="84" t="str">
        <f>IF(AND($O1095=$Q$7,$B1095&lt;'111'!$L$11),"x","")</f>
        <v/>
      </c>
      <c r="T1095" s="84" t="str">
        <f>IF(ISERROR(FIND('112'!$M$9,G1095,1)),"",IF((AND(FIND('112'!$M$9,G1095,1)&gt;=1,B1095='112'!$K$9,OR($N1095='112'!$I$6,$O1095='112'!$I$6))),"x",""))</f>
        <v/>
      </c>
      <c r="U1095" s="84" t="str">
        <f>IF(ISERROR(FIND('112'!$M$9,G1095,1)),"",IF((AND(LEFT(G1095,2)=LEFT('112'!$M$9,2),B1095&lt;'112'!$K$9,$N1095='112'!$I$6)),"x",""))</f>
        <v/>
      </c>
      <c r="V1095" s="84" t="str">
        <f>IF(ISERROR(FIND('112'!$M$9,G1095,1)),"",IF((AND(RIGHT(G1095,2)=RIGHT('112'!$M$9,2),B1095&lt;'112'!$K$9,$O1095='112'!$I$6)),"x",""))</f>
        <v>x</v>
      </c>
      <c r="W1095" s="84" t="str">
        <f>IF(AND('341-CT'!$H$9=H1095,OR(LEFT(N1095,3)=$W$7,LEFT(O1095,3)=$W$7)),"x","")</f>
        <v/>
      </c>
      <c r="X1095" s="84" t="str">
        <f>IF(OR(TH!N1095=TH!$X$7,O1095=TH!$X$7),"x","")</f>
        <v/>
      </c>
      <c r="Y1095" s="84" t="str">
        <f>IF(AND(OR(N1095="131",O1095="131"),H1095='131-CT'!$H$9),"x","")</f>
        <v/>
      </c>
      <c r="Z1095" s="84"/>
      <c r="AA1095" s="84" t="str">
        <f>IF(AND(MONTH(E1095)='IN-NX'!$J$5,'IN-NX'!$D$7=D1095),"x","")</f>
        <v/>
      </c>
      <c r="AB1095" s="84" t="str">
        <f>IF(AND(OR(LEFT(TH!N1095,2)="15",LEFT(TH!O1095,2)="15"),LEFT(TH!O1095,3)&lt;&gt;"111",'152-CT'!$J$8=TH!F1095),"x","")</f>
        <v/>
      </c>
      <c r="AC1095" s="84" t="str">
        <f>IF(AND(OR(LEFT(TH!N1095,2)="15",LEFT(TH!O1095,2)="15"),TK!$E$7=TH!F1095),"x","")</f>
        <v/>
      </c>
      <c r="AD1095" s="84" t="str">
        <f>IF(AND(N1095="1521",MONTH(C1095)='BK-NL'!$M$11),"x","")</f>
        <v/>
      </c>
      <c r="AE1095" s="1146" t="str">
        <f>IF(H1095&lt;&gt;VLOOKUP(H1095,DSKH,1,0),"","x")</f>
        <v>x</v>
      </c>
    </row>
    <row r="1096" spans="1:31" ht="15.75" hidden="1" customHeight="1">
      <c r="A1096" s="336" t="str">
        <f>IF(B1096&lt;&gt;"",IF(AND(B1096='IN-TC'!$S$4,OR(TH!N1096="1111",TH!O1096="1111")),TH!D1096,""),"")</f>
        <v/>
      </c>
      <c r="B1096" s="63">
        <f t="shared" si="172"/>
        <v>3</v>
      </c>
      <c r="C1096" s="64">
        <v>42444</v>
      </c>
      <c r="D1096" s="318" t="s">
        <v>705</v>
      </c>
      <c r="E1096" s="64">
        <v>42444</v>
      </c>
      <c r="F1096" s="73" t="s">
        <v>1199</v>
      </c>
      <c r="G1096" s="67" t="s">
        <v>919</v>
      </c>
      <c r="H1096" s="73"/>
      <c r="I1096" s="439"/>
      <c r="J1096" s="439"/>
      <c r="K1096" s="430"/>
      <c r="L1096" s="439"/>
      <c r="M1096" s="65">
        <v>20000</v>
      </c>
      <c r="N1096" s="66" t="s">
        <v>101</v>
      </c>
      <c r="O1096" s="66" t="s">
        <v>26</v>
      </c>
      <c r="P1096" s="84" t="str">
        <f>IF(AND('331-CT'!$E$7=TH!H1096,OR(N1096="331",O1096="331")),"x","")</f>
        <v/>
      </c>
      <c r="Q1096" s="84" t="str">
        <f>IF(AND(B1096='111'!$L$11,OR($N1096=$Q$7,$O1096=$Q$7)),"x","")</f>
        <v/>
      </c>
      <c r="R1096" s="84" t="str">
        <f>IF(AND($N1096=$Q$7,$B1096&lt;'111'!$L$11),"x","")</f>
        <v/>
      </c>
      <c r="S1096" s="84" t="str">
        <f>IF(AND($O1096=$Q$7,$B1096&lt;'111'!$L$11),"x","")</f>
        <v/>
      </c>
      <c r="T1096" s="84" t="str">
        <f>IF(ISERROR(FIND('112'!$M$9,G1096,1)),"",IF((AND(FIND('112'!$M$9,G1096,1)&gt;=1,B1096='112'!$K$9,OR($N1096='112'!$I$6,$O1096='112'!$I$6))),"x",""))</f>
        <v/>
      </c>
      <c r="U1096" s="84" t="str">
        <f>IF(ISERROR(FIND('112'!$M$9,G1096,1)),"",IF((AND(LEFT(G1096,2)=LEFT('112'!$M$9,2),B1096&lt;'112'!$K$9,$N1096='112'!$I$6)),"x",""))</f>
        <v/>
      </c>
      <c r="V1096" s="84" t="str">
        <f>IF(ISERROR(FIND('112'!$M$9,G1096,1)),"",IF((AND(RIGHT(G1096,2)=RIGHT('112'!$M$9,2),B1096&lt;'112'!$K$9,$O1096='112'!$I$6)),"x",""))</f>
        <v>x</v>
      </c>
      <c r="W1096" s="84" t="str">
        <f>IF(AND('341-CT'!$H$9=H1096,OR(LEFT(N1096,3)=$W$7,LEFT(O1096,3)=$W$7)),"x","")</f>
        <v/>
      </c>
      <c r="X1096" s="84" t="str">
        <f>IF(OR(TH!N1096=TH!$X$7,O1096=TH!$X$7),"x","")</f>
        <v/>
      </c>
      <c r="Y1096" s="84" t="str">
        <f>IF(AND(OR(N1096="131",O1096="131"),H1096='131-CT'!$H$9),"x","")</f>
        <v/>
      </c>
      <c r="Z1096" s="84"/>
      <c r="AA1096" s="84" t="str">
        <f>IF(AND(MONTH(E1096)='IN-NX'!$J$5,'IN-NX'!$D$7=D1096),"x","")</f>
        <v/>
      </c>
      <c r="AB1096" s="84" t="str">
        <f>IF(AND(OR(LEFT(TH!N1096,2)="15",LEFT(TH!O1096,2)="15"),LEFT(TH!O1096,3)&lt;&gt;"111",'152-CT'!$J$8=TH!F1096),"x","")</f>
        <v/>
      </c>
      <c r="AC1096" s="84" t="str">
        <f>IF(AND(OR(LEFT(TH!N1096,2)="15",LEFT(TH!O1096,2)="15"),TK!$E$7=TH!F1096),"x","")</f>
        <v/>
      </c>
      <c r="AD1096" s="84" t="str">
        <f>IF(AND(N1096="1521",MONTH(C1096)='BK-NL'!$M$11),"x","")</f>
        <v/>
      </c>
    </row>
    <row r="1097" spans="1:31" ht="15.75" hidden="1" customHeight="1">
      <c r="A1097" s="336" t="str">
        <f>IF(B1097&lt;&gt;"",IF(AND(B1097='IN-TC'!$S$4,OR(TH!N1097="1111",TH!O1097="1111")),TH!D1097,""),"")</f>
        <v/>
      </c>
      <c r="B1097" s="63">
        <f t="shared" si="172"/>
        <v>3</v>
      </c>
      <c r="C1097" s="64">
        <v>42444</v>
      </c>
      <c r="D1097" s="318" t="s">
        <v>705</v>
      </c>
      <c r="E1097" s="64">
        <v>42444</v>
      </c>
      <c r="F1097" s="73" t="s">
        <v>1200</v>
      </c>
      <c r="G1097" s="67" t="s">
        <v>919</v>
      </c>
      <c r="H1097" s="76"/>
      <c r="I1097" s="439"/>
      <c r="J1097" s="439"/>
      <c r="K1097" s="430"/>
      <c r="L1097" s="439"/>
      <c r="M1097" s="65">
        <v>2000</v>
      </c>
      <c r="N1097" s="66" t="s">
        <v>9</v>
      </c>
      <c r="O1097" s="66" t="s">
        <v>26</v>
      </c>
      <c r="P1097" s="84" t="str">
        <f>IF(AND('331-CT'!$E$7=TH!H1097,OR(N1097="331",O1097="331")),"x","")</f>
        <v/>
      </c>
      <c r="Q1097" s="84" t="str">
        <f>IF(AND(B1097='111'!$L$11,OR($N1097=$Q$7,$O1097=$Q$7)),"x","")</f>
        <v/>
      </c>
      <c r="R1097" s="84" t="str">
        <f>IF(AND($N1097=$Q$7,$B1097&lt;'111'!$L$11),"x","")</f>
        <v/>
      </c>
      <c r="S1097" s="84" t="str">
        <f>IF(AND($O1097=$Q$7,$B1097&lt;'111'!$L$11),"x","")</f>
        <v/>
      </c>
      <c r="T1097" s="84" t="str">
        <f>IF(ISERROR(FIND('112'!$M$9,G1097,1)),"",IF((AND(FIND('112'!$M$9,G1097,1)&gt;=1,B1097='112'!$K$9,OR($N1097='112'!$I$6,$O1097='112'!$I$6))),"x",""))</f>
        <v/>
      </c>
      <c r="U1097" s="84" t="str">
        <f>IF(ISERROR(FIND('112'!$M$9,G1097,1)),"",IF((AND(LEFT(G1097,2)=LEFT('112'!$M$9,2),B1097&lt;'112'!$K$9,$N1097='112'!$I$6)),"x",""))</f>
        <v/>
      </c>
      <c r="V1097" s="84" t="str">
        <f>IF(ISERROR(FIND('112'!$M$9,G1097,1)),"",IF((AND(RIGHT(G1097,2)=RIGHT('112'!$M$9,2),B1097&lt;'112'!$K$9,$O1097='112'!$I$6)),"x",""))</f>
        <v>x</v>
      </c>
      <c r="W1097" s="84" t="str">
        <f>IF(AND('341-CT'!$H$9=H1097,OR(LEFT(N1097,3)=$W$7,LEFT(O1097,3)=$W$7)),"x","")</f>
        <v/>
      </c>
      <c r="X1097" s="84" t="str">
        <f>IF(OR(TH!N1097=TH!$X$7,O1097=TH!$X$7),"x","")</f>
        <v/>
      </c>
      <c r="Y1097" s="84" t="str">
        <f>IF(AND(OR(N1097="131",O1097="131"),H1097='131-CT'!$H$9),"x","")</f>
        <v/>
      </c>
      <c r="Z1097" s="84"/>
      <c r="AA1097" s="84" t="str">
        <f>IF(AND(MONTH(E1097)='IN-NX'!$J$5,'IN-NX'!$D$7=D1097),"x","")</f>
        <v/>
      </c>
      <c r="AB1097" s="84" t="str">
        <f>IF(AND(OR(LEFT(TH!N1097,2)="15",LEFT(TH!O1097,2)="15"),LEFT(TH!O1097,3)&lt;&gt;"111",'152-CT'!$J$8=TH!F1097),"x","")</f>
        <v/>
      </c>
      <c r="AC1097" s="84" t="str">
        <f>IF(AND(OR(LEFT(TH!N1097,2)="15",LEFT(TH!O1097,2)="15"),TK!$E$7=TH!F1097),"x","")</f>
        <v/>
      </c>
      <c r="AD1097" s="84" t="str">
        <f>IF(AND(N1097="1521",MONTH(C1097)='BK-NL'!$M$11),"x","")</f>
        <v/>
      </c>
    </row>
    <row r="1098" spans="1:31" ht="15.75" hidden="1" customHeight="1">
      <c r="A1098" s="336" t="str">
        <f>IF(B1098&lt;&gt;"",IF(AND(B1098='IN-TC'!$S$4,OR(TH!N1098="1111",TH!O1098="1111")),TH!D1098,""),"")</f>
        <v/>
      </c>
      <c r="B1098" s="63">
        <f t="shared" si="172"/>
        <v>3</v>
      </c>
      <c r="C1098" s="64">
        <v>42444</v>
      </c>
      <c r="D1098" s="318" t="s">
        <v>705</v>
      </c>
      <c r="E1098" s="64">
        <v>42444</v>
      </c>
      <c r="F1098" s="73" t="s">
        <v>1216</v>
      </c>
      <c r="G1098" s="67" t="s">
        <v>919</v>
      </c>
      <c r="H1098" s="73" t="s">
        <v>626</v>
      </c>
      <c r="I1098" s="439"/>
      <c r="J1098" s="439"/>
      <c r="K1098" s="430"/>
      <c r="L1098" s="439"/>
      <c r="M1098" s="65">
        <v>50000000</v>
      </c>
      <c r="N1098" s="66" t="s">
        <v>8</v>
      </c>
      <c r="O1098" s="66" t="s">
        <v>26</v>
      </c>
      <c r="P1098" s="84" t="str">
        <f>IF(AND('331-CT'!$E$7=TH!H1098,OR(N1098="331",O1098="331")),"x","")</f>
        <v/>
      </c>
      <c r="Q1098" s="84" t="str">
        <f>IF(AND(B1098='111'!$L$11,OR($N1098=$Q$7,$O1098=$Q$7)),"x","")</f>
        <v/>
      </c>
      <c r="R1098" s="84" t="str">
        <f>IF(AND($N1098=$Q$7,$B1098&lt;'111'!$L$11),"x","")</f>
        <v/>
      </c>
      <c r="S1098" s="84" t="str">
        <f>IF(AND($O1098=$Q$7,$B1098&lt;'111'!$L$11),"x","")</f>
        <v/>
      </c>
      <c r="T1098" s="84" t="str">
        <f>IF(ISERROR(FIND('112'!$M$9,G1098,1)),"",IF((AND(FIND('112'!$M$9,G1098,1)&gt;=1,B1098='112'!$K$9,OR($N1098='112'!$I$6,$O1098='112'!$I$6))),"x",""))</f>
        <v/>
      </c>
      <c r="U1098" s="84" t="str">
        <f>IF(ISERROR(FIND('112'!$M$9,G1098,1)),"",IF((AND(LEFT(G1098,2)=LEFT('112'!$M$9,2),B1098&lt;'112'!$K$9,$N1098='112'!$I$6)),"x",""))</f>
        <v/>
      </c>
      <c r="V1098" s="84" t="str">
        <f>IF(ISERROR(FIND('112'!$M$9,G1098,1)),"",IF((AND(RIGHT(G1098,2)=RIGHT('112'!$M$9,2),B1098&lt;'112'!$K$9,$O1098='112'!$I$6)),"x",""))</f>
        <v>x</v>
      </c>
      <c r="W1098" s="84" t="str">
        <f>IF(AND('341-CT'!$H$9=H1098,OR(LEFT(N1098,3)=$W$7,LEFT(O1098,3)=$W$7)),"x","")</f>
        <v/>
      </c>
      <c r="X1098" s="84" t="str">
        <f>IF(OR(TH!N1098=TH!$X$7,O1098=TH!$X$7),"x","")</f>
        <v/>
      </c>
      <c r="Y1098" s="84" t="str">
        <f>IF(AND(OR(N1098="131",O1098="131"),H1098='131-CT'!$H$9),"x","")</f>
        <v/>
      </c>
      <c r="Z1098" s="84"/>
      <c r="AA1098" s="84" t="str">
        <f>IF(AND(MONTH(E1098)='IN-NX'!$J$5,'IN-NX'!$D$7=D1098),"x","")</f>
        <v/>
      </c>
      <c r="AB1098" s="84" t="str">
        <f>IF(AND(OR(LEFT(TH!N1098,2)="15",LEFT(TH!O1098,2)="15"),LEFT(TH!O1098,3)&lt;&gt;"111",'152-CT'!$J$8=TH!F1098),"x","")</f>
        <v/>
      </c>
      <c r="AC1098" s="84" t="str">
        <f>IF(AND(OR(LEFT(TH!N1098,2)="15",LEFT(TH!O1098,2)="15"),TK!$E$7=TH!F1098),"x","")</f>
        <v/>
      </c>
      <c r="AD1098" s="84" t="str">
        <f>IF(AND(N1098="1521",MONTH(C1098)='BK-NL'!$M$11),"x","")</f>
        <v/>
      </c>
      <c r="AE1098" s="1146" t="str">
        <f>IF(H1098&lt;&gt;VLOOKUP(H1098,DSKH,1,0),"","x")</f>
        <v>x</v>
      </c>
    </row>
    <row r="1099" spans="1:31" ht="15.75" hidden="1" customHeight="1">
      <c r="A1099" s="336" t="str">
        <f>IF(B1099&lt;&gt;"",IF(AND(B1099='IN-TC'!$S$4,OR(TH!N1099="1111",TH!O1099="1111")),TH!D1099,""),"")</f>
        <v/>
      </c>
      <c r="B1099" s="63">
        <f t="shared" si="172"/>
        <v>3</v>
      </c>
      <c r="C1099" s="64">
        <v>42444</v>
      </c>
      <c r="D1099" s="318" t="s">
        <v>705</v>
      </c>
      <c r="E1099" s="64">
        <v>42444</v>
      </c>
      <c r="F1099" s="73" t="s">
        <v>1199</v>
      </c>
      <c r="G1099" s="67" t="s">
        <v>919</v>
      </c>
      <c r="H1099" s="73"/>
      <c r="I1099" s="439"/>
      <c r="J1099" s="439"/>
      <c r="K1099" s="430"/>
      <c r="L1099" s="439"/>
      <c r="M1099" s="65">
        <v>20000</v>
      </c>
      <c r="N1099" s="66" t="s">
        <v>101</v>
      </c>
      <c r="O1099" s="66" t="s">
        <v>26</v>
      </c>
      <c r="P1099" s="84" t="str">
        <f>IF(AND('331-CT'!$E$7=TH!H1099,OR(N1099="331",O1099="331")),"x","")</f>
        <v/>
      </c>
      <c r="Q1099" s="84" t="str">
        <f>IF(AND(B1099='111'!$L$11,OR($N1099=$Q$7,$O1099=$Q$7)),"x","")</f>
        <v/>
      </c>
      <c r="R1099" s="84" t="str">
        <f>IF(AND($N1099=$Q$7,$B1099&lt;'111'!$L$11),"x","")</f>
        <v/>
      </c>
      <c r="S1099" s="84" t="str">
        <f>IF(AND($O1099=$Q$7,$B1099&lt;'111'!$L$11),"x","")</f>
        <v/>
      </c>
      <c r="T1099" s="84" t="str">
        <f>IF(ISERROR(FIND('112'!$M$9,G1099,1)),"",IF((AND(FIND('112'!$M$9,G1099,1)&gt;=1,B1099='112'!$K$9,OR($N1099='112'!$I$6,$O1099='112'!$I$6))),"x",""))</f>
        <v/>
      </c>
      <c r="U1099" s="84" t="str">
        <f>IF(ISERROR(FIND('112'!$M$9,G1099,1)),"",IF((AND(LEFT(G1099,2)=LEFT('112'!$M$9,2),B1099&lt;'112'!$K$9,$N1099='112'!$I$6)),"x",""))</f>
        <v/>
      </c>
      <c r="V1099" s="84" t="str">
        <f>IF(ISERROR(FIND('112'!$M$9,G1099,1)),"",IF((AND(RIGHT(G1099,2)=RIGHT('112'!$M$9,2),B1099&lt;'112'!$K$9,$O1099='112'!$I$6)),"x",""))</f>
        <v>x</v>
      </c>
      <c r="W1099" s="84" t="str">
        <f>IF(AND('341-CT'!$H$9=H1099,OR(LEFT(N1099,3)=$W$7,LEFT(O1099,3)=$W$7)),"x","")</f>
        <v/>
      </c>
      <c r="X1099" s="84" t="str">
        <f>IF(OR(TH!N1099=TH!$X$7,O1099=TH!$X$7),"x","")</f>
        <v/>
      </c>
      <c r="Y1099" s="84" t="str">
        <f>IF(AND(OR(N1099="131",O1099="131"),H1099='131-CT'!$H$9),"x","")</f>
        <v/>
      </c>
      <c r="Z1099" s="84"/>
      <c r="AA1099" s="84" t="str">
        <f>IF(AND(MONTH(E1099)='IN-NX'!$J$5,'IN-NX'!$D$7=D1099),"x","")</f>
        <v/>
      </c>
      <c r="AB1099" s="84" t="str">
        <f>IF(AND(OR(LEFT(TH!N1099,2)="15",LEFT(TH!O1099,2)="15"),LEFT(TH!O1099,3)&lt;&gt;"111",'152-CT'!$J$8=TH!F1099),"x","")</f>
        <v/>
      </c>
      <c r="AC1099" s="84" t="str">
        <f>IF(AND(OR(LEFT(TH!N1099,2)="15",LEFT(TH!O1099,2)="15"),TK!$E$7=TH!F1099),"x","")</f>
        <v/>
      </c>
      <c r="AD1099" s="84" t="str">
        <f>IF(AND(N1099="1521",MONTH(C1099)='BK-NL'!$M$11),"x","")</f>
        <v/>
      </c>
    </row>
    <row r="1100" spans="1:31" ht="15.75" hidden="1" customHeight="1">
      <c r="A1100" s="336" t="str">
        <f>IF(B1100&lt;&gt;"",IF(AND(B1100='IN-TC'!$S$4,OR(TH!N1100="1111",TH!O1100="1111")),TH!D1100,""),"")</f>
        <v/>
      </c>
      <c r="B1100" s="63">
        <f t="shared" ref="B1100:B1163" si="174">IF(C1100&lt;&gt;"",MONTH(C1100),"")</f>
        <v>3</v>
      </c>
      <c r="C1100" s="64">
        <v>42444</v>
      </c>
      <c r="D1100" s="318" t="s">
        <v>705</v>
      </c>
      <c r="E1100" s="64">
        <v>42444</v>
      </c>
      <c r="F1100" s="73" t="s">
        <v>1200</v>
      </c>
      <c r="G1100" s="67" t="s">
        <v>919</v>
      </c>
      <c r="H1100" s="344"/>
      <c r="I1100" s="439"/>
      <c r="J1100" s="439"/>
      <c r="K1100" s="430"/>
      <c r="L1100" s="439"/>
      <c r="M1100" s="65">
        <v>2000</v>
      </c>
      <c r="N1100" s="66" t="s">
        <v>9</v>
      </c>
      <c r="O1100" s="66" t="s">
        <v>26</v>
      </c>
      <c r="P1100" s="84" t="str">
        <f>IF(AND('331-CT'!$E$7=TH!H1100,OR(N1100="331",O1100="331")),"x","")</f>
        <v/>
      </c>
      <c r="Q1100" s="84" t="str">
        <f>IF(AND(B1100='111'!$L$11,OR($N1100=$Q$7,$O1100=$Q$7)),"x","")</f>
        <v/>
      </c>
      <c r="R1100" s="84" t="str">
        <f>IF(AND($N1100=$Q$7,$B1100&lt;'111'!$L$11),"x","")</f>
        <v/>
      </c>
      <c r="S1100" s="84" t="str">
        <f>IF(AND($O1100=$Q$7,$B1100&lt;'111'!$L$11),"x","")</f>
        <v/>
      </c>
      <c r="T1100" s="84" t="str">
        <f>IF(ISERROR(FIND('112'!$M$9,G1100,1)),"",IF((AND(FIND('112'!$M$9,G1100,1)&gt;=1,B1100='112'!$K$9,OR($N1100='112'!$I$6,$O1100='112'!$I$6))),"x",""))</f>
        <v/>
      </c>
      <c r="U1100" s="84" t="str">
        <f>IF(ISERROR(FIND('112'!$M$9,G1100,1)),"",IF((AND(LEFT(G1100,2)=LEFT('112'!$M$9,2),B1100&lt;'112'!$K$9,$N1100='112'!$I$6)),"x",""))</f>
        <v/>
      </c>
      <c r="V1100" s="84" t="str">
        <f>IF(ISERROR(FIND('112'!$M$9,G1100,1)),"",IF((AND(RIGHT(G1100,2)=RIGHT('112'!$M$9,2),B1100&lt;'112'!$K$9,$O1100='112'!$I$6)),"x",""))</f>
        <v>x</v>
      </c>
      <c r="W1100" s="84" t="str">
        <f>IF(AND('341-CT'!$H$9=H1100,OR(LEFT(N1100,3)=$W$7,LEFT(O1100,3)=$W$7)),"x","")</f>
        <v/>
      </c>
      <c r="X1100" s="84" t="str">
        <f>IF(OR(TH!N1100=TH!$X$7,O1100=TH!$X$7),"x","")</f>
        <v/>
      </c>
      <c r="Y1100" s="84" t="str">
        <f>IF(AND(OR(N1100="131",O1100="131"),H1100='131-CT'!$H$9),"x","")</f>
        <v/>
      </c>
      <c r="Z1100" s="84"/>
      <c r="AA1100" s="84" t="str">
        <f>IF(AND(MONTH(E1100)='IN-NX'!$J$5,'IN-NX'!$D$7=D1100),"x","")</f>
        <v/>
      </c>
      <c r="AB1100" s="84" t="str">
        <f>IF(AND(OR(LEFT(TH!N1100,2)="15",LEFT(TH!O1100,2)="15"),LEFT(TH!O1100,3)&lt;&gt;"111",'152-CT'!$J$8=TH!F1100),"x","")</f>
        <v/>
      </c>
      <c r="AC1100" s="84" t="str">
        <f>IF(AND(OR(LEFT(TH!N1100,2)="15",LEFT(TH!O1100,2)="15"),TK!$E$7=TH!F1100),"x","")</f>
        <v/>
      </c>
      <c r="AD1100" s="84" t="str">
        <f>IF(AND(N1100="1521",MONTH(C1100)='BK-NL'!$M$11),"x","")</f>
        <v/>
      </c>
    </row>
    <row r="1101" spans="1:31" ht="15.75" hidden="1" customHeight="1">
      <c r="A1101" s="336" t="str">
        <f>IF(B1101&lt;&gt;"",IF(AND(B1101='IN-TC'!$S$4,OR(TH!N1101="1111",TH!O1101="1111")),TH!D1101,""),"")</f>
        <v/>
      </c>
      <c r="B1101" s="63">
        <f t="shared" si="174"/>
        <v>3</v>
      </c>
      <c r="C1101" s="64">
        <v>42444</v>
      </c>
      <c r="D1101" s="318" t="s">
        <v>705</v>
      </c>
      <c r="E1101" s="64">
        <v>42444</v>
      </c>
      <c r="F1101" s="73" t="s">
        <v>1420</v>
      </c>
      <c r="G1101" s="67" t="s">
        <v>919</v>
      </c>
      <c r="H1101" s="73" t="s">
        <v>631</v>
      </c>
      <c r="I1101" s="439"/>
      <c r="J1101" s="439"/>
      <c r="K1101" s="430"/>
      <c r="L1101" s="439"/>
      <c r="M1101" s="65">
        <v>50000000</v>
      </c>
      <c r="N1101" s="66" t="s">
        <v>8</v>
      </c>
      <c r="O1101" s="66" t="s">
        <v>26</v>
      </c>
      <c r="P1101" s="84" t="str">
        <f>IF(AND('331-CT'!$E$7=TH!H1101,OR(N1101="331",O1101="331")),"x","")</f>
        <v/>
      </c>
      <c r="Q1101" s="84" t="str">
        <f>IF(AND(B1101='111'!$L$11,OR($N1101=$Q$7,$O1101=$Q$7)),"x","")</f>
        <v/>
      </c>
      <c r="R1101" s="84" t="str">
        <f>IF(AND($N1101=$Q$7,$B1101&lt;'111'!$L$11),"x","")</f>
        <v/>
      </c>
      <c r="S1101" s="84" t="str">
        <f>IF(AND($O1101=$Q$7,$B1101&lt;'111'!$L$11),"x","")</f>
        <v/>
      </c>
      <c r="T1101" s="84" t="str">
        <f>IF(ISERROR(FIND('112'!$M$9,G1101,1)),"",IF((AND(FIND('112'!$M$9,G1101,1)&gt;=1,B1101='112'!$K$9,OR($N1101='112'!$I$6,$O1101='112'!$I$6))),"x",""))</f>
        <v/>
      </c>
      <c r="U1101" s="84" t="str">
        <f>IF(ISERROR(FIND('112'!$M$9,G1101,1)),"",IF((AND(LEFT(G1101,2)=LEFT('112'!$M$9,2),B1101&lt;'112'!$K$9,$N1101='112'!$I$6)),"x",""))</f>
        <v/>
      </c>
      <c r="V1101" s="84" t="str">
        <f>IF(ISERROR(FIND('112'!$M$9,G1101,1)),"",IF((AND(RIGHT(G1101,2)=RIGHT('112'!$M$9,2),B1101&lt;'112'!$K$9,$O1101='112'!$I$6)),"x",""))</f>
        <v>x</v>
      </c>
      <c r="W1101" s="84" t="str">
        <f>IF(AND('341-CT'!$H$9=H1101,OR(LEFT(N1101,3)=$W$7,LEFT(O1101,3)=$W$7)),"x","")</f>
        <v/>
      </c>
      <c r="X1101" s="84" t="str">
        <f>IF(OR(TH!N1101=TH!$X$7,O1101=TH!$X$7),"x","")</f>
        <v/>
      </c>
      <c r="Y1101" s="84" t="str">
        <f>IF(AND(OR(N1101="131",O1101="131"),H1101='131-CT'!$H$9),"x","")</f>
        <v/>
      </c>
      <c r="Z1101" s="84"/>
      <c r="AA1101" s="84" t="str">
        <f>IF(AND(MONTH(E1101)='IN-NX'!$J$5,'IN-NX'!$D$7=D1101),"x","")</f>
        <v/>
      </c>
      <c r="AB1101" s="84" t="str">
        <f>IF(AND(OR(LEFT(TH!N1101,2)="15",LEFT(TH!O1101,2)="15"),LEFT(TH!O1101,3)&lt;&gt;"111",'152-CT'!$J$8=TH!F1101),"x","")</f>
        <v/>
      </c>
      <c r="AC1101" s="84" t="str">
        <f>IF(AND(OR(LEFT(TH!N1101,2)="15",LEFT(TH!O1101,2)="15"),TK!$E$7=TH!F1101),"x","")</f>
        <v/>
      </c>
      <c r="AD1101" s="84" t="str">
        <f>IF(AND(N1101="1521",MONTH(C1101)='BK-NL'!$M$11),"x","")</f>
        <v/>
      </c>
      <c r="AE1101" s="1146" t="str">
        <f>IF(H1101&lt;&gt;VLOOKUP(H1101,DSKH,1,0),"","x")</f>
        <v>x</v>
      </c>
    </row>
    <row r="1102" spans="1:31" ht="15.75" hidden="1" customHeight="1">
      <c r="A1102" s="336" t="str">
        <f>IF(B1102&lt;&gt;"",IF(AND(B1102='IN-TC'!$S$4,OR(TH!N1102="1111",TH!O1102="1111")),TH!D1102,""),"")</f>
        <v/>
      </c>
      <c r="B1102" s="63">
        <f t="shared" si="174"/>
        <v>3</v>
      </c>
      <c r="C1102" s="64">
        <v>42444</v>
      </c>
      <c r="D1102" s="318" t="s">
        <v>705</v>
      </c>
      <c r="E1102" s="64">
        <v>42444</v>
      </c>
      <c r="F1102" s="73" t="s">
        <v>1199</v>
      </c>
      <c r="G1102" s="67" t="s">
        <v>919</v>
      </c>
      <c r="H1102" s="73"/>
      <c r="I1102" s="439"/>
      <c r="J1102" s="439"/>
      <c r="K1102" s="430"/>
      <c r="L1102" s="439"/>
      <c r="M1102" s="65">
        <v>20000</v>
      </c>
      <c r="N1102" s="66" t="s">
        <v>101</v>
      </c>
      <c r="O1102" s="66" t="s">
        <v>26</v>
      </c>
      <c r="P1102" s="84" t="str">
        <f>IF(AND('331-CT'!$E$7=TH!H1102,OR(N1102="331",O1102="331")),"x","")</f>
        <v/>
      </c>
      <c r="Q1102" s="84" t="str">
        <f>IF(AND(B1102='111'!$L$11,OR($N1102=$Q$7,$O1102=$Q$7)),"x","")</f>
        <v/>
      </c>
      <c r="R1102" s="84" t="str">
        <f>IF(AND($N1102=$Q$7,$B1102&lt;'111'!$L$11),"x","")</f>
        <v/>
      </c>
      <c r="S1102" s="84" t="str">
        <f>IF(AND($O1102=$Q$7,$B1102&lt;'111'!$L$11),"x","")</f>
        <v/>
      </c>
      <c r="T1102" s="84" t="str">
        <f>IF(ISERROR(FIND('112'!$M$9,G1102,1)),"",IF((AND(FIND('112'!$M$9,G1102,1)&gt;=1,B1102='112'!$K$9,OR($N1102='112'!$I$6,$O1102='112'!$I$6))),"x",""))</f>
        <v/>
      </c>
      <c r="U1102" s="84" t="str">
        <f>IF(ISERROR(FIND('112'!$M$9,G1102,1)),"",IF((AND(LEFT(G1102,2)=LEFT('112'!$M$9,2),B1102&lt;'112'!$K$9,$N1102='112'!$I$6)),"x",""))</f>
        <v/>
      </c>
      <c r="V1102" s="84" t="str">
        <f>IF(ISERROR(FIND('112'!$M$9,G1102,1)),"",IF((AND(RIGHT(G1102,2)=RIGHT('112'!$M$9,2),B1102&lt;'112'!$K$9,$O1102='112'!$I$6)),"x",""))</f>
        <v>x</v>
      </c>
      <c r="W1102" s="84" t="str">
        <f>IF(AND('341-CT'!$H$9=H1102,OR(LEFT(N1102,3)=$W$7,LEFT(O1102,3)=$W$7)),"x","")</f>
        <v/>
      </c>
      <c r="X1102" s="84" t="str">
        <f>IF(OR(TH!N1102=TH!$X$7,O1102=TH!$X$7),"x","")</f>
        <v/>
      </c>
      <c r="Y1102" s="84" t="str">
        <f>IF(AND(OR(N1102="131",O1102="131"),H1102='131-CT'!$H$9),"x","")</f>
        <v/>
      </c>
      <c r="Z1102" s="84"/>
      <c r="AA1102" s="84" t="str">
        <f>IF(AND(MONTH(E1102)='IN-NX'!$J$5,'IN-NX'!$D$7=D1102),"x","")</f>
        <v/>
      </c>
      <c r="AB1102" s="84" t="str">
        <f>IF(AND(OR(LEFT(TH!N1102,2)="15",LEFT(TH!O1102,2)="15"),LEFT(TH!O1102,3)&lt;&gt;"111",'152-CT'!$J$8=TH!F1102),"x","")</f>
        <v/>
      </c>
      <c r="AC1102" s="84" t="str">
        <f>IF(AND(OR(LEFT(TH!N1102,2)="15",LEFT(TH!O1102,2)="15"),TK!$E$7=TH!F1102),"x","")</f>
        <v/>
      </c>
      <c r="AD1102" s="84" t="str">
        <f>IF(AND(N1102="1521",MONTH(C1102)='BK-NL'!$M$11),"x","")</f>
        <v/>
      </c>
    </row>
    <row r="1103" spans="1:31" ht="15.75" hidden="1" customHeight="1">
      <c r="A1103" s="336" t="str">
        <f>IF(B1103&lt;&gt;"",IF(AND(B1103='IN-TC'!$S$4,OR(TH!N1103="1111",TH!O1103="1111")),TH!D1103,""),"")</f>
        <v/>
      </c>
      <c r="B1103" s="63">
        <f t="shared" si="174"/>
        <v>3</v>
      </c>
      <c r="C1103" s="318">
        <v>42444</v>
      </c>
      <c r="D1103" s="318" t="s">
        <v>705</v>
      </c>
      <c r="E1103" s="318">
        <v>42444</v>
      </c>
      <c r="F1103" s="73" t="s">
        <v>1200</v>
      </c>
      <c r="G1103" s="982" t="s">
        <v>919</v>
      </c>
      <c r="H1103" s="73"/>
      <c r="I1103" s="439"/>
      <c r="J1103" s="439"/>
      <c r="K1103" s="430"/>
      <c r="L1103" s="439"/>
      <c r="M1103" s="65">
        <v>2000</v>
      </c>
      <c r="N1103" s="66" t="s">
        <v>9</v>
      </c>
      <c r="O1103" s="66" t="s">
        <v>26</v>
      </c>
      <c r="P1103" s="84" t="str">
        <f>IF(AND('331-CT'!$E$7=TH!H1103,OR(N1103="331",O1103="331")),"x","")</f>
        <v/>
      </c>
      <c r="Q1103" s="84" t="str">
        <f>IF(AND(B1103='111'!$L$11,OR($N1103=$Q$7,$O1103=$Q$7)),"x","")</f>
        <v/>
      </c>
      <c r="R1103" s="84" t="str">
        <f>IF(AND($N1103=$Q$7,$B1103&lt;'111'!$L$11),"x","")</f>
        <v/>
      </c>
      <c r="S1103" s="84" t="str">
        <f>IF(AND($O1103=$Q$7,$B1103&lt;'111'!$L$11),"x","")</f>
        <v/>
      </c>
      <c r="T1103" s="84" t="str">
        <f>IF(ISERROR(FIND('112'!$M$9,G1103,1)),"",IF((AND(FIND('112'!$M$9,G1103,1)&gt;=1,B1103='112'!$K$9,OR($N1103='112'!$I$6,$O1103='112'!$I$6))),"x",""))</f>
        <v/>
      </c>
      <c r="U1103" s="84" t="str">
        <f>IF(ISERROR(FIND('112'!$M$9,G1103,1)),"",IF((AND(LEFT(G1103,2)=LEFT('112'!$M$9,2),B1103&lt;'112'!$K$9,$N1103='112'!$I$6)),"x",""))</f>
        <v/>
      </c>
      <c r="V1103" s="84" t="str">
        <f>IF(ISERROR(FIND('112'!$M$9,G1103,1)),"",IF((AND(RIGHT(G1103,2)=RIGHT('112'!$M$9,2),B1103&lt;'112'!$K$9,$O1103='112'!$I$6)),"x",""))</f>
        <v>x</v>
      </c>
      <c r="W1103" s="84" t="str">
        <f>IF(AND('341-CT'!$H$9=H1103,OR(LEFT(N1103,3)=$W$7,LEFT(O1103,3)=$W$7)),"x","")</f>
        <v/>
      </c>
      <c r="X1103" s="84" t="str">
        <f>IF(OR(TH!N1103=TH!$X$7,O1103=TH!$X$7),"x","")</f>
        <v/>
      </c>
      <c r="Y1103" s="84" t="str">
        <f>IF(AND(OR(N1103="131",O1103="131"),H1103='131-CT'!$H$9),"x","")</f>
        <v/>
      </c>
      <c r="Z1103" s="84"/>
      <c r="AA1103" s="84" t="str">
        <f>IF(AND(MONTH(E1103)='IN-NX'!$J$5,'IN-NX'!$D$7=D1103),"x","")</f>
        <v/>
      </c>
      <c r="AB1103" s="84" t="str">
        <f>IF(AND(OR(LEFT(TH!N1103,2)="15",LEFT(TH!O1103,2)="15"),LEFT(TH!O1103,3)&lt;&gt;"111",'152-CT'!$J$8=TH!F1103),"x","")</f>
        <v/>
      </c>
      <c r="AC1103" s="84" t="str">
        <f>IF(AND(OR(LEFT(TH!N1103,2)="15",LEFT(TH!O1103,2)="15"),TK!$E$7=TH!F1103),"x","")</f>
        <v/>
      </c>
      <c r="AD1103" s="84" t="str">
        <f>IF(AND(N1103="1521",MONTH(C1103)='BK-NL'!$M$11),"x","")</f>
        <v/>
      </c>
    </row>
    <row r="1104" spans="1:31" s="351" customFormat="1" ht="15.75" hidden="1" customHeight="1">
      <c r="A1104" s="336" t="str">
        <f>IF(B1104&lt;&gt;"",IF(AND(B1104='IN-TC'!$S$4,OR(TH!N1104="1111",TH!O1104="1111")),TH!D1104,""),"")</f>
        <v/>
      </c>
      <c r="B1104" s="63">
        <f t="shared" si="174"/>
        <v>3</v>
      </c>
      <c r="C1104" s="318">
        <v>42444</v>
      </c>
      <c r="D1104" s="318" t="s">
        <v>906</v>
      </c>
      <c r="E1104" s="318">
        <v>42444</v>
      </c>
      <c r="F1104" s="73" t="s">
        <v>1146</v>
      </c>
      <c r="G1104" s="986" t="s">
        <v>918</v>
      </c>
      <c r="H1104" s="344" t="s">
        <v>763</v>
      </c>
      <c r="I1104" s="439"/>
      <c r="J1104" s="439"/>
      <c r="K1104" s="430"/>
      <c r="L1104" s="439"/>
      <c r="M1104" s="65">
        <v>1900000000</v>
      </c>
      <c r="N1104" s="321" t="s">
        <v>63</v>
      </c>
      <c r="O1104" s="66" t="s">
        <v>26</v>
      </c>
      <c r="P1104" s="84" t="str">
        <f>IF(AND('331-CT'!$E$7=TH!H1104,OR(N1104="331",O1104="331")),"x","")</f>
        <v/>
      </c>
      <c r="Q1104" s="84" t="str">
        <f>IF(AND(B1104='111'!$L$11,OR($N1104=$Q$7,$O1104=$Q$7)),"x","")</f>
        <v/>
      </c>
      <c r="R1104" s="84" t="str">
        <f>IF(AND($N1104=$Q$7,$B1104&lt;'111'!$L$11),"x","")</f>
        <v/>
      </c>
      <c r="S1104" s="84" t="str">
        <f>IF(AND($O1104=$Q$7,$B1104&lt;'111'!$L$11),"x","")</f>
        <v/>
      </c>
      <c r="T1104" s="84" t="str">
        <f>IF(ISERROR(FIND('112'!$M$9,G1104,1)),"",IF((AND(FIND('112'!$M$9,G1104,1)&gt;=1,B1104='112'!$K$9,OR($N1104='112'!$I$6,$O1104='112'!$I$6))),"x",""))</f>
        <v/>
      </c>
      <c r="U1104" s="84" t="str">
        <f>IF(ISERROR(FIND('112'!$M$9,G1104,1)),"",IF((AND(LEFT(G1104,2)=LEFT('112'!$M$9,2),B1104&lt;'112'!$K$9,$N1104='112'!$I$6)),"x",""))</f>
        <v/>
      </c>
      <c r="V1104" s="84" t="str">
        <f>IF(ISERROR(FIND('112'!$M$9,G1104,1)),"",IF((AND(RIGHT(G1104,2)=RIGHT('112'!$M$9,2),B1104&lt;'112'!$K$9,$O1104='112'!$I$6)),"x",""))</f>
        <v/>
      </c>
      <c r="W1104" s="84" t="str">
        <f>IF(AND('341-CT'!$H$9=H1104,OR(LEFT(N1104,3)=$W$7,LEFT(O1104,3)=$W$7)),"x","")</f>
        <v/>
      </c>
      <c r="X1104" s="84" t="str">
        <f>IF(OR(TH!N1104=TH!$X$7,O1104=TH!$X$7),"x","")</f>
        <v/>
      </c>
      <c r="Y1104" s="84" t="str">
        <f>IF(AND(OR(N1104="131",O1104="131"),H1104='131-CT'!$H$9),"x","")</f>
        <v/>
      </c>
      <c r="Z1104" s="84"/>
      <c r="AA1104" s="84" t="str">
        <f>IF(AND(MONTH(E1104)='IN-NX'!$J$5,'IN-NX'!$D$7=D1104),"x","")</f>
        <v/>
      </c>
      <c r="AB1104" s="84" t="str">
        <f>IF(AND(OR(LEFT(TH!N1104,2)="15",LEFT(TH!O1104,2)="15"),LEFT(TH!O1104,3)&lt;&gt;"111",'152-CT'!$J$8=TH!F1104),"x","")</f>
        <v/>
      </c>
      <c r="AC1104" s="84" t="str">
        <f>IF(AND(OR(LEFT(TH!N1104,2)="15",LEFT(TH!O1104,2)="15"),TK!$E$7=TH!F1104),"x","")</f>
        <v/>
      </c>
      <c r="AD1104" s="84" t="str">
        <f>IF(AND(N1104="1521",MONTH(C1104)='BK-NL'!$M$11),"x","")</f>
        <v/>
      </c>
    </row>
    <row r="1105" spans="1:31" ht="15.75" hidden="1" customHeight="1">
      <c r="A1105" s="336" t="str">
        <f>IF(B1105&lt;&gt;"",IF(AND(B1105='IN-TC'!$S$4,OR(TH!N1105="1111",TH!O1105="1111")),TH!D1105,""),"")</f>
        <v/>
      </c>
      <c r="B1105" s="63">
        <f t="shared" si="174"/>
        <v>3</v>
      </c>
      <c r="C1105" s="318">
        <v>42446</v>
      </c>
      <c r="D1105" s="318" t="s">
        <v>900</v>
      </c>
      <c r="E1105" s="318">
        <v>42446</v>
      </c>
      <c r="F1105" s="73" t="s">
        <v>1182</v>
      </c>
      <c r="G1105" s="986" t="s">
        <v>1141</v>
      </c>
      <c r="H1105" s="320" t="s">
        <v>619</v>
      </c>
      <c r="I1105" s="439"/>
      <c r="J1105" s="439"/>
      <c r="K1105" s="430"/>
      <c r="L1105" s="439"/>
      <c r="M1105" s="65">
        <v>5610000</v>
      </c>
      <c r="N1105" s="321" t="s">
        <v>8</v>
      </c>
      <c r="O1105" s="66" t="s">
        <v>63</v>
      </c>
      <c r="P1105" s="84" t="str">
        <f>IF(AND('331-CT'!$E$7=TH!H1105,OR(N1105="331",O1105="331")),"x","")</f>
        <v/>
      </c>
      <c r="Q1105" s="84" t="str">
        <f>IF(AND(B1105='111'!$L$11,OR($N1105=$Q$7,$O1105=$Q$7)),"x","")</f>
        <v/>
      </c>
      <c r="R1105" s="84" t="str">
        <f>IF(AND($N1105=$Q$7,$B1105&lt;'111'!$L$11),"x","")</f>
        <v/>
      </c>
      <c r="S1105" s="84" t="str">
        <f>IF(AND($O1105=$Q$7,$B1105&lt;'111'!$L$11),"x","")</f>
        <v/>
      </c>
      <c r="T1105" s="84" t="str">
        <f>IF(ISERROR(FIND('112'!$M$9,G1105,1)),"",IF((AND(FIND('112'!$M$9,G1105,1)&gt;=1,B1105='112'!$K$9,OR($N1105='112'!$I$6,$O1105='112'!$I$6))),"x",""))</f>
        <v/>
      </c>
      <c r="U1105" s="84" t="str">
        <f>IF(ISERROR(FIND('112'!$M$9,G1105,1)),"",IF((AND(LEFT(G1105,2)=LEFT('112'!$M$9,2),B1105&lt;'112'!$K$9,$N1105='112'!$I$6)),"x",""))</f>
        <v/>
      </c>
      <c r="V1105" s="84" t="str">
        <f>IF(ISERROR(FIND('112'!$M$9,G1105,1)),"",IF((AND(RIGHT(G1105,2)=RIGHT('112'!$M$9,2),B1105&lt;'112'!$K$9,$O1105='112'!$I$6)),"x",""))</f>
        <v/>
      </c>
      <c r="W1105" s="84" t="str">
        <f>IF(AND('341-CT'!$H$9=H1105,OR(LEFT(N1105,3)=$W$7,LEFT(O1105,3)=$W$7)),"x","")</f>
        <v/>
      </c>
      <c r="X1105" s="84" t="str">
        <f>IF(OR(TH!N1105=TH!$X$7,O1105=TH!$X$7),"x","")</f>
        <v/>
      </c>
      <c r="Y1105" s="84" t="str">
        <f>IF(AND(OR(N1105="131",O1105="131"),H1105='131-CT'!$H$9),"x","")</f>
        <v/>
      </c>
      <c r="Z1105" s="84"/>
      <c r="AA1105" s="84" t="str">
        <f>IF(AND(MONTH(E1105)='IN-NX'!$J$5,'IN-NX'!$D$7=D1105),"x","")</f>
        <v/>
      </c>
      <c r="AB1105" s="84" t="str">
        <f>IF(AND(OR(LEFT(TH!N1105,2)="15",LEFT(TH!O1105,2)="15"),LEFT(TH!O1105,3)&lt;&gt;"111",'152-CT'!$J$8=TH!F1105),"x","")</f>
        <v/>
      </c>
      <c r="AC1105" s="84" t="str">
        <f>IF(AND(OR(LEFT(TH!N1105,2)="15",LEFT(TH!O1105,2)="15"),TK!$E$7=TH!F1105),"x","")</f>
        <v/>
      </c>
      <c r="AD1105" s="84" t="str">
        <f>IF(AND(N1105="1521",MONTH(C1105)='BK-NL'!$M$11),"x","")</f>
        <v/>
      </c>
      <c r="AE1105" s="1146" t="str">
        <f>IF(H1105&lt;&gt;VLOOKUP(H1105,DSKH,1,0),"","x")</f>
        <v>x</v>
      </c>
    </row>
    <row r="1106" spans="1:31" ht="15.75" hidden="1" customHeight="1">
      <c r="A1106" s="336" t="str">
        <f>IF(B1106&lt;&gt;"",IF(AND(B1106='IN-TC'!$S$4,OR(TH!N1106="1111",TH!O1106="1111")),TH!D1106,""),"")</f>
        <v/>
      </c>
      <c r="B1106" s="63">
        <f t="shared" si="174"/>
        <v>3</v>
      </c>
      <c r="C1106" s="318">
        <v>42446</v>
      </c>
      <c r="D1106" s="318" t="s">
        <v>901</v>
      </c>
      <c r="E1106" s="318">
        <v>42446</v>
      </c>
      <c r="F1106" s="73" t="s">
        <v>1142</v>
      </c>
      <c r="G1106" s="986" t="s">
        <v>1144</v>
      </c>
      <c r="H1106" s="320" t="s">
        <v>1145</v>
      </c>
      <c r="I1106" s="439"/>
      <c r="J1106" s="439"/>
      <c r="K1106" s="430"/>
      <c r="L1106" s="439"/>
      <c r="M1106" s="65">
        <v>1033880</v>
      </c>
      <c r="N1106" s="321" t="s">
        <v>101</v>
      </c>
      <c r="O1106" s="66" t="s">
        <v>63</v>
      </c>
      <c r="P1106" s="84" t="str">
        <f>IF(AND('331-CT'!$E$7=TH!H1106,OR(N1106="331",O1106="331")),"x","")</f>
        <v/>
      </c>
      <c r="Q1106" s="84" t="str">
        <f>IF(AND(B1106='111'!$L$11,OR($N1106=$Q$7,$O1106=$Q$7)),"x","")</f>
        <v/>
      </c>
      <c r="R1106" s="84" t="str">
        <f>IF(AND($N1106=$Q$7,$B1106&lt;'111'!$L$11),"x","")</f>
        <v/>
      </c>
      <c r="S1106" s="84" t="str">
        <f>IF(AND($O1106=$Q$7,$B1106&lt;'111'!$L$11),"x","")</f>
        <v/>
      </c>
      <c r="T1106" s="84" t="str">
        <f>IF(ISERROR(FIND('112'!$M$9,G1106,1)),"",IF((AND(FIND('112'!$M$9,G1106,1)&gt;=1,B1106='112'!$K$9,OR($N1106='112'!$I$6,$O1106='112'!$I$6))),"x",""))</f>
        <v/>
      </c>
      <c r="U1106" s="84" t="str">
        <f>IF(ISERROR(FIND('112'!$M$9,G1106,1)),"",IF((AND(LEFT(G1106,2)=LEFT('112'!$M$9,2),B1106&lt;'112'!$K$9,$N1106='112'!$I$6)),"x",""))</f>
        <v/>
      </c>
      <c r="V1106" s="84" t="str">
        <f>IF(ISERROR(FIND('112'!$M$9,G1106,1)),"",IF((AND(RIGHT(G1106,2)=RIGHT('112'!$M$9,2),B1106&lt;'112'!$K$9,$O1106='112'!$I$6)),"x",""))</f>
        <v/>
      </c>
      <c r="W1106" s="84" t="str">
        <f>IF(AND('341-CT'!$H$9=H1106,OR(LEFT(N1106,3)=$W$7,LEFT(O1106,3)=$W$7)),"x","")</f>
        <v/>
      </c>
      <c r="X1106" s="84" t="str">
        <f>IF(OR(TH!N1106=TH!$X$7,O1106=TH!$X$7),"x","")</f>
        <v/>
      </c>
      <c r="Y1106" s="84" t="str">
        <f>IF(AND(OR(N1106="131",O1106="131"),H1106='131-CT'!$H$9),"x","")</f>
        <v/>
      </c>
      <c r="Z1106" s="84"/>
      <c r="AA1106" s="84" t="str">
        <f>IF(AND(MONTH(E1106)='IN-NX'!$J$5,'IN-NX'!$D$7=D1106),"x","")</f>
        <v/>
      </c>
      <c r="AB1106" s="84" t="str">
        <f>IF(AND(OR(LEFT(TH!N1106,2)="15",LEFT(TH!O1106,2)="15"),LEFT(TH!O1106,3)&lt;&gt;"111",'152-CT'!$J$8=TH!F1106),"x","")</f>
        <v/>
      </c>
      <c r="AC1106" s="84" t="str">
        <f>IF(AND(OR(LEFT(TH!N1106,2)="15",LEFT(TH!O1106,2)="15"),TK!$E$7=TH!F1106),"x","")</f>
        <v/>
      </c>
      <c r="AD1106" s="84" t="str">
        <f>IF(AND(N1106="1521",MONTH(C1106)='BK-NL'!$M$11),"x","")</f>
        <v/>
      </c>
    </row>
    <row r="1107" spans="1:31" ht="15.75" hidden="1" customHeight="1">
      <c r="A1107" s="336" t="str">
        <f>IF(B1107&lt;&gt;"",IF(AND(B1107='IN-TC'!$S$4,OR(TH!N1107="1111",TH!O1107="1111")),TH!D1107,""),"")</f>
        <v/>
      </c>
      <c r="B1107" s="63">
        <f t="shared" si="174"/>
        <v>3</v>
      </c>
      <c r="C1107" s="318">
        <v>42446</v>
      </c>
      <c r="D1107" s="318" t="s">
        <v>901</v>
      </c>
      <c r="E1107" s="318">
        <v>42446</v>
      </c>
      <c r="F1107" s="73" t="s">
        <v>1143</v>
      </c>
      <c r="G1107" s="986" t="s">
        <v>1144</v>
      </c>
      <c r="H1107" s="344" t="s">
        <v>1145</v>
      </c>
      <c r="I1107" s="439"/>
      <c r="J1107" s="439"/>
      <c r="K1107" s="430"/>
      <c r="L1107" s="439"/>
      <c r="M1107" s="65">
        <v>103388</v>
      </c>
      <c r="N1107" s="321" t="s">
        <v>9</v>
      </c>
      <c r="O1107" s="66" t="s">
        <v>63</v>
      </c>
      <c r="P1107" s="84" t="str">
        <f>IF(AND('331-CT'!$E$7=TH!H1107,OR(N1107="331",O1107="331")),"x","")</f>
        <v/>
      </c>
      <c r="Q1107" s="84" t="str">
        <f>IF(AND(B1107='111'!$L$11,OR($N1107=$Q$7,$O1107=$Q$7)),"x","")</f>
        <v/>
      </c>
      <c r="R1107" s="84" t="str">
        <f>IF(AND($N1107=$Q$7,$B1107&lt;'111'!$L$11),"x","")</f>
        <v/>
      </c>
      <c r="S1107" s="84" t="str">
        <f>IF(AND($O1107=$Q$7,$B1107&lt;'111'!$L$11),"x","")</f>
        <v/>
      </c>
      <c r="T1107" s="84" t="str">
        <f>IF(ISERROR(FIND('112'!$M$9,G1107,1)),"",IF((AND(FIND('112'!$M$9,G1107,1)&gt;=1,B1107='112'!$K$9,OR($N1107='112'!$I$6,$O1107='112'!$I$6))),"x",""))</f>
        <v/>
      </c>
      <c r="U1107" s="84" t="str">
        <f>IF(ISERROR(FIND('112'!$M$9,G1107,1)),"",IF((AND(LEFT(G1107,2)=LEFT('112'!$M$9,2),B1107&lt;'112'!$K$9,$N1107='112'!$I$6)),"x",""))</f>
        <v/>
      </c>
      <c r="V1107" s="84" t="str">
        <f>IF(ISERROR(FIND('112'!$M$9,G1107,1)),"",IF((AND(RIGHT(G1107,2)=RIGHT('112'!$M$9,2),B1107&lt;'112'!$K$9,$O1107='112'!$I$6)),"x",""))</f>
        <v/>
      </c>
      <c r="W1107" s="84" t="str">
        <f>IF(AND('341-CT'!$H$9=H1107,OR(LEFT(N1107,3)=$W$7,LEFT(O1107,3)=$W$7)),"x","")</f>
        <v/>
      </c>
      <c r="X1107" s="84" t="str">
        <f>IF(OR(TH!N1107=TH!$X$7,O1107=TH!$X$7),"x","")</f>
        <v/>
      </c>
      <c r="Y1107" s="84" t="str">
        <f>IF(AND(OR(N1107="131",O1107="131"),H1107='131-CT'!$H$9),"x","")</f>
        <v/>
      </c>
      <c r="Z1107" s="84"/>
      <c r="AA1107" s="84" t="str">
        <f>IF(AND(MONTH(E1107)='IN-NX'!$J$5,'IN-NX'!$D$7=D1107),"x","")</f>
        <v/>
      </c>
      <c r="AB1107" s="84" t="str">
        <f>IF(AND(OR(LEFT(TH!N1107,2)="15",LEFT(TH!O1107,2)="15"),LEFT(TH!O1107,3)&lt;&gt;"111",'152-CT'!$J$8=TH!F1107),"x","")</f>
        <v/>
      </c>
      <c r="AC1107" s="84" t="str">
        <f>IF(AND(OR(LEFT(TH!N1107,2)="15",LEFT(TH!O1107,2)="15"),TK!$E$7=TH!F1107),"x","")</f>
        <v/>
      </c>
      <c r="AD1107" s="84" t="str">
        <f>IF(AND(N1107="1521",MONTH(C1107)='BK-NL'!$M$11),"x","")</f>
        <v/>
      </c>
      <c r="AE1107" s="351"/>
    </row>
    <row r="1108" spans="1:31" ht="15.75" hidden="1" customHeight="1">
      <c r="A1108" s="336" t="str">
        <f>IF(B1108&lt;&gt;"",IF(AND(B1108='IN-TC'!$S$4,OR(TH!N1108="1111",TH!O1108="1111")),TH!D1108,""),"")</f>
        <v/>
      </c>
      <c r="B1108" s="63">
        <f t="shared" si="174"/>
        <v>3</v>
      </c>
      <c r="C1108" s="64">
        <v>42446</v>
      </c>
      <c r="D1108" s="318" t="s">
        <v>902</v>
      </c>
      <c r="E1108" s="64">
        <v>42446</v>
      </c>
      <c r="F1108" s="73" t="s">
        <v>771</v>
      </c>
      <c r="G1108" s="986" t="s">
        <v>1342</v>
      </c>
      <c r="H1108" s="73" t="s">
        <v>808</v>
      </c>
      <c r="I1108" s="439"/>
      <c r="J1108" s="439"/>
      <c r="K1108" s="430"/>
      <c r="L1108" s="439"/>
      <c r="M1108" s="65">
        <v>513836</v>
      </c>
      <c r="N1108" s="66" t="s">
        <v>101</v>
      </c>
      <c r="O1108" s="66" t="s">
        <v>63</v>
      </c>
      <c r="P1108" s="84" t="str">
        <f>IF(AND('331-CT'!$E$7=TH!H1108,OR(N1108="331",O1108="331")),"x","")</f>
        <v/>
      </c>
      <c r="Q1108" s="84" t="str">
        <f>IF(AND(B1108='111'!$L$11,OR($N1108=$Q$7,$O1108=$Q$7)),"x","")</f>
        <v/>
      </c>
      <c r="R1108" s="84" t="str">
        <f>IF(AND($N1108=$Q$7,$B1108&lt;'111'!$L$11),"x","")</f>
        <v/>
      </c>
      <c r="S1108" s="84" t="str">
        <f>IF(AND($O1108=$Q$7,$B1108&lt;'111'!$L$11),"x","")</f>
        <v/>
      </c>
      <c r="T1108" s="84" t="str">
        <f>IF(ISERROR(FIND('112'!$M$9,G1108,1)),"",IF((AND(FIND('112'!$M$9,G1108,1)&gt;=1,B1108='112'!$K$9,OR($N1108='112'!$I$6,$O1108='112'!$I$6))),"x",""))</f>
        <v/>
      </c>
      <c r="U1108" s="84" t="str">
        <f>IF(ISERROR(FIND('112'!$M$9,G1108,1)),"",IF((AND(LEFT(G1108,2)=LEFT('112'!$M$9,2),B1108&lt;'112'!$K$9,$N1108='112'!$I$6)),"x",""))</f>
        <v/>
      </c>
      <c r="V1108" s="84" t="str">
        <f>IF(ISERROR(FIND('112'!$M$9,G1108,1)),"",IF((AND(RIGHT(G1108,2)=RIGHT('112'!$M$9,2),B1108&lt;'112'!$K$9,$O1108='112'!$I$6)),"x",""))</f>
        <v/>
      </c>
      <c r="W1108" s="84" t="str">
        <f>IF(AND('341-CT'!$H$9=H1108,OR(LEFT(N1108,3)=$W$7,LEFT(O1108,3)=$W$7)),"x","")</f>
        <v/>
      </c>
      <c r="X1108" s="84" t="str">
        <f>IF(OR(TH!N1108=TH!$X$7,O1108=TH!$X$7),"x","")</f>
        <v/>
      </c>
      <c r="Y1108" s="84" t="str">
        <f>IF(AND(OR(N1108="131",O1108="131"),H1108='131-CT'!$H$9),"x","")</f>
        <v/>
      </c>
      <c r="Z1108" s="84"/>
      <c r="AA1108" s="84" t="str">
        <f>IF(AND(MONTH(E1108)='IN-NX'!$J$5,'IN-NX'!$D$7=D1108),"x","")</f>
        <v/>
      </c>
      <c r="AB1108" s="84" t="str">
        <f>IF(AND(OR(LEFT(TH!N1108,2)="15",LEFT(TH!O1108,2)="15"),LEFT(TH!O1108,3)&lt;&gt;"111",'152-CT'!$J$8=TH!F1108),"x","")</f>
        <v/>
      </c>
      <c r="AC1108" s="84" t="str">
        <f>IF(AND(OR(LEFT(TH!N1108,2)="15",LEFT(TH!O1108,2)="15"),TK!$E$7=TH!F1108),"x","")</f>
        <v/>
      </c>
      <c r="AD1108" s="84" t="str">
        <f>IF(AND(N1108="1521",MONTH(C1108)='BK-NL'!$M$11),"x","")</f>
        <v/>
      </c>
    </row>
    <row r="1109" spans="1:31" ht="15.75" hidden="1" customHeight="1">
      <c r="A1109" s="336" t="str">
        <f>IF(B1109&lt;&gt;"",IF(AND(B1109='IN-TC'!$S$4,OR(TH!N1109="1111",TH!O1109="1111")),TH!D1109,""),"")</f>
        <v/>
      </c>
      <c r="B1109" s="63">
        <f t="shared" si="174"/>
        <v>3</v>
      </c>
      <c r="C1109" s="64">
        <v>42446</v>
      </c>
      <c r="D1109" s="318" t="s">
        <v>902</v>
      </c>
      <c r="E1109" s="64">
        <v>42446</v>
      </c>
      <c r="F1109" s="73" t="s">
        <v>772</v>
      </c>
      <c r="G1109" s="986" t="s">
        <v>1342</v>
      </c>
      <c r="H1109" s="73" t="s">
        <v>808</v>
      </c>
      <c r="I1109" s="439"/>
      <c r="J1109" s="439"/>
      <c r="K1109" s="430"/>
      <c r="L1109" s="439"/>
      <c r="M1109" s="65">
        <v>51384</v>
      </c>
      <c r="N1109" s="66" t="s">
        <v>9</v>
      </c>
      <c r="O1109" s="66" t="s">
        <v>63</v>
      </c>
      <c r="P1109" s="84" t="str">
        <f>IF(AND('331-CT'!$E$7=TH!H1109,OR(N1109="331",O1109="331")),"x","")</f>
        <v/>
      </c>
      <c r="Q1109" s="84" t="str">
        <f>IF(AND(B1109='111'!$L$11,OR($N1109=$Q$7,$O1109=$Q$7)),"x","")</f>
        <v/>
      </c>
      <c r="R1109" s="84" t="str">
        <f>IF(AND($N1109=$Q$7,$B1109&lt;'111'!$L$11),"x","")</f>
        <v/>
      </c>
      <c r="S1109" s="84" t="str">
        <f>IF(AND($O1109=$Q$7,$B1109&lt;'111'!$L$11),"x","")</f>
        <v/>
      </c>
      <c r="T1109" s="84" t="str">
        <f>IF(ISERROR(FIND('112'!$M$9,G1109,1)),"",IF((AND(FIND('112'!$M$9,G1109,1)&gt;=1,B1109='112'!$K$9,OR($N1109='112'!$I$6,$O1109='112'!$I$6))),"x",""))</f>
        <v/>
      </c>
      <c r="U1109" s="84" t="str">
        <f>IF(ISERROR(FIND('112'!$M$9,G1109,1)),"",IF((AND(LEFT(G1109,2)=LEFT('112'!$M$9,2),B1109&lt;'112'!$K$9,$N1109='112'!$I$6)),"x",""))</f>
        <v/>
      </c>
      <c r="V1109" s="84" t="str">
        <f>IF(ISERROR(FIND('112'!$M$9,G1109,1)),"",IF((AND(RIGHT(G1109,2)=RIGHT('112'!$M$9,2),B1109&lt;'112'!$K$9,$O1109='112'!$I$6)),"x",""))</f>
        <v/>
      </c>
      <c r="W1109" s="84" t="str">
        <f>IF(AND('341-CT'!$H$9=H1109,OR(LEFT(N1109,3)=$W$7,LEFT(O1109,3)=$W$7)),"x","")</f>
        <v/>
      </c>
      <c r="X1109" s="84" t="str">
        <f>IF(OR(TH!N1109=TH!$X$7,O1109=TH!$X$7),"x","")</f>
        <v/>
      </c>
      <c r="Y1109" s="84" t="str">
        <f>IF(AND(OR(N1109="131",O1109="131"),H1109='131-CT'!$H$9),"x","")</f>
        <v/>
      </c>
      <c r="Z1109" s="84"/>
      <c r="AA1109" s="84" t="str">
        <f>IF(AND(MONTH(E1109)='IN-NX'!$J$5,'IN-NX'!$D$7=D1109),"x","")</f>
        <v/>
      </c>
      <c r="AB1109" s="84" t="str">
        <f>IF(AND(OR(LEFT(TH!N1109,2)="15",LEFT(TH!O1109,2)="15"),LEFT(TH!O1109,3)&lt;&gt;"111",'152-CT'!$J$8=TH!F1109),"x","")</f>
        <v/>
      </c>
      <c r="AC1109" s="84" t="str">
        <f>IF(AND(OR(LEFT(TH!N1109,2)="15",LEFT(TH!O1109,2)="15"),TK!$E$7=TH!F1109),"x","")</f>
        <v/>
      </c>
      <c r="AD1109" s="84" t="str">
        <f>IF(AND(N1109="1521",MONTH(C1109)='BK-NL'!$M$11),"x","")</f>
        <v/>
      </c>
    </row>
    <row r="1110" spans="1:31" ht="15.75" hidden="1" customHeight="1">
      <c r="A1110" s="336" t="str">
        <f>IF(B1110&lt;&gt;"",IF(AND(B1110='IN-TC'!$S$4,OR(TH!N1110="1111",TH!O1110="1111")),TH!D1110,""),"")</f>
        <v/>
      </c>
      <c r="B1110" s="63">
        <f t="shared" si="174"/>
        <v>3</v>
      </c>
      <c r="C1110" s="64">
        <v>42446</v>
      </c>
      <c r="D1110" s="64" t="s">
        <v>705</v>
      </c>
      <c r="E1110" s="64">
        <v>42446</v>
      </c>
      <c r="F1110" s="345" t="s">
        <v>757</v>
      </c>
      <c r="G1110" s="986" t="s">
        <v>918</v>
      </c>
      <c r="H1110" s="73" t="s">
        <v>729</v>
      </c>
      <c r="I1110" s="439"/>
      <c r="J1110" s="439"/>
      <c r="K1110" s="430">
        <v>228.54</v>
      </c>
      <c r="L1110" s="439">
        <v>22320</v>
      </c>
      <c r="M1110" s="65">
        <v>5101013</v>
      </c>
      <c r="N1110" s="66" t="s">
        <v>99</v>
      </c>
      <c r="O1110" s="66" t="s">
        <v>266</v>
      </c>
      <c r="P1110" s="84" t="str">
        <f>IF(AND('331-CT'!$E$7=TH!H1110,OR(N1110="331",O1110="331")),"x","")</f>
        <v/>
      </c>
      <c r="Q1110" s="84" t="str">
        <f>IF(AND(B1110='111'!$L$11,OR($N1110=$Q$7,$O1110=$Q$7)),"x","")</f>
        <v/>
      </c>
      <c r="R1110" s="84" t="str">
        <f>IF(AND($N1110=$Q$7,$B1110&lt;'111'!$L$11),"x","")</f>
        <v/>
      </c>
      <c r="S1110" s="84" t="str">
        <f>IF(AND($O1110=$Q$7,$B1110&lt;'111'!$L$11),"x","")</f>
        <v/>
      </c>
      <c r="T1110" s="84" t="str">
        <f>IF(ISERROR(FIND('112'!$M$9,G1110,1)),"",IF((AND(FIND('112'!$M$9,G1110,1)&gt;=1,B1110='112'!$K$9,OR($N1110='112'!$I$6,$O1110='112'!$I$6))),"x",""))</f>
        <v/>
      </c>
      <c r="U1110" s="84" t="str">
        <f>IF(ISERROR(FIND('112'!$M$9,G1110,1)),"",IF((AND(LEFT(G1110,2)=LEFT('112'!$M$9,2),B1110&lt;'112'!$K$9,$N1110='112'!$I$6)),"x",""))</f>
        <v/>
      </c>
      <c r="V1110" s="84" t="str">
        <f>IF(ISERROR(FIND('112'!$M$9,G1110,1)),"",IF((AND(RIGHT(G1110,2)=RIGHT('112'!$M$9,2),B1110&lt;'112'!$K$9,$O1110='112'!$I$6)),"x",""))</f>
        <v/>
      </c>
      <c r="W1110" s="84" t="str">
        <f>IF(AND('341-CT'!$H$9=H1110,OR(LEFT(N1110,3)=$W$7,LEFT(O1110,3)=$W$7)),"x","")</f>
        <v/>
      </c>
      <c r="X1110" s="84" t="str">
        <f>IF(OR(TH!N1110=TH!$X$7,O1110=TH!$X$7),"x","")</f>
        <v/>
      </c>
      <c r="Y1110" s="84" t="str">
        <f>IF(AND(OR(N1110="131",O1110="131"),H1110='131-CT'!$H$9),"x","")</f>
        <v/>
      </c>
      <c r="Z1110" s="84"/>
      <c r="AA1110" s="84" t="str">
        <f>IF(AND(MONTH(E1110)='IN-NX'!$J$5,'IN-NX'!$D$7=D1110),"x","")</f>
        <v/>
      </c>
      <c r="AB1110" s="84" t="str">
        <f>IF(AND(OR(LEFT(TH!N1110,2)="15",LEFT(TH!O1110,2)="15"),LEFT(TH!O1110,3)&lt;&gt;"111",'152-CT'!$J$8=TH!F1110),"x","")</f>
        <v/>
      </c>
      <c r="AC1110" s="84" t="str">
        <f>IF(AND(OR(LEFT(TH!N1110,2)="15",LEFT(TH!O1110,2)="15"),TK!$E$7=TH!F1110),"x","")</f>
        <v/>
      </c>
      <c r="AD1110" s="84" t="str">
        <f>IF(AND(N1110="1521",MONTH(C1110)='BK-NL'!$M$11),"x","")</f>
        <v/>
      </c>
    </row>
    <row r="1111" spans="1:31" ht="15.75" hidden="1" customHeight="1">
      <c r="A1111" s="336" t="str">
        <f>IF(B1111&lt;&gt;"",IF(AND(B1111='IN-TC'!$S$4,OR(TH!N1111="1111",TH!O1111="1111")),TH!D1111,""),"")</f>
        <v/>
      </c>
      <c r="B1111" s="63">
        <f t="shared" si="174"/>
        <v>3</v>
      </c>
      <c r="C1111" s="64">
        <v>42446</v>
      </c>
      <c r="D1111" s="318" t="s">
        <v>705</v>
      </c>
      <c r="E1111" s="64">
        <v>42446</v>
      </c>
      <c r="F1111" s="514" t="s">
        <v>1063</v>
      </c>
      <c r="G1111" s="986" t="s">
        <v>918</v>
      </c>
      <c r="H1111" s="73" t="s">
        <v>732</v>
      </c>
      <c r="I1111" s="439"/>
      <c r="J1111" s="439"/>
      <c r="K1111" s="430">
        <v>138.60999103942652</v>
      </c>
      <c r="L1111" s="439">
        <v>22320</v>
      </c>
      <c r="M1111" s="65">
        <v>3093775</v>
      </c>
      <c r="N1111" s="66" t="s">
        <v>99</v>
      </c>
      <c r="O1111" s="66" t="s">
        <v>26</v>
      </c>
      <c r="P1111" s="84" t="str">
        <f>IF(AND('331-CT'!$E$7=TH!H1111,OR(N1111="331",O1111="331")),"x","")</f>
        <v/>
      </c>
      <c r="Q1111" s="84" t="str">
        <f>IF(AND(B1111='111'!$L$11,OR($N1111=$Q$7,$O1111=$Q$7)),"x","")</f>
        <v/>
      </c>
      <c r="R1111" s="84" t="str">
        <f>IF(AND($N1111=$Q$7,$B1111&lt;'111'!$L$11),"x","")</f>
        <v/>
      </c>
      <c r="S1111" s="84" t="str">
        <f>IF(AND($O1111=$Q$7,$B1111&lt;'111'!$L$11),"x","")</f>
        <v/>
      </c>
      <c r="T1111" s="84" t="str">
        <f>IF(ISERROR(FIND('112'!$M$9,G1111,1)),"",IF((AND(FIND('112'!$M$9,G1111,1)&gt;=1,B1111='112'!$K$9,OR($N1111='112'!$I$6,$O1111='112'!$I$6))),"x",""))</f>
        <v/>
      </c>
      <c r="U1111" s="84" t="str">
        <f>IF(ISERROR(FIND('112'!$M$9,G1111,1)),"",IF((AND(LEFT(G1111,2)=LEFT('112'!$M$9,2),B1111&lt;'112'!$K$9,$N1111='112'!$I$6)),"x",""))</f>
        <v/>
      </c>
      <c r="V1111" s="84" t="str">
        <f>IF(ISERROR(FIND('112'!$M$9,G1111,1)),"",IF((AND(RIGHT(G1111,2)=RIGHT('112'!$M$9,2),B1111&lt;'112'!$K$9,$O1111='112'!$I$6)),"x",""))</f>
        <v/>
      </c>
      <c r="W1111" s="84" t="str">
        <f>IF(AND('341-CT'!$H$9=H1111,OR(LEFT(N1111,3)=$W$7,LEFT(O1111,3)=$W$7)),"x","")</f>
        <v/>
      </c>
      <c r="X1111" s="84" t="str">
        <f>IF(OR(TH!N1111=TH!$X$7,O1111=TH!$X$7),"x","")</f>
        <v/>
      </c>
      <c r="Y1111" s="84" t="str">
        <f>IF(AND(OR(N1111="131",O1111="131"),H1111='131-CT'!$H$9),"x","")</f>
        <v/>
      </c>
      <c r="Z1111" s="84"/>
      <c r="AA1111" s="84" t="str">
        <f>IF(AND(MONTH(E1111)='IN-NX'!$J$5,'IN-NX'!$D$7=D1111),"x","")</f>
        <v/>
      </c>
      <c r="AB1111" s="84" t="str">
        <f>IF(AND(OR(LEFT(TH!N1111,2)="15",LEFT(TH!O1111,2)="15"),LEFT(TH!O1111,3)&lt;&gt;"111",'152-CT'!$J$8=TH!F1111),"x","")</f>
        <v/>
      </c>
      <c r="AC1111" s="84" t="str">
        <f>IF(AND(OR(LEFT(TH!N1111,2)="15",LEFT(TH!O1111,2)="15"),TK!$E$7=TH!F1111),"x","")</f>
        <v/>
      </c>
      <c r="AD1111" s="84" t="str">
        <f>IF(AND(N1111="1521",MONTH(C1111)='BK-NL'!$M$11),"x","")</f>
        <v/>
      </c>
    </row>
    <row r="1112" spans="1:31" ht="15.75" hidden="1" customHeight="1">
      <c r="A1112" s="336" t="str">
        <f>IF(B1112&lt;&gt;"",IF(AND(B1112='IN-TC'!$S$4,OR(TH!N1112="1111",TH!O1112="1111")),TH!D1112,""),"")</f>
        <v/>
      </c>
      <c r="B1112" s="63">
        <f t="shared" si="174"/>
        <v>3</v>
      </c>
      <c r="C1112" s="64">
        <v>42446</v>
      </c>
      <c r="D1112" s="318" t="s">
        <v>705</v>
      </c>
      <c r="E1112" s="64">
        <v>42446</v>
      </c>
      <c r="F1112" s="514" t="s">
        <v>1705</v>
      </c>
      <c r="G1112" s="986" t="s">
        <v>918</v>
      </c>
      <c r="H1112" s="322" t="s">
        <v>742</v>
      </c>
      <c r="I1112" s="437"/>
      <c r="J1112" s="437"/>
      <c r="K1112" s="428">
        <v>267.39999999999998</v>
      </c>
      <c r="L1112" s="437">
        <v>22320</v>
      </c>
      <c r="M1112" s="65">
        <v>5968368</v>
      </c>
      <c r="N1112" s="66" t="s">
        <v>99</v>
      </c>
      <c r="O1112" s="66" t="s">
        <v>26</v>
      </c>
      <c r="P1112" s="84" t="str">
        <f>IF(AND('331-CT'!$E$7=TH!H1112,OR(N1112="331",O1112="331")),"x","")</f>
        <v/>
      </c>
      <c r="Q1112" s="84" t="str">
        <f>IF(AND(B1112='111'!$L$11,OR($N1112=$Q$7,$O1112=$Q$7)),"x","")</f>
        <v/>
      </c>
      <c r="R1112" s="84" t="str">
        <f>IF(AND($N1112=$Q$7,$B1112&lt;'111'!$L$11),"x","")</f>
        <v/>
      </c>
      <c r="S1112" s="84" t="str">
        <f>IF(AND($O1112=$Q$7,$B1112&lt;'111'!$L$11),"x","")</f>
        <v/>
      </c>
      <c r="T1112" s="84" t="str">
        <f>IF(ISERROR(FIND('112'!$M$9,G1112,1)),"",IF((AND(FIND('112'!$M$9,G1112,1)&gt;=1,B1112='112'!$K$9,OR($N1112='112'!$I$6,$O1112='112'!$I$6))),"x",""))</f>
        <v/>
      </c>
      <c r="U1112" s="84" t="str">
        <f>IF(ISERROR(FIND('112'!$M$9,G1112,1)),"",IF((AND(LEFT(G1112,2)=LEFT('112'!$M$9,2),B1112&lt;'112'!$K$9,$N1112='112'!$I$6)),"x",""))</f>
        <v/>
      </c>
      <c r="V1112" s="84" t="str">
        <f>IF(ISERROR(FIND('112'!$M$9,G1112,1)),"",IF((AND(RIGHT(G1112,2)=RIGHT('112'!$M$9,2),B1112&lt;'112'!$K$9,$O1112='112'!$I$6)),"x",""))</f>
        <v/>
      </c>
      <c r="W1112" s="84" t="str">
        <f>IF(AND('341-CT'!$H$9=H1112,OR(LEFT(N1112,3)=$W$7,LEFT(O1112,3)=$W$7)),"x","")</f>
        <v/>
      </c>
      <c r="X1112" s="84" t="str">
        <f>IF(OR(TH!N1112=TH!$X$7,O1112=TH!$X$7),"x","")</f>
        <v/>
      </c>
      <c r="Y1112" s="84" t="str">
        <f>IF(AND(OR(N1112="131",O1112="131"),H1112='131-CT'!$H$9),"x","")</f>
        <v/>
      </c>
      <c r="Z1112" s="84"/>
      <c r="AA1112" s="84" t="str">
        <f>IF(AND(MONTH(E1112)='IN-NX'!$J$5,'IN-NX'!$D$7=D1112),"x","")</f>
        <v/>
      </c>
      <c r="AB1112" s="84" t="str">
        <f>IF(AND(OR(LEFT(TH!N1112,2)="15",LEFT(TH!O1112,2)="15"),LEFT(TH!O1112,3)&lt;&gt;"111",'152-CT'!$J$8=TH!F1112),"x","")</f>
        <v/>
      </c>
      <c r="AC1112" s="84" t="str">
        <f>IF(AND(OR(LEFT(TH!N1112,2)="15",LEFT(TH!O1112,2)="15"),TK!$E$7=TH!F1112),"x","")</f>
        <v/>
      </c>
      <c r="AD1112" s="84" t="str">
        <f>IF(AND(N1112="1521",MONTH(C1112)='BK-NL'!$M$11),"x","")</f>
        <v/>
      </c>
    </row>
    <row r="1113" spans="1:31" ht="15.75" hidden="1" customHeight="1">
      <c r="A1113" s="336" t="str">
        <f>IF(B1113&lt;&gt;"",IF(AND(B1113='IN-TC'!$S$4,OR(TH!N1113="1111",TH!O1113="1111")),TH!D1113,""),"")</f>
        <v/>
      </c>
      <c r="B1113" s="63">
        <f t="shared" si="174"/>
        <v>3</v>
      </c>
      <c r="C1113" s="64">
        <v>42446</v>
      </c>
      <c r="D1113" s="318" t="s">
        <v>705</v>
      </c>
      <c r="E1113" s="64">
        <v>42446</v>
      </c>
      <c r="F1113" s="514" t="s">
        <v>758</v>
      </c>
      <c r="G1113" s="986" t="s">
        <v>918</v>
      </c>
      <c r="H1113" s="322" t="s">
        <v>730</v>
      </c>
      <c r="I1113" s="437"/>
      <c r="J1113" s="437"/>
      <c r="K1113" s="428">
        <v>199.85</v>
      </c>
      <c r="L1113" s="437">
        <v>22320</v>
      </c>
      <c r="M1113" s="65">
        <v>4460652</v>
      </c>
      <c r="N1113" s="66" t="s">
        <v>99</v>
      </c>
      <c r="O1113" s="66" t="s">
        <v>26</v>
      </c>
      <c r="P1113" s="84" t="str">
        <f>IF(AND('331-CT'!$E$7=TH!H1113,OR(N1113="331",O1113="331")),"x","")</f>
        <v/>
      </c>
      <c r="Q1113" s="84" t="str">
        <f>IF(AND(B1113='111'!$L$11,OR($N1113=$Q$7,$O1113=$Q$7)),"x","")</f>
        <v/>
      </c>
      <c r="R1113" s="84" t="str">
        <f>IF(AND($N1113=$Q$7,$B1113&lt;'111'!$L$11),"x","")</f>
        <v/>
      </c>
      <c r="S1113" s="84" t="str">
        <f>IF(AND($O1113=$Q$7,$B1113&lt;'111'!$L$11),"x","")</f>
        <v/>
      </c>
      <c r="T1113" s="84" t="str">
        <f>IF(ISERROR(FIND('112'!$M$9,G1113,1)),"",IF((AND(FIND('112'!$M$9,G1113,1)&gt;=1,B1113='112'!$K$9,OR($N1113='112'!$I$6,$O1113='112'!$I$6))),"x",""))</f>
        <v/>
      </c>
      <c r="U1113" s="84" t="str">
        <f>IF(ISERROR(FIND('112'!$M$9,G1113,1)),"",IF((AND(LEFT(G1113,2)=LEFT('112'!$M$9,2),B1113&lt;'112'!$K$9,$N1113='112'!$I$6)),"x",""))</f>
        <v/>
      </c>
      <c r="V1113" s="84" t="str">
        <f>IF(ISERROR(FIND('112'!$M$9,G1113,1)),"",IF((AND(RIGHT(G1113,2)=RIGHT('112'!$M$9,2),B1113&lt;'112'!$K$9,$O1113='112'!$I$6)),"x",""))</f>
        <v/>
      </c>
      <c r="W1113" s="84" t="str">
        <f>IF(AND('341-CT'!$H$9=H1113,OR(LEFT(N1113,3)=$W$7,LEFT(O1113,3)=$W$7)),"x","")</f>
        <v/>
      </c>
      <c r="X1113" s="84" t="str">
        <f>IF(OR(TH!N1113=TH!$X$7,O1113=TH!$X$7),"x","")</f>
        <v/>
      </c>
      <c r="Y1113" s="84" t="str">
        <f>IF(AND(OR(N1113="131",O1113="131"),H1113='131-CT'!$H$9),"x","")</f>
        <v/>
      </c>
      <c r="Z1113" s="84"/>
      <c r="AA1113" s="84" t="str">
        <f>IF(AND(MONTH(E1113)='IN-NX'!$J$5,'IN-NX'!$D$7=D1113),"x","")</f>
        <v/>
      </c>
      <c r="AB1113" s="84" t="str">
        <f>IF(AND(OR(LEFT(TH!N1113,2)="15",LEFT(TH!O1113,2)="15"),LEFT(TH!O1113,3)&lt;&gt;"111",'152-CT'!$J$8=TH!F1113),"x","")</f>
        <v/>
      </c>
      <c r="AC1113" s="84" t="str">
        <f>IF(AND(OR(LEFT(TH!N1113,2)="15",LEFT(TH!O1113,2)="15"),TK!$E$7=TH!F1113),"x","")</f>
        <v/>
      </c>
      <c r="AD1113" s="84" t="str">
        <f>IF(AND(N1113="1521",MONTH(C1113)='BK-NL'!$M$11),"x","")</f>
        <v/>
      </c>
    </row>
    <row r="1114" spans="1:31" ht="15.75" hidden="1" customHeight="1">
      <c r="A1114" s="336" t="str">
        <f>IF(B1114&lt;&gt;"",IF(AND(B1114='IN-TC'!$S$4,OR(TH!N1114="1111",TH!O1114="1111")),TH!D1114,""),"")</f>
        <v/>
      </c>
      <c r="B1114" s="63">
        <f t="shared" si="174"/>
        <v>3</v>
      </c>
      <c r="C1114" s="64">
        <v>42446</v>
      </c>
      <c r="D1114" s="318" t="s">
        <v>705</v>
      </c>
      <c r="E1114" s="64">
        <v>42446</v>
      </c>
      <c r="F1114" s="73" t="s">
        <v>1202</v>
      </c>
      <c r="G1114" s="986" t="s">
        <v>918</v>
      </c>
      <c r="H1114" s="73"/>
      <c r="I1114" s="439"/>
      <c r="J1114" s="439"/>
      <c r="K1114" s="430"/>
      <c r="L1114" s="439"/>
      <c r="M1114" s="65">
        <v>50000</v>
      </c>
      <c r="N1114" s="66" t="s">
        <v>101</v>
      </c>
      <c r="O1114" s="66" t="s">
        <v>26</v>
      </c>
      <c r="P1114" s="84" t="str">
        <f>IF(AND('331-CT'!$E$7=TH!H1114,OR(N1114="331",O1114="331")),"x","")</f>
        <v/>
      </c>
      <c r="Q1114" s="84" t="str">
        <f>IF(AND(B1114='111'!$L$11,OR($N1114=$Q$7,$O1114=$Q$7)),"x","")</f>
        <v/>
      </c>
      <c r="R1114" s="84" t="str">
        <f>IF(AND($N1114=$Q$7,$B1114&lt;'111'!$L$11),"x","")</f>
        <v/>
      </c>
      <c r="S1114" s="84" t="str">
        <f>IF(AND($O1114=$Q$7,$B1114&lt;'111'!$L$11),"x","")</f>
        <v/>
      </c>
      <c r="T1114" s="84" t="str">
        <f>IF(ISERROR(FIND('112'!$M$9,G1114,1)),"",IF((AND(FIND('112'!$M$9,G1114,1)&gt;=1,B1114='112'!$K$9,OR($N1114='112'!$I$6,$O1114='112'!$I$6))),"x",""))</f>
        <v/>
      </c>
      <c r="U1114" s="84" t="str">
        <f>IF(ISERROR(FIND('112'!$M$9,G1114,1)),"",IF((AND(LEFT(G1114,2)=LEFT('112'!$M$9,2),B1114&lt;'112'!$K$9,$N1114='112'!$I$6)),"x",""))</f>
        <v/>
      </c>
      <c r="V1114" s="84" t="str">
        <f>IF(ISERROR(FIND('112'!$M$9,G1114,1)),"",IF((AND(RIGHT(G1114,2)=RIGHT('112'!$M$9,2),B1114&lt;'112'!$K$9,$O1114='112'!$I$6)),"x",""))</f>
        <v/>
      </c>
      <c r="W1114" s="84" t="str">
        <f>IF(AND('341-CT'!$H$9=H1114,OR(LEFT(N1114,3)=$W$7,LEFT(O1114,3)=$W$7)),"x","")</f>
        <v/>
      </c>
      <c r="X1114" s="84" t="str">
        <f>IF(OR(TH!N1114=TH!$X$7,O1114=TH!$X$7),"x","")</f>
        <v/>
      </c>
      <c r="Y1114" s="84" t="str">
        <f>IF(AND(OR(N1114="131",O1114="131"),H1114='131-CT'!$H$9),"x","")</f>
        <v/>
      </c>
      <c r="Z1114" s="84"/>
      <c r="AA1114" s="84" t="str">
        <f>IF(AND(MONTH(E1114)='IN-NX'!$J$5,'IN-NX'!$D$7=D1114),"x","")</f>
        <v/>
      </c>
      <c r="AB1114" s="84" t="str">
        <f>IF(AND(OR(LEFT(TH!N1114,2)="15",LEFT(TH!O1114,2)="15"),LEFT(TH!O1114,3)&lt;&gt;"111",'152-CT'!$J$8=TH!F1114),"x","")</f>
        <v/>
      </c>
      <c r="AC1114" s="84" t="str">
        <f>IF(AND(OR(LEFT(TH!N1114,2)="15",LEFT(TH!O1114,2)="15"),TK!$E$7=TH!F1114),"x","")</f>
        <v/>
      </c>
      <c r="AD1114" s="84" t="str">
        <f>IF(AND(N1114="1521",MONTH(C1114)='BK-NL'!$M$11),"x","")</f>
        <v/>
      </c>
    </row>
    <row r="1115" spans="1:31" ht="15.75" hidden="1" customHeight="1">
      <c r="A1115" s="336" t="str">
        <f>IF(B1115&lt;&gt;"",IF(AND(B1115='IN-TC'!$S$4,OR(TH!N1115="1111",TH!O1115="1111")),TH!D1115,""),"")</f>
        <v/>
      </c>
      <c r="B1115" s="63">
        <f t="shared" si="174"/>
        <v>3</v>
      </c>
      <c r="C1115" s="64">
        <v>42446</v>
      </c>
      <c r="D1115" s="318" t="s">
        <v>705</v>
      </c>
      <c r="E1115" s="64">
        <v>42446</v>
      </c>
      <c r="F1115" s="73" t="s">
        <v>1204</v>
      </c>
      <c r="G1115" s="67" t="s">
        <v>918</v>
      </c>
      <c r="H1115" s="73"/>
      <c r="I1115" s="439"/>
      <c r="J1115" s="439"/>
      <c r="K1115" s="430"/>
      <c r="L1115" s="439"/>
      <c r="M1115" s="65">
        <v>5000</v>
      </c>
      <c r="N1115" s="66" t="s">
        <v>9</v>
      </c>
      <c r="O1115" s="66" t="s">
        <v>26</v>
      </c>
      <c r="P1115" s="84" t="str">
        <f>IF(AND('331-CT'!$E$7=TH!H1115,OR(N1115="331",O1115="331")),"x","")</f>
        <v/>
      </c>
      <c r="Q1115" s="84" t="str">
        <f>IF(AND(B1115='111'!$L$11,OR($N1115=$Q$7,$O1115=$Q$7)),"x","")</f>
        <v/>
      </c>
      <c r="R1115" s="84" t="str">
        <f>IF(AND($N1115=$Q$7,$B1115&lt;'111'!$L$11),"x","")</f>
        <v/>
      </c>
      <c r="S1115" s="84" t="str">
        <f>IF(AND($O1115=$Q$7,$B1115&lt;'111'!$L$11),"x","")</f>
        <v/>
      </c>
      <c r="T1115" s="84" t="str">
        <f>IF(ISERROR(FIND('112'!$M$9,G1115,1)),"",IF((AND(FIND('112'!$M$9,G1115,1)&gt;=1,B1115='112'!$K$9,OR($N1115='112'!$I$6,$O1115='112'!$I$6))),"x",""))</f>
        <v/>
      </c>
      <c r="U1115" s="84" t="str">
        <f>IF(ISERROR(FIND('112'!$M$9,G1115,1)),"",IF((AND(LEFT(G1115,2)=LEFT('112'!$M$9,2),B1115&lt;'112'!$K$9,$N1115='112'!$I$6)),"x",""))</f>
        <v/>
      </c>
      <c r="V1115" s="84" t="str">
        <f>IF(ISERROR(FIND('112'!$M$9,G1115,1)),"",IF((AND(RIGHT(G1115,2)=RIGHT('112'!$M$9,2),B1115&lt;'112'!$K$9,$O1115='112'!$I$6)),"x",""))</f>
        <v/>
      </c>
      <c r="W1115" s="84" t="str">
        <f>IF(AND('341-CT'!$H$9=H1115,OR(LEFT(N1115,3)=$W$7,LEFT(O1115,3)=$W$7)),"x","")</f>
        <v/>
      </c>
      <c r="X1115" s="84" t="str">
        <f>IF(OR(TH!N1115=TH!$X$7,O1115=TH!$X$7),"x","")</f>
        <v/>
      </c>
      <c r="Y1115" s="84" t="str">
        <f>IF(AND(OR(N1115="131",O1115="131"),H1115='131-CT'!$H$9),"x","")</f>
        <v/>
      </c>
      <c r="Z1115" s="84"/>
      <c r="AA1115" s="84" t="str">
        <f>IF(AND(MONTH(E1115)='IN-NX'!$J$5,'IN-NX'!$D$7=D1115),"x","")</f>
        <v/>
      </c>
      <c r="AB1115" s="84" t="str">
        <f>IF(AND(OR(LEFT(TH!N1115,2)="15",LEFT(TH!O1115,2)="15"),LEFT(TH!O1115,3)&lt;&gt;"111",'152-CT'!$J$8=TH!F1115),"x","")</f>
        <v/>
      </c>
      <c r="AC1115" s="84" t="str">
        <f>IF(AND(OR(LEFT(TH!N1115,2)="15",LEFT(TH!O1115,2)="15"),TK!$E$7=TH!F1115),"x","")</f>
        <v/>
      </c>
      <c r="AD1115" s="84" t="str">
        <f>IF(AND(N1115="1521",MONTH(C1115)='BK-NL'!$M$11),"x","")</f>
        <v/>
      </c>
    </row>
    <row r="1116" spans="1:31" ht="15.75" hidden="1" customHeight="1">
      <c r="A1116" s="336" t="str">
        <f>IF(B1116&lt;&gt;"",IF(AND(B1116='IN-TC'!$S$4,OR(TH!N1116="1111",TH!O1116="1111")),TH!D1116,""),"")</f>
        <v/>
      </c>
      <c r="B1116" s="63">
        <f t="shared" si="174"/>
        <v>3</v>
      </c>
      <c r="C1116" s="64">
        <v>42446</v>
      </c>
      <c r="D1116" s="318" t="s">
        <v>705</v>
      </c>
      <c r="E1116" s="64">
        <v>42446</v>
      </c>
      <c r="F1116" s="73" t="s">
        <v>1203</v>
      </c>
      <c r="G1116" s="67" t="s">
        <v>918</v>
      </c>
      <c r="H1116" s="73"/>
      <c r="I1116" s="439"/>
      <c r="J1116" s="439"/>
      <c r="K1116" s="430"/>
      <c r="L1116" s="439"/>
      <c r="M1116" s="65">
        <v>50000</v>
      </c>
      <c r="N1116" s="66" t="s">
        <v>101</v>
      </c>
      <c r="O1116" s="66" t="s">
        <v>26</v>
      </c>
      <c r="P1116" s="84" t="str">
        <f>IF(AND('331-CT'!$E$7=TH!H1116,OR(N1116="331",O1116="331")),"x","")</f>
        <v/>
      </c>
      <c r="Q1116" s="84" t="str">
        <f>IF(AND(B1116='111'!$L$11,OR($N1116=$Q$7,$O1116=$Q$7)),"x","")</f>
        <v/>
      </c>
      <c r="R1116" s="84" t="str">
        <f>IF(AND($N1116=$Q$7,$B1116&lt;'111'!$L$11),"x","")</f>
        <v/>
      </c>
      <c r="S1116" s="84" t="str">
        <f>IF(AND($O1116=$Q$7,$B1116&lt;'111'!$L$11),"x","")</f>
        <v/>
      </c>
      <c r="T1116" s="84" t="str">
        <f>IF(ISERROR(FIND('112'!$M$9,G1116,1)),"",IF((AND(FIND('112'!$M$9,G1116,1)&gt;=1,B1116='112'!$K$9,OR($N1116='112'!$I$6,$O1116='112'!$I$6))),"x",""))</f>
        <v/>
      </c>
      <c r="U1116" s="84" t="str">
        <f>IF(ISERROR(FIND('112'!$M$9,G1116,1)),"",IF((AND(LEFT(G1116,2)=LEFT('112'!$M$9,2),B1116&lt;'112'!$K$9,$N1116='112'!$I$6)),"x",""))</f>
        <v/>
      </c>
      <c r="V1116" s="84" t="str">
        <f>IF(ISERROR(FIND('112'!$M$9,G1116,1)),"",IF((AND(RIGHT(G1116,2)=RIGHT('112'!$M$9,2),B1116&lt;'112'!$K$9,$O1116='112'!$I$6)),"x",""))</f>
        <v/>
      </c>
      <c r="W1116" s="84" t="str">
        <f>IF(AND('341-CT'!$H$9=H1116,OR(LEFT(N1116,3)=$W$7,LEFT(O1116,3)=$W$7)),"x","")</f>
        <v/>
      </c>
      <c r="X1116" s="84" t="str">
        <f>IF(OR(TH!N1116=TH!$X$7,O1116=TH!$X$7),"x","")</f>
        <v/>
      </c>
      <c r="Y1116" s="84" t="str">
        <f>IF(AND(OR(N1116="131",O1116="131"),H1116='131-CT'!$H$9),"x","")</f>
        <v/>
      </c>
      <c r="Z1116" s="84"/>
      <c r="AA1116" s="84" t="str">
        <f>IF(AND(MONTH(E1116)='IN-NX'!$J$5,'IN-NX'!$D$7=D1116),"x","")</f>
        <v/>
      </c>
      <c r="AB1116" s="84" t="str">
        <f>IF(AND(OR(LEFT(TH!N1116,2)="15",LEFT(TH!O1116,2)="15"),LEFT(TH!O1116,3)&lt;&gt;"111",'152-CT'!$J$8=TH!F1116),"x","")</f>
        <v/>
      </c>
      <c r="AC1116" s="84" t="str">
        <f>IF(AND(OR(LEFT(TH!N1116,2)="15",LEFT(TH!O1116,2)="15"),TK!$E$7=TH!F1116),"x","")</f>
        <v/>
      </c>
      <c r="AD1116" s="84" t="str">
        <f>IF(AND(N1116="1521",MONTH(C1116)='BK-NL'!$M$11),"x","")</f>
        <v/>
      </c>
    </row>
    <row r="1117" spans="1:31" ht="15.75" hidden="1" customHeight="1">
      <c r="A1117" s="336" t="str">
        <f>IF(B1117&lt;&gt;"",IF(AND(B1117='IN-TC'!$S$4,OR(TH!N1117="1111",TH!O1117="1111")),TH!D1117,""),"")</f>
        <v/>
      </c>
      <c r="B1117" s="63">
        <f t="shared" si="174"/>
        <v>3</v>
      </c>
      <c r="C1117" s="64">
        <v>42446</v>
      </c>
      <c r="D1117" s="318" t="s">
        <v>705</v>
      </c>
      <c r="E1117" s="64">
        <v>42446</v>
      </c>
      <c r="F1117" s="73" t="s">
        <v>1204</v>
      </c>
      <c r="G1117" s="67" t="s">
        <v>918</v>
      </c>
      <c r="H1117" s="73"/>
      <c r="I1117" s="439"/>
      <c r="J1117" s="439"/>
      <c r="K1117" s="430"/>
      <c r="L1117" s="439"/>
      <c r="M1117" s="65">
        <v>5000</v>
      </c>
      <c r="N1117" s="66" t="s">
        <v>9</v>
      </c>
      <c r="O1117" s="66" t="s">
        <v>26</v>
      </c>
      <c r="P1117" s="84" t="str">
        <f>IF(AND('331-CT'!$E$7=TH!H1117,OR(N1117="331",O1117="331")),"x","")</f>
        <v/>
      </c>
      <c r="Q1117" s="84" t="str">
        <f>IF(AND(B1117='111'!$L$11,OR($N1117=$Q$7,$O1117=$Q$7)),"x","")</f>
        <v/>
      </c>
      <c r="R1117" s="84" t="str">
        <f>IF(AND($N1117=$Q$7,$B1117&lt;'111'!$L$11),"x","")</f>
        <v/>
      </c>
      <c r="S1117" s="84" t="str">
        <f>IF(AND($O1117=$Q$7,$B1117&lt;'111'!$L$11),"x","")</f>
        <v/>
      </c>
      <c r="T1117" s="84" t="str">
        <f>IF(ISERROR(FIND('112'!$M$9,G1117,1)),"",IF((AND(FIND('112'!$M$9,G1117,1)&gt;=1,B1117='112'!$K$9,OR($N1117='112'!$I$6,$O1117='112'!$I$6))),"x",""))</f>
        <v/>
      </c>
      <c r="U1117" s="84" t="str">
        <f>IF(ISERROR(FIND('112'!$M$9,G1117,1)),"",IF((AND(LEFT(G1117,2)=LEFT('112'!$M$9,2),B1117&lt;'112'!$K$9,$N1117='112'!$I$6)),"x",""))</f>
        <v/>
      </c>
      <c r="V1117" s="84" t="str">
        <f>IF(ISERROR(FIND('112'!$M$9,G1117,1)),"",IF((AND(RIGHT(G1117,2)=RIGHT('112'!$M$9,2),B1117&lt;'112'!$K$9,$O1117='112'!$I$6)),"x",""))</f>
        <v/>
      </c>
      <c r="W1117" s="84" t="str">
        <f>IF(AND('341-CT'!$H$9=H1117,OR(LEFT(N1117,3)=$W$7,LEFT(O1117,3)=$W$7)),"x","")</f>
        <v/>
      </c>
      <c r="X1117" s="84" t="str">
        <f>IF(OR(TH!N1117=TH!$X$7,O1117=TH!$X$7),"x","")</f>
        <v/>
      </c>
      <c r="Y1117" s="84" t="str">
        <f>IF(AND(OR(N1117="131",O1117="131"),H1117='131-CT'!$H$9),"x","")</f>
        <v/>
      </c>
      <c r="Z1117" s="84"/>
      <c r="AA1117" s="84" t="str">
        <f>IF(AND(MONTH(E1117)='IN-NX'!$J$5,'IN-NX'!$D$7=D1117),"x","")</f>
        <v/>
      </c>
      <c r="AB1117" s="84" t="str">
        <f>IF(AND(OR(LEFT(TH!N1117,2)="15",LEFT(TH!O1117,2)="15"),LEFT(TH!O1117,3)&lt;&gt;"111",'152-CT'!$J$8=TH!F1117),"x","")</f>
        <v/>
      </c>
      <c r="AC1117" s="84" t="str">
        <f>IF(AND(OR(LEFT(TH!N1117,2)="15",LEFT(TH!O1117,2)="15"),TK!$E$7=TH!F1117),"x","")</f>
        <v/>
      </c>
      <c r="AD1117" s="84" t="str">
        <f>IF(AND(N1117="1521",MONTH(C1117)='BK-NL'!$M$11),"x","")</f>
        <v/>
      </c>
    </row>
    <row r="1118" spans="1:31" ht="15.75" hidden="1" customHeight="1">
      <c r="A1118" s="336" t="str">
        <f>IF(B1118&lt;&gt;"",IF(AND(B1118='IN-TC'!$S$4,OR(TH!N1118="1111",TH!O1118="1111")),TH!D1118,""),"")</f>
        <v/>
      </c>
      <c r="B1118" s="63">
        <f t="shared" si="174"/>
        <v>3</v>
      </c>
      <c r="C1118" s="64">
        <v>42447</v>
      </c>
      <c r="D1118" s="318" t="s">
        <v>904</v>
      </c>
      <c r="E1118" s="64">
        <v>42447</v>
      </c>
      <c r="F1118" s="73" t="s">
        <v>1114</v>
      </c>
      <c r="G1118" s="67" t="s">
        <v>1343</v>
      </c>
      <c r="H1118" s="344" t="s">
        <v>808</v>
      </c>
      <c r="I1118" s="439"/>
      <c r="J1118" s="439"/>
      <c r="K1118" s="430"/>
      <c r="L1118" s="439"/>
      <c r="M1118" s="65">
        <v>551727</v>
      </c>
      <c r="N1118" s="66" t="s">
        <v>101</v>
      </c>
      <c r="O1118" s="66" t="s">
        <v>63</v>
      </c>
      <c r="P1118" s="84" t="str">
        <f>IF(AND('331-CT'!$E$7=TH!H1118,OR(N1118="331",O1118="331")),"x","")</f>
        <v/>
      </c>
      <c r="Q1118" s="84" t="str">
        <f>IF(AND(B1118='111'!$L$11,OR($N1118=$Q$7,$O1118=$Q$7)),"x","")</f>
        <v/>
      </c>
      <c r="R1118" s="84" t="str">
        <f>IF(AND($N1118=$Q$7,$B1118&lt;'111'!$L$11),"x","")</f>
        <v/>
      </c>
      <c r="S1118" s="84" t="str">
        <f>IF(AND($O1118=$Q$7,$B1118&lt;'111'!$L$11),"x","")</f>
        <v/>
      </c>
      <c r="T1118" s="84" t="str">
        <f>IF(ISERROR(FIND('112'!$M$9,G1118,1)),"",IF((AND(FIND('112'!$M$9,G1118,1)&gt;=1,B1118='112'!$K$9,OR($N1118='112'!$I$6,$O1118='112'!$I$6))),"x",""))</f>
        <v/>
      </c>
      <c r="U1118" s="84" t="str">
        <f>IF(ISERROR(FIND('112'!$M$9,G1118,1)),"",IF((AND(LEFT(G1118,2)=LEFT('112'!$M$9,2),B1118&lt;'112'!$K$9,$N1118='112'!$I$6)),"x",""))</f>
        <v/>
      </c>
      <c r="V1118" s="84" t="str">
        <f>IF(ISERROR(FIND('112'!$M$9,G1118,1)),"",IF((AND(RIGHT(G1118,2)=RIGHT('112'!$M$9,2),B1118&lt;'112'!$K$9,$O1118='112'!$I$6)),"x",""))</f>
        <v/>
      </c>
      <c r="W1118" s="84" t="str">
        <f>IF(AND('341-CT'!$H$9=H1118,OR(LEFT(N1118,3)=$W$7,LEFT(O1118,3)=$W$7)),"x","")</f>
        <v/>
      </c>
      <c r="X1118" s="84" t="str">
        <f>IF(OR(TH!N1118=TH!$X$7,O1118=TH!$X$7),"x","")</f>
        <v/>
      </c>
      <c r="Y1118" s="84" t="str">
        <f>IF(AND(OR(N1118="131",O1118="131"),H1118='131-CT'!$H$9),"x","")</f>
        <v/>
      </c>
      <c r="Z1118" s="84"/>
      <c r="AA1118" s="84" t="str">
        <f>IF(AND(MONTH(E1118)='IN-NX'!$J$5,'IN-NX'!$D$7=D1118),"x","")</f>
        <v/>
      </c>
      <c r="AB1118" s="84" t="str">
        <f>IF(AND(OR(LEFT(TH!N1118,2)="15",LEFT(TH!O1118,2)="15"),LEFT(TH!O1118,3)&lt;&gt;"111",'152-CT'!$J$8=TH!F1118),"x","")</f>
        <v/>
      </c>
      <c r="AC1118" s="84" t="str">
        <f>IF(AND(OR(LEFT(TH!N1118,2)="15",LEFT(TH!O1118,2)="15"),TK!$E$7=TH!F1118),"x","")</f>
        <v/>
      </c>
      <c r="AD1118" s="84" t="str">
        <f>IF(AND(N1118="1521",MONTH(C1118)='BK-NL'!$M$11),"x","")</f>
        <v/>
      </c>
    </row>
    <row r="1119" spans="1:31" ht="15.75" hidden="1" customHeight="1">
      <c r="A1119" s="336" t="str">
        <f>IF(B1119&lt;&gt;"",IF(AND(B1119='IN-TC'!$S$4,OR(TH!N1119="1111",TH!O1119="1111")),TH!D1119,""),"")</f>
        <v/>
      </c>
      <c r="B1119" s="63">
        <f t="shared" si="174"/>
        <v>3</v>
      </c>
      <c r="C1119" s="64">
        <v>42447</v>
      </c>
      <c r="D1119" s="318" t="s">
        <v>904</v>
      </c>
      <c r="E1119" s="64">
        <v>42447</v>
      </c>
      <c r="F1119" s="73" t="s">
        <v>1344</v>
      </c>
      <c r="G1119" s="67" t="s">
        <v>1343</v>
      </c>
      <c r="H1119" s="73" t="s">
        <v>808</v>
      </c>
      <c r="I1119" s="439"/>
      <c r="J1119" s="439"/>
      <c r="K1119" s="430"/>
      <c r="L1119" s="439"/>
      <c r="M1119" s="65">
        <v>55173</v>
      </c>
      <c r="N1119" s="66" t="s">
        <v>9</v>
      </c>
      <c r="O1119" s="66" t="s">
        <v>63</v>
      </c>
      <c r="P1119" s="84" t="str">
        <f>IF(AND('331-CT'!$E$7=TH!H1119,OR(N1119="331",O1119="331")),"x","")</f>
        <v/>
      </c>
      <c r="Q1119" s="84" t="str">
        <f>IF(AND(B1119='111'!$L$11,OR($N1119=$Q$7,$O1119=$Q$7)),"x","")</f>
        <v/>
      </c>
      <c r="R1119" s="84" t="str">
        <f>IF(AND($N1119=$Q$7,$B1119&lt;'111'!$L$11),"x","")</f>
        <v/>
      </c>
      <c r="S1119" s="84" t="str">
        <f>IF(AND($O1119=$Q$7,$B1119&lt;'111'!$L$11),"x","")</f>
        <v/>
      </c>
      <c r="T1119" s="84" t="str">
        <f>IF(ISERROR(FIND('112'!$M$9,G1119,1)),"",IF((AND(FIND('112'!$M$9,G1119,1)&gt;=1,B1119='112'!$K$9,OR($N1119='112'!$I$6,$O1119='112'!$I$6))),"x",""))</f>
        <v/>
      </c>
      <c r="U1119" s="84" t="str">
        <f>IF(ISERROR(FIND('112'!$M$9,G1119,1)),"",IF((AND(LEFT(G1119,2)=LEFT('112'!$M$9,2),B1119&lt;'112'!$K$9,$N1119='112'!$I$6)),"x",""))</f>
        <v/>
      </c>
      <c r="V1119" s="84" t="str">
        <f>IF(ISERROR(FIND('112'!$M$9,G1119,1)),"",IF((AND(RIGHT(G1119,2)=RIGHT('112'!$M$9,2),B1119&lt;'112'!$K$9,$O1119='112'!$I$6)),"x",""))</f>
        <v/>
      </c>
      <c r="W1119" s="84" t="str">
        <f>IF(AND('341-CT'!$H$9=H1119,OR(LEFT(N1119,3)=$W$7,LEFT(O1119,3)=$W$7)),"x","")</f>
        <v/>
      </c>
      <c r="X1119" s="84" t="str">
        <f>IF(OR(TH!N1119=TH!$X$7,O1119=TH!$X$7),"x","")</f>
        <v/>
      </c>
      <c r="Y1119" s="84" t="str">
        <f>IF(AND(OR(N1119="131",O1119="131"),H1119='131-CT'!$H$9),"x","")</f>
        <v/>
      </c>
      <c r="Z1119" s="84"/>
      <c r="AA1119" s="84" t="str">
        <f>IF(AND(MONTH(E1119)='IN-NX'!$J$5,'IN-NX'!$D$7=D1119),"x","")</f>
        <v/>
      </c>
      <c r="AB1119" s="84" t="str">
        <f>IF(AND(OR(LEFT(TH!N1119,2)="15",LEFT(TH!O1119,2)="15"),LEFT(TH!O1119,3)&lt;&gt;"111",'152-CT'!$J$8=TH!F1119),"x","")</f>
        <v/>
      </c>
      <c r="AC1119" s="84" t="str">
        <f>IF(AND(OR(LEFT(TH!N1119,2)="15",LEFT(TH!O1119,2)="15"),TK!$E$7=TH!F1119),"x","")</f>
        <v/>
      </c>
      <c r="AD1119" s="84" t="str">
        <f>IF(AND(N1119="1521",MONTH(C1119)='BK-NL'!$M$11),"x","")</f>
        <v/>
      </c>
    </row>
    <row r="1120" spans="1:31" ht="15.75" hidden="1" customHeight="1">
      <c r="A1120" s="336" t="str">
        <f>IF(B1120&lt;&gt;"",IF(AND(B1120='IN-TC'!$S$4,OR(TH!N1120="1111",TH!O1120="1111")),TH!D1120,""),"")</f>
        <v/>
      </c>
      <c r="B1120" s="63">
        <f t="shared" si="174"/>
        <v>3</v>
      </c>
      <c r="C1120" s="64">
        <v>42449</v>
      </c>
      <c r="D1120" s="318" t="s">
        <v>905</v>
      </c>
      <c r="E1120" s="64">
        <v>42449</v>
      </c>
      <c r="F1120" s="73" t="s">
        <v>1114</v>
      </c>
      <c r="G1120" s="67" t="s">
        <v>1345</v>
      </c>
      <c r="H1120" s="73" t="s">
        <v>808</v>
      </c>
      <c r="I1120" s="439"/>
      <c r="J1120" s="439"/>
      <c r="K1120" s="430"/>
      <c r="L1120" s="439"/>
      <c r="M1120" s="65">
        <v>446636</v>
      </c>
      <c r="N1120" s="66" t="s">
        <v>101</v>
      </c>
      <c r="O1120" s="66" t="s">
        <v>63</v>
      </c>
      <c r="P1120" s="84" t="str">
        <f>IF(AND('331-CT'!$E$7=TH!H1120,OR(N1120="331",O1120="331")),"x","")</f>
        <v/>
      </c>
      <c r="Q1120" s="84" t="str">
        <f>IF(AND(B1120='111'!$L$11,OR($N1120=$Q$7,$O1120=$Q$7)),"x","")</f>
        <v/>
      </c>
      <c r="R1120" s="84" t="str">
        <f>IF(AND($N1120=$Q$7,$B1120&lt;'111'!$L$11),"x","")</f>
        <v/>
      </c>
      <c r="S1120" s="84" t="str">
        <f>IF(AND($O1120=$Q$7,$B1120&lt;'111'!$L$11),"x","")</f>
        <v/>
      </c>
      <c r="T1120" s="84" t="str">
        <f>IF(ISERROR(FIND('112'!$M$9,G1120,1)),"",IF((AND(FIND('112'!$M$9,G1120,1)&gt;=1,B1120='112'!$K$9,OR($N1120='112'!$I$6,$O1120='112'!$I$6))),"x",""))</f>
        <v/>
      </c>
      <c r="U1120" s="84" t="str">
        <f>IF(ISERROR(FIND('112'!$M$9,G1120,1)),"",IF((AND(LEFT(G1120,2)=LEFT('112'!$M$9,2),B1120&lt;'112'!$K$9,$N1120='112'!$I$6)),"x",""))</f>
        <v/>
      </c>
      <c r="V1120" s="84" t="str">
        <f>IF(ISERROR(FIND('112'!$M$9,G1120,1)),"",IF((AND(RIGHT(G1120,2)=RIGHT('112'!$M$9,2),B1120&lt;'112'!$K$9,$O1120='112'!$I$6)),"x",""))</f>
        <v/>
      </c>
      <c r="W1120" s="84" t="str">
        <f>IF(AND('341-CT'!$H$9=H1120,OR(LEFT(N1120,3)=$W$7,LEFT(O1120,3)=$W$7)),"x","")</f>
        <v/>
      </c>
      <c r="X1120" s="84" t="str">
        <f>IF(OR(TH!N1120=TH!$X$7,O1120=TH!$X$7),"x","")</f>
        <v/>
      </c>
      <c r="Y1120" s="84" t="str">
        <f>IF(AND(OR(N1120="131",O1120="131"),H1120='131-CT'!$H$9),"x","")</f>
        <v/>
      </c>
      <c r="Z1120" s="84"/>
      <c r="AA1120" s="84" t="str">
        <f>IF(AND(MONTH(E1120)='IN-NX'!$J$5,'IN-NX'!$D$7=D1120),"x","")</f>
        <v/>
      </c>
      <c r="AB1120" s="84" t="str">
        <f>IF(AND(OR(LEFT(TH!N1120,2)="15",LEFT(TH!O1120,2)="15"),LEFT(TH!O1120,3)&lt;&gt;"111",'152-CT'!$J$8=TH!F1120),"x","")</f>
        <v/>
      </c>
      <c r="AC1120" s="84" t="str">
        <f>IF(AND(OR(LEFT(TH!N1120,2)="15",LEFT(TH!O1120,2)="15"),TK!$E$7=TH!F1120),"x","")</f>
        <v/>
      </c>
      <c r="AD1120" s="84" t="str">
        <f>IF(AND(N1120="1521",MONTH(C1120)='BK-NL'!$M$11),"x","")</f>
        <v/>
      </c>
    </row>
    <row r="1121" spans="1:31" ht="15.75" hidden="1" customHeight="1">
      <c r="A1121" s="336" t="str">
        <f>IF(B1121&lt;&gt;"",IF(AND(B1121='IN-TC'!$S$4,OR(TH!N1121="1111",TH!O1121="1111")),TH!D1121,""),"")</f>
        <v/>
      </c>
      <c r="B1121" s="63">
        <f t="shared" si="174"/>
        <v>3</v>
      </c>
      <c r="C1121" s="64">
        <v>42449</v>
      </c>
      <c r="D1121" s="318" t="s">
        <v>905</v>
      </c>
      <c r="E1121" s="64">
        <v>42449</v>
      </c>
      <c r="F1121" s="73" t="s">
        <v>1344</v>
      </c>
      <c r="G1121" s="67" t="s">
        <v>1345</v>
      </c>
      <c r="H1121" s="344" t="s">
        <v>808</v>
      </c>
      <c r="I1121" s="439"/>
      <c r="J1121" s="439"/>
      <c r="K1121" s="430"/>
      <c r="L1121" s="439"/>
      <c r="M1121" s="65">
        <v>44664</v>
      </c>
      <c r="N1121" s="66" t="s">
        <v>9</v>
      </c>
      <c r="O1121" s="66" t="s">
        <v>63</v>
      </c>
      <c r="P1121" s="84" t="str">
        <f>IF(AND('331-CT'!$E$7=TH!H1121,OR(N1121="331",O1121="331")),"x","")</f>
        <v/>
      </c>
      <c r="Q1121" s="84" t="str">
        <f>IF(AND(B1121='111'!$L$11,OR($N1121=$Q$7,$O1121=$Q$7)),"x","")</f>
        <v/>
      </c>
      <c r="R1121" s="84" t="str">
        <f>IF(AND($N1121=$Q$7,$B1121&lt;'111'!$L$11),"x","")</f>
        <v/>
      </c>
      <c r="S1121" s="84" t="str">
        <f>IF(AND($O1121=$Q$7,$B1121&lt;'111'!$L$11),"x","")</f>
        <v/>
      </c>
      <c r="T1121" s="84" t="str">
        <f>IF(ISERROR(FIND('112'!$M$9,G1121,1)),"",IF((AND(FIND('112'!$M$9,G1121,1)&gt;=1,B1121='112'!$K$9,OR($N1121='112'!$I$6,$O1121='112'!$I$6))),"x",""))</f>
        <v/>
      </c>
      <c r="U1121" s="84" t="str">
        <f>IF(ISERROR(FIND('112'!$M$9,G1121,1)),"",IF((AND(LEFT(G1121,2)=LEFT('112'!$M$9,2),B1121&lt;'112'!$K$9,$N1121='112'!$I$6)),"x",""))</f>
        <v/>
      </c>
      <c r="V1121" s="84" t="str">
        <f>IF(ISERROR(FIND('112'!$M$9,G1121,1)),"",IF((AND(RIGHT(G1121,2)=RIGHT('112'!$M$9,2),B1121&lt;'112'!$K$9,$O1121='112'!$I$6)),"x",""))</f>
        <v/>
      </c>
      <c r="W1121" s="84" t="str">
        <f>IF(AND('341-CT'!$H$9=H1121,OR(LEFT(N1121,3)=$W$7,LEFT(O1121,3)=$W$7)),"x","")</f>
        <v/>
      </c>
      <c r="X1121" s="84" t="str">
        <f>IF(OR(TH!N1121=TH!$X$7,O1121=TH!$X$7),"x","")</f>
        <v/>
      </c>
      <c r="Y1121" s="84" t="str">
        <f>IF(AND(OR(N1121="131",O1121="131"),H1121='131-CT'!$H$9),"x","")</f>
        <v/>
      </c>
      <c r="Z1121" s="84"/>
      <c r="AA1121" s="84" t="str">
        <f>IF(AND(MONTH(E1121)='IN-NX'!$J$5,'IN-NX'!$D$7=D1121),"x","")</f>
        <v/>
      </c>
      <c r="AB1121" s="84" t="str">
        <f>IF(AND(OR(LEFT(TH!N1121,2)="15",LEFT(TH!O1121,2)="15"),LEFT(TH!O1121,3)&lt;&gt;"111",'152-CT'!$J$8=TH!F1121),"x","")</f>
        <v/>
      </c>
      <c r="AC1121" s="84" t="str">
        <f>IF(AND(OR(LEFT(TH!N1121,2)="15",LEFT(TH!O1121,2)="15"),TK!$E$7=TH!F1121),"x","")</f>
        <v/>
      </c>
      <c r="AD1121" s="84" t="str">
        <f>IF(AND(N1121="1521",MONTH(C1121)='BK-NL'!$M$11),"x","")</f>
        <v/>
      </c>
    </row>
    <row r="1122" spans="1:31" ht="15.75" hidden="1" customHeight="1">
      <c r="A1122" s="336" t="str">
        <f>IF(B1122&lt;&gt;"",IF(AND(B1122='IN-TC'!$S$4,OR(TH!N1122="1111",TH!O1122="1111")),TH!D1122,""),"")</f>
        <v/>
      </c>
      <c r="B1122" s="63">
        <f t="shared" si="174"/>
        <v>3</v>
      </c>
      <c r="C1122" s="64">
        <v>42450</v>
      </c>
      <c r="D1122" s="318" t="s">
        <v>705</v>
      </c>
      <c r="E1122" s="64">
        <v>42450</v>
      </c>
      <c r="F1122" s="73" t="s">
        <v>1192</v>
      </c>
      <c r="G1122" s="67" t="s">
        <v>919</v>
      </c>
      <c r="H1122" s="344"/>
      <c r="I1122" s="439"/>
      <c r="J1122" s="439"/>
      <c r="K1122" s="430"/>
      <c r="L1122" s="439"/>
      <c r="M1122" s="65">
        <v>333900</v>
      </c>
      <c r="N1122" s="66" t="s">
        <v>101</v>
      </c>
      <c r="O1122" s="66" t="s">
        <v>26</v>
      </c>
      <c r="P1122" s="84" t="str">
        <f>IF(AND('331-CT'!$E$7=TH!H1122,OR(N1122="331",O1122="331")),"x","")</f>
        <v/>
      </c>
      <c r="Q1122" s="84" t="str">
        <f>IF(AND(B1122='111'!$L$11,OR($N1122=$Q$7,$O1122=$Q$7)),"x","")</f>
        <v/>
      </c>
      <c r="R1122" s="84" t="str">
        <f>IF(AND($N1122=$Q$7,$B1122&lt;'111'!$L$11),"x","")</f>
        <v/>
      </c>
      <c r="S1122" s="84" t="str">
        <f>IF(AND($O1122=$Q$7,$B1122&lt;'111'!$L$11),"x","")</f>
        <v/>
      </c>
      <c r="T1122" s="84" t="str">
        <f>IF(ISERROR(FIND('112'!$M$9,G1122,1)),"",IF((AND(FIND('112'!$M$9,G1122,1)&gt;=1,B1122='112'!$K$9,OR($N1122='112'!$I$6,$O1122='112'!$I$6))),"x",""))</f>
        <v/>
      </c>
      <c r="U1122" s="84" t="str">
        <f>IF(ISERROR(FIND('112'!$M$9,G1122,1)),"",IF((AND(LEFT(G1122,2)=LEFT('112'!$M$9,2),B1122&lt;'112'!$K$9,$N1122='112'!$I$6)),"x",""))</f>
        <v/>
      </c>
      <c r="V1122" s="84" t="str">
        <f>IF(ISERROR(FIND('112'!$M$9,G1122,1)),"",IF((AND(RIGHT(G1122,2)=RIGHT('112'!$M$9,2),B1122&lt;'112'!$K$9,$O1122='112'!$I$6)),"x",""))</f>
        <v>x</v>
      </c>
      <c r="W1122" s="84" t="str">
        <f>IF(AND('341-CT'!$H$9=H1122,OR(LEFT(N1122,3)=$W$7,LEFT(O1122,3)=$W$7)),"x","")</f>
        <v/>
      </c>
      <c r="X1122" s="84" t="str">
        <f>IF(OR(TH!N1122=TH!$X$7,O1122=TH!$X$7),"x","")</f>
        <v/>
      </c>
      <c r="Y1122" s="84" t="str">
        <f>IF(AND(OR(N1122="131",O1122="131"),H1122='131-CT'!$H$9),"x","")</f>
        <v/>
      </c>
      <c r="Z1122" s="84"/>
      <c r="AA1122" s="84" t="str">
        <f>IF(AND(MONTH(E1122)='IN-NX'!$J$5,'IN-NX'!$D$7=D1122),"x","")</f>
        <v/>
      </c>
      <c r="AB1122" s="84" t="str">
        <f>IF(AND(OR(LEFT(TH!N1122,2)="15",LEFT(TH!O1122,2)="15"),LEFT(TH!O1122,3)&lt;&gt;"111",'152-CT'!$J$8=TH!F1122),"x","")</f>
        <v/>
      </c>
      <c r="AC1122" s="84" t="str">
        <f>IF(AND(OR(LEFT(TH!N1122,2)="15",LEFT(TH!O1122,2)="15"),TK!$E$7=TH!F1122),"x","")</f>
        <v/>
      </c>
      <c r="AD1122" s="84" t="str">
        <f>IF(AND(N1122="1521",MONTH(C1122)='BK-NL'!$M$11),"x","")</f>
        <v/>
      </c>
    </row>
    <row r="1123" spans="1:31" ht="15.75" hidden="1" customHeight="1">
      <c r="A1123" s="336" t="str">
        <f>IF(B1123&lt;&gt;"",IF(AND(B1123='IN-TC'!$S$4,OR(TH!N1123="1111",TH!O1123="1111")),TH!D1123,""),"")</f>
        <v/>
      </c>
      <c r="B1123" s="63">
        <f t="shared" si="174"/>
        <v>3</v>
      </c>
      <c r="C1123" s="64">
        <v>42450</v>
      </c>
      <c r="D1123" s="318" t="s">
        <v>705</v>
      </c>
      <c r="E1123" s="64">
        <v>42450</v>
      </c>
      <c r="F1123" s="73" t="s">
        <v>1193</v>
      </c>
      <c r="G1123" s="67" t="s">
        <v>919</v>
      </c>
      <c r="H1123" s="344"/>
      <c r="I1123" s="439"/>
      <c r="J1123" s="439"/>
      <c r="K1123" s="430"/>
      <c r="L1123" s="439"/>
      <c r="M1123" s="65">
        <v>33390</v>
      </c>
      <c r="N1123" s="66" t="s">
        <v>9</v>
      </c>
      <c r="O1123" s="66" t="s">
        <v>26</v>
      </c>
      <c r="P1123" s="84" t="str">
        <f>IF(AND('331-CT'!$E$7=TH!H1123,OR(N1123="331",O1123="331")),"x","")</f>
        <v/>
      </c>
      <c r="Q1123" s="84" t="str">
        <f>IF(AND(B1123='111'!$L$11,OR($N1123=$Q$7,$O1123=$Q$7)),"x","")</f>
        <v/>
      </c>
      <c r="R1123" s="84" t="str">
        <f>IF(AND($N1123=$Q$7,$B1123&lt;'111'!$L$11),"x","")</f>
        <v/>
      </c>
      <c r="S1123" s="84" t="str">
        <f>IF(AND($O1123=$Q$7,$B1123&lt;'111'!$L$11),"x","")</f>
        <v/>
      </c>
      <c r="T1123" s="84" t="str">
        <f>IF(ISERROR(FIND('112'!$M$9,G1123,1)),"",IF((AND(FIND('112'!$M$9,G1123,1)&gt;=1,B1123='112'!$K$9,OR($N1123='112'!$I$6,$O1123='112'!$I$6))),"x",""))</f>
        <v/>
      </c>
      <c r="U1123" s="84" t="str">
        <f>IF(ISERROR(FIND('112'!$M$9,G1123,1)),"",IF((AND(LEFT(G1123,2)=LEFT('112'!$M$9,2),B1123&lt;'112'!$K$9,$N1123='112'!$I$6)),"x",""))</f>
        <v/>
      </c>
      <c r="V1123" s="84" t="str">
        <f>IF(ISERROR(FIND('112'!$M$9,G1123,1)),"",IF((AND(RIGHT(G1123,2)=RIGHT('112'!$M$9,2),B1123&lt;'112'!$K$9,$O1123='112'!$I$6)),"x",""))</f>
        <v>x</v>
      </c>
      <c r="W1123" s="84" t="str">
        <f>IF(AND('341-CT'!$H$9=H1123,OR(LEFT(N1123,3)=$W$7,LEFT(O1123,3)=$W$7)),"x","")</f>
        <v/>
      </c>
      <c r="X1123" s="84" t="str">
        <f>IF(OR(TH!N1123=TH!$X$7,O1123=TH!$X$7),"x","")</f>
        <v/>
      </c>
      <c r="Y1123" s="84" t="str">
        <f>IF(AND(OR(N1123="131",O1123="131"),H1123='131-CT'!$H$9),"x","")</f>
        <v/>
      </c>
      <c r="Z1123" s="84"/>
      <c r="AA1123" s="84" t="str">
        <f>IF(AND(MONTH(E1123)='IN-NX'!$J$5,'IN-NX'!$D$7=D1123),"x","")</f>
        <v/>
      </c>
      <c r="AB1123" s="84" t="str">
        <f>IF(AND(OR(LEFT(TH!N1123,2)="15",LEFT(TH!O1123,2)="15"),LEFT(TH!O1123,3)&lt;&gt;"111",'152-CT'!$J$8=TH!F1123),"x","")</f>
        <v/>
      </c>
      <c r="AC1123" s="84" t="str">
        <f>IF(AND(OR(LEFT(TH!N1123,2)="15",LEFT(TH!O1123,2)="15"),TK!$E$7=TH!F1123),"x","")</f>
        <v/>
      </c>
      <c r="AD1123" s="84" t="str">
        <f>IF(AND(N1123="1521",MONTH(C1123)='BK-NL'!$M$11),"x","")</f>
        <v/>
      </c>
    </row>
    <row r="1124" spans="1:31" ht="15.75" hidden="1" customHeight="1">
      <c r="A1124" s="336" t="str">
        <f>IF(B1124&lt;&gt;"",IF(AND(B1124='IN-TC'!$S$4,OR(TH!N1124="1111",TH!O1124="1111")),TH!D1124,""),"")</f>
        <v/>
      </c>
      <c r="B1124" s="63">
        <f t="shared" si="174"/>
        <v>3</v>
      </c>
      <c r="C1124" s="318">
        <v>42450</v>
      </c>
      <c r="D1124" s="318" t="s">
        <v>702</v>
      </c>
      <c r="E1124" s="318">
        <v>42450</v>
      </c>
      <c r="F1124" s="73" t="s">
        <v>1217</v>
      </c>
      <c r="G1124" s="986" t="s">
        <v>919</v>
      </c>
      <c r="H1124" s="320" t="s">
        <v>1218</v>
      </c>
      <c r="I1124" s="439"/>
      <c r="J1124" s="439"/>
      <c r="K1124" s="430"/>
      <c r="L1124" s="439"/>
      <c r="M1124" s="65">
        <v>50000000</v>
      </c>
      <c r="N1124" s="66" t="s">
        <v>26</v>
      </c>
      <c r="O1124" s="66" t="s">
        <v>72</v>
      </c>
      <c r="P1124" s="84" t="str">
        <f>IF(AND('331-CT'!$E$7=TH!H1124,OR(N1124="331",O1124="331")),"x","")</f>
        <v/>
      </c>
      <c r="Q1124" s="84" t="str">
        <f>IF(AND(B1124='111'!$L$11,OR($N1124=$Q$7,$O1124=$Q$7)),"x","")</f>
        <v/>
      </c>
      <c r="R1124" s="84" t="str">
        <f>IF(AND($N1124=$Q$7,$B1124&lt;'111'!$L$11),"x","")</f>
        <v/>
      </c>
      <c r="S1124" s="84" t="str">
        <f>IF(AND($O1124=$Q$7,$B1124&lt;'111'!$L$11),"x","")</f>
        <v/>
      </c>
      <c r="T1124" s="84" t="str">
        <f>IF(ISERROR(FIND('112'!$M$9,G1124,1)),"",IF((AND(FIND('112'!$M$9,G1124,1)&gt;=1,B1124='112'!$K$9,OR($N1124='112'!$I$6,$O1124='112'!$I$6))),"x",""))</f>
        <v/>
      </c>
      <c r="U1124" s="84" t="str">
        <f>IF(ISERROR(FIND('112'!$M$9,G1124,1)),"",IF((AND(LEFT(G1124,2)=LEFT('112'!$M$9,2),B1124&lt;'112'!$K$9,$N1124='112'!$I$6)),"x",""))</f>
        <v>x</v>
      </c>
      <c r="V1124" s="84" t="str">
        <f>IF(ISERROR(FIND('112'!$M$9,G1124,1)),"",IF((AND(RIGHT(G1124,2)=RIGHT('112'!$M$9,2),B1124&lt;'112'!$K$9,$O1124='112'!$I$6)),"x",""))</f>
        <v/>
      </c>
      <c r="W1124" s="84" t="str">
        <f>IF(AND('341-CT'!$H$9=H1124,OR(LEFT(N1124,3)=$W$7,LEFT(O1124,3)=$W$7)),"x","")</f>
        <v/>
      </c>
      <c r="X1124" s="84" t="str">
        <f>IF(OR(TH!N1124=TH!$X$7,O1124=TH!$X$7),"x","")</f>
        <v>x</v>
      </c>
      <c r="Y1124" s="84" t="str">
        <f>IF(AND(OR(N1124="131",O1124="131"),H1124='131-CT'!$H$9),"x","")</f>
        <v/>
      </c>
      <c r="Z1124" s="84"/>
      <c r="AA1124" s="84" t="str">
        <f>IF(AND(MONTH(E1124)='IN-NX'!$J$5,'IN-NX'!$D$7=D1124),"x","")</f>
        <v/>
      </c>
      <c r="AB1124" s="84" t="str">
        <f>IF(AND(OR(LEFT(TH!N1124,2)="15",LEFT(TH!O1124,2)="15"),LEFT(TH!O1124,3)&lt;&gt;"111",'152-CT'!$J$8=TH!F1124),"x","")</f>
        <v/>
      </c>
      <c r="AC1124" s="84" t="str">
        <f>IF(AND(OR(LEFT(TH!N1124,2)="15",LEFT(TH!O1124,2)="15"),TK!$E$7=TH!F1124),"x","")</f>
        <v/>
      </c>
      <c r="AD1124" s="84" t="str">
        <f>IF(AND(N1124="1521",MONTH(C1124)='BK-NL'!$M$11),"x","")</f>
        <v/>
      </c>
    </row>
    <row r="1125" spans="1:31" ht="15.75" hidden="1" customHeight="1">
      <c r="A1125" s="336" t="str">
        <f>IF(B1125&lt;&gt;"",IF(AND(B1125='IN-TC'!$S$4,OR(TH!N1125="1111",TH!O1125="1111")),TH!D1125,""),"")</f>
        <v/>
      </c>
      <c r="B1125" s="63">
        <f t="shared" si="174"/>
        <v>3</v>
      </c>
      <c r="C1125" s="318">
        <v>42450</v>
      </c>
      <c r="D1125" s="318" t="s">
        <v>705</v>
      </c>
      <c r="E1125" s="318">
        <v>42450</v>
      </c>
      <c r="F1125" s="73" t="s">
        <v>1057</v>
      </c>
      <c r="G1125" s="986" t="s">
        <v>919</v>
      </c>
      <c r="H1125" s="320" t="s">
        <v>725</v>
      </c>
      <c r="I1125" s="439"/>
      <c r="J1125" s="439"/>
      <c r="K1125" s="430">
        <v>288.53001792114696</v>
      </c>
      <c r="L1125" s="439">
        <v>22320</v>
      </c>
      <c r="M1125" s="65">
        <v>6439990</v>
      </c>
      <c r="N1125" s="66" t="s">
        <v>99</v>
      </c>
      <c r="O1125" s="66" t="s">
        <v>26</v>
      </c>
      <c r="P1125" s="84" t="str">
        <f>IF(AND('331-CT'!$E$7=TH!H1125,OR(N1125="331",O1125="331")),"x","")</f>
        <v/>
      </c>
      <c r="Q1125" s="84" t="str">
        <f>IF(AND(B1125='111'!$L$11,OR($N1125=$Q$7,$O1125=$Q$7)),"x","")</f>
        <v/>
      </c>
      <c r="R1125" s="84" t="str">
        <f>IF(AND($N1125=$Q$7,$B1125&lt;'111'!$L$11),"x","")</f>
        <v/>
      </c>
      <c r="S1125" s="84" t="str">
        <f>IF(AND($O1125=$Q$7,$B1125&lt;'111'!$L$11),"x","")</f>
        <v/>
      </c>
      <c r="T1125" s="84" t="str">
        <f>IF(ISERROR(FIND('112'!$M$9,G1125,1)),"",IF((AND(FIND('112'!$M$9,G1125,1)&gt;=1,B1125='112'!$K$9,OR($N1125='112'!$I$6,$O1125='112'!$I$6))),"x",""))</f>
        <v/>
      </c>
      <c r="U1125" s="84" t="str">
        <f>IF(ISERROR(FIND('112'!$M$9,G1125,1)),"",IF((AND(LEFT(G1125,2)=LEFT('112'!$M$9,2),B1125&lt;'112'!$K$9,$N1125='112'!$I$6)),"x",""))</f>
        <v/>
      </c>
      <c r="V1125" s="84" t="str">
        <f>IF(ISERROR(FIND('112'!$M$9,G1125,1)),"",IF((AND(RIGHT(G1125,2)=RIGHT('112'!$M$9,2),B1125&lt;'112'!$K$9,$O1125='112'!$I$6)),"x",""))</f>
        <v>x</v>
      </c>
      <c r="W1125" s="84" t="str">
        <f>IF(AND('341-CT'!$H$9=H1125,OR(LEFT(N1125,3)=$W$7,LEFT(O1125,3)=$W$7)),"x","")</f>
        <v/>
      </c>
      <c r="X1125" s="84" t="str">
        <f>IF(OR(TH!N1125=TH!$X$7,O1125=TH!$X$7),"x","")</f>
        <v/>
      </c>
      <c r="Y1125" s="84" t="str">
        <f>IF(AND(OR(N1125="131",O1125="131"),H1125='131-CT'!$H$9),"x","")</f>
        <v/>
      </c>
      <c r="Z1125" s="84"/>
      <c r="AA1125" s="84" t="str">
        <f>IF(AND(MONTH(E1125)='IN-NX'!$J$5,'IN-NX'!$D$7=D1125),"x","")</f>
        <v/>
      </c>
      <c r="AB1125" s="84" t="str">
        <f>IF(AND(OR(LEFT(TH!N1125,2)="15",LEFT(TH!O1125,2)="15"),LEFT(TH!O1125,3)&lt;&gt;"111",'152-CT'!$J$8=TH!F1125),"x","")</f>
        <v/>
      </c>
      <c r="AC1125" s="84" t="str">
        <f>IF(AND(OR(LEFT(TH!N1125,2)="15",LEFT(TH!O1125,2)="15"),TK!$E$7=TH!F1125),"x","")</f>
        <v/>
      </c>
      <c r="AD1125" s="84" t="str">
        <f>IF(AND(N1125="1521",MONTH(C1125)='BK-NL'!$M$11),"x","")</f>
        <v/>
      </c>
    </row>
    <row r="1126" spans="1:31" ht="15.75" hidden="1" customHeight="1">
      <c r="A1126" s="336" t="str">
        <f>IF(B1126&lt;&gt;"",IF(AND(B1126='IN-TC'!$S$4,OR(TH!N1126="1111",TH!O1126="1111")),TH!D1126,""),"")</f>
        <v/>
      </c>
      <c r="B1126" s="63">
        <f t="shared" si="174"/>
        <v>3</v>
      </c>
      <c r="C1126" s="64">
        <v>42450</v>
      </c>
      <c r="D1126" s="318" t="s">
        <v>705</v>
      </c>
      <c r="E1126" s="64">
        <v>42450</v>
      </c>
      <c r="F1126" s="73" t="s">
        <v>752</v>
      </c>
      <c r="G1126" s="67" t="s">
        <v>919</v>
      </c>
      <c r="H1126" s="73" t="s">
        <v>726</v>
      </c>
      <c r="I1126" s="439"/>
      <c r="J1126" s="439"/>
      <c r="K1126" s="430">
        <v>286.91998207885302</v>
      </c>
      <c r="L1126" s="439">
        <v>22320</v>
      </c>
      <c r="M1126" s="65">
        <v>6404054</v>
      </c>
      <c r="N1126" s="66" t="s">
        <v>99</v>
      </c>
      <c r="O1126" s="66" t="s">
        <v>26</v>
      </c>
      <c r="P1126" s="84" t="str">
        <f>IF(AND('331-CT'!$E$7=TH!H1126,OR(N1126="331",O1126="331")),"x","")</f>
        <v/>
      </c>
      <c r="Q1126" s="84" t="str">
        <f>IF(AND(B1126='111'!$L$11,OR($N1126=$Q$7,$O1126=$Q$7)),"x","")</f>
        <v/>
      </c>
      <c r="R1126" s="84" t="str">
        <f>IF(AND($N1126=$Q$7,$B1126&lt;'111'!$L$11),"x","")</f>
        <v/>
      </c>
      <c r="S1126" s="84" t="str">
        <f>IF(AND($O1126=$Q$7,$B1126&lt;'111'!$L$11),"x","")</f>
        <v/>
      </c>
      <c r="T1126" s="84" t="str">
        <f>IF(ISERROR(FIND('112'!$M$9,G1126,1)),"",IF((AND(FIND('112'!$M$9,G1126,1)&gt;=1,B1126='112'!$K$9,OR($N1126='112'!$I$6,$O1126='112'!$I$6))),"x",""))</f>
        <v/>
      </c>
      <c r="U1126" s="84" t="str">
        <f>IF(ISERROR(FIND('112'!$M$9,G1126,1)),"",IF((AND(LEFT(G1126,2)=LEFT('112'!$M$9,2),B1126&lt;'112'!$K$9,$N1126='112'!$I$6)),"x",""))</f>
        <v/>
      </c>
      <c r="V1126" s="84" t="str">
        <f>IF(ISERROR(FIND('112'!$M$9,G1126,1)),"",IF((AND(RIGHT(G1126,2)=RIGHT('112'!$M$9,2),B1126&lt;'112'!$K$9,$O1126='112'!$I$6)),"x",""))</f>
        <v>x</v>
      </c>
      <c r="W1126" s="84" t="str">
        <f>IF(AND('341-CT'!$H$9=H1126,OR(LEFT(N1126,3)=$W$7,LEFT(O1126,3)=$W$7)),"x","")</f>
        <v/>
      </c>
      <c r="X1126" s="84" t="str">
        <f>IF(OR(TH!N1126=TH!$X$7,O1126=TH!$X$7),"x","")</f>
        <v/>
      </c>
      <c r="Y1126" s="84" t="str">
        <f>IF(AND(OR(N1126="131",O1126="131"),H1126='131-CT'!$H$9),"x","")</f>
        <v/>
      </c>
      <c r="Z1126" s="84"/>
      <c r="AA1126" s="84" t="str">
        <f>IF(AND(MONTH(E1126)='IN-NX'!$J$5,'IN-NX'!$D$7=D1126),"x","")</f>
        <v/>
      </c>
      <c r="AB1126" s="84" t="str">
        <f>IF(AND(OR(LEFT(TH!N1126,2)="15",LEFT(TH!O1126,2)="15"),LEFT(TH!O1126,3)&lt;&gt;"111",'152-CT'!$J$8=TH!F1126),"x","")</f>
        <v/>
      </c>
      <c r="AC1126" s="84" t="str">
        <f>IF(AND(OR(LEFT(TH!N1126,2)="15",LEFT(TH!O1126,2)="15"),TK!$E$7=TH!F1126),"x","")</f>
        <v/>
      </c>
      <c r="AD1126" s="84" t="str">
        <f>IF(AND(N1126="1521",MONTH(C1126)='BK-NL'!$M$11),"x","")</f>
        <v/>
      </c>
    </row>
    <row r="1127" spans="1:31" ht="15.75" hidden="1" customHeight="1">
      <c r="A1127" s="336" t="str">
        <f>IF(B1127&lt;&gt;"",IF(AND(B1127='IN-TC'!$S$4,OR(TH!N1127="1111",TH!O1127="1111")),TH!D1127,""),"")</f>
        <v/>
      </c>
      <c r="B1127" s="63">
        <f t="shared" si="174"/>
        <v>3</v>
      </c>
      <c r="C1127" s="64">
        <v>42450</v>
      </c>
      <c r="D1127" s="318" t="s">
        <v>705</v>
      </c>
      <c r="E1127" s="64">
        <v>42450</v>
      </c>
      <c r="F1127" s="73" t="s">
        <v>1060</v>
      </c>
      <c r="G1127" s="67" t="s">
        <v>919</v>
      </c>
      <c r="H1127" s="73" t="s">
        <v>733</v>
      </c>
      <c r="I1127" s="439"/>
      <c r="J1127" s="439"/>
      <c r="K1127" s="430">
        <v>196.65999103942653</v>
      </c>
      <c r="L1127" s="439">
        <v>22320</v>
      </c>
      <c r="M1127" s="65">
        <v>4389451</v>
      </c>
      <c r="N1127" s="66" t="s">
        <v>99</v>
      </c>
      <c r="O1127" s="66" t="s">
        <v>26</v>
      </c>
      <c r="P1127" s="84" t="str">
        <f>IF(AND('331-CT'!$E$7=TH!H1127,OR(N1127="331",O1127="331")),"x","")</f>
        <v/>
      </c>
      <c r="Q1127" s="84" t="str">
        <f>IF(AND(B1127='111'!$L$11,OR($N1127=$Q$7,$O1127=$Q$7)),"x","")</f>
        <v/>
      </c>
      <c r="R1127" s="84" t="str">
        <f>IF(AND($N1127=$Q$7,$B1127&lt;'111'!$L$11),"x","")</f>
        <v/>
      </c>
      <c r="S1127" s="84" t="str">
        <f>IF(AND($O1127=$Q$7,$B1127&lt;'111'!$L$11),"x","")</f>
        <v/>
      </c>
      <c r="T1127" s="84" t="str">
        <f>IF(ISERROR(FIND('112'!$M$9,G1127,1)),"",IF((AND(FIND('112'!$M$9,G1127,1)&gt;=1,B1127='112'!$K$9,OR($N1127='112'!$I$6,$O1127='112'!$I$6))),"x",""))</f>
        <v/>
      </c>
      <c r="U1127" s="84" t="str">
        <f>IF(ISERROR(FIND('112'!$M$9,G1127,1)),"",IF((AND(LEFT(G1127,2)=LEFT('112'!$M$9,2),B1127&lt;'112'!$K$9,$N1127='112'!$I$6)),"x",""))</f>
        <v/>
      </c>
      <c r="V1127" s="84" t="str">
        <f>IF(ISERROR(FIND('112'!$M$9,G1127,1)),"",IF((AND(RIGHT(G1127,2)=RIGHT('112'!$M$9,2),B1127&lt;'112'!$K$9,$O1127='112'!$I$6)),"x",""))</f>
        <v>x</v>
      </c>
      <c r="W1127" s="84" t="str">
        <f>IF(AND('341-CT'!$H$9=H1127,OR(LEFT(N1127,3)=$W$7,LEFT(O1127,3)=$W$7)),"x","")</f>
        <v/>
      </c>
      <c r="X1127" s="84" t="str">
        <f>IF(OR(TH!N1127=TH!$X$7,O1127=TH!$X$7),"x","")</f>
        <v/>
      </c>
      <c r="Y1127" s="84" t="str">
        <f>IF(AND(OR(N1127="131",O1127="131"),H1127='131-CT'!$H$9),"x","")</f>
        <v/>
      </c>
      <c r="Z1127" s="84"/>
      <c r="AA1127" s="84" t="str">
        <f>IF(AND(MONTH(E1127)='IN-NX'!$J$5,'IN-NX'!$D$7=D1127),"x","")</f>
        <v/>
      </c>
      <c r="AB1127" s="84" t="str">
        <f>IF(AND(OR(LEFT(TH!N1127,2)="15",LEFT(TH!O1127,2)="15"),LEFT(TH!O1127,3)&lt;&gt;"111",'152-CT'!$J$8=TH!F1127),"x","")</f>
        <v/>
      </c>
      <c r="AC1127" s="84" t="str">
        <f>IF(AND(OR(LEFT(TH!N1127,2)="15",LEFT(TH!O1127,2)="15"),TK!$E$7=TH!F1127),"x","")</f>
        <v/>
      </c>
      <c r="AD1127" s="84" t="str">
        <f>IF(AND(N1127="1521",MONTH(C1127)='BK-NL'!$M$11),"x","")</f>
        <v/>
      </c>
    </row>
    <row r="1128" spans="1:31" ht="15.75" hidden="1" customHeight="1">
      <c r="A1128" s="336" t="str">
        <f>IF(B1128&lt;&gt;"",IF(AND(B1128='IN-TC'!$S$4,OR(TH!N1128="1111",TH!O1128="1111")),TH!D1128,""),"")</f>
        <v/>
      </c>
      <c r="B1128" s="63">
        <f t="shared" si="174"/>
        <v>3</v>
      </c>
      <c r="C1128" s="64">
        <v>42450</v>
      </c>
      <c r="D1128" s="318" t="s">
        <v>705</v>
      </c>
      <c r="E1128" s="64">
        <v>42450</v>
      </c>
      <c r="F1128" s="73" t="s">
        <v>754</v>
      </c>
      <c r="G1128" s="67" t="s">
        <v>919</v>
      </c>
      <c r="H1128" s="73" t="s">
        <v>727</v>
      </c>
      <c r="I1128" s="439"/>
      <c r="J1128" s="439"/>
      <c r="K1128" s="430">
        <v>286.91998207885302</v>
      </c>
      <c r="L1128" s="439">
        <v>22320</v>
      </c>
      <c r="M1128" s="65">
        <v>6404054</v>
      </c>
      <c r="N1128" s="66" t="s">
        <v>99</v>
      </c>
      <c r="O1128" s="66" t="s">
        <v>26</v>
      </c>
      <c r="P1128" s="84" t="str">
        <f>IF(AND('331-CT'!$E$7=TH!H1128,OR(N1128="331",O1128="331")),"x","")</f>
        <v/>
      </c>
      <c r="Q1128" s="84" t="str">
        <f>IF(AND(B1128='111'!$L$11,OR($N1128=$Q$7,$O1128=$Q$7)),"x","")</f>
        <v/>
      </c>
      <c r="R1128" s="84" t="str">
        <f>IF(AND($N1128=$Q$7,$B1128&lt;'111'!$L$11),"x","")</f>
        <v/>
      </c>
      <c r="S1128" s="84" t="str">
        <f>IF(AND($O1128=$Q$7,$B1128&lt;'111'!$L$11),"x","")</f>
        <v/>
      </c>
      <c r="T1128" s="84" t="str">
        <f>IF(ISERROR(FIND('112'!$M$9,G1128,1)),"",IF((AND(FIND('112'!$M$9,G1128,1)&gt;=1,B1128='112'!$K$9,OR($N1128='112'!$I$6,$O1128='112'!$I$6))),"x",""))</f>
        <v/>
      </c>
      <c r="U1128" s="84" t="str">
        <f>IF(ISERROR(FIND('112'!$M$9,G1128,1)),"",IF((AND(LEFT(G1128,2)=LEFT('112'!$M$9,2),B1128&lt;'112'!$K$9,$N1128='112'!$I$6)),"x",""))</f>
        <v/>
      </c>
      <c r="V1128" s="84" t="str">
        <f>IF(ISERROR(FIND('112'!$M$9,G1128,1)),"",IF((AND(RIGHT(G1128,2)=RIGHT('112'!$M$9,2),B1128&lt;'112'!$K$9,$O1128='112'!$I$6)),"x",""))</f>
        <v>x</v>
      </c>
      <c r="W1128" s="84" t="str">
        <f>IF(AND('341-CT'!$H$9=H1128,OR(LEFT(N1128,3)=$W$7,LEFT(O1128,3)=$W$7)),"x","")</f>
        <v/>
      </c>
      <c r="X1128" s="84" t="str">
        <f>IF(OR(TH!N1128=TH!$X$7,O1128=TH!$X$7),"x","")</f>
        <v/>
      </c>
      <c r="Y1128" s="84" t="str">
        <f>IF(AND(OR(N1128="131",O1128="131"),H1128='131-CT'!$H$9),"x","")</f>
        <v/>
      </c>
      <c r="Z1128" s="84"/>
      <c r="AA1128" s="84" t="str">
        <f>IF(AND(MONTH(E1128)='IN-NX'!$J$5,'IN-NX'!$D$7=D1128),"x","")</f>
        <v/>
      </c>
      <c r="AB1128" s="84" t="str">
        <f>IF(AND(OR(LEFT(TH!N1128,2)="15",LEFT(TH!O1128,2)="15"),LEFT(TH!O1128,3)&lt;&gt;"111",'152-CT'!$J$8=TH!F1128),"x","")</f>
        <v/>
      </c>
      <c r="AC1128" s="84" t="str">
        <f>IF(AND(OR(LEFT(TH!N1128,2)="15",LEFT(TH!O1128,2)="15"),TK!$E$7=TH!F1128),"x","")</f>
        <v/>
      </c>
      <c r="AD1128" s="84" t="str">
        <f>IF(AND(N1128="1521",MONTH(C1128)='BK-NL'!$M$11),"x","")</f>
        <v/>
      </c>
    </row>
    <row r="1129" spans="1:31" ht="15.75" hidden="1" customHeight="1">
      <c r="A1129" s="336" t="str">
        <f>IF(B1129&lt;&gt;"",IF(AND(B1129='IN-TC'!$S$4,OR(TH!N1129="1111",TH!O1129="1111")),TH!D1129,""),"")</f>
        <v/>
      </c>
      <c r="B1129" s="63">
        <f t="shared" si="174"/>
        <v>3</v>
      </c>
      <c r="C1129" s="64">
        <v>42450</v>
      </c>
      <c r="D1129" s="318" t="s">
        <v>705</v>
      </c>
      <c r="E1129" s="64">
        <v>42450</v>
      </c>
      <c r="F1129" s="73" t="s">
        <v>1061</v>
      </c>
      <c r="G1129" s="67" t="s">
        <v>919</v>
      </c>
      <c r="H1129" s="73" t="s">
        <v>728</v>
      </c>
      <c r="I1129" s="439"/>
      <c r="J1129" s="439"/>
      <c r="K1129" s="430">
        <v>283.7</v>
      </c>
      <c r="L1129" s="439">
        <v>22320</v>
      </c>
      <c r="M1129" s="65">
        <v>6332184</v>
      </c>
      <c r="N1129" s="66" t="s">
        <v>99</v>
      </c>
      <c r="O1129" s="66" t="s">
        <v>26</v>
      </c>
      <c r="P1129" s="84" t="str">
        <f>IF(AND('331-CT'!$E$7=TH!H1129,OR(N1129="331",O1129="331")),"x","")</f>
        <v/>
      </c>
      <c r="Q1129" s="84" t="str">
        <f>IF(AND(B1129='111'!$L$11,OR($N1129=$Q$7,$O1129=$Q$7)),"x","")</f>
        <v/>
      </c>
      <c r="R1129" s="84" t="str">
        <f>IF(AND($N1129=$Q$7,$B1129&lt;'111'!$L$11),"x","")</f>
        <v/>
      </c>
      <c r="S1129" s="84" t="str">
        <f>IF(AND($O1129=$Q$7,$B1129&lt;'111'!$L$11),"x","")</f>
        <v/>
      </c>
      <c r="T1129" s="84" t="str">
        <f>IF(ISERROR(FIND('112'!$M$9,G1129,1)),"",IF((AND(FIND('112'!$M$9,G1129,1)&gt;=1,B1129='112'!$K$9,OR($N1129='112'!$I$6,$O1129='112'!$I$6))),"x",""))</f>
        <v/>
      </c>
      <c r="U1129" s="84" t="str">
        <f>IF(ISERROR(FIND('112'!$M$9,G1129,1)),"",IF((AND(LEFT(G1129,2)=LEFT('112'!$M$9,2),B1129&lt;'112'!$K$9,$N1129='112'!$I$6)),"x",""))</f>
        <v/>
      </c>
      <c r="V1129" s="84" t="str">
        <f>IF(ISERROR(FIND('112'!$M$9,G1129,1)),"",IF((AND(RIGHT(G1129,2)=RIGHT('112'!$M$9,2),B1129&lt;'112'!$K$9,$O1129='112'!$I$6)),"x",""))</f>
        <v>x</v>
      </c>
      <c r="W1129" s="84" t="str">
        <f>IF(AND('341-CT'!$H$9=H1129,OR(LEFT(N1129,3)=$W$7,LEFT(O1129,3)=$W$7)),"x","")</f>
        <v/>
      </c>
      <c r="X1129" s="84" t="str">
        <f>IF(OR(TH!N1129=TH!$X$7,O1129=TH!$X$7),"x","")</f>
        <v/>
      </c>
      <c r="Y1129" s="84" t="str">
        <f>IF(AND(OR(N1129="131",O1129="131"),H1129='131-CT'!$H$9),"x","")</f>
        <v/>
      </c>
      <c r="Z1129" s="84"/>
      <c r="AA1129" s="84" t="str">
        <f>IF(AND(MONTH(E1129)='IN-NX'!$J$5,'IN-NX'!$D$7=D1129),"x","")</f>
        <v/>
      </c>
      <c r="AB1129" s="84" t="str">
        <f>IF(AND(OR(LEFT(TH!N1129,2)="15",LEFT(TH!O1129,2)="15"),LEFT(TH!O1129,3)&lt;&gt;"111",'152-CT'!$J$8=TH!F1129),"x","")</f>
        <v/>
      </c>
      <c r="AC1129" s="84" t="str">
        <f>IF(AND(OR(LEFT(TH!N1129,2)="15",LEFT(TH!O1129,2)="15"),TK!$E$7=TH!F1129),"x","")</f>
        <v/>
      </c>
      <c r="AD1129" s="84" t="str">
        <f>IF(AND(N1129="1521",MONTH(C1129)='BK-NL'!$M$11),"x","")</f>
        <v/>
      </c>
    </row>
    <row r="1130" spans="1:31" ht="15.75" hidden="1" customHeight="1">
      <c r="A1130" s="336" t="str">
        <f>IF(B1130&lt;&gt;"",IF(AND(B1130='IN-TC'!$S$4,OR(TH!N1130="1111",TH!O1130="1111")),TH!D1130,""),"")</f>
        <v/>
      </c>
      <c r="B1130" s="63">
        <f t="shared" si="174"/>
        <v>3</v>
      </c>
      <c r="C1130" s="64">
        <v>42450</v>
      </c>
      <c r="D1130" s="318" t="s">
        <v>705</v>
      </c>
      <c r="E1130" s="64">
        <v>42450</v>
      </c>
      <c r="F1130" s="73" t="s">
        <v>1652</v>
      </c>
      <c r="G1130" s="67" t="s">
        <v>919</v>
      </c>
      <c r="H1130" s="73" t="s">
        <v>736</v>
      </c>
      <c r="I1130" s="439"/>
      <c r="J1130" s="439"/>
      <c r="K1130" s="430">
        <v>571.5099910394265</v>
      </c>
      <c r="L1130" s="439">
        <v>22320</v>
      </c>
      <c r="M1130" s="65">
        <v>12756103</v>
      </c>
      <c r="N1130" s="66" t="s">
        <v>99</v>
      </c>
      <c r="O1130" s="66" t="s">
        <v>26</v>
      </c>
      <c r="P1130" s="84" t="str">
        <f>IF(AND('331-CT'!$E$7=TH!H1130,OR(N1130="331",O1130="331")),"x","")</f>
        <v/>
      </c>
      <c r="Q1130" s="84" t="str">
        <f>IF(AND(B1130='111'!$L$11,OR($N1130=$Q$7,$O1130=$Q$7)),"x","")</f>
        <v/>
      </c>
      <c r="R1130" s="84" t="str">
        <f>IF(AND($N1130=$Q$7,$B1130&lt;'111'!$L$11),"x","")</f>
        <v/>
      </c>
      <c r="S1130" s="84" t="str">
        <f>IF(AND($O1130=$Q$7,$B1130&lt;'111'!$L$11),"x","")</f>
        <v/>
      </c>
      <c r="T1130" s="84" t="str">
        <f>IF(ISERROR(FIND('112'!$M$9,G1130,1)),"",IF((AND(FIND('112'!$M$9,G1130,1)&gt;=1,B1130='112'!$K$9,OR($N1130='112'!$I$6,$O1130='112'!$I$6))),"x",""))</f>
        <v/>
      </c>
      <c r="U1130" s="84" t="str">
        <f>IF(ISERROR(FIND('112'!$M$9,G1130,1)),"",IF((AND(LEFT(G1130,2)=LEFT('112'!$M$9,2),B1130&lt;'112'!$K$9,$N1130='112'!$I$6)),"x",""))</f>
        <v/>
      </c>
      <c r="V1130" s="84" t="str">
        <f>IF(ISERROR(FIND('112'!$M$9,G1130,1)),"",IF((AND(RIGHT(G1130,2)=RIGHT('112'!$M$9,2),B1130&lt;'112'!$K$9,$O1130='112'!$I$6)),"x",""))</f>
        <v>x</v>
      </c>
      <c r="W1130" s="84" t="str">
        <f>IF(AND('341-CT'!$H$9=H1130,OR(LEFT(N1130,3)=$W$7,LEFT(O1130,3)=$W$7)),"x","")</f>
        <v/>
      </c>
      <c r="X1130" s="84" t="str">
        <f>IF(OR(TH!N1130=TH!$X$7,O1130=TH!$X$7),"x","")</f>
        <v/>
      </c>
      <c r="Y1130" s="84" t="str">
        <f>IF(AND(OR(N1130="131",O1130="131"),H1130='131-CT'!$H$9),"x","")</f>
        <v/>
      </c>
      <c r="Z1130" s="84"/>
      <c r="AA1130" s="84" t="str">
        <f>IF(AND(MONTH(E1130)='IN-NX'!$J$5,'IN-NX'!$D$7=D1130),"x","")</f>
        <v/>
      </c>
      <c r="AB1130" s="84" t="str">
        <f>IF(AND(OR(LEFT(TH!N1130,2)="15",LEFT(TH!O1130,2)="15"),LEFT(TH!O1130,3)&lt;&gt;"111",'152-CT'!$J$8=TH!F1130),"x","")</f>
        <v/>
      </c>
      <c r="AC1130" s="84" t="str">
        <f>IF(AND(OR(LEFT(TH!N1130,2)="15",LEFT(TH!O1130,2)="15"),TK!$E$7=TH!F1130),"x","")</f>
        <v/>
      </c>
      <c r="AD1130" s="84" t="str">
        <f>IF(AND(N1130="1521",MONTH(C1130)='BK-NL'!$M$11),"x","")</f>
        <v/>
      </c>
    </row>
    <row r="1131" spans="1:31" ht="15.75" hidden="1" customHeight="1">
      <c r="A1131" s="336" t="str">
        <f>IF(B1131&lt;&gt;"",IF(AND(B1131='IN-TC'!$S$4,OR(TH!N1131="1111",TH!O1131="1111")),TH!D1131,""),"")</f>
        <v/>
      </c>
      <c r="B1131" s="63">
        <f t="shared" si="174"/>
        <v>3</v>
      </c>
      <c r="C1131" s="64">
        <v>42452</v>
      </c>
      <c r="D1131" s="318" t="s">
        <v>907</v>
      </c>
      <c r="E1131" s="64">
        <v>42452</v>
      </c>
      <c r="F1131" s="73" t="s">
        <v>615</v>
      </c>
      <c r="G1131" s="67" t="s">
        <v>1319</v>
      </c>
      <c r="H1131" s="73" t="s">
        <v>1320</v>
      </c>
      <c r="I1131" s="439"/>
      <c r="J1131" s="439"/>
      <c r="K1131" s="430"/>
      <c r="L1131" s="439"/>
      <c r="M1131" s="65">
        <v>1025134</v>
      </c>
      <c r="N1131" s="66" t="s">
        <v>101</v>
      </c>
      <c r="O1131" s="66" t="s">
        <v>63</v>
      </c>
      <c r="P1131" s="84" t="str">
        <f>IF(AND('331-CT'!$E$7=TH!H1131,OR(N1131="331",O1131="331")),"x","")</f>
        <v/>
      </c>
      <c r="Q1131" s="84" t="str">
        <f>IF(AND(B1131='111'!$L$11,OR($N1131=$Q$7,$O1131=$Q$7)),"x","")</f>
        <v/>
      </c>
      <c r="R1131" s="84" t="str">
        <f>IF(AND($N1131=$Q$7,$B1131&lt;'111'!$L$11),"x","")</f>
        <v/>
      </c>
      <c r="S1131" s="84" t="str">
        <f>IF(AND($O1131=$Q$7,$B1131&lt;'111'!$L$11),"x","")</f>
        <v/>
      </c>
      <c r="T1131" s="84" t="str">
        <f>IF(ISERROR(FIND('112'!$M$9,G1131,1)),"",IF((AND(FIND('112'!$M$9,G1131,1)&gt;=1,B1131='112'!$K$9,OR($N1131='112'!$I$6,$O1131='112'!$I$6))),"x",""))</f>
        <v/>
      </c>
      <c r="U1131" s="84" t="str">
        <f>IF(ISERROR(FIND('112'!$M$9,G1131,1)),"",IF((AND(LEFT(G1131,2)=LEFT('112'!$M$9,2),B1131&lt;'112'!$K$9,$N1131='112'!$I$6)),"x",""))</f>
        <v/>
      </c>
      <c r="V1131" s="84" t="str">
        <f>IF(ISERROR(FIND('112'!$M$9,G1131,1)),"",IF((AND(RIGHT(G1131,2)=RIGHT('112'!$M$9,2),B1131&lt;'112'!$K$9,$O1131='112'!$I$6)),"x",""))</f>
        <v/>
      </c>
      <c r="W1131" s="84" t="str">
        <f>IF(AND('341-CT'!$H$9=H1131,OR(LEFT(N1131,3)=$W$7,LEFT(O1131,3)=$W$7)),"x","")</f>
        <v/>
      </c>
      <c r="X1131" s="84" t="str">
        <f>IF(OR(TH!N1131=TH!$X$7,O1131=TH!$X$7),"x","")</f>
        <v/>
      </c>
      <c r="Y1131" s="84" t="str">
        <f>IF(AND(OR(N1131="131",O1131="131"),H1131='131-CT'!$H$9),"x","")</f>
        <v/>
      </c>
      <c r="Z1131" s="84"/>
      <c r="AA1131" s="84" t="str">
        <f>IF(AND(MONTH(E1131)='IN-NX'!$J$5,'IN-NX'!$D$7=D1131),"x","")</f>
        <v/>
      </c>
      <c r="AB1131" s="84" t="str">
        <f>IF(AND(OR(LEFT(TH!N1131,2)="15",LEFT(TH!O1131,2)="15"),LEFT(TH!O1131,3)&lt;&gt;"111",'152-CT'!$J$8=TH!F1131),"x","")</f>
        <v/>
      </c>
      <c r="AC1131" s="84" t="str">
        <f>IF(AND(OR(LEFT(TH!N1131,2)="15",LEFT(TH!O1131,2)="15"),TK!$E$7=TH!F1131),"x","")</f>
        <v/>
      </c>
      <c r="AD1131" s="84" t="str">
        <f>IF(AND(N1131="1521",MONTH(C1131)='BK-NL'!$M$11),"x","")</f>
        <v/>
      </c>
    </row>
    <row r="1132" spans="1:31" ht="15.75" hidden="1" customHeight="1">
      <c r="A1132" s="336" t="str">
        <f>IF(B1132&lt;&gt;"",IF(AND(B1132='IN-TC'!$S$4,OR(TH!N1132="1111",TH!O1132="1111")),TH!D1132,""),"")</f>
        <v/>
      </c>
      <c r="B1132" s="63">
        <f t="shared" si="174"/>
        <v>3</v>
      </c>
      <c r="C1132" s="64">
        <v>42452</v>
      </c>
      <c r="D1132" s="318" t="s">
        <v>907</v>
      </c>
      <c r="E1132" s="64">
        <v>42452</v>
      </c>
      <c r="F1132" s="73" t="s">
        <v>1318</v>
      </c>
      <c r="G1132" s="67" t="s">
        <v>1319</v>
      </c>
      <c r="H1132" s="344" t="s">
        <v>1320</v>
      </c>
      <c r="I1132" s="441"/>
      <c r="J1132" s="441"/>
      <c r="K1132" s="432"/>
      <c r="L1132" s="441"/>
      <c r="M1132" s="65">
        <v>102513</v>
      </c>
      <c r="N1132" s="66" t="s">
        <v>9</v>
      </c>
      <c r="O1132" s="66" t="s">
        <v>63</v>
      </c>
      <c r="P1132" s="84" t="str">
        <f>IF(AND('331-CT'!$E$7=TH!H1132,OR(N1132="331",O1132="331")),"x","")</f>
        <v/>
      </c>
      <c r="Q1132" s="84" t="str">
        <f>IF(AND(B1132='111'!$L$11,OR($N1132=$Q$7,$O1132=$Q$7)),"x","")</f>
        <v/>
      </c>
      <c r="R1132" s="84" t="str">
        <f>IF(AND($N1132=$Q$7,$B1132&lt;'111'!$L$11),"x","")</f>
        <v/>
      </c>
      <c r="S1132" s="84" t="str">
        <f>IF(AND($O1132=$Q$7,$B1132&lt;'111'!$L$11),"x","")</f>
        <v/>
      </c>
      <c r="T1132" s="84" t="str">
        <f>IF(ISERROR(FIND('112'!$M$9,G1132,1)),"",IF((AND(FIND('112'!$M$9,G1132,1)&gt;=1,B1132='112'!$K$9,OR($N1132='112'!$I$6,$O1132='112'!$I$6))),"x",""))</f>
        <v/>
      </c>
      <c r="U1132" s="84" t="str">
        <f>IF(ISERROR(FIND('112'!$M$9,G1132,1)),"",IF((AND(LEFT(G1132,2)=LEFT('112'!$M$9,2),B1132&lt;'112'!$K$9,$N1132='112'!$I$6)),"x",""))</f>
        <v/>
      </c>
      <c r="V1132" s="84" t="str">
        <f>IF(ISERROR(FIND('112'!$M$9,G1132,1)),"",IF((AND(RIGHT(G1132,2)=RIGHT('112'!$M$9,2),B1132&lt;'112'!$K$9,$O1132='112'!$I$6)),"x",""))</f>
        <v/>
      </c>
      <c r="W1132" s="84" t="str">
        <f>IF(AND('341-CT'!$H$9=H1132,OR(LEFT(N1132,3)=$W$7,LEFT(O1132,3)=$W$7)),"x","")</f>
        <v/>
      </c>
      <c r="X1132" s="84" t="str">
        <f>IF(OR(TH!N1132=TH!$X$7,O1132=TH!$X$7),"x","")</f>
        <v/>
      </c>
      <c r="Y1132" s="84" t="str">
        <f>IF(AND(OR(N1132="131",O1132="131"),H1132='131-CT'!$H$9),"x","")</f>
        <v/>
      </c>
      <c r="Z1132" s="84"/>
      <c r="AA1132" s="84" t="str">
        <f>IF(AND(MONTH(E1132)='IN-NX'!$J$5,'IN-NX'!$D$7=D1132),"x","")</f>
        <v/>
      </c>
      <c r="AB1132" s="84" t="str">
        <f>IF(AND(OR(LEFT(TH!N1132,2)="15",LEFT(TH!O1132,2)="15"),LEFT(TH!O1132,3)&lt;&gt;"111",'152-CT'!$J$8=TH!F1132),"x","")</f>
        <v/>
      </c>
      <c r="AC1132" s="84" t="str">
        <f>IF(AND(OR(LEFT(TH!N1132,2)="15",LEFT(TH!O1132,2)="15"),TK!$E$7=TH!F1132),"x","")</f>
        <v/>
      </c>
      <c r="AD1132" s="84" t="str">
        <f>IF(AND(N1132="1521",MONTH(C1132)='BK-NL'!$M$11),"x","")</f>
        <v/>
      </c>
    </row>
    <row r="1133" spans="1:31" ht="15.75" hidden="1" customHeight="1">
      <c r="A1133" s="336" t="str">
        <f>IF(B1133&lt;&gt;"",IF(AND(B1133='IN-TC'!$S$4,OR(TH!N1133="1111",TH!O1133="1111")),TH!D1133,""),"")</f>
        <v/>
      </c>
      <c r="B1133" s="63">
        <f t="shared" si="174"/>
        <v>3</v>
      </c>
      <c r="C1133" s="64">
        <v>42452</v>
      </c>
      <c r="D1133" s="318" t="s">
        <v>908</v>
      </c>
      <c r="E1133" s="64">
        <v>42452</v>
      </c>
      <c r="F1133" s="73" t="s">
        <v>771</v>
      </c>
      <c r="G1133" s="67" t="s">
        <v>1346</v>
      </c>
      <c r="H1133" s="73" t="s">
        <v>808</v>
      </c>
      <c r="I1133" s="439"/>
      <c r="J1133" s="439"/>
      <c r="K1133" s="430"/>
      <c r="L1133" s="439"/>
      <c r="M1133" s="65">
        <v>520418</v>
      </c>
      <c r="N1133" s="66" t="s">
        <v>101</v>
      </c>
      <c r="O1133" s="66" t="s">
        <v>63</v>
      </c>
      <c r="P1133" s="84" t="str">
        <f>IF(AND('331-CT'!$E$7=TH!H1133,OR(N1133="331",O1133="331")),"x","")</f>
        <v/>
      </c>
      <c r="Q1133" s="84" t="str">
        <f>IF(AND(B1133='111'!$L$11,OR($N1133=$Q$7,$O1133=$Q$7)),"x","")</f>
        <v/>
      </c>
      <c r="R1133" s="84" t="str">
        <f>IF(AND($N1133=$Q$7,$B1133&lt;'111'!$L$11),"x","")</f>
        <v/>
      </c>
      <c r="S1133" s="84" t="str">
        <f>IF(AND($O1133=$Q$7,$B1133&lt;'111'!$L$11),"x","")</f>
        <v/>
      </c>
      <c r="T1133" s="84" t="str">
        <f>IF(ISERROR(FIND('112'!$M$9,G1133,1)),"",IF((AND(FIND('112'!$M$9,G1133,1)&gt;=1,B1133='112'!$K$9,OR($N1133='112'!$I$6,$O1133='112'!$I$6))),"x",""))</f>
        <v/>
      </c>
      <c r="U1133" s="84" t="str">
        <f>IF(ISERROR(FIND('112'!$M$9,G1133,1)),"",IF((AND(LEFT(G1133,2)=LEFT('112'!$M$9,2),B1133&lt;'112'!$K$9,$N1133='112'!$I$6)),"x",""))</f>
        <v/>
      </c>
      <c r="V1133" s="84" t="str">
        <f>IF(ISERROR(FIND('112'!$M$9,G1133,1)),"",IF((AND(RIGHT(G1133,2)=RIGHT('112'!$M$9,2),B1133&lt;'112'!$K$9,$O1133='112'!$I$6)),"x",""))</f>
        <v/>
      </c>
      <c r="W1133" s="84" t="str">
        <f>IF(AND('341-CT'!$H$9=H1133,OR(LEFT(N1133,3)=$W$7,LEFT(O1133,3)=$W$7)),"x","")</f>
        <v/>
      </c>
      <c r="X1133" s="84" t="str">
        <f>IF(OR(TH!N1133=TH!$X$7,O1133=TH!$X$7),"x","")</f>
        <v/>
      </c>
      <c r="Y1133" s="84" t="str">
        <f>IF(AND(OR(N1133="131",O1133="131"),H1133='131-CT'!$H$9),"x","")</f>
        <v/>
      </c>
      <c r="Z1133" s="84"/>
      <c r="AA1133" s="84" t="str">
        <f>IF(AND(MONTH(E1133)='IN-NX'!$J$5,'IN-NX'!$D$7=D1133),"x","")</f>
        <v/>
      </c>
      <c r="AB1133" s="84" t="str">
        <f>IF(AND(OR(LEFT(TH!N1133,2)="15",LEFT(TH!O1133,2)="15"),LEFT(TH!O1133,3)&lt;&gt;"111",'152-CT'!$J$8=TH!F1133),"x","")</f>
        <v/>
      </c>
      <c r="AC1133" s="84" t="str">
        <f>IF(AND(OR(LEFT(TH!N1133,2)="15",LEFT(TH!O1133,2)="15"),TK!$E$7=TH!F1133),"x","")</f>
        <v/>
      </c>
      <c r="AD1133" s="84" t="str">
        <f>IF(AND(N1133="1521",MONTH(C1133)='BK-NL'!$M$11),"x","")</f>
        <v/>
      </c>
    </row>
    <row r="1134" spans="1:31" ht="15.75" hidden="1" customHeight="1">
      <c r="A1134" s="336" t="str">
        <f>IF(B1134&lt;&gt;"",IF(AND(B1134='IN-TC'!$S$4,OR(TH!N1134="1111",TH!O1134="1111")),TH!D1134,""),"")</f>
        <v/>
      </c>
      <c r="B1134" s="63">
        <f t="shared" si="174"/>
        <v>3</v>
      </c>
      <c r="C1134" s="64">
        <v>42452</v>
      </c>
      <c r="D1134" s="318" t="s">
        <v>908</v>
      </c>
      <c r="E1134" s="64">
        <v>42452</v>
      </c>
      <c r="F1134" s="73" t="s">
        <v>772</v>
      </c>
      <c r="G1134" s="67" t="s">
        <v>1346</v>
      </c>
      <c r="H1134" s="73" t="s">
        <v>808</v>
      </c>
      <c r="I1134" s="439"/>
      <c r="J1134" s="439"/>
      <c r="K1134" s="430"/>
      <c r="L1134" s="439"/>
      <c r="M1134" s="65">
        <v>52042</v>
      </c>
      <c r="N1134" s="66" t="s">
        <v>9</v>
      </c>
      <c r="O1134" s="66" t="s">
        <v>63</v>
      </c>
      <c r="P1134" s="84" t="str">
        <f>IF(AND('331-CT'!$E$7=TH!H1134,OR(N1134="331",O1134="331")),"x","")</f>
        <v/>
      </c>
      <c r="Q1134" s="84" t="str">
        <f>IF(AND(B1134='111'!$L$11,OR($N1134=$Q$7,$O1134=$Q$7)),"x","")</f>
        <v/>
      </c>
      <c r="R1134" s="84" t="str">
        <f>IF(AND($N1134=$Q$7,$B1134&lt;'111'!$L$11),"x","")</f>
        <v/>
      </c>
      <c r="S1134" s="84" t="str">
        <f>IF(AND($O1134=$Q$7,$B1134&lt;'111'!$L$11),"x","")</f>
        <v/>
      </c>
      <c r="T1134" s="84" t="str">
        <f>IF(ISERROR(FIND('112'!$M$9,G1134,1)),"",IF((AND(FIND('112'!$M$9,G1134,1)&gt;=1,B1134='112'!$K$9,OR($N1134='112'!$I$6,$O1134='112'!$I$6))),"x",""))</f>
        <v/>
      </c>
      <c r="U1134" s="84" t="str">
        <f>IF(ISERROR(FIND('112'!$M$9,G1134,1)),"",IF((AND(LEFT(G1134,2)=LEFT('112'!$M$9,2),B1134&lt;'112'!$K$9,$N1134='112'!$I$6)),"x",""))</f>
        <v/>
      </c>
      <c r="V1134" s="84" t="str">
        <f>IF(ISERROR(FIND('112'!$M$9,G1134,1)),"",IF((AND(RIGHT(G1134,2)=RIGHT('112'!$M$9,2),B1134&lt;'112'!$K$9,$O1134='112'!$I$6)),"x",""))</f>
        <v/>
      </c>
      <c r="W1134" s="84" t="str">
        <f>IF(AND('341-CT'!$H$9=H1134,OR(LEFT(N1134,3)=$W$7,LEFT(O1134,3)=$W$7)),"x","")</f>
        <v/>
      </c>
      <c r="X1134" s="84" t="str">
        <f>IF(OR(TH!N1134=TH!$X$7,O1134=TH!$X$7),"x","")</f>
        <v/>
      </c>
      <c r="Y1134" s="84" t="str">
        <f>IF(AND(OR(N1134="131",O1134="131"),H1134='131-CT'!$H$9),"x","")</f>
        <v/>
      </c>
      <c r="Z1134" s="84"/>
      <c r="AA1134" s="84" t="str">
        <f>IF(AND(MONTH(E1134)='IN-NX'!$J$5,'IN-NX'!$D$7=D1134),"x","")</f>
        <v/>
      </c>
      <c r="AB1134" s="84" t="str">
        <f>IF(AND(OR(LEFT(TH!N1134,2)="15",LEFT(TH!O1134,2)="15"),LEFT(TH!O1134,3)&lt;&gt;"111",'152-CT'!$J$8=TH!F1134),"x","")</f>
        <v/>
      </c>
      <c r="AC1134" s="84" t="str">
        <f>IF(AND(OR(LEFT(TH!N1134,2)="15",LEFT(TH!O1134,2)="15"),TK!$E$7=TH!F1134),"x","")</f>
        <v/>
      </c>
      <c r="AD1134" s="84" t="str">
        <f>IF(AND(N1134="1521",MONTH(C1134)='BK-NL'!$M$11),"x","")</f>
        <v/>
      </c>
    </row>
    <row r="1135" spans="1:31" ht="15.75" hidden="1" customHeight="1">
      <c r="A1135" s="336" t="str">
        <f>IF(B1135&lt;&gt;"",IF(AND(B1135='IN-TC'!$S$4,OR(TH!N1135="1111",TH!O1135="1111")),TH!D1135,""),"")</f>
        <v/>
      </c>
      <c r="B1135" s="1144">
        <f t="shared" si="174"/>
        <v>3</v>
      </c>
      <c r="C1135" s="94">
        <v>42452</v>
      </c>
      <c r="D1135" s="1145" t="s">
        <v>705</v>
      </c>
      <c r="E1135" s="94">
        <v>42452</v>
      </c>
      <c r="F1135" s="73" t="s">
        <v>1219</v>
      </c>
      <c r="G1135" s="1148" t="s">
        <v>919</v>
      </c>
      <c r="H1135" s="96" t="s">
        <v>1220</v>
      </c>
      <c r="I1135" s="445"/>
      <c r="J1135" s="445"/>
      <c r="K1135" s="436"/>
      <c r="L1135" s="445"/>
      <c r="M1135" s="97">
        <v>2520000</v>
      </c>
      <c r="N1135" s="85" t="s">
        <v>92</v>
      </c>
      <c r="O1135" s="66" t="s">
        <v>26</v>
      </c>
      <c r="P1135" s="84" t="str">
        <f>IF(AND('331-CT'!$E$7=TH!H1135,OR(N1135="331",O1135="331")),"x","")</f>
        <v/>
      </c>
      <c r="Q1135" s="84" t="str">
        <f>IF(AND(B1135='111'!$L$11,OR($N1135=$Q$7,$O1135=$Q$7)),"x","")</f>
        <v/>
      </c>
      <c r="R1135" s="84" t="str">
        <f>IF(AND($N1135=$Q$7,$B1135&lt;'111'!$L$11),"x","")</f>
        <v/>
      </c>
      <c r="S1135" s="84" t="str">
        <f>IF(AND($O1135=$Q$7,$B1135&lt;'111'!$L$11),"x","")</f>
        <v/>
      </c>
      <c r="T1135" s="84" t="str">
        <f>IF(ISERROR(FIND('112'!$M$9,G1135,1)),"",IF((AND(FIND('112'!$M$9,G1135,1)&gt;=1,B1135='112'!$K$9,OR($N1135='112'!$I$6,$O1135='112'!$I$6))),"x",""))</f>
        <v/>
      </c>
      <c r="U1135" s="84" t="str">
        <f>IF(ISERROR(FIND('112'!$M$9,G1135,1)),"",IF((AND(LEFT(G1135,2)=LEFT('112'!$M$9,2),B1135&lt;'112'!$K$9,$N1135='112'!$I$6)),"x",""))</f>
        <v/>
      </c>
      <c r="V1135" s="84" t="str">
        <f>IF(ISERROR(FIND('112'!$M$9,G1135,1)),"",IF((AND(RIGHT(G1135,2)=RIGHT('112'!$M$9,2),B1135&lt;'112'!$K$9,$O1135='112'!$I$6)),"x",""))</f>
        <v>x</v>
      </c>
      <c r="W1135" s="84" t="str">
        <f>IF(AND('341-CT'!$H$9=H1135,OR(LEFT(N1135,3)=$W$7,LEFT(O1135,3)=$W$7)),"x","")</f>
        <v/>
      </c>
      <c r="X1135" s="84" t="str">
        <f>IF(OR(TH!N1135=TH!$X$7,O1135=TH!$X$7),"x","")</f>
        <v/>
      </c>
      <c r="Y1135" s="84" t="str">
        <f>IF(AND(OR(N1135="131",O1135="131"),H1135='131-CT'!$H$9),"x","")</f>
        <v/>
      </c>
      <c r="Z1135" s="84"/>
      <c r="AA1135" s="84" t="str">
        <f>IF(AND(MONTH(E1135)='IN-NX'!$J$5,'IN-NX'!$D$7=D1135),"x","")</f>
        <v/>
      </c>
      <c r="AB1135" s="84" t="str">
        <f>IF(AND(OR(LEFT(TH!N1135,2)="15",LEFT(TH!O1135,2)="15"),LEFT(TH!O1135,3)&lt;&gt;"111",'152-CT'!$J$8=TH!F1135),"x","")</f>
        <v/>
      </c>
      <c r="AC1135" s="84" t="str">
        <f>IF(AND(OR(LEFT(TH!N1135,2)="15",LEFT(TH!O1135,2)="15"),TK!$E$7=TH!F1135),"x","")</f>
        <v/>
      </c>
      <c r="AD1135" s="84" t="str">
        <f>IF(AND(N1135="1521",MONTH(C1135)='BK-NL'!$M$11),"x","")</f>
        <v/>
      </c>
      <c r="AE1135" s="350"/>
    </row>
    <row r="1136" spans="1:31" s="350" customFormat="1" ht="15.75" hidden="1" customHeight="1">
      <c r="A1136" s="336" t="str">
        <f>IF(B1136&lt;&gt;"",IF(AND(B1136='IN-TC'!$S$4,OR(TH!N1136="1111",TH!O1136="1111")),TH!D1136,""),"")</f>
        <v/>
      </c>
      <c r="B1136" s="63">
        <f t="shared" si="174"/>
        <v>3</v>
      </c>
      <c r="C1136" s="318">
        <f>E1136</f>
        <v>42453</v>
      </c>
      <c r="D1136" s="64" t="s">
        <v>911</v>
      </c>
      <c r="E1136" s="64">
        <v>42453</v>
      </c>
      <c r="F1136" s="73" t="s">
        <v>964</v>
      </c>
      <c r="G1136" s="81"/>
      <c r="H1136" s="82" t="s">
        <v>963</v>
      </c>
      <c r="I1136" s="437"/>
      <c r="J1136" s="437"/>
      <c r="K1136" s="428"/>
      <c r="L1136" s="437"/>
      <c r="M1136" s="83">
        <v>300000000</v>
      </c>
      <c r="N1136" s="84" t="s">
        <v>272</v>
      </c>
      <c r="O1136" s="66" t="s">
        <v>63</v>
      </c>
      <c r="P1136" s="84" t="str">
        <f>IF(AND('331-CT'!$E$7=TH!H1136,OR(N1136="331",O1136="331")),"x","")</f>
        <v/>
      </c>
      <c r="Q1136" s="84" t="str">
        <f>IF(AND(B1136='111'!$L$11,OR($N1136=$Q$7,$O1136=$Q$7)),"x","")</f>
        <v/>
      </c>
      <c r="R1136" s="84" t="str">
        <f>IF(AND($N1136=$Q$7,$B1136&lt;'111'!$L$11),"x","")</f>
        <v/>
      </c>
      <c r="S1136" s="84" t="str">
        <f>IF(AND($O1136=$Q$7,$B1136&lt;'111'!$L$11),"x","")</f>
        <v/>
      </c>
      <c r="T1136" s="84" t="str">
        <f>IF(ISERROR(FIND('112'!$M$9,G1136,1)),"",IF((AND(FIND('112'!$M$9,G1136,1)&gt;=1,B1136='112'!$K$9,OR($N1136='112'!$I$6,$O1136='112'!$I$6))),"x",""))</f>
        <v/>
      </c>
      <c r="U1136" s="84" t="str">
        <f>IF(ISERROR(FIND('112'!$M$9,G1136,1)),"",IF((AND(LEFT(G1136,2)=LEFT('112'!$M$9,2),B1136&lt;'112'!$K$9,$N1136='112'!$I$6)),"x",""))</f>
        <v/>
      </c>
      <c r="V1136" s="84" t="str">
        <f>IF(ISERROR(FIND('112'!$M$9,G1136,1)),"",IF((AND(RIGHT(G1136,2)=RIGHT('112'!$M$9,2),B1136&lt;'112'!$K$9,$O1136='112'!$I$6)),"x",""))</f>
        <v/>
      </c>
      <c r="W1136" s="84" t="str">
        <f>IF(AND('341-CT'!$H$9=H1136,OR(LEFT(N1136,3)=$W$7,LEFT(O1136,3)=$W$7)),"x","")</f>
        <v/>
      </c>
      <c r="X1136" s="84" t="str">
        <f>IF(OR(TH!N1136=TH!$X$7,O1136=TH!$X$7),"x","")</f>
        <v/>
      </c>
      <c r="Y1136" s="84" t="str">
        <f>IF(AND(OR(N1136="131",O1136="131"),H1136='131-CT'!$H$9),"x","")</f>
        <v/>
      </c>
      <c r="Z1136" s="84"/>
      <c r="AA1136" s="84" t="str">
        <f>IF(AND(MONTH(E1136)='IN-NX'!$J$5,'IN-NX'!$D$7=D1136),"x","")</f>
        <v/>
      </c>
      <c r="AB1136" s="84" t="str">
        <f>IF(AND(OR(LEFT(TH!N1136,2)="15",LEFT(TH!O1136,2)="15"),LEFT(TH!O1136,3)&lt;&gt;"111",'152-CT'!$J$8=TH!F1136),"x","")</f>
        <v/>
      </c>
      <c r="AC1136" s="84" t="str">
        <f>IF(AND(OR(LEFT(TH!N1136,2)="15",LEFT(TH!O1136,2)="15"),TK!$E$7=TH!F1136),"x","")</f>
        <v/>
      </c>
      <c r="AD1136" s="84" t="str">
        <f>IF(AND(N1136="1521",MONTH(C1136)='BK-NL'!$M$11),"x","")</f>
        <v/>
      </c>
      <c r="AE1136" s="330"/>
    </row>
    <row r="1137" spans="1:31" ht="15.75" hidden="1" customHeight="1">
      <c r="A1137" s="336" t="str">
        <f>IF(B1137&lt;&gt;"",IF(AND(B1137='IN-TC'!$S$4,OR(TH!N1137="1111",TH!O1137="1111")),TH!D1137,""),"")</f>
        <v/>
      </c>
      <c r="B1137" s="63">
        <f t="shared" si="174"/>
        <v>3</v>
      </c>
      <c r="C1137" s="64">
        <v>42453</v>
      </c>
      <c r="D1137" s="64" t="s">
        <v>912</v>
      </c>
      <c r="E1137" s="64">
        <v>42453</v>
      </c>
      <c r="F1137" s="73" t="s">
        <v>1114</v>
      </c>
      <c r="G1137" s="982" t="s">
        <v>1347</v>
      </c>
      <c r="H1137" s="73" t="s">
        <v>808</v>
      </c>
      <c r="I1137" s="439"/>
      <c r="J1137" s="439"/>
      <c r="K1137" s="430"/>
      <c r="L1137" s="439"/>
      <c r="M1137" s="65">
        <v>673527</v>
      </c>
      <c r="N1137" s="66" t="s">
        <v>101</v>
      </c>
      <c r="O1137" s="66" t="s">
        <v>63</v>
      </c>
      <c r="P1137" s="84" t="str">
        <f>IF(AND('331-CT'!$E$7=TH!H1137,OR(N1137="331",O1137="331")),"x","")</f>
        <v/>
      </c>
      <c r="Q1137" s="84" t="str">
        <f>IF(AND(B1137='111'!$L$11,OR($N1137=$Q$7,$O1137=$Q$7)),"x","")</f>
        <v/>
      </c>
      <c r="R1137" s="84" t="str">
        <f>IF(AND($N1137=$Q$7,$B1137&lt;'111'!$L$11),"x","")</f>
        <v/>
      </c>
      <c r="S1137" s="84" t="str">
        <f>IF(AND($O1137=$Q$7,$B1137&lt;'111'!$L$11),"x","")</f>
        <v/>
      </c>
      <c r="T1137" s="84" t="str">
        <f>IF(ISERROR(FIND('112'!$M$9,G1137,1)),"",IF((AND(FIND('112'!$M$9,G1137,1)&gt;=1,B1137='112'!$K$9,OR($N1137='112'!$I$6,$O1137='112'!$I$6))),"x",""))</f>
        <v/>
      </c>
      <c r="U1137" s="84" t="str">
        <f>IF(ISERROR(FIND('112'!$M$9,G1137,1)),"",IF((AND(LEFT(G1137,2)=LEFT('112'!$M$9,2),B1137&lt;'112'!$K$9,$N1137='112'!$I$6)),"x",""))</f>
        <v/>
      </c>
      <c r="V1137" s="84" t="str">
        <f>IF(ISERROR(FIND('112'!$M$9,G1137,1)),"",IF((AND(RIGHT(G1137,2)=RIGHT('112'!$M$9,2),B1137&lt;'112'!$K$9,$O1137='112'!$I$6)),"x",""))</f>
        <v/>
      </c>
      <c r="W1137" s="84" t="str">
        <f>IF(AND('341-CT'!$H$9=H1137,OR(LEFT(N1137,3)=$W$7,LEFT(O1137,3)=$W$7)),"x","")</f>
        <v/>
      </c>
      <c r="X1137" s="84" t="str">
        <f>IF(OR(TH!N1137=TH!$X$7,O1137=TH!$X$7),"x","")</f>
        <v/>
      </c>
      <c r="Y1137" s="84" t="str">
        <f>IF(AND(OR(N1137="131",O1137="131"),H1137='131-CT'!$H$9),"x","")</f>
        <v/>
      </c>
      <c r="Z1137" s="84"/>
      <c r="AA1137" s="84" t="str">
        <f>IF(AND(MONTH(E1137)='IN-NX'!$J$5,'IN-NX'!$D$7=D1137),"x","")</f>
        <v/>
      </c>
      <c r="AB1137" s="84" t="str">
        <f>IF(AND(OR(LEFT(TH!N1137,2)="15",LEFT(TH!O1137,2)="15"),LEFT(TH!O1137,3)&lt;&gt;"111",'152-CT'!$J$8=TH!F1137),"x","")</f>
        <v/>
      </c>
      <c r="AC1137" s="84" t="str">
        <f>IF(AND(OR(LEFT(TH!N1137,2)="15",LEFT(TH!O1137,2)="15"),TK!$E$7=TH!F1137),"x","")</f>
        <v/>
      </c>
      <c r="AD1137" s="84" t="str">
        <f>IF(AND(N1137="1521",MONTH(C1137)='BK-NL'!$M$11),"x","")</f>
        <v/>
      </c>
    </row>
    <row r="1138" spans="1:31" ht="15.75" hidden="1" customHeight="1">
      <c r="A1138" s="336" t="str">
        <f>IF(B1138&lt;&gt;"",IF(AND(B1138='IN-TC'!$S$4,OR(TH!N1138="1111",TH!O1138="1111")),TH!D1138,""),"")</f>
        <v/>
      </c>
      <c r="B1138" s="63">
        <f t="shared" si="174"/>
        <v>3</v>
      </c>
      <c r="C1138" s="64">
        <v>42453</v>
      </c>
      <c r="D1138" s="64" t="s">
        <v>912</v>
      </c>
      <c r="E1138" s="64">
        <v>42453</v>
      </c>
      <c r="F1138" s="73" t="s">
        <v>1344</v>
      </c>
      <c r="G1138" s="986" t="s">
        <v>1347</v>
      </c>
      <c r="H1138" s="344" t="s">
        <v>808</v>
      </c>
      <c r="I1138" s="439"/>
      <c r="J1138" s="439"/>
      <c r="K1138" s="430"/>
      <c r="L1138" s="439"/>
      <c r="M1138" s="65">
        <v>67353</v>
      </c>
      <c r="N1138" s="66" t="s">
        <v>9</v>
      </c>
      <c r="O1138" s="66" t="s">
        <v>63</v>
      </c>
      <c r="P1138" s="84" t="str">
        <f>IF(AND('331-CT'!$E$7=TH!H1138,OR(N1138="331",O1138="331")),"x","")</f>
        <v/>
      </c>
      <c r="Q1138" s="84" t="str">
        <f>IF(AND(B1138='111'!$L$11,OR($N1138=$Q$7,$O1138=$Q$7)),"x","")</f>
        <v/>
      </c>
      <c r="R1138" s="84" t="str">
        <f>IF(AND($N1138=$Q$7,$B1138&lt;'111'!$L$11),"x","")</f>
        <v/>
      </c>
      <c r="S1138" s="84" t="str">
        <f>IF(AND($O1138=$Q$7,$B1138&lt;'111'!$L$11),"x","")</f>
        <v/>
      </c>
      <c r="T1138" s="84" t="str">
        <f>IF(ISERROR(FIND('112'!$M$9,G1138,1)),"",IF((AND(FIND('112'!$M$9,G1138,1)&gt;=1,B1138='112'!$K$9,OR($N1138='112'!$I$6,$O1138='112'!$I$6))),"x",""))</f>
        <v/>
      </c>
      <c r="U1138" s="84" t="str">
        <f>IF(ISERROR(FIND('112'!$M$9,G1138,1)),"",IF((AND(LEFT(G1138,2)=LEFT('112'!$M$9,2),B1138&lt;'112'!$K$9,$N1138='112'!$I$6)),"x",""))</f>
        <v/>
      </c>
      <c r="V1138" s="84" t="str">
        <f>IF(ISERROR(FIND('112'!$M$9,G1138,1)),"",IF((AND(RIGHT(G1138,2)=RIGHT('112'!$M$9,2),B1138&lt;'112'!$K$9,$O1138='112'!$I$6)),"x",""))</f>
        <v/>
      </c>
      <c r="W1138" s="84" t="str">
        <f>IF(AND('341-CT'!$H$9=H1138,OR(LEFT(N1138,3)=$W$7,LEFT(O1138,3)=$W$7)),"x","")</f>
        <v/>
      </c>
      <c r="X1138" s="84" t="str">
        <f>IF(OR(TH!N1138=TH!$X$7,O1138=TH!$X$7),"x","")</f>
        <v/>
      </c>
      <c r="Y1138" s="84" t="str">
        <f>IF(AND(OR(N1138="131",O1138="131"),H1138='131-CT'!$H$9),"x","")</f>
        <v/>
      </c>
      <c r="Z1138" s="84"/>
      <c r="AA1138" s="84" t="str">
        <f>IF(AND(MONTH(E1138)='IN-NX'!$J$5,'IN-NX'!$D$7=D1138),"x","")</f>
        <v/>
      </c>
      <c r="AB1138" s="84" t="str">
        <f>IF(AND(OR(LEFT(TH!N1138,2)="15",LEFT(TH!O1138,2)="15"),LEFT(TH!O1138,3)&lt;&gt;"111",'152-CT'!$J$8=TH!F1138),"x","")</f>
        <v/>
      </c>
      <c r="AC1138" s="84" t="str">
        <f>IF(AND(OR(LEFT(TH!N1138,2)="15",LEFT(TH!O1138,2)="15"),TK!$E$7=TH!F1138),"x","")</f>
        <v/>
      </c>
      <c r="AD1138" s="84" t="str">
        <f>IF(AND(N1138="1521",MONTH(C1138)='BK-NL'!$M$11),"x","")</f>
        <v/>
      </c>
      <c r="AE1138" s="351"/>
    </row>
    <row r="1139" spans="1:31" ht="15.75" hidden="1" customHeight="1">
      <c r="A1139" s="336" t="str">
        <f>IF(B1139&lt;&gt;"",IF(AND(B1139='IN-TC'!$S$4,OR(TH!N1139="1111",TH!O1139="1111")),TH!D1139,""),"")</f>
        <v/>
      </c>
      <c r="B1139" s="63">
        <f t="shared" si="174"/>
        <v>3</v>
      </c>
      <c r="C1139" s="80">
        <v>42454</v>
      </c>
      <c r="D1139" s="64" t="s">
        <v>913</v>
      </c>
      <c r="E1139" s="80">
        <v>42454</v>
      </c>
      <c r="F1139" s="73" t="s">
        <v>771</v>
      </c>
      <c r="G1139" s="1004" t="s">
        <v>1348</v>
      </c>
      <c r="H1139" s="82" t="s">
        <v>808</v>
      </c>
      <c r="I1139" s="437"/>
      <c r="J1139" s="437"/>
      <c r="K1139" s="428"/>
      <c r="L1139" s="437"/>
      <c r="M1139" s="83">
        <v>376855</v>
      </c>
      <c r="N1139" s="84" t="s">
        <v>101</v>
      </c>
      <c r="O1139" s="66" t="s">
        <v>63</v>
      </c>
      <c r="P1139" s="84" t="str">
        <f>IF(AND('331-CT'!$E$7=TH!H1139,OR(N1139="331",O1139="331")),"x","")</f>
        <v/>
      </c>
      <c r="Q1139" s="84" t="str">
        <f>IF(AND(B1139='111'!$L$11,OR($N1139=$Q$7,$O1139=$Q$7)),"x","")</f>
        <v/>
      </c>
      <c r="R1139" s="84" t="str">
        <f>IF(AND($N1139=$Q$7,$B1139&lt;'111'!$L$11),"x","")</f>
        <v/>
      </c>
      <c r="S1139" s="84" t="str">
        <f>IF(AND($O1139=$Q$7,$B1139&lt;'111'!$L$11),"x","")</f>
        <v/>
      </c>
      <c r="T1139" s="84" t="str">
        <f>IF(ISERROR(FIND('112'!$M$9,G1139,1)),"",IF((AND(FIND('112'!$M$9,G1139,1)&gt;=1,B1139='112'!$K$9,OR($N1139='112'!$I$6,$O1139='112'!$I$6))),"x",""))</f>
        <v/>
      </c>
      <c r="U1139" s="84" t="str">
        <f>IF(ISERROR(FIND('112'!$M$9,G1139,1)),"",IF((AND(LEFT(G1139,2)=LEFT('112'!$M$9,2),B1139&lt;'112'!$K$9,$N1139='112'!$I$6)),"x",""))</f>
        <v/>
      </c>
      <c r="V1139" s="84" t="str">
        <f>IF(ISERROR(FIND('112'!$M$9,G1139,1)),"",IF((AND(RIGHT(G1139,2)=RIGHT('112'!$M$9,2),B1139&lt;'112'!$K$9,$O1139='112'!$I$6)),"x",""))</f>
        <v/>
      </c>
      <c r="W1139" s="84" t="str">
        <f>IF(AND('341-CT'!$H$9=H1139,OR(LEFT(N1139,3)=$W$7,LEFT(O1139,3)=$W$7)),"x","")</f>
        <v/>
      </c>
      <c r="X1139" s="84" t="str">
        <f>IF(OR(TH!N1139=TH!$X$7,O1139=TH!$X$7),"x","")</f>
        <v/>
      </c>
      <c r="Y1139" s="84" t="str">
        <f>IF(AND(OR(N1139="131",O1139="131"),H1139='131-CT'!$H$9),"x","")</f>
        <v/>
      </c>
      <c r="Z1139" s="84"/>
      <c r="AA1139" s="84" t="str">
        <f>IF(AND(MONTH(E1139)='IN-NX'!$J$5,'IN-NX'!$D$7=D1139),"x","")</f>
        <v/>
      </c>
      <c r="AB1139" s="84" t="str">
        <f>IF(AND(OR(LEFT(TH!N1139,2)="15",LEFT(TH!O1139,2)="15"),LEFT(TH!O1139,3)&lt;&gt;"111",'152-CT'!$J$8=TH!F1139),"x","")</f>
        <v/>
      </c>
      <c r="AC1139" s="84" t="str">
        <f>IF(AND(OR(LEFT(TH!N1139,2)="15",LEFT(TH!O1139,2)="15"),TK!$E$7=TH!F1139),"x","")</f>
        <v/>
      </c>
      <c r="AD1139" s="84" t="str">
        <f>IF(AND(N1139="1521",MONTH(C1139)='BK-NL'!$M$11),"x","")</f>
        <v/>
      </c>
      <c r="AE1139" s="347"/>
    </row>
    <row r="1140" spans="1:31" ht="15.75" hidden="1" customHeight="1">
      <c r="A1140" s="336" t="str">
        <f>IF(B1140&lt;&gt;"",IF(AND(B1140='IN-TC'!$S$4,OR(TH!N1140="1111",TH!O1140="1111")),TH!D1140,""),"")</f>
        <v/>
      </c>
      <c r="B1140" s="63">
        <f t="shared" si="174"/>
        <v>3</v>
      </c>
      <c r="C1140" s="80">
        <v>42454</v>
      </c>
      <c r="D1140" s="64" t="s">
        <v>913</v>
      </c>
      <c r="E1140" s="80">
        <v>42454</v>
      </c>
      <c r="F1140" s="73" t="s">
        <v>772</v>
      </c>
      <c r="G1140" s="1004" t="s">
        <v>1348</v>
      </c>
      <c r="H1140" s="82" t="s">
        <v>808</v>
      </c>
      <c r="I1140" s="437"/>
      <c r="J1140" s="437"/>
      <c r="K1140" s="428"/>
      <c r="L1140" s="437"/>
      <c r="M1140" s="83">
        <v>37685</v>
      </c>
      <c r="N1140" s="84" t="s">
        <v>9</v>
      </c>
      <c r="O1140" s="66" t="s">
        <v>63</v>
      </c>
      <c r="P1140" s="84" t="str">
        <f>IF(AND('331-CT'!$E$7=TH!H1140,OR(N1140="331",O1140="331")),"x","")</f>
        <v/>
      </c>
      <c r="Q1140" s="84" t="str">
        <f>IF(AND(B1140='111'!$L$11,OR($N1140=$Q$7,$O1140=$Q$7)),"x","")</f>
        <v/>
      </c>
      <c r="R1140" s="84" t="str">
        <f>IF(AND($N1140=$Q$7,$B1140&lt;'111'!$L$11),"x","")</f>
        <v/>
      </c>
      <c r="S1140" s="84" t="str">
        <f>IF(AND($O1140=$Q$7,$B1140&lt;'111'!$L$11),"x","")</f>
        <v/>
      </c>
      <c r="T1140" s="84" t="str">
        <f>IF(ISERROR(FIND('112'!$M$9,G1140,1)),"",IF((AND(FIND('112'!$M$9,G1140,1)&gt;=1,B1140='112'!$K$9,OR($N1140='112'!$I$6,$O1140='112'!$I$6))),"x",""))</f>
        <v/>
      </c>
      <c r="U1140" s="84" t="str">
        <f>IF(ISERROR(FIND('112'!$M$9,G1140,1)),"",IF((AND(LEFT(G1140,2)=LEFT('112'!$M$9,2),B1140&lt;'112'!$K$9,$N1140='112'!$I$6)),"x",""))</f>
        <v/>
      </c>
      <c r="V1140" s="84" t="str">
        <f>IF(ISERROR(FIND('112'!$M$9,G1140,1)),"",IF((AND(RIGHT(G1140,2)=RIGHT('112'!$M$9,2),B1140&lt;'112'!$K$9,$O1140='112'!$I$6)),"x",""))</f>
        <v/>
      </c>
      <c r="W1140" s="84" t="str">
        <f>IF(AND('341-CT'!$H$9=H1140,OR(LEFT(N1140,3)=$W$7,LEFT(O1140,3)=$W$7)),"x","")</f>
        <v/>
      </c>
      <c r="X1140" s="84" t="str">
        <f>IF(OR(TH!N1140=TH!$X$7,O1140=TH!$X$7),"x","")</f>
        <v/>
      </c>
      <c r="Y1140" s="84" t="str">
        <f>IF(AND(OR(N1140="131",O1140="131"),H1140='131-CT'!$H$9),"x","")</f>
        <v/>
      </c>
      <c r="Z1140" s="84"/>
      <c r="AA1140" s="84" t="str">
        <f>IF(AND(MONTH(E1140)='IN-NX'!$J$5,'IN-NX'!$D$7=D1140),"x","")</f>
        <v/>
      </c>
      <c r="AB1140" s="84" t="str">
        <f>IF(AND(OR(LEFT(TH!N1140,2)="15",LEFT(TH!O1140,2)="15"),LEFT(TH!O1140,3)&lt;&gt;"111",'152-CT'!$J$8=TH!F1140),"x","")</f>
        <v/>
      </c>
      <c r="AC1140" s="84" t="str">
        <f>IF(AND(OR(LEFT(TH!N1140,2)="15",LEFT(TH!O1140,2)="15"),TK!$E$7=TH!F1140),"x","")</f>
        <v/>
      </c>
      <c r="AD1140" s="84" t="str">
        <f>IF(AND(N1140="1521",MONTH(C1140)='BK-NL'!$M$11),"x","")</f>
        <v/>
      </c>
      <c r="AE1140" s="347"/>
    </row>
    <row r="1141" spans="1:31" ht="15.75" hidden="1" customHeight="1">
      <c r="A1141" s="336" t="str">
        <f>IF(B1141&lt;&gt;"",IF(AND(B1141='IN-TC'!$S$4,OR(TH!N1141="1111",TH!O1141="1111")),TH!D1141,""),"")</f>
        <v/>
      </c>
      <c r="B1141" s="63">
        <f t="shared" si="174"/>
        <v>3</v>
      </c>
      <c r="C1141" s="80">
        <v>42454</v>
      </c>
      <c r="D1141" s="80" t="s">
        <v>705</v>
      </c>
      <c r="E1141" s="80">
        <v>42454</v>
      </c>
      <c r="F1141" s="73" t="s">
        <v>1221</v>
      </c>
      <c r="G1141" s="1004" t="s">
        <v>919</v>
      </c>
      <c r="H1141" s="82"/>
      <c r="I1141" s="437"/>
      <c r="J1141" s="437"/>
      <c r="K1141" s="428"/>
      <c r="L1141" s="437"/>
      <c r="M1141" s="83">
        <v>50000</v>
      </c>
      <c r="N1141" s="84" t="s">
        <v>101</v>
      </c>
      <c r="O1141" s="66" t="s">
        <v>26</v>
      </c>
      <c r="P1141" s="84" t="str">
        <f>IF(AND('331-CT'!$E$7=TH!H1141,OR(N1141="331",O1141="331")),"x","")</f>
        <v/>
      </c>
      <c r="Q1141" s="84" t="str">
        <f>IF(AND(B1141='111'!$L$11,OR($N1141=$Q$7,$O1141=$Q$7)),"x","")</f>
        <v/>
      </c>
      <c r="R1141" s="84" t="str">
        <f>IF(AND($N1141=$Q$7,$B1141&lt;'111'!$L$11),"x","")</f>
        <v/>
      </c>
      <c r="S1141" s="84" t="str">
        <f>IF(AND($O1141=$Q$7,$B1141&lt;'111'!$L$11),"x","")</f>
        <v/>
      </c>
      <c r="T1141" s="84" t="str">
        <f>IF(ISERROR(FIND('112'!$M$9,G1141,1)),"",IF((AND(FIND('112'!$M$9,G1141,1)&gt;=1,B1141='112'!$K$9,OR($N1141='112'!$I$6,$O1141='112'!$I$6))),"x",""))</f>
        <v/>
      </c>
      <c r="U1141" s="84" t="str">
        <f>IF(ISERROR(FIND('112'!$M$9,G1141,1)),"",IF((AND(LEFT(G1141,2)=LEFT('112'!$M$9,2),B1141&lt;'112'!$K$9,$N1141='112'!$I$6)),"x",""))</f>
        <v/>
      </c>
      <c r="V1141" s="84" t="str">
        <f>IF(ISERROR(FIND('112'!$M$9,G1141,1)),"",IF((AND(RIGHT(G1141,2)=RIGHT('112'!$M$9,2),B1141&lt;'112'!$K$9,$O1141='112'!$I$6)),"x",""))</f>
        <v>x</v>
      </c>
      <c r="W1141" s="84" t="str">
        <f>IF(AND('341-CT'!$H$9=H1141,OR(LEFT(N1141,3)=$W$7,LEFT(O1141,3)=$W$7)),"x","")</f>
        <v/>
      </c>
      <c r="X1141" s="84" t="str">
        <f>IF(OR(TH!N1141=TH!$X$7,O1141=TH!$X$7),"x","")</f>
        <v/>
      </c>
      <c r="Y1141" s="84" t="str">
        <f>IF(AND(OR(N1141="131",O1141="131"),H1141='131-CT'!$H$9),"x","")</f>
        <v/>
      </c>
      <c r="Z1141" s="84"/>
      <c r="AA1141" s="84" t="str">
        <f>IF(AND(MONTH(E1141)='IN-NX'!$J$5,'IN-NX'!$D$7=D1141),"x","")</f>
        <v/>
      </c>
      <c r="AB1141" s="84" t="str">
        <f>IF(AND(OR(LEFT(TH!N1141,2)="15",LEFT(TH!O1141,2)="15"),LEFT(TH!O1141,3)&lt;&gt;"111",'152-CT'!$J$8=TH!F1141),"x","")</f>
        <v/>
      </c>
      <c r="AC1141" s="84" t="str">
        <f>IF(AND(OR(LEFT(TH!N1141,2)="15",LEFT(TH!O1141,2)="15"),TK!$E$7=TH!F1141),"x","")</f>
        <v/>
      </c>
      <c r="AD1141" s="84" t="str">
        <f>IF(AND(N1141="1521",MONTH(C1141)='BK-NL'!$M$11),"x","")</f>
        <v/>
      </c>
      <c r="AE1141" s="347"/>
    </row>
    <row r="1142" spans="1:31" ht="15.75" hidden="1" customHeight="1">
      <c r="A1142" s="336" t="str">
        <f>IF(B1142&lt;&gt;"",IF(AND(B1142='IN-TC'!$S$4,OR(TH!N1142="1111",TH!O1142="1111")),TH!D1142,""),"")</f>
        <v/>
      </c>
      <c r="B1142" s="63">
        <f t="shared" si="174"/>
        <v>3</v>
      </c>
      <c r="C1142" s="80">
        <v>42454</v>
      </c>
      <c r="D1142" s="80" t="s">
        <v>705</v>
      </c>
      <c r="E1142" s="80">
        <v>42454</v>
      </c>
      <c r="F1142" s="73" t="s">
        <v>1204</v>
      </c>
      <c r="G1142" s="1004" t="s">
        <v>919</v>
      </c>
      <c r="H1142" s="82"/>
      <c r="I1142" s="437"/>
      <c r="J1142" s="437"/>
      <c r="K1142" s="428"/>
      <c r="L1142" s="437"/>
      <c r="M1142" s="83">
        <v>5000</v>
      </c>
      <c r="N1142" s="84" t="s">
        <v>9</v>
      </c>
      <c r="O1142" s="66" t="s">
        <v>26</v>
      </c>
      <c r="P1142" s="84" t="str">
        <f>IF(AND('331-CT'!$E$7=TH!H1142,OR(N1142="331",O1142="331")),"x","")</f>
        <v/>
      </c>
      <c r="Q1142" s="84" t="str">
        <f>IF(AND(B1142='111'!$L$11,OR($N1142=$Q$7,$O1142=$Q$7)),"x","")</f>
        <v/>
      </c>
      <c r="R1142" s="84" t="str">
        <f>IF(AND($N1142=$Q$7,$B1142&lt;'111'!$L$11),"x","")</f>
        <v/>
      </c>
      <c r="S1142" s="84" t="str">
        <f>IF(AND($O1142=$Q$7,$B1142&lt;'111'!$L$11),"x","")</f>
        <v/>
      </c>
      <c r="T1142" s="84" t="str">
        <f>IF(ISERROR(FIND('112'!$M$9,G1142,1)),"",IF((AND(FIND('112'!$M$9,G1142,1)&gt;=1,B1142='112'!$K$9,OR($N1142='112'!$I$6,$O1142='112'!$I$6))),"x",""))</f>
        <v/>
      </c>
      <c r="U1142" s="84" t="str">
        <f>IF(ISERROR(FIND('112'!$M$9,G1142,1)),"",IF((AND(LEFT(G1142,2)=LEFT('112'!$M$9,2),B1142&lt;'112'!$K$9,$N1142='112'!$I$6)),"x",""))</f>
        <v/>
      </c>
      <c r="V1142" s="84" t="str">
        <f>IF(ISERROR(FIND('112'!$M$9,G1142,1)),"",IF((AND(RIGHT(G1142,2)=RIGHT('112'!$M$9,2),B1142&lt;'112'!$K$9,$O1142='112'!$I$6)),"x",""))</f>
        <v>x</v>
      </c>
      <c r="W1142" s="84" t="str">
        <f>IF(AND('341-CT'!$H$9=H1142,OR(LEFT(N1142,3)=$W$7,LEFT(O1142,3)=$W$7)),"x","")</f>
        <v/>
      </c>
      <c r="X1142" s="84" t="str">
        <f>IF(OR(TH!N1142=TH!$X$7,O1142=TH!$X$7),"x","")</f>
        <v/>
      </c>
      <c r="Y1142" s="84" t="str">
        <f>IF(AND(OR(N1142="131",O1142="131"),H1142='131-CT'!$H$9),"x","")</f>
        <v/>
      </c>
      <c r="Z1142" s="84"/>
      <c r="AA1142" s="84" t="str">
        <f>IF(AND(MONTH(E1142)='IN-NX'!$J$5,'IN-NX'!$D$7=D1142),"x","")</f>
        <v/>
      </c>
      <c r="AB1142" s="84" t="str">
        <f>IF(AND(OR(LEFT(TH!N1142,2)="15",LEFT(TH!O1142,2)="15"),LEFT(TH!O1142,3)&lt;&gt;"111",'152-CT'!$J$8=TH!F1142),"x","")</f>
        <v/>
      </c>
      <c r="AC1142" s="84" t="str">
        <f>IF(AND(OR(LEFT(TH!N1142,2)="15",LEFT(TH!O1142,2)="15"),TK!$E$7=TH!F1142),"x","")</f>
        <v/>
      </c>
      <c r="AD1142" s="84" t="str">
        <f>IF(AND(N1142="1521",MONTH(C1142)='BK-NL'!$M$11),"x","")</f>
        <v/>
      </c>
      <c r="AE1142" s="347"/>
    </row>
    <row r="1143" spans="1:31" ht="15.75" hidden="1" customHeight="1">
      <c r="A1143" s="336" t="str">
        <f>IF(B1143&lt;&gt;"",IF(AND(B1143='IN-TC'!$S$4,OR(TH!N1143="1111",TH!O1143="1111")),TH!D1143,""),"")</f>
        <v/>
      </c>
      <c r="B1143" s="63">
        <f t="shared" si="174"/>
        <v>3</v>
      </c>
      <c r="C1143" s="64">
        <v>42454</v>
      </c>
      <c r="D1143" s="318" t="s">
        <v>705</v>
      </c>
      <c r="E1143" s="64">
        <v>42454</v>
      </c>
      <c r="F1143" s="73" t="s">
        <v>1202</v>
      </c>
      <c r="G1143" s="986" t="s">
        <v>919</v>
      </c>
      <c r="H1143" s="73"/>
      <c r="I1143" s="439"/>
      <c r="J1143" s="439"/>
      <c r="K1143" s="430"/>
      <c r="L1143" s="439"/>
      <c r="M1143" s="65">
        <v>50000</v>
      </c>
      <c r="N1143" s="66" t="s">
        <v>101</v>
      </c>
      <c r="O1143" s="66" t="s">
        <v>26</v>
      </c>
      <c r="P1143" s="84" t="str">
        <f>IF(AND('331-CT'!$E$7=TH!H1143,OR(N1143="331",O1143="331")),"x","")</f>
        <v/>
      </c>
      <c r="Q1143" s="84" t="str">
        <f>IF(AND(B1143='111'!$L$11,OR($N1143=$Q$7,$O1143=$Q$7)),"x","")</f>
        <v/>
      </c>
      <c r="R1143" s="84" t="str">
        <f>IF(AND($N1143=$Q$7,$B1143&lt;'111'!$L$11),"x","")</f>
        <v/>
      </c>
      <c r="S1143" s="84" t="str">
        <f>IF(AND($O1143=$Q$7,$B1143&lt;'111'!$L$11),"x","")</f>
        <v/>
      </c>
      <c r="T1143" s="84" t="str">
        <f>IF(ISERROR(FIND('112'!$M$9,G1143,1)),"",IF((AND(FIND('112'!$M$9,G1143,1)&gt;=1,B1143='112'!$K$9,OR($N1143='112'!$I$6,$O1143='112'!$I$6))),"x",""))</f>
        <v/>
      </c>
      <c r="U1143" s="84" t="str">
        <f>IF(ISERROR(FIND('112'!$M$9,G1143,1)),"",IF((AND(LEFT(G1143,2)=LEFT('112'!$M$9,2),B1143&lt;'112'!$K$9,$N1143='112'!$I$6)),"x",""))</f>
        <v/>
      </c>
      <c r="V1143" s="84" t="str">
        <f>IF(ISERROR(FIND('112'!$M$9,G1143,1)),"",IF((AND(RIGHT(G1143,2)=RIGHT('112'!$M$9,2),B1143&lt;'112'!$K$9,$O1143='112'!$I$6)),"x",""))</f>
        <v>x</v>
      </c>
      <c r="W1143" s="84" t="str">
        <f>IF(AND('341-CT'!$H$9=H1143,OR(LEFT(N1143,3)=$W$7,LEFT(O1143,3)=$W$7)),"x","")</f>
        <v/>
      </c>
      <c r="X1143" s="84" t="str">
        <f>IF(OR(TH!N1143=TH!$X$7,O1143=TH!$X$7),"x","")</f>
        <v/>
      </c>
      <c r="Y1143" s="84" t="str">
        <f>IF(AND(OR(N1143="131",O1143="131"),H1143='131-CT'!$H$9),"x","")</f>
        <v/>
      </c>
      <c r="Z1143" s="84"/>
      <c r="AA1143" s="84" t="str">
        <f>IF(AND(MONTH(E1143)='IN-NX'!$J$5,'IN-NX'!$D$7=D1143),"x","")</f>
        <v/>
      </c>
      <c r="AB1143" s="84" t="str">
        <f>IF(AND(OR(LEFT(TH!N1143,2)="15",LEFT(TH!O1143,2)="15"),LEFT(TH!O1143,3)&lt;&gt;"111",'152-CT'!$J$8=TH!F1143),"x","")</f>
        <v/>
      </c>
      <c r="AC1143" s="84" t="str">
        <f>IF(AND(OR(LEFT(TH!N1143,2)="15",LEFT(TH!O1143,2)="15"),TK!$E$7=TH!F1143),"x","")</f>
        <v/>
      </c>
      <c r="AD1143" s="84" t="str">
        <f>IF(AND(N1143="1521",MONTH(C1143)='BK-NL'!$M$11),"x","")</f>
        <v/>
      </c>
      <c r="AE1143" s="351"/>
    </row>
    <row r="1144" spans="1:31" ht="15.75" hidden="1" customHeight="1">
      <c r="A1144" s="336" t="str">
        <f>IF(B1144&lt;&gt;"",IF(AND(B1144='IN-TC'!$S$4,OR(TH!N1144="1111",TH!O1144="1111")),TH!D1144,""),"")</f>
        <v/>
      </c>
      <c r="B1144" s="63">
        <f t="shared" si="174"/>
        <v>3</v>
      </c>
      <c r="C1144" s="64">
        <v>42454</v>
      </c>
      <c r="D1144" s="318" t="s">
        <v>705</v>
      </c>
      <c r="E1144" s="64">
        <v>42454</v>
      </c>
      <c r="F1144" s="73" t="s">
        <v>1204</v>
      </c>
      <c r="G1144" s="986" t="s">
        <v>919</v>
      </c>
      <c r="H1144" s="73"/>
      <c r="I1144" s="439"/>
      <c r="J1144" s="439"/>
      <c r="K1144" s="430"/>
      <c r="L1144" s="439"/>
      <c r="M1144" s="65">
        <v>5000</v>
      </c>
      <c r="N1144" s="66" t="s">
        <v>9</v>
      </c>
      <c r="O1144" s="66" t="s">
        <v>26</v>
      </c>
      <c r="P1144" s="84" t="str">
        <f>IF(AND('331-CT'!$E$7=TH!H1144,OR(N1144="331",O1144="331")),"x","")</f>
        <v/>
      </c>
      <c r="Q1144" s="84" t="str">
        <f>IF(AND(B1144='111'!$L$11,OR($N1144=$Q$7,$O1144=$Q$7)),"x","")</f>
        <v/>
      </c>
      <c r="R1144" s="84" t="str">
        <f>IF(AND($N1144=$Q$7,$B1144&lt;'111'!$L$11),"x","")</f>
        <v/>
      </c>
      <c r="S1144" s="84" t="str">
        <f>IF(AND($O1144=$Q$7,$B1144&lt;'111'!$L$11),"x","")</f>
        <v/>
      </c>
      <c r="T1144" s="84" t="str">
        <f>IF(ISERROR(FIND('112'!$M$9,G1144,1)),"",IF((AND(FIND('112'!$M$9,G1144,1)&gt;=1,B1144='112'!$K$9,OR($N1144='112'!$I$6,$O1144='112'!$I$6))),"x",""))</f>
        <v/>
      </c>
      <c r="U1144" s="84" t="str">
        <f>IF(ISERROR(FIND('112'!$M$9,G1144,1)),"",IF((AND(LEFT(G1144,2)=LEFT('112'!$M$9,2),B1144&lt;'112'!$K$9,$N1144='112'!$I$6)),"x",""))</f>
        <v/>
      </c>
      <c r="V1144" s="84" t="str">
        <f>IF(ISERROR(FIND('112'!$M$9,G1144,1)),"",IF((AND(RIGHT(G1144,2)=RIGHT('112'!$M$9,2),B1144&lt;'112'!$K$9,$O1144='112'!$I$6)),"x",""))</f>
        <v>x</v>
      </c>
      <c r="W1144" s="84" t="str">
        <f>IF(AND('341-CT'!$H$9=H1144,OR(LEFT(N1144,3)=$W$7,LEFT(O1144,3)=$W$7)),"x","")</f>
        <v/>
      </c>
      <c r="X1144" s="84" t="str">
        <f>IF(OR(TH!N1144=TH!$X$7,O1144=TH!$X$7),"x","")</f>
        <v/>
      </c>
      <c r="Y1144" s="84" t="str">
        <f>IF(AND(OR(N1144="131",O1144="131"),H1144='131-CT'!$H$9),"x","")</f>
        <v/>
      </c>
      <c r="Z1144" s="84"/>
      <c r="AA1144" s="84" t="str">
        <f>IF(AND(MONTH(E1144)='IN-NX'!$J$5,'IN-NX'!$D$7=D1144),"x","")</f>
        <v/>
      </c>
      <c r="AB1144" s="84" t="str">
        <f>IF(AND(OR(LEFT(TH!N1144,2)="15",LEFT(TH!O1144,2)="15"),LEFT(TH!O1144,3)&lt;&gt;"111",'152-CT'!$J$8=TH!F1144),"x","")</f>
        <v/>
      </c>
      <c r="AC1144" s="84" t="str">
        <f>IF(AND(OR(LEFT(TH!N1144,2)="15",LEFT(TH!O1144,2)="15"),TK!$E$7=TH!F1144),"x","")</f>
        <v/>
      </c>
      <c r="AD1144" s="84" t="str">
        <f>IF(AND(N1144="1521",MONTH(C1144)='BK-NL'!$M$11),"x","")</f>
        <v/>
      </c>
      <c r="AE1144" s="351"/>
    </row>
    <row r="1145" spans="1:31" ht="15.75" hidden="1" customHeight="1">
      <c r="A1145" s="336" t="str">
        <f>IF(B1145&lt;&gt;"",IF(AND(B1145='IN-TC'!$S$4,OR(TH!N1145="1111",TH!O1145="1111")),TH!D1145,""),"")</f>
        <v/>
      </c>
      <c r="B1145" s="63">
        <f t="shared" si="174"/>
        <v>3</v>
      </c>
      <c r="C1145" s="64">
        <v>42454</v>
      </c>
      <c r="D1145" s="318" t="s">
        <v>705</v>
      </c>
      <c r="E1145" s="64">
        <v>42454</v>
      </c>
      <c r="F1145" s="73" t="s">
        <v>1203</v>
      </c>
      <c r="G1145" s="986" t="s">
        <v>919</v>
      </c>
      <c r="H1145" s="73"/>
      <c r="I1145" s="439"/>
      <c r="J1145" s="439"/>
      <c r="K1145" s="430"/>
      <c r="L1145" s="439"/>
      <c r="M1145" s="65">
        <v>50000</v>
      </c>
      <c r="N1145" s="66" t="s">
        <v>101</v>
      </c>
      <c r="O1145" s="66" t="s">
        <v>26</v>
      </c>
      <c r="P1145" s="84" t="str">
        <f>IF(AND('331-CT'!$E$7=TH!H1145,OR(N1145="331",O1145="331")),"x","")</f>
        <v/>
      </c>
      <c r="Q1145" s="84" t="str">
        <f>IF(AND(B1145='111'!$L$11,OR($N1145=$Q$7,$O1145=$Q$7)),"x","")</f>
        <v/>
      </c>
      <c r="R1145" s="84" t="str">
        <f>IF(AND($N1145=$Q$7,$B1145&lt;'111'!$L$11),"x","")</f>
        <v/>
      </c>
      <c r="S1145" s="84" t="str">
        <f>IF(AND($O1145=$Q$7,$B1145&lt;'111'!$L$11),"x","")</f>
        <v/>
      </c>
      <c r="T1145" s="84" t="str">
        <f>IF(ISERROR(FIND('112'!$M$9,G1145,1)),"",IF((AND(FIND('112'!$M$9,G1145,1)&gt;=1,B1145='112'!$K$9,OR($N1145='112'!$I$6,$O1145='112'!$I$6))),"x",""))</f>
        <v/>
      </c>
      <c r="U1145" s="84" t="str">
        <f>IF(ISERROR(FIND('112'!$M$9,G1145,1)),"",IF((AND(LEFT(G1145,2)=LEFT('112'!$M$9,2),B1145&lt;'112'!$K$9,$N1145='112'!$I$6)),"x",""))</f>
        <v/>
      </c>
      <c r="V1145" s="84" t="str">
        <f>IF(ISERROR(FIND('112'!$M$9,G1145,1)),"",IF((AND(RIGHT(G1145,2)=RIGHT('112'!$M$9,2),B1145&lt;'112'!$K$9,$O1145='112'!$I$6)),"x",""))</f>
        <v>x</v>
      </c>
      <c r="W1145" s="84" t="str">
        <f>IF(AND('341-CT'!$H$9=H1145,OR(LEFT(N1145,3)=$W$7,LEFT(O1145,3)=$W$7)),"x","")</f>
        <v/>
      </c>
      <c r="X1145" s="84" t="str">
        <f>IF(OR(TH!N1145=TH!$X$7,O1145=TH!$X$7),"x","")</f>
        <v/>
      </c>
      <c r="Y1145" s="84" t="str">
        <f>IF(AND(OR(N1145="131",O1145="131"),H1145='131-CT'!$H$9),"x","")</f>
        <v/>
      </c>
      <c r="Z1145" s="84"/>
      <c r="AA1145" s="84" t="str">
        <f>IF(AND(MONTH(E1145)='IN-NX'!$J$5,'IN-NX'!$D$7=D1145),"x","")</f>
        <v/>
      </c>
      <c r="AB1145" s="84" t="str">
        <f>IF(AND(OR(LEFT(TH!N1145,2)="15",LEFT(TH!O1145,2)="15"),LEFT(TH!O1145,3)&lt;&gt;"111",'152-CT'!$J$8=TH!F1145),"x","")</f>
        <v/>
      </c>
      <c r="AC1145" s="84" t="str">
        <f>IF(AND(OR(LEFT(TH!N1145,2)="15",LEFT(TH!O1145,2)="15"),TK!$E$7=TH!F1145),"x","")</f>
        <v/>
      </c>
      <c r="AD1145" s="84" t="str">
        <f>IF(AND(N1145="1521",MONTH(C1145)='BK-NL'!$M$11),"x","")</f>
        <v/>
      </c>
      <c r="AE1145" s="351"/>
    </row>
    <row r="1146" spans="1:31" ht="15.75" hidden="1" customHeight="1">
      <c r="A1146" s="336" t="str">
        <f>IF(B1146&lt;&gt;"",IF(AND(B1146='IN-TC'!$S$4,OR(TH!N1146="1111",TH!O1146="1111")),TH!D1146,""),"")</f>
        <v/>
      </c>
      <c r="B1146" s="63">
        <f t="shared" si="174"/>
        <v>3</v>
      </c>
      <c r="C1146" s="318">
        <v>42454</v>
      </c>
      <c r="D1146" s="318" t="s">
        <v>705</v>
      </c>
      <c r="E1146" s="318">
        <v>42454</v>
      </c>
      <c r="F1146" s="73" t="s">
        <v>1204</v>
      </c>
      <c r="G1146" s="319" t="s">
        <v>919</v>
      </c>
      <c r="H1146" s="320"/>
      <c r="I1146" s="439"/>
      <c r="J1146" s="439"/>
      <c r="K1146" s="430"/>
      <c r="L1146" s="439"/>
      <c r="M1146" s="65">
        <v>5000</v>
      </c>
      <c r="N1146" s="321" t="s">
        <v>9</v>
      </c>
      <c r="O1146" s="66" t="s">
        <v>26</v>
      </c>
      <c r="P1146" s="84" t="str">
        <f>IF(AND('331-CT'!$E$7=TH!H1146,OR(N1146="331",O1146="331")),"x","")</f>
        <v/>
      </c>
      <c r="Q1146" s="84" t="str">
        <f>IF(AND(B1146='111'!$L$11,OR($N1146=$Q$7,$O1146=$Q$7)),"x","")</f>
        <v/>
      </c>
      <c r="R1146" s="84" t="str">
        <f>IF(AND($N1146=$Q$7,$B1146&lt;'111'!$L$11),"x","")</f>
        <v/>
      </c>
      <c r="S1146" s="84" t="str">
        <f>IF(AND($O1146=$Q$7,$B1146&lt;'111'!$L$11),"x","")</f>
        <v/>
      </c>
      <c r="T1146" s="84" t="str">
        <f>IF(ISERROR(FIND('112'!$M$9,G1146,1)),"",IF((AND(FIND('112'!$M$9,G1146,1)&gt;=1,B1146='112'!$K$9,OR($N1146='112'!$I$6,$O1146='112'!$I$6))),"x",""))</f>
        <v/>
      </c>
      <c r="U1146" s="84" t="str">
        <f>IF(ISERROR(FIND('112'!$M$9,G1146,1)),"",IF((AND(LEFT(G1146,2)=LEFT('112'!$M$9,2),B1146&lt;'112'!$K$9,$N1146='112'!$I$6)),"x",""))</f>
        <v/>
      </c>
      <c r="V1146" s="84" t="str">
        <f>IF(ISERROR(FIND('112'!$M$9,G1146,1)),"",IF((AND(RIGHT(G1146,2)=RIGHT('112'!$M$9,2),B1146&lt;'112'!$K$9,$O1146='112'!$I$6)),"x",""))</f>
        <v>x</v>
      </c>
      <c r="W1146" s="84" t="str">
        <f>IF(AND('341-CT'!$H$9=H1146,OR(LEFT(N1146,3)=$W$7,LEFT(O1146,3)=$W$7)),"x","")</f>
        <v/>
      </c>
      <c r="X1146" s="84" t="str">
        <f>IF(OR(TH!N1146=TH!$X$7,O1146=TH!$X$7),"x","")</f>
        <v/>
      </c>
      <c r="Y1146" s="84" t="str">
        <f>IF(AND(OR(N1146="131",O1146="131"),H1146='131-CT'!$H$9),"x","")</f>
        <v/>
      </c>
      <c r="Z1146" s="84"/>
      <c r="AA1146" s="84" t="str">
        <f>IF(AND(MONTH(E1146)='IN-NX'!$J$5,'IN-NX'!$D$7=D1146),"x","")</f>
        <v/>
      </c>
      <c r="AB1146" s="84" t="str">
        <f>IF(AND(OR(LEFT(TH!N1146,2)="15",LEFT(TH!O1146,2)="15"),LEFT(TH!O1146,3)&lt;&gt;"111",'152-CT'!$J$8=TH!F1146),"x","")</f>
        <v/>
      </c>
      <c r="AC1146" s="84" t="str">
        <f>IF(AND(OR(LEFT(TH!N1146,2)="15",LEFT(TH!O1146,2)="15"),TK!$E$7=TH!F1146),"x","")</f>
        <v/>
      </c>
      <c r="AD1146" s="84" t="str">
        <f>IF(AND(N1146="1521",MONTH(C1146)='BK-NL'!$M$11),"x","")</f>
        <v/>
      </c>
    </row>
    <row r="1147" spans="1:31" ht="15.75" hidden="1" customHeight="1">
      <c r="A1147" s="336" t="str">
        <f>IF(B1147&lt;&gt;"",IF(AND(B1147='IN-TC'!$S$4,OR(TH!N1147="1111",TH!O1147="1111")),TH!D1147,""),"")</f>
        <v/>
      </c>
      <c r="B1147" s="63">
        <f t="shared" si="174"/>
        <v>3</v>
      </c>
      <c r="C1147" s="318">
        <v>42454</v>
      </c>
      <c r="D1147" s="318" t="s">
        <v>705</v>
      </c>
      <c r="E1147" s="318">
        <v>42454</v>
      </c>
      <c r="F1147" s="73" t="s">
        <v>1222</v>
      </c>
      <c r="G1147" s="986" t="s">
        <v>919</v>
      </c>
      <c r="H1147" s="320"/>
      <c r="I1147" s="439"/>
      <c r="J1147" s="439"/>
      <c r="K1147" s="430"/>
      <c r="L1147" s="439"/>
      <c r="M1147" s="65">
        <v>50000</v>
      </c>
      <c r="N1147" s="321" t="s">
        <v>101</v>
      </c>
      <c r="O1147" s="66" t="s">
        <v>26</v>
      </c>
      <c r="P1147" s="84" t="str">
        <f>IF(AND('331-CT'!$E$7=TH!H1147,OR(N1147="331",O1147="331")),"x","")</f>
        <v/>
      </c>
      <c r="Q1147" s="84" t="str">
        <f>IF(AND(B1147='111'!$L$11,OR($N1147=$Q$7,$O1147=$Q$7)),"x","")</f>
        <v/>
      </c>
      <c r="R1147" s="84" t="str">
        <f>IF(AND($N1147=$Q$7,$B1147&lt;'111'!$L$11),"x","")</f>
        <v/>
      </c>
      <c r="S1147" s="84" t="str">
        <f>IF(AND($O1147=$Q$7,$B1147&lt;'111'!$L$11),"x","")</f>
        <v/>
      </c>
      <c r="T1147" s="84" t="str">
        <f>IF(ISERROR(FIND('112'!$M$9,G1147,1)),"",IF((AND(FIND('112'!$M$9,G1147,1)&gt;=1,B1147='112'!$K$9,OR($N1147='112'!$I$6,$O1147='112'!$I$6))),"x",""))</f>
        <v/>
      </c>
      <c r="U1147" s="84" t="str">
        <f>IF(ISERROR(FIND('112'!$M$9,G1147,1)),"",IF((AND(LEFT(G1147,2)=LEFT('112'!$M$9,2),B1147&lt;'112'!$K$9,$N1147='112'!$I$6)),"x",""))</f>
        <v/>
      </c>
      <c r="V1147" s="84" t="str">
        <f>IF(ISERROR(FIND('112'!$M$9,G1147,1)),"",IF((AND(RIGHT(G1147,2)=RIGHT('112'!$M$9,2),B1147&lt;'112'!$K$9,$O1147='112'!$I$6)),"x",""))</f>
        <v>x</v>
      </c>
      <c r="W1147" s="84" t="str">
        <f>IF(AND('341-CT'!$H$9=H1147,OR(LEFT(N1147,3)=$W$7,LEFT(O1147,3)=$W$7)),"x","")</f>
        <v/>
      </c>
      <c r="X1147" s="84" t="str">
        <f>IF(OR(TH!N1147=TH!$X$7,O1147=TH!$X$7),"x","")</f>
        <v/>
      </c>
      <c r="Y1147" s="84" t="str">
        <f>IF(AND(OR(N1147="131",O1147="131"),H1147='131-CT'!$H$9),"x","")</f>
        <v/>
      </c>
      <c r="Z1147" s="84"/>
      <c r="AA1147" s="84" t="str">
        <f>IF(AND(MONTH(E1147)='IN-NX'!$J$5,'IN-NX'!$D$7=D1147),"x","")</f>
        <v/>
      </c>
      <c r="AB1147" s="84" t="str">
        <f>IF(AND(OR(LEFT(TH!N1147,2)="15",LEFT(TH!O1147,2)="15"),LEFT(TH!O1147,3)&lt;&gt;"111",'152-CT'!$J$8=TH!F1147),"x","")</f>
        <v/>
      </c>
      <c r="AC1147" s="84" t="str">
        <f>IF(AND(OR(LEFT(TH!N1147,2)="15",LEFT(TH!O1147,2)="15"),TK!$E$7=TH!F1147),"x","")</f>
        <v/>
      </c>
      <c r="AD1147" s="84" t="str">
        <f>IF(AND(N1147="1521",MONTH(C1147)='BK-NL'!$M$11),"x","")</f>
        <v/>
      </c>
    </row>
    <row r="1148" spans="1:31" ht="15.75" hidden="1" customHeight="1">
      <c r="A1148" s="336" t="str">
        <f>IF(B1148&lt;&gt;"",IF(AND(B1148='IN-TC'!$S$4,OR(TH!N1148="1111",TH!O1148="1111")),TH!D1148,""),"")</f>
        <v/>
      </c>
      <c r="B1148" s="63">
        <f t="shared" si="174"/>
        <v>3</v>
      </c>
      <c r="C1148" s="318">
        <v>42454</v>
      </c>
      <c r="D1148" s="318" t="s">
        <v>705</v>
      </c>
      <c r="E1148" s="318">
        <v>42454</v>
      </c>
      <c r="F1148" s="73" t="s">
        <v>1204</v>
      </c>
      <c r="G1148" s="986" t="s">
        <v>919</v>
      </c>
      <c r="H1148" s="320"/>
      <c r="I1148" s="439"/>
      <c r="J1148" s="439"/>
      <c r="K1148" s="430"/>
      <c r="L1148" s="439"/>
      <c r="M1148" s="65">
        <v>5000</v>
      </c>
      <c r="N1148" s="321" t="s">
        <v>9</v>
      </c>
      <c r="O1148" s="66" t="s">
        <v>26</v>
      </c>
      <c r="P1148" s="84" t="str">
        <f>IF(AND('331-CT'!$E$7=TH!H1148,OR(N1148="331",O1148="331")),"x","")</f>
        <v/>
      </c>
      <c r="Q1148" s="84" t="str">
        <f>IF(AND(B1148='111'!$L$11,OR($N1148=$Q$7,$O1148=$Q$7)),"x","")</f>
        <v/>
      </c>
      <c r="R1148" s="84" t="str">
        <f>IF(AND($N1148=$Q$7,$B1148&lt;'111'!$L$11),"x","")</f>
        <v/>
      </c>
      <c r="S1148" s="84" t="str">
        <f>IF(AND($O1148=$Q$7,$B1148&lt;'111'!$L$11),"x","")</f>
        <v/>
      </c>
      <c r="T1148" s="84" t="str">
        <f>IF(ISERROR(FIND('112'!$M$9,G1148,1)),"",IF((AND(FIND('112'!$M$9,G1148,1)&gt;=1,B1148='112'!$K$9,OR($N1148='112'!$I$6,$O1148='112'!$I$6))),"x",""))</f>
        <v/>
      </c>
      <c r="U1148" s="84" t="str">
        <f>IF(ISERROR(FIND('112'!$M$9,G1148,1)),"",IF((AND(LEFT(G1148,2)=LEFT('112'!$M$9,2),B1148&lt;'112'!$K$9,$N1148='112'!$I$6)),"x",""))</f>
        <v/>
      </c>
      <c r="V1148" s="84" t="str">
        <f>IF(ISERROR(FIND('112'!$M$9,G1148,1)),"",IF((AND(RIGHT(G1148,2)=RIGHT('112'!$M$9,2),B1148&lt;'112'!$K$9,$O1148='112'!$I$6)),"x",""))</f>
        <v>x</v>
      </c>
      <c r="W1148" s="84" t="str">
        <f>IF(AND('341-CT'!$H$9=H1148,OR(LEFT(N1148,3)=$W$7,LEFT(O1148,3)=$W$7)),"x","")</f>
        <v/>
      </c>
      <c r="X1148" s="84" t="str">
        <f>IF(OR(TH!N1148=TH!$X$7,O1148=TH!$X$7),"x","")</f>
        <v/>
      </c>
      <c r="Y1148" s="84" t="str">
        <f>IF(AND(OR(N1148="131",O1148="131"),H1148='131-CT'!$H$9),"x","")</f>
        <v/>
      </c>
      <c r="Z1148" s="84"/>
      <c r="AA1148" s="84" t="str">
        <f>IF(AND(MONTH(E1148)='IN-NX'!$J$5,'IN-NX'!$D$7=D1148),"x","")</f>
        <v/>
      </c>
      <c r="AB1148" s="84" t="str">
        <f>IF(AND(OR(LEFT(TH!N1148,2)="15",LEFT(TH!O1148,2)="15"),LEFT(TH!O1148,3)&lt;&gt;"111",'152-CT'!$J$8=TH!F1148),"x","")</f>
        <v/>
      </c>
      <c r="AC1148" s="84" t="str">
        <f>IF(AND(OR(LEFT(TH!N1148,2)="15",LEFT(TH!O1148,2)="15"),TK!$E$7=TH!F1148),"x","")</f>
        <v/>
      </c>
      <c r="AD1148" s="84" t="str">
        <f>IF(AND(N1148="1521",MONTH(C1148)='BK-NL'!$M$11),"x","")</f>
        <v/>
      </c>
    </row>
    <row r="1149" spans="1:31" ht="15.75" hidden="1" customHeight="1">
      <c r="A1149" s="336" t="str">
        <f>IF(B1149&lt;&gt;"",IF(AND(B1149='IN-TC'!$S$4,OR(TH!N1149="1111",TH!O1149="1111")),TH!D1149,""),"")</f>
        <v/>
      </c>
      <c r="B1149" s="63">
        <f t="shared" si="174"/>
        <v>3</v>
      </c>
      <c r="C1149" s="64">
        <v>42456</v>
      </c>
      <c r="D1149" s="318" t="s">
        <v>914</v>
      </c>
      <c r="E1149" s="64">
        <v>42456</v>
      </c>
      <c r="F1149" s="73" t="s">
        <v>771</v>
      </c>
      <c r="G1149" s="67" t="s">
        <v>1349</v>
      </c>
      <c r="H1149" s="344" t="s">
        <v>808</v>
      </c>
      <c r="I1149" s="439"/>
      <c r="J1149" s="439"/>
      <c r="K1149" s="430"/>
      <c r="L1149" s="439"/>
      <c r="M1149" s="65">
        <v>385827</v>
      </c>
      <c r="N1149" s="66" t="s">
        <v>101</v>
      </c>
      <c r="O1149" s="66" t="s">
        <v>63</v>
      </c>
      <c r="P1149" s="84" t="str">
        <f>IF(AND('331-CT'!$E$7=TH!H1149,OR(N1149="331",O1149="331")),"x","")</f>
        <v/>
      </c>
      <c r="Q1149" s="84" t="str">
        <f>IF(AND(B1149='111'!$L$11,OR($N1149=$Q$7,$O1149=$Q$7)),"x","")</f>
        <v/>
      </c>
      <c r="R1149" s="84" t="str">
        <f>IF(AND($N1149=$Q$7,$B1149&lt;'111'!$L$11),"x","")</f>
        <v/>
      </c>
      <c r="S1149" s="84" t="str">
        <f>IF(AND($O1149=$Q$7,$B1149&lt;'111'!$L$11),"x","")</f>
        <v/>
      </c>
      <c r="T1149" s="84" t="str">
        <f>IF(ISERROR(FIND('112'!$M$9,G1149,1)),"",IF((AND(FIND('112'!$M$9,G1149,1)&gt;=1,B1149='112'!$K$9,OR($N1149='112'!$I$6,$O1149='112'!$I$6))),"x",""))</f>
        <v/>
      </c>
      <c r="U1149" s="84" t="str">
        <f>IF(ISERROR(FIND('112'!$M$9,G1149,1)),"",IF((AND(LEFT(G1149,2)=LEFT('112'!$M$9,2),B1149&lt;'112'!$K$9,$N1149='112'!$I$6)),"x",""))</f>
        <v/>
      </c>
      <c r="V1149" s="84" t="str">
        <f>IF(ISERROR(FIND('112'!$M$9,G1149,1)),"",IF((AND(RIGHT(G1149,2)=RIGHT('112'!$M$9,2),B1149&lt;'112'!$K$9,$O1149='112'!$I$6)),"x",""))</f>
        <v/>
      </c>
      <c r="W1149" s="84" t="str">
        <f>IF(AND('341-CT'!$H$9=H1149,OR(LEFT(N1149,3)=$W$7,LEFT(O1149,3)=$W$7)),"x","")</f>
        <v/>
      </c>
      <c r="X1149" s="84" t="str">
        <f>IF(OR(TH!N1149=TH!$X$7,O1149=TH!$X$7),"x","")</f>
        <v/>
      </c>
      <c r="Y1149" s="84" t="str">
        <f>IF(AND(OR(N1149="131",O1149="131"),H1149='131-CT'!$H$9),"x","")</f>
        <v/>
      </c>
      <c r="Z1149" s="84"/>
      <c r="AA1149" s="84" t="str">
        <f>IF(AND(MONTH(E1149)='IN-NX'!$J$5,'IN-NX'!$D$7=D1149),"x","")</f>
        <v/>
      </c>
      <c r="AB1149" s="84" t="str">
        <f>IF(AND(OR(LEFT(TH!N1149,2)="15",LEFT(TH!O1149,2)="15"),LEFT(TH!O1149,3)&lt;&gt;"111",'152-CT'!$J$8=TH!F1149),"x","")</f>
        <v/>
      </c>
      <c r="AC1149" s="84" t="str">
        <f>IF(AND(OR(LEFT(TH!N1149,2)="15",LEFT(TH!O1149,2)="15"),TK!$E$7=TH!F1149),"x","")</f>
        <v/>
      </c>
      <c r="AD1149" s="84" t="str">
        <f>IF(AND(N1149="1521",MONTH(C1149)='BK-NL'!$M$11),"x","")</f>
        <v/>
      </c>
    </row>
    <row r="1150" spans="1:31" ht="15.75" hidden="1" customHeight="1">
      <c r="A1150" s="336" t="str">
        <f>IF(B1150&lt;&gt;"",IF(AND(B1150='IN-TC'!$S$4,OR(TH!N1150="1111",TH!O1150="1111")),TH!D1150,""),"")</f>
        <v/>
      </c>
      <c r="B1150" s="63">
        <f t="shared" si="174"/>
        <v>3</v>
      </c>
      <c r="C1150" s="64">
        <v>42456</v>
      </c>
      <c r="D1150" s="318" t="s">
        <v>914</v>
      </c>
      <c r="E1150" s="64">
        <v>42456</v>
      </c>
      <c r="F1150" s="73" t="s">
        <v>772</v>
      </c>
      <c r="G1150" s="67" t="s">
        <v>1349</v>
      </c>
      <c r="H1150" s="73" t="s">
        <v>808</v>
      </c>
      <c r="I1150" s="439"/>
      <c r="J1150" s="439"/>
      <c r="K1150" s="430"/>
      <c r="L1150" s="439"/>
      <c r="M1150" s="65">
        <v>38583</v>
      </c>
      <c r="N1150" s="66" t="s">
        <v>9</v>
      </c>
      <c r="O1150" s="66" t="s">
        <v>63</v>
      </c>
      <c r="P1150" s="84" t="str">
        <f>IF(AND('331-CT'!$E$7=TH!H1150,OR(N1150="331",O1150="331")),"x","")</f>
        <v/>
      </c>
      <c r="Q1150" s="84" t="str">
        <f>IF(AND(B1150='111'!$L$11,OR($N1150=$Q$7,$O1150=$Q$7)),"x","")</f>
        <v/>
      </c>
      <c r="R1150" s="84" t="str">
        <f>IF(AND($N1150=$Q$7,$B1150&lt;'111'!$L$11),"x","")</f>
        <v/>
      </c>
      <c r="S1150" s="84" t="str">
        <f>IF(AND($O1150=$Q$7,$B1150&lt;'111'!$L$11),"x","")</f>
        <v/>
      </c>
      <c r="T1150" s="84" t="str">
        <f>IF(ISERROR(FIND('112'!$M$9,G1150,1)),"",IF((AND(FIND('112'!$M$9,G1150,1)&gt;=1,B1150='112'!$K$9,OR($N1150='112'!$I$6,$O1150='112'!$I$6))),"x",""))</f>
        <v/>
      </c>
      <c r="U1150" s="84" t="str">
        <f>IF(ISERROR(FIND('112'!$M$9,G1150,1)),"",IF((AND(LEFT(G1150,2)=LEFT('112'!$M$9,2),B1150&lt;'112'!$K$9,$N1150='112'!$I$6)),"x",""))</f>
        <v/>
      </c>
      <c r="V1150" s="84" t="str">
        <f>IF(ISERROR(FIND('112'!$M$9,G1150,1)),"",IF((AND(RIGHT(G1150,2)=RIGHT('112'!$M$9,2),B1150&lt;'112'!$K$9,$O1150='112'!$I$6)),"x",""))</f>
        <v/>
      </c>
      <c r="W1150" s="84" t="str">
        <f>IF(AND('341-CT'!$H$9=H1150,OR(LEFT(N1150,3)=$W$7,LEFT(O1150,3)=$W$7)),"x","")</f>
        <v/>
      </c>
      <c r="X1150" s="84" t="str">
        <f>IF(OR(TH!N1150=TH!$X$7,O1150=TH!$X$7),"x","")</f>
        <v/>
      </c>
      <c r="Y1150" s="84" t="str">
        <f>IF(AND(OR(N1150="131",O1150="131"),H1150='131-CT'!$H$9),"x","")</f>
        <v/>
      </c>
      <c r="Z1150" s="84"/>
      <c r="AA1150" s="84" t="str">
        <f>IF(AND(MONTH(E1150)='IN-NX'!$J$5,'IN-NX'!$D$7=D1150),"x","")</f>
        <v/>
      </c>
      <c r="AB1150" s="84" t="str">
        <f>IF(AND(OR(LEFT(TH!N1150,2)="15",LEFT(TH!O1150,2)="15"),LEFT(TH!O1150,3)&lt;&gt;"111",'152-CT'!$J$8=TH!F1150),"x","")</f>
        <v/>
      </c>
      <c r="AC1150" s="84" t="str">
        <f>IF(AND(OR(LEFT(TH!N1150,2)="15",LEFT(TH!O1150,2)="15"),TK!$E$7=TH!F1150),"x","")</f>
        <v/>
      </c>
      <c r="AD1150" s="84" t="str">
        <f>IF(AND(N1150="1521",MONTH(C1150)='BK-NL'!$M$11),"x","")</f>
        <v/>
      </c>
    </row>
    <row r="1151" spans="1:31" ht="15.75" hidden="1" customHeight="1">
      <c r="A1151" s="336" t="str">
        <f>IF(B1151&lt;&gt;"",IF(AND(B1151='IN-TC'!$S$4,OR(TH!N1151="1111",TH!O1151="1111")),TH!D1151,""),"")</f>
        <v/>
      </c>
      <c r="B1151" s="63">
        <f t="shared" si="174"/>
        <v>3</v>
      </c>
      <c r="C1151" s="64">
        <v>42457</v>
      </c>
      <c r="D1151" s="318" t="s">
        <v>915</v>
      </c>
      <c r="E1151" s="64">
        <v>42457</v>
      </c>
      <c r="F1151" s="73" t="s">
        <v>1427</v>
      </c>
      <c r="G1151" s="67" t="s">
        <v>1322</v>
      </c>
      <c r="H1151" s="73" t="s">
        <v>839</v>
      </c>
      <c r="I1151" s="439"/>
      <c r="J1151" s="439"/>
      <c r="K1151" s="430"/>
      <c r="L1151" s="439"/>
      <c r="M1151" s="65">
        <v>15000000</v>
      </c>
      <c r="N1151" s="66" t="s">
        <v>101</v>
      </c>
      <c r="O1151" s="66" t="s">
        <v>63</v>
      </c>
      <c r="P1151" s="84" t="str">
        <f>IF(AND('331-CT'!$E$7=TH!H1151,OR(N1151="331",O1151="331")),"x","")</f>
        <v/>
      </c>
      <c r="Q1151" s="84" t="str">
        <f>IF(AND(B1151='111'!$L$11,OR($N1151=$Q$7,$O1151=$Q$7)),"x","")</f>
        <v/>
      </c>
      <c r="R1151" s="84" t="str">
        <f>IF(AND($N1151=$Q$7,$B1151&lt;'111'!$L$11),"x","")</f>
        <v/>
      </c>
      <c r="S1151" s="84" t="str">
        <f>IF(AND($O1151=$Q$7,$B1151&lt;'111'!$L$11),"x","")</f>
        <v/>
      </c>
      <c r="T1151" s="84" t="str">
        <f>IF(ISERROR(FIND('112'!$M$9,G1151,1)),"",IF((AND(FIND('112'!$M$9,G1151,1)&gt;=1,B1151='112'!$K$9,OR($N1151='112'!$I$6,$O1151='112'!$I$6))),"x",""))</f>
        <v/>
      </c>
      <c r="U1151" s="84" t="str">
        <f>IF(ISERROR(FIND('112'!$M$9,G1151,1)),"",IF((AND(LEFT(G1151,2)=LEFT('112'!$M$9,2),B1151&lt;'112'!$K$9,$N1151='112'!$I$6)),"x",""))</f>
        <v/>
      </c>
      <c r="V1151" s="84" t="str">
        <f>IF(ISERROR(FIND('112'!$M$9,G1151,1)),"",IF((AND(RIGHT(G1151,2)=RIGHT('112'!$M$9,2),B1151&lt;'112'!$K$9,$O1151='112'!$I$6)),"x",""))</f>
        <v/>
      </c>
      <c r="W1151" s="84" t="str">
        <f>IF(AND('341-CT'!$H$9=H1151,OR(LEFT(N1151,3)=$W$7,LEFT(O1151,3)=$W$7)),"x","")</f>
        <v/>
      </c>
      <c r="X1151" s="84" t="str">
        <f>IF(OR(TH!N1151=TH!$X$7,O1151=TH!$X$7),"x","")</f>
        <v/>
      </c>
      <c r="Y1151" s="84" t="str">
        <f>IF(AND(OR(N1151="131",O1151="131"),H1151='131-CT'!$H$9),"x","")</f>
        <v/>
      </c>
      <c r="Z1151" s="84"/>
      <c r="AA1151" s="84" t="str">
        <f>IF(AND(MONTH(E1151)='IN-NX'!$J$5,'IN-NX'!$D$7=D1151),"x","")</f>
        <v/>
      </c>
      <c r="AB1151" s="84" t="str">
        <f>IF(AND(OR(LEFT(TH!N1151,2)="15",LEFT(TH!O1151,2)="15"),LEFT(TH!O1151,3)&lt;&gt;"111",'152-CT'!$J$8=TH!F1151),"x","")</f>
        <v/>
      </c>
      <c r="AC1151" s="84" t="str">
        <f>IF(AND(OR(LEFT(TH!N1151,2)="15",LEFT(TH!O1151,2)="15"),TK!$E$7=TH!F1151),"x","")</f>
        <v/>
      </c>
      <c r="AD1151" s="84" t="str">
        <f>IF(AND(N1151="1521",MONTH(C1151)='BK-NL'!$M$11),"x","")</f>
        <v/>
      </c>
    </row>
    <row r="1152" spans="1:31" ht="15.75" hidden="1" customHeight="1">
      <c r="A1152" s="336" t="str">
        <f>IF(B1152&lt;&gt;"",IF(AND(B1152='IN-TC'!$S$4,OR(TH!N1152="1111",TH!O1152="1111")),TH!D1152,""),"")</f>
        <v/>
      </c>
      <c r="B1152" s="63">
        <f t="shared" si="174"/>
        <v>3</v>
      </c>
      <c r="C1152" s="64">
        <v>42457</v>
      </c>
      <c r="D1152" s="318" t="s">
        <v>915</v>
      </c>
      <c r="E1152" s="64">
        <v>42457</v>
      </c>
      <c r="F1152" s="73" t="s">
        <v>1428</v>
      </c>
      <c r="G1152" s="67" t="s">
        <v>1322</v>
      </c>
      <c r="H1152" s="344" t="s">
        <v>839</v>
      </c>
      <c r="I1152" s="441"/>
      <c r="J1152" s="441"/>
      <c r="K1152" s="432"/>
      <c r="L1152" s="441"/>
      <c r="M1152" s="65">
        <v>1500000</v>
      </c>
      <c r="N1152" s="66" t="s">
        <v>9</v>
      </c>
      <c r="O1152" s="66" t="s">
        <v>63</v>
      </c>
      <c r="P1152" s="84" t="str">
        <f>IF(AND('331-CT'!$E$7=TH!H1152,OR(N1152="331",O1152="331")),"x","")</f>
        <v/>
      </c>
      <c r="Q1152" s="84" t="str">
        <f>IF(AND(B1152='111'!$L$11,OR($N1152=$Q$7,$O1152=$Q$7)),"x","")</f>
        <v/>
      </c>
      <c r="R1152" s="84" t="str">
        <f>IF(AND($N1152=$Q$7,$B1152&lt;'111'!$L$11),"x","")</f>
        <v/>
      </c>
      <c r="S1152" s="84" t="str">
        <f>IF(AND($O1152=$Q$7,$B1152&lt;'111'!$L$11),"x","")</f>
        <v/>
      </c>
      <c r="T1152" s="84" t="str">
        <f>IF(ISERROR(FIND('112'!$M$9,G1152,1)),"",IF((AND(FIND('112'!$M$9,G1152,1)&gt;=1,B1152='112'!$K$9,OR($N1152='112'!$I$6,$O1152='112'!$I$6))),"x",""))</f>
        <v/>
      </c>
      <c r="U1152" s="84" t="str">
        <f>IF(ISERROR(FIND('112'!$M$9,G1152,1)),"",IF((AND(LEFT(G1152,2)=LEFT('112'!$M$9,2),B1152&lt;'112'!$K$9,$N1152='112'!$I$6)),"x",""))</f>
        <v/>
      </c>
      <c r="V1152" s="84" t="str">
        <f>IF(ISERROR(FIND('112'!$M$9,G1152,1)),"",IF((AND(RIGHT(G1152,2)=RIGHT('112'!$M$9,2),B1152&lt;'112'!$K$9,$O1152='112'!$I$6)),"x",""))</f>
        <v/>
      </c>
      <c r="W1152" s="84" t="str">
        <f>IF(AND('341-CT'!$H$9=H1152,OR(LEFT(N1152,3)=$W$7,LEFT(O1152,3)=$W$7)),"x","")</f>
        <v/>
      </c>
      <c r="X1152" s="84" t="str">
        <f>IF(OR(TH!N1152=TH!$X$7,O1152=TH!$X$7),"x","")</f>
        <v/>
      </c>
      <c r="Y1152" s="84" t="str">
        <f>IF(AND(OR(N1152="131",O1152="131"),H1152='131-CT'!$H$9),"x","")</f>
        <v/>
      </c>
      <c r="Z1152" s="84"/>
      <c r="AA1152" s="84" t="str">
        <f>IF(AND(MONTH(E1152)='IN-NX'!$J$5,'IN-NX'!$D$7=D1152),"x","")</f>
        <v/>
      </c>
      <c r="AB1152" s="84" t="str">
        <f>IF(AND(OR(LEFT(TH!N1152,2)="15",LEFT(TH!O1152,2)="15"),LEFT(TH!O1152,3)&lt;&gt;"111",'152-CT'!$J$8=TH!F1152),"x","")</f>
        <v/>
      </c>
      <c r="AC1152" s="84" t="str">
        <f>IF(AND(OR(LEFT(TH!N1152,2)="15",LEFT(TH!O1152,2)="15"),TK!$E$7=TH!F1152),"x","")</f>
        <v/>
      </c>
      <c r="AD1152" s="84" t="str">
        <f>IF(AND(N1152="1521",MONTH(C1152)='BK-NL'!$M$11),"x","")</f>
        <v/>
      </c>
    </row>
    <row r="1153" spans="1:31" ht="15.75" hidden="1" customHeight="1">
      <c r="A1153" s="336" t="str">
        <f>IF(B1153&lt;&gt;"",IF(AND(B1153='IN-TC'!$S$4,OR(TH!N1153="1111",TH!O1153="1111")),TH!D1153,""),"")</f>
        <v/>
      </c>
      <c r="B1153" s="63">
        <f t="shared" si="174"/>
        <v>3</v>
      </c>
      <c r="C1153" s="64">
        <v>42457</v>
      </c>
      <c r="D1153" s="318" t="s">
        <v>916</v>
      </c>
      <c r="E1153" s="64">
        <v>42457</v>
      </c>
      <c r="F1153" s="73" t="s">
        <v>780</v>
      </c>
      <c r="G1153" s="67" t="s">
        <v>1350</v>
      </c>
      <c r="H1153" s="73" t="s">
        <v>675</v>
      </c>
      <c r="I1153" s="439"/>
      <c r="J1153" s="439"/>
      <c r="K1153" s="430"/>
      <c r="L1153" s="439"/>
      <c r="M1153" s="65">
        <v>14800000</v>
      </c>
      <c r="N1153" s="66" t="s">
        <v>8</v>
      </c>
      <c r="O1153" s="66" t="s">
        <v>63</v>
      </c>
      <c r="P1153" s="84" t="str">
        <f>IF(AND('331-CT'!$E$7=TH!H1153,OR(N1153="331",O1153="331")),"x","")</f>
        <v/>
      </c>
      <c r="Q1153" s="84" t="str">
        <f>IF(AND(B1153='111'!$L$11,OR($N1153=$Q$7,$O1153=$Q$7)),"x","")</f>
        <v/>
      </c>
      <c r="R1153" s="84" t="str">
        <f>IF(AND($N1153=$Q$7,$B1153&lt;'111'!$L$11),"x","")</f>
        <v/>
      </c>
      <c r="S1153" s="84" t="str">
        <f>IF(AND($O1153=$Q$7,$B1153&lt;'111'!$L$11),"x","")</f>
        <v/>
      </c>
      <c r="T1153" s="84" t="str">
        <f>IF(ISERROR(FIND('112'!$M$9,G1153,1)),"",IF((AND(FIND('112'!$M$9,G1153,1)&gt;=1,B1153='112'!$K$9,OR($N1153='112'!$I$6,$O1153='112'!$I$6))),"x",""))</f>
        <v/>
      </c>
      <c r="U1153" s="84" t="str">
        <f>IF(ISERROR(FIND('112'!$M$9,G1153,1)),"",IF((AND(LEFT(G1153,2)=LEFT('112'!$M$9,2),B1153&lt;'112'!$K$9,$N1153='112'!$I$6)),"x",""))</f>
        <v/>
      </c>
      <c r="V1153" s="84" t="str">
        <f>IF(ISERROR(FIND('112'!$M$9,G1153,1)),"",IF((AND(RIGHT(G1153,2)=RIGHT('112'!$M$9,2),B1153&lt;'112'!$K$9,$O1153='112'!$I$6)),"x",""))</f>
        <v/>
      </c>
      <c r="W1153" s="84" t="str">
        <f>IF(AND('341-CT'!$H$9=H1153,OR(LEFT(N1153,3)=$W$7,LEFT(O1153,3)=$W$7)),"x","")</f>
        <v/>
      </c>
      <c r="X1153" s="84" t="str">
        <f>IF(OR(TH!N1153=TH!$X$7,O1153=TH!$X$7),"x","")</f>
        <v/>
      </c>
      <c r="Y1153" s="84" t="str">
        <f>IF(AND(OR(N1153="131",O1153="131"),H1153='131-CT'!$H$9),"x","")</f>
        <v/>
      </c>
      <c r="Z1153" s="84"/>
      <c r="AA1153" s="84" t="str">
        <f>IF(AND(MONTH(E1153)='IN-NX'!$J$5,'IN-NX'!$D$7=D1153),"x","")</f>
        <v/>
      </c>
      <c r="AB1153" s="84" t="str">
        <f>IF(AND(OR(LEFT(TH!N1153,2)="15",LEFT(TH!O1153,2)="15"),LEFT(TH!O1153,3)&lt;&gt;"111",'152-CT'!$J$8=TH!F1153),"x","")</f>
        <v/>
      </c>
      <c r="AC1153" s="84" t="str">
        <f>IF(AND(OR(LEFT(TH!N1153,2)="15",LEFT(TH!O1153,2)="15"),TK!$E$7=TH!F1153),"x","")</f>
        <v/>
      </c>
      <c r="AD1153" s="84" t="str">
        <f>IF(AND(N1153="1521",MONTH(C1153)='BK-NL'!$M$11),"x","")</f>
        <v/>
      </c>
      <c r="AE1153" s="1146" t="str">
        <f>IF(H1153&lt;&gt;VLOOKUP(H1153,DSKH,1,0),"","x")</f>
        <v>x</v>
      </c>
    </row>
    <row r="1154" spans="1:31" ht="15.75" hidden="1" customHeight="1">
      <c r="A1154" s="336" t="str">
        <f>IF(B1154&lt;&gt;"",IF(AND(B1154='IN-TC'!$S$4,OR(TH!N1154="1111",TH!O1154="1111")),TH!D1154,""),"")</f>
        <v/>
      </c>
      <c r="B1154" s="63">
        <f t="shared" si="174"/>
        <v>3</v>
      </c>
      <c r="C1154" s="64">
        <v>42458</v>
      </c>
      <c r="D1154" s="318" t="s">
        <v>965</v>
      </c>
      <c r="E1154" s="64">
        <v>42458</v>
      </c>
      <c r="F1154" s="73" t="s">
        <v>1114</v>
      </c>
      <c r="G1154" s="67" t="s">
        <v>1351</v>
      </c>
      <c r="H1154" s="73" t="s">
        <v>808</v>
      </c>
      <c r="I1154" s="439"/>
      <c r="J1154" s="439"/>
      <c r="K1154" s="430"/>
      <c r="L1154" s="439"/>
      <c r="M1154" s="65">
        <v>714764</v>
      </c>
      <c r="N1154" s="66" t="s">
        <v>101</v>
      </c>
      <c r="O1154" s="66" t="s">
        <v>63</v>
      </c>
      <c r="P1154" s="84" t="str">
        <f>IF(AND('331-CT'!$E$7=TH!H1154,OR(N1154="331",O1154="331")),"x","")</f>
        <v/>
      </c>
      <c r="Q1154" s="84" t="str">
        <f>IF(AND(B1154='111'!$L$11,OR($N1154=$Q$7,$O1154=$Q$7)),"x","")</f>
        <v/>
      </c>
      <c r="R1154" s="84" t="str">
        <f>IF(AND($N1154=$Q$7,$B1154&lt;'111'!$L$11),"x","")</f>
        <v/>
      </c>
      <c r="S1154" s="84" t="str">
        <f>IF(AND($O1154=$Q$7,$B1154&lt;'111'!$L$11),"x","")</f>
        <v/>
      </c>
      <c r="T1154" s="84" t="str">
        <f>IF(ISERROR(FIND('112'!$M$9,G1154,1)),"",IF((AND(FIND('112'!$M$9,G1154,1)&gt;=1,B1154='112'!$K$9,OR($N1154='112'!$I$6,$O1154='112'!$I$6))),"x",""))</f>
        <v/>
      </c>
      <c r="U1154" s="84" t="str">
        <f>IF(ISERROR(FIND('112'!$M$9,G1154,1)),"",IF((AND(LEFT(G1154,2)=LEFT('112'!$M$9,2),B1154&lt;'112'!$K$9,$N1154='112'!$I$6)),"x",""))</f>
        <v/>
      </c>
      <c r="V1154" s="84" t="str">
        <f>IF(ISERROR(FIND('112'!$M$9,G1154,1)),"",IF((AND(RIGHT(G1154,2)=RIGHT('112'!$M$9,2),B1154&lt;'112'!$K$9,$O1154='112'!$I$6)),"x",""))</f>
        <v/>
      </c>
      <c r="W1154" s="84" t="str">
        <f>IF(AND('341-CT'!$H$9=H1154,OR(LEFT(N1154,3)=$W$7,LEFT(O1154,3)=$W$7)),"x","")</f>
        <v/>
      </c>
      <c r="X1154" s="84" t="str">
        <f>IF(OR(TH!N1154=TH!$X$7,O1154=TH!$X$7),"x","")</f>
        <v/>
      </c>
      <c r="Y1154" s="84" t="str">
        <f>IF(AND(OR(N1154="131",O1154="131"),H1154='131-CT'!$H$9),"x","")</f>
        <v/>
      </c>
      <c r="Z1154" s="84"/>
      <c r="AA1154" s="84" t="str">
        <f>IF(AND(MONTH(E1154)='IN-NX'!$J$5,'IN-NX'!$D$7=D1154),"x","")</f>
        <v/>
      </c>
      <c r="AB1154" s="84" t="str">
        <f>IF(AND(OR(LEFT(TH!N1154,2)="15",LEFT(TH!O1154,2)="15"),LEFT(TH!O1154,3)&lt;&gt;"111",'152-CT'!$J$8=TH!F1154),"x","")</f>
        <v/>
      </c>
      <c r="AC1154" s="84" t="str">
        <f>IF(AND(OR(LEFT(TH!N1154,2)="15",LEFT(TH!O1154,2)="15"),TK!$E$7=TH!F1154),"x","")</f>
        <v/>
      </c>
      <c r="AD1154" s="84" t="str">
        <f>IF(AND(N1154="1521",MONTH(C1154)='BK-NL'!$M$11),"x","")</f>
        <v/>
      </c>
    </row>
    <row r="1155" spans="1:31" ht="15.75" hidden="1" customHeight="1">
      <c r="A1155" s="336" t="str">
        <f>IF(B1155&lt;&gt;"",IF(AND(B1155='IN-TC'!$S$4,OR(TH!N1155="1111",TH!O1155="1111")),TH!D1155,""),"")</f>
        <v/>
      </c>
      <c r="B1155" s="63">
        <f t="shared" si="174"/>
        <v>3</v>
      </c>
      <c r="C1155" s="64">
        <v>42458</v>
      </c>
      <c r="D1155" s="318" t="s">
        <v>965</v>
      </c>
      <c r="E1155" s="64">
        <v>42458</v>
      </c>
      <c r="F1155" s="73" t="s">
        <v>1344</v>
      </c>
      <c r="G1155" s="67" t="s">
        <v>1351</v>
      </c>
      <c r="H1155" s="73" t="s">
        <v>808</v>
      </c>
      <c r="I1155" s="439"/>
      <c r="J1155" s="439"/>
      <c r="K1155" s="430"/>
      <c r="L1155" s="439"/>
      <c r="M1155" s="65">
        <v>71476</v>
      </c>
      <c r="N1155" s="66" t="s">
        <v>9</v>
      </c>
      <c r="O1155" s="66" t="s">
        <v>63</v>
      </c>
      <c r="P1155" s="84" t="str">
        <f>IF(AND('331-CT'!$E$7=TH!H1155,OR(N1155="331",O1155="331")),"x","")</f>
        <v/>
      </c>
      <c r="Q1155" s="84" t="str">
        <f>IF(AND(B1155='111'!$L$11,OR($N1155=$Q$7,$O1155=$Q$7)),"x","")</f>
        <v/>
      </c>
      <c r="R1155" s="84" t="str">
        <f>IF(AND($N1155=$Q$7,$B1155&lt;'111'!$L$11),"x","")</f>
        <v/>
      </c>
      <c r="S1155" s="84" t="str">
        <f>IF(AND($O1155=$Q$7,$B1155&lt;'111'!$L$11),"x","")</f>
        <v/>
      </c>
      <c r="T1155" s="84" t="str">
        <f>IF(ISERROR(FIND('112'!$M$9,G1155,1)),"",IF((AND(FIND('112'!$M$9,G1155,1)&gt;=1,B1155='112'!$K$9,OR($N1155='112'!$I$6,$O1155='112'!$I$6))),"x",""))</f>
        <v/>
      </c>
      <c r="U1155" s="84" t="str">
        <f>IF(ISERROR(FIND('112'!$M$9,G1155,1)),"",IF((AND(LEFT(G1155,2)=LEFT('112'!$M$9,2),B1155&lt;'112'!$K$9,$N1155='112'!$I$6)),"x",""))</f>
        <v/>
      </c>
      <c r="V1155" s="84" t="str">
        <f>IF(ISERROR(FIND('112'!$M$9,G1155,1)),"",IF((AND(RIGHT(G1155,2)=RIGHT('112'!$M$9,2),B1155&lt;'112'!$K$9,$O1155='112'!$I$6)),"x",""))</f>
        <v/>
      </c>
      <c r="W1155" s="84" t="str">
        <f>IF(AND('341-CT'!$H$9=H1155,OR(LEFT(N1155,3)=$W$7,LEFT(O1155,3)=$W$7)),"x","")</f>
        <v/>
      </c>
      <c r="X1155" s="84" t="str">
        <f>IF(OR(TH!N1155=TH!$X$7,O1155=TH!$X$7),"x","")</f>
        <v/>
      </c>
      <c r="Y1155" s="84" t="str">
        <f>IF(AND(OR(N1155="131",O1155="131"),H1155='131-CT'!$H$9),"x","")</f>
        <v/>
      </c>
      <c r="Z1155" s="84"/>
      <c r="AA1155" s="84" t="str">
        <f>IF(AND(MONTH(E1155)='IN-NX'!$J$5,'IN-NX'!$D$7=D1155),"x","")</f>
        <v/>
      </c>
      <c r="AB1155" s="84" t="str">
        <f>IF(AND(OR(LEFT(TH!N1155,2)="15",LEFT(TH!O1155,2)="15"),LEFT(TH!O1155,3)&lt;&gt;"111",'152-CT'!$J$8=TH!F1155),"x","")</f>
        <v/>
      </c>
      <c r="AC1155" s="84" t="str">
        <f>IF(AND(OR(LEFT(TH!N1155,2)="15",LEFT(TH!O1155,2)="15"),TK!$E$7=TH!F1155),"x","")</f>
        <v/>
      </c>
      <c r="AD1155" s="84" t="str">
        <f>IF(AND(N1155="1521",MONTH(C1155)='BK-NL'!$M$11),"x","")</f>
        <v/>
      </c>
    </row>
    <row r="1156" spans="1:31" ht="15.75" hidden="1" customHeight="1">
      <c r="A1156" s="336" t="str">
        <f>IF(B1156&lt;&gt;"",IF(AND(B1156='IN-TC'!$S$4,OR(TH!N1156="1111",TH!O1156="1111")),TH!D1156,""),"")</f>
        <v/>
      </c>
      <c r="B1156" s="63">
        <f t="shared" si="174"/>
        <v>3</v>
      </c>
      <c r="C1156" s="64">
        <v>42458</v>
      </c>
      <c r="D1156" s="64" t="s">
        <v>702</v>
      </c>
      <c r="E1156" s="64">
        <v>42458</v>
      </c>
      <c r="F1156" s="73" t="s">
        <v>1197</v>
      </c>
      <c r="G1156" s="67" t="s">
        <v>918</v>
      </c>
      <c r="H1156" s="73" t="s">
        <v>599</v>
      </c>
      <c r="I1156" s="439"/>
      <c r="J1156" s="439"/>
      <c r="K1156" s="430">
        <v>4930.13</v>
      </c>
      <c r="L1156" s="439">
        <v>22280</v>
      </c>
      <c r="M1156" s="65">
        <v>109843296</v>
      </c>
      <c r="N1156" s="66" t="s">
        <v>266</v>
      </c>
      <c r="O1156" s="66" t="s">
        <v>588</v>
      </c>
      <c r="P1156" s="84" t="str">
        <f>IF(AND('331-CT'!$E$7=TH!H1156,OR(N1156="331",O1156="331")),"x","")</f>
        <v/>
      </c>
      <c r="Q1156" s="84" t="str">
        <f>IF(AND(B1156='111'!$L$11,OR($N1156=$Q$7,$O1156=$Q$7)),"x","")</f>
        <v/>
      </c>
      <c r="R1156" s="84" t="str">
        <f>IF(AND($N1156=$Q$7,$B1156&lt;'111'!$L$11),"x","")</f>
        <v/>
      </c>
      <c r="S1156" s="84" t="str">
        <f>IF(AND($O1156=$Q$7,$B1156&lt;'111'!$L$11),"x","")</f>
        <v/>
      </c>
      <c r="T1156" s="84" t="str">
        <f>IF(ISERROR(FIND('112'!$M$9,G1156,1)),"",IF((AND(FIND('112'!$M$9,G1156,1)&gt;=1,B1156='112'!$K$9,OR($N1156='112'!$I$6,$O1156='112'!$I$6))),"x",""))</f>
        <v/>
      </c>
      <c r="U1156" s="84" t="str">
        <f>IF(ISERROR(FIND('112'!$M$9,G1156,1)),"",IF((AND(LEFT(G1156,2)=LEFT('112'!$M$9,2),B1156&lt;'112'!$K$9,$N1156='112'!$I$6)),"x",""))</f>
        <v/>
      </c>
      <c r="V1156" s="84" t="str">
        <f>IF(ISERROR(FIND('112'!$M$9,G1156,1)),"",IF((AND(RIGHT(G1156,2)=RIGHT('112'!$M$9,2),B1156&lt;'112'!$K$9,$O1156='112'!$I$6)),"x",""))</f>
        <v/>
      </c>
      <c r="W1156" s="84" t="str">
        <f>IF(AND('341-CT'!$H$9=H1156,OR(LEFT(N1156,3)=$W$7,LEFT(O1156,3)=$W$7)),"x","")</f>
        <v/>
      </c>
      <c r="X1156" s="84" t="str">
        <f>IF(OR(TH!N1156=TH!$X$7,O1156=TH!$X$7),"x","")</f>
        <v/>
      </c>
      <c r="Y1156" s="84" t="str">
        <f>IF(AND(OR(N1156="131",O1156="131"),H1156='131-CT'!$H$9),"x","")</f>
        <v/>
      </c>
      <c r="Z1156" s="84"/>
      <c r="AA1156" s="84" t="str">
        <f>IF(AND(MONTH(E1156)='IN-NX'!$J$5,'IN-NX'!$D$7=D1156),"x","")</f>
        <v/>
      </c>
      <c r="AB1156" s="84" t="str">
        <f>IF(AND(OR(LEFT(TH!N1156,2)="15",LEFT(TH!O1156,2)="15"),LEFT(TH!O1156,3)&lt;&gt;"111",'152-CT'!$J$8=TH!F1156),"x","")</f>
        <v/>
      </c>
      <c r="AC1156" s="84" t="str">
        <f>IF(AND(OR(LEFT(TH!N1156,2)="15",LEFT(TH!O1156,2)="15"),TK!$E$7=TH!F1156),"x","")</f>
        <v/>
      </c>
      <c r="AD1156" s="84" t="str">
        <f>IF(AND(N1156="1521",MONTH(C1156)='BK-NL'!$M$11),"x","")</f>
        <v/>
      </c>
    </row>
    <row r="1157" spans="1:31" s="347" customFormat="1" ht="15.75" hidden="1" customHeight="1">
      <c r="A1157" s="336" t="str">
        <f>IF(B1157&lt;&gt;"",IF(AND(B1157='IN-TC'!$S$4,OR(TH!N1157="1111",TH!O1157="1111")),TH!D1157,""),"")</f>
        <v/>
      </c>
      <c r="B1157" s="1003">
        <f t="shared" si="174"/>
        <v>3</v>
      </c>
      <c r="C1157" s="80">
        <v>42458</v>
      </c>
      <c r="D1157" s="80" t="s">
        <v>582</v>
      </c>
      <c r="E1157" s="80">
        <v>42458</v>
      </c>
      <c r="F1157" s="73" t="s">
        <v>1071</v>
      </c>
      <c r="G1157" s="81" t="s">
        <v>918</v>
      </c>
      <c r="H1157" s="73" t="s">
        <v>599</v>
      </c>
      <c r="I1157" s="437"/>
      <c r="J1157" s="437"/>
      <c r="K1157" s="428">
        <v>158.06</v>
      </c>
      <c r="L1157" s="437">
        <v>22280</v>
      </c>
      <c r="M1157" s="83">
        <v>3521577</v>
      </c>
      <c r="N1157" s="84" t="s">
        <v>101</v>
      </c>
      <c r="O1157" s="84" t="s">
        <v>588</v>
      </c>
      <c r="P1157" s="84" t="str">
        <f>IF(AND('331-CT'!$E$7=TH!H1157,OR(N1157="331",O1157="331")),"x","")</f>
        <v/>
      </c>
      <c r="Q1157" s="84" t="str">
        <f>IF(AND(B1157='111'!$L$11,OR($N1157=$Q$7,$O1157=$Q$7)),"x","")</f>
        <v/>
      </c>
      <c r="R1157" s="84" t="str">
        <f>IF(AND($N1157=$Q$7,$B1157&lt;'111'!$L$11),"x","")</f>
        <v/>
      </c>
      <c r="S1157" s="84" t="str">
        <f>IF(AND($O1157=$Q$7,$B1157&lt;'111'!$L$11),"x","")</f>
        <v/>
      </c>
      <c r="T1157" s="84" t="str">
        <f>IF(ISERROR(FIND('112'!$M$9,G1157,1)),"",IF((AND(FIND('112'!$M$9,G1157,1)&gt;=1,B1157='112'!$K$9,OR($N1157='112'!$I$6,$O1157='112'!$I$6))),"x",""))</f>
        <v/>
      </c>
      <c r="U1157" s="84" t="str">
        <f>IF(ISERROR(FIND('112'!$M$9,G1157,1)),"",IF((AND(LEFT(G1157,2)=LEFT('112'!$M$9,2),B1157&lt;'112'!$K$9,$N1157='112'!$I$6)),"x",""))</f>
        <v/>
      </c>
      <c r="V1157" s="84" t="str">
        <f>IF(ISERROR(FIND('112'!$M$9,G1157,1)),"",IF((AND(RIGHT(G1157,2)=RIGHT('112'!$M$9,2),B1157&lt;'112'!$K$9,$O1157='112'!$I$6)),"x",""))</f>
        <v/>
      </c>
      <c r="W1157" s="84" t="str">
        <f>IF(AND('341-CT'!$H$9=H1157,OR(LEFT(N1157,3)=$W$7,LEFT(O1157,3)=$W$7)),"x","")</f>
        <v/>
      </c>
      <c r="X1157" s="84" t="str">
        <f>IF(OR(TH!N1157=TH!$X$7,O1157=TH!$X$7),"x","")</f>
        <v/>
      </c>
      <c r="Y1157" s="84" t="str">
        <f>IF(AND(OR(N1157="131",O1157="131"),H1157='131-CT'!$H$9),"x","")</f>
        <v/>
      </c>
      <c r="Z1157" s="84"/>
      <c r="AA1157" s="84" t="str">
        <f>IF(AND(MONTH(E1157)='IN-NX'!$J$5,'IN-NX'!$D$7=D1157),"x","")</f>
        <v/>
      </c>
      <c r="AB1157" s="84" t="str">
        <f>IF(AND(OR(LEFT(TH!N1157,2)="15",LEFT(TH!O1157,2)="15"),LEFT(TH!O1157,3)&lt;&gt;"111",'152-CT'!$J$8=TH!F1157),"x","")</f>
        <v/>
      </c>
      <c r="AC1157" s="84" t="str">
        <f>IF(AND(OR(LEFT(TH!N1157,2)="15",LEFT(TH!O1157,2)="15"),TK!$E$7=TH!F1157),"x","")</f>
        <v/>
      </c>
      <c r="AD1157" s="84" t="str">
        <f>IF(AND(N1157="1521",MONTH(C1157)='BK-NL'!$M$11),"x","")</f>
        <v/>
      </c>
    </row>
    <row r="1158" spans="1:31" s="347" customFormat="1" ht="15.75" hidden="1" customHeight="1">
      <c r="A1158" s="336" t="str">
        <f>IF(B1158&lt;&gt;"",IF(AND(B1158='IN-TC'!$S$4,OR(TH!N1158="1111",TH!O1158="1111")),TH!D1158,""),"")</f>
        <v/>
      </c>
      <c r="B1158" s="1003">
        <f t="shared" si="174"/>
        <v>3</v>
      </c>
      <c r="C1158" s="80">
        <v>42458</v>
      </c>
      <c r="D1158" s="80" t="s">
        <v>582</v>
      </c>
      <c r="E1158" s="80">
        <v>42458</v>
      </c>
      <c r="F1158" s="73" t="s">
        <v>1072</v>
      </c>
      <c r="G1158" s="985" t="s">
        <v>918</v>
      </c>
      <c r="H1158" s="73" t="s">
        <v>599</v>
      </c>
      <c r="I1158" s="437"/>
      <c r="J1158" s="437"/>
      <c r="K1158" s="428">
        <v>15.81</v>
      </c>
      <c r="L1158" s="437">
        <v>22280</v>
      </c>
      <c r="M1158" s="83">
        <v>352247</v>
      </c>
      <c r="N1158" s="84" t="s">
        <v>9</v>
      </c>
      <c r="O1158" s="84" t="s">
        <v>588</v>
      </c>
      <c r="P1158" s="84" t="str">
        <f>IF(AND('331-CT'!$E$7=TH!H1158,OR(N1158="331",O1158="331")),"x","")</f>
        <v/>
      </c>
      <c r="Q1158" s="84" t="str">
        <f>IF(AND(B1158='111'!$L$11,OR($N1158=$Q$7,$O1158=$Q$7)),"x","")</f>
        <v/>
      </c>
      <c r="R1158" s="84" t="str">
        <f>IF(AND($N1158=$Q$7,$B1158&lt;'111'!$L$11),"x","")</f>
        <v/>
      </c>
      <c r="S1158" s="84" t="str">
        <f>IF(AND($O1158=$Q$7,$B1158&lt;'111'!$L$11),"x","")</f>
        <v/>
      </c>
      <c r="T1158" s="84" t="str">
        <f>IF(ISERROR(FIND('112'!$M$9,G1158,1)),"",IF((AND(FIND('112'!$M$9,G1158,1)&gt;=1,B1158='112'!$K$9,OR($N1158='112'!$I$6,$O1158='112'!$I$6))),"x",""))</f>
        <v/>
      </c>
      <c r="U1158" s="84" t="str">
        <f>IF(ISERROR(FIND('112'!$M$9,G1158,1)),"",IF((AND(LEFT(G1158,2)=LEFT('112'!$M$9,2),B1158&lt;'112'!$K$9,$N1158='112'!$I$6)),"x",""))</f>
        <v/>
      </c>
      <c r="V1158" s="84" t="str">
        <f>IF(ISERROR(FIND('112'!$M$9,G1158,1)),"",IF((AND(RIGHT(G1158,2)=RIGHT('112'!$M$9,2),B1158&lt;'112'!$K$9,$O1158='112'!$I$6)),"x",""))</f>
        <v/>
      </c>
      <c r="W1158" s="84" t="str">
        <f>IF(AND('341-CT'!$H$9=H1158,OR(LEFT(N1158,3)=$W$7,LEFT(O1158,3)=$W$7)),"x","")</f>
        <v/>
      </c>
      <c r="X1158" s="84" t="str">
        <f>IF(OR(TH!N1158=TH!$X$7,O1158=TH!$X$7),"x","")</f>
        <v/>
      </c>
      <c r="Y1158" s="84" t="str">
        <f>IF(AND(OR(N1158="131",O1158="131"),H1158='131-CT'!$H$9),"x","")</f>
        <v/>
      </c>
      <c r="Z1158" s="84"/>
      <c r="AA1158" s="84" t="str">
        <f>IF(AND(MONTH(E1158)='IN-NX'!$J$5,'IN-NX'!$D$7=D1158),"x","")</f>
        <v/>
      </c>
      <c r="AB1158" s="84" t="str">
        <f>IF(AND(OR(LEFT(TH!N1158,2)="15",LEFT(TH!O1158,2)="15"),LEFT(TH!O1158,3)&lt;&gt;"111",'152-CT'!$J$8=TH!F1158),"x","")</f>
        <v/>
      </c>
      <c r="AC1158" s="84" t="str">
        <f>IF(AND(OR(LEFT(TH!N1158,2)="15",LEFT(TH!O1158,2)="15"),TK!$E$7=TH!F1158),"x","")</f>
        <v/>
      </c>
      <c r="AD1158" s="84" t="str">
        <f>IF(AND(N1158="1521",MONTH(C1158)='BK-NL'!$M$11),"x","")</f>
        <v/>
      </c>
    </row>
    <row r="1159" spans="1:31" s="347" customFormat="1" ht="15.75" hidden="1" customHeight="1">
      <c r="A1159" s="336" t="str">
        <f>IF(B1159&lt;&gt;"",IF(AND(B1159='IN-TC'!$S$4,OR(TH!N1159="1111",TH!O1159="1111")),TH!D1159,""),"")</f>
        <v/>
      </c>
      <c r="B1159" s="1003">
        <f>IF(C1159&lt;&gt;"",MONTH(C1159),"")</f>
        <v>3</v>
      </c>
      <c r="C1159" s="80">
        <v>42458</v>
      </c>
      <c r="D1159" s="80" t="s">
        <v>582</v>
      </c>
      <c r="E1159" s="80">
        <v>42458</v>
      </c>
      <c r="F1159" s="73" t="s">
        <v>1074</v>
      </c>
      <c r="G1159" s="985" t="s">
        <v>918</v>
      </c>
      <c r="H1159" s="73" t="s">
        <v>599</v>
      </c>
      <c r="I1159" s="437"/>
      <c r="J1159" s="437"/>
      <c r="K1159" s="428">
        <v>171</v>
      </c>
      <c r="L1159" s="437">
        <v>22280</v>
      </c>
      <c r="M1159" s="83">
        <v>3809880</v>
      </c>
      <c r="N1159" s="84" t="s">
        <v>101</v>
      </c>
      <c r="O1159" s="84" t="s">
        <v>588</v>
      </c>
      <c r="P1159" s="84" t="str">
        <f>IF(AND('331-CT'!$E$7=TH!H1159,OR(N1159="331",O1159="331")),"x","")</f>
        <v/>
      </c>
      <c r="Q1159" s="84" t="str">
        <f>IF(AND(B1159='111'!$L$11,OR($N1159=$Q$7,$O1159=$Q$7)),"x","")</f>
        <v/>
      </c>
      <c r="R1159" s="84" t="str">
        <f>IF(AND($N1159=$Q$7,$B1159&lt;'111'!$L$11),"x","")</f>
        <v/>
      </c>
      <c r="S1159" s="84" t="str">
        <f>IF(AND($O1159=$Q$7,$B1159&lt;'111'!$L$11),"x","")</f>
        <v/>
      </c>
      <c r="T1159" s="84" t="str">
        <f>IF(ISERROR(FIND('112'!$M$9,G1159,1)),"",IF((AND(FIND('112'!$M$9,G1159,1)&gt;=1,B1159='112'!$K$9,OR($N1159='112'!$I$6,$O1159='112'!$I$6))),"x",""))</f>
        <v/>
      </c>
      <c r="U1159" s="84" t="str">
        <f>IF(ISERROR(FIND('112'!$M$9,G1159,1)),"",IF((AND(LEFT(G1159,2)=LEFT('112'!$M$9,2),B1159&lt;'112'!$K$9,$N1159='112'!$I$6)),"x",""))</f>
        <v/>
      </c>
      <c r="V1159" s="84" t="str">
        <f>IF(ISERROR(FIND('112'!$M$9,G1159,1)),"",IF((AND(RIGHT(G1159,2)=RIGHT('112'!$M$9,2),B1159&lt;'112'!$K$9,$O1159='112'!$I$6)),"x",""))</f>
        <v/>
      </c>
      <c r="W1159" s="84" t="str">
        <f>IF(AND('341-CT'!$H$9=H1159,OR(LEFT(N1159,3)=$W$7,LEFT(O1159,3)=$W$7)),"x","")</f>
        <v/>
      </c>
      <c r="X1159" s="84" t="str">
        <f>IF(OR(TH!N1159=TH!$X$7,O1159=TH!$X$7),"x","")</f>
        <v/>
      </c>
      <c r="Y1159" s="84" t="str">
        <f>IF(AND(OR(N1159="131",O1159="131"),H1159='131-CT'!$H$9),"x","")</f>
        <v/>
      </c>
      <c r="Z1159" s="84"/>
      <c r="AA1159" s="84" t="str">
        <f>IF(AND(MONTH(E1159)='IN-NX'!$J$5,'IN-NX'!$D$7=D1159),"x","")</f>
        <v/>
      </c>
      <c r="AB1159" s="84" t="str">
        <f>IF(AND(OR(LEFT(TH!N1159,2)="15",LEFT(TH!O1159,2)="15"),LEFT(TH!O1159,3)&lt;&gt;"111",'152-CT'!$J$8=TH!F1159),"x","")</f>
        <v/>
      </c>
      <c r="AC1159" s="84" t="str">
        <f>IF(AND(OR(LEFT(TH!N1159,2)="15",LEFT(TH!O1159,2)="15"),TK!$E$7=TH!F1159),"x","")</f>
        <v/>
      </c>
      <c r="AD1159" s="84" t="str">
        <f>IF(AND(N1159="1521",MONTH(C1159)='BK-NL'!$M$11),"x","")</f>
        <v/>
      </c>
    </row>
    <row r="1160" spans="1:31" s="347" customFormat="1" ht="15.75" hidden="1" customHeight="1">
      <c r="A1160" s="336" t="str">
        <f>IF(B1160&lt;&gt;"",IF(AND(B1160='IN-TC'!$S$4,OR(TH!N1160="1111",TH!O1160="1111")),TH!D1160,""),"")</f>
        <v/>
      </c>
      <c r="B1160" s="1003">
        <f t="shared" si="174"/>
        <v>3</v>
      </c>
      <c r="C1160" s="80">
        <v>42458</v>
      </c>
      <c r="D1160" s="80" t="s">
        <v>582</v>
      </c>
      <c r="E1160" s="80">
        <v>42458</v>
      </c>
      <c r="F1160" s="73" t="s">
        <v>1068</v>
      </c>
      <c r="G1160" s="985" t="s">
        <v>918</v>
      </c>
      <c r="H1160" s="73" t="s">
        <v>599</v>
      </c>
      <c r="I1160" s="437"/>
      <c r="J1160" s="437"/>
      <c r="K1160" s="428"/>
      <c r="L1160" s="437"/>
      <c r="M1160" s="83">
        <v>4135875</v>
      </c>
      <c r="N1160" s="1128" t="s">
        <v>588</v>
      </c>
      <c r="O1160" s="66" t="s">
        <v>43</v>
      </c>
      <c r="P1160" s="84" t="str">
        <f>IF(AND('331-CT'!$E$7=TH!H1160,OR(N1160="331",O1160="331")),"x","")</f>
        <v/>
      </c>
      <c r="Q1160" s="84" t="str">
        <f>IF(AND(B1160='111'!$L$11,OR($N1160=$Q$7,$O1160=$Q$7)),"x","")</f>
        <v/>
      </c>
      <c r="R1160" s="84" t="str">
        <f>IF(AND($N1160=$Q$7,$B1160&lt;'111'!$L$11),"x","")</f>
        <v/>
      </c>
      <c r="S1160" s="84" t="str">
        <f>IF(AND($O1160=$Q$7,$B1160&lt;'111'!$L$11),"x","")</f>
        <v/>
      </c>
      <c r="T1160" s="84" t="str">
        <f>IF(ISERROR(FIND('112'!$M$9,G1160,1)),"",IF((AND(FIND('112'!$M$9,G1160,1)&gt;=1,B1160='112'!$K$9,OR($N1160='112'!$I$6,$O1160='112'!$I$6))),"x",""))</f>
        <v/>
      </c>
      <c r="U1160" s="84" t="str">
        <f>IF(ISERROR(FIND('112'!$M$9,G1160,1)),"",IF((AND(LEFT(G1160,2)=LEFT('112'!$M$9,2),B1160&lt;'112'!$K$9,$N1160='112'!$I$6)),"x",""))</f>
        <v/>
      </c>
      <c r="V1160" s="84" t="str">
        <f>IF(ISERROR(FIND('112'!$M$9,G1160,1)),"",IF((AND(RIGHT(G1160,2)=RIGHT('112'!$M$9,2),B1160&lt;'112'!$K$9,$O1160='112'!$I$6)),"x",""))</f>
        <v/>
      </c>
      <c r="W1160" s="84" t="str">
        <f>IF(AND('341-CT'!$H$9=H1160,OR(LEFT(N1160,3)=$W$7,LEFT(O1160,3)=$W$7)),"x","")</f>
        <v/>
      </c>
      <c r="X1160" s="84" t="str">
        <f>IF(OR(TH!N1160=TH!$X$7,O1160=TH!$X$7),"x","")</f>
        <v/>
      </c>
      <c r="Y1160" s="84" t="str">
        <f>IF(AND(OR(N1160="131",O1160="131"),H1160='131-CT'!$H$9),"x","")</f>
        <v/>
      </c>
      <c r="Z1160" s="84"/>
      <c r="AA1160" s="84" t="str">
        <f>IF(AND(MONTH(E1160)='IN-NX'!$J$5,'IN-NX'!$D$7=D1160),"x","")</f>
        <v/>
      </c>
      <c r="AB1160" s="84" t="str">
        <f>IF(AND(OR(LEFT(TH!N1160,2)="15",LEFT(TH!O1160,2)="15"),LEFT(TH!O1160,3)&lt;&gt;"111",'152-CT'!$J$8=TH!F1160),"x","")</f>
        <v/>
      </c>
      <c r="AC1160" s="84" t="str">
        <f>IF(AND(OR(LEFT(TH!N1160,2)="15",LEFT(TH!O1160,2)="15"),TK!$E$7=TH!F1160),"x","")</f>
        <v/>
      </c>
      <c r="AD1160" s="84" t="str">
        <f>IF(AND(N1160="1521",MONTH(C1160)='BK-NL'!$M$11),"x","")</f>
        <v/>
      </c>
    </row>
    <row r="1161" spans="1:31" ht="15.75" hidden="1" customHeight="1">
      <c r="A1161" s="336" t="str">
        <f>IF(B1161&lt;&gt;"",IF(AND(B1161='IN-TC'!$S$4,OR(TH!N1161="1111",TH!O1161="1111")),TH!D1161,""),"")</f>
        <v/>
      </c>
      <c r="B1161" s="63">
        <f t="shared" si="174"/>
        <v>3</v>
      </c>
      <c r="C1161" s="64">
        <v>42458</v>
      </c>
      <c r="D1161" s="64" t="s">
        <v>705</v>
      </c>
      <c r="E1161" s="64">
        <v>42458</v>
      </c>
      <c r="F1161" s="73" t="s">
        <v>1066</v>
      </c>
      <c r="G1161" s="982" t="s">
        <v>918</v>
      </c>
      <c r="H1161" s="73"/>
      <c r="I1161" s="439"/>
      <c r="J1161" s="439"/>
      <c r="K1161" s="430">
        <v>136.25</v>
      </c>
      <c r="L1161" s="439">
        <v>22295</v>
      </c>
      <c r="M1161" s="65">
        <v>3037694</v>
      </c>
      <c r="N1161" s="66" t="s">
        <v>99</v>
      </c>
      <c r="O1161" s="66" t="s">
        <v>266</v>
      </c>
      <c r="P1161" s="84" t="str">
        <f>IF(AND('331-CT'!$E$7=TH!H1161,OR(N1161="331",O1161="331")),"x","")</f>
        <v/>
      </c>
      <c r="Q1161" s="84" t="str">
        <f>IF(AND(B1161='111'!$L$11,OR($N1161=$Q$7,$O1161=$Q$7)),"x","")</f>
        <v/>
      </c>
      <c r="R1161" s="84" t="str">
        <f>IF(AND($N1161=$Q$7,$B1161&lt;'111'!$L$11),"x","")</f>
        <v/>
      </c>
      <c r="S1161" s="84" t="str">
        <f>IF(AND($O1161=$Q$7,$B1161&lt;'111'!$L$11),"x","")</f>
        <v/>
      </c>
      <c r="T1161" s="84" t="str">
        <f>IF(ISERROR(FIND('112'!$M$9,G1161,1)),"",IF((AND(FIND('112'!$M$9,G1161,1)&gt;=1,B1161='112'!$K$9,OR($N1161='112'!$I$6,$O1161='112'!$I$6))),"x",""))</f>
        <v/>
      </c>
      <c r="U1161" s="84" t="str">
        <f>IF(ISERROR(FIND('112'!$M$9,G1161,1)),"",IF((AND(LEFT(G1161,2)=LEFT('112'!$M$9,2),B1161&lt;'112'!$K$9,$N1161='112'!$I$6)),"x",""))</f>
        <v/>
      </c>
      <c r="V1161" s="84" t="str">
        <f>IF(ISERROR(FIND('112'!$M$9,G1161,1)),"",IF((AND(RIGHT(G1161,2)=RIGHT('112'!$M$9,2),B1161&lt;'112'!$K$9,$O1161='112'!$I$6)),"x",""))</f>
        <v/>
      </c>
      <c r="W1161" s="84" t="str">
        <f>IF(AND('341-CT'!$H$9=H1161,OR(LEFT(N1161,3)=$W$7,LEFT(O1161,3)=$W$7)),"x","")</f>
        <v/>
      </c>
      <c r="X1161" s="84" t="str">
        <f>IF(OR(TH!N1161=TH!$X$7,O1161=TH!$X$7),"x","")</f>
        <v/>
      </c>
      <c r="Y1161" s="84" t="str">
        <f>IF(AND(OR(N1161="131",O1161="131"),H1161='131-CT'!$H$9),"x","")</f>
        <v/>
      </c>
      <c r="Z1161" s="84"/>
      <c r="AA1161" s="84" t="str">
        <f>IF(AND(MONTH(E1161)='IN-NX'!$J$5,'IN-NX'!$D$7=D1161),"x","")</f>
        <v/>
      </c>
      <c r="AB1161" s="84" t="str">
        <f>IF(AND(OR(LEFT(TH!N1161,2)="15",LEFT(TH!O1161,2)="15"),LEFT(TH!O1161,3)&lt;&gt;"111",'152-CT'!$J$8=TH!F1161),"x","")</f>
        <v/>
      </c>
      <c r="AC1161" s="84" t="str">
        <f>IF(AND(OR(LEFT(TH!N1161,2)="15",LEFT(TH!O1161,2)="15"),TK!$E$7=TH!F1161),"x","")</f>
        <v/>
      </c>
      <c r="AD1161" s="84" t="str">
        <f>IF(AND(N1161="1521",MONTH(C1161)='BK-NL'!$M$11),"x","")</f>
        <v/>
      </c>
    </row>
    <row r="1162" spans="1:31" ht="15.75" hidden="1" customHeight="1">
      <c r="A1162" s="336" t="str">
        <f>IF(B1162&lt;&gt;"",IF(AND(B1162='IN-TC'!$S$4,OR(TH!N1162="1111",TH!O1162="1111")),TH!D1162,""),"")</f>
        <v/>
      </c>
      <c r="B1162" s="63">
        <f t="shared" si="174"/>
        <v>3</v>
      </c>
      <c r="C1162" s="64">
        <v>42458</v>
      </c>
      <c r="D1162" s="64" t="s">
        <v>705</v>
      </c>
      <c r="E1162" s="64">
        <v>42458</v>
      </c>
      <c r="F1162" s="73" t="s">
        <v>616</v>
      </c>
      <c r="G1162" s="982" t="s">
        <v>918</v>
      </c>
      <c r="H1162" s="73"/>
      <c r="I1162" s="439"/>
      <c r="J1162" s="439"/>
      <c r="K1162" s="430">
        <v>5</v>
      </c>
      <c r="L1162" s="439">
        <v>22295</v>
      </c>
      <c r="M1162" s="65">
        <v>111475</v>
      </c>
      <c r="N1162" s="66" t="s">
        <v>101</v>
      </c>
      <c r="O1162" s="66" t="s">
        <v>266</v>
      </c>
      <c r="P1162" s="84" t="str">
        <f>IF(AND('331-CT'!$E$7=TH!H1162,OR(N1162="331",O1162="331")),"x","")</f>
        <v/>
      </c>
      <c r="Q1162" s="84" t="str">
        <f>IF(AND(B1162='111'!$L$11,OR($N1162=$Q$7,$O1162=$Q$7)),"x","")</f>
        <v/>
      </c>
      <c r="R1162" s="84" t="str">
        <f>IF(AND($N1162=$Q$7,$B1162&lt;'111'!$L$11),"x","")</f>
        <v/>
      </c>
      <c r="S1162" s="84" t="str">
        <f>IF(AND($O1162=$Q$7,$B1162&lt;'111'!$L$11),"x","")</f>
        <v/>
      </c>
      <c r="T1162" s="84" t="str">
        <f>IF(ISERROR(FIND('112'!$M$9,G1162,1)),"",IF((AND(FIND('112'!$M$9,G1162,1)&gt;=1,B1162='112'!$K$9,OR($N1162='112'!$I$6,$O1162='112'!$I$6))),"x",""))</f>
        <v/>
      </c>
      <c r="U1162" s="84" t="str">
        <f>IF(ISERROR(FIND('112'!$M$9,G1162,1)),"",IF((AND(LEFT(G1162,2)=LEFT('112'!$M$9,2),B1162&lt;'112'!$K$9,$N1162='112'!$I$6)),"x",""))</f>
        <v/>
      </c>
      <c r="V1162" s="84" t="str">
        <f>IF(ISERROR(FIND('112'!$M$9,G1162,1)),"",IF((AND(RIGHT(G1162,2)=RIGHT('112'!$M$9,2),B1162&lt;'112'!$K$9,$O1162='112'!$I$6)),"x",""))</f>
        <v/>
      </c>
      <c r="W1162" s="84" t="str">
        <f>IF(AND('341-CT'!$H$9=H1162,OR(LEFT(N1162,3)=$W$7,LEFT(O1162,3)=$W$7)),"x","")</f>
        <v/>
      </c>
      <c r="X1162" s="84" t="str">
        <f>IF(OR(TH!N1162=TH!$X$7,O1162=TH!$X$7),"x","")</f>
        <v/>
      </c>
      <c r="Y1162" s="84" t="str">
        <f>IF(AND(OR(N1162="131",O1162="131"),H1162='131-CT'!$H$9),"x","")</f>
        <v/>
      </c>
      <c r="Z1162" s="84"/>
      <c r="AA1162" s="84" t="str">
        <f>IF(AND(MONTH(E1162)='IN-NX'!$J$5,'IN-NX'!$D$7=D1162),"x","")</f>
        <v/>
      </c>
      <c r="AB1162" s="84" t="str">
        <f>IF(AND(OR(LEFT(TH!N1162,2)="15",LEFT(TH!O1162,2)="15"),LEFT(TH!O1162,3)&lt;&gt;"111",'152-CT'!$J$8=TH!F1162),"x","")</f>
        <v/>
      </c>
      <c r="AC1162" s="84" t="str">
        <f>IF(AND(OR(LEFT(TH!N1162,2)="15",LEFT(TH!O1162,2)="15"),TK!$E$7=TH!F1162),"x","")</f>
        <v/>
      </c>
      <c r="AD1162" s="84" t="str">
        <f>IF(AND(N1162="1521",MONTH(C1162)='BK-NL'!$M$11),"x","")</f>
        <v/>
      </c>
    </row>
    <row r="1163" spans="1:31" ht="15.75" hidden="1" customHeight="1">
      <c r="A1163" s="336" t="str">
        <f>IF(B1163&lt;&gt;"",IF(AND(B1163='IN-TC'!$S$4,OR(TH!N1163="1111",TH!O1163="1111")),TH!D1163,""),"")</f>
        <v/>
      </c>
      <c r="B1163" s="63">
        <f t="shared" si="174"/>
        <v>3</v>
      </c>
      <c r="C1163" s="64">
        <v>42458</v>
      </c>
      <c r="D1163" s="64" t="s">
        <v>705</v>
      </c>
      <c r="E1163" s="64">
        <v>42458</v>
      </c>
      <c r="F1163" s="73" t="s">
        <v>1198</v>
      </c>
      <c r="G1163" s="982" t="s">
        <v>918</v>
      </c>
      <c r="H1163" s="73"/>
      <c r="I1163" s="439"/>
      <c r="J1163" s="439"/>
      <c r="K1163" s="430">
        <v>0.5</v>
      </c>
      <c r="L1163" s="439">
        <v>22295</v>
      </c>
      <c r="M1163" s="65">
        <v>11148</v>
      </c>
      <c r="N1163" s="66" t="s">
        <v>9</v>
      </c>
      <c r="O1163" s="66" t="s">
        <v>266</v>
      </c>
      <c r="P1163" s="84" t="str">
        <f>IF(AND('331-CT'!$E$7=TH!H1163,OR(N1163="331",O1163="331")),"x","")</f>
        <v/>
      </c>
      <c r="Q1163" s="84" t="str">
        <f>IF(AND(B1163='111'!$L$11,OR($N1163=$Q$7,$O1163=$Q$7)),"x","")</f>
        <v/>
      </c>
      <c r="R1163" s="84" t="str">
        <f>IF(AND($N1163=$Q$7,$B1163&lt;'111'!$L$11),"x","")</f>
        <v/>
      </c>
      <c r="S1163" s="84" t="str">
        <f>IF(AND($O1163=$Q$7,$B1163&lt;'111'!$L$11),"x","")</f>
        <v/>
      </c>
      <c r="T1163" s="84" t="str">
        <f>IF(ISERROR(FIND('112'!$M$9,G1163,1)),"",IF((AND(FIND('112'!$M$9,G1163,1)&gt;=1,B1163='112'!$K$9,OR($N1163='112'!$I$6,$O1163='112'!$I$6))),"x",""))</f>
        <v/>
      </c>
      <c r="U1163" s="84" t="str">
        <f>IF(ISERROR(FIND('112'!$M$9,G1163,1)),"",IF((AND(LEFT(G1163,2)=LEFT('112'!$M$9,2),B1163&lt;'112'!$K$9,$N1163='112'!$I$6)),"x",""))</f>
        <v/>
      </c>
      <c r="V1163" s="84" t="str">
        <f>IF(ISERROR(FIND('112'!$M$9,G1163,1)),"",IF((AND(RIGHT(G1163,2)=RIGHT('112'!$M$9,2),B1163&lt;'112'!$K$9,$O1163='112'!$I$6)),"x",""))</f>
        <v/>
      </c>
      <c r="W1163" s="84" t="str">
        <f>IF(AND('341-CT'!$H$9=H1163,OR(LEFT(N1163,3)=$W$7,LEFT(O1163,3)=$W$7)),"x","")</f>
        <v/>
      </c>
      <c r="X1163" s="84" t="str">
        <f>IF(OR(TH!N1163=TH!$X$7,O1163=TH!$X$7),"x","")</f>
        <v/>
      </c>
      <c r="Y1163" s="84" t="str">
        <f>IF(AND(OR(N1163="131",O1163="131"),H1163='131-CT'!$H$9),"x","")</f>
        <v/>
      </c>
      <c r="Z1163" s="84"/>
      <c r="AA1163" s="84" t="str">
        <f>IF(AND(MONTH(E1163)='IN-NX'!$J$5,'IN-NX'!$D$7=D1163),"x","")</f>
        <v/>
      </c>
      <c r="AB1163" s="84" t="str">
        <f>IF(AND(OR(LEFT(TH!N1163,2)="15",LEFT(TH!O1163,2)="15"),LEFT(TH!O1163,3)&lt;&gt;"111",'152-CT'!$J$8=TH!F1163),"x","")</f>
        <v/>
      </c>
      <c r="AC1163" s="84" t="str">
        <f>IF(AND(OR(LEFT(TH!N1163,2)="15",LEFT(TH!O1163,2)="15"),TK!$E$7=TH!F1163),"x","")</f>
        <v/>
      </c>
      <c r="AD1163" s="84" t="str">
        <f>IF(AND(N1163="1521",MONTH(C1163)='BK-NL'!$M$11),"x","")</f>
        <v/>
      </c>
    </row>
    <row r="1164" spans="1:31" s="1132" customFormat="1" ht="15.75" hidden="1" customHeight="1">
      <c r="A1164" s="336" t="str">
        <f>IF(B1164&lt;&gt;"",IF(AND(B1164='IN-TC'!$S$4,OR(TH!N1164="1111",TH!O1164="1111")),TH!D1164,""),"")</f>
        <v/>
      </c>
      <c r="B1164" s="1129">
        <f t="shared" ref="B1164:B1176" si="175">IF(C1164&lt;&gt;"",MONTH(C1164),"")</f>
        <v>3</v>
      </c>
      <c r="C1164" s="975">
        <v>42458</v>
      </c>
      <c r="D1164" s="64" t="s">
        <v>702</v>
      </c>
      <c r="E1164" s="975">
        <v>42458</v>
      </c>
      <c r="F1164" s="73" t="s">
        <v>1352</v>
      </c>
      <c r="G1164" s="980"/>
      <c r="H1164" s="971"/>
      <c r="I1164" s="972"/>
      <c r="J1164" s="972"/>
      <c r="K1164" s="973"/>
      <c r="L1164" s="972"/>
      <c r="M1164" s="1130">
        <v>3842009.4000008553</v>
      </c>
      <c r="N1164" s="1131" t="s">
        <v>266</v>
      </c>
      <c r="O1164" s="66" t="s">
        <v>43</v>
      </c>
      <c r="P1164" s="84" t="str">
        <f>IF(AND('331-CT'!$E$7=TH!H1164,OR(N1164="331",O1164="331")),"x","")</f>
        <v/>
      </c>
      <c r="Q1164" s="84" t="str">
        <f>IF(AND(B1164='111'!$L$11,OR($N1164=$Q$7,$O1164=$Q$7)),"x","")</f>
        <v/>
      </c>
      <c r="R1164" s="84" t="str">
        <f>IF(AND($N1164=$Q$7,$B1164&lt;'111'!$L$11),"x","")</f>
        <v/>
      </c>
      <c r="S1164" s="84" t="str">
        <f>IF(AND($O1164=$Q$7,$B1164&lt;'111'!$L$11),"x","")</f>
        <v/>
      </c>
      <c r="T1164" s="84" t="str">
        <f>IF(ISERROR(FIND('112'!$M$9,G1164,1)),"",IF((AND(FIND('112'!$M$9,G1164,1)&gt;=1,B1164='112'!$K$9,OR($N1164='112'!$I$6,$O1164='112'!$I$6))),"x",""))</f>
        <v/>
      </c>
      <c r="U1164" s="84" t="str">
        <f>IF(ISERROR(FIND('112'!$M$9,G1164,1)),"",IF((AND(LEFT(G1164,2)=LEFT('112'!$M$9,2),B1164&lt;'112'!$K$9,$N1164='112'!$I$6)),"x",""))</f>
        <v/>
      </c>
      <c r="V1164" s="84" t="str">
        <f>IF(ISERROR(FIND('112'!$M$9,G1164,1)),"",IF((AND(RIGHT(G1164,2)=RIGHT('112'!$M$9,2),B1164&lt;'112'!$K$9,$O1164='112'!$I$6)),"x",""))</f>
        <v/>
      </c>
      <c r="W1164" s="84" t="str">
        <f>IF(AND('341-CT'!$H$9=H1164,OR(LEFT(N1164,3)=$W$7,LEFT(O1164,3)=$W$7)),"x","")</f>
        <v/>
      </c>
      <c r="X1164" s="84" t="str">
        <f>IF(OR(TH!N1164=TH!$X$7,O1164=TH!$X$7),"x","")</f>
        <v/>
      </c>
      <c r="Y1164" s="84" t="str">
        <f>IF(AND(OR(N1164="131",O1164="131"),H1164='131-CT'!$H$9),"x","")</f>
        <v/>
      </c>
      <c r="Z1164" s="84"/>
      <c r="AA1164" s="84" t="str">
        <f>IF(AND(MONTH(E1164)='IN-NX'!$J$5,'IN-NX'!$D$7=D1164),"x","")</f>
        <v/>
      </c>
      <c r="AB1164" s="84" t="str">
        <f>IF(AND(OR(LEFT(TH!N1164,2)="15",LEFT(TH!O1164,2)="15"),LEFT(TH!O1164,3)&lt;&gt;"111",'152-CT'!$J$8=TH!F1164),"x","")</f>
        <v/>
      </c>
      <c r="AC1164" s="84" t="str">
        <f>IF(AND(OR(LEFT(TH!N1164,2)="15",LEFT(TH!O1164,2)="15"),TK!$E$7=TH!F1164),"x","")</f>
        <v/>
      </c>
      <c r="AD1164" s="84" t="str">
        <f>IF(AND(N1164="1521",MONTH(C1164)='BK-NL'!$M$11),"x","")</f>
        <v/>
      </c>
    </row>
    <row r="1165" spans="1:31" ht="15.75" hidden="1" customHeight="1">
      <c r="A1165" s="336" t="str">
        <f>IF(B1165&lt;&gt;"",IF(AND(B1165='IN-TC'!$S$4,OR(TH!N1165="1111",TH!O1165="1111")),TH!D1165,""),"")</f>
        <v/>
      </c>
      <c r="B1165" s="63">
        <f t="shared" si="175"/>
        <v>3</v>
      </c>
      <c r="C1165" s="64">
        <v>42459</v>
      </c>
      <c r="D1165" s="64" t="s">
        <v>966</v>
      </c>
      <c r="E1165" s="64">
        <v>42459</v>
      </c>
      <c r="F1165" s="73" t="s">
        <v>1107</v>
      </c>
      <c r="G1165" s="982" t="s">
        <v>919</v>
      </c>
      <c r="H1165" s="73" t="s">
        <v>763</v>
      </c>
      <c r="I1165" s="439"/>
      <c r="J1165" s="439"/>
      <c r="K1165" s="430"/>
      <c r="L1165" s="439"/>
      <c r="M1165" s="65">
        <v>25000000</v>
      </c>
      <c r="N1165" s="66" t="s">
        <v>26</v>
      </c>
      <c r="O1165" s="66" t="s">
        <v>63</v>
      </c>
      <c r="P1165" s="84" t="str">
        <f>IF(AND('331-CT'!$E$7=TH!H1165,OR(N1165="331",O1165="331")),"x","")</f>
        <v/>
      </c>
      <c r="Q1165" s="84" t="str">
        <f>IF(AND(B1165='111'!$L$11,OR($N1165=$Q$7,$O1165=$Q$7)),"x","")</f>
        <v/>
      </c>
      <c r="R1165" s="84" t="str">
        <f>IF(AND($N1165=$Q$7,$B1165&lt;'111'!$L$11),"x","")</f>
        <v/>
      </c>
      <c r="S1165" s="84" t="str">
        <f>IF(AND($O1165=$Q$7,$B1165&lt;'111'!$L$11),"x","")</f>
        <v/>
      </c>
      <c r="T1165" s="84" t="str">
        <f>IF(ISERROR(FIND('112'!$M$9,G1165,1)),"",IF((AND(FIND('112'!$M$9,G1165,1)&gt;=1,B1165='112'!$K$9,OR($N1165='112'!$I$6,$O1165='112'!$I$6))),"x",""))</f>
        <v/>
      </c>
      <c r="U1165" s="84" t="str">
        <f>IF(ISERROR(FIND('112'!$M$9,G1165,1)),"",IF((AND(LEFT(G1165,2)=LEFT('112'!$M$9,2),B1165&lt;'112'!$K$9,$N1165='112'!$I$6)),"x",""))</f>
        <v>x</v>
      </c>
      <c r="V1165" s="84" t="str">
        <f>IF(ISERROR(FIND('112'!$M$9,G1165,1)),"",IF((AND(RIGHT(G1165,2)=RIGHT('112'!$M$9,2),B1165&lt;'112'!$K$9,$O1165='112'!$I$6)),"x",""))</f>
        <v/>
      </c>
      <c r="W1165" s="84" t="str">
        <f>IF(AND('341-CT'!$H$9=H1165,OR(LEFT(N1165,3)=$W$7,LEFT(O1165,3)=$W$7)),"x","")</f>
        <v/>
      </c>
      <c r="X1165" s="84" t="str">
        <f>IF(OR(TH!N1165=TH!$X$7,O1165=TH!$X$7),"x","")</f>
        <v/>
      </c>
      <c r="Y1165" s="84" t="str">
        <f>IF(AND(OR(N1165="131",O1165="131"),H1165='131-CT'!$H$9),"x","")</f>
        <v/>
      </c>
      <c r="Z1165" s="84"/>
      <c r="AA1165" s="84" t="str">
        <f>IF(AND(MONTH(E1165)='IN-NX'!$J$5,'IN-NX'!$D$7=D1165),"x","")</f>
        <v/>
      </c>
      <c r="AB1165" s="84" t="str">
        <f>IF(AND(OR(LEFT(TH!N1165,2)="15",LEFT(TH!O1165,2)="15"),LEFT(TH!O1165,3)&lt;&gt;"111",'152-CT'!$J$8=TH!F1165),"x","")</f>
        <v/>
      </c>
      <c r="AC1165" s="84" t="str">
        <f>IF(AND(OR(LEFT(TH!N1165,2)="15",LEFT(TH!O1165,2)="15"),TK!$E$7=TH!F1165),"x","")</f>
        <v/>
      </c>
      <c r="AD1165" s="84" t="str">
        <f>IF(AND(N1165="1521",MONTH(C1165)='BK-NL'!$M$11),"x","")</f>
        <v/>
      </c>
    </row>
    <row r="1166" spans="1:31" ht="15.75" hidden="1" customHeight="1">
      <c r="A1166" s="336" t="str">
        <f>IF(B1166&lt;&gt;"",IF(AND(B1166='IN-TC'!$S$4,OR(TH!N1166="1111",TH!O1166="1111")),TH!D1166,""),"")</f>
        <v/>
      </c>
      <c r="B1166" s="63">
        <f t="shared" si="175"/>
        <v>3</v>
      </c>
      <c r="C1166" s="64">
        <v>42459</v>
      </c>
      <c r="D1166" s="64" t="s">
        <v>967</v>
      </c>
      <c r="E1166" s="64">
        <v>42459</v>
      </c>
      <c r="F1166" s="73" t="s">
        <v>1017</v>
      </c>
      <c r="G1166" s="982" t="s">
        <v>1321</v>
      </c>
      <c r="H1166" s="73" t="s">
        <v>1043</v>
      </c>
      <c r="I1166" s="439"/>
      <c r="J1166" s="439"/>
      <c r="K1166" s="430"/>
      <c r="L1166" s="439"/>
      <c r="M1166" s="65">
        <v>462727</v>
      </c>
      <c r="N1166" s="66" t="s">
        <v>101</v>
      </c>
      <c r="O1166" s="66" t="s">
        <v>63</v>
      </c>
      <c r="P1166" s="84" t="str">
        <f>IF(AND('331-CT'!$E$7=TH!H1166,OR(N1166="331",O1166="331")),"x","")</f>
        <v/>
      </c>
      <c r="Q1166" s="84" t="str">
        <f>IF(AND(B1166='111'!$L$11,OR($N1166=$Q$7,$O1166=$Q$7)),"x","")</f>
        <v/>
      </c>
      <c r="R1166" s="84" t="str">
        <f>IF(AND($N1166=$Q$7,$B1166&lt;'111'!$L$11),"x","")</f>
        <v/>
      </c>
      <c r="S1166" s="84" t="str">
        <f>IF(AND($O1166=$Q$7,$B1166&lt;'111'!$L$11),"x","")</f>
        <v/>
      </c>
      <c r="T1166" s="84" t="str">
        <f>IF(ISERROR(FIND('112'!$M$9,G1166,1)),"",IF((AND(FIND('112'!$M$9,G1166,1)&gt;=1,B1166='112'!$K$9,OR($N1166='112'!$I$6,$O1166='112'!$I$6))),"x",""))</f>
        <v/>
      </c>
      <c r="U1166" s="84" t="str">
        <f>IF(ISERROR(FIND('112'!$M$9,G1166,1)),"",IF((AND(LEFT(G1166,2)=LEFT('112'!$M$9,2),B1166&lt;'112'!$K$9,$N1166='112'!$I$6)),"x",""))</f>
        <v/>
      </c>
      <c r="V1166" s="84" t="str">
        <f>IF(ISERROR(FIND('112'!$M$9,G1166,1)),"",IF((AND(RIGHT(G1166,2)=RIGHT('112'!$M$9,2),B1166&lt;'112'!$K$9,$O1166='112'!$I$6)),"x",""))</f>
        <v/>
      </c>
      <c r="W1166" s="84" t="str">
        <f>IF(AND('341-CT'!$H$9=H1166,OR(LEFT(N1166,3)=$W$7,LEFT(O1166,3)=$W$7)),"x","")</f>
        <v/>
      </c>
      <c r="X1166" s="84" t="str">
        <f>IF(OR(TH!N1166=TH!$X$7,O1166=TH!$X$7),"x","")</f>
        <v/>
      </c>
      <c r="Y1166" s="84" t="str">
        <f>IF(AND(OR(N1166="131",O1166="131"),H1166='131-CT'!$H$9),"x","")</f>
        <v/>
      </c>
      <c r="Z1166" s="84"/>
      <c r="AA1166" s="84" t="str">
        <f>IF(AND(MONTH(E1166)='IN-NX'!$J$5,'IN-NX'!$D$7=D1166),"x","")</f>
        <v/>
      </c>
      <c r="AB1166" s="84" t="str">
        <f>IF(AND(OR(LEFT(TH!N1166,2)="15",LEFT(TH!O1166,2)="15"),LEFT(TH!O1166,3)&lt;&gt;"111",'152-CT'!$J$8=TH!F1166),"x","")</f>
        <v/>
      </c>
      <c r="AC1166" s="84" t="str">
        <f>IF(AND(OR(LEFT(TH!N1166,2)="15",LEFT(TH!O1166,2)="15"),TK!$E$7=TH!F1166),"x","")</f>
        <v/>
      </c>
      <c r="AD1166" s="84" t="str">
        <f>IF(AND(N1166="1521",MONTH(C1166)='BK-NL'!$M$11),"x","")</f>
        <v/>
      </c>
    </row>
    <row r="1167" spans="1:31" ht="15.75" hidden="1" customHeight="1">
      <c r="A1167" s="336" t="str">
        <f>IF(B1167&lt;&gt;"",IF(AND(B1167='IN-TC'!$S$4,OR(TH!N1167="1111",TH!O1167="1111")),TH!D1167,""),"")</f>
        <v/>
      </c>
      <c r="B1167" s="63">
        <f t="shared" si="175"/>
        <v>3</v>
      </c>
      <c r="C1167" s="64">
        <v>42459</v>
      </c>
      <c r="D1167" s="64" t="s">
        <v>967</v>
      </c>
      <c r="E1167" s="64">
        <v>42459</v>
      </c>
      <c r="F1167" s="73" t="s">
        <v>1018</v>
      </c>
      <c r="G1167" s="982" t="s">
        <v>1321</v>
      </c>
      <c r="H1167" s="73" t="s">
        <v>1043</v>
      </c>
      <c r="I1167" s="439"/>
      <c r="J1167" s="439"/>
      <c r="K1167" s="430"/>
      <c r="L1167" s="439"/>
      <c r="M1167" s="65">
        <v>46273</v>
      </c>
      <c r="N1167" s="66" t="s">
        <v>9</v>
      </c>
      <c r="O1167" s="66" t="s">
        <v>63</v>
      </c>
      <c r="P1167" s="84" t="str">
        <f>IF(AND('331-CT'!$E$7=TH!H1167,OR(N1167="331",O1167="331")),"x","")</f>
        <v/>
      </c>
      <c r="Q1167" s="84" t="str">
        <f>IF(AND(B1167='111'!$L$11,OR($N1167=$Q$7,$O1167=$Q$7)),"x","")</f>
        <v/>
      </c>
      <c r="R1167" s="84" t="str">
        <f>IF(AND($N1167=$Q$7,$B1167&lt;'111'!$L$11),"x","")</f>
        <v/>
      </c>
      <c r="S1167" s="84" t="str">
        <f>IF(AND($O1167=$Q$7,$B1167&lt;'111'!$L$11),"x","")</f>
        <v/>
      </c>
      <c r="T1167" s="84" t="str">
        <f>IF(ISERROR(FIND('112'!$M$9,G1167,1)),"",IF((AND(FIND('112'!$M$9,G1167,1)&gt;=1,B1167='112'!$K$9,OR($N1167='112'!$I$6,$O1167='112'!$I$6))),"x",""))</f>
        <v/>
      </c>
      <c r="U1167" s="84" t="str">
        <f>IF(ISERROR(FIND('112'!$M$9,G1167,1)),"",IF((AND(LEFT(G1167,2)=LEFT('112'!$M$9,2),B1167&lt;'112'!$K$9,$N1167='112'!$I$6)),"x",""))</f>
        <v/>
      </c>
      <c r="V1167" s="84" t="str">
        <f>IF(ISERROR(FIND('112'!$M$9,G1167,1)),"",IF((AND(RIGHT(G1167,2)=RIGHT('112'!$M$9,2),B1167&lt;'112'!$K$9,$O1167='112'!$I$6)),"x",""))</f>
        <v/>
      </c>
      <c r="W1167" s="84" t="str">
        <f>IF(AND('341-CT'!$H$9=H1167,OR(LEFT(N1167,3)=$W$7,LEFT(O1167,3)=$W$7)),"x","")</f>
        <v/>
      </c>
      <c r="X1167" s="84" t="str">
        <f>IF(OR(TH!N1167=TH!$X$7,O1167=TH!$X$7),"x","")</f>
        <v/>
      </c>
      <c r="Y1167" s="84" t="str">
        <f>IF(AND(OR(N1167="131",O1167="131"),H1167='131-CT'!$H$9),"x","")</f>
        <v/>
      </c>
      <c r="Z1167" s="84"/>
      <c r="AA1167" s="84" t="str">
        <f>IF(AND(MONTH(E1167)='IN-NX'!$J$5,'IN-NX'!$D$7=D1167),"x","")</f>
        <v/>
      </c>
      <c r="AB1167" s="84" t="str">
        <f>IF(AND(OR(LEFT(TH!N1167,2)="15",LEFT(TH!O1167,2)="15"),LEFT(TH!O1167,3)&lt;&gt;"111",'152-CT'!$J$8=TH!F1167),"x","")</f>
        <v/>
      </c>
      <c r="AC1167" s="84" t="str">
        <f>IF(AND(OR(LEFT(TH!N1167,2)="15",LEFT(TH!O1167,2)="15"),TK!$E$7=TH!F1167),"x","")</f>
        <v/>
      </c>
      <c r="AD1167" s="84" t="str">
        <f>IF(AND(N1167="1521",MONTH(C1167)='BK-NL'!$M$11),"x","")</f>
        <v/>
      </c>
    </row>
    <row r="1168" spans="1:31" ht="15.75" hidden="1" customHeight="1">
      <c r="A1168" s="336" t="str">
        <f>IF(B1168&lt;&gt;"",IF(AND(B1168='IN-TC'!$S$4,OR(TH!N1168="1111",TH!O1168="1111")),TH!D1168,""),"")</f>
        <v/>
      </c>
      <c r="B1168" s="63">
        <f t="shared" si="175"/>
        <v>3</v>
      </c>
      <c r="C1168" s="64">
        <v>42459</v>
      </c>
      <c r="D1168" s="64" t="s">
        <v>705</v>
      </c>
      <c r="E1168" s="64">
        <v>42459</v>
      </c>
      <c r="F1168" s="73" t="s">
        <v>1223</v>
      </c>
      <c r="G1168" s="982" t="s">
        <v>919</v>
      </c>
      <c r="H1168" s="73" t="s">
        <v>632</v>
      </c>
      <c r="I1168" s="439"/>
      <c r="J1168" s="439"/>
      <c r="K1168" s="430"/>
      <c r="L1168" s="439"/>
      <c r="M1168" s="65">
        <v>23396120</v>
      </c>
      <c r="N1168" s="66" t="s">
        <v>8</v>
      </c>
      <c r="O1168" s="66" t="s">
        <v>26</v>
      </c>
      <c r="P1168" s="84" t="str">
        <f>IF(AND('331-CT'!$E$7=TH!H1168,OR(N1168="331",O1168="331")),"x","")</f>
        <v/>
      </c>
      <c r="Q1168" s="84" t="str">
        <f>IF(AND(B1168='111'!$L$11,OR($N1168=$Q$7,$O1168=$Q$7)),"x","")</f>
        <v/>
      </c>
      <c r="R1168" s="84" t="str">
        <f>IF(AND($N1168=$Q$7,$B1168&lt;'111'!$L$11),"x","")</f>
        <v/>
      </c>
      <c r="S1168" s="84" t="str">
        <f>IF(AND($O1168=$Q$7,$B1168&lt;'111'!$L$11),"x","")</f>
        <v/>
      </c>
      <c r="T1168" s="84" t="str">
        <f>IF(ISERROR(FIND('112'!$M$9,G1168,1)),"",IF((AND(FIND('112'!$M$9,G1168,1)&gt;=1,B1168='112'!$K$9,OR($N1168='112'!$I$6,$O1168='112'!$I$6))),"x",""))</f>
        <v/>
      </c>
      <c r="U1168" s="84" t="str">
        <f>IF(ISERROR(FIND('112'!$M$9,G1168,1)),"",IF((AND(LEFT(G1168,2)=LEFT('112'!$M$9,2),B1168&lt;'112'!$K$9,$N1168='112'!$I$6)),"x",""))</f>
        <v/>
      </c>
      <c r="V1168" s="84" t="str">
        <f>IF(ISERROR(FIND('112'!$M$9,G1168,1)),"",IF((AND(RIGHT(G1168,2)=RIGHT('112'!$M$9,2),B1168&lt;'112'!$K$9,$O1168='112'!$I$6)),"x",""))</f>
        <v>x</v>
      </c>
      <c r="W1168" s="84" t="str">
        <f>IF(AND('341-CT'!$H$9=H1168,OR(LEFT(N1168,3)=$W$7,LEFT(O1168,3)=$W$7)),"x","")</f>
        <v/>
      </c>
      <c r="X1168" s="84" t="str">
        <f>IF(OR(TH!N1168=TH!$X$7,O1168=TH!$X$7),"x","")</f>
        <v/>
      </c>
      <c r="Y1168" s="84" t="str">
        <f>IF(AND(OR(N1168="131",O1168="131"),H1168='131-CT'!$H$9),"x","")</f>
        <v/>
      </c>
      <c r="Z1168" s="84"/>
      <c r="AA1168" s="84" t="str">
        <f>IF(AND(MONTH(E1168)='IN-NX'!$J$5,'IN-NX'!$D$7=D1168),"x","")</f>
        <v/>
      </c>
      <c r="AB1168" s="84" t="str">
        <f>IF(AND(OR(LEFT(TH!N1168,2)="15",LEFT(TH!O1168,2)="15"),LEFT(TH!O1168,3)&lt;&gt;"111",'152-CT'!$J$8=TH!F1168),"x","")</f>
        <v/>
      </c>
      <c r="AC1168" s="84" t="str">
        <f>IF(AND(OR(LEFT(TH!N1168,2)="15",LEFT(TH!O1168,2)="15"),TK!$E$7=TH!F1168),"x","")</f>
        <v/>
      </c>
      <c r="AD1168" s="84" t="str">
        <f>IF(AND(N1168="1521",MONTH(C1168)='BK-NL'!$M$11),"x","")</f>
        <v/>
      </c>
      <c r="AE1168" s="1146" t="str">
        <f>IF(H1168&lt;&gt;VLOOKUP(H1168,DSKH,1,0),"","x")</f>
        <v>x</v>
      </c>
    </row>
    <row r="1169" spans="1:31" ht="15.75" hidden="1" customHeight="1">
      <c r="A1169" s="336" t="str">
        <f>IF(B1169&lt;&gt;"",IF(AND(B1169='IN-TC'!$S$4,OR(TH!N1169="1111",TH!O1169="1111")),TH!D1169,""),"")</f>
        <v/>
      </c>
      <c r="B1169" s="63">
        <f t="shared" si="175"/>
        <v>3</v>
      </c>
      <c r="C1169" s="64">
        <v>42459</v>
      </c>
      <c r="D1169" s="64" t="s">
        <v>705</v>
      </c>
      <c r="E1169" s="64">
        <v>42459</v>
      </c>
      <c r="F1169" s="73" t="s">
        <v>1199</v>
      </c>
      <c r="G1169" s="982" t="s">
        <v>919</v>
      </c>
      <c r="H1169" s="73"/>
      <c r="I1169" s="439"/>
      <c r="J1169" s="439"/>
      <c r="K1169" s="430"/>
      <c r="L1169" s="439"/>
      <c r="M1169" s="65">
        <v>45000</v>
      </c>
      <c r="N1169" s="66" t="s">
        <v>101</v>
      </c>
      <c r="O1169" s="66" t="s">
        <v>26</v>
      </c>
      <c r="P1169" s="84" t="str">
        <f>IF(AND('331-CT'!$E$7=TH!H1169,OR(N1169="331",O1169="331")),"x","")</f>
        <v/>
      </c>
      <c r="Q1169" s="84" t="str">
        <f>IF(AND(B1169='111'!$L$11,OR($N1169=$Q$7,$O1169=$Q$7)),"x","")</f>
        <v/>
      </c>
      <c r="R1169" s="84" t="str">
        <f>IF(AND($N1169=$Q$7,$B1169&lt;'111'!$L$11),"x","")</f>
        <v/>
      </c>
      <c r="S1169" s="84" t="str">
        <f>IF(AND($O1169=$Q$7,$B1169&lt;'111'!$L$11),"x","")</f>
        <v/>
      </c>
      <c r="T1169" s="84" t="str">
        <f>IF(ISERROR(FIND('112'!$M$9,G1169,1)),"",IF((AND(FIND('112'!$M$9,G1169,1)&gt;=1,B1169='112'!$K$9,OR($N1169='112'!$I$6,$O1169='112'!$I$6))),"x",""))</f>
        <v/>
      </c>
      <c r="U1169" s="84" t="str">
        <f>IF(ISERROR(FIND('112'!$M$9,G1169,1)),"",IF((AND(LEFT(G1169,2)=LEFT('112'!$M$9,2),B1169&lt;'112'!$K$9,$N1169='112'!$I$6)),"x",""))</f>
        <v/>
      </c>
      <c r="V1169" s="84" t="str">
        <f>IF(ISERROR(FIND('112'!$M$9,G1169,1)),"",IF((AND(RIGHT(G1169,2)=RIGHT('112'!$M$9,2),B1169&lt;'112'!$K$9,$O1169='112'!$I$6)),"x",""))</f>
        <v>x</v>
      </c>
      <c r="W1169" s="84" t="str">
        <f>IF(AND('341-CT'!$H$9=H1169,OR(LEFT(N1169,3)=$W$7,LEFT(O1169,3)=$W$7)),"x","")</f>
        <v/>
      </c>
      <c r="X1169" s="84" t="str">
        <f>IF(OR(TH!N1169=TH!$X$7,O1169=TH!$X$7),"x","")</f>
        <v/>
      </c>
      <c r="Y1169" s="84" t="str">
        <f>IF(AND(OR(N1169="131",O1169="131"),H1169='131-CT'!$H$9),"x","")</f>
        <v/>
      </c>
      <c r="Z1169" s="84"/>
      <c r="AA1169" s="84" t="str">
        <f>IF(AND(MONTH(E1169)='IN-NX'!$J$5,'IN-NX'!$D$7=D1169),"x","")</f>
        <v/>
      </c>
      <c r="AB1169" s="84" t="str">
        <f>IF(AND(OR(LEFT(TH!N1169,2)="15",LEFT(TH!O1169,2)="15"),LEFT(TH!O1169,3)&lt;&gt;"111",'152-CT'!$J$8=TH!F1169),"x","")</f>
        <v/>
      </c>
      <c r="AC1169" s="84" t="str">
        <f>IF(AND(OR(LEFT(TH!N1169,2)="15",LEFT(TH!O1169,2)="15"),TK!$E$7=TH!F1169),"x","")</f>
        <v/>
      </c>
      <c r="AD1169" s="84" t="str">
        <f>IF(AND(N1169="1521",MONTH(C1169)='BK-NL'!$M$11),"x","")</f>
        <v/>
      </c>
    </row>
    <row r="1170" spans="1:31" ht="15.75" hidden="1" customHeight="1">
      <c r="A1170" s="336" t="str">
        <f>IF(B1170&lt;&gt;"",IF(AND(B1170='IN-TC'!$S$4,OR(TH!N1170="1111",TH!O1170="1111")),TH!D1170,""),"")</f>
        <v/>
      </c>
      <c r="B1170" s="63">
        <f t="shared" si="175"/>
        <v>3</v>
      </c>
      <c r="C1170" s="64">
        <v>42459</v>
      </c>
      <c r="D1170" s="64" t="s">
        <v>705</v>
      </c>
      <c r="E1170" s="64">
        <v>42459</v>
      </c>
      <c r="F1170" s="73" t="s">
        <v>1200</v>
      </c>
      <c r="G1170" s="982" t="s">
        <v>919</v>
      </c>
      <c r="H1170" s="73"/>
      <c r="I1170" s="439"/>
      <c r="J1170" s="439"/>
      <c r="K1170" s="430"/>
      <c r="L1170" s="439"/>
      <c r="M1170" s="65">
        <v>4500</v>
      </c>
      <c r="N1170" s="66" t="s">
        <v>9</v>
      </c>
      <c r="O1170" s="66" t="s">
        <v>26</v>
      </c>
      <c r="P1170" s="84" t="str">
        <f>IF(AND('331-CT'!$E$7=TH!H1170,OR(N1170="331",O1170="331")),"x","")</f>
        <v/>
      </c>
      <c r="Q1170" s="84" t="str">
        <f>IF(AND(B1170='111'!$L$11,OR($N1170=$Q$7,$O1170=$Q$7)),"x","")</f>
        <v/>
      </c>
      <c r="R1170" s="84" t="str">
        <f>IF(AND($N1170=$Q$7,$B1170&lt;'111'!$L$11),"x","")</f>
        <v/>
      </c>
      <c r="S1170" s="84" t="str">
        <f>IF(AND($O1170=$Q$7,$B1170&lt;'111'!$L$11),"x","")</f>
        <v/>
      </c>
      <c r="T1170" s="84" t="str">
        <f>IF(ISERROR(FIND('112'!$M$9,G1170,1)),"",IF((AND(FIND('112'!$M$9,G1170,1)&gt;=1,B1170='112'!$K$9,OR($N1170='112'!$I$6,$O1170='112'!$I$6))),"x",""))</f>
        <v/>
      </c>
      <c r="U1170" s="84" t="str">
        <f>IF(ISERROR(FIND('112'!$M$9,G1170,1)),"",IF((AND(LEFT(G1170,2)=LEFT('112'!$M$9,2),B1170&lt;'112'!$K$9,$N1170='112'!$I$6)),"x",""))</f>
        <v/>
      </c>
      <c r="V1170" s="84" t="str">
        <f>IF(ISERROR(FIND('112'!$M$9,G1170,1)),"",IF((AND(RIGHT(G1170,2)=RIGHT('112'!$M$9,2),B1170&lt;'112'!$K$9,$O1170='112'!$I$6)),"x",""))</f>
        <v>x</v>
      </c>
      <c r="W1170" s="84" t="str">
        <f>IF(AND('341-CT'!$H$9=H1170,OR(LEFT(N1170,3)=$W$7,LEFT(O1170,3)=$W$7)),"x","")</f>
        <v/>
      </c>
      <c r="X1170" s="84" t="str">
        <f>IF(OR(TH!N1170=TH!$X$7,O1170=TH!$X$7),"x","")</f>
        <v/>
      </c>
      <c r="Y1170" s="84" t="str">
        <f>IF(AND(OR(N1170="131",O1170="131"),H1170='131-CT'!$H$9),"x","")</f>
        <v/>
      </c>
      <c r="Z1170" s="84"/>
      <c r="AA1170" s="84" t="str">
        <f>IF(AND(MONTH(E1170)='IN-NX'!$J$5,'IN-NX'!$D$7=D1170),"x","")</f>
        <v/>
      </c>
      <c r="AB1170" s="84" t="str">
        <f>IF(AND(OR(LEFT(TH!N1170,2)="15",LEFT(TH!O1170,2)="15"),LEFT(TH!O1170,3)&lt;&gt;"111",'152-CT'!$J$8=TH!F1170),"x","")</f>
        <v/>
      </c>
      <c r="AC1170" s="84" t="str">
        <f>IF(AND(OR(LEFT(TH!N1170,2)="15",LEFT(TH!O1170,2)="15"),TK!$E$7=TH!F1170),"x","")</f>
        <v/>
      </c>
      <c r="AD1170" s="84" t="str">
        <f>IF(AND(N1170="1521",MONTH(C1170)='BK-NL'!$M$11),"x","")</f>
        <v/>
      </c>
    </row>
    <row r="1171" spans="1:31" ht="15.75" hidden="1" customHeight="1">
      <c r="A1171" s="336" t="str">
        <f>IF(B1171&lt;&gt;"",IF(AND(B1171='IN-TC'!$S$4,OR(TH!N1171="1111",TH!O1171="1111")),TH!D1171,""),"")</f>
        <v/>
      </c>
      <c r="B1171" s="63">
        <f t="shared" si="175"/>
        <v>3</v>
      </c>
      <c r="C1171" s="64">
        <v>42459</v>
      </c>
      <c r="D1171" s="64" t="s">
        <v>968</v>
      </c>
      <c r="E1171" s="64">
        <f>C1171</f>
        <v>42459</v>
      </c>
      <c r="F1171" s="73" t="s">
        <v>1356</v>
      </c>
      <c r="G1171" s="982" t="s">
        <v>1354</v>
      </c>
      <c r="H1171" s="344" t="s">
        <v>621</v>
      </c>
      <c r="I1171" s="439"/>
      <c r="J1171" s="439"/>
      <c r="K1171" s="430"/>
      <c r="L1171" s="439"/>
      <c r="M1171" s="65">
        <v>9114999</v>
      </c>
      <c r="N1171" s="66" t="s">
        <v>8</v>
      </c>
      <c r="O1171" s="66" t="s">
        <v>63</v>
      </c>
      <c r="P1171" s="84" t="str">
        <f>IF(AND('331-CT'!$E$7=TH!H1171,OR(N1171="331",O1171="331")),"x","")</f>
        <v/>
      </c>
      <c r="Q1171" s="84" t="str">
        <f>IF(AND(B1171='111'!$L$11,OR($N1171=$Q$7,$O1171=$Q$7)),"x","")</f>
        <v/>
      </c>
      <c r="R1171" s="84" t="str">
        <f>IF(AND($N1171=$Q$7,$B1171&lt;'111'!$L$11),"x","")</f>
        <v/>
      </c>
      <c r="S1171" s="84" t="str">
        <f>IF(AND($O1171=$Q$7,$B1171&lt;'111'!$L$11),"x","")</f>
        <v/>
      </c>
      <c r="T1171" s="84" t="str">
        <f>IF(ISERROR(FIND('112'!$M$9,G1171,1)),"",IF((AND(FIND('112'!$M$9,G1171,1)&gt;=1,B1171='112'!$K$9,OR($N1171='112'!$I$6,$O1171='112'!$I$6))),"x",""))</f>
        <v/>
      </c>
      <c r="U1171" s="84" t="str">
        <f>IF(ISERROR(FIND('112'!$M$9,G1171,1)),"",IF((AND(LEFT(G1171,2)=LEFT('112'!$M$9,2),B1171&lt;'112'!$K$9,$N1171='112'!$I$6)),"x",""))</f>
        <v/>
      </c>
      <c r="V1171" s="84" t="str">
        <f>IF(ISERROR(FIND('112'!$M$9,G1171,1)),"",IF((AND(RIGHT(G1171,2)=RIGHT('112'!$M$9,2),B1171&lt;'112'!$K$9,$O1171='112'!$I$6)),"x",""))</f>
        <v/>
      </c>
      <c r="W1171" s="84" t="str">
        <f>IF(AND('341-CT'!$H$9=H1171,OR(LEFT(N1171,3)=$W$7,LEFT(O1171,3)=$W$7)),"x","")</f>
        <v/>
      </c>
      <c r="X1171" s="84" t="str">
        <f>IF(OR(TH!N1171=TH!$X$7,O1171=TH!$X$7),"x","")</f>
        <v/>
      </c>
      <c r="Y1171" s="84" t="str">
        <f>IF(AND(OR(N1171="131",O1171="131"),H1171='131-CT'!$H$9),"x","")</f>
        <v/>
      </c>
      <c r="Z1171" s="84"/>
      <c r="AA1171" s="84" t="str">
        <f>IF(AND(MONTH(E1171)='IN-NX'!$J$5,'IN-NX'!$D$7=D1171),"x","")</f>
        <v/>
      </c>
      <c r="AB1171" s="84" t="str">
        <f>IF(AND(OR(LEFT(TH!N1171,2)="15",LEFT(TH!O1171,2)="15"),LEFT(TH!O1171,3)&lt;&gt;"111",'152-CT'!$J$8=TH!F1171),"x","")</f>
        <v/>
      </c>
      <c r="AC1171" s="84" t="str">
        <f>IF(AND(OR(LEFT(TH!N1171,2)="15",LEFT(TH!O1171,2)="15"),TK!$E$7=TH!F1171),"x","")</f>
        <v/>
      </c>
      <c r="AD1171" s="84" t="str">
        <f>IF(AND(N1171="1521",MONTH(C1171)='BK-NL'!$M$11),"x","")</f>
        <v/>
      </c>
      <c r="AE1171" s="1146" t="str">
        <f>IF(H1171&lt;&gt;VLOOKUP(H1171,DSKH,1,0),"","x")</f>
        <v>x</v>
      </c>
    </row>
    <row r="1172" spans="1:31" ht="15.75" hidden="1" customHeight="1">
      <c r="A1172" s="336" t="str">
        <f>IF(B1172&lt;&gt;"",IF(AND(B1172='IN-TC'!$S$4,OR(TH!N1172="1111",TH!O1172="1111")),TH!D1172,""),"")</f>
        <v/>
      </c>
      <c r="B1172" s="63">
        <f t="shared" si="175"/>
        <v>3</v>
      </c>
      <c r="C1172" s="64">
        <v>42460</v>
      </c>
      <c r="D1172" s="64" t="s">
        <v>969</v>
      </c>
      <c r="E1172" s="64">
        <f>C1172</f>
        <v>42460</v>
      </c>
      <c r="F1172" s="73" t="s">
        <v>1361</v>
      </c>
      <c r="G1172" s="982"/>
      <c r="H1172" s="344" t="s">
        <v>1363</v>
      </c>
      <c r="I1172" s="439"/>
      <c r="J1172" s="439"/>
      <c r="K1172" s="430"/>
      <c r="L1172" s="439"/>
      <c r="M1172" s="65">
        <v>1796363</v>
      </c>
      <c r="N1172" s="66" t="s">
        <v>101</v>
      </c>
      <c r="O1172" s="66" t="s">
        <v>63</v>
      </c>
      <c r="P1172" s="84" t="str">
        <f>IF(AND('331-CT'!$E$7=TH!H1172,OR(N1172="331",O1172="331")),"x","")</f>
        <v/>
      </c>
      <c r="Q1172" s="84" t="str">
        <f>IF(AND(B1172='111'!$L$11,OR($N1172=$Q$7,$O1172=$Q$7)),"x","")</f>
        <v/>
      </c>
      <c r="R1172" s="84" t="str">
        <f>IF(AND($N1172=$Q$7,$B1172&lt;'111'!$L$11),"x","")</f>
        <v/>
      </c>
      <c r="S1172" s="84" t="str">
        <f>IF(AND($O1172=$Q$7,$B1172&lt;'111'!$L$11),"x","")</f>
        <v/>
      </c>
      <c r="T1172" s="84" t="str">
        <f>IF(ISERROR(FIND('112'!$M$9,G1172,1)),"",IF((AND(FIND('112'!$M$9,G1172,1)&gt;=1,B1172='112'!$K$9,OR($N1172='112'!$I$6,$O1172='112'!$I$6))),"x",""))</f>
        <v/>
      </c>
      <c r="U1172" s="84" t="str">
        <f>IF(ISERROR(FIND('112'!$M$9,G1172,1)),"",IF((AND(LEFT(G1172,2)=LEFT('112'!$M$9,2),B1172&lt;'112'!$K$9,$N1172='112'!$I$6)),"x",""))</f>
        <v/>
      </c>
      <c r="V1172" s="84" t="str">
        <f>IF(ISERROR(FIND('112'!$M$9,G1172,1)),"",IF((AND(RIGHT(G1172,2)=RIGHT('112'!$M$9,2),B1172&lt;'112'!$K$9,$O1172='112'!$I$6)),"x",""))</f>
        <v/>
      </c>
      <c r="W1172" s="84" t="str">
        <f>IF(AND('341-CT'!$H$9=H1172,OR(LEFT(N1172,3)=$W$7,LEFT(O1172,3)=$W$7)),"x","")</f>
        <v/>
      </c>
      <c r="X1172" s="84" t="str">
        <f>IF(OR(TH!N1172=TH!$X$7,O1172=TH!$X$7),"x","")</f>
        <v/>
      </c>
      <c r="Y1172" s="84" t="str">
        <f>IF(AND(OR(N1172="131",O1172="131"),H1172='131-CT'!$H$9),"x","")</f>
        <v/>
      </c>
      <c r="Z1172" s="84"/>
      <c r="AA1172" s="84" t="str">
        <f>IF(AND(MONTH(E1172)='IN-NX'!$J$5,'IN-NX'!$D$7=D1172),"x","")</f>
        <v/>
      </c>
      <c r="AB1172" s="84" t="str">
        <f>IF(AND(OR(LEFT(TH!N1172,2)="15",LEFT(TH!O1172,2)="15"),LEFT(TH!O1172,3)&lt;&gt;"111",'152-CT'!$J$8=TH!F1172),"x","")</f>
        <v/>
      </c>
      <c r="AC1172" s="84" t="str">
        <f>IF(AND(OR(LEFT(TH!N1172,2)="15",LEFT(TH!O1172,2)="15"),TK!$E$7=TH!F1172),"x","")</f>
        <v/>
      </c>
      <c r="AD1172" s="84" t="str">
        <f>IF(AND(N1172="1521",MONTH(C1172)='BK-NL'!$M$11),"x","")</f>
        <v/>
      </c>
    </row>
    <row r="1173" spans="1:31" ht="15.75" hidden="1" customHeight="1">
      <c r="A1173" s="336" t="str">
        <f>IF(B1173&lt;&gt;"",IF(AND(B1173='IN-TC'!$S$4,OR(TH!N1173="1111",TH!O1173="1111")),TH!D1173,""),"")</f>
        <v/>
      </c>
      <c r="B1173" s="63">
        <f t="shared" si="175"/>
        <v>3</v>
      </c>
      <c r="C1173" s="64">
        <v>42460</v>
      </c>
      <c r="D1173" s="64" t="s">
        <v>969</v>
      </c>
      <c r="E1173" s="64">
        <f>C1173</f>
        <v>42460</v>
      </c>
      <c r="F1173" s="73" t="s">
        <v>1362</v>
      </c>
      <c r="G1173" s="982"/>
      <c r="H1173" s="344" t="s">
        <v>1363</v>
      </c>
      <c r="I1173" s="439"/>
      <c r="J1173" s="439"/>
      <c r="K1173" s="430"/>
      <c r="L1173" s="439"/>
      <c r="M1173" s="65">
        <v>179637</v>
      </c>
      <c r="N1173" s="66" t="s">
        <v>9</v>
      </c>
      <c r="O1173" s="66" t="s">
        <v>63</v>
      </c>
      <c r="P1173" s="84" t="str">
        <f>IF(AND('331-CT'!$E$7=TH!H1173,OR(N1173="331",O1173="331")),"x","")</f>
        <v/>
      </c>
      <c r="Q1173" s="84" t="str">
        <f>IF(AND(B1173='111'!$L$11,OR($N1173=$Q$7,$O1173=$Q$7)),"x","")</f>
        <v/>
      </c>
      <c r="R1173" s="84" t="str">
        <f>IF(AND($N1173=$Q$7,$B1173&lt;'111'!$L$11),"x","")</f>
        <v/>
      </c>
      <c r="S1173" s="84" t="str">
        <f>IF(AND($O1173=$Q$7,$B1173&lt;'111'!$L$11),"x","")</f>
        <v/>
      </c>
      <c r="T1173" s="84" t="str">
        <f>IF(ISERROR(FIND('112'!$M$9,G1173,1)),"",IF((AND(FIND('112'!$M$9,G1173,1)&gt;=1,B1173='112'!$K$9,OR($N1173='112'!$I$6,$O1173='112'!$I$6))),"x",""))</f>
        <v/>
      </c>
      <c r="U1173" s="84" t="str">
        <f>IF(ISERROR(FIND('112'!$M$9,G1173,1)),"",IF((AND(LEFT(G1173,2)=LEFT('112'!$M$9,2),B1173&lt;'112'!$K$9,$N1173='112'!$I$6)),"x",""))</f>
        <v/>
      </c>
      <c r="V1173" s="84" t="str">
        <f>IF(ISERROR(FIND('112'!$M$9,G1173,1)),"",IF((AND(RIGHT(G1173,2)=RIGHT('112'!$M$9,2),B1173&lt;'112'!$K$9,$O1173='112'!$I$6)),"x",""))</f>
        <v/>
      </c>
      <c r="W1173" s="84" t="str">
        <f>IF(AND('341-CT'!$H$9=H1173,OR(LEFT(N1173,3)=$W$7,LEFT(O1173,3)=$W$7)),"x","")</f>
        <v/>
      </c>
      <c r="X1173" s="84" t="str">
        <f>IF(OR(TH!N1173=TH!$X$7,O1173=TH!$X$7),"x","")</f>
        <v/>
      </c>
      <c r="Y1173" s="84" t="str">
        <f>IF(AND(OR(N1173="131",O1173="131"),H1173='131-CT'!$H$9),"x","")</f>
        <v/>
      </c>
      <c r="Z1173" s="84"/>
      <c r="AA1173" s="84" t="str">
        <f>IF(AND(MONTH(E1173)='IN-NX'!$J$5,'IN-NX'!$D$7=D1173),"x","")</f>
        <v/>
      </c>
      <c r="AB1173" s="84" t="str">
        <f>IF(AND(OR(LEFT(TH!N1173,2)="15",LEFT(TH!O1173,2)="15"),LEFT(TH!O1173,3)&lt;&gt;"111",'152-CT'!$J$8=TH!F1173),"x","")</f>
        <v/>
      </c>
      <c r="AC1173" s="84" t="str">
        <f>IF(AND(OR(LEFT(TH!N1173,2)="15",LEFT(TH!O1173,2)="15"),TK!$E$7=TH!F1173),"x","")</f>
        <v/>
      </c>
      <c r="AD1173" s="84" t="str">
        <f>IF(AND(N1173="1521",MONTH(C1173)='BK-NL'!$M$11),"x","")</f>
        <v/>
      </c>
    </row>
    <row r="1174" spans="1:31" ht="15.75" hidden="1" customHeight="1">
      <c r="A1174" s="336" t="str">
        <f>IF(B1174&lt;&gt;"",IF(AND(B1174='IN-TC'!$S$4,OR(TH!N1174="1111",TH!O1174="1111")),TH!D1174,""),"")</f>
        <v/>
      </c>
      <c r="B1174" s="63">
        <f t="shared" si="175"/>
        <v>3</v>
      </c>
      <c r="C1174" s="64">
        <v>42460</v>
      </c>
      <c r="D1174" s="64" t="s">
        <v>1387</v>
      </c>
      <c r="E1174" s="64">
        <f>C1174</f>
        <v>42460</v>
      </c>
      <c r="F1174" s="73" t="s">
        <v>1364</v>
      </c>
      <c r="G1174" s="982" t="s">
        <v>1366</v>
      </c>
      <c r="H1174" s="344" t="s">
        <v>1367</v>
      </c>
      <c r="I1174" s="439"/>
      <c r="J1174" s="439"/>
      <c r="K1174" s="430"/>
      <c r="L1174" s="439"/>
      <c r="M1174" s="65">
        <v>29670</v>
      </c>
      <c r="N1174" s="66" t="s">
        <v>101</v>
      </c>
      <c r="O1174" s="66" t="s">
        <v>63</v>
      </c>
      <c r="P1174" s="84" t="str">
        <f>IF(AND('331-CT'!$E$7=TH!H1174,OR(N1174="331",O1174="331")),"x","")</f>
        <v/>
      </c>
      <c r="Q1174" s="84" t="str">
        <f>IF(AND(B1174='111'!$L$11,OR($N1174=$Q$7,$O1174=$Q$7)),"x","")</f>
        <v/>
      </c>
      <c r="R1174" s="84" t="str">
        <f>IF(AND($N1174=$Q$7,$B1174&lt;'111'!$L$11),"x","")</f>
        <v/>
      </c>
      <c r="S1174" s="84" t="str">
        <f>IF(AND($O1174=$Q$7,$B1174&lt;'111'!$L$11),"x","")</f>
        <v/>
      </c>
      <c r="T1174" s="84" t="str">
        <f>IF(ISERROR(FIND('112'!$M$9,G1174,1)),"",IF((AND(FIND('112'!$M$9,G1174,1)&gt;=1,B1174='112'!$K$9,OR($N1174='112'!$I$6,$O1174='112'!$I$6))),"x",""))</f>
        <v/>
      </c>
      <c r="U1174" s="84" t="str">
        <f>IF(ISERROR(FIND('112'!$M$9,G1174,1)),"",IF((AND(LEFT(G1174,2)=LEFT('112'!$M$9,2),B1174&lt;'112'!$K$9,$N1174='112'!$I$6)),"x",""))</f>
        <v/>
      </c>
      <c r="V1174" s="84" t="str">
        <f>IF(ISERROR(FIND('112'!$M$9,G1174,1)),"",IF((AND(RIGHT(G1174,2)=RIGHT('112'!$M$9,2),B1174&lt;'112'!$K$9,$O1174='112'!$I$6)),"x",""))</f>
        <v/>
      </c>
      <c r="W1174" s="84" t="str">
        <f>IF(AND('341-CT'!$H$9=H1174,OR(LEFT(N1174,3)=$W$7,LEFT(O1174,3)=$W$7)),"x","")</f>
        <v/>
      </c>
      <c r="X1174" s="84" t="str">
        <f>IF(OR(TH!N1174=TH!$X$7,O1174=TH!$X$7),"x","")</f>
        <v/>
      </c>
      <c r="Y1174" s="84" t="str">
        <f>IF(AND(OR(N1174="131",O1174="131"),H1174='131-CT'!$H$9),"x","")</f>
        <v/>
      </c>
      <c r="Z1174" s="84"/>
      <c r="AA1174" s="84" t="str">
        <f>IF(AND(MONTH(E1174)='IN-NX'!$J$5,'IN-NX'!$D$7=D1174),"x","")</f>
        <v/>
      </c>
      <c r="AB1174" s="84" t="str">
        <f>IF(AND(OR(LEFT(TH!N1174,2)="15",LEFT(TH!O1174,2)="15"),LEFT(TH!O1174,3)&lt;&gt;"111",'152-CT'!$J$8=TH!F1174),"x","")</f>
        <v/>
      </c>
      <c r="AC1174" s="84" t="str">
        <f>IF(AND(OR(LEFT(TH!N1174,2)="15",LEFT(TH!O1174,2)="15"),TK!$E$7=TH!F1174),"x","")</f>
        <v/>
      </c>
      <c r="AD1174" s="84" t="str">
        <f>IF(AND(N1174="1521",MONTH(C1174)='BK-NL'!$M$11),"x","")</f>
        <v/>
      </c>
    </row>
    <row r="1175" spans="1:31" ht="15.75" hidden="1" customHeight="1">
      <c r="A1175" s="336" t="str">
        <f>IF(B1175&lt;&gt;"",IF(AND(B1175='IN-TC'!$S$4,OR(TH!N1175="1111",TH!O1175="1111")),TH!D1175,""),"")</f>
        <v/>
      </c>
      <c r="B1175" s="63">
        <f t="shared" si="175"/>
        <v>3</v>
      </c>
      <c r="C1175" s="64">
        <v>42460</v>
      </c>
      <c r="D1175" s="64" t="s">
        <v>1387</v>
      </c>
      <c r="E1175" s="64">
        <f>C1175</f>
        <v>42460</v>
      </c>
      <c r="F1175" s="73" t="s">
        <v>1365</v>
      </c>
      <c r="G1175" s="982" t="s">
        <v>1366</v>
      </c>
      <c r="H1175" s="344" t="s">
        <v>1367</v>
      </c>
      <c r="I1175" s="439"/>
      <c r="J1175" s="439"/>
      <c r="K1175" s="430"/>
      <c r="L1175" s="439"/>
      <c r="M1175" s="65">
        <v>2967</v>
      </c>
      <c r="N1175" s="66" t="s">
        <v>9</v>
      </c>
      <c r="O1175" s="66" t="s">
        <v>63</v>
      </c>
      <c r="P1175" s="84" t="str">
        <f>IF(AND('331-CT'!$E$7=TH!H1175,OR(N1175="331",O1175="331")),"x","")</f>
        <v/>
      </c>
      <c r="Q1175" s="84" t="str">
        <f>IF(AND(B1175='111'!$L$11,OR($N1175=$Q$7,$O1175=$Q$7)),"x","")</f>
        <v/>
      </c>
      <c r="R1175" s="84" t="str">
        <f>IF(AND($N1175=$Q$7,$B1175&lt;'111'!$L$11),"x","")</f>
        <v/>
      </c>
      <c r="S1175" s="84" t="str">
        <f>IF(AND($O1175=$Q$7,$B1175&lt;'111'!$L$11),"x","")</f>
        <v/>
      </c>
      <c r="T1175" s="84" t="str">
        <f>IF(ISERROR(FIND('112'!$M$9,G1175,1)),"",IF((AND(FIND('112'!$M$9,G1175,1)&gt;=1,B1175='112'!$K$9,OR($N1175='112'!$I$6,$O1175='112'!$I$6))),"x",""))</f>
        <v/>
      </c>
      <c r="U1175" s="84" t="str">
        <f>IF(ISERROR(FIND('112'!$M$9,G1175,1)),"",IF((AND(LEFT(G1175,2)=LEFT('112'!$M$9,2),B1175&lt;'112'!$K$9,$N1175='112'!$I$6)),"x",""))</f>
        <v/>
      </c>
      <c r="V1175" s="84" t="str">
        <f>IF(ISERROR(FIND('112'!$M$9,G1175,1)),"",IF((AND(RIGHT(G1175,2)=RIGHT('112'!$M$9,2),B1175&lt;'112'!$K$9,$O1175='112'!$I$6)),"x",""))</f>
        <v/>
      </c>
      <c r="W1175" s="84" t="str">
        <f>IF(AND('341-CT'!$H$9=H1175,OR(LEFT(N1175,3)=$W$7,LEFT(O1175,3)=$W$7)),"x","")</f>
        <v/>
      </c>
      <c r="X1175" s="84" t="str">
        <f>IF(OR(TH!N1175=TH!$X$7,O1175=TH!$X$7),"x","")</f>
        <v/>
      </c>
      <c r="Y1175" s="84" t="str">
        <f>IF(AND(OR(N1175="131",O1175="131"),H1175='131-CT'!$H$9),"x","")</f>
        <v/>
      </c>
      <c r="Z1175" s="84"/>
      <c r="AA1175" s="84" t="str">
        <f>IF(AND(MONTH(E1175)='IN-NX'!$J$5,'IN-NX'!$D$7=D1175),"x","")</f>
        <v/>
      </c>
      <c r="AB1175" s="84" t="str">
        <f>IF(AND(OR(LEFT(TH!N1175,2)="15",LEFT(TH!O1175,2)="15"),LEFT(TH!O1175,3)&lt;&gt;"111",'152-CT'!$J$8=TH!F1175),"x","")</f>
        <v/>
      </c>
      <c r="AC1175" s="84" t="str">
        <f>IF(AND(OR(LEFT(TH!N1175,2)="15",LEFT(TH!O1175,2)="15"),TK!$E$7=TH!F1175),"x","")</f>
        <v/>
      </c>
      <c r="AD1175" s="84" t="str">
        <f>IF(AND(N1175="1521",MONTH(C1175)='BK-NL'!$M$11),"x","")</f>
        <v/>
      </c>
    </row>
    <row r="1176" spans="1:31" s="347" customFormat="1" ht="15.75" hidden="1" customHeight="1">
      <c r="A1176" s="1176" t="str">
        <f>IF(B1176&lt;&gt;"",IF(AND(B1176='IN-TC'!$S$4,OR(TH!N1176="1111",TH!O1176="1111")),TH!D1176,""),"")</f>
        <v/>
      </c>
      <c r="B1176" s="1003">
        <f t="shared" si="175"/>
        <v>3</v>
      </c>
      <c r="C1176" s="80">
        <v>42460</v>
      </c>
      <c r="D1176" s="80" t="s">
        <v>1388</v>
      </c>
      <c r="E1176" s="80">
        <v>42460</v>
      </c>
      <c r="F1176" s="82" t="s">
        <v>1224</v>
      </c>
      <c r="G1176" s="985"/>
      <c r="H1176" s="82" t="s">
        <v>849</v>
      </c>
      <c r="I1176" s="437"/>
      <c r="J1176" s="437"/>
      <c r="K1176" s="428"/>
      <c r="L1176" s="437"/>
      <c r="M1176" s="83">
        <v>140728119</v>
      </c>
      <c r="N1176" s="84" t="s">
        <v>592</v>
      </c>
      <c r="O1176" s="84" t="s">
        <v>63</v>
      </c>
      <c r="P1176" s="84" t="str">
        <f>IF(AND('331-CT'!$E$7=TH!H1176,OR(N1176="331",O1176="331")),"x","")</f>
        <v/>
      </c>
      <c r="Q1176" s="84" t="str">
        <f>IF(AND(B1176='111'!$L$11,OR($N1176=$Q$7,$O1176=$Q$7)),"x","")</f>
        <v/>
      </c>
      <c r="R1176" s="84" t="str">
        <f>IF(AND($N1176=$Q$7,$B1176&lt;'111'!$L$11),"x","")</f>
        <v/>
      </c>
      <c r="S1176" s="84" t="str">
        <f>IF(AND($O1176=$Q$7,$B1176&lt;'111'!$L$11),"x","")</f>
        <v/>
      </c>
      <c r="T1176" s="84" t="str">
        <f>IF(ISERROR(FIND('112'!$M$9,G1176,1)),"",IF((AND(FIND('112'!$M$9,G1176,1)&gt;=1,B1176='112'!$K$9,OR($N1176='112'!$I$6,$O1176='112'!$I$6))),"x",""))</f>
        <v/>
      </c>
      <c r="U1176" s="84" t="str">
        <f>IF(ISERROR(FIND('112'!$M$9,G1176,1)),"",IF((AND(LEFT(G1176,2)=LEFT('112'!$M$9,2),B1176&lt;'112'!$K$9,$N1176='112'!$I$6)),"x",""))</f>
        <v/>
      </c>
      <c r="V1176" s="84" t="str">
        <f>IF(ISERROR(FIND('112'!$M$9,G1176,1)),"",IF((AND(RIGHT(G1176,2)=RIGHT('112'!$M$9,2),B1176&lt;'112'!$K$9,$O1176='112'!$I$6)),"x",""))</f>
        <v/>
      </c>
      <c r="W1176" s="84" t="str">
        <f>IF(AND('341-CT'!$H$9=H1176,OR(LEFT(N1176,3)=$W$7,LEFT(O1176,3)=$W$7)),"x","")</f>
        <v/>
      </c>
      <c r="X1176" s="84" t="str">
        <f>IF(OR(TH!N1176=TH!$X$7,O1176=TH!$X$7),"x","")</f>
        <v/>
      </c>
      <c r="Y1176" s="84" t="str">
        <f>IF(AND(OR(N1176="131",O1176="131"),H1176='131-CT'!$H$9),"x","")</f>
        <v/>
      </c>
      <c r="Z1176" s="84"/>
      <c r="AA1176" s="84" t="str">
        <f>IF(AND(MONTH(E1176)='IN-NX'!$J$5,'IN-NX'!$D$7=D1176),"x","")</f>
        <v/>
      </c>
      <c r="AB1176" s="84" t="str">
        <f>IF(AND(OR(LEFT(TH!N1176,2)="15",LEFT(TH!O1176,2)="15"),LEFT(TH!O1176,3)&lt;&gt;"111",'152-CT'!$J$8=TH!F1176),"x","")</f>
        <v/>
      </c>
      <c r="AC1176" s="84" t="str">
        <f>IF(AND(OR(LEFT(TH!N1176,2)="15",LEFT(TH!O1176,2)="15"),TK!$E$7=TH!F1176),"x","")</f>
        <v/>
      </c>
      <c r="AD1176" s="84" t="str">
        <f>IF(AND(N1176="1521",MONTH(C1176)='BK-NL'!$M$11),"x","")</f>
        <v/>
      </c>
    </row>
    <row r="1177" spans="1:31" s="343" customFormat="1" ht="15.75" hidden="1" customHeight="1">
      <c r="A1177" s="1176" t="str">
        <f>IF(B1177&lt;&gt;"",IF(AND(B1177='IN-TC'!$S$4,OR(TH!N1177="1111",TH!O1177="1111")),TH!D1177,""),"")</f>
        <v/>
      </c>
      <c r="B1177" s="1003">
        <f t="shared" ref="B1177:B1201" si="176">IF(C1177&lt;&gt;"",MONTH(C1177),"")</f>
        <v>1</v>
      </c>
      <c r="C1177" s="80">
        <v>42400</v>
      </c>
      <c r="D1177" s="80" t="s">
        <v>582</v>
      </c>
      <c r="E1177" s="80">
        <v>42370</v>
      </c>
      <c r="F1177" s="82" t="s">
        <v>635</v>
      </c>
      <c r="G1177" s="81" t="s">
        <v>655</v>
      </c>
      <c r="H1177" s="82" t="s">
        <v>631</v>
      </c>
      <c r="I1177" s="437"/>
      <c r="J1177" s="437"/>
      <c r="K1177" s="428"/>
      <c r="L1177" s="437"/>
      <c r="M1177" s="83">
        <v>10134000</v>
      </c>
      <c r="N1177" s="84" t="s">
        <v>591</v>
      </c>
      <c r="O1177" s="84" t="s">
        <v>8</v>
      </c>
      <c r="P1177" s="84" t="str">
        <f>IF(AND('331-CT'!$E$7=TH!H1177,OR(N1177="331",O1177="331")),"x","")</f>
        <v/>
      </c>
      <c r="Q1177" s="84" t="str">
        <f>IF(AND(B1177='111'!$L$11,OR($N1177=$Q$7,$O1177=$Q$7)),"x","")</f>
        <v/>
      </c>
      <c r="R1177" s="84" t="str">
        <f>IF(AND($N1177=$Q$7,$B1177&lt;'111'!$L$11),"x","")</f>
        <v/>
      </c>
      <c r="S1177" s="84" t="str">
        <f>IF(AND($O1177=$Q$7,$B1177&lt;'111'!$L$11),"x","")</f>
        <v/>
      </c>
      <c r="T1177" s="84" t="str">
        <f>IF(ISERROR(FIND('112'!$M$9,G1177,1)),"",IF((AND(FIND('112'!$M$9,G1177,1)&gt;=1,B1177='112'!$K$9,OR($N1177='112'!$I$6,$O1177='112'!$I$6))),"x",""))</f>
        <v/>
      </c>
      <c r="U1177" s="84" t="str">
        <f>IF(ISERROR(FIND('112'!$M$9,G1177,1)),"",IF((AND(LEFT(G1177,2)=LEFT('112'!$M$9,2),B1177&lt;'112'!$K$9,$N1177='112'!$I$6)),"x",""))</f>
        <v/>
      </c>
      <c r="V1177" s="84" t="str">
        <f>IF(ISERROR(FIND('112'!$M$9,G1177,1)),"",IF((AND(RIGHT(G1177,2)=RIGHT('112'!$M$9,2),B1177&lt;'112'!$K$9,$O1177='112'!$I$6)),"x",""))</f>
        <v/>
      </c>
      <c r="W1177" s="84" t="str">
        <f>IF(AND('341-CT'!$H$9=H1177,OR(LEFT(N1177,3)=$W$7,LEFT(O1177,3)=$W$7)),"x","")</f>
        <v/>
      </c>
      <c r="X1177" s="84" t="str">
        <f>IF(OR(TH!N1177=TH!$X$7,O1177=TH!$X$7),"x","")</f>
        <v/>
      </c>
      <c r="Y1177" s="84" t="str">
        <f>IF(AND(OR(N1177="131",O1177="131"),H1177='131-CT'!$H$9),"x","")</f>
        <v/>
      </c>
      <c r="Z1177" s="84"/>
      <c r="AA1177" s="84" t="str">
        <f>IF(AND(MONTH(E1177)='IN-NX'!$J$5,'IN-NX'!$D$7=D1177),"x","")</f>
        <v/>
      </c>
      <c r="AB1177" s="84" t="str">
        <f>IF(AND(OR(LEFT(TH!N1177,2)="15",LEFT(TH!O1177,2)="15"),LEFT(TH!O1177,3)&lt;&gt;"111",'152-CT'!$J$8=TH!F1177),"x","")</f>
        <v/>
      </c>
      <c r="AC1177" s="84" t="str">
        <f>IF(AND(OR(LEFT(TH!N1177,2)="15",LEFT(TH!O1177,2)="15"),TK!$E$7=TH!F1177),"x","")</f>
        <v/>
      </c>
      <c r="AD1177" s="84" t="str">
        <f>IF(AND(N1177="1521",MONTH(C1177)='BK-NL'!$M$11),"x","")</f>
        <v/>
      </c>
      <c r="AE1177" s="343" t="str">
        <f t="shared" ref="AE1177:AE1208" si="177">IF(H1177&lt;&gt;VLOOKUP(H1177,DSKH,1,0),"","x")</f>
        <v>x</v>
      </c>
    </row>
    <row r="1178" spans="1:31" s="343" customFormat="1" ht="15.75" hidden="1" customHeight="1">
      <c r="A1178" s="1176" t="str">
        <f>IF(B1178&lt;&gt;"",IF(AND(B1178='IN-TC'!$S$4,OR(TH!N1178="1111",TH!O1178="1111")),TH!D1178,""),"")</f>
        <v/>
      </c>
      <c r="B1178" s="1003">
        <f t="shared" si="176"/>
        <v>1</v>
      </c>
      <c r="C1178" s="80">
        <v>42400</v>
      </c>
      <c r="D1178" s="80" t="s">
        <v>582</v>
      </c>
      <c r="E1178" s="80">
        <v>42370</v>
      </c>
      <c r="F1178" s="82" t="s">
        <v>636</v>
      </c>
      <c r="G1178" s="81" t="s">
        <v>656</v>
      </c>
      <c r="H1178" s="82" t="s">
        <v>631</v>
      </c>
      <c r="I1178" s="437"/>
      <c r="J1178" s="437"/>
      <c r="K1178" s="428"/>
      <c r="L1178" s="437"/>
      <c r="M1178" s="83">
        <v>6823560</v>
      </c>
      <c r="N1178" s="84" t="s">
        <v>591</v>
      </c>
      <c r="O1178" s="84" t="s">
        <v>8</v>
      </c>
      <c r="P1178" s="84" t="str">
        <f>IF(AND('331-CT'!$E$7=TH!H1178,OR(N1178="331",O1178="331")),"x","")</f>
        <v/>
      </c>
      <c r="Q1178" s="84" t="str">
        <f>IF(AND(B1178='111'!$L$11,OR($N1178=$Q$7,$O1178=$Q$7)),"x","")</f>
        <v/>
      </c>
      <c r="R1178" s="84" t="str">
        <f>IF(AND($N1178=$Q$7,$B1178&lt;'111'!$L$11),"x","")</f>
        <v/>
      </c>
      <c r="S1178" s="84" t="str">
        <f>IF(AND($O1178=$Q$7,$B1178&lt;'111'!$L$11),"x","")</f>
        <v/>
      </c>
      <c r="T1178" s="84" t="str">
        <f>IF(ISERROR(FIND('112'!$M$9,G1178,1)),"",IF((AND(FIND('112'!$M$9,G1178,1)&gt;=1,B1178='112'!$K$9,OR($N1178='112'!$I$6,$O1178='112'!$I$6))),"x",""))</f>
        <v/>
      </c>
      <c r="U1178" s="84" t="str">
        <f>IF(ISERROR(FIND('112'!$M$9,G1178,1)),"",IF((AND(LEFT(G1178,2)=LEFT('112'!$M$9,2),B1178&lt;'112'!$K$9,$N1178='112'!$I$6)),"x",""))</f>
        <v/>
      </c>
      <c r="V1178" s="84" t="str">
        <f>IF(ISERROR(FIND('112'!$M$9,G1178,1)),"",IF((AND(RIGHT(G1178,2)=RIGHT('112'!$M$9,2),B1178&lt;'112'!$K$9,$O1178='112'!$I$6)),"x",""))</f>
        <v/>
      </c>
      <c r="W1178" s="84" t="str">
        <f>IF(AND('341-CT'!$H$9=H1178,OR(LEFT(N1178,3)=$W$7,LEFT(O1178,3)=$W$7)),"x","")</f>
        <v/>
      </c>
      <c r="X1178" s="84" t="str">
        <f>IF(OR(TH!N1178=TH!$X$7,O1178=TH!$X$7),"x","")</f>
        <v/>
      </c>
      <c r="Y1178" s="84" t="str">
        <f>IF(AND(OR(N1178="131",O1178="131"),H1178='131-CT'!$H$9),"x","")</f>
        <v/>
      </c>
      <c r="Z1178" s="84"/>
      <c r="AA1178" s="84" t="str">
        <f>IF(AND(MONTH(E1178)='IN-NX'!$J$5,'IN-NX'!$D$7=D1178),"x","")</f>
        <v/>
      </c>
      <c r="AB1178" s="84" t="str">
        <f>IF(AND(OR(LEFT(TH!N1178,2)="15",LEFT(TH!O1178,2)="15"),LEFT(TH!O1178,3)&lt;&gt;"111",'152-CT'!$J$8=TH!F1178),"x","")</f>
        <v/>
      </c>
      <c r="AC1178" s="84" t="str">
        <f>IF(AND(OR(LEFT(TH!N1178,2)="15",LEFT(TH!O1178,2)="15"),TK!$E$7=TH!F1178),"x","")</f>
        <v/>
      </c>
      <c r="AD1178" s="84" t="str">
        <f>IF(AND(N1178="1521",MONTH(C1178)='BK-NL'!$M$11),"x","")</f>
        <v/>
      </c>
      <c r="AE1178" s="343" t="str">
        <f t="shared" si="177"/>
        <v>x</v>
      </c>
    </row>
    <row r="1179" spans="1:31" s="343" customFormat="1" ht="15.75" hidden="1" customHeight="1">
      <c r="A1179" s="1176" t="str">
        <f>IF(B1179&lt;&gt;"",IF(AND(B1179='IN-TC'!$S$4,OR(TH!N1179="1111",TH!O1179="1111")),TH!D1179,""),"")</f>
        <v/>
      </c>
      <c r="B1179" s="1003">
        <f t="shared" si="176"/>
        <v>1</v>
      </c>
      <c r="C1179" s="80">
        <v>42400</v>
      </c>
      <c r="D1179" s="80" t="s">
        <v>582</v>
      </c>
      <c r="E1179" s="80">
        <v>42370</v>
      </c>
      <c r="F1179" s="82" t="s">
        <v>637</v>
      </c>
      <c r="G1179" s="81" t="s">
        <v>656</v>
      </c>
      <c r="H1179" s="82" t="s">
        <v>631</v>
      </c>
      <c r="I1179" s="437"/>
      <c r="J1179" s="437"/>
      <c r="K1179" s="428"/>
      <c r="L1179" s="437"/>
      <c r="M1179" s="83">
        <v>682356</v>
      </c>
      <c r="N1179" s="84" t="s">
        <v>9</v>
      </c>
      <c r="O1179" s="84" t="s">
        <v>8</v>
      </c>
      <c r="P1179" s="84" t="str">
        <f>IF(AND('331-CT'!$E$7=TH!H1179,OR(N1179="331",O1179="331")),"x","")</f>
        <v/>
      </c>
      <c r="Q1179" s="84" t="str">
        <f>IF(AND(B1179='111'!$L$11,OR($N1179=$Q$7,$O1179=$Q$7)),"x","")</f>
        <v/>
      </c>
      <c r="R1179" s="84" t="str">
        <f>IF(AND($N1179=$Q$7,$B1179&lt;'111'!$L$11),"x","")</f>
        <v/>
      </c>
      <c r="S1179" s="84" t="str">
        <f>IF(AND($O1179=$Q$7,$B1179&lt;'111'!$L$11),"x","")</f>
        <v/>
      </c>
      <c r="T1179" s="84" t="str">
        <f>IF(ISERROR(FIND('112'!$M$9,G1179,1)),"",IF((AND(FIND('112'!$M$9,G1179,1)&gt;=1,B1179='112'!$K$9,OR($N1179='112'!$I$6,$O1179='112'!$I$6))),"x",""))</f>
        <v/>
      </c>
      <c r="U1179" s="84" t="str">
        <f>IF(ISERROR(FIND('112'!$M$9,G1179,1)),"",IF((AND(LEFT(G1179,2)=LEFT('112'!$M$9,2),B1179&lt;'112'!$K$9,$N1179='112'!$I$6)),"x",""))</f>
        <v/>
      </c>
      <c r="V1179" s="84" t="str">
        <f>IF(ISERROR(FIND('112'!$M$9,G1179,1)),"",IF((AND(RIGHT(G1179,2)=RIGHT('112'!$M$9,2),B1179&lt;'112'!$K$9,$O1179='112'!$I$6)),"x",""))</f>
        <v/>
      </c>
      <c r="W1179" s="84" t="str">
        <f>IF(AND('341-CT'!$H$9=H1179,OR(LEFT(N1179,3)=$W$7,LEFT(O1179,3)=$W$7)),"x","")</f>
        <v/>
      </c>
      <c r="X1179" s="84" t="str">
        <f>IF(OR(TH!N1179=TH!$X$7,O1179=TH!$X$7),"x","")</f>
        <v/>
      </c>
      <c r="Y1179" s="84" t="str">
        <f>IF(AND(OR(N1179="131",O1179="131"),H1179='131-CT'!$H$9),"x","")</f>
        <v/>
      </c>
      <c r="Z1179" s="84"/>
      <c r="AA1179" s="84" t="str">
        <f>IF(AND(MONTH(E1179)='IN-NX'!$J$5,'IN-NX'!$D$7=D1179),"x","")</f>
        <v/>
      </c>
      <c r="AB1179" s="84" t="str">
        <f>IF(AND(OR(LEFT(TH!N1179,2)="15",LEFT(TH!O1179,2)="15"),LEFT(TH!O1179,3)&lt;&gt;"111",'152-CT'!$J$8=TH!F1179),"x","")</f>
        <v/>
      </c>
      <c r="AC1179" s="84" t="str">
        <f>IF(AND(OR(LEFT(TH!N1179,2)="15",LEFT(TH!O1179,2)="15"),TK!$E$7=TH!F1179),"x","")</f>
        <v/>
      </c>
      <c r="AD1179" s="84" t="str">
        <f>IF(AND(N1179="1521",MONTH(C1179)='BK-NL'!$M$11),"x","")</f>
        <v/>
      </c>
      <c r="AE1179" s="343" t="str">
        <f t="shared" si="177"/>
        <v>x</v>
      </c>
    </row>
    <row r="1180" spans="1:31" s="343" customFormat="1" ht="15.75" hidden="1" customHeight="1">
      <c r="A1180" s="1176" t="str">
        <f>IF(B1180&lt;&gt;"",IF(AND(B1180='IN-TC'!$S$4,OR(TH!N1180="1111",TH!O1180="1111")),TH!D1180,""),"")</f>
        <v/>
      </c>
      <c r="B1180" s="1003">
        <f t="shared" si="176"/>
        <v>1</v>
      </c>
      <c r="C1180" s="80">
        <v>42400</v>
      </c>
      <c r="D1180" s="80" t="s">
        <v>582</v>
      </c>
      <c r="E1180" s="80">
        <v>42369</v>
      </c>
      <c r="F1180" s="82" t="s">
        <v>638</v>
      </c>
      <c r="G1180" s="81" t="s">
        <v>657</v>
      </c>
      <c r="H1180" s="82" t="s">
        <v>629</v>
      </c>
      <c r="I1180" s="437"/>
      <c r="J1180" s="437"/>
      <c r="K1180" s="428"/>
      <c r="L1180" s="437"/>
      <c r="M1180" s="83">
        <v>4645000</v>
      </c>
      <c r="N1180" s="84" t="s">
        <v>591</v>
      </c>
      <c r="O1180" s="84" t="s">
        <v>8</v>
      </c>
      <c r="P1180" s="84" t="str">
        <f>IF(AND('331-CT'!$E$7=TH!H1180,OR(N1180="331",O1180="331")),"x","")</f>
        <v/>
      </c>
      <c r="Q1180" s="84" t="str">
        <f>IF(AND(B1180='111'!$L$11,OR($N1180=$Q$7,$O1180=$Q$7)),"x","")</f>
        <v/>
      </c>
      <c r="R1180" s="84" t="str">
        <f>IF(AND($N1180=$Q$7,$B1180&lt;'111'!$L$11),"x","")</f>
        <v/>
      </c>
      <c r="S1180" s="84" t="str">
        <f>IF(AND($O1180=$Q$7,$B1180&lt;'111'!$L$11),"x","")</f>
        <v/>
      </c>
      <c r="T1180" s="84" t="str">
        <f>IF(ISERROR(FIND('112'!$M$9,G1180,1)),"",IF((AND(FIND('112'!$M$9,G1180,1)&gt;=1,B1180='112'!$K$9,OR($N1180='112'!$I$6,$O1180='112'!$I$6))),"x",""))</f>
        <v/>
      </c>
      <c r="U1180" s="84" t="str">
        <f>IF(ISERROR(FIND('112'!$M$9,G1180,1)),"",IF((AND(LEFT(G1180,2)=LEFT('112'!$M$9,2),B1180&lt;'112'!$K$9,$N1180='112'!$I$6)),"x",""))</f>
        <v/>
      </c>
      <c r="V1180" s="84" t="str">
        <f>IF(ISERROR(FIND('112'!$M$9,G1180,1)),"",IF((AND(RIGHT(G1180,2)=RIGHT('112'!$M$9,2),B1180&lt;'112'!$K$9,$O1180='112'!$I$6)),"x",""))</f>
        <v/>
      </c>
      <c r="W1180" s="84" t="str">
        <f>IF(AND('341-CT'!$H$9=H1180,OR(LEFT(N1180,3)=$W$7,LEFT(O1180,3)=$W$7)),"x","")</f>
        <v/>
      </c>
      <c r="X1180" s="84" t="str">
        <f>IF(OR(TH!N1180=TH!$X$7,O1180=TH!$X$7),"x","")</f>
        <v/>
      </c>
      <c r="Y1180" s="84" t="str">
        <f>IF(AND(OR(N1180="131",O1180="131"),H1180='131-CT'!$H$9),"x","")</f>
        <v/>
      </c>
      <c r="Z1180" s="84"/>
      <c r="AA1180" s="84" t="str">
        <f>IF(AND(MONTH(E1180)='IN-NX'!$J$5,'IN-NX'!$D$7=D1180),"x","")</f>
        <v/>
      </c>
      <c r="AB1180" s="84" t="str">
        <f>IF(AND(OR(LEFT(TH!N1180,2)="15",LEFT(TH!O1180,2)="15"),LEFT(TH!O1180,3)&lt;&gt;"111",'152-CT'!$J$8=TH!F1180),"x","")</f>
        <v/>
      </c>
      <c r="AC1180" s="84" t="str">
        <f>IF(AND(OR(LEFT(TH!N1180,2)="15",LEFT(TH!O1180,2)="15"),TK!$E$7=TH!F1180),"x","")</f>
        <v/>
      </c>
      <c r="AD1180" s="84" t="str">
        <f>IF(AND(N1180="1521",MONTH(C1180)='BK-NL'!$M$11),"x","")</f>
        <v/>
      </c>
      <c r="AE1180" s="343" t="str">
        <f t="shared" si="177"/>
        <v>x</v>
      </c>
    </row>
    <row r="1181" spans="1:31" s="343" customFormat="1" ht="15.75" hidden="1" customHeight="1">
      <c r="A1181" s="1176" t="str">
        <f>IF(B1181&lt;&gt;"",IF(AND(B1181='IN-TC'!$S$4,OR(TH!N1181="1111",TH!O1181="1111")),TH!D1181,""),"")</f>
        <v/>
      </c>
      <c r="B1181" s="1003">
        <f t="shared" si="176"/>
        <v>1</v>
      </c>
      <c r="C1181" s="80">
        <v>42400</v>
      </c>
      <c r="D1181" s="80" t="s">
        <v>582</v>
      </c>
      <c r="E1181" s="80">
        <v>42369</v>
      </c>
      <c r="F1181" s="82" t="s">
        <v>638</v>
      </c>
      <c r="G1181" s="81" t="s">
        <v>658</v>
      </c>
      <c r="H1181" s="82" t="s">
        <v>629</v>
      </c>
      <c r="I1181" s="437"/>
      <c r="J1181" s="437"/>
      <c r="K1181" s="428"/>
      <c r="L1181" s="437"/>
      <c r="M1181" s="83">
        <v>1300000</v>
      </c>
      <c r="N1181" s="84" t="s">
        <v>591</v>
      </c>
      <c r="O1181" s="84" t="s">
        <v>8</v>
      </c>
      <c r="P1181" s="84" t="str">
        <f>IF(AND('331-CT'!$E$7=TH!H1181,OR(N1181="331",O1181="331")),"x","")</f>
        <v/>
      </c>
      <c r="Q1181" s="84" t="str">
        <f>IF(AND(B1181='111'!$L$11,OR($N1181=$Q$7,$O1181=$Q$7)),"x","")</f>
        <v/>
      </c>
      <c r="R1181" s="84" t="str">
        <f>IF(AND($N1181=$Q$7,$B1181&lt;'111'!$L$11),"x","")</f>
        <v/>
      </c>
      <c r="S1181" s="84" t="str">
        <f>IF(AND($O1181=$Q$7,$B1181&lt;'111'!$L$11),"x","")</f>
        <v/>
      </c>
      <c r="T1181" s="84" t="str">
        <f>IF(ISERROR(FIND('112'!$M$9,G1181,1)),"",IF((AND(FIND('112'!$M$9,G1181,1)&gt;=1,B1181='112'!$K$9,OR($N1181='112'!$I$6,$O1181='112'!$I$6))),"x",""))</f>
        <v/>
      </c>
      <c r="U1181" s="84" t="str">
        <f>IF(ISERROR(FIND('112'!$M$9,G1181,1)),"",IF((AND(LEFT(G1181,2)=LEFT('112'!$M$9,2),B1181&lt;'112'!$K$9,$N1181='112'!$I$6)),"x",""))</f>
        <v/>
      </c>
      <c r="V1181" s="84" t="str">
        <f>IF(ISERROR(FIND('112'!$M$9,G1181,1)),"",IF((AND(RIGHT(G1181,2)=RIGHT('112'!$M$9,2),B1181&lt;'112'!$K$9,$O1181='112'!$I$6)),"x",""))</f>
        <v/>
      </c>
      <c r="W1181" s="84" t="str">
        <f>IF(AND('341-CT'!$H$9=H1181,OR(LEFT(N1181,3)=$W$7,LEFT(O1181,3)=$W$7)),"x","")</f>
        <v/>
      </c>
      <c r="X1181" s="84" t="str">
        <f>IF(OR(TH!N1181=TH!$X$7,O1181=TH!$X$7),"x","")</f>
        <v/>
      </c>
      <c r="Y1181" s="84" t="str">
        <f>IF(AND(OR(N1181="131",O1181="131"),H1181='131-CT'!$H$9),"x","")</f>
        <v/>
      </c>
      <c r="Z1181" s="84"/>
      <c r="AA1181" s="84" t="str">
        <f>IF(AND(MONTH(E1181)='IN-NX'!$J$5,'IN-NX'!$D$7=D1181),"x","")</f>
        <v/>
      </c>
      <c r="AB1181" s="84" t="str">
        <f>IF(AND(OR(LEFT(TH!N1181,2)="15",LEFT(TH!O1181,2)="15"),LEFT(TH!O1181,3)&lt;&gt;"111",'152-CT'!$J$8=TH!F1181),"x","")</f>
        <v/>
      </c>
      <c r="AC1181" s="84" t="str">
        <f>IF(AND(OR(LEFT(TH!N1181,2)="15",LEFT(TH!O1181,2)="15"),TK!$E$7=TH!F1181),"x","")</f>
        <v/>
      </c>
      <c r="AD1181" s="84" t="str">
        <f>IF(AND(N1181="1521",MONTH(C1181)='BK-NL'!$M$11),"x","")</f>
        <v/>
      </c>
      <c r="AE1181" s="343" t="str">
        <f t="shared" si="177"/>
        <v>x</v>
      </c>
    </row>
    <row r="1182" spans="1:31" s="343" customFormat="1" ht="15.75" hidden="1" customHeight="1">
      <c r="A1182" s="1176" t="str">
        <f>IF(B1182&lt;&gt;"",IF(AND(B1182='IN-TC'!$S$4,OR(TH!N1182="1111",TH!O1182="1111")),TH!D1182,""),"")</f>
        <v/>
      </c>
      <c r="B1182" s="1003">
        <f t="shared" si="176"/>
        <v>1</v>
      </c>
      <c r="C1182" s="80">
        <v>42400</v>
      </c>
      <c r="D1182" s="80" t="s">
        <v>582</v>
      </c>
      <c r="E1182" s="80">
        <v>42380</v>
      </c>
      <c r="F1182" s="82" t="s">
        <v>639</v>
      </c>
      <c r="G1182" s="81" t="s">
        <v>659</v>
      </c>
      <c r="H1182" s="82" t="s">
        <v>630</v>
      </c>
      <c r="I1182" s="437"/>
      <c r="J1182" s="437"/>
      <c r="K1182" s="428"/>
      <c r="L1182" s="437"/>
      <c r="M1182" s="83">
        <v>2000000</v>
      </c>
      <c r="N1182" s="84" t="s">
        <v>591</v>
      </c>
      <c r="O1182" s="84" t="s">
        <v>8</v>
      </c>
      <c r="P1182" s="84" t="str">
        <f>IF(AND('331-CT'!$E$7=TH!H1182,OR(N1182="331",O1182="331")),"x","")</f>
        <v/>
      </c>
      <c r="Q1182" s="84" t="str">
        <f>IF(AND(B1182='111'!$L$11,OR($N1182=$Q$7,$O1182=$Q$7)),"x","")</f>
        <v/>
      </c>
      <c r="R1182" s="84" t="str">
        <f>IF(AND($N1182=$Q$7,$B1182&lt;'111'!$L$11),"x","")</f>
        <v/>
      </c>
      <c r="S1182" s="84" t="str">
        <f>IF(AND($O1182=$Q$7,$B1182&lt;'111'!$L$11),"x","")</f>
        <v/>
      </c>
      <c r="T1182" s="84" t="str">
        <f>IF(ISERROR(FIND('112'!$M$9,G1182,1)),"",IF((AND(FIND('112'!$M$9,G1182,1)&gt;=1,B1182='112'!$K$9,OR($N1182='112'!$I$6,$O1182='112'!$I$6))),"x",""))</f>
        <v/>
      </c>
      <c r="U1182" s="84" t="str">
        <f>IF(ISERROR(FIND('112'!$M$9,G1182,1)),"",IF((AND(LEFT(G1182,2)=LEFT('112'!$M$9,2),B1182&lt;'112'!$K$9,$N1182='112'!$I$6)),"x",""))</f>
        <v/>
      </c>
      <c r="V1182" s="84" t="str">
        <f>IF(ISERROR(FIND('112'!$M$9,G1182,1)),"",IF((AND(RIGHT(G1182,2)=RIGHT('112'!$M$9,2),B1182&lt;'112'!$K$9,$O1182='112'!$I$6)),"x",""))</f>
        <v/>
      </c>
      <c r="W1182" s="84" t="str">
        <f>IF(AND('341-CT'!$H$9=H1182,OR(LEFT(N1182,3)=$W$7,LEFT(O1182,3)=$W$7)),"x","")</f>
        <v/>
      </c>
      <c r="X1182" s="84" t="str">
        <f>IF(OR(TH!N1182=TH!$X$7,O1182=TH!$X$7),"x","")</f>
        <v/>
      </c>
      <c r="Y1182" s="84" t="str">
        <f>IF(AND(OR(N1182="131",O1182="131"),H1182='131-CT'!$H$9),"x","")</f>
        <v/>
      </c>
      <c r="Z1182" s="84"/>
      <c r="AA1182" s="84" t="str">
        <f>IF(AND(MONTH(E1182)='IN-NX'!$J$5,'IN-NX'!$D$7=D1182),"x","")</f>
        <v/>
      </c>
      <c r="AB1182" s="84" t="str">
        <f>IF(AND(OR(LEFT(TH!N1182,2)="15",LEFT(TH!O1182,2)="15"),LEFT(TH!O1182,3)&lt;&gt;"111",'152-CT'!$J$8=TH!F1182),"x","")</f>
        <v/>
      </c>
      <c r="AC1182" s="84" t="str">
        <f>IF(AND(OR(LEFT(TH!N1182,2)="15",LEFT(TH!O1182,2)="15"),TK!$E$7=TH!F1182),"x","")</f>
        <v/>
      </c>
      <c r="AD1182" s="84" t="str">
        <f>IF(AND(N1182="1521",MONTH(C1182)='BK-NL'!$M$11),"x","")</f>
        <v/>
      </c>
      <c r="AE1182" s="343" t="str">
        <f t="shared" si="177"/>
        <v>x</v>
      </c>
    </row>
    <row r="1183" spans="1:31" s="343" customFormat="1" ht="15.75" hidden="1" customHeight="1">
      <c r="A1183" s="1176" t="str">
        <f>IF(B1183&lt;&gt;"",IF(AND(B1183='IN-TC'!$S$4,OR(TH!N1183="1111",TH!O1183="1111")),TH!D1183,""),"")</f>
        <v/>
      </c>
      <c r="B1183" s="1003">
        <f t="shared" si="176"/>
        <v>1</v>
      </c>
      <c r="C1183" s="80">
        <v>42400</v>
      </c>
      <c r="D1183" s="80" t="s">
        <v>582</v>
      </c>
      <c r="E1183" s="80">
        <v>42380</v>
      </c>
      <c r="F1183" s="82" t="s">
        <v>640</v>
      </c>
      <c r="G1183" s="81" t="s">
        <v>659</v>
      </c>
      <c r="H1183" s="82" t="s">
        <v>630</v>
      </c>
      <c r="I1183" s="437"/>
      <c r="J1183" s="437"/>
      <c r="K1183" s="428"/>
      <c r="L1183" s="437"/>
      <c r="M1183" s="83">
        <v>200000</v>
      </c>
      <c r="N1183" s="84" t="s">
        <v>9</v>
      </c>
      <c r="O1183" s="84" t="s">
        <v>8</v>
      </c>
      <c r="P1183" s="84" t="str">
        <f>IF(AND('331-CT'!$E$7=TH!H1183,OR(N1183="331",O1183="331")),"x","")</f>
        <v/>
      </c>
      <c r="Q1183" s="84" t="str">
        <f>IF(AND(B1183='111'!$L$11,OR($N1183=$Q$7,$O1183=$Q$7)),"x","")</f>
        <v/>
      </c>
      <c r="R1183" s="84" t="str">
        <f>IF(AND($N1183=$Q$7,$B1183&lt;'111'!$L$11),"x","")</f>
        <v/>
      </c>
      <c r="S1183" s="84" t="str">
        <f>IF(AND($O1183=$Q$7,$B1183&lt;'111'!$L$11),"x","")</f>
        <v/>
      </c>
      <c r="T1183" s="84" t="str">
        <f>IF(ISERROR(FIND('112'!$M$9,G1183,1)),"",IF((AND(FIND('112'!$M$9,G1183,1)&gt;=1,B1183='112'!$K$9,OR($N1183='112'!$I$6,$O1183='112'!$I$6))),"x",""))</f>
        <v/>
      </c>
      <c r="U1183" s="84" t="str">
        <f>IF(ISERROR(FIND('112'!$M$9,G1183,1)),"",IF((AND(LEFT(G1183,2)=LEFT('112'!$M$9,2),B1183&lt;'112'!$K$9,$N1183='112'!$I$6)),"x",""))</f>
        <v/>
      </c>
      <c r="V1183" s="84" t="str">
        <f>IF(ISERROR(FIND('112'!$M$9,G1183,1)),"",IF((AND(RIGHT(G1183,2)=RIGHT('112'!$M$9,2),B1183&lt;'112'!$K$9,$O1183='112'!$I$6)),"x",""))</f>
        <v/>
      </c>
      <c r="W1183" s="84" t="str">
        <f>IF(AND('341-CT'!$H$9=H1183,OR(LEFT(N1183,3)=$W$7,LEFT(O1183,3)=$W$7)),"x","")</f>
        <v/>
      </c>
      <c r="X1183" s="84" t="str">
        <f>IF(OR(TH!N1183=TH!$X$7,O1183=TH!$X$7),"x","")</f>
        <v/>
      </c>
      <c r="Y1183" s="84" t="str">
        <f>IF(AND(OR(N1183="131",O1183="131"),H1183='131-CT'!$H$9),"x","")</f>
        <v/>
      </c>
      <c r="Z1183" s="84"/>
      <c r="AA1183" s="84" t="str">
        <f>IF(AND(MONTH(E1183)='IN-NX'!$J$5,'IN-NX'!$D$7=D1183),"x","")</f>
        <v/>
      </c>
      <c r="AB1183" s="84" t="str">
        <f>IF(AND(OR(LEFT(TH!N1183,2)="15",LEFT(TH!O1183,2)="15"),LEFT(TH!O1183,3)&lt;&gt;"111",'152-CT'!$J$8=TH!F1183),"x","")</f>
        <v/>
      </c>
      <c r="AC1183" s="84" t="str">
        <f>IF(AND(OR(LEFT(TH!N1183,2)="15",LEFT(TH!O1183,2)="15"),TK!$E$7=TH!F1183),"x","")</f>
        <v/>
      </c>
      <c r="AD1183" s="84" t="str">
        <f>IF(AND(N1183="1521",MONTH(C1183)='BK-NL'!$M$11),"x","")</f>
        <v/>
      </c>
      <c r="AE1183" s="343" t="str">
        <f t="shared" si="177"/>
        <v>x</v>
      </c>
    </row>
    <row r="1184" spans="1:31" s="343" customFormat="1" ht="15.75" hidden="1" customHeight="1">
      <c r="A1184" s="1176" t="str">
        <f>IF(B1184&lt;&gt;"",IF(AND(B1184='IN-TC'!$S$4,OR(TH!N1184="1111",TH!O1184="1111")),TH!D1184,""),"")</f>
        <v/>
      </c>
      <c r="B1184" s="1003">
        <f t="shared" si="176"/>
        <v>1</v>
      </c>
      <c r="C1184" s="80">
        <v>42400</v>
      </c>
      <c r="D1184" s="80" t="s">
        <v>582</v>
      </c>
      <c r="E1184" s="80">
        <v>42381</v>
      </c>
      <c r="F1184" s="82" t="s">
        <v>639</v>
      </c>
      <c r="G1184" s="81" t="s">
        <v>660</v>
      </c>
      <c r="H1184" s="82" t="s">
        <v>630</v>
      </c>
      <c r="I1184" s="437"/>
      <c r="J1184" s="437"/>
      <c r="K1184" s="428"/>
      <c r="L1184" s="437"/>
      <c r="M1184" s="83">
        <v>2000000</v>
      </c>
      <c r="N1184" s="84" t="s">
        <v>591</v>
      </c>
      <c r="O1184" s="84" t="s">
        <v>8</v>
      </c>
      <c r="P1184" s="84" t="str">
        <f>IF(AND('331-CT'!$E$7=TH!H1184,OR(N1184="331",O1184="331")),"x","")</f>
        <v/>
      </c>
      <c r="Q1184" s="84" t="str">
        <f>IF(AND(B1184='111'!$L$11,OR($N1184=$Q$7,$O1184=$Q$7)),"x","")</f>
        <v/>
      </c>
      <c r="R1184" s="84" t="str">
        <f>IF(AND($N1184=$Q$7,$B1184&lt;'111'!$L$11),"x","")</f>
        <v/>
      </c>
      <c r="S1184" s="84" t="str">
        <f>IF(AND($O1184=$Q$7,$B1184&lt;'111'!$L$11),"x","")</f>
        <v/>
      </c>
      <c r="T1184" s="84" t="str">
        <f>IF(ISERROR(FIND('112'!$M$9,G1184,1)),"",IF((AND(FIND('112'!$M$9,G1184,1)&gt;=1,B1184='112'!$K$9,OR($N1184='112'!$I$6,$O1184='112'!$I$6))),"x",""))</f>
        <v/>
      </c>
      <c r="U1184" s="84" t="str">
        <f>IF(ISERROR(FIND('112'!$M$9,G1184,1)),"",IF((AND(LEFT(G1184,2)=LEFT('112'!$M$9,2),B1184&lt;'112'!$K$9,$N1184='112'!$I$6)),"x",""))</f>
        <v/>
      </c>
      <c r="V1184" s="84" t="str">
        <f>IF(ISERROR(FIND('112'!$M$9,G1184,1)),"",IF((AND(RIGHT(G1184,2)=RIGHT('112'!$M$9,2),B1184&lt;'112'!$K$9,$O1184='112'!$I$6)),"x",""))</f>
        <v/>
      </c>
      <c r="W1184" s="84" t="str">
        <f>IF(AND('341-CT'!$H$9=H1184,OR(LEFT(N1184,3)=$W$7,LEFT(O1184,3)=$W$7)),"x","")</f>
        <v/>
      </c>
      <c r="X1184" s="84" t="str">
        <f>IF(OR(TH!N1184=TH!$X$7,O1184=TH!$X$7),"x","")</f>
        <v/>
      </c>
      <c r="Y1184" s="84" t="str">
        <f>IF(AND(OR(N1184="131",O1184="131"),H1184='131-CT'!$H$9),"x","")</f>
        <v/>
      </c>
      <c r="Z1184" s="84"/>
      <c r="AA1184" s="84" t="str">
        <f>IF(AND(MONTH(E1184)='IN-NX'!$J$5,'IN-NX'!$D$7=D1184),"x","")</f>
        <v/>
      </c>
      <c r="AB1184" s="84" t="str">
        <f>IF(AND(OR(LEFT(TH!N1184,2)="15",LEFT(TH!O1184,2)="15"),LEFT(TH!O1184,3)&lt;&gt;"111",'152-CT'!$J$8=TH!F1184),"x","")</f>
        <v/>
      </c>
      <c r="AC1184" s="84" t="str">
        <f>IF(AND(OR(LEFT(TH!N1184,2)="15",LEFT(TH!O1184,2)="15"),TK!$E$7=TH!F1184),"x","")</f>
        <v/>
      </c>
      <c r="AD1184" s="84" t="str">
        <f>IF(AND(N1184="1521",MONTH(C1184)='BK-NL'!$M$11),"x","")</f>
        <v/>
      </c>
      <c r="AE1184" s="343" t="str">
        <f t="shared" si="177"/>
        <v>x</v>
      </c>
    </row>
    <row r="1185" spans="1:31" s="343" customFormat="1" ht="15.75" hidden="1" customHeight="1">
      <c r="A1185" s="1176" t="str">
        <f>IF(B1185&lt;&gt;"",IF(AND(B1185='IN-TC'!$S$4,OR(TH!N1185="1111",TH!O1185="1111")),TH!D1185,""),"")</f>
        <v/>
      </c>
      <c r="B1185" s="1003">
        <f t="shared" si="176"/>
        <v>1</v>
      </c>
      <c r="C1185" s="80">
        <v>42400</v>
      </c>
      <c r="D1185" s="80" t="s">
        <v>582</v>
      </c>
      <c r="E1185" s="80">
        <v>42381</v>
      </c>
      <c r="F1185" s="82" t="s">
        <v>640</v>
      </c>
      <c r="G1185" s="81" t="s">
        <v>660</v>
      </c>
      <c r="H1185" s="82" t="s">
        <v>630</v>
      </c>
      <c r="I1185" s="437"/>
      <c r="J1185" s="437"/>
      <c r="K1185" s="428"/>
      <c r="L1185" s="437"/>
      <c r="M1185" s="83">
        <v>200000</v>
      </c>
      <c r="N1185" s="84" t="s">
        <v>9</v>
      </c>
      <c r="O1185" s="84" t="s">
        <v>8</v>
      </c>
      <c r="P1185" s="84" t="str">
        <f>IF(AND('331-CT'!$E$7=TH!H1185,OR(N1185="331",O1185="331")),"x","")</f>
        <v/>
      </c>
      <c r="Q1185" s="84" t="str">
        <f>IF(AND(B1185='111'!$L$11,OR($N1185=$Q$7,$O1185=$Q$7)),"x","")</f>
        <v/>
      </c>
      <c r="R1185" s="84" t="str">
        <f>IF(AND($N1185=$Q$7,$B1185&lt;'111'!$L$11),"x","")</f>
        <v/>
      </c>
      <c r="S1185" s="84" t="str">
        <f>IF(AND($O1185=$Q$7,$B1185&lt;'111'!$L$11),"x","")</f>
        <v/>
      </c>
      <c r="T1185" s="84" t="str">
        <f>IF(ISERROR(FIND('112'!$M$9,G1185,1)),"",IF((AND(FIND('112'!$M$9,G1185,1)&gt;=1,B1185='112'!$K$9,OR($N1185='112'!$I$6,$O1185='112'!$I$6))),"x",""))</f>
        <v/>
      </c>
      <c r="U1185" s="84" t="str">
        <f>IF(ISERROR(FIND('112'!$M$9,G1185,1)),"",IF((AND(LEFT(G1185,2)=LEFT('112'!$M$9,2),B1185&lt;'112'!$K$9,$N1185='112'!$I$6)),"x",""))</f>
        <v/>
      </c>
      <c r="V1185" s="84" t="str">
        <f>IF(ISERROR(FIND('112'!$M$9,G1185,1)),"",IF((AND(RIGHT(G1185,2)=RIGHT('112'!$M$9,2),B1185&lt;'112'!$K$9,$O1185='112'!$I$6)),"x",""))</f>
        <v/>
      </c>
      <c r="W1185" s="84" t="str">
        <f>IF(AND('341-CT'!$H$9=H1185,OR(LEFT(N1185,3)=$W$7,LEFT(O1185,3)=$W$7)),"x","")</f>
        <v/>
      </c>
      <c r="X1185" s="84" t="str">
        <f>IF(OR(TH!N1185=TH!$X$7,O1185=TH!$X$7),"x","")</f>
        <v/>
      </c>
      <c r="Y1185" s="84" t="str">
        <f>IF(AND(OR(N1185="131",O1185="131"),H1185='131-CT'!$H$9),"x","")</f>
        <v/>
      </c>
      <c r="Z1185" s="84"/>
      <c r="AA1185" s="84" t="str">
        <f>IF(AND(MONTH(E1185)='IN-NX'!$J$5,'IN-NX'!$D$7=D1185),"x","")</f>
        <v/>
      </c>
      <c r="AB1185" s="84" t="str">
        <f>IF(AND(OR(LEFT(TH!N1185,2)="15",LEFT(TH!O1185,2)="15"),LEFT(TH!O1185,3)&lt;&gt;"111",'152-CT'!$J$8=TH!F1185),"x","")</f>
        <v/>
      </c>
      <c r="AC1185" s="84" t="str">
        <f>IF(AND(OR(LEFT(TH!N1185,2)="15",LEFT(TH!O1185,2)="15"),TK!$E$7=TH!F1185),"x","")</f>
        <v/>
      </c>
      <c r="AD1185" s="84" t="str">
        <f>IF(AND(N1185="1521",MONTH(C1185)='BK-NL'!$M$11),"x","")</f>
        <v/>
      </c>
      <c r="AE1185" s="343" t="str">
        <f t="shared" si="177"/>
        <v>x</v>
      </c>
    </row>
    <row r="1186" spans="1:31" s="343" customFormat="1" ht="15.75" hidden="1" customHeight="1">
      <c r="A1186" s="1176" t="str">
        <f>IF(B1186&lt;&gt;"",IF(AND(B1186='IN-TC'!$S$4,OR(TH!N1186="1111",TH!O1186="1111")),TH!D1186,""),"")</f>
        <v/>
      </c>
      <c r="B1186" s="1003">
        <f t="shared" si="176"/>
        <v>1</v>
      </c>
      <c r="C1186" s="80">
        <v>42400</v>
      </c>
      <c r="D1186" s="80" t="s">
        <v>582</v>
      </c>
      <c r="E1186" s="80">
        <v>42394</v>
      </c>
      <c r="F1186" s="82" t="s">
        <v>639</v>
      </c>
      <c r="G1186" s="81" t="s">
        <v>661</v>
      </c>
      <c r="H1186" s="82" t="s">
        <v>630</v>
      </c>
      <c r="I1186" s="437"/>
      <c r="J1186" s="437"/>
      <c r="K1186" s="428"/>
      <c r="L1186" s="437"/>
      <c r="M1186" s="83">
        <v>1818182</v>
      </c>
      <c r="N1186" s="84" t="s">
        <v>591</v>
      </c>
      <c r="O1186" s="84" t="s">
        <v>8</v>
      </c>
      <c r="P1186" s="84" t="str">
        <f>IF(AND('331-CT'!$E$7=TH!H1186,OR(N1186="331",O1186="331")),"x","")</f>
        <v/>
      </c>
      <c r="Q1186" s="84" t="str">
        <f>IF(AND(B1186='111'!$L$11,OR($N1186=$Q$7,$O1186=$Q$7)),"x","")</f>
        <v/>
      </c>
      <c r="R1186" s="84" t="str">
        <f>IF(AND($N1186=$Q$7,$B1186&lt;'111'!$L$11),"x","")</f>
        <v/>
      </c>
      <c r="S1186" s="84" t="str">
        <f>IF(AND($O1186=$Q$7,$B1186&lt;'111'!$L$11),"x","")</f>
        <v/>
      </c>
      <c r="T1186" s="84" t="str">
        <f>IF(ISERROR(FIND('112'!$M$9,G1186,1)),"",IF((AND(FIND('112'!$M$9,G1186,1)&gt;=1,B1186='112'!$K$9,OR($N1186='112'!$I$6,$O1186='112'!$I$6))),"x",""))</f>
        <v/>
      </c>
      <c r="U1186" s="84" t="str">
        <f>IF(ISERROR(FIND('112'!$M$9,G1186,1)),"",IF((AND(LEFT(G1186,2)=LEFT('112'!$M$9,2),B1186&lt;'112'!$K$9,$N1186='112'!$I$6)),"x",""))</f>
        <v/>
      </c>
      <c r="V1186" s="84" t="str">
        <f>IF(ISERROR(FIND('112'!$M$9,G1186,1)),"",IF((AND(RIGHT(G1186,2)=RIGHT('112'!$M$9,2),B1186&lt;'112'!$K$9,$O1186='112'!$I$6)),"x",""))</f>
        <v/>
      </c>
      <c r="W1186" s="84" t="str">
        <f>IF(AND('341-CT'!$H$9=H1186,OR(LEFT(N1186,3)=$W$7,LEFT(O1186,3)=$W$7)),"x","")</f>
        <v/>
      </c>
      <c r="X1186" s="84" t="str">
        <f>IF(OR(TH!N1186=TH!$X$7,O1186=TH!$X$7),"x","")</f>
        <v/>
      </c>
      <c r="Y1186" s="84" t="str">
        <f>IF(AND(OR(N1186="131",O1186="131"),H1186='131-CT'!$H$9),"x","")</f>
        <v/>
      </c>
      <c r="Z1186" s="84"/>
      <c r="AA1186" s="84" t="str">
        <f>IF(AND(MONTH(E1186)='IN-NX'!$J$5,'IN-NX'!$D$7=D1186),"x","")</f>
        <v/>
      </c>
      <c r="AB1186" s="84" t="str">
        <f>IF(AND(OR(LEFT(TH!N1186,2)="15",LEFT(TH!O1186,2)="15"),LEFT(TH!O1186,3)&lt;&gt;"111",'152-CT'!$J$8=TH!F1186),"x","")</f>
        <v/>
      </c>
      <c r="AC1186" s="84" t="str">
        <f>IF(AND(OR(LEFT(TH!N1186,2)="15",LEFT(TH!O1186,2)="15"),TK!$E$7=TH!F1186),"x","")</f>
        <v/>
      </c>
      <c r="AD1186" s="84" t="str">
        <f>IF(AND(N1186="1521",MONTH(C1186)='BK-NL'!$M$11),"x","")</f>
        <v/>
      </c>
      <c r="AE1186" s="343" t="str">
        <f t="shared" si="177"/>
        <v>x</v>
      </c>
    </row>
    <row r="1187" spans="1:31" s="343" customFormat="1" ht="15.75" hidden="1" customHeight="1">
      <c r="A1187" s="1176" t="str">
        <f>IF(B1187&lt;&gt;"",IF(AND(B1187='IN-TC'!$S$4,OR(TH!N1187="1111",TH!O1187="1111")),TH!D1187,""),"")</f>
        <v/>
      </c>
      <c r="B1187" s="1003">
        <f t="shared" si="176"/>
        <v>1</v>
      </c>
      <c r="C1187" s="80">
        <v>42400</v>
      </c>
      <c r="D1187" s="80" t="s">
        <v>582</v>
      </c>
      <c r="E1187" s="80">
        <v>42394</v>
      </c>
      <c r="F1187" s="82" t="s">
        <v>640</v>
      </c>
      <c r="G1187" s="81" t="s">
        <v>661</v>
      </c>
      <c r="H1187" s="82" t="s">
        <v>630</v>
      </c>
      <c r="I1187" s="437"/>
      <c r="J1187" s="437"/>
      <c r="K1187" s="428"/>
      <c r="L1187" s="437"/>
      <c r="M1187" s="83">
        <v>181818</v>
      </c>
      <c r="N1187" s="84" t="s">
        <v>9</v>
      </c>
      <c r="O1187" s="84" t="s">
        <v>8</v>
      </c>
      <c r="P1187" s="84" t="str">
        <f>IF(AND('331-CT'!$E$7=TH!H1187,OR(N1187="331",O1187="331")),"x","")</f>
        <v/>
      </c>
      <c r="Q1187" s="84" t="str">
        <f>IF(AND(B1187='111'!$L$11,OR($N1187=$Q$7,$O1187=$Q$7)),"x","")</f>
        <v/>
      </c>
      <c r="R1187" s="84" t="str">
        <f>IF(AND($N1187=$Q$7,$B1187&lt;'111'!$L$11),"x","")</f>
        <v/>
      </c>
      <c r="S1187" s="84" t="str">
        <f>IF(AND($O1187=$Q$7,$B1187&lt;'111'!$L$11),"x","")</f>
        <v/>
      </c>
      <c r="T1187" s="84" t="str">
        <f>IF(ISERROR(FIND('112'!$M$9,G1187,1)),"",IF((AND(FIND('112'!$M$9,G1187,1)&gt;=1,B1187='112'!$K$9,OR($N1187='112'!$I$6,$O1187='112'!$I$6))),"x",""))</f>
        <v/>
      </c>
      <c r="U1187" s="84" t="str">
        <f>IF(ISERROR(FIND('112'!$M$9,G1187,1)),"",IF((AND(LEFT(G1187,2)=LEFT('112'!$M$9,2),B1187&lt;'112'!$K$9,$N1187='112'!$I$6)),"x",""))</f>
        <v/>
      </c>
      <c r="V1187" s="84" t="str">
        <f>IF(ISERROR(FIND('112'!$M$9,G1187,1)),"",IF((AND(RIGHT(G1187,2)=RIGHT('112'!$M$9,2),B1187&lt;'112'!$K$9,$O1187='112'!$I$6)),"x",""))</f>
        <v/>
      </c>
      <c r="W1187" s="84" t="str">
        <f>IF(AND('341-CT'!$H$9=H1187,OR(LEFT(N1187,3)=$W$7,LEFT(O1187,3)=$W$7)),"x","")</f>
        <v/>
      </c>
      <c r="X1187" s="84" t="str">
        <f>IF(OR(TH!N1187=TH!$X$7,O1187=TH!$X$7),"x","")</f>
        <v/>
      </c>
      <c r="Y1187" s="84" t="str">
        <f>IF(AND(OR(N1187="131",O1187="131"),H1187='131-CT'!$H$9),"x","")</f>
        <v/>
      </c>
      <c r="Z1187" s="84"/>
      <c r="AA1187" s="84" t="str">
        <f>IF(AND(MONTH(E1187)='IN-NX'!$J$5,'IN-NX'!$D$7=D1187),"x","")</f>
        <v/>
      </c>
      <c r="AB1187" s="84" t="str">
        <f>IF(AND(OR(LEFT(TH!N1187,2)="15",LEFT(TH!O1187,2)="15"),LEFT(TH!O1187,3)&lt;&gt;"111",'152-CT'!$J$8=TH!F1187),"x","")</f>
        <v/>
      </c>
      <c r="AC1187" s="84" t="str">
        <f>IF(AND(OR(LEFT(TH!N1187,2)="15",LEFT(TH!O1187,2)="15"),TK!$E$7=TH!F1187),"x","")</f>
        <v/>
      </c>
      <c r="AD1187" s="84" t="str">
        <f>IF(AND(N1187="1521",MONTH(C1187)='BK-NL'!$M$11),"x","")</f>
        <v/>
      </c>
      <c r="AE1187" s="343" t="str">
        <f t="shared" si="177"/>
        <v>x</v>
      </c>
    </row>
    <row r="1188" spans="1:31" s="343" customFormat="1" ht="15.75" hidden="1" customHeight="1">
      <c r="A1188" s="1176" t="str">
        <f>IF(B1188&lt;&gt;"",IF(AND(B1188='IN-TC'!$S$4,OR(TH!N1188="1111",TH!O1188="1111")),TH!D1188,""),"")</f>
        <v/>
      </c>
      <c r="B1188" s="1003">
        <f t="shared" si="176"/>
        <v>1</v>
      </c>
      <c r="C1188" s="80">
        <v>42400</v>
      </c>
      <c r="D1188" s="80" t="s">
        <v>582</v>
      </c>
      <c r="E1188" s="80">
        <v>42398</v>
      </c>
      <c r="F1188" s="82" t="s">
        <v>635</v>
      </c>
      <c r="G1188" s="81" t="s">
        <v>662</v>
      </c>
      <c r="H1188" s="82" t="s">
        <v>631</v>
      </c>
      <c r="I1188" s="437"/>
      <c r="J1188" s="437"/>
      <c r="K1188" s="428"/>
      <c r="L1188" s="437"/>
      <c r="M1188" s="83">
        <v>11135000</v>
      </c>
      <c r="N1188" s="84" t="s">
        <v>591</v>
      </c>
      <c r="O1188" s="84" t="s">
        <v>8</v>
      </c>
      <c r="P1188" s="84" t="str">
        <f>IF(AND('331-CT'!$E$7=TH!H1188,OR(N1188="331",O1188="331")),"x","")</f>
        <v/>
      </c>
      <c r="Q1188" s="84" t="str">
        <f>IF(AND(B1188='111'!$L$11,OR($N1188=$Q$7,$O1188=$Q$7)),"x","")</f>
        <v/>
      </c>
      <c r="R1188" s="84" t="str">
        <f>IF(AND($N1188=$Q$7,$B1188&lt;'111'!$L$11),"x","")</f>
        <v/>
      </c>
      <c r="S1188" s="84" t="str">
        <f>IF(AND($O1188=$Q$7,$B1188&lt;'111'!$L$11),"x","")</f>
        <v/>
      </c>
      <c r="T1188" s="84" t="str">
        <f>IF(ISERROR(FIND('112'!$M$9,G1188,1)),"",IF((AND(FIND('112'!$M$9,G1188,1)&gt;=1,B1188='112'!$K$9,OR($N1188='112'!$I$6,$O1188='112'!$I$6))),"x",""))</f>
        <v/>
      </c>
      <c r="U1188" s="84" t="str">
        <f>IF(ISERROR(FIND('112'!$M$9,G1188,1)),"",IF((AND(LEFT(G1188,2)=LEFT('112'!$M$9,2),B1188&lt;'112'!$K$9,$N1188='112'!$I$6)),"x",""))</f>
        <v/>
      </c>
      <c r="V1188" s="84" t="str">
        <f>IF(ISERROR(FIND('112'!$M$9,G1188,1)),"",IF((AND(RIGHT(G1188,2)=RIGHT('112'!$M$9,2),B1188&lt;'112'!$K$9,$O1188='112'!$I$6)),"x",""))</f>
        <v/>
      </c>
      <c r="W1188" s="84" t="str">
        <f>IF(AND('341-CT'!$H$9=H1188,OR(LEFT(N1188,3)=$W$7,LEFT(O1188,3)=$W$7)),"x","")</f>
        <v/>
      </c>
      <c r="X1188" s="84" t="str">
        <f>IF(OR(TH!N1188=TH!$X$7,O1188=TH!$X$7),"x","")</f>
        <v/>
      </c>
      <c r="Y1188" s="84" t="str">
        <f>IF(AND(OR(N1188="131",O1188="131"),H1188='131-CT'!$H$9),"x","")</f>
        <v/>
      </c>
      <c r="Z1188" s="84"/>
      <c r="AA1188" s="84" t="str">
        <f>IF(AND(MONTH(E1188)='IN-NX'!$J$5,'IN-NX'!$D$7=D1188),"x","")</f>
        <v/>
      </c>
      <c r="AB1188" s="84" t="str">
        <f>IF(AND(OR(LEFT(TH!N1188,2)="15",LEFT(TH!O1188,2)="15"),LEFT(TH!O1188,3)&lt;&gt;"111",'152-CT'!$J$8=TH!F1188),"x","")</f>
        <v/>
      </c>
      <c r="AC1188" s="84" t="str">
        <f>IF(AND(OR(LEFT(TH!N1188,2)="15",LEFT(TH!O1188,2)="15"),TK!$E$7=TH!F1188),"x","")</f>
        <v/>
      </c>
      <c r="AD1188" s="84" t="str">
        <f>IF(AND(N1188="1521",MONTH(C1188)='BK-NL'!$M$11),"x","")</f>
        <v/>
      </c>
      <c r="AE1188" s="343" t="str">
        <f t="shared" si="177"/>
        <v>x</v>
      </c>
    </row>
    <row r="1189" spans="1:31" s="343" customFormat="1" ht="15.75" hidden="1" customHeight="1">
      <c r="A1189" s="1176" t="str">
        <f>IF(B1189&lt;&gt;"",IF(AND(B1189='IN-TC'!$S$4,OR(TH!N1189="1111",TH!O1189="1111")),TH!D1189,""),"")</f>
        <v/>
      </c>
      <c r="B1189" s="1003">
        <f t="shared" si="176"/>
        <v>1</v>
      </c>
      <c r="C1189" s="80">
        <v>42400</v>
      </c>
      <c r="D1189" s="80" t="s">
        <v>582</v>
      </c>
      <c r="E1189" s="80">
        <v>42398</v>
      </c>
      <c r="F1189" s="82" t="s">
        <v>641</v>
      </c>
      <c r="G1189" s="81" t="s">
        <v>663</v>
      </c>
      <c r="H1189" s="82" t="s">
        <v>631</v>
      </c>
      <c r="I1189" s="437"/>
      <c r="J1189" s="437"/>
      <c r="K1189" s="428"/>
      <c r="L1189" s="437"/>
      <c r="M1189" s="83">
        <v>5077560</v>
      </c>
      <c r="N1189" s="1185" t="s">
        <v>591</v>
      </c>
      <c r="O1189" s="84" t="s">
        <v>8</v>
      </c>
      <c r="P1189" s="84" t="str">
        <f>IF(AND('331-CT'!$E$7=TH!H1189,OR(N1189="331",O1189="331")),"x","")</f>
        <v/>
      </c>
      <c r="Q1189" s="84" t="str">
        <f>IF(AND(B1189='111'!$L$11,OR($N1189=$Q$7,$O1189=$Q$7)),"x","")</f>
        <v/>
      </c>
      <c r="R1189" s="84" t="str">
        <f>IF(AND($N1189=$Q$7,$B1189&lt;'111'!$L$11),"x","")</f>
        <v/>
      </c>
      <c r="S1189" s="84" t="str">
        <f>IF(AND($O1189=$Q$7,$B1189&lt;'111'!$L$11),"x","")</f>
        <v/>
      </c>
      <c r="T1189" s="84" t="str">
        <f>IF(ISERROR(FIND('112'!$M$9,G1189,1)),"",IF((AND(FIND('112'!$M$9,G1189,1)&gt;=1,B1189='112'!$K$9,OR($N1189='112'!$I$6,$O1189='112'!$I$6))),"x",""))</f>
        <v/>
      </c>
      <c r="U1189" s="84" t="str">
        <f>IF(ISERROR(FIND('112'!$M$9,G1189,1)),"",IF((AND(LEFT(G1189,2)=LEFT('112'!$M$9,2),B1189&lt;'112'!$K$9,$N1189='112'!$I$6)),"x",""))</f>
        <v/>
      </c>
      <c r="V1189" s="84" t="str">
        <f>IF(ISERROR(FIND('112'!$M$9,G1189,1)),"",IF((AND(RIGHT(G1189,2)=RIGHT('112'!$M$9,2),B1189&lt;'112'!$K$9,$O1189='112'!$I$6)),"x",""))</f>
        <v/>
      </c>
      <c r="W1189" s="84" t="str">
        <f>IF(AND('341-CT'!$H$9=H1189,OR(LEFT(N1189,3)=$W$7,LEFT(O1189,3)=$W$7)),"x","")</f>
        <v/>
      </c>
      <c r="X1189" s="84" t="str">
        <f>IF(OR(TH!N1189=TH!$X$7,O1189=TH!$X$7),"x","")</f>
        <v/>
      </c>
      <c r="Y1189" s="84" t="str">
        <f>IF(AND(OR(N1189="131",O1189="131"),H1189='131-CT'!$H$9),"x","")</f>
        <v/>
      </c>
      <c r="Z1189" s="84"/>
      <c r="AA1189" s="84" t="str">
        <f>IF(AND(MONTH(E1189)='IN-NX'!$J$5,'IN-NX'!$D$7=D1189),"x","")</f>
        <v/>
      </c>
      <c r="AB1189" s="84" t="str">
        <f>IF(AND(OR(LEFT(TH!N1189,2)="15",LEFT(TH!O1189,2)="15"),LEFT(TH!O1189,3)&lt;&gt;"111",'152-CT'!$J$8=TH!F1189),"x","")</f>
        <v/>
      </c>
      <c r="AC1189" s="84" t="str">
        <f>IF(AND(OR(LEFT(TH!N1189,2)="15",LEFT(TH!O1189,2)="15"),TK!$E$7=TH!F1189),"x","")</f>
        <v/>
      </c>
      <c r="AD1189" s="84" t="str">
        <f>IF(AND(N1189="1521",MONTH(C1189)='BK-NL'!$M$11),"x","")</f>
        <v/>
      </c>
      <c r="AE1189" s="343" t="str">
        <f t="shared" si="177"/>
        <v>x</v>
      </c>
    </row>
    <row r="1190" spans="1:31" s="343" customFormat="1" ht="15.75" hidden="1" customHeight="1">
      <c r="A1190" s="1176" t="str">
        <f>IF(B1190&lt;&gt;"",IF(AND(B1190='IN-TC'!$S$4,OR(TH!N1190="1111",TH!O1190="1111")),TH!D1190,""),"")</f>
        <v/>
      </c>
      <c r="B1190" s="1003">
        <f t="shared" si="176"/>
        <v>1</v>
      </c>
      <c r="C1190" s="80">
        <v>42400</v>
      </c>
      <c r="D1190" s="80" t="s">
        <v>582</v>
      </c>
      <c r="E1190" s="80">
        <v>42398</v>
      </c>
      <c r="F1190" s="82" t="s">
        <v>642</v>
      </c>
      <c r="G1190" s="81" t="s">
        <v>663</v>
      </c>
      <c r="H1190" s="82" t="s">
        <v>631</v>
      </c>
      <c r="I1190" s="437"/>
      <c r="J1190" s="437"/>
      <c r="K1190" s="428"/>
      <c r="L1190" s="437"/>
      <c r="M1190" s="83">
        <v>507756</v>
      </c>
      <c r="N1190" s="84" t="s">
        <v>9</v>
      </c>
      <c r="O1190" s="84" t="s">
        <v>8</v>
      </c>
      <c r="P1190" s="84" t="str">
        <f>IF(AND('331-CT'!$E$7=TH!H1190,OR(N1190="331",O1190="331")),"x","")</f>
        <v/>
      </c>
      <c r="Q1190" s="84" t="str">
        <f>IF(AND(B1190='111'!$L$11,OR($N1190=$Q$7,$O1190=$Q$7)),"x","")</f>
        <v/>
      </c>
      <c r="R1190" s="84" t="str">
        <f>IF(AND($N1190=$Q$7,$B1190&lt;'111'!$L$11),"x","")</f>
        <v/>
      </c>
      <c r="S1190" s="84" t="str">
        <f>IF(AND($O1190=$Q$7,$B1190&lt;'111'!$L$11),"x","")</f>
        <v/>
      </c>
      <c r="T1190" s="84" t="str">
        <f>IF(ISERROR(FIND('112'!$M$9,G1190,1)),"",IF((AND(FIND('112'!$M$9,G1190,1)&gt;=1,B1190='112'!$K$9,OR($N1190='112'!$I$6,$O1190='112'!$I$6))),"x",""))</f>
        <v/>
      </c>
      <c r="U1190" s="84" t="str">
        <f>IF(ISERROR(FIND('112'!$M$9,G1190,1)),"",IF((AND(LEFT(G1190,2)=LEFT('112'!$M$9,2),B1190&lt;'112'!$K$9,$N1190='112'!$I$6)),"x",""))</f>
        <v/>
      </c>
      <c r="V1190" s="84" t="str">
        <f>IF(ISERROR(FIND('112'!$M$9,G1190,1)),"",IF((AND(RIGHT(G1190,2)=RIGHT('112'!$M$9,2),B1190&lt;'112'!$K$9,$O1190='112'!$I$6)),"x",""))</f>
        <v/>
      </c>
      <c r="W1190" s="84" t="str">
        <f>IF(AND('341-CT'!$H$9=H1190,OR(LEFT(N1190,3)=$W$7,LEFT(O1190,3)=$W$7)),"x","")</f>
        <v/>
      </c>
      <c r="X1190" s="84" t="str">
        <f>IF(OR(TH!N1190=TH!$X$7,O1190=TH!$X$7),"x","")</f>
        <v/>
      </c>
      <c r="Y1190" s="84" t="str">
        <f>IF(AND(OR(N1190="131",O1190="131"),H1190='131-CT'!$H$9),"x","")</f>
        <v/>
      </c>
      <c r="Z1190" s="84"/>
      <c r="AA1190" s="84" t="str">
        <f>IF(AND(MONTH(E1190)='IN-NX'!$J$5,'IN-NX'!$D$7=D1190),"x","")</f>
        <v/>
      </c>
      <c r="AB1190" s="84" t="str">
        <f>IF(AND(OR(LEFT(TH!N1190,2)="15",LEFT(TH!O1190,2)="15"),LEFT(TH!O1190,3)&lt;&gt;"111",'152-CT'!$J$8=TH!F1190),"x","")</f>
        <v/>
      </c>
      <c r="AC1190" s="84" t="str">
        <f>IF(AND(OR(LEFT(TH!N1190,2)="15",LEFT(TH!O1190,2)="15"),TK!$E$7=TH!F1190),"x","")</f>
        <v/>
      </c>
      <c r="AD1190" s="84" t="str">
        <f>IF(AND(N1190="1521",MONTH(C1190)='BK-NL'!$M$11),"x","")</f>
        <v/>
      </c>
      <c r="AE1190" s="343" t="str">
        <f t="shared" si="177"/>
        <v>x</v>
      </c>
    </row>
    <row r="1191" spans="1:31" s="343" customFormat="1" ht="15.75" hidden="1" customHeight="1">
      <c r="A1191" s="1176" t="str">
        <f>IF(B1191&lt;&gt;"",IF(AND(B1191='IN-TC'!$S$4,OR(TH!N1191="1111",TH!O1191="1111")),TH!D1191,""),"")</f>
        <v/>
      </c>
      <c r="B1191" s="1003">
        <f t="shared" si="176"/>
        <v>1</v>
      </c>
      <c r="C1191" s="80">
        <v>42400</v>
      </c>
      <c r="D1191" s="80" t="s">
        <v>582</v>
      </c>
      <c r="E1191" s="80">
        <v>42398</v>
      </c>
      <c r="F1191" s="82" t="s">
        <v>635</v>
      </c>
      <c r="G1191" s="81" t="s">
        <v>664</v>
      </c>
      <c r="H1191" s="82" t="s">
        <v>631</v>
      </c>
      <c r="I1191" s="437"/>
      <c r="J1191" s="437"/>
      <c r="K1191" s="428"/>
      <c r="L1191" s="437"/>
      <c r="M1191" s="83">
        <v>23383500</v>
      </c>
      <c r="N1191" s="84" t="s">
        <v>591</v>
      </c>
      <c r="O1191" s="84" t="s">
        <v>8</v>
      </c>
      <c r="P1191" s="84" t="str">
        <f>IF(AND('331-CT'!$E$7=TH!H1191,OR(N1191="331",O1191="331")),"x","")</f>
        <v/>
      </c>
      <c r="Q1191" s="84" t="str">
        <f>IF(AND(B1191='111'!$L$11,OR($N1191=$Q$7,$O1191=$Q$7)),"x","")</f>
        <v/>
      </c>
      <c r="R1191" s="84" t="str">
        <f>IF(AND($N1191=$Q$7,$B1191&lt;'111'!$L$11),"x","")</f>
        <v/>
      </c>
      <c r="S1191" s="84" t="str">
        <f>IF(AND($O1191=$Q$7,$B1191&lt;'111'!$L$11),"x","")</f>
        <v/>
      </c>
      <c r="T1191" s="84" t="str">
        <f>IF(ISERROR(FIND('112'!$M$9,G1191,1)),"",IF((AND(FIND('112'!$M$9,G1191,1)&gt;=1,B1191='112'!$K$9,OR($N1191='112'!$I$6,$O1191='112'!$I$6))),"x",""))</f>
        <v/>
      </c>
      <c r="U1191" s="84" t="str">
        <f>IF(ISERROR(FIND('112'!$M$9,G1191,1)),"",IF((AND(LEFT(G1191,2)=LEFT('112'!$M$9,2),B1191&lt;'112'!$K$9,$N1191='112'!$I$6)),"x",""))</f>
        <v/>
      </c>
      <c r="V1191" s="84" t="str">
        <f>IF(ISERROR(FIND('112'!$M$9,G1191,1)),"",IF((AND(RIGHT(G1191,2)=RIGHT('112'!$M$9,2),B1191&lt;'112'!$K$9,$O1191='112'!$I$6)),"x",""))</f>
        <v/>
      </c>
      <c r="W1191" s="84" t="str">
        <f>IF(AND('341-CT'!$H$9=H1191,OR(LEFT(N1191,3)=$W$7,LEFT(O1191,3)=$W$7)),"x","")</f>
        <v/>
      </c>
      <c r="X1191" s="84" t="str">
        <f>IF(OR(TH!N1191=TH!$X$7,O1191=TH!$X$7),"x","")</f>
        <v/>
      </c>
      <c r="Y1191" s="84" t="str">
        <f>IF(AND(OR(N1191="131",O1191="131"),H1191='131-CT'!$H$9),"x","")</f>
        <v/>
      </c>
      <c r="Z1191" s="84"/>
      <c r="AA1191" s="84" t="str">
        <f>IF(AND(MONTH(E1191)='IN-NX'!$J$5,'IN-NX'!$D$7=D1191),"x","")</f>
        <v/>
      </c>
      <c r="AB1191" s="84" t="str">
        <f>IF(AND(OR(LEFT(TH!N1191,2)="15",LEFT(TH!O1191,2)="15"),LEFT(TH!O1191,3)&lt;&gt;"111",'152-CT'!$J$8=TH!F1191),"x","")</f>
        <v/>
      </c>
      <c r="AC1191" s="84" t="str">
        <f>IF(AND(OR(LEFT(TH!N1191,2)="15",LEFT(TH!O1191,2)="15"),TK!$E$7=TH!F1191),"x","")</f>
        <v/>
      </c>
      <c r="AD1191" s="84" t="str">
        <f>IF(AND(N1191="1521",MONTH(C1191)='BK-NL'!$M$11),"x","")</f>
        <v/>
      </c>
      <c r="AE1191" s="343" t="str">
        <f t="shared" si="177"/>
        <v>x</v>
      </c>
    </row>
    <row r="1192" spans="1:31" s="343" customFormat="1" ht="15.75" hidden="1" customHeight="1">
      <c r="A1192" s="1176" t="str">
        <f>IF(B1192&lt;&gt;"",IF(AND(B1192='IN-TC'!$S$4,OR(TH!N1192="1111",TH!O1192="1111")),TH!D1192,""),"")</f>
        <v/>
      </c>
      <c r="B1192" s="1003">
        <f t="shared" si="176"/>
        <v>1</v>
      </c>
      <c r="C1192" s="80">
        <v>42400</v>
      </c>
      <c r="D1192" s="80" t="s">
        <v>582</v>
      </c>
      <c r="E1192" s="80">
        <v>42398</v>
      </c>
      <c r="F1192" s="82" t="s">
        <v>636</v>
      </c>
      <c r="G1192" s="81" t="s">
        <v>665</v>
      </c>
      <c r="H1192" s="82" t="s">
        <v>631</v>
      </c>
      <c r="I1192" s="437"/>
      <c r="J1192" s="437"/>
      <c r="K1192" s="428"/>
      <c r="L1192" s="437"/>
      <c r="M1192" s="83">
        <v>6413760</v>
      </c>
      <c r="N1192" s="1185" t="s">
        <v>591</v>
      </c>
      <c r="O1192" s="84" t="s">
        <v>8</v>
      </c>
      <c r="P1192" s="84" t="str">
        <f>IF(AND('331-CT'!$E$7=TH!H1192,OR(N1192="331",O1192="331")),"x","")</f>
        <v/>
      </c>
      <c r="Q1192" s="84" t="str">
        <f>IF(AND(B1192='111'!$L$11,OR($N1192=$Q$7,$O1192=$Q$7)),"x","")</f>
        <v/>
      </c>
      <c r="R1192" s="84" t="str">
        <f>IF(AND($N1192=$Q$7,$B1192&lt;'111'!$L$11),"x","")</f>
        <v/>
      </c>
      <c r="S1192" s="84" t="str">
        <f>IF(AND($O1192=$Q$7,$B1192&lt;'111'!$L$11),"x","")</f>
        <v/>
      </c>
      <c r="T1192" s="84" t="str">
        <f>IF(ISERROR(FIND('112'!$M$9,G1192,1)),"",IF((AND(FIND('112'!$M$9,G1192,1)&gt;=1,B1192='112'!$K$9,OR($N1192='112'!$I$6,$O1192='112'!$I$6))),"x",""))</f>
        <v/>
      </c>
      <c r="U1192" s="84" t="str">
        <f>IF(ISERROR(FIND('112'!$M$9,G1192,1)),"",IF((AND(LEFT(G1192,2)=LEFT('112'!$M$9,2),B1192&lt;'112'!$K$9,$N1192='112'!$I$6)),"x",""))</f>
        <v/>
      </c>
      <c r="V1192" s="84" t="str">
        <f>IF(ISERROR(FIND('112'!$M$9,G1192,1)),"",IF((AND(RIGHT(G1192,2)=RIGHT('112'!$M$9,2),B1192&lt;'112'!$K$9,$O1192='112'!$I$6)),"x",""))</f>
        <v/>
      </c>
      <c r="W1192" s="84" t="str">
        <f>IF(AND('341-CT'!$H$9=H1192,OR(LEFT(N1192,3)=$W$7,LEFT(O1192,3)=$W$7)),"x","")</f>
        <v/>
      </c>
      <c r="X1192" s="84" t="str">
        <f>IF(OR(TH!N1192=TH!$X$7,O1192=TH!$X$7),"x","")</f>
        <v/>
      </c>
      <c r="Y1192" s="84" t="str">
        <f>IF(AND(OR(N1192="131",O1192="131"),H1192='131-CT'!$H$9),"x","")</f>
        <v/>
      </c>
      <c r="Z1192" s="84"/>
      <c r="AA1192" s="84" t="str">
        <f>IF(AND(MONTH(E1192)='IN-NX'!$J$5,'IN-NX'!$D$7=D1192),"x","")</f>
        <v/>
      </c>
      <c r="AB1192" s="84" t="str">
        <f>IF(AND(OR(LEFT(TH!N1192,2)="15",LEFT(TH!O1192,2)="15"),LEFT(TH!O1192,3)&lt;&gt;"111",'152-CT'!$J$8=TH!F1192),"x","")</f>
        <v/>
      </c>
      <c r="AC1192" s="84" t="str">
        <f>IF(AND(OR(LEFT(TH!N1192,2)="15",LEFT(TH!O1192,2)="15"),TK!$E$7=TH!F1192),"x","")</f>
        <v/>
      </c>
      <c r="AD1192" s="84" t="str">
        <f>IF(AND(N1192="1521",MONTH(C1192)='BK-NL'!$M$11),"x","")</f>
        <v/>
      </c>
      <c r="AE1192" s="343" t="str">
        <f t="shared" si="177"/>
        <v>x</v>
      </c>
    </row>
    <row r="1193" spans="1:31" s="343" customFormat="1" ht="15.75" hidden="1" customHeight="1">
      <c r="A1193" s="1176" t="str">
        <f>IF(B1193&lt;&gt;"",IF(AND(B1193='IN-TC'!$S$4,OR(TH!N1193="1111",TH!O1193="1111")),TH!D1193,""),"")</f>
        <v/>
      </c>
      <c r="B1193" s="1003">
        <f t="shared" si="176"/>
        <v>1</v>
      </c>
      <c r="C1193" s="80">
        <v>42400</v>
      </c>
      <c r="D1193" s="80" t="s">
        <v>582</v>
      </c>
      <c r="E1193" s="80">
        <v>42398</v>
      </c>
      <c r="F1193" s="82" t="s">
        <v>637</v>
      </c>
      <c r="G1193" s="81" t="s">
        <v>665</v>
      </c>
      <c r="H1193" s="82" t="s">
        <v>631</v>
      </c>
      <c r="I1193" s="437"/>
      <c r="J1193" s="437"/>
      <c r="K1193" s="428"/>
      <c r="L1193" s="437"/>
      <c r="M1193" s="83">
        <v>641376</v>
      </c>
      <c r="N1193" s="1185" t="s">
        <v>9</v>
      </c>
      <c r="O1193" s="84" t="s">
        <v>8</v>
      </c>
      <c r="P1193" s="84" t="str">
        <f>IF(AND('331-CT'!$E$7=TH!H1193,OR(N1193="331",O1193="331")),"x","")</f>
        <v/>
      </c>
      <c r="Q1193" s="84" t="str">
        <f>IF(AND(B1193='111'!$L$11,OR($N1193=$Q$7,$O1193=$Q$7)),"x","")</f>
        <v/>
      </c>
      <c r="R1193" s="84" t="str">
        <f>IF(AND($N1193=$Q$7,$B1193&lt;'111'!$L$11),"x","")</f>
        <v/>
      </c>
      <c r="S1193" s="84" t="str">
        <f>IF(AND($O1193=$Q$7,$B1193&lt;'111'!$L$11),"x","")</f>
        <v/>
      </c>
      <c r="T1193" s="84" t="str">
        <f>IF(ISERROR(FIND('112'!$M$9,G1193,1)),"",IF((AND(FIND('112'!$M$9,G1193,1)&gt;=1,B1193='112'!$K$9,OR($N1193='112'!$I$6,$O1193='112'!$I$6))),"x",""))</f>
        <v/>
      </c>
      <c r="U1193" s="84" t="str">
        <f>IF(ISERROR(FIND('112'!$M$9,G1193,1)),"",IF((AND(LEFT(G1193,2)=LEFT('112'!$M$9,2),B1193&lt;'112'!$K$9,$N1193='112'!$I$6)),"x",""))</f>
        <v/>
      </c>
      <c r="V1193" s="84" t="str">
        <f>IF(ISERROR(FIND('112'!$M$9,G1193,1)),"",IF((AND(RIGHT(G1193,2)=RIGHT('112'!$M$9,2),B1193&lt;'112'!$K$9,$O1193='112'!$I$6)),"x",""))</f>
        <v/>
      </c>
      <c r="W1193" s="84" t="str">
        <f>IF(AND('341-CT'!$H$9=H1193,OR(LEFT(N1193,3)=$W$7,LEFT(O1193,3)=$W$7)),"x","")</f>
        <v/>
      </c>
      <c r="X1193" s="84" t="str">
        <f>IF(OR(TH!N1193=TH!$X$7,O1193=TH!$X$7),"x","")</f>
        <v/>
      </c>
      <c r="Y1193" s="84" t="str">
        <f>IF(AND(OR(N1193="131",O1193="131"),H1193='131-CT'!$H$9),"x","")</f>
        <v/>
      </c>
      <c r="Z1193" s="84"/>
      <c r="AA1193" s="84" t="str">
        <f>IF(AND(MONTH(E1193)='IN-NX'!$J$5,'IN-NX'!$D$7=D1193),"x","")</f>
        <v/>
      </c>
      <c r="AB1193" s="84" t="str">
        <f>IF(AND(OR(LEFT(TH!N1193,2)="15",LEFT(TH!O1193,2)="15"),LEFT(TH!O1193,3)&lt;&gt;"111",'152-CT'!$J$8=TH!F1193),"x","")</f>
        <v/>
      </c>
      <c r="AC1193" s="84" t="str">
        <f>IF(AND(OR(LEFT(TH!N1193,2)="15",LEFT(TH!O1193,2)="15"),TK!$E$7=TH!F1193),"x","")</f>
        <v/>
      </c>
      <c r="AD1193" s="84" t="str">
        <f>IF(AND(N1193="1521",MONTH(C1193)='BK-NL'!$M$11),"x","")</f>
        <v/>
      </c>
      <c r="AE1193" s="343" t="str">
        <f t="shared" si="177"/>
        <v>x</v>
      </c>
    </row>
    <row r="1194" spans="1:31" s="343" customFormat="1" ht="15.75" hidden="1" customHeight="1">
      <c r="A1194" s="1176" t="str">
        <f>IF(B1194&lt;&gt;"",IF(AND(B1194='IN-TC'!$S$4,OR(TH!N1194="1111",TH!O1194="1111")),TH!D1194,""),"")</f>
        <v/>
      </c>
      <c r="B1194" s="1003">
        <f t="shared" si="176"/>
        <v>1</v>
      </c>
      <c r="C1194" s="80">
        <v>42400</v>
      </c>
      <c r="D1194" s="80" t="s">
        <v>582</v>
      </c>
      <c r="E1194" s="80">
        <v>42400</v>
      </c>
      <c r="F1194" s="82" t="s">
        <v>639</v>
      </c>
      <c r="G1194" s="81" t="s">
        <v>666</v>
      </c>
      <c r="H1194" s="82" t="s">
        <v>630</v>
      </c>
      <c r="I1194" s="437"/>
      <c r="J1194" s="437"/>
      <c r="K1194" s="428"/>
      <c r="L1194" s="437"/>
      <c r="M1194" s="83">
        <v>2000000</v>
      </c>
      <c r="N1194" s="84" t="s">
        <v>591</v>
      </c>
      <c r="O1194" s="84" t="s">
        <v>8</v>
      </c>
      <c r="P1194" s="84" t="str">
        <f>IF(AND('331-CT'!$E$7=TH!H1194,OR(N1194="331",O1194="331")),"x","")</f>
        <v/>
      </c>
      <c r="Q1194" s="84" t="str">
        <f>IF(AND(B1194='111'!$L$11,OR($N1194=$Q$7,$O1194=$Q$7)),"x","")</f>
        <v/>
      </c>
      <c r="R1194" s="84" t="str">
        <f>IF(AND($N1194=$Q$7,$B1194&lt;'111'!$L$11),"x","")</f>
        <v/>
      </c>
      <c r="S1194" s="84" t="str">
        <f>IF(AND($O1194=$Q$7,$B1194&lt;'111'!$L$11),"x","")</f>
        <v/>
      </c>
      <c r="T1194" s="84" t="str">
        <f>IF(ISERROR(FIND('112'!$M$9,G1194,1)),"",IF((AND(FIND('112'!$M$9,G1194,1)&gt;=1,B1194='112'!$K$9,OR($N1194='112'!$I$6,$O1194='112'!$I$6))),"x",""))</f>
        <v/>
      </c>
      <c r="U1194" s="84" t="str">
        <f>IF(ISERROR(FIND('112'!$M$9,G1194,1)),"",IF((AND(LEFT(G1194,2)=LEFT('112'!$M$9,2),B1194&lt;'112'!$K$9,$N1194='112'!$I$6)),"x",""))</f>
        <v/>
      </c>
      <c r="V1194" s="84" t="str">
        <f>IF(ISERROR(FIND('112'!$M$9,G1194,1)),"",IF((AND(RIGHT(G1194,2)=RIGHT('112'!$M$9,2),B1194&lt;'112'!$K$9,$O1194='112'!$I$6)),"x",""))</f>
        <v/>
      </c>
      <c r="W1194" s="84" t="str">
        <f>IF(AND('341-CT'!$H$9=H1194,OR(LEFT(N1194,3)=$W$7,LEFT(O1194,3)=$W$7)),"x","")</f>
        <v/>
      </c>
      <c r="X1194" s="84" t="str">
        <f>IF(OR(TH!N1194=TH!$X$7,O1194=TH!$X$7),"x","")</f>
        <v/>
      </c>
      <c r="Y1194" s="84" t="str">
        <f>IF(AND(OR(N1194="131",O1194="131"),H1194='131-CT'!$H$9),"x","")</f>
        <v/>
      </c>
      <c r="Z1194" s="84"/>
      <c r="AA1194" s="84" t="str">
        <f>IF(AND(MONTH(E1194)='IN-NX'!$J$5,'IN-NX'!$D$7=D1194),"x","")</f>
        <v/>
      </c>
      <c r="AB1194" s="84" t="str">
        <f>IF(AND(OR(LEFT(TH!N1194,2)="15",LEFT(TH!O1194,2)="15"),LEFT(TH!O1194,3)&lt;&gt;"111",'152-CT'!$J$8=TH!F1194),"x","")</f>
        <v/>
      </c>
      <c r="AC1194" s="84" t="str">
        <f>IF(AND(OR(LEFT(TH!N1194,2)="15",LEFT(TH!O1194,2)="15"),TK!$E$7=TH!F1194),"x","")</f>
        <v/>
      </c>
      <c r="AD1194" s="84" t="str">
        <f>IF(AND(N1194="1521",MONTH(C1194)='BK-NL'!$M$11),"x","")</f>
        <v/>
      </c>
      <c r="AE1194" s="343" t="str">
        <f t="shared" si="177"/>
        <v>x</v>
      </c>
    </row>
    <row r="1195" spans="1:31" s="343" customFormat="1" ht="15.75" hidden="1" customHeight="1">
      <c r="A1195" s="1176" t="str">
        <f>IF(B1195&lt;&gt;"",IF(AND(B1195='IN-TC'!$S$4,OR(TH!N1195="1111",TH!O1195="1111")),TH!D1195,""),"")</f>
        <v/>
      </c>
      <c r="B1195" s="1003">
        <f t="shared" si="176"/>
        <v>1</v>
      </c>
      <c r="C1195" s="80">
        <v>42400</v>
      </c>
      <c r="D1195" s="80" t="s">
        <v>582</v>
      </c>
      <c r="E1195" s="80">
        <v>42400</v>
      </c>
      <c r="F1195" s="82" t="s">
        <v>640</v>
      </c>
      <c r="G1195" s="81" t="s">
        <v>666</v>
      </c>
      <c r="H1195" s="82" t="s">
        <v>630</v>
      </c>
      <c r="I1195" s="437"/>
      <c r="J1195" s="437"/>
      <c r="K1195" s="428"/>
      <c r="L1195" s="437"/>
      <c r="M1195" s="83">
        <v>200000</v>
      </c>
      <c r="N1195" s="84" t="s">
        <v>9</v>
      </c>
      <c r="O1195" s="84" t="s">
        <v>8</v>
      </c>
      <c r="P1195" s="84" t="str">
        <f>IF(AND('331-CT'!$E$7=TH!H1195,OR(N1195="331",O1195="331")),"x","")</f>
        <v/>
      </c>
      <c r="Q1195" s="84" t="str">
        <f>IF(AND(B1195='111'!$L$11,OR($N1195=$Q$7,$O1195=$Q$7)),"x","")</f>
        <v/>
      </c>
      <c r="R1195" s="84" t="str">
        <f>IF(AND($N1195=$Q$7,$B1195&lt;'111'!$L$11),"x","")</f>
        <v/>
      </c>
      <c r="S1195" s="84" t="str">
        <f>IF(AND($O1195=$Q$7,$B1195&lt;'111'!$L$11),"x","")</f>
        <v/>
      </c>
      <c r="T1195" s="84" t="str">
        <f>IF(ISERROR(FIND('112'!$M$9,G1195,1)),"",IF((AND(FIND('112'!$M$9,G1195,1)&gt;=1,B1195='112'!$K$9,OR($N1195='112'!$I$6,$O1195='112'!$I$6))),"x",""))</f>
        <v/>
      </c>
      <c r="U1195" s="84" t="str">
        <f>IF(ISERROR(FIND('112'!$M$9,G1195,1)),"",IF((AND(LEFT(G1195,2)=LEFT('112'!$M$9,2),B1195&lt;'112'!$K$9,$N1195='112'!$I$6)),"x",""))</f>
        <v/>
      </c>
      <c r="V1195" s="84" t="str">
        <f>IF(ISERROR(FIND('112'!$M$9,G1195,1)),"",IF((AND(RIGHT(G1195,2)=RIGHT('112'!$M$9,2),B1195&lt;'112'!$K$9,$O1195='112'!$I$6)),"x",""))</f>
        <v/>
      </c>
      <c r="W1195" s="84" t="str">
        <f>IF(AND('341-CT'!$H$9=H1195,OR(LEFT(N1195,3)=$W$7,LEFT(O1195,3)=$W$7)),"x","")</f>
        <v/>
      </c>
      <c r="X1195" s="84" t="str">
        <f>IF(OR(TH!N1195=TH!$X$7,O1195=TH!$X$7),"x","")</f>
        <v/>
      </c>
      <c r="Y1195" s="84" t="str">
        <f>IF(AND(OR(N1195="131",O1195="131"),H1195='131-CT'!$H$9),"x","")</f>
        <v/>
      </c>
      <c r="Z1195" s="84"/>
      <c r="AA1195" s="84" t="str">
        <f>IF(AND(MONTH(E1195)='IN-NX'!$J$5,'IN-NX'!$D$7=D1195),"x","")</f>
        <v/>
      </c>
      <c r="AB1195" s="84" t="str">
        <f>IF(AND(OR(LEFT(TH!N1195,2)="15",LEFT(TH!O1195,2)="15"),LEFT(TH!O1195,3)&lt;&gt;"111",'152-CT'!$J$8=TH!F1195),"x","")</f>
        <v/>
      </c>
      <c r="AC1195" s="84" t="str">
        <f>IF(AND(OR(LEFT(TH!N1195,2)="15",LEFT(TH!O1195,2)="15"),TK!$E$7=TH!F1195),"x","")</f>
        <v/>
      </c>
      <c r="AD1195" s="84" t="str">
        <f>IF(AND(N1195="1521",MONTH(C1195)='BK-NL'!$M$11),"x","")</f>
        <v/>
      </c>
      <c r="AE1195" s="343" t="str">
        <f t="shared" si="177"/>
        <v>x</v>
      </c>
    </row>
    <row r="1196" spans="1:31" s="343" customFormat="1" ht="15.75" hidden="1" customHeight="1">
      <c r="A1196" s="1176" t="str">
        <f>IF(B1196&lt;&gt;"",IF(AND(B1196='IN-TC'!$S$4,OR(TH!N1196="1111",TH!O1196="1111")),TH!D1196,""),"")</f>
        <v/>
      </c>
      <c r="B1196" s="1003">
        <f t="shared" si="176"/>
        <v>1</v>
      </c>
      <c r="C1196" s="80">
        <v>42400</v>
      </c>
      <c r="D1196" s="80" t="s">
        <v>582</v>
      </c>
      <c r="E1196" s="80">
        <v>42375</v>
      </c>
      <c r="F1196" s="82" t="s">
        <v>643</v>
      </c>
      <c r="G1196" s="985" t="s">
        <v>667</v>
      </c>
      <c r="H1196" s="82" t="s">
        <v>632</v>
      </c>
      <c r="I1196" s="437"/>
      <c r="J1196" s="437"/>
      <c r="K1196" s="428"/>
      <c r="L1196" s="437"/>
      <c r="M1196" s="83">
        <v>24653000</v>
      </c>
      <c r="N1196" s="84" t="s">
        <v>282</v>
      </c>
      <c r="O1196" s="84" t="s">
        <v>8</v>
      </c>
      <c r="P1196" s="84" t="str">
        <f>IF(AND('331-CT'!$E$7=TH!H1196,OR(N1196="331",O1196="331")),"x","")</f>
        <v/>
      </c>
      <c r="Q1196" s="84" t="str">
        <f>IF(AND(B1196='111'!$L$11,OR($N1196=$Q$7,$O1196=$Q$7)),"x","")</f>
        <v/>
      </c>
      <c r="R1196" s="84" t="str">
        <f>IF(AND($N1196=$Q$7,$B1196&lt;'111'!$L$11),"x","")</f>
        <v/>
      </c>
      <c r="S1196" s="84" t="str">
        <f>IF(AND($O1196=$Q$7,$B1196&lt;'111'!$L$11),"x","")</f>
        <v/>
      </c>
      <c r="T1196" s="84" t="str">
        <f>IF(ISERROR(FIND('112'!$M$9,G1196,1)),"",IF((AND(FIND('112'!$M$9,G1196,1)&gt;=1,B1196='112'!$K$9,OR($N1196='112'!$I$6,$O1196='112'!$I$6))),"x",""))</f>
        <v/>
      </c>
      <c r="U1196" s="84" t="str">
        <f>IF(ISERROR(FIND('112'!$M$9,G1196,1)),"",IF((AND(LEFT(G1196,2)=LEFT('112'!$M$9,2),B1196&lt;'112'!$K$9,$N1196='112'!$I$6)),"x",""))</f>
        <v/>
      </c>
      <c r="V1196" s="84" t="str">
        <f>IF(ISERROR(FIND('112'!$M$9,G1196,1)),"",IF((AND(RIGHT(G1196,2)=RIGHT('112'!$M$9,2),B1196&lt;'112'!$K$9,$O1196='112'!$I$6)),"x",""))</f>
        <v/>
      </c>
      <c r="W1196" s="84" t="str">
        <f>IF(AND('341-CT'!$H$9=H1196,OR(LEFT(N1196,3)=$W$7,LEFT(O1196,3)=$W$7)),"x","")</f>
        <v/>
      </c>
      <c r="X1196" s="84" t="str">
        <f>IF(OR(TH!N1196=TH!$X$7,O1196=TH!$X$7),"x","")</f>
        <v/>
      </c>
      <c r="Y1196" s="84" t="str">
        <f>IF(AND(OR(N1196="131",O1196="131"),H1196='131-CT'!$H$9),"x","")</f>
        <v/>
      </c>
      <c r="Z1196" s="84"/>
      <c r="AA1196" s="84" t="str">
        <f>IF(AND(MONTH(E1196)='IN-NX'!$J$5,'IN-NX'!$D$7=D1196),"x","")</f>
        <v/>
      </c>
      <c r="AB1196" s="84" t="str">
        <f>IF(AND(OR(LEFT(TH!N1196,2)="15",LEFT(TH!O1196,2)="15"),LEFT(TH!O1196,3)&lt;&gt;"111",'152-CT'!$J$8=TH!F1196),"x","")</f>
        <v/>
      </c>
      <c r="AC1196" s="84" t="str">
        <f>IF(AND(OR(LEFT(TH!N1196,2)="15",LEFT(TH!O1196,2)="15"),TK!$E$7=TH!F1196),"x","")</f>
        <v/>
      </c>
      <c r="AD1196" s="84" t="str">
        <f>IF(AND(N1196="1521",MONTH(C1196)='BK-NL'!$M$11),"x","")</f>
        <v/>
      </c>
      <c r="AE1196" s="343" t="str">
        <f t="shared" si="177"/>
        <v>x</v>
      </c>
    </row>
    <row r="1197" spans="1:31" s="343" customFormat="1" ht="15.75" hidden="1" customHeight="1">
      <c r="A1197" s="1176" t="str">
        <f>IF(B1197&lt;&gt;"",IF(AND(B1197='IN-TC'!$S$4,OR(TH!N1197="1111",TH!O1197="1111")),TH!D1197,""),"")</f>
        <v/>
      </c>
      <c r="B1197" s="1003">
        <f t="shared" si="176"/>
        <v>1</v>
      </c>
      <c r="C1197" s="80">
        <v>42400</v>
      </c>
      <c r="D1197" s="80" t="s">
        <v>582</v>
      </c>
      <c r="E1197" s="80">
        <v>42375</v>
      </c>
      <c r="F1197" s="82" t="s">
        <v>644</v>
      </c>
      <c r="G1197" s="985" t="s">
        <v>667</v>
      </c>
      <c r="H1197" s="82" t="s">
        <v>632</v>
      </c>
      <c r="I1197" s="437"/>
      <c r="J1197" s="437"/>
      <c r="K1197" s="428"/>
      <c r="L1197" s="437"/>
      <c r="M1197" s="83">
        <v>2465300</v>
      </c>
      <c r="N1197" s="84" t="s">
        <v>9</v>
      </c>
      <c r="O1197" s="84" t="s">
        <v>8</v>
      </c>
      <c r="P1197" s="84" t="str">
        <f>IF(AND('331-CT'!$E$7=TH!H1197,OR(N1197="331",O1197="331")),"x","")</f>
        <v/>
      </c>
      <c r="Q1197" s="84" t="str">
        <f>IF(AND(B1197='111'!$L$11,OR($N1197=$Q$7,$O1197=$Q$7)),"x","")</f>
        <v/>
      </c>
      <c r="R1197" s="84" t="str">
        <f>IF(AND($N1197=$Q$7,$B1197&lt;'111'!$L$11),"x","")</f>
        <v/>
      </c>
      <c r="S1197" s="84" t="str">
        <f>IF(AND($O1197=$Q$7,$B1197&lt;'111'!$L$11),"x","")</f>
        <v/>
      </c>
      <c r="T1197" s="84" t="str">
        <f>IF(ISERROR(FIND('112'!$M$9,G1197,1)),"",IF((AND(FIND('112'!$M$9,G1197,1)&gt;=1,B1197='112'!$K$9,OR($N1197='112'!$I$6,$O1197='112'!$I$6))),"x",""))</f>
        <v/>
      </c>
      <c r="U1197" s="84" t="str">
        <f>IF(ISERROR(FIND('112'!$M$9,G1197,1)),"",IF((AND(LEFT(G1197,2)=LEFT('112'!$M$9,2),B1197&lt;'112'!$K$9,$N1197='112'!$I$6)),"x",""))</f>
        <v/>
      </c>
      <c r="V1197" s="84" t="str">
        <f>IF(ISERROR(FIND('112'!$M$9,G1197,1)),"",IF((AND(RIGHT(G1197,2)=RIGHT('112'!$M$9,2),B1197&lt;'112'!$K$9,$O1197='112'!$I$6)),"x",""))</f>
        <v/>
      </c>
      <c r="W1197" s="84" t="str">
        <f>IF(AND('341-CT'!$H$9=H1197,OR(LEFT(N1197,3)=$W$7,LEFT(O1197,3)=$W$7)),"x","")</f>
        <v/>
      </c>
      <c r="X1197" s="84" t="str">
        <f>IF(OR(TH!N1197=TH!$X$7,O1197=TH!$X$7),"x","")</f>
        <v/>
      </c>
      <c r="Y1197" s="84" t="str">
        <f>IF(AND(OR(N1197="131",O1197="131"),H1197='131-CT'!$H$9),"x","")</f>
        <v/>
      </c>
      <c r="Z1197" s="84"/>
      <c r="AA1197" s="84" t="str">
        <f>IF(AND(MONTH(E1197)='IN-NX'!$J$5,'IN-NX'!$D$7=D1197),"x","")</f>
        <v/>
      </c>
      <c r="AB1197" s="84" t="str">
        <f>IF(AND(OR(LEFT(TH!N1197,2)="15",LEFT(TH!O1197,2)="15"),LEFT(TH!O1197,3)&lt;&gt;"111",'152-CT'!$J$8=TH!F1197),"x","")</f>
        <v/>
      </c>
      <c r="AC1197" s="84" t="str">
        <f>IF(AND(OR(LEFT(TH!N1197,2)="15",LEFT(TH!O1197,2)="15"),TK!$E$7=TH!F1197),"x","")</f>
        <v/>
      </c>
      <c r="AD1197" s="84" t="str">
        <f>IF(AND(N1197="1521",MONTH(C1197)='BK-NL'!$M$11),"x","")</f>
        <v/>
      </c>
      <c r="AE1197" s="343" t="str">
        <f t="shared" si="177"/>
        <v>x</v>
      </c>
    </row>
    <row r="1198" spans="1:31" s="343" customFormat="1" ht="15.75" hidden="1" customHeight="1">
      <c r="A1198" s="1176" t="str">
        <f>IF(B1198&lt;&gt;"",IF(AND(B1198='IN-TC'!$S$4,OR(TH!N1198="1111",TH!O1198="1111")),TH!D1198,""),"")</f>
        <v/>
      </c>
      <c r="B1198" s="1003">
        <f t="shared" si="176"/>
        <v>1</v>
      </c>
      <c r="C1198" s="80">
        <v>42400</v>
      </c>
      <c r="D1198" s="80" t="s">
        <v>582</v>
      </c>
      <c r="E1198" s="80">
        <v>42385</v>
      </c>
      <c r="F1198" s="82" t="s">
        <v>645</v>
      </c>
      <c r="G1198" s="81" t="s">
        <v>668</v>
      </c>
      <c r="H1198" s="82" t="s">
        <v>632</v>
      </c>
      <c r="I1198" s="437"/>
      <c r="J1198" s="437"/>
      <c r="K1198" s="428"/>
      <c r="L1198" s="437"/>
      <c r="M1198" s="83">
        <v>29327400</v>
      </c>
      <c r="N1198" s="1185" t="s">
        <v>282</v>
      </c>
      <c r="O1198" s="84" t="s">
        <v>8</v>
      </c>
      <c r="P1198" s="84" t="str">
        <f>IF(AND('331-CT'!$E$7=TH!H1198,OR(N1198="331",O1198="331")),"x","")</f>
        <v/>
      </c>
      <c r="Q1198" s="84" t="str">
        <f>IF(AND(B1198='111'!$L$11,OR($N1198=$Q$7,$O1198=$Q$7)),"x","")</f>
        <v/>
      </c>
      <c r="R1198" s="84" t="str">
        <f>IF(AND($N1198=$Q$7,$B1198&lt;'111'!$L$11),"x","")</f>
        <v/>
      </c>
      <c r="S1198" s="84" t="str">
        <f>IF(AND($O1198=$Q$7,$B1198&lt;'111'!$L$11),"x","")</f>
        <v/>
      </c>
      <c r="T1198" s="84" t="str">
        <f>IF(ISERROR(FIND('112'!$M$9,G1198,1)),"",IF((AND(FIND('112'!$M$9,G1198,1)&gt;=1,B1198='112'!$K$9,OR($N1198='112'!$I$6,$O1198='112'!$I$6))),"x",""))</f>
        <v/>
      </c>
      <c r="U1198" s="84" t="str">
        <f>IF(ISERROR(FIND('112'!$M$9,G1198,1)),"",IF((AND(LEFT(G1198,2)=LEFT('112'!$M$9,2),B1198&lt;'112'!$K$9,$N1198='112'!$I$6)),"x",""))</f>
        <v/>
      </c>
      <c r="V1198" s="84" t="str">
        <f>IF(ISERROR(FIND('112'!$M$9,G1198,1)),"",IF((AND(RIGHT(G1198,2)=RIGHT('112'!$M$9,2),B1198&lt;'112'!$K$9,$O1198='112'!$I$6)),"x",""))</f>
        <v/>
      </c>
      <c r="W1198" s="84" t="str">
        <f>IF(AND('341-CT'!$H$9=H1198,OR(LEFT(N1198,3)=$W$7,LEFT(O1198,3)=$W$7)),"x","")</f>
        <v/>
      </c>
      <c r="X1198" s="84" t="str">
        <f>IF(OR(TH!N1198=TH!$X$7,O1198=TH!$X$7),"x","")</f>
        <v/>
      </c>
      <c r="Y1198" s="84" t="str">
        <f>IF(AND(OR(N1198="131",O1198="131"),H1198='131-CT'!$H$9),"x","")</f>
        <v/>
      </c>
      <c r="Z1198" s="84"/>
      <c r="AA1198" s="84" t="str">
        <f>IF(AND(MONTH(E1198)='IN-NX'!$J$5,'IN-NX'!$D$7=D1198),"x","")</f>
        <v/>
      </c>
      <c r="AB1198" s="84" t="str">
        <f>IF(AND(OR(LEFT(TH!N1198,2)="15",LEFT(TH!O1198,2)="15"),LEFT(TH!O1198,3)&lt;&gt;"111",'152-CT'!$J$8=TH!F1198),"x","")</f>
        <v/>
      </c>
      <c r="AC1198" s="84" t="str">
        <f>IF(AND(OR(LEFT(TH!N1198,2)="15",LEFT(TH!O1198,2)="15"),TK!$E$7=TH!F1198),"x","")</f>
        <v/>
      </c>
      <c r="AD1198" s="84" t="str">
        <f>IF(AND(N1198="1521",MONTH(C1198)='BK-NL'!$M$11),"x","")</f>
        <v/>
      </c>
      <c r="AE1198" s="343" t="str">
        <f t="shared" si="177"/>
        <v>x</v>
      </c>
    </row>
    <row r="1199" spans="1:31" s="343" customFormat="1" ht="15.75" hidden="1" customHeight="1">
      <c r="A1199" s="1176" t="str">
        <f>IF(B1199&lt;&gt;"",IF(AND(B1199='IN-TC'!$S$4,OR(TH!N1199="1111",TH!O1199="1111")),TH!D1199,""),"")</f>
        <v/>
      </c>
      <c r="B1199" s="1003">
        <f t="shared" si="176"/>
        <v>1</v>
      </c>
      <c r="C1199" s="80">
        <v>42400</v>
      </c>
      <c r="D1199" s="80" t="s">
        <v>582</v>
      </c>
      <c r="E1199" s="80">
        <v>42385</v>
      </c>
      <c r="F1199" s="82" t="s">
        <v>646</v>
      </c>
      <c r="G1199" s="81" t="s">
        <v>668</v>
      </c>
      <c r="H1199" s="82" t="s">
        <v>632</v>
      </c>
      <c r="I1199" s="437"/>
      <c r="J1199" s="437"/>
      <c r="K1199" s="428"/>
      <c r="L1199" s="437"/>
      <c r="M1199" s="83">
        <v>2932740</v>
      </c>
      <c r="N1199" s="84" t="s">
        <v>9</v>
      </c>
      <c r="O1199" s="84" t="s">
        <v>8</v>
      </c>
      <c r="P1199" s="84" t="str">
        <f>IF(AND('331-CT'!$E$7=TH!H1199,OR(N1199="331",O1199="331")),"x","")</f>
        <v/>
      </c>
      <c r="Q1199" s="84" t="str">
        <f>IF(AND(B1199='111'!$L$11,OR($N1199=$Q$7,$O1199=$Q$7)),"x","")</f>
        <v/>
      </c>
      <c r="R1199" s="84" t="str">
        <f>IF(AND($N1199=$Q$7,$B1199&lt;'111'!$L$11),"x","")</f>
        <v/>
      </c>
      <c r="S1199" s="84" t="str">
        <f>IF(AND($O1199=$Q$7,$B1199&lt;'111'!$L$11),"x","")</f>
        <v/>
      </c>
      <c r="T1199" s="84" t="str">
        <f>IF(ISERROR(FIND('112'!$M$9,G1199,1)),"",IF((AND(FIND('112'!$M$9,G1199,1)&gt;=1,B1199='112'!$K$9,OR($N1199='112'!$I$6,$O1199='112'!$I$6))),"x",""))</f>
        <v/>
      </c>
      <c r="U1199" s="84" t="str">
        <f>IF(ISERROR(FIND('112'!$M$9,G1199,1)),"",IF((AND(LEFT(G1199,2)=LEFT('112'!$M$9,2),B1199&lt;'112'!$K$9,$N1199='112'!$I$6)),"x",""))</f>
        <v/>
      </c>
      <c r="V1199" s="84" t="str">
        <f>IF(ISERROR(FIND('112'!$M$9,G1199,1)),"",IF((AND(RIGHT(G1199,2)=RIGHT('112'!$M$9,2),B1199&lt;'112'!$K$9,$O1199='112'!$I$6)),"x",""))</f>
        <v/>
      </c>
      <c r="W1199" s="84" t="str">
        <f>IF(AND('341-CT'!$H$9=H1199,OR(LEFT(N1199,3)=$W$7,LEFT(O1199,3)=$W$7)),"x","")</f>
        <v/>
      </c>
      <c r="X1199" s="84" t="str">
        <f>IF(OR(TH!N1199=TH!$X$7,O1199=TH!$X$7),"x","")</f>
        <v/>
      </c>
      <c r="Y1199" s="84" t="str">
        <f>IF(AND(OR(N1199="131",O1199="131"),H1199='131-CT'!$H$9),"x","")</f>
        <v/>
      </c>
      <c r="Z1199" s="84"/>
      <c r="AA1199" s="84" t="str">
        <f>IF(AND(MONTH(E1199)='IN-NX'!$J$5,'IN-NX'!$D$7=D1199),"x","")</f>
        <v/>
      </c>
      <c r="AB1199" s="84" t="str">
        <f>IF(AND(OR(LEFT(TH!N1199,2)="15",LEFT(TH!O1199,2)="15"),LEFT(TH!O1199,3)&lt;&gt;"111",'152-CT'!$J$8=TH!F1199),"x","")</f>
        <v/>
      </c>
      <c r="AC1199" s="84" t="str">
        <f>IF(AND(OR(LEFT(TH!N1199,2)="15",LEFT(TH!O1199,2)="15"),TK!$E$7=TH!F1199),"x","")</f>
        <v/>
      </c>
      <c r="AD1199" s="84" t="str">
        <f>IF(AND(N1199="1521",MONTH(C1199)='BK-NL'!$M$11),"x","")</f>
        <v/>
      </c>
      <c r="AE1199" s="343" t="str">
        <f t="shared" si="177"/>
        <v>x</v>
      </c>
    </row>
    <row r="1200" spans="1:31" s="343" customFormat="1" ht="15.75" hidden="1" customHeight="1">
      <c r="A1200" s="1176" t="str">
        <f>IF(B1200&lt;&gt;"",IF(AND(B1200='IN-TC'!$S$4,OR(TH!N1200="1111",TH!O1200="1111")),TH!D1200,""),"")</f>
        <v/>
      </c>
      <c r="B1200" s="1003">
        <f t="shared" si="176"/>
        <v>1</v>
      </c>
      <c r="C1200" s="80">
        <v>42400</v>
      </c>
      <c r="D1200" s="80" t="s">
        <v>582</v>
      </c>
      <c r="E1200" s="80">
        <v>42395</v>
      </c>
      <c r="F1200" s="82" t="s">
        <v>647</v>
      </c>
      <c r="G1200" s="81" t="s">
        <v>669</v>
      </c>
      <c r="H1200" s="82" t="s">
        <v>632</v>
      </c>
      <c r="I1200" s="437"/>
      <c r="J1200" s="437"/>
      <c r="K1200" s="428"/>
      <c r="L1200" s="437"/>
      <c r="M1200" s="83">
        <v>28991500</v>
      </c>
      <c r="N1200" s="84" t="s">
        <v>282</v>
      </c>
      <c r="O1200" s="84" t="s">
        <v>8</v>
      </c>
      <c r="P1200" s="84" t="str">
        <f>IF(AND('331-CT'!$E$7=TH!H1200,OR(N1200="331",O1200="331")),"x","")</f>
        <v/>
      </c>
      <c r="Q1200" s="84" t="str">
        <f>IF(AND(B1200='111'!$L$11,OR($N1200=$Q$7,$O1200=$Q$7)),"x","")</f>
        <v/>
      </c>
      <c r="R1200" s="84" t="str">
        <f>IF(AND($N1200=$Q$7,$B1200&lt;'111'!$L$11),"x","")</f>
        <v/>
      </c>
      <c r="S1200" s="84" t="str">
        <f>IF(AND($O1200=$Q$7,$B1200&lt;'111'!$L$11),"x","")</f>
        <v/>
      </c>
      <c r="T1200" s="84" t="str">
        <f>IF(ISERROR(FIND('112'!$M$9,G1200,1)),"",IF((AND(FIND('112'!$M$9,G1200,1)&gt;=1,B1200='112'!$K$9,OR($N1200='112'!$I$6,$O1200='112'!$I$6))),"x",""))</f>
        <v/>
      </c>
      <c r="U1200" s="84" t="str">
        <f>IF(ISERROR(FIND('112'!$M$9,G1200,1)),"",IF((AND(LEFT(G1200,2)=LEFT('112'!$M$9,2),B1200&lt;'112'!$K$9,$N1200='112'!$I$6)),"x",""))</f>
        <v/>
      </c>
      <c r="V1200" s="84" t="str">
        <f>IF(ISERROR(FIND('112'!$M$9,G1200,1)),"",IF((AND(RIGHT(G1200,2)=RIGHT('112'!$M$9,2),B1200&lt;'112'!$K$9,$O1200='112'!$I$6)),"x",""))</f>
        <v/>
      </c>
      <c r="W1200" s="84" t="str">
        <f>IF(AND('341-CT'!$H$9=H1200,OR(LEFT(N1200,3)=$W$7,LEFT(O1200,3)=$W$7)),"x","")</f>
        <v/>
      </c>
      <c r="X1200" s="84" t="str">
        <f>IF(OR(TH!N1200=TH!$X$7,O1200=TH!$X$7),"x","")</f>
        <v/>
      </c>
      <c r="Y1200" s="84" t="str">
        <f>IF(AND(OR(N1200="131",O1200="131"),H1200='131-CT'!$H$9),"x","")</f>
        <v/>
      </c>
      <c r="Z1200" s="84"/>
      <c r="AA1200" s="84" t="str">
        <f>IF(AND(MONTH(E1200)='IN-NX'!$J$5,'IN-NX'!$D$7=D1200),"x","")</f>
        <v/>
      </c>
      <c r="AB1200" s="84" t="str">
        <f>IF(AND(OR(LEFT(TH!N1200,2)="15",LEFT(TH!O1200,2)="15"),LEFT(TH!O1200,3)&lt;&gt;"111",'152-CT'!$J$8=TH!F1200),"x","")</f>
        <v/>
      </c>
      <c r="AC1200" s="84" t="str">
        <f>IF(AND(OR(LEFT(TH!N1200,2)="15",LEFT(TH!O1200,2)="15"),TK!$E$7=TH!F1200),"x","")</f>
        <v/>
      </c>
      <c r="AD1200" s="84" t="str">
        <f>IF(AND(N1200="1521",MONTH(C1200)='BK-NL'!$M$11),"x","")</f>
        <v/>
      </c>
      <c r="AE1200" s="343" t="str">
        <f t="shared" si="177"/>
        <v>x</v>
      </c>
    </row>
    <row r="1201" spans="1:31" s="343" customFormat="1" ht="15.75" hidden="1" customHeight="1">
      <c r="A1201" s="1176" t="str">
        <f>IF(B1201&lt;&gt;"",IF(AND(B1201='IN-TC'!$S$4,OR(TH!N1201="1111",TH!O1201="1111")),TH!D1201,""),"")</f>
        <v/>
      </c>
      <c r="B1201" s="1003">
        <f t="shared" si="176"/>
        <v>1</v>
      </c>
      <c r="C1201" s="80">
        <v>42400</v>
      </c>
      <c r="D1201" s="80" t="s">
        <v>582</v>
      </c>
      <c r="E1201" s="80">
        <v>42395</v>
      </c>
      <c r="F1201" s="82" t="s">
        <v>648</v>
      </c>
      <c r="G1201" s="985" t="s">
        <v>669</v>
      </c>
      <c r="H1201" s="82" t="s">
        <v>632</v>
      </c>
      <c r="I1201" s="437"/>
      <c r="J1201" s="437"/>
      <c r="K1201" s="428"/>
      <c r="L1201" s="437"/>
      <c r="M1201" s="83">
        <v>2899150</v>
      </c>
      <c r="N1201" s="84" t="s">
        <v>9</v>
      </c>
      <c r="O1201" s="84" t="s">
        <v>8</v>
      </c>
      <c r="P1201" s="84" t="str">
        <f>IF(AND('331-CT'!$E$7=TH!H1201,OR(N1201="331",O1201="331")),"x","")</f>
        <v/>
      </c>
      <c r="Q1201" s="84" t="str">
        <f>IF(AND(B1201='111'!$L$11,OR($N1201=$Q$7,$O1201=$Q$7)),"x","")</f>
        <v/>
      </c>
      <c r="R1201" s="84" t="str">
        <f>IF(AND($N1201=$Q$7,$B1201&lt;'111'!$L$11),"x","")</f>
        <v/>
      </c>
      <c r="S1201" s="84" t="str">
        <f>IF(AND($O1201=$Q$7,$B1201&lt;'111'!$L$11),"x","")</f>
        <v/>
      </c>
      <c r="T1201" s="84" t="str">
        <f>IF(ISERROR(FIND('112'!$M$9,G1201,1)),"",IF((AND(FIND('112'!$M$9,G1201,1)&gt;=1,B1201='112'!$K$9,OR($N1201='112'!$I$6,$O1201='112'!$I$6))),"x",""))</f>
        <v/>
      </c>
      <c r="U1201" s="84" t="str">
        <f>IF(ISERROR(FIND('112'!$M$9,G1201,1)),"",IF((AND(LEFT(G1201,2)=LEFT('112'!$M$9,2),B1201&lt;'112'!$K$9,$N1201='112'!$I$6)),"x",""))</f>
        <v/>
      </c>
      <c r="V1201" s="84" t="str">
        <f>IF(ISERROR(FIND('112'!$M$9,G1201,1)),"",IF((AND(RIGHT(G1201,2)=RIGHT('112'!$M$9,2),B1201&lt;'112'!$K$9,$O1201='112'!$I$6)),"x",""))</f>
        <v/>
      </c>
      <c r="W1201" s="84" t="str">
        <f>IF(AND('341-CT'!$H$9=H1201,OR(LEFT(N1201,3)=$W$7,LEFT(O1201,3)=$W$7)),"x","")</f>
        <v/>
      </c>
      <c r="X1201" s="84" t="str">
        <f>IF(OR(TH!N1201=TH!$X$7,O1201=TH!$X$7),"x","")</f>
        <v/>
      </c>
      <c r="Y1201" s="84" t="str">
        <f>IF(AND(OR(N1201="131",O1201="131"),H1201='131-CT'!$H$9),"x","")</f>
        <v/>
      </c>
      <c r="Z1201" s="84"/>
      <c r="AA1201" s="84" t="str">
        <f>IF(AND(MONTH(E1201)='IN-NX'!$J$5,'IN-NX'!$D$7=D1201),"x","")</f>
        <v/>
      </c>
      <c r="AB1201" s="84" t="str">
        <f>IF(AND(OR(LEFT(TH!N1201,2)="15",LEFT(TH!O1201,2)="15"),LEFT(TH!O1201,3)&lt;&gt;"111",'152-CT'!$J$8=TH!F1201),"x","")</f>
        <v/>
      </c>
      <c r="AC1201" s="84" t="str">
        <f>IF(AND(OR(LEFT(TH!N1201,2)="15",LEFT(TH!O1201,2)="15"),TK!$E$7=TH!F1201),"x","")</f>
        <v/>
      </c>
      <c r="AD1201" s="84" t="str">
        <f>IF(AND(N1201="1521",MONTH(C1201)='BK-NL'!$M$11),"x","")</f>
        <v/>
      </c>
      <c r="AE1201" s="343" t="str">
        <f t="shared" si="177"/>
        <v>x</v>
      </c>
    </row>
    <row r="1202" spans="1:31" s="347" customFormat="1" ht="15.75" hidden="1" customHeight="1">
      <c r="A1202" s="1176" t="str">
        <f>IF(B1202&lt;&gt;"",IF(AND(B1202='IN-TC'!$S$4,OR(TH!N1202="1111",TH!O1202="1111")),TH!D1202,""),"")</f>
        <v/>
      </c>
      <c r="B1202" s="1003">
        <f t="shared" ref="B1202:B1212" si="178">IF(C1202&lt;&gt;"",MONTH(C1202),"")</f>
        <v>2</v>
      </c>
      <c r="C1202" s="1134">
        <v>42429</v>
      </c>
      <c r="D1202" s="1134" t="s">
        <v>582</v>
      </c>
      <c r="E1202" s="1134">
        <v>42407</v>
      </c>
      <c r="F1202" s="82" t="s">
        <v>635</v>
      </c>
      <c r="G1202" s="1004" t="s">
        <v>1075</v>
      </c>
      <c r="H1202" s="322" t="s">
        <v>631</v>
      </c>
      <c r="I1202" s="437"/>
      <c r="J1202" s="437"/>
      <c r="K1202" s="428"/>
      <c r="L1202" s="437"/>
      <c r="M1202" s="83">
        <v>11175000</v>
      </c>
      <c r="N1202" s="1128" t="s">
        <v>591</v>
      </c>
      <c r="O1202" s="84" t="s">
        <v>8</v>
      </c>
      <c r="P1202" s="84" t="str">
        <f>IF(AND('331-CT'!$E$7=TH!H1202,OR(N1202="331",O1202="331")),"x","")</f>
        <v/>
      </c>
      <c r="Q1202" s="84" t="str">
        <f>IF(AND(B1202='111'!$L$11,OR($N1202=$Q$7,$O1202=$Q$7)),"x","")</f>
        <v/>
      </c>
      <c r="R1202" s="84" t="str">
        <f>IF(AND($N1202=$Q$7,$B1202&lt;'111'!$L$11),"x","")</f>
        <v/>
      </c>
      <c r="S1202" s="84" t="str">
        <f>IF(AND($O1202=$Q$7,$B1202&lt;'111'!$L$11),"x","")</f>
        <v/>
      </c>
      <c r="T1202" s="84" t="str">
        <f>IF(ISERROR(FIND('112'!$M$9,G1202,1)),"",IF((AND(FIND('112'!$M$9,G1202,1)&gt;=1,B1202='112'!$K$9,OR($N1202='112'!$I$6,$O1202='112'!$I$6))),"x",""))</f>
        <v/>
      </c>
      <c r="U1202" s="84" t="str">
        <f>IF(ISERROR(FIND('112'!$M$9,G1202,1)),"",IF((AND(LEFT(G1202,2)=LEFT('112'!$M$9,2),B1202&lt;'112'!$K$9,$N1202='112'!$I$6)),"x",""))</f>
        <v/>
      </c>
      <c r="V1202" s="84" t="str">
        <f>IF(ISERROR(FIND('112'!$M$9,G1202,1)),"",IF((AND(RIGHT(G1202,2)=RIGHT('112'!$M$9,2),B1202&lt;'112'!$K$9,$O1202='112'!$I$6)),"x",""))</f>
        <v/>
      </c>
      <c r="W1202" s="84" t="str">
        <f>IF(AND('341-CT'!$H$9=H1202,OR(LEFT(N1202,3)=$W$7,LEFT(O1202,3)=$W$7)),"x","")</f>
        <v/>
      </c>
      <c r="X1202" s="84" t="str">
        <f>IF(OR(TH!N1202=TH!$X$7,O1202=TH!$X$7),"x","")</f>
        <v/>
      </c>
      <c r="Y1202" s="84" t="str">
        <f>IF(AND(OR(N1202="131",O1202="131"),H1202='131-CT'!$H$9),"x","")</f>
        <v/>
      </c>
      <c r="Z1202" s="84"/>
      <c r="AA1202" s="84" t="str">
        <f>IF(AND(MONTH(E1202)='IN-NX'!$J$5,'IN-NX'!$D$7=D1202),"x","")</f>
        <v/>
      </c>
      <c r="AB1202" s="84" t="str">
        <f>IF(AND(OR(LEFT(TH!N1202,2)="15",LEFT(TH!O1202,2)="15"),LEFT(TH!O1202,3)&lt;&gt;"111",'152-CT'!$J$8=TH!F1202),"x","")</f>
        <v/>
      </c>
      <c r="AC1202" s="84" t="str">
        <f>IF(AND(OR(LEFT(TH!N1202,2)="15",LEFT(TH!O1202,2)="15"),TK!$E$7=TH!F1202),"x","")</f>
        <v/>
      </c>
      <c r="AD1202" s="84" t="str">
        <f>IF(AND(N1202="1521",MONTH(C1202)='BK-NL'!$M$11),"x","")</f>
        <v/>
      </c>
      <c r="AE1202" s="343" t="str">
        <f t="shared" si="177"/>
        <v>x</v>
      </c>
    </row>
    <row r="1203" spans="1:31" s="347" customFormat="1" ht="15.75" hidden="1" customHeight="1">
      <c r="A1203" s="1176" t="str">
        <f>IF(B1203&lt;&gt;"",IF(AND(B1203='IN-TC'!$S$4,OR(TH!N1203="1111",TH!O1203="1111")),TH!D1203,""),"")</f>
        <v/>
      </c>
      <c r="B1203" s="1003">
        <f t="shared" si="178"/>
        <v>2</v>
      </c>
      <c r="C1203" s="1134">
        <v>42429</v>
      </c>
      <c r="D1203" s="1134" t="s">
        <v>582</v>
      </c>
      <c r="E1203" s="1134">
        <v>42407</v>
      </c>
      <c r="F1203" s="82" t="s">
        <v>1081</v>
      </c>
      <c r="G1203" s="1004" t="s">
        <v>1076</v>
      </c>
      <c r="H1203" s="322" t="s">
        <v>631</v>
      </c>
      <c r="I1203" s="437"/>
      <c r="J1203" s="437"/>
      <c r="K1203" s="428"/>
      <c r="L1203" s="437"/>
      <c r="M1203" s="83">
        <v>5319300</v>
      </c>
      <c r="N1203" s="1128" t="s">
        <v>591</v>
      </c>
      <c r="O1203" s="84" t="s">
        <v>8</v>
      </c>
      <c r="P1203" s="84" t="str">
        <f>IF(AND('331-CT'!$E$7=TH!H1203,OR(N1203="331",O1203="331")),"x","")</f>
        <v/>
      </c>
      <c r="Q1203" s="84" t="str">
        <f>IF(AND(B1203='111'!$L$11,OR($N1203=$Q$7,$O1203=$Q$7)),"x","")</f>
        <v/>
      </c>
      <c r="R1203" s="84" t="str">
        <f>IF(AND($N1203=$Q$7,$B1203&lt;'111'!$L$11),"x","")</f>
        <v/>
      </c>
      <c r="S1203" s="84" t="str">
        <f>IF(AND($O1203=$Q$7,$B1203&lt;'111'!$L$11),"x","")</f>
        <v/>
      </c>
      <c r="T1203" s="84" t="str">
        <f>IF(ISERROR(FIND('112'!$M$9,G1203,1)),"",IF((AND(FIND('112'!$M$9,G1203,1)&gt;=1,B1203='112'!$K$9,OR($N1203='112'!$I$6,$O1203='112'!$I$6))),"x",""))</f>
        <v/>
      </c>
      <c r="U1203" s="84" t="str">
        <f>IF(ISERROR(FIND('112'!$M$9,G1203,1)),"",IF((AND(LEFT(G1203,2)=LEFT('112'!$M$9,2),B1203&lt;'112'!$K$9,$N1203='112'!$I$6)),"x",""))</f>
        <v/>
      </c>
      <c r="V1203" s="84" t="str">
        <f>IF(ISERROR(FIND('112'!$M$9,G1203,1)),"",IF((AND(RIGHT(G1203,2)=RIGHT('112'!$M$9,2),B1203&lt;'112'!$K$9,$O1203='112'!$I$6)),"x",""))</f>
        <v/>
      </c>
      <c r="W1203" s="84" t="str">
        <f>IF(AND('341-CT'!$H$9=H1203,OR(LEFT(N1203,3)=$W$7,LEFT(O1203,3)=$W$7)),"x","")</f>
        <v/>
      </c>
      <c r="X1203" s="84" t="str">
        <f>IF(OR(TH!N1203=TH!$X$7,O1203=TH!$X$7),"x","")</f>
        <v/>
      </c>
      <c r="Y1203" s="84" t="str">
        <f>IF(AND(OR(N1203="131",O1203="131"),H1203='131-CT'!$H$9),"x","")</f>
        <v/>
      </c>
      <c r="Z1203" s="84"/>
      <c r="AA1203" s="84" t="str">
        <f>IF(AND(MONTH(E1203)='IN-NX'!$J$5,'IN-NX'!$D$7=D1203),"x","")</f>
        <v/>
      </c>
      <c r="AB1203" s="84" t="str">
        <f>IF(AND(OR(LEFT(TH!N1203,2)="15",LEFT(TH!O1203,2)="15"),LEFT(TH!O1203,3)&lt;&gt;"111",'152-CT'!$J$8=TH!F1203),"x","")</f>
        <v/>
      </c>
      <c r="AC1203" s="84" t="str">
        <f>IF(AND(OR(LEFT(TH!N1203,2)="15",LEFT(TH!O1203,2)="15"),TK!$E$7=TH!F1203),"x","")</f>
        <v/>
      </c>
      <c r="AD1203" s="84" t="str">
        <f>IF(AND(N1203="1521",MONTH(C1203)='BK-NL'!$M$11),"x","")</f>
        <v/>
      </c>
      <c r="AE1203" s="343" t="str">
        <f t="shared" si="177"/>
        <v>x</v>
      </c>
    </row>
    <row r="1204" spans="1:31" s="347" customFormat="1" ht="15.75" hidden="1" customHeight="1">
      <c r="A1204" s="1176" t="str">
        <f>IF(B1204&lt;&gt;"",IF(AND(B1204='IN-TC'!$S$4,OR(TH!N1204="1111",TH!O1204="1111")),TH!D1204,""),"")</f>
        <v/>
      </c>
      <c r="B1204" s="1003">
        <f t="shared" si="178"/>
        <v>2</v>
      </c>
      <c r="C1204" s="1134">
        <v>42429</v>
      </c>
      <c r="D1204" s="1134" t="s">
        <v>582</v>
      </c>
      <c r="E1204" s="1134">
        <v>42407</v>
      </c>
      <c r="F1204" s="82" t="s">
        <v>1082</v>
      </c>
      <c r="G1204" s="1004" t="s">
        <v>1076</v>
      </c>
      <c r="H1204" s="322" t="s">
        <v>631</v>
      </c>
      <c r="I1204" s="437"/>
      <c r="J1204" s="437"/>
      <c r="K1204" s="428"/>
      <c r="L1204" s="437"/>
      <c r="M1204" s="83">
        <v>531930</v>
      </c>
      <c r="N1204" s="1128" t="s">
        <v>9</v>
      </c>
      <c r="O1204" s="84" t="s">
        <v>8</v>
      </c>
      <c r="P1204" s="84" t="str">
        <f>IF(AND('331-CT'!$E$7=TH!H1204,OR(N1204="331",O1204="331")),"x","")</f>
        <v/>
      </c>
      <c r="Q1204" s="84" t="str">
        <f>IF(AND(B1204='111'!$L$11,OR($N1204=$Q$7,$O1204=$Q$7)),"x","")</f>
        <v/>
      </c>
      <c r="R1204" s="84" t="str">
        <f>IF(AND($N1204=$Q$7,$B1204&lt;'111'!$L$11),"x","")</f>
        <v/>
      </c>
      <c r="S1204" s="84" t="str">
        <f>IF(AND($O1204=$Q$7,$B1204&lt;'111'!$L$11),"x","")</f>
        <v/>
      </c>
      <c r="T1204" s="84" t="str">
        <f>IF(ISERROR(FIND('112'!$M$9,G1204,1)),"",IF((AND(FIND('112'!$M$9,G1204,1)&gt;=1,B1204='112'!$K$9,OR($N1204='112'!$I$6,$O1204='112'!$I$6))),"x",""))</f>
        <v/>
      </c>
      <c r="U1204" s="84" t="str">
        <f>IF(ISERROR(FIND('112'!$M$9,G1204,1)),"",IF((AND(LEFT(G1204,2)=LEFT('112'!$M$9,2),B1204&lt;'112'!$K$9,$N1204='112'!$I$6)),"x",""))</f>
        <v/>
      </c>
      <c r="V1204" s="84" t="str">
        <f>IF(ISERROR(FIND('112'!$M$9,G1204,1)),"",IF((AND(RIGHT(G1204,2)=RIGHT('112'!$M$9,2),B1204&lt;'112'!$K$9,$O1204='112'!$I$6)),"x",""))</f>
        <v/>
      </c>
      <c r="W1204" s="84" t="str">
        <f>IF(AND('341-CT'!$H$9=H1204,OR(LEFT(N1204,3)=$W$7,LEFT(O1204,3)=$W$7)),"x","")</f>
        <v/>
      </c>
      <c r="X1204" s="84" t="str">
        <f>IF(OR(TH!N1204=TH!$X$7,O1204=TH!$X$7),"x","")</f>
        <v/>
      </c>
      <c r="Y1204" s="84" t="str">
        <f>IF(AND(OR(N1204="131",O1204="131"),H1204='131-CT'!$H$9),"x","")</f>
        <v/>
      </c>
      <c r="Z1204" s="84"/>
      <c r="AA1204" s="84" t="str">
        <f>IF(AND(MONTH(E1204)='IN-NX'!$J$5,'IN-NX'!$D$7=D1204),"x","")</f>
        <v/>
      </c>
      <c r="AB1204" s="84" t="str">
        <f>IF(AND(OR(LEFT(TH!N1204,2)="15",LEFT(TH!O1204,2)="15"),LEFT(TH!O1204,3)&lt;&gt;"111",'152-CT'!$J$8=TH!F1204),"x","")</f>
        <v/>
      </c>
      <c r="AC1204" s="84" t="str">
        <f>IF(AND(OR(LEFT(TH!N1204,2)="15",LEFT(TH!O1204,2)="15"),TK!$E$7=TH!F1204),"x","")</f>
        <v/>
      </c>
      <c r="AD1204" s="84" t="str">
        <f>IF(AND(N1204="1521",MONTH(C1204)='BK-NL'!$M$11),"x","")</f>
        <v/>
      </c>
      <c r="AE1204" s="343" t="str">
        <f t="shared" si="177"/>
        <v>x</v>
      </c>
    </row>
    <row r="1205" spans="1:31" s="347" customFormat="1" ht="15.75" hidden="1" customHeight="1">
      <c r="A1205" s="1176" t="str">
        <f>IF(B1205&lt;&gt;"",IF(AND(B1205='IN-TC'!$S$4,OR(TH!N1205="1111",TH!O1205="1111")),TH!D1205,""),"")</f>
        <v/>
      </c>
      <c r="B1205" s="1003">
        <f t="shared" si="178"/>
        <v>2</v>
      </c>
      <c r="C1205" s="1134">
        <v>42429</v>
      </c>
      <c r="D1205" s="1134" t="s">
        <v>582</v>
      </c>
      <c r="E1205" s="1134">
        <v>42429</v>
      </c>
      <c r="F1205" s="82" t="s">
        <v>639</v>
      </c>
      <c r="G1205" s="1004" t="s">
        <v>1077</v>
      </c>
      <c r="H1205" s="322" t="s">
        <v>630</v>
      </c>
      <c r="I1205" s="437"/>
      <c r="J1205" s="437"/>
      <c r="K1205" s="428"/>
      <c r="L1205" s="437"/>
      <c r="M1205" s="83">
        <v>2000000</v>
      </c>
      <c r="N1205" s="1128" t="s">
        <v>591</v>
      </c>
      <c r="O1205" s="84" t="s">
        <v>8</v>
      </c>
      <c r="P1205" s="84" t="str">
        <f>IF(AND('331-CT'!$E$7=TH!H1205,OR(N1205="331",O1205="331")),"x","")</f>
        <v/>
      </c>
      <c r="Q1205" s="84" t="str">
        <f>IF(AND(B1205='111'!$L$11,OR($N1205=$Q$7,$O1205=$Q$7)),"x","")</f>
        <v/>
      </c>
      <c r="R1205" s="84" t="str">
        <f>IF(AND($N1205=$Q$7,$B1205&lt;'111'!$L$11),"x","")</f>
        <v/>
      </c>
      <c r="S1205" s="84" t="str">
        <f>IF(AND($O1205=$Q$7,$B1205&lt;'111'!$L$11),"x","")</f>
        <v/>
      </c>
      <c r="T1205" s="84" t="str">
        <f>IF(ISERROR(FIND('112'!$M$9,G1205,1)),"",IF((AND(FIND('112'!$M$9,G1205,1)&gt;=1,B1205='112'!$K$9,OR($N1205='112'!$I$6,$O1205='112'!$I$6))),"x",""))</f>
        <v/>
      </c>
      <c r="U1205" s="84" t="str">
        <f>IF(ISERROR(FIND('112'!$M$9,G1205,1)),"",IF((AND(LEFT(G1205,2)=LEFT('112'!$M$9,2),B1205&lt;'112'!$K$9,$N1205='112'!$I$6)),"x",""))</f>
        <v/>
      </c>
      <c r="V1205" s="84" t="str">
        <f>IF(ISERROR(FIND('112'!$M$9,G1205,1)),"",IF((AND(RIGHT(G1205,2)=RIGHT('112'!$M$9,2),B1205&lt;'112'!$K$9,$O1205='112'!$I$6)),"x",""))</f>
        <v/>
      </c>
      <c r="W1205" s="84" t="str">
        <f>IF(AND('341-CT'!$H$9=H1205,OR(LEFT(N1205,3)=$W$7,LEFT(O1205,3)=$W$7)),"x","")</f>
        <v/>
      </c>
      <c r="X1205" s="84" t="str">
        <f>IF(OR(TH!N1205=TH!$X$7,O1205=TH!$X$7),"x","")</f>
        <v/>
      </c>
      <c r="Y1205" s="84" t="str">
        <f>IF(AND(OR(N1205="131",O1205="131"),H1205='131-CT'!$H$9),"x","")</f>
        <v/>
      </c>
      <c r="Z1205" s="84"/>
      <c r="AA1205" s="84" t="str">
        <f>IF(AND(MONTH(E1205)='IN-NX'!$J$5,'IN-NX'!$D$7=D1205),"x","")</f>
        <v/>
      </c>
      <c r="AB1205" s="84" t="str">
        <f>IF(AND(OR(LEFT(TH!N1205,2)="15",LEFT(TH!O1205,2)="15"),LEFT(TH!O1205,3)&lt;&gt;"111",'152-CT'!$J$8=TH!F1205),"x","")</f>
        <v/>
      </c>
      <c r="AC1205" s="84" t="str">
        <f>IF(AND(OR(LEFT(TH!N1205,2)="15",LEFT(TH!O1205,2)="15"),TK!$E$7=TH!F1205),"x","")</f>
        <v/>
      </c>
      <c r="AD1205" s="84" t="str">
        <f>IF(AND(N1205="1521",MONTH(C1205)='BK-NL'!$M$11),"x","")</f>
        <v/>
      </c>
      <c r="AE1205" s="343" t="str">
        <f t="shared" si="177"/>
        <v>x</v>
      </c>
    </row>
    <row r="1206" spans="1:31" s="347" customFormat="1" ht="15.75" hidden="1" customHeight="1">
      <c r="A1206" s="1176" t="str">
        <f>IF(B1206&lt;&gt;"",IF(AND(B1206='IN-TC'!$S$4,OR(TH!N1206="1111",TH!O1206="1111")),TH!D1206,""),"")</f>
        <v/>
      </c>
      <c r="B1206" s="1003">
        <f t="shared" si="178"/>
        <v>2</v>
      </c>
      <c r="C1206" s="1134">
        <v>42429</v>
      </c>
      <c r="D1206" s="1134" t="s">
        <v>582</v>
      </c>
      <c r="E1206" s="1134">
        <v>42429</v>
      </c>
      <c r="F1206" s="82" t="s">
        <v>640</v>
      </c>
      <c r="G1206" s="1004" t="s">
        <v>1077</v>
      </c>
      <c r="H1206" s="322" t="s">
        <v>630</v>
      </c>
      <c r="I1206" s="437"/>
      <c r="J1206" s="437"/>
      <c r="K1206" s="428"/>
      <c r="L1206" s="437"/>
      <c r="M1206" s="83">
        <v>200000</v>
      </c>
      <c r="N1206" s="1128" t="s">
        <v>9</v>
      </c>
      <c r="O1206" s="84" t="s">
        <v>8</v>
      </c>
      <c r="P1206" s="84" t="str">
        <f>IF(AND('331-CT'!$E$7=TH!H1206,OR(N1206="331",O1206="331")),"x","")</f>
        <v/>
      </c>
      <c r="Q1206" s="84" t="str">
        <f>IF(AND(B1206='111'!$L$11,OR($N1206=$Q$7,$O1206=$Q$7)),"x","")</f>
        <v/>
      </c>
      <c r="R1206" s="84" t="str">
        <f>IF(AND($N1206=$Q$7,$B1206&lt;'111'!$L$11),"x","")</f>
        <v/>
      </c>
      <c r="S1206" s="84" t="str">
        <f>IF(AND($O1206=$Q$7,$B1206&lt;'111'!$L$11),"x","")</f>
        <v/>
      </c>
      <c r="T1206" s="84" t="str">
        <f>IF(ISERROR(FIND('112'!$M$9,G1206,1)),"",IF((AND(FIND('112'!$M$9,G1206,1)&gt;=1,B1206='112'!$K$9,OR($N1206='112'!$I$6,$O1206='112'!$I$6))),"x",""))</f>
        <v/>
      </c>
      <c r="U1206" s="84" t="str">
        <f>IF(ISERROR(FIND('112'!$M$9,G1206,1)),"",IF((AND(LEFT(G1206,2)=LEFT('112'!$M$9,2),B1206&lt;'112'!$K$9,$N1206='112'!$I$6)),"x",""))</f>
        <v/>
      </c>
      <c r="V1206" s="84" t="str">
        <f>IF(ISERROR(FIND('112'!$M$9,G1206,1)),"",IF((AND(RIGHT(G1206,2)=RIGHT('112'!$M$9,2),B1206&lt;'112'!$K$9,$O1206='112'!$I$6)),"x",""))</f>
        <v/>
      </c>
      <c r="W1206" s="84" t="str">
        <f>IF(AND('341-CT'!$H$9=H1206,OR(LEFT(N1206,3)=$W$7,LEFT(O1206,3)=$W$7)),"x","")</f>
        <v/>
      </c>
      <c r="X1206" s="84" t="str">
        <f>IF(OR(TH!N1206=TH!$X$7,O1206=TH!$X$7),"x","")</f>
        <v/>
      </c>
      <c r="Y1206" s="84" t="str">
        <f>IF(AND(OR(N1206="131",O1206="131"),H1206='131-CT'!$H$9),"x","")</f>
        <v/>
      </c>
      <c r="Z1206" s="84"/>
      <c r="AA1206" s="84" t="str">
        <f>IF(AND(MONTH(E1206)='IN-NX'!$J$5,'IN-NX'!$D$7=D1206),"x","")</f>
        <v/>
      </c>
      <c r="AB1206" s="84" t="str">
        <f>IF(AND(OR(LEFT(TH!N1206,2)="15",LEFT(TH!O1206,2)="15"),LEFT(TH!O1206,3)&lt;&gt;"111",'152-CT'!$J$8=TH!F1206),"x","")</f>
        <v/>
      </c>
      <c r="AC1206" s="84" t="str">
        <f>IF(AND(OR(LEFT(TH!N1206,2)="15",LEFT(TH!O1206,2)="15"),TK!$E$7=TH!F1206),"x","")</f>
        <v/>
      </c>
      <c r="AD1206" s="84" t="str">
        <f>IF(AND(N1206="1521",MONTH(C1206)='BK-NL'!$M$11),"x","")</f>
        <v/>
      </c>
      <c r="AE1206" s="343" t="str">
        <f t="shared" si="177"/>
        <v>x</v>
      </c>
    </row>
    <row r="1207" spans="1:31" s="347" customFormat="1" ht="15.75" hidden="1" customHeight="1">
      <c r="A1207" s="1176" t="str">
        <f>IF(B1207&lt;&gt;"",IF(AND(B1207='IN-TC'!$S$4,OR(TH!N1207="1111",TH!O1207="1111")),TH!D1207,""),"")</f>
        <v/>
      </c>
      <c r="B1207" s="1003">
        <f t="shared" si="178"/>
        <v>2</v>
      </c>
      <c r="C1207" s="1134">
        <v>42429</v>
      </c>
      <c r="D1207" s="1134" t="s">
        <v>582</v>
      </c>
      <c r="E1207" s="1134">
        <v>42406</v>
      </c>
      <c r="F1207" s="82" t="s">
        <v>1083</v>
      </c>
      <c r="G1207" s="1004" t="s">
        <v>1078</v>
      </c>
      <c r="H1207" s="322" t="s">
        <v>632</v>
      </c>
      <c r="I1207" s="437"/>
      <c r="J1207" s="437"/>
      <c r="K1207" s="428"/>
      <c r="L1207" s="437"/>
      <c r="M1207" s="83">
        <v>29442000</v>
      </c>
      <c r="N1207" s="1128" t="s">
        <v>282</v>
      </c>
      <c r="O1207" s="84" t="s">
        <v>8</v>
      </c>
      <c r="P1207" s="84" t="str">
        <f>IF(AND('331-CT'!$E$7=TH!H1207,OR(N1207="331",O1207="331")),"x","")</f>
        <v/>
      </c>
      <c r="Q1207" s="84" t="str">
        <f>IF(AND(B1207='111'!$L$11,OR($N1207=$Q$7,$O1207=$Q$7)),"x","")</f>
        <v/>
      </c>
      <c r="R1207" s="84" t="str">
        <f>IF(AND($N1207=$Q$7,$B1207&lt;'111'!$L$11),"x","")</f>
        <v/>
      </c>
      <c r="S1207" s="84" t="str">
        <f>IF(AND($O1207=$Q$7,$B1207&lt;'111'!$L$11),"x","")</f>
        <v/>
      </c>
      <c r="T1207" s="84" t="str">
        <f>IF(ISERROR(FIND('112'!$M$9,G1207,1)),"",IF((AND(FIND('112'!$M$9,G1207,1)&gt;=1,B1207='112'!$K$9,OR($N1207='112'!$I$6,$O1207='112'!$I$6))),"x",""))</f>
        <v/>
      </c>
      <c r="U1207" s="84" t="str">
        <f>IF(ISERROR(FIND('112'!$M$9,G1207,1)),"",IF((AND(LEFT(G1207,2)=LEFT('112'!$M$9,2),B1207&lt;'112'!$K$9,$N1207='112'!$I$6)),"x",""))</f>
        <v/>
      </c>
      <c r="V1207" s="84" t="str">
        <f>IF(ISERROR(FIND('112'!$M$9,G1207,1)),"",IF((AND(RIGHT(G1207,2)=RIGHT('112'!$M$9,2),B1207&lt;'112'!$K$9,$O1207='112'!$I$6)),"x",""))</f>
        <v/>
      </c>
      <c r="W1207" s="84" t="str">
        <f>IF(AND('341-CT'!$H$9=H1207,OR(LEFT(N1207,3)=$W$7,LEFT(O1207,3)=$W$7)),"x","")</f>
        <v/>
      </c>
      <c r="X1207" s="84" t="str">
        <f>IF(OR(TH!N1207=TH!$X$7,O1207=TH!$X$7),"x","")</f>
        <v/>
      </c>
      <c r="Y1207" s="84" t="str">
        <f>IF(AND(OR(N1207="131",O1207="131"),H1207='131-CT'!$H$9),"x","")</f>
        <v/>
      </c>
      <c r="Z1207" s="84"/>
      <c r="AA1207" s="84" t="str">
        <f>IF(AND(MONTH(E1207)='IN-NX'!$J$5,'IN-NX'!$D$7=D1207),"x","")</f>
        <v/>
      </c>
      <c r="AB1207" s="84" t="str">
        <f>IF(AND(OR(LEFT(TH!N1207,2)="15",LEFT(TH!O1207,2)="15"),LEFT(TH!O1207,3)&lt;&gt;"111",'152-CT'!$J$8=TH!F1207),"x","")</f>
        <v/>
      </c>
      <c r="AC1207" s="84" t="str">
        <f>IF(AND(OR(LEFT(TH!N1207,2)="15",LEFT(TH!O1207,2)="15"),TK!$E$7=TH!F1207),"x","")</f>
        <v/>
      </c>
      <c r="AD1207" s="84" t="str">
        <f>IF(AND(N1207="1521",MONTH(C1207)='BK-NL'!$M$11),"x","")</f>
        <v/>
      </c>
      <c r="AE1207" s="343" t="str">
        <f t="shared" si="177"/>
        <v>x</v>
      </c>
    </row>
    <row r="1208" spans="1:31" s="347" customFormat="1" ht="15.75" hidden="1" customHeight="1">
      <c r="A1208" s="1176" t="str">
        <f>IF(B1208&lt;&gt;"",IF(AND(B1208='IN-TC'!$S$4,OR(TH!N1208="1111",TH!O1208="1111")),TH!D1208,""),"")</f>
        <v/>
      </c>
      <c r="B1208" s="1003">
        <f t="shared" si="178"/>
        <v>2</v>
      </c>
      <c r="C1208" s="1134">
        <v>42429</v>
      </c>
      <c r="D1208" s="1134" t="s">
        <v>582</v>
      </c>
      <c r="E1208" s="1134">
        <v>42406</v>
      </c>
      <c r="F1208" s="82" t="s">
        <v>1084</v>
      </c>
      <c r="G1208" s="1004" t="s">
        <v>1078</v>
      </c>
      <c r="H1208" s="322" t="s">
        <v>632</v>
      </c>
      <c r="I1208" s="437"/>
      <c r="J1208" s="437"/>
      <c r="K1208" s="428"/>
      <c r="L1208" s="437"/>
      <c r="M1208" s="83">
        <v>2944200</v>
      </c>
      <c r="N1208" s="1128" t="s">
        <v>9</v>
      </c>
      <c r="O1208" s="84" t="s">
        <v>8</v>
      </c>
      <c r="P1208" s="84" t="str">
        <f>IF(AND('331-CT'!$E$7=TH!H1208,OR(N1208="331",O1208="331")),"x","")</f>
        <v/>
      </c>
      <c r="Q1208" s="84" t="str">
        <f>IF(AND(B1208='111'!$L$11,OR($N1208=$Q$7,$O1208=$Q$7)),"x","")</f>
        <v/>
      </c>
      <c r="R1208" s="84" t="str">
        <f>IF(AND($N1208=$Q$7,$B1208&lt;'111'!$L$11),"x","")</f>
        <v/>
      </c>
      <c r="S1208" s="84" t="str">
        <f>IF(AND($O1208=$Q$7,$B1208&lt;'111'!$L$11),"x","")</f>
        <v/>
      </c>
      <c r="T1208" s="84" t="str">
        <f>IF(ISERROR(FIND('112'!$M$9,G1208,1)),"",IF((AND(FIND('112'!$M$9,G1208,1)&gt;=1,B1208='112'!$K$9,OR($N1208='112'!$I$6,$O1208='112'!$I$6))),"x",""))</f>
        <v/>
      </c>
      <c r="U1208" s="84" t="str">
        <f>IF(ISERROR(FIND('112'!$M$9,G1208,1)),"",IF((AND(LEFT(G1208,2)=LEFT('112'!$M$9,2),B1208&lt;'112'!$K$9,$N1208='112'!$I$6)),"x",""))</f>
        <v/>
      </c>
      <c r="V1208" s="84" t="str">
        <f>IF(ISERROR(FIND('112'!$M$9,G1208,1)),"",IF((AND(RIGHT(G1208,2)=RIGHT('112'!$M$9,2),B1208&lt;'112'!$K$9,$O1208='112'!$I$6)),"x",""))</f>
        <v/>
      </c>
      <c r="W1208" s="84" t="str">
        <f>IF(AND('341-CT'!$H$9=H1208,OR(LEFT(N1208,3)=$W$7,LEFT(O1208,3)=$W$7)),"x","")</f>
        <v/>
      </c>
      <c r="X1208" s="84" t="str">
        <f>IF(OR(TH!N1208=TH!$X$7,O1208=TH!$X$7),"x","")</f>
        <v/>
      </c>
      <c r="Y1208" s="84" t="str">
        <f>IF(AND(OR(N1208="131",O1208="131"),H1208='131-CT'!$H$9),"x","")</f>
        <v/>
      </c>
      <c r="Z1208" s="84"/>
      <c r="AA1208" s="84" t="str">
        <f>IF(AND(MONTH(E1208)='IN-NX'!$J$5,'IN-NX'!$D$7=D1208),"x","")</f>
        <v/>
      </c>
      <c r="AB1208" s="84" t="str">
        <f>IF(AND(OR(LEFT(TH!N1208,2)="15",LEFT(TH!O1208,2)="15"),LEFT(TH!O1208,3)&lt;&gt;"111",'152-CT'!$J$8=TH!F1208),"x","")</f>
        <v/>
      </c>
      <c r="AC1208" s="84" t="str">
        <f>IF(AND(OR(LEFT(TH!N1208,2)="15",LEFT(TH!O1208,2)="15"),TK!$E$7=TH!F1208),"x","")</f>
        <v/>
      </c>
      <c r="AD1208" s="84" t="str">
        <f>IF(AND(N1208="1521",MONTH(C1208)='BK-NL'!$M$11),"x","")</f>
        <v/>
      </c>
      <c r="AE1208" s="343" t="str">
        <f t="shared" si="177"/>
        <v>x</v>
      </c>
    </row>
    <row r="1209" spans="1:31" s="347" customFormat="1" ht="15.75" hidden="1" customHeight="1">
      <c r="A1209" s="1176" t="str">
        <f>IF(B1209&lt;&gt;"",IF(AND(B1209='IN-TC'!$S$4,OR(TH!N1209="1111",TH!O1209="1111")),TH!D1209,""),"")</f>
        <v/>
      </c>
      <c r="B1209" s="1003">
        <f t="shared" si="178"/>
        <v>2</v>
      </c>
      <c r="C1209" s="1134">
        <v>42429</v>
      </c>
      <c r="D1209" s="1134" t="s">
        <v>582</v>
      </c>
      <c r="E1209" s="1134">
        <v>42426</v>
      </c>
      <c r="F1209" s="82" t="s">
        <v>1087</v>
      </c>
      <c r="G1209" s="1004" t="s">
        <v>1105</v>
      </c>
      <c r="H1209" s="322" t="s">
        <v>632</v>
      </c>
      <c r="I1209" s="437"/>
      <c r="J1209" s="437"/>
      <c r="K1209" s="428"/>
      <c r="L1209" s="437"/>
      <c r="M1209" s="83">
        <v>21102800</v>
      </c>
      <c r="N1209" s="1128" t="s">
        <v>282</v>
      </c>
      <c r="O1209" s="84" t="s">
        <v>8</v>
      </c>
      <c r="P1209" s="84" t="str">
        <f>IF(AND('331-CT'!$E$7=TH!H1209,OR(N1209="331",O1209="331")),"x","")</f>
        <v/>
      </c>
      <c r="Q1209" s="84" t="str">
        <f>IF(AND(B1209='111'!$L$11,OR($N1209=$Q$7,$O1209=$Q$7)),"x","")</f>
        <v/>
      </c>
      <c r="R1209" s="84" t="str">
        <f>IF(AND($N1209=$Q$7,$B1209&lt;'111'!$L$11),"x","")</f>
        <v/>
      </c>
      <c r="S1209" s="84" t="str">
        <f>IF(AND($O1209=$Q$7,$B1209&lt;'111'!$L$11),"x","")</f>
        <v/>
      </c>
      <c r="T1209" s="84" t="str">
        <f>IF(ISERROR(FIND('112'!$M$9,G1209,1)),"",IF((AND(FIND('112'!$M$9,G1209,1)&gt;=1,B1209='112'!$K$9,OR($N1209='112'!$I$6,$O1209='112'!$I$6))),"x",""))</f>
        <v/>
      </c>
      <c r="U1209" s="84" t="str">
        <f>IF(ISERROR(FIND('112'!$M$9,G1209,1)),"",IF((AND(LEFT(G1209,2)=LEFT('112'!$M$9,2),B1209&lt;'112'!$K$9,$N1209='112'!$I$6)),"x",""))</f>
        <v/>
      </c>
      <c r="V1209" s="84" t="str">
        <f>IF(ISERROR(FIND('112'!$M$9,G1209,1)),"",IF((AND(RIGHT(G1209,2)=RIGHT('112'!$M$9,2),B1209&lt;'112'!$K$9,$O1209='112'!$I$6)),"x",""))</f>
        <v/>
      </c>
      <c r="W1209" s="84" t="str">
        <f>IF(AND('341-CT'!$H$9=H1209,OR(LEFT(N1209,3)=$W$7,LEFT(O1209,3)=$W$7)),"x","")</f>
        <v/>
      </c>
      <c r="X1209" s="84" t="str">
        <f>IF(OR(TH!N1209=TH!$X$7,O1209=TH!$X$7),"x","")</f>
        <v/>
      </c>
      <c r="Y1209" s="84" t="str">
        <f>IF(AND(OR(N1209="131",O1209="131"),H1209='131-CT'!$H$9),"x","")</f>
        <v/>
      </c>
      <c r="Z1209" s="84"/>
      <c r="AA1209" s="84" t="str">
        <f>IF(AND(MONTH(E1209)='IN-NX'!$J$5,'IN-NX'!$D$7=D1209),"x","")</f>
        <v/>
      </c>
      <c r="AB1209" s="84" t="str">
        <f>IF(AND(OR(LEFT(TH!N1209,2)="15",LEFT(TH!O1209,2)="15"),LEFT(TH!O1209,3)&lt;&gt;"111",'152-CT'!$J$8=TH!F1209),"x","")</f>
        <v/>
      </c>
      <c r="AC1209" s="84" t="str">
        <f>IF(AND(OR(LEFT(TH!N1209,2)="15",LEFT(TH!O1209,2)="15"),TK!$E$7=TH!F1209),"x","")</f>
        <v/>
      </c>
      <c r="AD1209" s="84" t="str">
        <f>IF(AND(N1209="1521",MONTH(C1209)='BK-NL'!$M$11),"x","")</f>
        <v/>
      </c>
      <c r="AE1209" s="343" t="str">
        <f t="shared" ref="AE1209:AE1228" si="179">IF(H1209&lt;&gt;VLOOKUP(H1209,DSKH,1,0),"","x")</f>
        <v>x</v>
      </c>
    </row>
    <row r="1210" spans="1:31" s="347" customFormat="1" ht="15.75" hidden="1" customHeight="1">
      <c r="A1210" s="1176" t="str">
        <f>IF(B1210&lt;&gt;"",IF(AND(B1210='IN-TC'!$S$4,OR(TH!N1210="1111",TH!O1210="1111")),TH!D1210,""),"")</f>
        <v/>
      </c>
      <c r="B1210" s="1003">
        <f t="shared" si="178"/>
        <v>2</v>
      </c>
      <c r="C1210" s="1134">
        <v>42429</v>
      </c>
      <c r="D1210" s="1134" t="s">
        <v>582</v>
      </c>
      <c r="E1210" s="1134">
        <v>42426</v>
      </c>
      <c r="F1210" s="82" t="s">
        <v>1088</v>
      </c>
      <c r="G1210" s="1004" t="s">
        <v>1105</v>
      </c>
      <c r="H1210" s="322" t="s">
        <v>632</v>
      </c>
      <c r="I1210" s="437"/>
      <c r="J1210" s="437"/>
      <c r="K1210" s="428"/>
      <c r="L1210" s="437"/>
      <c r="M1210" s="83">
        <v>2110280</v>
      </c>
      <c r="N1210" s="1128" t="s">
        <v>9</v>
      </c>
      <c r="O1210" s="84" t="s">
        <v>8</v>
      </c>
      <c r="P1210" s="84" t="str">
        <f>IF(AND('331-CT'!$E$7=TH!H1210,OR(N1210="331",O1210="331")),"x","")</f>
        <v/>
      </c>
      <c r="Q1210" s="84" t="str">
        <f>IF(AND(B1210='111'!$L$11,OR($N1210=$Q$7,$O1210=$Q$7)),"x","")</f>
        <v/>
      </c>
      <c r="R1210" s="84" t="str">
        <f>IF(AND($N1210=$Q$7,$B1210&lt;'111'!$L$11),"x","")</f>
        <v/>
      </c>
      <c r="S1210" s="84" t="str">
        <f>IF(AND($O1210=$Q$7,$B1210&lt;'111'!$L$11),"x","")</f>
        <v/>
      </c>
      <c r="T1210" s="84" t="str">
        <f>IF(ISERROR(FIND('112'!$M$9,G1210,1)),"",IF((AND(FIND('112'!$M$9,G1210,1)&gt;=1,B1210='112'!$K$9,OR($N1210='112'!$I$6,$O1210='112'!$I$6))),"x",""))</f>
        <v/>
      </c>
      <c r="U1210" s="84" t="str">
        <f>IF(ISERROR(FIND('112'!$M$9,G1210,1)),"",IF((AND(LEFT(G1210,2)=LEFT('112'!$M$9,2),B1210&lt;'112'!$K$9,$N1210='112'!$I$6)),"x",""))</f>
        <v/>
      </c>
      <c r="V1210" s="84" t="str">
        <f>IF(ISERROR(FIND('112'!$M$9,G1210,1)),"",IF((AND(RIGHT(G1210,2)=RIGHT('112'!$M$9,2),B1210&lt;'112'!$K$9,$O1210='112'!$I$6)),"x",""))</f>
        <v/>
      </c>
      <c r="W1210" s="84" t="str">
        <f>IF(AND('341-CT'!$H$9=H1210,OR(LEFT(N1210,3)=$W$7,LEFT(O1210,3)=$W$7)),"x","")</f>
        <v/>
      </c>
      <c r="X1210" s="84" t="str">
        <f>IF(OR(TH!N1210=TH!$X$7,O1210=TH!$X$7),"x","")</f>
        <v/>
      </c>
      <c r="Y1210" s="84" t="str">
        <f>IF(AND(OR(N1210="131",O1210="131"),H1210='131-CT'!$H$9),"x","")</f>
        <v/>
      </c>
      <c r="Z1210" s="84"/>
      <c r="AA1210" s="84" t="str">
        <f>IF(AND(MONTH(E1210)='IN-NX'!$J$5,'IN-NX'!$D$7=D1210),"x","")</f>
        <v/>
      </c>
      <c r="AB1210" s="84" t="str">
        <f>IF(AND(OR(LEFT(TH!N1210,2)="15",LEFT(TH!O1210,2)="15"),LEFT(TH!O1210,3)&lt;&gt;"111",'152-CT'!$J$8=TH!F1210),"x","")</f>
        <v/>
      </c>
      <c r="AC1210" s="84" t="str">
        <f>IF(AND(OR(LEFT(TH!N1210,2)="15",LEFT(TH!O1210,2)="15"),TK!$E$7=TH!F1210),"x","")</f>
        <v/>
      </c>
      <c r="AD1210" s="84" t="str">
        <f>IF(AND(N1210="1521",MONTH(C1210)='BK-NL'!$M$11),"x","")</f>
        <v/>
      </c>
      <c r="AE1210" s="343" t="str">
        <f t="shared" si="179"/>
        <v>x</v>
      </c>
    </row>
    <row r="1211" spans="1:31" s="347" customFormat="1" ht="15.75" hidden="1" customHeight="1">
      <c r="A1211" s="1176" t="str">
        <f>IF(B1211&lt;&gt;"",IF(AND(B1211='IN-TC'!$S$4,OR(TH!N1211="1111",TH!O1211="1111")),TH!D1211,""),"")</f>
        <v/>
      </c>
      <c r="B1211" s="1003">
        <f t="shared" si="178"/>
        <v>2</v>
      </c>
      <c r="C1211" s="1134">
        <v>42429</v>
      </c>
      <c r="D1211" s="1134" t="s">
        <v>582</v>
      </c>
      <c r="E1211" s="1134">
        <v>42384</v>
      </c>
      <c r="F1211" s="82" t="s">
        <v>1089</v>
      </c>
      <c r="G1211" s="1186" t="s">
        <v>1080</v>
      </c>
      <c r="H1211" s="322" t="s">
        <v>633</v>
      </c>
      <c r="I1211" s="437"/>
      <c r="J1211" s="437"/>
      <c r="K1211" s="428"/>
      <c r="L1211" s="437"/>
      <c r="M1211" s="83">
        <v>124981818</v>
      </c>
      <c r="N1211" s="1128" t="s">
        <v>162</v>
      </c>
      <c r="O1211" s="84" t="s">
        <v>8</v>
      </c>
      <c r="P1211" s="84" t="str">
        <f>IF(AND('331-CT'!$E$7=TH!H1211,OR(N1211="331",O1211="331")),"x","")</f>
        <v/>
      </c>
      <c r="Q1211" s="84" t="str">
        <f>IF(AND(B1211='111'!$L$11,OR($N1211=$Q$7,$O1211=$Q$7)),"x","")</f>
        <v/>
      </c>
      <c r="R1211" s="84" t="str">
        <f>IF(AND($N1211=$Q$7,$B1211&lt;'111'!$L$11),"x","")</f>
        <v/>
      </c>
      <c r="S1211" s="84" t="str">
        <f>IF(AND($O1211=$Q$7,$B1211&lt;'111'!$L$11),"x","")</f>
        <v/>
      </c>
      <c r="T1211" s="84" t="str">
        <f>IF(ISERROR(FIND('112'!$M$9,G1211,1)),"",IF((AND(FIND('112'!$M$9,G1211,1)&gt;=1,B1211='112'!$K$9,OR($N1211='112'!$I$6,$O1211='112'!$I$6))),"x",""))</f>
        <v/>
      </c>
      <c r="U1211" s="84" t="str">
        <f>IF(ISERROR(FIND('112'!$M$9,G1211,1)),"",IF((AND(LEFT(G1211,2)=LEFT('112'!$M$9,2),B1211&lt;'112'!$K$9,$N1211='112'!$I$6)),"x",""))</f>
        <v/>
      </c>
      <c r="V1211" s="84" t="str">
        <f>IF(ISERROR(FIND('112'!$M$9,G1211,1)),"",IF((AND(RIGHT(G1211,2)=RIGHT('112'!$M$9,2),B1211&lt;'112'!$K$9,$O1211='112'!$I$6)),"x",""))</f>
        <v/>
      </c>
      <c r="W1211" s="84" t="str">
        <f>IF(AND('341-CT'!$H$9=H1211,OR(LEFT(N1211,3)=$W$7,LEFT(O1211,3)=$W$7)),"x","")</f>
        <v/>
      </c>
      <c r="X1211" s="84" t="str">
        <f>IF(OR(TH!N1211=TH!$X$7,O1211=TH!$X$7),"x","")</f>
        <v/>
      </c>
      <c r="Y1211" s="84" t="str">
        <f>IF(AND(OR(N1211="131",O1211="131"),H1211='131-CT'!$H$9),"x","")</f>
        <v/>
      </c>
      <c r="Z1211" s="84"/>
      <c r="AA1211" s="84" t="str">
        <f>IF(AND(MONTH(E1211)='IN-NX'!$J$5,'IN-NX'!$D$7=D1211),"x","")</f>
        <v/>
      </c>
      <c r="AB1211" s="84" t="str">
        <f>IF(AND(OR(LEFT(TH!N1211,2)="15",LEFT(TH!O1211,2)="15"),LEFT(TH!O1211,3)&lt;&gt;"111",'152-CT'!$J$8=TH!F1211),"x","")</f>
        <v/>
      </c>
      <c r="AC1211" s="84" t="str">
        <f>IF(AND(OR(LEFT(TH!N1211,2)="15",LEFT(TH!O1211,2)="15"),TK!$E$7=TH!F1211),"x","")</f>
        <v/>
      </c>
      <c r="AD1211" s="84" t="str">
        <f>IF(AND(N1211="1521",MONTH(C1211)='BK-NL'!$M$11),"x","")</f>
        <v/>
      </c>
      <c r="AE1211" s="343" t="str">
        <f t="shared" si="179"/>
        <v>x</v>
      </c>
    </row>
    <row r="1212" spans="1:31" s="347" customFormat="1" ht="15.75" hidden="1" customHeight="1">
      <c r="A1212" s="1176" t="str">
        <f>IF(B1212&lt;&gt;"",IF(AND(B1212='IN-TC'!$S$4,OR(TH!N1212="1111",TH!O1212="1111")),TH!D1212,""),"")</f>
        <v/>
      </c>
      <c r="B1212" s="1003">
        <f t="shared" si="178"/>
        <v>2</v>
      </c>
      <c r="C1212" s="1134">
        <v>42429</v>
      </c>
      <c r="D1212" s="1134" t="s">
        <v>582</v>
      </c>
      <c r="E1212" s="1134">
        <v>42384</v>
      </c>
      <c r="F1212" s="82" t="s">
        <v>1090</v>
      </c>
      <c r="G1212" s="1186" t="s">
        <v>1080</v>
      </c>
      <c r="H1212" s="322" t="s">
        <v>633</v>
      </c>
      <c r="I1212" s="437"/>
      <c r="J1212" s="437"/>
      <c r="K1212" s="428"/>
      <c r="L1212" s="437"/>
      <c r="M1212" s="83">
        <v>12498182</v>
      </c>
      <c r="N1212" s="1128" t="s">
        <v>9</v>
      </c>
      <c r="O1212" s="84" t="s">
        <v>8</v>
      </c>
      <c r="P1212" s="84" t="str">
        <f>IF(AND('331-CT'!$E$7=TH!H1212,OR(N1212="331",O1212="331")),"x","")</f>
        <v/>
      </c>
      <c r="Q1212" s="84" t="str">
        <f>IF(AND(B1212='111'!$L$11,OR($N1212=$Q$7,$O1212=$Q$7)),"x","")</f>
        <v/>
      </c>
      <c r="R1212" s="84" t="str">
        <f>IF(AND($N1212=$Q$7,$B1212&lt;'111'!$L$11),"x","")</f>
        <v/>
      </c>
      <c r="S1212" s="84" t="str">
        <f>IF(AND($O1212=$Q$7,$B1212&lt;'111'!$L$11),"x","")</f>
        <v/>
      </c>
      <c r="T1212" s="84" t="str">
        <f>IF(ISERROR(FIND('112'!$M$9,G1212,1)),"",IF((AND(FIND('112'!$M$9,G1212,1)&gt;=1,B1212='112'!$K$9,OR($N1212='112'!$I$6,$O1212='112'!$I$6))),"x",""))</f>
        <v/>
      </c>
      <c r="U1212" s="84" t="str">
        <f>IF(ISERROR(FIND('112'!$M$9,G1212,1)),"",IF((AND(LEFT(G1212,2)=LEFT('112'!$M$9,2),B1212&lt;'112'!$K$9,$N1212='112'!$I$6)),"x",""))</f>
        <v/>
      </c>
      <c r="V1212" s="84" t="str">
        <f>IF(ISERROR(FIND('112'!$M$9,G1212,1)),"",IF((AND(RIGHT(G1212,2)=RIGHT('112'!$M$9,2),B1212&lt;'112'!$K$9,$O1212='112'!$I$6)),"x",""))</f>
        <v/>
      </c>
      <c r="W1212" s="84" t="str">
        <f>IF(AND('341-CT'!$H$9=H1212,OR(LEFT(N1212,3)=$W$7,LEFT(O1212,3)=$W$7)),"x","")</f>
        <v/>
      </c>
      <c r="X1212" s="84" t="str">
        <f>IF(OR(TH!N1212=TH!$X$7,O1212=TH!$X$7),"x","")</f>
        <v/>
      </c>
      <c r="Y1212" s="84" t="str">
        <f>IF(AND(OR(N1212="131",O1212="131"),H1212='131-CT'!$H$9),"x","")</f>
        <v/>
      </c>
      <c r="Z1212" s="84"/>
      <c r="AA1212" s="84" t="str">
        <f>IF(AND(MONTH(E1212)='IN-NX'!$J$5,'IN-NX'!$D$7=D1212),"x","")</f>
        <v/>
      </c>
      <c r="AB1212" s="84" t="str">
        <f>IF(AND(OR(LEFT(TH!N1212,2)="15",LEFT(TH!O1212,2)="15"),LEFT(TH!O1212,3)&lt;&gt;"111",'152-CT'!$J$8=TH!F1212),"x","")</f>
        <v/>
      </c>
      <c r="AC1212" s="84" t="str">
        <f>IF(AND(OR(LEFT(TH!N1212,2)="15",LEFT(TH!O1212,2)="15"),TK!$E$7=TH!F1212),"x","")</f>
        <v/>
      </c>
      <c r="AD1212" s="84" t="str">
        <f>IF(AND(N1212="1521",MONTH(C1212)='BK-NL'!$M$11),"x","")</f>
        <v/>
      </c>
      <c r="AE1212" s="343" t="str">
        <f t="shared" si="179"/>
        <v>x</v>
      </c>
    </row>
    <row r="1213" spans="1:31" s="347" customFormat="1" ht="15.75" hidden="1" customHeight="1">
      <c r="A1213" s="1176" t="str">
        <f>IF(B1213&lt;&gt;"",IF(AND(B1213='IN-TC'!$S$4,OR(TH!N1213="1111",TH!O1213="1111")),TH!D1213,""),"")</f>
        <v/>
      </c>
      <c r="B1213" s="1003">
        <f t="shared" ref="B1213:B1228" si="180">IF(C1213&lt;&gt;"",MONTH(C1213),"")</f>
        <v>3</v>
      </c>
      <c r="C1213" s="1134">
        <v>42460</v>
      </c>
      <c r="D1213" s="1134" t="s">
        <v>582</v>
      </c>
      <c r="E1213" s="1134">
        <v>42426</v>
      </c>
      <c r="F1213" s="82" t="s">
        <v>1147</v>
      </c>
      <c r="G1213" s="1004" t="s">
        <v>1149</v>
      </c>
      <c r="H1213" s="322" t="s">
        <v>632</v>
      </c>
      <c r="I1213" s="437"/>
      <c r="J1213" s="437"/>
      <c r="K1213" s="428"/>
      <c r="L1213" s="437"/>
      <c r="M1213" s="83">
        <v>236351</v>
      </c>
      <c r="N1213" s="1128" t="s">
        <v>101</v>
      </c>
      <c r="O1213" s="84" t="s">
        <v>8</v>
      </c>
      <c r="P1213" s="84" t="str">
        <f>IF(AND('331-CT'!$E$7=TH!H1213,OR(N1213="331",O1213="331")),"x","")</f>
        <v/>
      </c>
      <c r="Q1213" s="84" t="str">
        <f>IF(AND(B1213='111'!$L$11,OR($N1213=$Q$7,$O1213=$Q$7)),"x","")</f>
        <v/>
      </c>
      <c r="R1213" s="84" t="str">
        <f>IF(AND($N1213=$Q$7,$B1213&lt;'111'!$L$11),"x","")</f>
        <v/>
      </c>
      <c r="S1213" s="84" t="str">
        <f>IF(AND($O1213=$Q$7,$B1213&lt;'111'!$L$11),"x","")</f>
        <v/>
      </c>
      <c r="T1213" s="84" t="str">
        <f>IF(ISERROR(FIND('112'!$M$9,G1213,1)),"",IF((AND(FIND('112'!$M$9,G1213,1)&gt;=1,B1213='112'!$K$9,OR($N1213='112'!$I$6,$O1213='112'!$I$6))),"x",""))</f>
        <v/>
      </c>
      <c r="U1213" s="84" t="str">
        <f>IF(ISERROR(FIND('112'!$M$9,G1213,1)),"",IF((AND(LEFT(G1213,2)=LEFT('112'!$M$9,2),B1213&lt;'112'!$K$9,$N1213='112'!$I$6)),"x",""))</f>
        <v/>
      </c>
      <c r="V1213" s="84" t="str">
        <f>IF(ISERROR(FIND('112'!$M$9,G1213,1)),"",IF((AND(RIGHT(G1213,2)=RIGHT('112'!$M$9,2),B1213&lt;'112'!$K$9,$O1213='112'!$I$6)),"x",""))</f>
        <v/>
      </c>
      <c r="W1213" s="84" t="str">
        <f>IF(AND('341-CT'!$H$9=H1213,OR(LEFT(N1213,3)=$W$7,LEFT(O1213,3)=$W$7)),"x","")</f>
        <v/>
      </c>
      <c r="X1213" s="84" t="str">
        <f>IF(OR(TH!N1213=TH!$X$7,O1213=TH!$X$7),"x","")</f>
        <v/>
      </c>
      <c r="Y1213" s="84" t="str">
        <f>IF(AND(OR(N1213="131",O1213="131"),H1213='131-CT'!$H$9),"x","")</f>
        <v/>
      </c>
      <c r="Z1213" s="84"/>
      <c r="AA1213" s="84" t="str">
        <f>IF(AND(MONTH(E1213)='IN-NX'!$J$5,'IN-NX'!$D$7=D1213),"x","")</f>
        <v/>
      </c>
      <c r="AB1213" s="84" t="str">
        <f>IF(AND(OR(LEFT(TH!N1213,2)="15",LEFT(TH!O1213,2)="15"),LEFT(TH!O1213,3)&lt;&gt;"111",'152-CT'!$J$8=TH!F1213),"x","")</f>
        <v/>
      </c>
      <c r="AC1213" s="84" t="str">
        <f>IF(AND(OR(LEFT(TH!N1213,2)="15",LEFT(TH!O1213,2)="15"),TK!$E$7=TH!F1213),"x","")</f>
        <v/>
      </c>
      <c r="AD1213" s="84" t="str">
        <f>IF(AND(N1213="1521",MONTH(C1213)='BK-NL'!$M$11),"x","")</f>
        <v/>
      </c>
      <c r="AE1213" s="343" t="str">
        <f t="shared" si="179"/>
        <v>x</v>
      </c>
    </row>
    <row r="1214" spans="1:31" s="347" customFormat="1" ht="15.75" hidden="1" customHeight="1">
      <c r="A1214" s="1176" t="str">
        <f>IF(B1214&lt;&gt;"",IF(AND(B1214='IN-TC'!$S$4,OR(TH!N1214="1111",TH!O1214="1111")),TH!D1214,""),"")</f>
        <v/>
      </c>
      <c r="B1214" s="1003">
        <f t="shared" si="180"/>
        <v>3</v>
      </c>
      <c r="C1214" s="1134">
        <v>42460</v>
      </c>
      <c r="D1214" s="1134" t="s">
        <v>582</v>
      </c>
      <c r="E1214" s="1134">
        <v>42426</v>
      </c>
      <c r="F1214" s="82" t="s">
        <v>1148</v>
      </c>
      <c r="G1214" s="1004" t="s">
        <v>1149</v>
      </c>
      <c r="H1214" s="322" t="s">
        <v>632</v>
      </c>
      <c r="I1214" s="437"/>
      <c r="J1214" s="437"/>
      <c r="K1214" s="428"/>
      <c r="L1214" s="437"/>
      <c r="M1214" s="83">
        <v>23635</v>
      </c>
      <c r="N1214" s="1128" t="s">
        <v>9</v>
      </c>
      <c r="O1214" s="84" t="s">
        <v>8</v>
      </c>
      <c r="P1214" s="84" t="str">
        <f>IF(AND('331-CT'!$E$7=TH!H1214,OR(N1214="331",O1214="331")),"x","")</f>
        <v/>
      </c>
      <c r="Q1214" s="84" t="str">
        <f>IF(AND(B1214='111'!$L$11,OR($N1214=$Q$7,$O1214=$Q$7)),"x","")</f>
        <v/>
      </c>
      <c r="R1214" s="84" t="str">
        <f>IF(AND($N1214=$Q$7,$B1214&lt;'111'!$L$11),"x","")</f>
        <v/>
      </c>
      <c r="S1214" s="84" t="str">
        <f>IF(AND($O1214=$Q$7,$B1214&lt;'111'!$L$11),"x","")</f>
        <v/>
      </c>
      <c r="T1214" s="84" t="str">
        <f>IF(ISERROR(FIND('112'!$M$9,G1214,1)),"",IF((AND(FIND('112'!$M$9,G1214,1)&gt;=1,B1214='112'!$K$9,OR($N1214='112'!$I$6,$O1214='112'!$I$6))),"x",""))</f>
        <v/>
      </c>
      <c r="U1214" s="84" t="str">
        <f>IF(ISERROR(FIND('112'!$M$9,G1214,1)),"",IF((AND(LEFT(G1214,2)=LEFT('112'!$M$9,2),B1214&lt;'112'!$K$9,$N1214='112'!$I$6)),"x",""))</f>
        <v/>
      </c>
      <c r="V1214" s="84" t="str">
        <f>IF(ISERROR(FIND('112'!$M$9,G1214,1)),"",IF((AND(RIGHT(G1214,2)=RIGHT('112'!$M$9,2),B1214&lt;'112'!$K$9,$O1214='112'!$I$6)),"x",""))</f>
        <v/>
      </c>
      <c r="W1214" s="84" t="str">
        <f>IF(AND('341-CT'!$H$9=H1214,OR(LEFT(N1214,3)=$W$7,LEFT(O1214,3)=$W$7)),"x","")</f>
        <v/>
      </c>
      <c r="X1214" s="84" t="str">
        <f>IF(OR(TH!N1214=TH!$X$7,O1214=TH!$X$7),"x","")</f>
        <v/>
      </c>
      <c r="Y1214" s="84" t="str">
        <f>IF(AND(OR(N1214="131",O1214="131"),H1214='131-CT'!$H$9),"x","")</f>
        <v/>
      </c>
      <c r="Z1214" s="84"/>
      <c r="AA1214" s="84" t="str">
        <f>IF(AND(MONTH(E1214)='IN-NX'!$J$5,'IN-NX'!$D$7=D1214),"x","")</f>
        <v/>
      </c>
      <c r="AB1214" s="84" t="str">
        <f>IF(AND(OR(LEFT(TH!N1214,2)="15",LEFT(TH!O1214,2)="15"),LEFT(TH!O1214,3)&lt;&gt;"111",'152-CT'!$J$8=TH!F1214),"x","")</f>
        <v/>
      </c>
      <c r="AC1214" s="84" t="str">
        <f>IF(AND(OR(LEFT(TH!N1214,2)="15",LEFT(TH!O1214,2)="15"),TK!$E$7=TH!F1214),"x","")</f>
        <v/>
      </c>
      <c r="AD1214" s="84" t="str">
        <f>IF(AND(N1214="1521",MONTH(C1214)='BK-NL'!$M$11),"x","")</f>
        <v/>
      </c>
      <c r="AE1214" s="343" t="str">
        <f t="shared" si="179"/>
        <v>x</v>
      </c>
    </row>
    <row r="1215" spans="1:31" s="347" customFormat="1" ht="15.75" hidden="1" customHeight="1">
      <c r="A1215" s="1176" t="str">
        <f>IF(B1215&lt;&gt;"",IF(AND(B1215='IN-TC'!$S$4,OR(TH!N1215="1111",TH!O1215="1111")),TH!D1215,""),"")</f>
        <v/>
      </c>
      <c r="B1215" s="1003">
        <f t="shared" si="180"/>
        <v>3</v>
      </c>
      <c r="C1215" s="1134">
        <v>42460</v>
      </c>
      <c r="D1215" s="1134" t="s">
        <v>582</v>
      </c>
      <c r="E1215" s="1134">
        <v>42436</v>
      </c>
      <c r="F1215" s="82" t="s">
        <v>1166</v>
      </c>
      <c r="G1215" s="1004" t="s">
        <v>1389</v>
      </c>
      <c r="H1215" s="322" t="s">
        <v>632</v>
      </c>
      <c r="I1215" s="437"/>
      <c r="J1215" s="437"/>
      <c r="K1215" s="428"/>
      <c r="L1215" s="437"/>
      <c r="M1215" s="83">
        <v>20681300</v>
      </c>
      <c r="N1215" s="1128" t="s">
        <v>282</v>
      </c>
      <c r="O1215" s="84" t="s">
        <v>8</v>
      </c>
      <c r="P1215" s="84" t="str">
        <f>IF(AND('331-CT'!$E$7=TH!H1215,OR(N1215="331",O1215="331")),"x","")</f>
        <v/>
      </c>
      <c r="Q1215" s="84" t="str">
        <f>IF(AND(B1215='111'!$L$11,OR($N1215=$Q$7,$O1215=$Q$7)),"x","")</f>
        <v/>
      </c>
      <c r="R1215" s="84" t="str">
        <f>IF(AND($N1215=$Q$7,$B1215&lt;'111'!$L$11),"x","")</f>
        <v/>
      </c>
      <c r="S1215" s="84" t="str">
        <f>IF(AND($O1215=$Q$7,$B1215&lt;'111'!$L$11),"x","")</f>
        <v/>
      </c>
      <c r="T1215" s="84" t="str">
        <f>IF(ISERROR(FIND('112'!$M$9,G1215,1)),"",IF((AND(FIND('112'!$M$9,G1215,1)&gt;=1,B1215='112'!$K$9,OR($N1215='112'!$I$6,$O1215='112'!$I$6))),"x",""))</f>
        <v/>
      </c>
      <c r="U1215" s="84" t="str">
        <f>IF(ISERROR(FIND('112'!$M$9,G1215,1)),"",IF((AND(LEFT(G1215,2)=LEFT('112'!$M$9,2),B1215&lt;'112'!$K$9,$N1215='112'!$I$6)),"x",""))</f>
        <v/>
      </c>
      <c r="V1215" s="84" t="str">
        <f>IF(ISERROR(FIND('112'!$M$9,G1215,1)),"",IF((AND(RIGHT(G1215,2)=RIGHT('112'!$M$9,2),B1215&lt;'112'!$K$9,$O1215='112'!$I$6)),"x",""))</f>
        <v/>
      </c>
      <c r="W1215" s="84" t="str">
        <f>IF(AND('341-CT'!$H$9=H1215,OR(LEFT(N1215,3)=$W$7,LEFT(O1215,3)=$W$7)),"x","")</f>
        <v/>
      </c>
      <c r="X1215" s="84" t="str">
        <f>IF(OR(TH!N1215=TH!$X$7,O1215=TH!$X$7),"x","")</f>
        <v/>
      </c>
      <c r="Y1215" s="84" t="str">
        <f>IF(AND(OR(N1215="131",O1215="131"),H1215='131-CT'!$H$9),"x","")</f>
        <v/>
      </c>
      <c r="Z1215" s="84"/>
      <c r="AA1215" s="84" t="str">
        <f>IF(AND(MONTH(E1215)='IN-NX'!$J$5,'IN-NX'!$D$7=D1215),"x","")</f>
        <v/>
      </c>
      <c r="AB1215" s="84" t="str">
        <f>IF(AND(OR(LEFT(TH!N1215,2)="15",LEFT(TH!O1215,2)="15"),LEFT(TH!O1215,3)&lt;&gt;"111",'152-CT'!$J$8=TH!F1215),"x","")</f>
        <v/>
      </c>
      <c r="AC1215" s="84" t="str">
        <f>IF(AND(OR(LEFT(TH!N1215,2)="15",LEFT(TH!O1215,2)="15"),TK!$E$7=TH!F1215),"x","")</f>
        <v/>
      </c>
      <c r="AD1215" s="84" t="str">
        <f>IF(AND(N1215="1521",MONTH(C1215)='BK-NL'!$M$11),"x","")</f>
        <v/>
      </c>
      <c r="AE1215" s="343" t="str">
        <f t="shared" si="179"/>
        <v>x</v>
      </c>
    </row>
    <row r="1216" spans="1:31" s="347" customFormat="1" ht="15.75" hidden="1" customHeight="1">
      <c r="A1216" s="1176" t="str">
        <f>IF(B1216&lt;&gt;"",IF(AND(B1216='IN-TC'!$S$4,OR(TH!N1216="1111",TH!O1216="1111")),TH!D1216,""),"")</f>
        <v/>
      </c>
      <c r="B1216" s="1003">
        <f t="shared" si="180"/>
        <v>3</v>
      </c>
      <c r="C1216" s="1134">
        <v>42460</v>
      </c>
      <c r="D1216" s="1134" t="s">
        <v>582</v>
      </c>
      <c r="E1216" s="1134">
        <v>42436</v>
      </c>
      <c r="F1216" s="82" t="s">
        <v>1167</v>
      </c>
      <c r="G1216" s="1004" t="s">
        <v>1389</v>
      </c>
      <c r="H1216" s="322" t="s">
        <v>632</v>
      </c>
      <c r="I1216" s="437"/>
      <c r="J1216" s="437"/>
      <c r="K1216" s="428"/>
      <c r="L1216" s="437"/>
      <c r="M1216" s="83">
        <v>2068130</v>
      </c>
      <c r="N1216" s="1128" t="s">
        <v>9</v>
      </c>
      <c r="O1216" s="84" t="s">
        <v>8</v>
      </c>
      <c r="P1216" s="84" t="str">
        <f>IF(AND('331-CT'!$E$7=TH!H1216,OR(N1216="331",O1216="331")),"x","")</f>
        <v/>
      </c>
      <c r="Q1216" s="84" t="str">
        <f>IF(AND(B1216='111'!$L$11,OR($N1216=$Q$7,$O1216=$Q$7)),"x","")</f>
        <v/>
      </c>
      <c r="R1216" s="84" t="str">
        <f>IF(AND($N1216=$Q$7,$B1216&lt;'111'!$L$11),"x","")</f>
        <v/>
      </c>
      <c r="S1216" s="84" t="str">
        <f>IF(AND($O1216=$Q$7,$B1216&lt;'111'!$L$11),"x","")</f>
        <v/>
      </c>
      <c r="T1216" s="84" t="str">
        <f>IF(ISERROR(FIND('112'!$M$9,G1216,1)),"",IF((AND(FIND('112'!$M$9,G1216,1)&gt;=1,B1216='112'!$K$9,OR($N1216='112'!$I$6,$O1216='112'!$I$6))),"x",""))</f>
        <v/>
      </c>
      <c r="U1216" s="84" t="str">
        <f>IF(ISERROR(FIND('112'!$M$9,G1216,1)),"",IF((AND(LEFT(G1216,2)=LEFT('112'!$M$9,2),B1216&lt;'112'!$K$9,$N1216='112'!$I$6)),"x",""))</f>
        <v/>
      </c>
      <c r="V1216" s="84" t="str">
        <f>IF(ISERROR(FIND('112'!$M$9,G1216,1)),"",IF((AND(RIGHT(G1216,2)=RIGHT('112'!$M$9,2),B1216&lt;'112'!$K$9,$O1216='112'!$I$6)),"x",""))</f>
        <v/>
      </c>
      <c r="W1216" s="84" t="str">
        <f>IF(AND('341-CT'!$H$9=H1216,OR(LEFT(N1216,3)=$W$7,LEFT(O1216,3)=$W$7)),"x","")</f>
        <v/>
      </c>
      <c r="X1216" s="84" t="str">
        <f>IF(OR(TH!N1216=TH!$X$7,O1216=TH!$X$7),"x","")</f>
        <v/>
      </c>
      <c r="Y1216" s="84" t="str">
        <f>IF(AND(OR(N1216="131",O1216="131"),H1216='131-CT'!$H$9),"x","")</f>
        <v/>
      </c>
      <c r="Z1216" s="84"/>
      <c r="AA1216" s="84" t="str">
        <f>IF(AND(MONTH(E1216)='IN-NX'!$J$5,'IN-NX'!$D$7=D1216),"x","")</f>
        <v/>
      </c>
      <c r="AB1216" s="84" t="str">
        <f>IF(AND(OR(LEFT(TH!N1216,2)="15",LEFT(TH!O1216,2)="15"),LEFT(TH!O1216,3)&lt;&gt;"111",'152-CT'!$J$8=TH!F1216),"x","")</f>
        <v/>
      </c>
      <c r="AC1216" s="84" t="str">
        <f>IF(AND(OR(LEFT(TH!N1216,2)="15",LEFT(TH!O1216,2)="15"),TK!$E$7=TH!F1216),"x","")</f>
        <v/>
      </c>
      <c r="AD1216" s="84" t="str">
        <f>IF(AND(N1216="1521",MONTH(C1216)='BK-NL'!$M$11),"x","")</f>
        <v/>
      </c>
      <c r="AE1216" s="343" t="str">
        <f t="shared" si="179"/>
        <v>x</v>
      </c>
    </row>
    <row r="1217" spans="1:31" s="347" customFormat="1" ht="15.75" hidden="1" customHeight="1">
      <c r="A1217" s="1176" t="str">
        <f>IF(B1217&lt;&gt;"",IF(AND(B1217='IN-TC'!$S$4,OR(TH!N1217="1111",TH!O1217="1111")),TH!D1217,""),"")</f>
        <v/>
      </c>
      <c r="B1217" s="1003">
        <f t="shared" si="180"/>
        <v>3</v>
      </c>
      <c r="C1217" s="1134">
        <v>42460</v>
      </c>
      <c r="D1217" s="1134" t="s">
        <v>582</v>
      </c>
      <c r="E1217" s="1134">
        <v>42445</v>
      </c>
      <c r="F1217" s="82" t="s">
        <v>1168</v>
      </c>
      <c r="G1217" s="1004" t="s">
        <v>1391</v>
      </c>
      <c r="H1217" s="322" t="s">
        <v>632</v>
      </c>
      <c r="I1217" s="437"/>
      <c r="J1217" s="437"/>
      <c r="K1217" s="428"/>
      <c r="L1217" s="437"/>
      <c r="M1217" s="83">
        <v>21269200</v>
      </c>
      <c r="N1217" s="1128" t="s">
        <v>282</v>
      </c>
      <c r="O1217" s="84" t="s">
        <v>8</v>
      </c>
      <c r="P1217" s="84" t="str">
        <f>IF(AND('331-CT'!$E$7=TH!H1217,OR(N1217="331",O1217="331")),"x","")</f>
        <v/>
      </c>
      <c r="Q1217" s="84" t="str">
        <f>IF(AND(B1217='111'!$L$11,OR($N1217=$Q$7,$O1217=$Q$7)),"x","")</f>
        <v/>
      </c>
      <c r="R1217" s="84" t="str">
        <f>IF(AND($N1217=$Q$7,$B1217&lt;'111'!$L$11),"x","")</f>
        <v/>
      </c>
      <c r="S1217" s="84" t="str">
        <f>IF(AND($O1217=$Q$7,$B1217&lt;'111'!$L$11),"x","")</f>
        <v/>
      </c>
      <c r="T1217" s="84" t="str">
        <f>IF(ISERROR(FIND('112'!$M$9,G1217,1)),"",IF((AND(FIND('112'!$M$9,G1217,1)&gt;=1,B1217='112'!$K$9,OR($N1217='112'!$I$6,$O1217='112'!$I$6))),"x",""))</f>
        <v/>
      </c>
      <c r="U1217" s="84" t="str">
        <f>IF(ISERROR(FIND('112'!$M$9,G1217,1)),"",IF((AND(LEFT(G1217,2)=LEFT('112'!$M$9,2),B1217&lt;'112'!$K$9,$N1217='112'!$I$6)),"x",""))</f>
        <v/>
      </c>
      <c r="V1217" s="84" t="str">
        <f>IF(ISERROR(FIND('112'!$M$9,G1217,1)),"",IF((AND(RIGHT(G1217,2)=RIGHT('112'!$M$9,2),B1217&lt;'112'!$K$9,$O1217='112'!$I$6)),"x",""))</f>
        <v/>
      </c>
      <c r="W1217" s="84" t="str">
        <f>IF(AND('341-CT'!$H$9=H1217,OR(LEFT(N1217,3)=$W$7,LEFT(O1217,3)=$W$7)),"x","")</f>
        <v/>
      </c>
      <c r="X1217" s="84" t="str">
        <f>IF(OR(TH!N1217=TH!$X$7,O1217=TH!$X$7),"x","")</f>
        <v/>
      </c>
      <c r="Y1217" s="84" t="str">
        <f>IF(AND(OR(N1217="131",O1217="131"),H1217='131-CT'!$H$9),"x","")</f>
        <v/>
      </c>
      <c r="Z1217" s="84"/>
      <c r="AA1217" s="84" t="str">
        <f>IF(AND(MONTH(E1217)='IN-NX'!$J$5,'IN-NX'!$D$7=D1217),"x","")</f>
        <v/>
      </c>
      <c r="AB1217" s="84" t="str">
        <f>IF(AND(OR(LEFT(TH!N1217,2)="15",LEFT(TH!O1217,2)="15"),LEFT(TH!O1217,3)&lt;&gt;"111",'152-CT'!$J$8=TH!F1217),"x","")</f>
        <v/>
      </c>
      <c r="AC1217" s="84" t="str">
        <f>IF(AND(OR(LEFT(TH!N1217,2)="15",LEFT(TH!O1217,2)="15"),TK!$E$7=TH!F1217),"x","")</f>
        <v/>
      </c>
      <c r="AD1217" s="84" t="str">
        <f>IF(AND(N1217="1521",MONTH(C1217)='BK-NL'!$M$11),"x","")</f>
        <v/>
      </c>
      <c r="AE1217" s="343" t="str">
        <f t="shared" si="179"/>
        <v>x</v>
      </c>
    </row>
    <row r="1218" spans="1:31" s="347" customFormat="1" ht="15.75" hidden="1" customHeight="1">
      <c r="A1218" s="1176" t="str">
        <f>IF(B1218&lt;&gt;"",IF(AND(B1218='IN-TC'!$S$4,OR(TH!N1218="1111",TH!O1218="1111")),TH!D1218,""),"")</f>
        <v/>
      </c>
      <c r="B1218" s="1003">
        <f t="shared" si="180"/>
        <v>3</v>
      </c>
      <c r="C1218" s="1134">
        <v>42460</v>
      </c>
      <c r="D1218" s="1134" t="s">
        <v>582</v>
      </c>
      <c r="E1218" s="1134">
        <v>42445</v>
      </c>
      <c r="F1218" s="82" t="s">
        <v>1169</v>
      </c>
      <c r="G1218" s="1004" t="s">
        <v>1391</v>
      </c>
      <c r="H1218" s="322" t="s">
        <v>632</v>
      </c>
      <c r="I1218" s="437"/>
      <c r="J1218" s="437"/>
      <c r="K1218" s="428"/>
      <c r="L1218" s="437"/>
      <c r="M1218" s="83">
        <v>2126920</v>
      </c>
      <c r="N1218" s="1128" t="s">
        <v>9</v>
      </c>
      <c r="O1218" s="84" t="s">
        <v>8</v>
      </c>
      <c r="P1218" s="84" t="str">
        <f>IF(AND('331-CT'!$E$7=TH!H1218,OR(N1218="331",O1218="331")),"x","")</f>
        <v/>
      </c>
      <c r="Q1218" s="84" t="str">
        <f>IF(AND(B1218='111'!$L$11,OR($N1218=$Q$7,$O1218=$Q$7)),"x","")</f>
        <v/>
      </c>
      <c r="R1218" s="84" t="str">
        <f>IF(AND($N1218=$Q$7,$B1218&lt;'111'!$L$11),"x","")</f>
        <v/>
      </c>
      <c r="S1218" s="84" t="str">
        <f>IF(AND($O1218=$Q$7,$B1218&lt;'111'!$L$11),"x","")</f>
        <v/>
      </c>
      <c r="T1218" s="84" t="str">
        <f>IF(ISERROR(FIND('112'!$M$9,G1218,1)),"",IF((AND(FIND('112'!$M$9,G1218,1)&gt;=1,B1218='112'!$K$9,OR($N1218='112'!$I$6,$O1218='112'!$I$6))),"x",""))</f>
        <v/>
      </c>
      <c r="U1218" s="84" t="str">
        <f>IF(ISERROR(FIND('112'!$M$9,G1218,1)),"",IF((AND(LEFT(G1218,2)=LEFT('112'!$M$9,2),B1218&lt;'112'!$K$9,$N1218='112'!$I$6)),"x",""))</f>
        <v/>
      </c>
      <c r="V1218" s="84" t="str">
        <f>IF(ISERROR(FIND('112'!$M$9,G1218,1)),"",IF((AND(RIGHT(G1218,2)=RIGHT('112'!$M$9,2),B1218&lt;'112'!$K$9,$O1218='112'!$I$6)),"x",""))</f>
        <v/>
      </c>
      <c r="W1218" s="84" t="str">
        <f>IF(AND('341-CT'!$H$9=H1218,OR(LEFT(N1218,3)=$W$7,LEFT(O1218,3)=$W$7)),"x","")</f>
        <v/>
      </c>
      <c r="X1218" s="84" t="str">
        <f>IF(OR(TH!N1218=TH!$X$7,O1218=TH!$X$7),"x","")</f>
        <v/>
      </c>
      <c r="Y1218" s="84" t="str">
        <f>IF(AND(OR(N1218="131",O1218="131"),H1218='131-CT'!$H$9),"x","")</f>
        <v/>
      </c>
      <c r="Z1218" s="84"/>
      <c r="AA1218" s="84" t="str">
        <f>IF(AND(MONTH(E1218)='IN-NX'!$J$5,'IN-NX'!$D$7=D1218),"x","")</f>
        <v/>
      </c>
      <c r="AB1218" s="84" t="str">
        <f>IF(AND(OR(LEFT(TH!N1218,2)="15",LEFT(TH!O1218,2)="15"),LEFT(TH!O1218,3)&lt;&gt;"111",'152-CT'!$J$8=TH!F1218),"x","")</f>
        <v/>
      </c>
      <c r="AC1218" s="84" t="str">
        <f>IF(AND(OR(LEFT(TH!N1218,2)="15",LEFT(TH!O1218,2)="15"),TK!$E$7=TH!F1218),"x","")</f>
        <v/>
      </c>
      <c r="AD1218" s="84" t="str">
        <f>IF(AND(N1218="1521",MONTH(C1218)='BK-NL'!$M$11),"x","")</f>
        <v/>
      </c>
      <c r="AE1218" s="343" t="str">
        <f t="shared" si="179"/>
        <v>x</v>
      </c>
    </row>
    <row r="1219" spans="1:31" s="347" customFormat="1" ht="15.75" hidden="1" customHeight="1">
      <c r="A1219" s="1176" t="str">
        <f>IF(B1219&lt;&gt;"",IF(AND(B1219='IN-TC'!$S$4,OR(TH!N1219="1111",TH!O1219="1111")),TH!D1219,""),"")</f>
        <v/>
      </c>
      <c r="B1219" s="1003">
        <f t="shared" si="180"/>
        <v>3</v>
      </c>
      <c r="C1219" s="1134">
        <v>42460</v>
      </c>
      <c r="D1219" s="1134" t="s">
        <v>582</v>
      </c>
      <c r="E1219" s="1134">
        <v>42455</v>
      </c>
      <c r="F1219" s="82" t="s">
        <v>1170</v>
      </c>
      <c r="G1219" s="1004" t="s">
        <v>1390</v>
      </c>
      <c r="H1219" s="322" t="s">
        <v>632</v>
      </c>
      <c r="I1219" s="437"/>
      <c r="J1219" s="437"/>
      <c r="K1219" s="428"/>
      <c r="L1219" s="437"/>
      <c r="M1219" s="83">
        <v>20169600</v>
      </c>
      <c r="N1219" s="1128" t="s">
        <v>282</v>
      </c>
      <c r="O1219" s="84" t="s">
        <v>8</v>
      </c>
      <c r="P1219" s="84" t="str">
        <f>IF(AND('331-CT'!$E$7=TH!H1219,OR(N1219="331",O1219="331")),"x","")</f>
        <v/>
      </c>
      <c r="Q1219" s="84" t="str">
        <f>IF(AND(B1219='111'!$L$11,OR($N1219=$Q$7,$O1219=$Q$7)),"x","")</f>
        <v/>
      </c>
      <c r="R1219" s="84" t="str">
        <f>IF(AND($N1219=$Q$7,$B1219&lt;'111'!$L$11),"x","")</f>
        <v/>
      </c>
      <c r="S1219" s="84" t="str">
        <f>IF(AND($O1219=$Q$7,$B1219&lt;'111'!$L$11),"x","")</f>
        <v/>
      </c>
      <c r="T1219" s="84" t="str">
        <f>IF(ISERROR(FIND('112'!$M$9,G1219,1)),"",IF((AND(FIND('112'!$M$9,G1219,1)&gt;=1,B1219='112'!$K$9,OR($N1219='112'!$I$6,$O1219='112'!$I$6))),"x",""))</f>
        <v/>
      </c>
      <c r="U1219" s="84" t="str">
        <f>IF(ISERROR(FIND('112'!$M$9,G1219,1)),"",IF((AND(LEFT(G1219,2)=LEFT('112'!$M$9,2),B1219&lt;'112'!$K$9,$N1219='112'!$I$6)),"x",""))</f>
        <v/>
      </c>
      <c r="V1219" s="84" t="str">
        <f>IF(ISERROR(FIND('112'!$M$9,G1219,1)),"",IF((AND(RIGHT(G1219,2)=RIGHT('112'!$M$9,2),B1219&lt;'112'!$K$9,$O1219='112'!$I$6)),"x",""))</f>
        <v/>
      </c>
      <c r="W1219" s="84" t="str">
        <f>IF(AND('341-CT'!$H$9=H1219,OR(LEFT(N1219,3)=$W$7,LEFT(O1219,3)=$W$7)),"x","")</f>
        <v/>
      </c>
      <c r="X1219" s="84" t="str">
        <f>IF(OR(TH!N1219=TH!$X$7,O1219=TH!$X$7),"x","")</f>
        <v/>
      </c>
      <c r="Y1219" s="84" t="str">
        <f>IF(AND(OR(N1219="131",O1219="131"),H1219='131-CT'!$H$9),"x","")</f>
        <v/>
      </c>
      <c r="Z1219" s="84"/>
      <c r="AA1219" s="84" t="str">
        <f>IF(AND(MONTH(E1219)='IN-NX'!$J$5,'IN-NX'!$D$7=D1219),"x","")</f>
        <v/>
      </c>
      <c r="AB1219" s="84" t="str">
        <f>IF(AND(OR(LEFT(TH!N1219,2)="15",LEFT(TH!O1219,2)="15"),LEFT(TH!O1219,3)&lt;&gt;"111",'152-CT'!$J$8=TH!F1219),"x","")</f>
        <v/>
      </c>
      <c r="AC1219" s="84" t="str">
        <f>IF(AND(OR(LEFT(TH!N1219,2)="15",LEFT(TH!O1219,2)="15"),TK!$E$7=TH!F1219),"x","")</f>
        <v/>
      </c>
      <c r="AD1219" s="84" t="str">
        <f>IF(AND(N1219="1521",MONTH(C1219)='BK-NL'!$M$11),"x","")</f>
        <v/>
      </c>
      <c r="AE1219" s="343" t="str">
        <f t="shared" si="179"/>
        <v>x</v>
      </c>
    </row>
    <row r="1220" spans="1:31" s="347" customFormat="1" ht="15.75" hidden="1" customHeight="1">
      <c r="A1220" s="1176" t="str">
        <f>IF(B1220&lt;&gt;"",IF(AND(B1220='IN-TC'!$S$4,OR(TH!N1220="1111",TH!O1220="1111")),TH!D1220,""),"")</f>
        <v/>
      </c>
      <c r="B1220" s="1003">
        <f t="shared" si="180"/>
        <v>3</v>
      </c>
      <c r="C1220" s="1134">
        <v>42460</v>
      </c>
      <c r="D1220" s="1134" t="s">
        <v>582</v>
      </c>
      <c r="E1220" s="1134">
        <v>42455</v>
      </c>
      <c r="F1220" s="82" t="s">
        <v>1171</v>
      </c>
      <c r="G1220" s="1004" t="s">
        <v>1390</v>
      </c>
      <c r="H1220" s="322" t="s">
        <v>632</v>
      </c>
      <c r="I1220" s="437"/>
      <c r="J1220" s="437"/>
      <c r="K1220" s="428"/>
      <c r="L1220" s="437"/>
      <c r="M1220" s="83">
        <v>2016960</v>
      </c>
      <c r="N1220" s="1128" t="s">
        <v>9</v>
      </c>
      <c r="O1220" s="84" t="s">
        <v>8</v>
      </c>
      <c r="P1220" s="84" t="str">
        <f>IF(AND('331-CT'!$E$7=TH!H1220,OR(N1220="331",O1220="331")),"x","")</f>
        <v/>
      </c>
      <c r="Q1220" s="84" t="str">
        <f>IF(AND(B1220='111'!$L$11,OR($N1220=$Q$7,$O1220=$Q$7)),"x","")</f>
        <v/>
      </c>
      <c r="R1220" s="84" t="str">
        <f>IF(AND($N1220=$Q$7,$B1220&lt;'111'!$L$11),"x","")</f>
        <v/>
      </c>
      <c r="S1220" s="84" t="str">
        <f>IF(AND($O1220=$Q$7,$B1220&lt;'111'!$L$11),"x","")</f>
        <v/>
      </c>
      <c r="T1220" s="84" t="str">
        <f>IF(ISERROR(FIND('112'!$M$9,G1220,1)),"",IF((AND(FIND('112'!$M$9,G1220,1)&gt;=1,B1220='112'!$K$9,OR($N1220='112'!$I$6,$O1220='112'!$I$6))),"x",""))</f>
        <v/>
      </c>
      <c r="U1220" s="84" t="str">
        <f>IF(ISERROR(FIND('112'!$M$9,G1220,1)),"",IF((AND(LEFT(G1220,2)=LEFT('112'!$M$9,2),B1220&lt;'112'!$K$9,$N1220='112'!$I$6)),"x",""))</f>
        <v/>
      </c>
      <c r="V1220" s="84" t="str">
        <f>IF(ISERROR(FIND('112'!$M$9,G1220,1)),"",IF((AND(RIGHT(G1220,2)=RIGHT('112'!$M$9,2),B1220&lt;'112'!$K$9,$O1220='112'!$I$6)),"x",""))</f>
        <v/>
      </c>
      <c r="W1220" s="84" t="str">
        <f>IF(AND('341-CT'!$H$9=H1220,OR(LEFT(N1220,3)=$W$7,LEFT(O1220,3)=$W$7)),"x","")</f>
        <v/>
      </c>
      <c r="X1220" s="84" t="str">
        <f>IF(OR(TH!N1220=TH!$X$7,O1220=TH!$X$7),"x","")</f>
        <v/>
      </c>
      <c r="Y1220" s="84" t="str">
        <f>IF(AND(OR(N1220="131",O1220="131"),H1220='131-CT'!$H$9),"x","")</f>
        <v/>
      </c>
      <c r="Z1220" s="84"/>
      <c r="AA1220" s="84" t="str">
        <f>IF(AND(MONTH(E1220)='IN-NX'!$J$5,'IN-NX'!$D$7=D1220),"x","")</f>
        <v/>
      </c>
      <c r="AB1220" s="84" t="str">
        <f>IF(AND(OR(LEFT(TH!N1220,2)="15",LEFT(TH!O1220,2)="15"),LEFT(TH!O1220,3)&lt;&gt;"111",'152-CT'!$J$8=TH!F1220),"x","")</f>
        <v/>
      </c>
      <c r="AC1220" s="84" t="str">
        <f>IF(AND(OR(LEFT(TH!N1220,2)="15",LEFT(TH!O1220,2)="15"),TK!$E$7=TH!F1220),"x","")</f>
        <v/>
      </c>
      <c r="AD1220" s="84" t="str">
        <f>IF(AND(N1220="1521",MONTH(C1220)='BK-NL'!$M$11),"x","")</f>
        <v/>
      </c>
      <c r="AE1220" s="343" t="str">
        <f t="shared" si="179"/>
        <v>x</v>
      </c>
    </row>
    <row r="1221" spans="1:31" s="347" customFormat="1" ht="15.75" hidden="1" customHeight="1">
      <c r="A1221" s="1176" t="str">
        <f>IF(B1221&lt;&gt;"",IF(AND(B1221='IN-TC'!$S$4,OR(TH!N1221="1111",TH!O1221="1111")),TH!D1221,""),"")</f>
        <v/>
      </c>
      <c r="B1221" s="1003">
        <f t="shared" si="180"/>
        <v>3</v>
      </c>
      <c r="C1221" s="1134">
        <v>42460</v>
      </c>
      <c r="D1221" s="1134" t="s">
        <v>582</v>
      </c>
      <c r="E1221" s="80">
        <v>42447</v>
      </c>
      <c r="F1221" s="82" t="s">
        <v>1172</v>
      </c>
      <c r="G1221" s="985" t="s">
        <v>1174</v>
      </c>
      <c r="H1221" s="82" t="s">
        <v>1175</v>
      </c>
      <c r="I1221" s="437"/>
      <c r="J1221" s="437"/>
      <c r="K1221" s="428"/>
      <c r="L1221" s="437"/>
      <c r="M1221" s="83">
        <v>33545455</v>
      </c>
      <c r="N1221" s="84" t="s">
        <v>162</v>
      </c>
      <c r="O1221" s="84" t="s">
        <v>8</v>
      </c>
      <c r="P1221" s="84" t="str">
        <f>IF(AND('331-CT'!$E$7=TH!H1221,OR(N1221="331",O1221="331")),"x","")</f>
        <v/>
      </c>
      <c r="Q1221" s="84" t="str">
        <f>IF(AND(B1221='111'!$L$11,OR($N1221=$Q$7,$O1221=$Q$7)),"x","")</f>
        <v/>
      </c>
      <c r="R1221" s="84" t="str">
        <f>IF(AND($N1221=$Q$7,$B1221&lt;'111'!$L$11),"x","")</f>
        <v/>
      </c>
      <c r="S1221" s="84" t="str">
        <f>IF(AND($O1221=$Q$7,$B1221&lt;'111'!$L$11),"x","")</f>
        <v/>
      </c>
      <c r="T1221" s="84" t="str">
        <f>IF(ISERROR(FIND('112'!$M$9,G1221,1)),"",IF((AND(FIND('112'!$M$9,G1221,1)&gt;=1,B1221='112'!$K$9,OR($N1221='112'!$I$6,$O1221='112'!$I$6))),"x",""))</f>
        <v/>
      </c>
      <c r="U1221" s="84" t="str">
        <f>IF(ISERROR(FIND('112'!$M$9,G1221,1)),"",IF((AND(LEFT(G1221,2)=LEFT('112'!$M$9,2),B1221&lt;'112'!$K$9,$N1221='112'!$I$6)),"x",""))</f>
        <v/>
      </c>
      <c r="V1221" s="84" t="str">
        <f>IF(ISERROR(FIND('112'!$M$9,G1221,1)),"",IF((AND(RIGHT(G1221,2)=RIGHT('112'!$M$9,2),B1221&lt;'112'!$K$9,$O1221='112'!$I$6)),"x",""))</f>
        <v/>
      </c>
      <c r="W1221" s="84" t="str">
        <f>IF(AND('341-CT'!$H$9=H1221,OR(LEFT(N1221,3)=$W$7,LEFT(O1221,3)=$W$7)),"x","")</f>
        <v/>
      </c>
      <c r="X1221" s="84" t="str">
        <f>IF(OR(TH!N1221=TH!$X$7,O1221=TH!$X$7),"x","")</f>
        <v/>
      </c>
      <c r="Y1221" s="84" t="str">
        <f>IF(AND(OR(N1221="131",O1221="131"),H1221='131-CT'!$H$9),"x","")</f>
        <v/>
      </c>
      <c r="Z1221" s="84"/>
      <c r="AA1221" s="84" t="str">
        <f>IF(AND(MONTH(E1221)='IN-NX'!$J$5,'IN-NX'!$D$7=D1221),"x","")</f>
        <v/>
      </c>
      <c r="AB1221" s="84" t="str">
        <f>IF(AND(OR(LEFT(TH!N1221,2)="15",LEFT(TH!O1221,2)="15"),LEFT(TH!O1221,3)&lt;&gt;"111",'152-CT'!$J$8=TH!F1221),"x","")</f>
        <v/>
      </c>
      <c r="AC1221" s="84" t="str">
        <f>IF(AND(OR(LEFT(TH!N1221,2)="15",LEFT(TH!O1221,2)="15"),TK!$E$7=TH!F1221),"x","")</f>
        <v/>
      </c>
      <c r="AD1221" s="84" t="str">
        <f>IF(AND(N1221="1521",MONTH(C1221)='BK-NL'!$M$11),"x","")</f>
        <v/>
      </c>
      <c r="AE1221" s="343" t="str">
        <f t="shared" si="179"/>
        <v>x</v>
      </c>
    </row>
    <row r="1222" spans="1:31" s="347" customFormat="1" ht="15.75" hidden="1" customHeight="1">
      <c r="A1222" s="1176" t="str">
        <f>IF(B1222&lt;&gt;"",IF(AND(B1222='IN-TC'!$S$4,OR(TH!N1222="1111",TH!O1222="1111")),TH!D1222,""),"")</f>
        <v/>
      </c>
      <c r="B1222" s="1003">
        <f t="shared" si="180"/>
        <v>3</v>
      </c>
      <c r="C1222" s="1134">
        <v>42460</v>
      </c>
      <c r="D1222" s="1134" t="s">
        <v>582</v>
      </c>
      <c r="E1222" s="80">
        <v>42447</v>
      </c>
      <c r="F1222" s="82" t="s">
        <v>1173</v>
      </c>
      <c r="G1222" s="985" t="s">
        <v>1174</v>
      </c>
      <c r="H1222" s="82" t="s">
        <v>1175</v>
      </c>
      <c r="I1222" s="437"/>
      <c r="J1222" s="437"/>
      <c r="K1222" s="428"/>
      <c r="L1222" s="437"/>
      <c r="M1222" s="83">
        <v>3354545</v>
      </c>
      <c r="N1222" s="1128" t="s">
        <v>9</v>
      </c>
      <c r="O1222" s="84" t="s">
        <v>8</v>
      </c>
      <c r="P1222" s="84" t="str">
        <f>IF(AND('331-CT'!$E$7=TH!H1222,OR(N1222="331",O1222="331")),"x","")</f>
        <v/>
      </c>
      <c r="Q1222" s="84" t="str">
        <f>IF(AND(B1222='111'!$L$11,OR($N1222=$Q$7,$O1222=$Q$7)),"x","")</f>
        <v/>
      </c>
      <c r="R1222" s="84" t="str">
        <f>IF(AND($N1222=$Q$7,$B1222&lt;'111'!$L$11),"x","")</f>
        <v/>
      </c>
      <c r="S1222" s="84" t="str">
        <f>IF(AND($O1222=$Q$7,$B1222&lt;'111'!$L$11),"x","")</f>
        <v/>
      </c>
      <c r="T1222" s="84" t="str">
        <f>IF(ISERROR(FIND('112'!$M$9,G1222,1)),"",IF((AND(FIND('112'!$M$9,G1222,1)&gt;=1,B1222='112'!$K$9,OR($N1222='112'!$I$6,$O1222='112'!$I$6))),"x",""))</f>
        <v/>
      </c>
      <c r="U1222" s="84" t="str">
        <f>IF(ISERROR(FIND('112'!$M$9,G1222,1)),"",IF((AND(LEFT(G1222,2)=LEFT('112'!$M$9,2),B1222&lt;'112'!$K$9,$N1222='112'!$I$6)),"x",""))</f>
        <v/>
      </c>
      <c r="V1222" s="84" t="str">
        <f>IF(ISERROR(FIND('112'!$M$9,G1222,1)),"",IF((AND(RIGHT(G1222,2)=RIGHT('112'!$M$9,2),B1222&lt;'112'!$K$9,$O1222='112'!$I$6)),"x",""))</f>
        <v/>
      </c>
      <c r="W1222" s="84" t="str">
        <f>IF(AND('341-CT'!$H$9=H1222,OR(LEFT(N1222,3)=$W$7,LEFT(O1222,3)=$W$7)),"x","")</f>
        <v/>
      </c>
      <c r="X1222" s="84" t="str">
        <f>IF(OR(TH!N1222=TH!$X$7,O1222=TH!$X$7),"x","")</f>
        <v/>
      </c>
      <c r="Y1222" s="84" t="str">
        <f>IF(AND(OR(N1222="131",O1222="131"),H1222='131-CT'!$H$9),"x","")</f>
        <v/>
      </c>
      <c r="Z1222" s="84"/>
      <c r="AA1222" s="84" t="str">
        <f>IF(AND(MONTH(E1222)='IN-NX'!$J$5,'IN-NX'!$D$7=D1222),"x","")</f>
        <v/>
      </c>
      <c r="AB1222" s="84" t="str">
        <f>IF(AND(OR(LEFT(TH!N1222,2)="15",LEFT(TH!O1222,2)="15"),LEFT(TH!O1222,3)&lt;&gt;"111",'152-CT'!$J$8=TH!F1222),"x","")</f>
        <v/>
      </c>
      <c r="AC1222" s="84" t="str">
        <f>IF(AND(OR(LEFT(TH!N1222,2)="15",LEFT(TH!O1222,2)="15"),TK!$E$7=TH!F1222),"x","")</f>
        <v/>
      </c>
      <c r="AD1222" s="84" t="str">
        <f>IF(AND(N1222="1521",MONTH(C1222)='BK-NL'!$M$11),"x","")</f>
        <v/>
      </c>
      <c r="AE1222" s="343" t="str">
        <f t="shared" si="179"/>
        <v>x</v>
      </c>
    </row>
    <row r="1223" spans="1:31" s="347" customFormat="1" ht="15.75" hidden="1" customHeight="1">
      <c r="A1223" s="1176" t="str">
        <f>IF(B1223&lt;&gt;"",IF(AND(B1223='IN-TC'!$S$4,OR(TH!N1223="1111",TH!O1223="1111")),TH!D1223,""),"")</f>
        <v/>
      </c>
      <c r="B1223" s="1003">
        <f>IF(C1223&lt;&gt;"",MONTH(C1223),"")</f>
        <v>3</v>
      </c>
      <c r="C1223" s="1134">
        <v>42460</v>
      </c>
      <c r="D1223" s="1134" t="s">
        <v>582</v>
      </c>
      <c r="E1223" s="80">
        <v>42454</v>
      </c>
      <c r="F1223" s="82" t="s">
        <v>1429</v>
      </c>
      <c r="G1223" s="985"/>
      <c r="H1223" s="82" t="s">
        <v>1430</v>
      </c>
      <c r="I1223" s="437"/>
      <c r="J1223" s="437"/>
      <c r="K1223" s="428"/>
      <c r="L1223" s="437"/>
      <c r="M1223" s="83">
        <v>1000000</v>
      </c>
      <c r="N1223" s="1128" t="s">
        <v>101</v>
      </c>
      <c r="O1223" s="84" t="s">
        <v>8</v>
      </c>
      <c r="P1223" s="84" t="str">
        <f>IF(AND('331-CT'!$E$7=TH!H1223,OR(N1223="331",O1223="331")),"x","")</f>
        <v/>
      </c>
      <c r="Q1223" s="84" t="str">
        <f>IF(AND(B1223='111'!$L$11,OR($N1223=$Q$7,$O1223=$Q$7)),"x","")</f>
        <v/>
      </c>
      <c r="R1223" s="84" t="str">
        <f>IF(AND($N1223=$Q$7,$B1223&lt;'111'!$L$11),"x","")</f>
        <v/>
      </c>
      <c r="S1223" s="84" t="str">
        <f>IF(AND($O1223=$Q$7,$B1223&lt;'111'!$L$11),"x","")</f>
        <v/>
      </c>
      <c r="T1223" s="84" t="str">
        <f>IF(ISERROR(FIND('112'!$M$9,G1223,1)),"",IF((AND(FIND('112'!$M$9,G1223,1)&gt;=1,B1223='112'!$K$9,OR($N1223='112'!$I$6,$O1223='112'!$I$6))),"x",""))</f>
        <v/>
      </c>
      <c r="U1223" s="84" t="str">
        <f>IF(ISERROR(FIND('112'!$M$9,G1223,1)),"",IF((AND(LEFT(G1223,2)=LEFT('112'!$M$9,2),B1223&lt;'112'!$K$9,$N1223='112'!$I$6)),"x",""))</f>
        <v/>
      </c>
      <c r="V1223" s="84" t="str">
        <f>IF(ISERROR(FIND('112'!$M$9,G1223,1)),"",IF((AND(RIGHT(G1223,2)=RIGHT('112'!$M$9,2),B1223&lt;'112'!$K$9,$O1223='112'!$I$6)),"x",""))</f>
        <v/>
      </c>
      <c r="W1223" s="84" t="str">
        <f>IF(AND('341-CT'!$H$9=H1223,OR(LEFT(N1223,3)=$W$7,LEFT(O1223,3)=$W$7)),"x","")</f>
        <v/>
      </c>
      <c r="X1223" s="84" t="str">
        <f>IF(OR(TH!N1223=TH!$X$7,O1223=TH!$X$7),"x","")</f>
        <v/>
      </c>
      <c r="Y1223" s="84" t="str">
        <f>IF(AND(OR(N1223="131",O1223="131"),H1223='131-CT'!$H$9),"x","")</f>
        <v/>
      </c>
      <c r="Z1223" s="84"/>
      <c r="AA1223" s="84" t="str">
        <f>IF(AND(MONTH(E1223)='IN-NX'!$J$5,'IN-NX'!$D$7=D1223),"x","")</f>
        <v/>
      </c>
      <c r="AB1223" s="84" t="str">
        <f>IF(AND(OR(LEFT(TH!N1223,2)="15",LEFT(TH!O1223,2)="15"),LEFT(TH!O1223,3)&lt;&gt;"111",'152-CT'!$J$8=TH!F1223),"x","")</f>
        <v/>
      </c>
      <c r="AC1223" s="84" t="str">
        <f>IF(AND(OR(LEFT(TH!N1223,2)="15",LEFT(TH!O1223,2)="15"),TK!$E$7=TH!F1223),"x","")</f>
        <v/>
      </c>
      <c r="AD1223" s="84" t="str">
        <f>IF(AND(N1223="1521",MONTH(C1223)='BK-NL'!$M$11),"x","")</f>
        <v/>
      </c>
      <c r="AE1223" s="343" t="str">
        <f t="shared" si="179"/>
        <v>x</v>
      </c>
    </row>
    <row r="1224" spans="1:31" s="347" customFormat="1" ht="15.75" hidden="1" customHeight="1">
      <c r="A1224" s="1176" t="str">
        <f>IF(B1224&lt;&gt;"",IF(AND(B1224='IN-TC'!$S$4,OR(TH!N1224="1111",TH!O1224="1111")),TH!D1224,""),"")</f>
        <v/>
      </c>
      <c r="B1224" s="1003">
        <f t="shared" si="180"/>
        <v>3</v>
      </c>
      <c r="C1224" s="1134">
        <v>42460</v>
      </c>
      <c r="D1224" s="1134" t="s">
        <v>582</v>
      </c>
      <c r="E1224" s="80">
        <v>42369</v>
      </c>
      <c r="F1224" s="82" t="s">
        <v>638</v>
      </c>
      <c r="G1224" s="985" t="s">
        <v>1177</v>
      </c>
      <c r="H1224" s="1214" t="s">
        <v>629</v>
      </c>
      <c r="I1224" s="437"/>
      <c r="J1224" s="437"/>
      <c r="K1224" s="428"/>
      <c r="L1224" s="437"/>
      <c r="M1224" s="83">
        <v>480000</v>
      </c>
      <c r="N1224" s="84" t="s">
        <v>591</v>
      </c>
      <c r="O1224" s="84" t="s">
        <v>8</v>
      </c>
      <c r="P1224" s="84" t="str">
        <f>IF(AND('331-CT'!$E$7=TH!H1224,OR(N1224="331",O1224="331")),"x","")</f>
        <v/>
      </c>
      <c r="Q1224" s="84" t="str">
        <f>IF(AND(B1224='111'!$L$11,OR($N1224=$Q$7,$O1224=$Q$7)),"x","")</f>
        <v/>
      </c>
      <c r="R1224" s="84" t="str">
        <f>IF(AND($N1224=$Q$7,$B1224&lt;'111'!$L$11),"x","")</f>
        <v/>
      </c>
      <c r="S1224" s="84" t="str">
        <f>IF(AND($O1224=$Q$7,$B1224&lt;'111'!$L$11),"x","")</f>
        <v/>
      </c>
      <c r="T1224" s="84" t="str">
        <f>IF(ISERROR(FIND('112'!$M$9,G1224,1)),"",IF((AND(FIND('112'!$M$9,G1224,1)&gt;=1,B1224='112'!$K$9,OR($N1224='112'!$I$6,$O1224='112'!$I$6))),"x",""))</f>
        <v/>
      </c>
      <c r="U1224" s="84" t="str">
        <f>IF(ISERROR(FIND('112'!$M$9,G1224,1)),"",IF((AND(LEFT(G1224,2)=LEFT('112'!$M$9,2),B1224&lt;'112'!$K$9,$N1224='112'!$I$6)),"x",""))</f>
        <v/>
      </c>
      <c r="V1224" s="84" t="str">
        <f>IF(ISERROR(FIND('112'!$M$9,G1224,1)),"",IF((AND(RIGHT(G1224,2)=RIGHT('112'!$M$9,2),B1224&lt;'112'!$K$9,$O1224='112'!$I$6)),"x",""))</f>
        <v/>
      </c>
      <c r="W1224" s="84" t="str">
        <f>IF(AND('341-CT'!$H$9=H1224,OR(LEFT(N1224,3)=$W$7,LEFT(O1224,3)=$W$7)),"x","")</f>
        <v/>
      </c>
      <c r="X1224" s="84" t="str">
        <f>IF(OR(TH!N1224=TH!$X$7,O1224=TH!$X$7),"x","")</f>
        <v/>
      </c>
      <c r="Y1224" s="84" t="str">
        <f>IF(AND(OR(N1224="131",O1224="131"),H1224='131-CT'!$H$9),"x","")</f>
        <v/>
      </c>
      <c r="Z1224" s="84"/>
      <c r="AA1224" s="84" t="str">
        <f>IF(AND(MONTH(E1224)='IN-NX'!$J$5,'IN-NX'!$D$7=D1224),"x","")</f>
        <v/>
      </c>
      <c r="AB1224" s="84" t="str">
        <f>IF(AND(OR(LEFT(TH!N1224,2)="15",LEFT(TH!O1224,2)="15"),LEFT(TH!O1224,3)&lt;&gt;"111",'152-CT'!$J$8=TH!F1224),"x","")</f>
        <v/>
      </c>
      <c r="AC1224" s="84" t="str">
        <f>IF(AND(OR(LEFT(TH!N1224,2)="15",LEFT(TH!O1224,2)="15"),TK!$E$7=TH!F1224),"x","")</f>
        <v/>
      </c>
      <c r="AD1224" s="84" t="str">
        <f>IF(AND(N1224="1521",MONTH(C1224)='BK-NL'!$M$11),"x","")</f>
        <v/>
      </c>
      <c r="AE1224" s="343" t="str">
        <f t="shared" si="179"/>
        <v>x</v>
      </c>
    </row>
    <row r="1225" spans="1:31" s="347" customFormat="1" ht="15.75" hidden="1" customHeight="1">
      <c r="A1225" s="1176" t="str">
        <f>IF(B1225&lt;&gt;"",IF(AND(B1225='IN-TC'!$S$4,OR(TH!N1225="1111",TH!O1225="1111")),TH!D1225,""),"")</f>
        <v/>
      </c>
      <c r="B1225" s="1003">
        <f t="shared" si="180"/>
        <v>3</v>
      </c>
      <c r="C1225" s="1134">
        <v>42460</v>
      </c>
      <c r="D1225" s="1134" t="s">
        <v>582</v>
      </c>
      <c r="E1225" s="80">
        <v>42369</v>
      </c>
      <c r="F1225" s="82" t="s">
        <v>1176</v>
      </c>
      <c r="G1225" s="985" t="s">
        <v>1178</v>
      </c>
      <c r="H1225" s="1214" t="s">
        <v>629</v>
      </c>
      <c r="I1225" s="437"/>
      <c r="J1225" s="437"/>
      <c r="K1225" s="428"/>
      <c r="L1225" s="437"/>
      <c r="M1225" s="83">
        <v>5737000</v>
      </c>
      <c r="N1225" s="84" t="s">
        <v>591</v>
      </c>
      <c r="O1225" s="84" t="s">
        <v>8</v>
      </c>
      <c r="P1225" s="84" t="str">
        <f>IF(AND('331-CT'!$E$7=TH!H1225,OR(N1225="331",O1225="331")),"x","")</f>
        <v/>
      </c>
      <c r="Q1225" s="84" t="str">
        <f>IF(AND(B1225='111'!$L$11,OR($N1225=$Q$7,$O1225=$Q$7)),"x","")</f>
        <v/>
      </c>
      <c r="R1225" s="84" t="str">
        <f>IF(AND($N1225=$Q$7,$B1225&lt;'111'!$L$11),"x","")</f>
        <v/>
      </c>
      <c r="S1225" s="84" t="str">
        <f>IF(AND($O1225=$Q$7,$B1225&lt;'111'!$L$11),"x","")</f>
        <v/>
      </c>
      <c r="T1225" s="84" t="str">
        <f>IF(ISERROR(FIND('112'!$M$9,G1225,1)),"",IF((AND(FIND('112'!$M$9,G1225,1)&gt;=1,B1225='112'!$K$9,OR($N1225='112'!$I$6,$O1225='112'!$I$6))),"x",""))</f>
        <v/>
      </c>
      <c r="U1225" s="84" t="str">
        <f>IF(ISERROR(FIND('112'!$M$9,G1225,1)),"",IF((AND(LEFT(G1225,2)=LEFT('112'!$M$9,2),B1225&lt;'112'!$K$9,$N1225='112'!$I$6)),"x",""))</f>
        <v/>
      </c>
      <c r="V1225" s="84" t="str">
        <f>IF(ISERROR(FIND('112'!$M$9,G1225,1)),"",IF((AND(RIGHT(G1225,2)=RIGHT('112'!$M$9,2),B1225&lt;'112'!$K$9,$O1225='112'!$I$6)),"x",""))</f>
        <v/>
      </c>
      <c r="W1225" s="84" t="str">
        <f>IF(AND('341-CT'!$H$9=H1225,OR(LEFT(N1225,3)=$W$7,LEFT(O1225,3)=$W$7)),"x","")</f>
        <v/>
      </c>
      <c r="X1225" s="84" t="str">
        <f>IF(OR(TH!N1225=TH!$X$7,O1225=TH!$X$7),"x","")</f>
        <v/>
      </c>
      <c r="Y1225" s="84" t="str">
        <f>IF(AND(OR(N1225="131",O1225="131"),H1225='131-CT'!$H$9),"x","")</f>
        <v/>
      </c>
      <c r="Z1225" s="84"/>
      <c r="AA1225" s="84" t="str">
        <f>IF(AND(MONTH(E1225)='IN-NX'!$J$5,'IN-NX'!$D$7=D1225),"x","")</f>
        <v/>
      </c>
      <c r="AB1225" s="84" t="str">
        <f>IF(AND(OR(LEFT(TH!N1225,2)="15",LEFT(TH!O1225,2)="15"),LEFT(TH!O1225,3)&lt;&gt;"111",'152-CT'!$J$8=TH!F1225),"x","")</f>
        <v/>
      </c>
      <c r="AC1225" s="84" t="str">
        <f>IF(AND(OR(LEFT(TH!N1225,2)="15",LEFT(TH!O1225,2)="15"),TK!$E$7=TH!F1225),"x","")</f>
        <v/>
      </c>
      <c r="AD1225" s="84" t="str">
        <f>IF(AND(N1225="1521",MONTH(C1225)='BK-NL'!$M$11),"x","")</f>
        <v/>
      </c>
      <c r="AE1225" s="343" t="str">
        <f t="shared" si="179"/>
        <v>x</v>
      </c>
    </row>
    <row r="1226" spans="1:31" s="347" customFormat="1" ht="15.75" hidden="1" customHeight="1">
      <c r="A1226" s="1176" t="str">
        <f>IF(B1226&lt;&gt;"",IF(AND(B1226='IN-TC'!$S$4,OR(TH!N1226="1111",TH!O1226="1111")),TH!D1226,""),"")</f>
        <v/>
      </c>
      <c r="B1226" s="1003">
        <f t="shared" si="180"/>
        <v>3</v>
      </c>
      <c r="C1226" s="1134">
        <v>42460</v>
      </c>
      <c r="D1226" s="1134" t="s">
        <v>582</v>
      </c>
      <c r="E1226" s="1134">
        <v>42445</v>
      </c>
      <c r="F1226" s="82" t="s">
        <v>769</v>
      </c>
      <c r="G1226" s="985" t="s">
        <v>1140</v>
      </c>
      <c r="H1226" s="322" t="s">
        <v>1139</v>
      </c>
      <c r="I1226" s="437"/>
      <c r="J1226" s="437"/>
      <c r="K1226" s="428"/>
      <c r="L1226" s="437"/>
      <c r="M1226" s="83">
        <v>10528000</v>
      </c>
      <c r="N1226" s="84" t="s">
        <v>591</v>
      </c>
      <c r="O1226" s="84" t="s">
        <v>8</v>
      </c>
      <c r="P1226" s="84" t="str">
        <f>IF(AND('331-CT'!$E$7=TH!H1226,OR(N1226="331",O1226="331")),"x","")</f>
        <v/>
      </c>
      <c r="Q1226" s="84" t="str">
        <f>IF(AND(B1226='111'!$L$11,OR($N1226=$Q$7,$O1226=$Q$7)),"x","")</f>
        <v/>
      </c>
      <c r="R1226" s="84" t="str">
        <f>IF(AND($N1226=$Q$7,$B1226&lt;'111'!$L$11),"x","")</f>
        <v/>
      </c>
      <c r="S1226" s="84" t="str">
        <f>IF(AND($O1226=$Q$7,$B1226&lt;'111'!$L$11),"x","")</f>
        <v/>
      </c>
      <c r="T1226" s="84" t="str">
        <f>IF(ISERROR(FIND('112'!$M$9,G1226,1)),"",IF((AND(FIND('112'!$M$9,G1226,1)&gt;=1,B1226='112'!$K$9,OR($N1226='112'!$I$6,$O1226='112'!$I$6))),"x",""))</f>
        <v/>
      </c>
      <c r="U1226" s="84" t="str">
        <f>IF(ISERROR(FIND('112'!$M$9,G1226,1)),"",IF((AND(LEFT(G1226,2)=LEFT('112'!$M$9,2),B1226&lt;'112'!$K$9,$N1226='112'!$I$6)),"x",""))</f>
        <v/>
      </c>
      <c r="V1226" s="84" t="str">
        <f>IF(ISERROR(FIND('112'!$M$9,G1226,1)),"",IF((AND(RIGHT(G1226,2)=RIGHT('112'!$M$9,2),B1226&lt;'112'!$K$9,$O1226='112'!$I$6)),"x",""))</f>
        <v/>
      </c>
      <c r="W1226" s="84" t="str">
        <f>IF(AND('341-CT'!$H$9=H1226,OR(LEFT(N1226,3)=$W$7,LEFT(O1226,3)=$W$7)),"x","")</f>
        <v/>
      </c>
      <c r="X1226" s="84" t="str">
        <f>IF(OR(TH!N1226=TH!$X$7,O1226=TH!$X$7),"x","")</f>
        <v/>
      </c>
      <c r="Y1226" s="84" t="str">
        <f>IF(AND(OR(N1226="131",O1226="131"),H1226='131-CT'!$H$9),"x","")</f>
        <v/>
      </c>
      <c r="Z1226" s="84"/>
      <c r="AA1226" s="84" t="str">
        <f>IF(AND(MONTH(E1226)='IN-NX'!$J$5,'IN-NX'!$D$7=D1226),"x","")</f>
        <v/>
      </c>
      <c r="AB1226" s="84" t="str">
        <f>IF(AND(OR(LEFT(TH!N1226,2)="15",LEFT(TH!O1226,2)="15"),LEFT(TH!O1226,3)&lt;&gt;"111",'152-CT'!$J$8=TH!F1226),"x","")</f>
        <v/>
      </c>
      <c r="AC1226" s="84" t="str">
        <f>IF(AND(OR(LEFT(TH!N1226,2)="15",LEFT(TH!O1226,2)="15"),TK!$E$7=TH!F1226),"x","")</f>
        <v/>
      </c>
      <c r="AD1226" s="84" t="str">
        <f>IF(AND(N1226="1521",MONTH(C1226)='BK-NL'!$M$11),"x","")</f>
        <v/>
      </c>
      <c r="AE1226" s="343" t="str">
        <f t="shared" si="179"/>
        <v>x</v>
      </c>
    </row>
    <row r="1227" spans="1:31" s="347" customFormat="1" ht="15.75" hidden="1" customHeight="1">
      <c r="A1227" s="1176" t="str">
        <f>IF(B1227&lt;&gt;"",IF(AND(B1227='IN-TC'!$S$4,OR(TH!N1227="1111",TH!O1227="1111")),TH!D1227,""),"")</f>
        <v/>
      </c>
      <c r="B1227" s="1003">
        <f t="shared" si="180"/>
        <v>3</v>
      </c>
      <c r="C1227" s="1134">
        <v>42460</v>
      </c>
      <c r="D1227" s="1134" t="s">
        <v>582</v>
      </c>
      <c r="E1227" s="1134">
        <v>42445</v>
      </c>
      <c r="F1227" s="82" t="s">
        <v>1136</v>
      </c>
      <c r="G1227" s="1004" t="s">
        <v>1138</v>
      </c>
      <c r="H1227" s="322" t="s">
        <v>1139</v>
      </c>
      <c r="I1227" s="437"/>
      <c r="J1227" s="437"/>
      <c r="K1227" s="428"/>
      <c r="L1227" s="437"/>
      <c r="M1227" s="83">
        <v>5219200</v>
      </c>
      <c r="N1227" s="1128" t="s">
        <v>591</v>
      </c>
      <c r="O1227" s="84" t="s">
        <v>8</v>
      </c>
      <c r="P1227" s="84" t="str">
        <f>IF(AND('331-CT'!$E$7=TH!H1227,OR(N1227="331",O1227="331")),"x","")</f>
        <v/>
      </c>
      <c r="Q1227" s="84" t="str">
        <f>IF(AND(B1227='111'!$L$11,OR($N1227=$Q$7,$O1227=$Q$7)),"x","")</f>
        <v/>
      </c>
      <c r="R1227" s="84" t="str">
        <f>IF(AND($N1227=$Q$7,$B1227&lt;'111'!$L$11),"x","")</f>
        <v/>
      </c>
      <c r="S1227" s="84" t="str">
        <f>IF(AND($O1227=$Q$7,$B1227&lt;'111'!$L$11),"x","")</f>
        <v/>
      </c>
      <c r="T1227" s="84" t="str">
        <f>IF(ISERROR(FIND('112'!$M$9,G1227,1)),"",IF((AND(FIND('112'!$M$9,G1227,1)&gt;=1,B1227='112'!$K$9,OR($N1227='112'!$I$6,$O1227='112'!$I$6))),"x",""))</f>
        <v/>
      </c>
      <c r="U1227" s="84" t="str">
        <f>IF(ISERROR(FIND('112'!$M$9,G1227,1)),"",IF((AND(LEFT(G1227,2)=LEFT('112'!$M$9,2),B1227&lt;'112'!$K$9,$N1227='112'!$I$6)),"x",""))</f>
        <v/>
      </c>
      <c r="V1227" s="84" t="str">
        <f>IF(ISERROR(FIND('112'!$M$9,G1227,1)),"",IF((AND(RIGHT(G1227,2)=RIGHT('112'!$M$9,2),B1227&lt;'112'!$K$9,$O1227='112'!$I$6)),"x",""))</f>
        <v/>
      </c>
      <c r="W1227" s="84" t="str">
        <f>IF(AND('341-CT'!$H$9=H1227,OR(LEFT(N1227,3)=$W$7,LEFT(O1227,3)=$W$7)),"x","")</f>
        <v/>
      </c>
      <c r="X1227" s="84" t="str">
        <f>IF(OR(TH!N1227=TH!$X$7,O1227=TH!$X$7),"x","")</f>
        <v/>
      </c>
      <c r="Y1227" s="84" t="str">
        <f>IF(AND(OR(N1227="131",O1227="131"),H1227='131-CT'!$H$9),"x","")</f>
        <v/>
      </c>
      <c r="Z1227" s="84"/>
      <c r="AA1227" s="84" t="str">
        <f>IF(AND(MONTH(E1227)='IN-NX'!$J$5,'IN-NX'!$D$7=D1227),"x","")</f>
        <v/>
      </c>
      <c r="AB1227" s="84" t="str">
        <f>IF(AND(OR(LEFT(TH!N1227,2)="15",LEFT(TH!O1227,2)="15"),LEFT(TH!O1227,3)&lt;&gt;"111",'152-CT'!$J$8=TH!F1227),"x","")</f>
        <v/>
      </c>
      <c r="AC1227" s="84" t="str">
        <f>IF(AND(OR(LEFT(TH!N1227,2)="15",LEFT(TH!O1227,2)="15"),TK!$E$7=TH!F1227),"x","")</f>
        <v/>
      </c>
      <c r="AD1227" s="84" t="str">
        <f>IF(AND(N1227="1521",MONTH(C1227)='BK-NL'!$M$11),"x","")</f>
        <v/>
      </c>
      <c r="AE1227" s="343" t="str">
        <f t="shared" si="179"/>
        <v>x</v>
      </c>
    </row>
    <row r="1228" spans="1:31" s="347" customFormat="1" ht="15.75" hidden="1" customHeight="1">
      <c r="A1228" s="1176" t="str">
        <f>IF(B1228&lt;&gt;"",IF(AND(B1228='IN-TC'!$S$4,OR(TH!N1228="1111",TH!O1228="1111")),TH!D1228,""),"")</f>
        <v/>
      </c>
      <c r="B1228" s="1003">
        <f t="shared" si="180"/>
        <v>3</v>
      </c>
      <c r="C1228" s="1134">
        <v>42460</v>
      </c>
      <c r="D1228" s="1134" t="s">
        <v>582</v>
      </c>
      <c r="E1228" s="1134">
        <v>42445</v>
      </c>
      <c r="F1228" s="82" t="s">
        <v>1137</v>
      </c>
      <c r="G1228" s="1004" t="s">
        <v>1138</v>
      </c>
      <c r="H1228" s="322" t="s">
        <v>1139</v>
      </c>
      <c r="I1228" s="437"/>
      <c r="J1228" s="437"/>
      <c r="K1228" s="428"/>
      <c r="L1228" s="437"/>
      <c r="M1228" s="83">
        <v>521920</v>
      </c>
      <c r="N1228" s="1128" t="s">
        <v>9</v>
      </c>
      <c r="O1228" s="84" t="s">
        <v>8</v>
      </c>
      <c r="P1228" s="84" t="str">
        <f>IF(AND('331-CT'!$E$7=TH!H1228,OR(N1228="331",O1228="331")),"x","")</f>
        <v/>
      </c>
      <c r="Q1228" s="84" t="str">
        <f>IF(AND(B1228='111'!$L$11,OR($N1228=$Q$7,$O1228=$Q$7)),"x","")</f>
        <v/>
      </c>
      <c r="R1228" s="84" t="str">
        <f>IF(AND($N1228=$Q$7,$B1228&lt;'111'!$L$11),"x","")</f>
        <v/>
      </c>
      <c r="S1228" s="84" t="str">
        <f>IF(AND($O1228=$Q$7,$B1228&lt;'111'!$L$11),"x","")</f>
        <v/>
      </c>
      <c r="T1228" s="84" t="str">
        <f>IF(ISERROR(FIND('112'!$M$9,G1228,1)),"",IF((AND(FIND('112'!$M$9,G1228,1)&gt;=1,B1228='112'!$K$9,OR($N1228='112'!$I$6,$O1228='112'!$I$6))),"x",""))</f>
        <v/>
      </c>
      <c r="U1228" s="84" t="str">
        <f>IF(ISERROR(FIND('112'!$M$9,G1228,1)),"",IF((AND(LEFT(G1228,2)=LEFT('112'!$M$9,2),B1228&lt;'112'!$K$9,$N1228='112'!$I$6)),"x",""))</f>
        <v/>
      </c>
      <c r="V1228" s="84" t="str">
        <f>IF(ISERROR(FIND('112'!$M$9,G1228,1)),"",IF((AND(RIGHT(G1228,2)=RIGHT('112'!$M$9,2),B1228&lt;'112'!$K$9,$O1228='112'!$I$6)),"x",""))</f>
        <v/>
      </c>
      <c r="W1228" s="84" t="str">
        <f>IF(AND('341-CT'!$H$9=H1228,OR(LEFT(N1228,3)=$W$7,LEFT(O1228,3)=$W$7)),"x","")</f>
        <v/>
      </c>
      <c r="X1228" s="84" t="str">
        <f>IF(OR(TH!N1228=TH!$X$7,O1228=TH!$X$7),"x","")</f>
        <v/>
      </c>
      <c r="Y1228" s="84" t="str">
        <f>IF(AND(OR(N1228="131",O1228="131"),H1228='131-CT'!$H$9),"x","")</f>
        <v/>
      </c>
      <c r="Z1228" s="84"/>
      <c r="AA1228" s="84" t="str">
        <f>IF(AND(MONTH(E1228)='IN-NX'!$J$5,'IN-NX'!$D$7=D1228),"x","")</f>
        <v/>
      </c>
      <c r="AB1228" s="84" t="str">
        <f>IF(AND(OR(LEFT(TH!N1228,2)="15",LEFT(TH!O1228,2)="15"),LEFT(TH!O1228,3)&lt;&gt;"111",'152-CT'!$J$8=TH!F1228),"x","")</f>
        <v/>
      </c>
      <c r="AC1228" s="84" t="str">
        <f>IF(AND(OR(LEFT(TH!N1228,2)="15",LEFT(TH!O1228,2)="15"),TK!$E$7=TH!F1228),"x","")</f>
        <v/>
      </c>
      <c r="AD1228" s="84" t="str">
        <f>IF(AND(N1228="1521",MONTH(C1228)='BK-NL'!$M$11),"x","")</f>
        <v/>
      </c>
      <c r="AE1228" s="343" t="str">
        <f t="shared" si="179"/>
        <v>x</v>
      </c>
    </row>
    <row r="1229" spans="1:31" s="347" customFormat="1" ht="15.75" hidden="1" customHeight="1">
      <c r="A1229" s="1176" t="str">
        <f>IF(B1229&lt;&gt;"",IF(AND(B1229='IN-TC'!$S$4,OR(TH!N1229="1111",TH!O1229="1111")),TH!D1229,""),"")</f>
        <v/>
      </c>
      <c r="B1229" s="1003">
        <f>IF(C1229&lt;&gt;"",MONTH(C1229),"")</f>
        <v>3</v>
      </c>
      <c r="C1229" s="1134">
        <v>42460</v>
      </c>
      <c r="D1229" s="1134" t="s">
        <v>582</v>
      </c>
      <c r="E1229" s="1134">
        <f>C1229</f>
        <v>42460</v>
      </c>
      <c r="F1229" s="82" t="s">
        <v>1359</v>
      </c>
      <c r="G1229" s="1004"/>
      <c r="H1229" s="322" t="s">
        <v>1360</v>
      </c>
      <c r="I1229" s="437"/>
      <c r="J1229" s="437"/>
      <c r="K1229" s="428"/>
      <c r="L1229" s="437"/>
      <c r="M1229" s="83">
        <v>13069999</v>
      </c>
      <c r="N1229" s="1128" t="s">
        <v>77</v>
      </c>
      <c r="O1229" s="1128" t="s">
        <v>92</v>
      </c>
      <c r="P1229" s="84" t="str">
        <f>IF(AND('331-CT'!$E$7=TH!H1229,OR(N1229="331",O1229="331")),"x","")</f>
        <v/>
      </c>
      <c r="Q1229" s="84" t="str">
        <f>IF(AND(B1229='111'!$L$11,OR($N1229=$Q$7,$O1229=$Q$7)),"x","")</f>
        <v/>
      </c>
      <c r="R1229" s="84" t="str">
        <f>IF(AND($N1229=$Q$7,$B1229&lt;'111'!$L$11),"x","")</f>
        <v/>
      </c>
      <c r="S1229" s="84" t="str">
        <f>IF(AND($O1229=$Q$7,$B1229&lt;'111'!$L$11),"x","")</f>
        <v/>
      </c>
      <c r="T1229" s="84" t="str">
        <f>IF(ISERROR(FIND('112'!$M$9,G1229,1)),"",IF((AND(FIND('112'!$M$9,G1229,1)&gt;=1,B1229='112'!$K$9,OR($N1229='112'!$I$6,$O1229='112'!$I$6))),"x",""))</f>
        <v/>
      </c>
      <c r="U1229" s="84" t="str">
        <f>IF(ISERROR(FIND('112'!$M$9,G1229,1)),"",IF((AND(LEFT(G1229,2)=LEFT('112'!$M$9,2),B1229&lt;'112'!$K$9,$N1229='112'!$I$6)),"x",""))</f>
        <v/>
      </c>
      <c r="V1229" s="84" t="str">
        <f>IF(ISERROR(FIND('112'!$M$9,G1229,1)),"",IF((AND(RIGHT(G1229,2)=RIGHT('112'!$M$9,2),B1229&lt;'112'!$K$9,$O1229='112'!$I$6)),"x",""))</f>
        <v/>
      </c>
      <c r="W1229" s="84" t="str">
        <f>IF(AND('341-CT'!$H$9=H1229,OR(LEFT(N1229,3)=$W$7,LEFT(O1229,3)=$W$7)),"x","")</f>
        <v/>
      </c>
      <c r="X1229" s="84" t="str">
        <f>IF(OR(TH!N1229=TH!$X$7,O1229=TH!$X$7),"x","")</f>
        <v/>
      </c>
      <c r="Y1229" s="84" t="str">
        <f>IF(AND(OR(N1229="131",O1229="131"),H1229='131-CT'!$H$9),"x","")</f>
        <v/>
      </c>
      <c r="Z1229" s="84"/>
      <c r="AA1229" s="84" t="str">
        <f>IF(AND(MONTH(E1229)='IN-NX'!$J$5,'IN-NX'!$D$7=D1229),"x","")</f>
        <v/>
      </c>
      <c r="AB1229" s="84" t="str">
        <f>IF(AND(OR(LEFT(TH!N1229,2)="15",LEFT(TH!O1229,2)="15"),LEFT(TH!O1229,3)&lt;&gt;"111",'152-CT'!$J$8=TH!F1229),"x","")</f>
        <v/>
      </c>
      <c r="AC1229" s="84" t="str">
        <f>IF(AND(OR(LEFT(TH!N1229,2)="15",LEFT(TH!O1229,2)="15"),TK!$E$7=TH!F1229),"x","")</f>
        <v/>
      </c>
      <c r="AD1229" s="84" t="str">
        <f>IF(AND(N1229="1521",MONTH(C1229)='BK-NL'!$M$11),"x","")</f>
        <v/>
      </c>
    </row>
    <row r="1230" spans="1:31" ht="15.75" hidden="1" customHeight="1">
      <c r="A1230" s="336" t="str">
        <f>IF(B1230&lt;&gt;"",IF(AND(B1230='IN-TC'!$S$4,OR(TH!N1230="1111",TH!O1230="1111")),TH!D1230,""),"")</f>
        <v/>
      </c>
      <c r="B1230" s="63">
        <f t="shared" ref="B1230:B1238" si="181">IF(C1230&lt;&gt;"",MONTH(C1230),"")</f>
        <v>1</v>
      </c>
      <c r="C1230" s="64">
        <f>E1230</f>
        <v>42400</v>
      </c>
      <c r="D1230" s="64" t="s">
        <v>962</v>
      </c>
      <c r="E1230" s="64">
        <v>42400</v>
      </c>
      <c r="F1230" s="73" t="s">
        <v>949</v>
      </c>
      <c r="G1230" s="67" t="s">
        <v>344</v>
      </c>
      <c r="H1230" s="73" t="s">
        <v>428</v>
      </c>
      <c r="I1230" s="439"/>
      <c r="J1230" s="439"/>
      <c r="K1230" s="430"/>
      <c r="L1230" s="439"/>
      <c r="M1230" s="65">
        <v>214456000</v>
      </c>
      <c r="N1230" s="66" t="s">
        <v>8</v>
      </c>
      <c r="O1230" s="66" t="s">
        <v>272</v>
      </c>
      <c r="P1230" s="84" t="str">
        <f>IF(AND('331-CT'!$E$7=TH!H1230,OR(N1230="331",O1230="331")),"x","")</f>
        <v/>
      </c>
      <c r="Q1230" s="84" t="str">
        <f>IF(AND(B1230='111'!$L$11,OR($N1230=$Q$7,$O1230=$Q$7)),"x","")</f>
        <v/>
      </c>
      <c r="R1230" s="84" t="str">
        <f>IF(AND($N1230=$Q$7,$B1230&lt;'111'!$L$11),"x","")</f>
        <v/>
      </c>
      <c r="S1230" s="84" t="str">
        <f>IF(AND($O1230=$Q$7,$B1230&lt;'111'!$L$11),"x","")</f>
        <v/>
      </c>
      <c r="T1230" s="84" t="str">
        <f>IF(ISERROR(FIND('112'!$M$9,G1230,1)),"",IF((AND(FIND('112'!$M$9,G1230,1)&gt;=1,B1230='112'!$K$9,OR($N1230='112'!$I$6,$O1230='112'!$I$6))),"x",""))</f>
        <v/>
      </c>
      <c r="U1230" s="84" t="str">
        <f>IF(ISERROR(FIND('112'!$M$9,G1230,1)),"",IF((AND(LEFT(G1230,2)=LEFT('112'!$M$9,2),B1230&lt;'112'!$K$9,$N1230='112'!$I$6)),"x",""))</f>
        <v/>
      </c>
      <c r="V1230" s="84" t="str">
        <f>IF(ISERROR(FIND('112'!$M$9,G1230,1)),"",IF((AND(RIGHT(G1230,2)=RIGHT('112'!$M$9,2),B1230&lt;'112'!$K$9,$O1230='112'!$I$6)),"x",""))</f>
        <v/>
      </c>
      <c r="W1230" s="84" t="str">
        <f>IF(AND('341-CT'!$H$9=H1230,OR(LEFT(N1230,3)=$W$7,LEFT(O1230,3)=$W$7)),"x","")</f>
        <v/>
      </c>
      <c r="X1230" s="84" t="str">
        <f>IF(OR(TH!N1230=TH!$X$7,O1230=TH!$X$7),"x","")</f>
        <v/>
      </c>
      <c r="Y1230" s="84" t="str">
        <f>IF(AND(OR(N1230="131",O1230="131"),H1230='131-CT'!$H$9),"x","")</f>
        <v/>
      </c>
      <c r="Z1230" s="84"/>
      <c r="AA1230" s="84" t="str">
        <f>IF(AND(MONTH(E1230)='IN-NX'!$J$5,'IN-NX'!$D$7=D1230),"x","")</f>
        <v/>
      </c>
      <c r="AB1230" s="84" t="str">
        <f>IF(AND(OR(LEFT(TH!N1230,2)="15",LEFT(TH!O1230,2)="15"),LEFT(TH!O1230,3)&lt;&gt;"111",'152-CT'!$J$8=TH!F1230),"x","")</f>
        <v/>
      </c>
      <c r="AC1230" s="84" t="str">
        <f>IF(AND(OR(LEFT(TH!N1230,2)="15",LEFT(TH!O1230,2)="15"),TK!$E$7=TH!F1230),"x","")</f>
        <v/>
      </c>
      <c r="AD1230" s="84" t="str">
        <f>IF(AND(N1230="1521",MONTH(C1230)='BK-NL'!$M$11),"x","")</f>
        <v/>
      </c>
      <c r="AE1230" s="1146" t="str">
        <f t="shared" ref="AE1230:AE1248" si="182">IF(H1230&lt;&gt;VLOOKUP(H1230,DSKH,1,0),"","x")</f>
        <v>x</v>
      </c>
    </row>
    <row r="1231" spans="1:31" ht="15.75" hidden="1" customHeight="1">
      <c r="A1231" s="336" t="str">
        <f>IF(B1231&lt;&gt;"",IF(AND(B1231='IN-TC'!$S$4,OR(TH!N1231="1111",TH!O1231="1111")),TH!D1231,""),"")</f>
        <v/>
      </c>
      <c r="B1231" s="63">
        <f t="shared" si="181"/>
        <v>1</v>
      </c>
      <c r="C1231" s="64">
        <f t="shared" ref="C1231:C1237" si="183">E1231</f>
        <v>42400</v>
      </c>
      <c r="D1231" s="64" t="s">
        <v>962</v>
      </c>
      <c r="E1231" s="64">
        <v>42400</v>
      </c>
      <c r="F1231" s="73" t="s">
        <v>949</v>
      </c>
      <c r="G1231" s="67" t="s">
        <v>344</v>
      </c>
      <c r="H1231" s="73" t="s">
        <v>431</v>
      </c>
      <c r="I1231" s="439"/>
      <c r="J1231" s="439"/>
      <c r="K1231" s="430"/>
      <c r="L1231" s="439"/>
      <c r="M1231" s="65">
        <v>416013200</v>
      </c>
      <c r="N1231" s="66" t="s">
        <v>8</v>
      </c>
      <c r="O1231" s="66" t="s">
        <v>272</v>
      </c>
      <c r="P1231" s="84" t="str">
        <f>IF(AND('331-CT'!$E$7=TH!H1231,OR(N1231="331",O1231="331")),"x","")</f>
        <v/>
      </c>
      <c r="Q1231" s="84" t="str">
        <f>IF(AND(B1231='111'!$L$11,OR($N1231=$Q$7,$O1231=$Q$7)),"x","")</f>
        <v/>
      </c>
      <c r="R1231" s="84" t="str">
        <f>IF(AND($N1231=$Q$7,$B1231&lt;'111'!$L$11),"x","")</f>
        <v/>
      </c>
      <c r="S1231" s="84" t="str">
        <f>IF(AND($O1231=$Q$7,$B1231&lt;'111'!$L$11),"x","")</f>
        <v/>
      </c>
      <c r="T1231" s="84" t="str">
        <f>IF(ISERROR(FIND('112'!$M$9,G1231,1)),"",IF((AND(FIND('112'!$M$9,G1231,1)&gt;=1,B1231='112'!$K$9,OR($N1231='112'!$I$6,$O1231='112'!$I$6))),"x",""))</f>
        <v/>
      </c>
      <c r="U1231" s="84" t="str">
        <f>IF(ISERROR(FIND('112'!$M$9,G1231,1)),"",IF((AND(LEFT(G1231,2)=LEFT('112'!$M$9,2),B1231&lt;'112'!$K$9,$N1231='112'!$I$6)),"x",""))</f>
        <v/>
      </c>
      <c r="V1231" s="84" t="str">
        <f>IF(ISERROR(FIND('112'!$M$9,G1231,1)),"",IF((AND(RIGHT(G1231,2)=RIGHT('112'!$M$9,2),B1231&lt;'112'!$K$9,$O1231='112'!$I$6)),"x",""))</f>
        <v/>
      </c>
      <c r="W1231" s="84" t="str">
        <f>IF(AND('341-CT'!$H$9=H1231,OR(LEFT(N1231,3)=$W$7,LEFT(O1231,3)=$W$7)),"x","")</f>
        <v/>
      </c>
      <c r="X1231" s="84" t="str">
        <f>IF(OR(TH!N1231=TH!$X$7,O1231=TH!$X$7),"x","")</f>
        <v/>
      </c>
      <c r="Y1231" s="84" t="str">
        <f>IF(AND(OR(N1231="131",O1231="131"),H1231='131-CT'!$H$9),"x","")</f>
        <v/>
      </c>
      <c r="Z1231" s="84"/>
      <c r="AA1231" s="84" t="str">
        <f>IF(AND(MONTH(E1231)='IN-NX'!$J$5,'IN-NX'!$D$7=D1231),"x","")</f>
        <v/>
      </c>
      <c r="AB1231" s="84" t="str">
        <f>IF(AND(OR(LEFT(TH!N1231,2)="15",LEFT(TH!O1231,2)="15"),LEFT(TH!O1231,3)&lt;&gt;"111",'152-CT'!$J$8=TH!F1231),"x","")</f>
        <v/>
      </c>
      <c r="AC1231" s="84" t="str">
        <f>IF(AND(OR(LEFT(TH!N1231,2)="15",LEFT(TH!O1231,2)="15"),TK!$E$7=TH!F1231),"x","")</f>
        <v/>
      </c>
      <c r="AD1231" s="84" t="str">
        <f>IF(AND(N1231="1521",MONTH(C1231)='BK-NL'!$M$11),"x","")</f>
        <v/>
      </c>
      <c r="AE1231" s="1146" t="str">
        <f t="shared" si="182"/>
        <v>x</v>
      </c>
    </row>
    <row r="1232" spans="1:31" ht="15.75" hidden="1" customHeight="1">
      <c r="A1232" s="336" t="str">
        <f>IF(B1232&lt;&gt;"",IF(AND(B1232='IN-TC'!$S$4,OR(TH!N1232="1111",TH!O1232="1111")),TH!D1232,""),"")</f>
        <v/>
      </c>
      <c r="B1232" s="63">
        <f t="shared" si="181"/>
        <v>1</v>
      </c>
      <c r="C1232" s="64">
        <f t="shared" si="183"/>
        <v>42400</v>
      </c>
      <c r="D1232" s="64" t="s">
        <v>962</v>
      </c>
      <c r="E1232" s="64">
        <v>42400</v>
      </c>
      <c r="F1232" s="73" t="s">
        <v>949</v>
      </c>
      <c r="G1232" s="67" t="s">
        <v>344</v>
      </c>
      <c r="H1232" s="73" t="s">
        <v>433</v>
      </c>
      <c r="I1232" s="439"/>
      <c r="J1232" s="439"/>
      <c r="K1232" s="430"/>
      <c r="L1232" s="439"/>
      <c r="M1232" s="65">
        <v>519129200</v>
      </c>
      <c r="N1232" s="66" t="s">
        <v>8</v>
      </c>
      <c r="O1232" s="66" t="s">
        <v>272</v>
      </c>
      <c r="P1232" s="84" t="str">
        <f>IF(AND('331-CT'!$E$7=TH!H1232,OR(N1232="331",O1232="331")),"x","")</f>
        <v/>
      </c>
      <c r="Q1232" s="84" t="str">
        <f>IF(AND(B1232='111'!$L$11,OR($N1232=$Q$7,$O1232=$Q$7)),"x","")</f>
        <v/>
      </c>
      <c r="R1232" s="84" t="str">
        <f>IF(AND($N1232=$Q$7,$B1232&lt;'111'!$L$11),"x","")</f>
        <v/>
      </c>
      <c r="S1232" s="84" t="str">
        <f>IF(AND($O1232=$Q$7,$B1232&lt;'111'!$L$11),"x","")</f>
        <v/>
      </c>
      <c r="T1232" s="84" t="str">
        <f>IF(ISERROR(FIND('112'!$M$9,G1232,1)),"",IF((AND(FIND('112'!$M$9,G1232,1)&gt;=1,B1232='112'!$K$9,OR($N1232='112'!$I$6,$O1232='112'!$I$6))),"x",""))</f>
        <v/>
      </c>
      <c r="U1232" s="84" t="str">
        <f>IF(ISERROR(FIND('112'!$M$9,G1232,1)),"",IF((AND(LEFT(G1232,2)=LEFT('112'!$M$9,2),B1232&lt;'112'!$K$9,$N1232='112'!$I$6)),"x",""))</f>
        <v/>
      </c>
      <c r="V1232" s="84" t="str">
        <f>IF(ISERROR(FIND('112'!$M$9,G1232,1)),"",IF((AND(RIGHT(G1232,2)=RIGHT('112'!$M$9,2),B1232&lt;'112'!$K$9,$O1232='112'!$I$6)),"x",""))</f>
        <v/>
      </c>
      <c r="W1232" s="84" t="str">
        <f>IF(AND('341-CT'!$H$9=H1232,OR(LEFT(N1232,3)=$W$7,LEFT(O1232,3)=$W$7)),"x","")</f>
        <v/>
      </c>
      <c r="X1232" s="84" t="str">
        <f>IF(OR(TH!N1232=TH!$X$7,O1232=TH!$X$7),"x","")</f>
        <v/>
      </c>
      <c r="Y1232" s="84" t="str">
        <f>IF(AND(OR(N1232="131",O1232="131"),H1232='131-CT'!$H$9),"x","")</f>
        <v/>
      </c>
      <c r="Z1232" s="84"/>
      <c r="AA1232" s="84" t="str">
        <f>IF(AND(MONTH(E1232)='IN-NX'!$J$5,'IN-NX'!$D$7=D1232),"x","")</f>
        <v/>
      </c>
      <c r="AB1232" s="84" t="str">
        <f>IF(AND(OR(LEFT(TH!N1232,2)="15",LEFT(TH!O1232,2)="15"),LEFT(TH!O1232,3)&lt;&gt;"111",'152-CT'!$J$8=TH!F1232),"x","")</f>
        <v/>
      </c>
      <c r="AC1232" s="84" t="str">
        <f>IF(AND(OR(LEFT(TH!N1232,2)="15",LEFT(TH!O1232,2)="15"),TK!$E$7=TH!F1232),"x","")</f>
        <v/>
      </c>
      <c r="AD1232" s="84" t="str">
        <f>IF(AND(N1232="1521",MONTH(C1232)='BK-NL'!$M$11),"x","")</f>
        <v/>
      </c>
      <c r="AE1232" s="1146" t="str">
        <f t="shared" si="182"/>
        <v>x</v>
      </c>
    </row>
    <row r="1233" spans="1:31" ht="15.75" hidden="1" customHeight="1">
      <c r="A1233" s="336" t="str">
        <f>IF(B1233&lt;&gt;"",IF(AND(B1233='IN-TC'!$S$4,OR(TH!N1233="1111",TH!O1233="1111")),TH!D1233,""),"")</f>
        <v/>
      </c>
      <c r="B1233" s="63">
        <f t="shared" si="181"/>
        <v>1</v>
      </c>
      <c r="C1233" s="64">
        <f t="shared" si="183"/>
        <v>42400</v>
      </c>
      <c r="D1233" s="64" t="s">
        <v>962</v>
      </c>
      <c r="E1233" s="64">
        <v>42400</v>
      </c>
      <c r="F1233" s="73" t="s">
        <v>949</v>
      </c>
      <c r="G1233" s="67" t="s">
        <v>344</v>
      </c>
      <c r="H1233" s="73" t="s">
        <v>435</v>
      </c>
      <c r="I1233" s="439"/>
      <c r="J1233" s="439"/>
      <c r="K1233" s="430"/>
      <c r="L1233" s="439"/>
      <c r="M1233" s="65">
        <v>326899200</v>
      </c>
      <c r="N1233" s="66" t="s">
        <v>8</v>
      </c>
      <c r="O1233" s="66" t="s">
        <v>272</v>
      </c>
      <c r="P1233" s="84" t="str">
        <f>IF(AND('331-CT'!$E$7=TH!H1233,OR(N1233="331",O1233="331")),"x","")</f>
        <v/>
      </c>
      <c r="Q1233" s="84" t="str">
        <f>IF(AND(B1233='111'!$L$11,OR($N1233=$Q$7,$O1233=$Q$7)),"x","")</f>
        <v/>
      </c>
      <c r="R1233" s="84" t="str">
        <f>IF(AND($N1233=$Q$7,$B1233&lt;'111'!$L$11),"x","")</f>
        <v/>
      </c>
      <c r="S1233" s="84" t="str">
        <f>IF(AND($O1233=$Q$7,$B1233&lt;'111'!$L$11),"x","")</f>
        <v/>
      </c>
      <c r="T1233" s="84" t="str">
        <f>IF(ISERROR(FIND('112'!$M$9,G1233,1)),"",IF((AND(FIND('112'!$M$9,G1233,1)&gt;=1,B1233='112'!$K$9,OR($N1233='112'!$I$6,$O1233='112'!$I$6))),"x",""))</f>
        <v/>
      </c>
      <c r="U1233" s="84" t="str">
        <f>IF(ISERROR(FIND('112'!$M$9,G1233,1)),"",IF((AND(LEFT(G1233,2)=LEFT('112'!$M$9,2),B1233&lt;'112'!$K$9,$N1233='112'!$I$6)),"x",""))</f>
        <v/>
      </c>
      <c r="V1233" s="84" t="str">
        <f>IF(ISERROR(FIND('112'!$M$9,G1233,1)),"",IF((AND(RIGHT(G1233,2)=RIGHT('112'!$M$9,2),B1233&lt;'112'!$K$9,$O1233='112'!$I$6)),"x",""))</f>
        <v/>
      </c>
      <c r="W1233" s="84" t="str">
        <f>IF(AND('341-CT'!$H$9=H1233,OR(LEFT(N1233,3)=$W$7,LEFT(O1233,3)=$W$7)),"x","")</f>
        <v/>
      </c>
      <c r="X1233" s="84" t="str">
        <f>IF(OR(TH!N1233=TH!$X$7,O1233=TH!$X$7),"x","")</f>
        <v/>
      </c>
      <c r="Y1233" s="84" t="str">
        <f>IF(AND(OR(N1233="131",O1233="131"),H1233='131-CT'!$H$9),"x","")</f>
        <v/>
      </c>
      <c r="Z1233" s="84"/>
      <c r="AA1233" s="84" t="str">
        <f>IF(AND(MONTH(E1233)='IN-NX'!$J$5,'IN-NX'!$D$7=D1233),"x","")</f>
        <v/>
      </c>
      <c r="AB1233" s="84" t="str">
        <f>IF(AND(OR(LEFT(TH!N1233,2)="15",LEFT(TH!O1233,2)="15"),LEFT(TH!O1233,3)&lt;&gt;"111",'152-CT'!$J$8=TH!F1233),"x","")</f>
        <v/>
      </c>
      <c r="AC1233" s="84" t="str">
        <f>IF(AND(OR(LEFT(TH!N1233,2)="15",LEFT(TH!O1233,2)="15"),TK!$E$7=TH!F1233),"x","")</f>
        <v/>
      </c>
      <c r="AD1233" s="84" t="str">
        <f>IF(AND(N1233="1521",MONTH(C1233)='BK-NL'!$M$11),"x","")</f>
        <v/>
      </c>
      <c r="AE1233" s="1146" t="str">
        <f t="shared" si="182"/>
        <v>x</v>
      </c>
    </row>
    <row r="1234" spans="1:31" ht="15.75" hidden="1" customHeight="1">
      <c r="A1234" s="336" t="str">
        <f>IF(B1234&lt;&gt;"",IF(AND(B1234='IN-TC'!$S$4,OR(TH!N1234="1111",TH!O1234="1111")),TH!D1234,""),"")</f>
        <v/>
      </c>
      <c r="B1234" s="63">
        <f t="shared" si="181"/>
        <v>1</v>
      </c>
      <c r="C1234" s="64">
        <f t="shared" si="183"/>
        <v>42400</v>
      </c>
      <c r="D1234" s="64" t="s">
        <v>962</v>
      </c>
      <c r="E1234" s="64">
        <v>42400</v>
      </c>
      <c r="F1234" s="73" t="s">
        <v>949</v>
      </c>
      <c r="G1234" s="67" t="s">
        <v>344</v>
      </c>
      <c r="H1234" s="73" t="s">
        <v>437</v>
      </c>
      <c r="I1234" s="439"/>
      <c r="J1234" s="439"/>
      <c r="K1234" s="430"/>
      <c r="L1234" s="439"/>
      <c r="M1234" s="65">
        <v>217091200</v>
      </c>
      <c r="N1234" s="66" t="s">
        <v>8</v>
      </c>
      <c r="O1234" s="66" t="s">
        <v>272</v>
      </c>
      <c r="P1234" s="84" t="str">
        <f>IF(AND('331-CT'!$E$7=TH!H1234,OR(N1234="331",O1234="331")),"x","")</f>
        <v/>
      </c>
      <c r="Q1234" s="84" t="str">
        <f>IF(AND(B1234='111'!$L$11,OR($N1234=$Q$7,$O1234=$Q$7)),"x","")</f>
        <v/>
      </c>
      <c r="R1234" s="84" t="str">
        <f>IF(AND($N1234=$Q$7,$B1234&lt;'111'!$L$11),"x","")</f>
        <v/>
      </c>
      <c r="S1234" s="84" t="str">
        <f>IF(AND($O1234=$Q$7,$B1234&lt;'111'!$L$11),"x","")</f>
        <v/>
      </c>
      <c r="T1234" s="84" t="str">
        <f>IF(ISERROR(FIND('112'!$M$9,G1234,1)),"",IF((AND(FIND('112'!$M$9,G1234,1)&gt;=1,B1234='112'!$K$9,OR($N1234='112'!$I$6,$O1234='112'!$I$6))),"x",""))</f>
        <v/>
      </c>
      <c r="U1234" s="84" t="str">
        <f>IF(ISERROR(FIND('112'!$M$9,G1234,1)),"",IF((AND(LEFT(G1234,2)=LEFT('112'!$M$9,2),B1234&lt;'112'!$K$9,$N1234='112'!$I$6)),"x",""))</f>
        <v/>
      </c>
      <c r="V1234" s="84" t="str">
        <f>IF(ISERROR(FIND('112'!$M$9,G1234,1)),"",IF((AND(RIGHT(G1234,2)=RIGHT('112'!$M$9,2),B1234&lt;'112'!$K$9,$O1234='112'!$I$6)),"x",""))</f>
        <v/>
      </c>
      <c r="W1234" s="84" t="str">
        <f>IF(AND('341-CT'!$H$9=H1234,OR(LEFT(N1234,3)=$W$7,LEFT(O1234,3)=$W$7)),"x","")</f>
        <v/>
      </c>
      <c r="X1234" s="84" t="str">
        <f>IF(OR(TH!N1234=TH!$X$7,O1234=TH!$X$7),"x","")</f>
        <v/>
      </c>
      <c r="Y1234" s="84" t="str">
        <f>IF(AND(OR(N1234="131",O1234="131"),H1234='131-CT'!$H$9),"x","")</f>
        <v/>
      </c>
      <c r="Z1234" s="84"/>
      <c r="AA1234" s="84" t="str">
        <f>IF(AND(MONTH(E1234)='IN-NX'!$J$5,'IN-NX'!$D$7=D1234),"x","")</f>
        <v/>
      </c>
      <c r="AB1234" s="84" t="str">
        <f>IF(AND(OR(LEFT(TH!N1234,2)="15",LEFT(TH!O1234,2)="15"),LEFT(TH!O1234,3)&lt;&gt;"111",'152-CT'!$J$8=TH!F1234),"x","")</f>
        <v/>
      </c>
      <c r="AC1234" s="84" t="str">
        <f>IF(AND(OR(LEFT(TH!N1234,2)="15",LEFT(TH!O1234,2)="15"),TK!$E$7=TH!F1234),"x","")</f>
        <v/>
      </c>
      <c r="AD1234" s="84" t="str">
        <f>IF(AND(N1234="1521",MONTH(C1234)='BK-NL'!$M$11),"x","")</f>
        <v/>
      </c>
      <c r="AE1234" s="1146" t="str">
        <f t="shared" si="182"/>
        <v>x</v>
      </c>
    </row>
    <row r="1235" spans="1:31" ht="15.75" hidden="1" customHeight="1">
      <c r="A1235" s="336" t="str">
        <f>IF(B1235&lt;&gt;"",IF(AND(B1235='IN-TC'!$S$4,OR(TH!N1235="1111",TH!O1235="1111")),TH!D1235,""),"")</f>
        <v/>
      </c>
      <c r="B1235" s="63">
        <f t="shared" si="181"/>
        <v>1</v>
      </c>
      <c r="C1235" s="64">
        <f t="shared" si="183"/>
        <v>42400</v>
      </c>
      <c r="D1235" s="64" t="s">
        <v>962</v>
      </c>
      <c r="E1235" s="64">
        <v>42400</v>
      </c>
      <c r="F1235" s="73" t="s">
        <v>949</v>
      </c>
      <c r="G1235" s="67" t="s">
        <v>344</v>
      </c>
      <c r="H1235" s="344" t="s">
        <v>438</v>
      </c>
      <c r="I1235" s="441"/>
      <c r="J1235" s="441"/>
      <c r="K1235" s="432"/>
      <c r="L1235" s="441"/>
      <c r="M1235" s="65">
        <v>297390800</v>
      </c>
      <c r="N1235" s="66" t="s">
        <v>8</v>
      </c>
      <c r="O1235" s="66" t="s">
        <v>272</v>
      </c>
      <c r="P1235" s="84" t="str">
        <f>IF(AND('331-CT'!$E$7=TH!H1235,OR(N1235="331",O1235="331")),"x","")</f>
        <v/>
      </c>
      <c r="Q1235" s="84" t="str">
        <f>IF(AND(B1235='111'!$L$11,OR($N1235=$Q$7,$O1235=$Q$7)),"x","")</f>
        <v/>
      </c>
      <c r="R1235" s="84" t="str">
        <f>IF(AND($N1235=$Q$7,$B1235&lt;'111'!$L$11),"x","")</f>
        <v/>
      </c>
      <c r="S1235" s="84" t="str">
        <f>IF(AND($O1235=$Q$7,$B1235&lt;'111'!$L$11),"x","")</f>
        <v/>
      </c>
      <c r="T1235" s="84" t="str">
        <f>IF(ISERROR(FIND('112'!$M$9,G1235,1)),"",IF((AND(FIND('112'!$M$9,G1235,1)&gt;=1,B1235='112'!$K$9,OR($N1235='112'!$I$6,$O1235='112'!$I$6))),"x",""))</f>
        <v/>
      </c>
      <c r="U1235" s="84" t="str">
        <f>IF(ISERROR(FIND('112'!$M$9,G1235,1)),"",IF((AND(LEFT(G1235,2)=LEFT('112'!$M$9,2),B1235&lt;'112'!$K$9,$N1235='112'!$I$6)),"x",""))</f>
        <v/>
      </c>
      <c r="V1235" s="84" t="str">
        <f>IF(ISERROR(FIND('112'!$M$9,G1235,1)),"",IF((AND(RIGHT(G1235,2)=RIGHT('112'!$M$9,2),B1235&lt;'112'!$K$9,$O1235='112'!$I$6)),"x",""))</f>
        <v/>
      </c>
      <c r="W1235" s="84" t="str">
        <f>IF(AND('341-CT'!$H$9=H1235,OR(LEFT(N1235,3)=$W$7,LEFT(O1235,3)=$W$7)),"x","")</f>
        <v/>
      </c>
      <c r="X1235" s="84" t="str">
        <f>IF(OR(TH!N1235=TH!$X$7,O1235=TH!$X$7),"x","")</f>
        <v/>
      </c>
      <c r="Y1235" s="84" t="str">
        <f>IF(AND(OR(N1235="131",O1235="131"),H1235='131-CT'!$H$9),"x","")</f>
        <v/>
      </c>
      <c r="Z1235" s="84"/>
      <c r="AA1235" s="84" t="str">
        <f>IF(AND(MONTH(E1235)='IN-NX'!$J$5,'IN-NX'!$D$7=D1235),"x","")</f>
        <v/>
      </c>
      <c r="AB1235" s="84" t="str">
        <f>IF(AND(OR(LEFT(TH!N1235,2)="15",LEFT(TH!O1235,2)="15"),LEFT(TH!O1235,3)&lt;&gt;"111",'152-CT'!$J$8=TH!F1235),"x","")</f>
        <v/>
      </c>
      <c r="AC1235" s="84" t="str">
        <f>IF(AND(OR(LEFT(TH!N1235,2)="15",LEFT(TH!O1235,2)="15"),TK!$E$7=TH!F1235),"x","")</f>
        <v/>
      </c>
      <c r="AD1235" s="84" t="str">
        <f>IF(AND(N1235="1521",MONTH(C1235)='BK-NL'!$M$11),"x","")</f>
        <v/>
      </c>
      <c r="AE1235" s="1146" t="str">
        <f t="shared" si="182"/>
        <v>x</v>
      </c>
    </row>
    <row r="1236" spans="1:31" ht="15.75" hidden="1" customHeight="1">
      <c r="A1236" s="336" t="str">
        <f>IF(B1236&lt;&gt;"",IF(AND(B1236='IN-TC'!$S$4,OR(TH!N1236="1111",TH!O1236="1111")),TH!D1236,""),"")</f>
        <v/>
      </c>
      <c r="B1236" s="63">
        <f t="shared" si="181"/>
        <v>1</v>
      </c>
      <c r="C1236" s="64">
        <f t="shared" si="183"/>
        <v>42400</v>
      </c>
      <c r="D1236" s="64" t="s">
        <v>962</v>
      </c>
      <c r="E1236" s="64">
        <v>42400</v>
      </c>
      <c r="F1236" s="73" t="s">
        <v>949</v>
      </c>
      <c r="G1236" s="67" t="s">
        <v>344</v>
      </c>
      <c r="H1236" s="73" t="s">
        <v>442</v>
      </c>
      <c r="I1236" s="439"/>
      <c r="J1236" s="439"/>
      <c r="K1236" s="430"/>
      <c r="L1236" s="439"/>
      <c r="M1236" s="65">
        <v>101204400</v>
      </c>
      <c r="N1236" s="66" t="s">
        <v>8</v>
      </c>
      <c r="O1236" s="66" t="s">
        <v>272</v>
      </c>
      <c r="P1236" s="84" t="str">
        <f>IF(AND('331-CT'!$E$7=TH!H1236,OR(N1236="331",O1236="331")),"x","")</f>
        <v/>
      </c>
      <c r="Q1236" s="84" t="str">
        <f>IF(AND(B1236='111'!$L$11,OR($N1236=$Q$7,$O1236=$Q$7)),"x","")</f>
        <v/>
      </c>
      <c r="R1236" s="84" t="str">
        <f>IF(AND($N1236=$Q$7,$B1236&lt;'111'!$L$11),"x","")</f>
        <v/>
      </c>
      <c r="S1236" s="84" t="str">
        <f>IF(AND($O1236=$Q$7,$B1236&lt;'111'!$L$11),"x","")</f>
        <v/>
      </c>
      <c r="T1236" s="84" t="str">
        <f>IF(ISERROR(FIND('112'!$M$9,G1236,1)),"",IF((AND(FIND('112'!$M$9,G1236,1)&gt;=1,B1236='112'!$K$9,OR($N1236='112'!$I$6,$O1236='112'!$I$6))),"x",""))</f>
        <v/>
      </c>
      <c r="U1236" s="84" t="str">
        <f>IF(ISERROR(FIND('112'!$M$9,G1236,1)),"",IF((AND(LEFT(G1236,2)=LEFT('112'!$M$9,2),B1236&lt;'112'!$K$9,$N1236='112'!$I$6)),"x",""))</f>
        <v/>
      </c>
      <c r="V1236" s="84" t="str">
        <f>IF(ISERROR(FIND('112'!$M$9,G1236,1)),"",IF((AND(RIGHT(G1236,2)=RIGHT('112'!$M$9,2),B1236&lt;'112'!$K$9,$O1236='112'!$I$6)),"x",""))</f>
        <v/>
      </c>
      <c r="W1236" s="84" t="str">
        <f>IF(AND('341-CT'!$H$9=H1236,OR(LEFT(N1236,3)=$W$7,LEFT(O1236,3)=$W$7)),"x","")</f>
        <v/>
      </c>
      <c r="X1236" s="84" t="str">
        <f>IF(OR(TH!N1236=TH!$X$7,O1236=TH!$X$7),"x","")</f>
        <v/>
      </c>
      <c r="Y1236" s="84" t="str">
        <f>IF(AND(OR(N1236="131",O1236="131"),H1236='131-CT'!$H$9),"x","")</f>
        <v/>
      </c>
      <c r="Z1236" s="84"/>
      <c r="AA1236" s="84" t="str">
        <f>IF(AND(MONTH(E1236)='IN-NX'!$J$5,'IN-NX'!$D$7=D1236),"x","")</f>
        <v/>
      </c>
      <c r="AB1236" s="84" t="str">
        <f>IF(AND(OR(LEFT(TH!N1236,2)="15",LEFT(TH!O1236,2)="15"),LEFT(TH!O1236,3)&lt;&gt;"111",'152-CT'!$J$8=TH!F1236),"x","")</f>
        <v/>
      </c>
      <c r="AC1236" s="84" t="str">
        <f>IF(AND(OR(LEFT(TH!N1236,2)="15",LEFT(TH!O1236,2)="15"),TK!$E$7=TH!F1236),"x","")</f>
        <v/>
      </c>
      <c r="AD1236" s="84" t="str">
        <f>IF(AND(N1236="1521",MONTH(C1236)='BK-NL'!$M$11),"x","")</f>
        <v/>
      </c>
      <c r="AE1236" s="1146" t="str">
        <f t="shared" si="182"/>
        <v>x</v>
      </c>
    </row>
    <row r="1237" spans="1:31" ht="15.75" hidden="1" customHeight="1">
      <c r="A1237" s="336" t="str">
        <f>IF(B1237&lt;&gt;"",IF(AND(B1237='IN-TC'!$S$4,OR(TH!N1237="1111",TH!O1237="1111")),TH!D1237,""),"")</f>
        <v/>
      </c>
      <c r="B1237" s="63">
        <f t="shared" si="181"/>
        <v>1</v>
      </c>
      <c r="C1237" s="64">
        <f t="shared" si="183"/>
        <v>42400</v>
      </c>
      <c r="D1237" s="64" t="s">
        <v>962</v>
      </c>
      <c r="E1237" s="64">
        <v>42400</v>
      </c>
      <c r="F1237" s="73" t="s">
        <v>949</v>
      </c>
      <c r="G1237" s="67" t="s">
        <v>344</v>
      </c>
      <c r="H1237" s="73" t="s">
        <v>444</v>
      </c>
      <c r="I1237" s="439"/>
      <c r="J1237" s="439"/>
      <c r="K1237" s="430"/>
      <c r="L1237" s="439"/>
      <c r="M1237" s="65">
        <v>216088000</v>
      </c>
      <c r="N1237" s="66" t="s">
        <v>8</v>
      </c>
      <c r="O1237" s="66" t="s">
        <v>272</v>
      </c>
      <c r="P1237" s="84" t="str">
        <f>IF(AND('331-CT'!$E$7=TH!H1237,OR(N1237="331",O1237="331")),"x","")</f>
        <v/>
      </c>
      <c r="Q1237" s="84" t="str">
        <f>IF(AND(B1237='111'!$L$11,OR($N1237=$Q$7,$O1237=$Q$7)),"x","")</f>
        <v/>
      </c>
      <c r="R1237" s="84" t="str">
        <f>IF(AND($N1237=$Q$7,$B1237&lt;'111'!$L$11),"x","")</f>
        <v/>
      </c>
      <c r="S1237" s="84" t="str">
        <f>IF(AND($O1237=$Q$7,$B1237&lt;'111'!$L$11),"x","")</f>
        <v/>
      </c>
      <c r="T1237" s="84" t="str">
        <f>IF(ISERROR(FIND('112'!$M$9,G1237,1)),"",IF((AND(FIND('112'!$M$9,G1237,1)&gt;=1,B1237='112'!$K$9,OR($N1237='112'!$I$6,$O1237='112'!$I$6))),"x",""))</f>
        <v/>
      </c>
      <c r="U1237" s="84" t="str">
        <f>IF(ISERROR(FIND('112'!$M$9,G1237,1)),"",IF((AND(LEFT(G1237,2)=LEFT('112'!$M$9,2),B1237&lt;'112'!$K$9,$N1237='112'!$I$6)),"x",""))</f>
        <v/>
      </c>
      <c r="V1237" s="84" t="str">
        <f>IF(ISERROR(FIND('112'!$M$9,G1237,1)),"",IF((AND(RIGHT(G1237,2)=RIGHT('112'!$M$9,2),B1237&lt;'112'!$K$9,$O1237='112'!$I$6)),"x",""))</f>
        <v/>
      </c>
      <c r="W1237" s="84" t="str">
        <f>IF(AND('341-CT'!$H$9=H1237,OR(LEFT(N1237,3)=$W$7,LEFT(O1237,3)=$W$7)),"x","")</f>
        <v/>
      </c>
      <c r="X1237" s="84" t="str">
        <f>IF(OR(TH!N1237=TH!$X$7,O1237=TH!$X$7),"x","")</f>
        <v/>
      </c>
      <c r="Y1237" s="84" t="str">
        <f>IF(AND(OR(N1237="131",O1237="131"),H1237='131-CT'!$H$9),"x","")</f>
        <v/>
      </c>
      <c r="Z1237" s="84"/>
      <c r="AA1237" s="84" t="str">
        <f>IF(AND(MONTH(E1237)='IN-NX'!$J$5,'IN-NX'!$D$7=D1237),"x","")</f>
        <v/>
      </c>
      <c r="AB1237" s="84" t="str">
        <f>IF(AND(OR(LEFT(TH!N1237,2)="15",LEFT(TH!O1237,2)="15"),LEFT(TH!O1237,3)&lt;&gt;"111",'152-CT'!$J$8=TH!F1237),"x","")</f>
        <v/>
      </c>
      <c r="AC1237" s="84" t="str">
        <f>IF(AND(OR(LEFT(TH!N1237,2)="15",LEFT(TH!O1237,2)="15"),TK!$E$7=TH!F1237),"x","")</f>
        <v/>
      </c>
      <c r="AD1237" s="84" t="str">
        <f>IF(AND(N1237="1521",MONTH(C1237)='BK-NL'!$M$11),"x","")</f>
        <v/>
      </c>
      <c r="AE1237" s="1146" t="str">
        <f t="shared" si="182"/>
        <v>x</v>
      </c>
    </row>
    <row r="1238" spans="1:31" ht="15.75" hidden="1" customHeight="1">
      <c r="A1238" s="336" t="str">
        <f>IF(B1238&lt;&gt;"",IF(AND(B1238='IN-TC'!$S$4,OR(TH!N1238="1111",TH!O1238="1111")),TH!D1238,""),"")</f>
        <v/>
      </c>
      <c r="B1238" s="63">
        <f t="shared" si="181"/>
        <v>1</v>
      </c>
      <c r="C1238" s="64">
        <f t="shared" ref="C1238:C1248" si="184">E1238</f>
        <v>42400</v>
      </c>
      <c r="D1238" s="64" t="s">
        <v>962</v>
      </c>
      <c r="E1238" s="64">
        <v>42400</v>
      </c>
      <c r="F1238" s="73" t="s">
        <v>949</v>
      </c>
      <c r="G1238" s="67" t="s">
        <v>344</v>
      </c>
      <c r="H1238" s="344" t="s">
        <v>446</v>
      </c>
      <c r="I1238" s="441"/>
      <c r="J1238" s="441"/>
      <c r="K1238" s="432"/>
      <c r="L1238" s="441"/>
      <c r="M1238" s="65">
        <v>102928000</v>
      </c>
      <c r="N1238" s="66" t="s">
        <v>8</v>
      </c>
      <c r="O1238" s="66" t="s">
        <v>272</v>
      </c>
      <c r="P1238" s="84" t="str">
        <f>IF(AND('331-CT'!$E$7=TH!H1238,OR(N1238="331",O1238="331")),"x","")</f>
        <v/>
      </c>
      <c r="Q1238" s="84" t="str">
        <f>IF(AND(B1238='111'!$L$11,OR($N1238=$Q$7,$O1238=$Q$7)),"x","")</f>
        <v/>
      </c>
      <c r="R1238" s="84" t="str">
        <f>IF(AND($N1238=$Q$7,$B1238&lt;'111'!$L$11),"x","")</f>
        <v/>
      </c>
      <c r="S1238" s="84" t="str">
        <f>IF(AND($O1238=$Q$7,$B1238&lt;'111'!$L$11),"x","")</f>
        <v/>
      </c>
      <c r="T1238" s="84" t="str">
        <f>IF(ISERROR(FIND('112'!$M$9,G1238,1)),"",IF((AND(FIND('112'!$M$9,G1238,1)&gt;=1,B1238='112'!$K$9,OR($N1238='112'!$I$6,$O1238='112'!$I$6))),"x",""))</f>
        <v/>
      </c>
      <c r="U1238" s="84" t="str">
        <f>IF(ISERROR(FIND('112'!$M$9,G1238,1)),"",IF((AND(LEFT(G1238,2)=LEFT('112'!$M$9,2),B1238&lt;'112'!$K$9,$N1238='112'!$I$6)),"x",""))</f>
        <v/>
      </c>
      <c r="V1238" s="84" t="str">
        <f>IF(ISERROR(FIND('112'!$M$9,G1238,1)),"",IF((AND(RIGHT(G1238,2)=RIGHT('112'!$M$9,2),B1238&lt;'112'!$K$9,$O1238='112'!$I$6)),"x",""))</f>
        <v/>
      </c>
      <c r="W1238" s="84" t="str">
        <f>IF(AND('341-CT'!$H$9=H1238,OR(LEFT(N1238,3)=$W$7,LEFT(O1238,3)=$W$7)),"x","")</f>
        <v/>
      </c>
      <c r="X1238" s="84" t="str">
        <f>IF(OR(TH!N1238=TH!$X$7,O1238=TH!$X$7),"x","")</f>
        <v/>
      </c>
      <c r="Y1238" s="84" t="str">
        <f>IF(AND(OR(N1238="131",O1238="131"),H1238='131-CT'!$H$9),"x","")</f>
        <v/>
      </c>
      <c r="Z1238" s="84"/>
      <c r="AA1238" s="84" t="str">
        <f>IF(AND(MONTH(E1238)='IN-NX'!$J$5,'IN-NX'!$D$7=D1238),"x","")</f>
        <v/>
      </c>
      <c r="AB1238" s="84" t="str">
        <f>IF(AND(OR(LEFT(TH!N1238,2)="15",LEFT(TH!O1238,2)="15"),LEFT(TH!O1238,3)&lt;&gt;"111",'152-CT'!$J$8=TH!F1238),"x","")</f>
        <v/>
      </c>
      <c r="AC1238" s="84" t="str">
        <f>IF(AND(OR(LEFT(TH!N1238,2)="15",LEFT(TH!O1238,2)="15"),TK!$E$7=TH!F1238),"x","")</f>
        <v/>
      </c>
      <c r="AD1238" s="84" t="str">
        <f>IF(AND(N1238="1521",MONTH(C1238)='BK-NL'!$M$11),"x","")</f>
        <v/>
      </c>
      <c r="AE1238" s="1146" t="str">
        <f t="shared" si="182"/>
        <v>x</v>
      </c>
    </row>
    <row r="1239" spans="1:31" ht="15.75" hidden="1" customHeight="1">
      <c r="A1239" s="336" t="str">
        <f>IF(B1239&lt;&gt;"",IF(AND(B1239='IN-TC'!$S$4,OR(TH!N1239="1111",TH!O1239="1111")),TH!D1239,""),"")</f>
        <v/>
      </c>
      <c r="B1239" s="63">
        <f t="shared" ref="B1239:B1248" si="185">IF(C1239&lt;&gt;"",MONTH(C1239),"")</f>
        <v>2</v>
      </c>
      <c r="C1239" s="64">
        <f t="shared" si="184"/>
        <v>42429</v>
      </c>
      <c r="D1239" s="64" t="s">
        <v>1092</v>
      </c>
      <c r="E1239" s="64">
        <v>42429</v>
      </c>
      <c r="F1239" s="73" t="s">
        <v>949</v>
      </c>
      <c r="G1239" s="67" t="s">
        <v>344</v>
      </c>
      <c r="H1239" s="73" t="s">
        <v>428</v>
      </c>
      <c r="I1239" s="439"/>
      <c r="J1239" s="439"/>
      <c r="K1239" s="430"/>
      <c r="L1239" s="439"/>
      <c r="M1239" s="65">
        <v>92967600</v>
      </c>
      <c r="N1239" s="66" t="s">
        <v>8</v>
      </c>
      <c r="O1239" s="66" t="s">
        <v>272</v>
      </c>
      <c r="P1239" s="84" t="str">
        <f>IF(AND('331-CT'!$E$7=TH!H1239,OR(N1239="331",O1239="331")),"x","")</f>
        <v/>
      </c>
      <c r="Q1239" s="84" t="str">
        <f>IF(AND(B1239='111'!$L$11,OR($N1239=$Q$7,$O1239=$Q$7)),"x","")</f>
        <v/>
      </c>
      <c r="R1239" s="84" t="str">
        <f>IF(AND($N1239=$Q$7,$B1239&lt;'111'!$L$11),"x","")</f>
        <v/>
      </c>
      <c r="S1239" s="84" t="str">
        <f>IF(AND($O1239=$Q$7,$B1239&lt;'111'!$L$11),"x","")</f>
        <v/>
      </c>
      <c r="T1239" s="84" t="str">
        <f>IF(ISERROR(FIND('112'!$M$9,G1239,1)),"",IF((AND(FIND('112'!$M$9,G1239,1)&gt;=1,B1239='112'!$K$9,OR($N1239='112'!$I$6,$O1239='112'!$I$6))),"x",""))</f>
        <v/>
      </c>
      <c r="U1239" s="84" t="str">
        <f>IF(ISERROR(FIND('112'!$M$9,G1239,1)),"",IF((AND(LEFT(G1239,2)=LEFT('112'!$M$9,2),B1239&lt;'112'!$K$9,$N1239='112'!$I$6)),"x",""))</f>
        <v/>
      </c>
      <c r="V1239" s="84" t="str">
        <f>IF(ISERROR(FIND('112'!$M$9,G1239,1)),"",IF((AND(RIGHT(G1239,2)=RIGHT('112'!$M$9,2),B1239&lt;'112'!$K$9,$O1239='112'!$I$6)),"x",""))</f>
        <v/>
      </c>
      <c r="W1239" s="84" t="str">
        <f>IF(AND('341-CT'!$H$9=H1239,OR(LEFT(N1239,3)=$W$7,LEFT(O1239,3)=$W$7)),"x","")</f>
        <v/>
      </c>
      <c r="X1239" s="84" t="str">
        <f>IF(OR(TH!N1239=TH!$X$7,O1239=TH!$X$7),"x","")</f>
        <v/>
      </c>
      <c r="Y1239" s="84" t="str">
        <f>IF(AND(OR(N1239="131",O1239="131"),H1239='131-CT'!$H$9),"x","")</f>
        <v/>
      </c>
      <c r="Z1239" s="84"/>
      <c r="AA1239" s="84" t="str">
        <f>IF(AND(MONTH(E1239)='IN-NX'!$J$5,'IN-NX'!$D$7=D1239),"x","")</f>
        <v/>
      </c>
      <c r="AB1239" s="84" t="str">
        <f>IF(AND(OR(LEFT(TH!N1239,2)="15",LEFT(TH!O1239,2)="15"),LEFT(TH!O1239,3)&lt;&gt;"111",'152-CT'!$J$8=TH!F1239),"x","")</f>
        <v/>
      </c>
      <c r="AC1239" s="84" t="str">
        <f>IF(AND(OR(LEFT(TH!N1239,2)="15",LEFT(TH!O1239,2)="15"),TK!$E$7=TH!F1239),"x","")</f>
        <v/>
      </c>
      <c r="AD1239" s="84" t="str">
        <f>IF(AND(N1239="1521",MONTH(C1239)='BK-NL'!$M$11),"x","")</f>
        <v/>
      </c>
      <c r="AE1239" s="1146" t="str">
        <f t="shared" si="182"/>
        <v>x</v>
      </c>
    </row>
    <row r="1240" spans="1:31" ht="15.75" hidden="1" customHeight="1">
      <c r="A1240" s="336" t="str">
        <f>IF(B1240&lt;&gt;"",IF(AND(B1240='IN-TC'!$S$4,OR(TH!N1240="1111",TH!O1240="1111")),TH!D1240,""),"")</f>
        <v/>
      </c>
      <c r="B1240" s="63">
        <f t="shared" si="185"/>
        <v>2</v>
      </c>
      <c r="C1240" s="64">
        <f t="shared" si="184"/>
        <v>42429</v>
      </c>
      <c r="D1240" s="64" t="s">
        <v>1092</v>
      </c>
      <c r="E1240" s="64">
        <v>42429</v>
      </c>
      <c r="F1240" s="73" t="s">
        <v>949</v>
      </c>
      <c r="G1240" s="67" t="s">
        <v>344</v>
      </c>
      <c r="H1240" s="73" t="s">
        <v>435</v>
      </c>
      <c r="I1240" s="439"/>
      <c r="J1240" s="439"/>
      <c r="K1240" s="430"/>
      <c r="L1240" s="439"/>
      <c r="M1240" s="65">
        <v>192852000</v>
      </c>
      <c r="N1240" s="66" t="s">
        <v>8</v>
      </c>
      <c r="O1240" s="66" t="s">
        <v>272</v>
      </c>
      <c r="P1240" s="84" t="str">
        <f>IF(AND('331-CT'!$E$7=TH!H1240,OR(N1240="331",O1240="331")),"x","")</f>
        <v/>
      </c>
      <c r="Q1240" s="84" t="str">
        <f>IF(AND(B1240='111'!$L$11,OR($N1240=$Q$7,$O1240=$Q$7)),"x","")</f>
        <v/>
      </c>
      <c r="R1240" s="84" t="str">
        <f>IF(AND($N1240=$Q$7,$B1240&lt;'111'!$L$11),"x","")</f>
        <v/>
      </c>
      <c r="S1240" s="84" t="str">
        <f>IF(AND($O1240=$Q$7,$B1240&lt;'111'!$L$11),"x","")</f>
        <v/>
      </c>
      <c r="T1240" s="84" t="str">
        <f>IF(ISERROR(FIND('112'!$M$9,G1240,1)),"",IF((AND(FIND('112'!$M$9,G1240,1)&gt;=1,B1240='112'!$K$9,OR($N1240='112'!$I$6,$O1240='112'!$I$6))),"x",""))</f>
        <v/>
      </c>
      <c r="U1240" s="84" t="str">
        <f>IF(ISERROR(FIND('112'!$M$9,G1240,1)),"",IF((AND(LEFT(G1240,2)=LEFT('112'!$M$9,2),B1240&lt;'112'!$K$9,$N1240='112'!$I$6)),"x",""))</f>
        <v/>
      </c>
      <c r="V1240" s="84" t="str">
        <f>IF(ISERROR(FIND('112'!$M$9,G1240,1)),"",IF((AND(RIGHT(G1240,2)=RIGHT('112'!$M$9,2),B1240&lt;'112'!$K$9,$O1240='112'!$I$6)),"x",""))</f>
        <v/>
      </c>
      <c r="W1240" s="84" t="str">
        <f>IF(AND('341-CT'!$H$9=H1240,OR(LEFT(N1240,3)=$W$7,LEFT(O1240,3)=$W$7)),"x","")</f>
        <v/>
      </c>
      <c r="X1240" s="84" t="str">
        <f>IF(OR(TH!N1240=TH!$X$7,O1240=TH!$X$7),"x","")</f>
        <v/>
      </c>
      <c r="Y1240" s="84" t="str">
        <f>IF(AND(OR(N1240="131",O1240="131"),H1240='131-CT'!$H$9),"x","")</f>
        <v/>
      </c>
      <c r="Z1240" s="84"/>
      <c r="AA1240" s="84" t="str">
        <f>IF(AND(MONTH(E1240)='IN-NX'!$J$5,'IN-NX'!$D$7=D1240),"x","")</f>
        <v/>
      </c>
      <c r="AB1240" s="84" t="str">
        <f>IF(AND(OR(LEFT(TH!N1240,2)="15",LEFT(TH!O1240,2)="15"),LEFT(TH!O1240,3)&lt;&gt;"111",'152-CT'!$J$8=TH!F1240),"x","")</f>
        <v/>
      </c>
      <c r="AC1240" s="84" t="str">
        <f>IF(AND(OR(LEFT(TH!N1240,2)="15",LEFT(TH!O1240,2)="15"),TK!$E$7=TH!F1240),"x","")</f>
        <v/>
      </c>
      <c r="AD1240" s="84" t="str">
        <f>IF(AND(N1240="1521",MONTH(C1240)='BK-NL'!$M$11),"x","")</f>
        <v/>
      </c>
      <c r="AE1240" s="1146" t="str">
        <f t="shared" si="182"/>
        <v>x</v>
      </c>
    </row>
    <row r="1241" spans="1:31" ht="15.75" hidden="1" customHeight="1">
      <c r="A1241" s="336" t="str">
        <f>IF(B1241&lt;&gt;"",IF(AND(B1241='IN-TC'!$S$4,OR(TH!N1241="1111",TH!O1241="1111")),TH!D1241,""),"")</f>
        <v/>
      </c>
      <c r="B1241" s="63">
        <f t="shared" si="185"/>
        <v>2</v>
      </c>
      <c r="C1241" s="64">
        <f t="shared" si="184"/>
        <v>42429</v>
      </c>
      <c r="D1241" s="64" t="s">
        <v>1092</v>
      </c>
      <c r="E1241" s="64">
        <v>42429</v>
      </c>
      <c r="F1241" s="73" t="s">
        <v>949</v>
      </c>
      <c r="G1241" s="67" t="s">
        <v>344</v>
      </c>
      <c r="H1241" s="73" t="s">
        <v>437</v>
      </c>
      <c r="I1241" s="439"/>
      <c r="J1241" s="439"/>
      <c r="K1241" s="430"/>
      <c r="L1241" s="439"/>
      <c r="M1241" s="65">
        <v>188733600</v>
      </c>
      <c r="N1241" s="66" t="s">
        <v>8</v>
      </c>
      <c r="O1241" s="66" t="s">
        <v>272</v>
      </c>
      <c r="P1241" s="84" t="str">
        <f>IF(AND('331-CT'!$E$7=TH!H1241,OR(N1241="331",O1241="331")),"x","")</f>
        <v/>
      </c>
      <c r="Q1241" s="84" t="str">
        <f>IF(AND(B1241='111'!$L$11,OR($N1241=$Q$7,$O1241=$Q$7)),"x","")</f>
        <v/>
      </c>
      <c r="R1241" s="84" t="str">
        <f>IF(AND($N1241=$Q$7,$B1241&lt;'111'!$L$11),"x","")</f>
        <v/>
      </c>
      <c r="S1241" s="84" t="str">
        <f>IF(AND($O1241=$Q$7,$B1241&lt;'111'!$L$11),"x","")</f>
        <v/>
      </c>
      <c r="T1241" s="84" t="str">
        <f>IF(ISERROR(FIND('112'!$M$9,G1241,1)),"",IF((AND(FIND('112'!$M$9,G1241,1)&gt;=1,B1241='112'!$K$9,OR($N1241='112'!$I$6,$O1241='112'!$I$6))),"x",""))</f>
        <v/>
      </c>
      <c r="U1241" s="84" t="str">
        <f>IF(ISERROR(FIND('112'!$M$9,G1241,1)),"",IF((AND(LEFT(G1241,2)=LEFT('112'!$M$9,2),B1241&lt;'112'!$K$9,$N1241='112'!$I$6)),"x",""))</f>
        <v/>
      </c>
      <c r="V1241" s="84" t="str">
        <f>IF(ISERROR(FIND('112'!$M$9,G1241,1)),"",IF((AND(RIGHT(G1241,2)=RIGHT('112'!$M$9,2),B1241&lt;'112'!$K$9,$O1241='112'!$I$6)),"x",""))</f>
        <v/>
      </c>
      <c r="W1241" s="84" t="str">
        <f>IF(AND('341-CT'!$H$9=H1241,OR(LEFT(N1241,3)=$W$7,LEFT(O1241,3)=$W$7)),"x","")</f>
        <v/>
      </c>
      <c r="X1241" s="84" t="str">
        <f>IF(OR(TH!N1241=TH!$X$7,O1241=TH!$X$7),"x","")</f>
        <v/>
      </c>
      <c r="Y1241" s="84" t="str">
        <f>IF(AND(OR(N1241="131",O1241="131"),H1241='131-CT'!$H$9),"x","")</f>
        <v/>
      </c>
      <c r="Z1241" s="84"/>
      <c r="AA1241" s="84" t="str">
        <f>IF(AND(MONTH(E1241)='IN-NX'!$J$5,'IN-NX'!$D$7=D1241),"x","")</f>
        <v/>
      </c>
      <c r="AB1241" s="84" t="str">
        <f>IF(AND(OR(LEFT(TH!N1241,2)="15",LEFT(TH!O1241,2)="15"),LEFT(TH!O1241,3)&lt;&gt;"111",'152-CT'!$J$8=TH!F1241),"x","")</f>
        <v/>
      </c>
      <c r="AC1241" s="84" t="str">
        <f>IF(AND(OR(LEFT(TH!N1241,2)="15",LEFT(TH!O1241,2)="15"),TK!$E$7=TH!F1241),"x","")</f>
        <v/>
      </c>
      <c r="AD1241" s="84" t="str">
        <f>IF(AND(N1241="1521",MONTH(C1241)='BK-NL'!$M$11),"x","")</f>
        <v/>
      </c>
      <c r="AE1241" s="1146" t="str">
        <f t="shared" si="182"/>
        <v>x</v>
      </c>
    </row>
    <row r="1242" spans="1:31" ht="15.75" hidden="1" customHeight="1">
      <c r="A1242" s="336" t="str">
        <f>IF(B1242&lt;&gt;"",IF(AND(B1242='IN-TC'!$S$4,OR(TH!N1242="1111",TH!O1242="1111")),TH!D1242,""),"")</f>
        <v/>
      </c>
      <c r="B1242" s="63">
        <f t="shared" si="185"/>
        <v>2</v>
      </c>
      <c r="C1242" s="64">
        <f t="shared" si="184"/>
        <v>42429</v>
      </c>
      <c r="D1242" s="64" t="s">
        <v>1092</v>
      </c>
      <c r="E1242" s="64">
        <v>42429</v>
      </c>
      <c r="F1242" s="73" t="s">
        <v>949</v>
      </c>
      <c r="G1242" s="67" t="s">
        <v>344</v>
      </c>
      <c r="H1242" s="73" t="s">
        <v>438</v>
      </c>
      <c r="I1242" s="439"/>
      <c r="J1242" s="439"/>
      <c r="K1242" s="430"/>
      <c r="L1242" s="439"/>
      <c r="M1242" s="65">
        <v>80506800</v>
      </c>
      <c r="N1242" s="66" t="s">
        <v>8</v>
      </c>
      <c r="O1242" s="66" t="s">
        <v>272</v>
      </c>
      <c r="P1242" s="84" t="str">
        <f>IF(AND('331-CT'!$E$7=TH!H1242,OR(N1242="331",O1242="331")),"x","")</f>
        <v/>
      </c>
      <c r="Q1242" s="84" t="str">
        <f>IF(AND(B1242='111'!$L$11,OR($N1242=$Q$7,$O1242=$Q$7)),"x","")</f>
        <v/>
      </c>
      <c r="R1242" s="84" t="str">
        <f>IF(AND($N1242=$Q$7,$B1242&lt;'111'!$L$11),"x","")</f>
        <v/>
      </c>
      <c r="S1242" s="84" t="str">
        <f>IF(AND($O1242=$Q$7,$B1242&lt;'111'!$L$11),"x","")</f>
        <v/>
      </c>
      <c r="T1242" s="84" t="str">
        <f>IF(ISERROR(FIND('112'!$M$9,G1242,1)),"",IF((AND(FIND('112'!$M$9,G1242,1)&gt;=1,B1242='112'!$K$9,OR($N1242='112'!$I$6,$O1242='112'!$I$6))),"x",""))</f>
        <v/>
      </c>
      <c r="U1242" s="84" t="str">
        <f>IF(ISERROR(FIND('112'!$M$9,G1242,1)),"",IF((AND(LEFT(G1242,2)=LEFT('112'!$M$9,2),B1242&lt;'112'!$K$9,$N1242='112'!$I$6)),"x",""))</f>
        <v/>
      </c>
      <c r="V1242" s="84" t="str">
        <f>IF(ISERROR(FIND('112'!$M$9,G1242,1)),"",IF((AND(RIGHT(G1242,2)=RIGHT('112'!$M$9,2),B1242&lt;'112'!$K$9,$O1242='112'!$I$6)),"x",""))</f>
        <v/>
      </c>
      <c r="W1242" s="84" t="str">
        <f>IF(AND('341-CT'!$H$9=H1242,OR(LEFT(N1242,3)=$W$7,LEFT(O1242,3)=$W$7)),"x","")</f>
        <v/>
      </c>
      <c r="X1242" s="84" t="str">
        <f>IF(OR(TH!N1242=TH!$X$7,O1242=TH!$X$7),"x","")</f>
        <v/>
      </c>
      <c r="Y1242" s="84" t="str">
        <f>IF(AND(OR(N1242="131",O1242="131"),H1242='131-CT'!$H$9),"x","")</f>
        <v/>
      </c>
      <c r="Z1242" s="84"/>
      <c r="AA1242" s="84" t="str">
        <f>IF(AND(MONTH(E1242)='IN-NX'!$J$5,'IN-NX'!$D$7=D1242),"x","")</f>
        <v/>
      </c>
      <c r="AB1242" s="84" t="str">
        <f>IF(AND(OR(LEFT(TH!N1242,2)="15",LEFT(TH!O1242,2)="15"),LEFT(TH!O1242,3)&lt;&gt;"111",'152-CT'!$J$8=TH!F1242),"x","")</f>
        <v/>
      </c>
      <c r="AC1242" s="84" t="str">
        <f>IF(AND(OR(LEFT(TH!N1242,2)="15",LEFT(TH!O1242,2)="15"),TK!$E$7=TH!F1242),"x","")</f>
        <v/>
      </c>
      <c r="AD1242" s="84" t="str">
        <f>IF(AND(N1242="1521",MONTH(C1242)='BK-NL'!$M$11),"x","")</f>
        <v/>
      </c>
      <c r="AE1242" s="1146" t="str">
        <f t="shared" si="182"/>
        <v>x</v>
      </c>
    </row>
    <row r="1243" spans="1:31" ht="15.75" hidden="1" customHeight="1">
      <c r="A1243" s="336" t="str">
        <f>IF(B1243&lt;&gt;"",IF(AND(B1243='IN-TC'!$S$4,OR(TH!N1243="1111",TH!O1243="1111")),TH!D1243,""),"")</f>
        <v/>
      </c>
      <c r="B1243" s="63">
        <f t="shared" si="185"/>
        <v>2</v>
      </c>
      <c r="C1243" s="64">
        <f t="shared" si="184"/>
        <v>42429</v>
      </c>
      <c r="D1243" s="64" t="s">
        <v>1092</v>
      </c>
      <c r="E1243" s="64">
        <v>42429</v>
      </c>
      <c r="F1243" s="73" t="s">
        <v>949</v>
      </c>
      <c r="G1243" s="67" t="s">
        <v>344</v>
      </c>
      <c r="H1243" s="344" t="s">
        <v>444</v>
      </c>
      <c r="I1243" s="441"/>
      <c r="J1243" s="441"/>
      <c r="K1243" s="432"/>
      <c r="L1243" s="441"/>
      <c r="M1243" s="65">
        <v>98340000</v>
      </c>
      <c r="N1243" s="66" t="s">
        <v>8</v>
      </c>
      <c r="O1243" s="66" t="s">
        <v>272</v>
      </c>
      <c r="P1243" s="84" t="str">
        <f>IF(AND('331-CT'!$E$7=TH!H1243,OR(N1243="331",O1243="331")),"x","")</f>
        <v/>
      </c>
      <c r="Q1243" s="84" t="str">
        <f>IF(AND(B1243='111'!$L$11,OR($N1243=$Q$7,$O1243=$Q$7)),"x","")</f>
        <v/>
      </c>
      <c r="R1243" s="84" t="str">
        <f>IF(AND($N1243=$Q$7,$B1243&lt;'111'!$L$11),"x","")</f>
        <v/>
      </c>
      <c r="S1243" s="84" t="str">
        <f>IF(AND($O1243=$Q$7,$B1243&lt;'111'!$L$11),"x","")</f>
        <v/>
      </c>
      <c r="T1243" s="84" t="str">
        <f>IF(ISERROR(FIND('112'!$M$9,G1243,1)),"",IF((AND(FIND('112'!$M$9,G1243,1)&gt;=1,B1243='112'!$K$9,OR($N1243='112'!$I$6,$O1243='112'!$I$6))),"x",""))</f>
        <v/>
      </c>
      <c r="U1243" s="84" t="str">
        <f>IF(ISERROR(FIND('112'!$M$9,G1243,1)),"",IF((AND(LEFT(G1243,2)=LEFT('112'!$M$9,2),B1243&lt;'112'!$K$9,$N1243='112'!$I$6)),"x",""))</f>
        <v/>
      </c>
      <c r="V1243" s="84" t="str">
        <f>IF(ISERROR(FIND('112'!$M$9,G1243,1)),"",IF((AND(RIGHT(G1243,2)=RIGHT('112'!$M$9,2),B1243&lt;'112'!$K$9,$O1243='112'!$I$6)),"x",""))</f>
        <v/>
      </c>
      <c r="W1243" s="84" t="str">
        <f>IF(AND('341-CT'!$H$9=H1243,OR(LEFT(N1243,3)=$W$7,LEFT(O1243,3)=$W$7)),"x","")</f>
        <v/>
      </c>
      <c r="X1243" s="84" t="str">
        <f>IF(OR(TH!N1243=TH!$X$7,O1243=TH!$X$7),"x","")</f>
        <v/>
      </c>
      <c r="Y1243" s="84" t="str">
        <f>IF(AND(OR(N1243="131",O1243="131"),H1243='131-CT'!$H$9),"x","")</f>
        <v/>
      </c>
      <c r="Z1243" s="84"/>
      <c r="AA1243" s="84" t="str">
        <f>IF(AND(MONTH(E1243)='IN-NX'!$J$5,'IN-NX'!$D$7=D1243),"x","")</f>
        <v/>
      </c>
      <c r="AB1243" s="84" t="str">
        <f>IF(AND(OR(LEFT(TH!N1243,2)="15",LEFT(TH!O1243,2)="15"),LEFT(TH!O1243,3)&lt;&gt;"111",'152-CT'!$J$8=TH!F1243),"x","")</f>
        <v/>
      </c>
      <c r="AC1243" s="84" t="str">
        <f>IF(AND(OR(LEFT(TH!N1243,2)="15",LEFT(TH!O1243,2)="15"),TK!$E$7=TH!F1243),"x","")</f>
        <v/>
      </c>
      <c r="AD1243" s="84" t="str">
        <f>IF(AND(N1243="1521",MONTH(C1243)='BK-NL'!$M$11),"x","")</f>
        <v/>
      </c>
      <c r="AE1243" s="1146" t="str">
        <f t="shared" si="182"/>
        <v>x</v>
      </c>
    </row>
    <row r="1244" spans="1:31" ht="15.75" hidden="1" customHeight="1">
      <c r="A1244" s="336" t="str">
        <f>IF(B1244&lt;&gt;"",IF(AND(B1244='IN-TC'!$S$4,OR(TH!N1244="1111",TH!O1244="1111")),TH!D1244,""),"")</f>
        <v/>
      </c>
      <c r="B1244" s="63">
        <f t="shared" si="185"/>
        <v>3</v>
      </c>
      <c r="C1244" s="64">
        <f t="shared" si="184"/>
        <v>42460</v>
      </c>
      <c r="D1244" s="64" t="s">
        <v>1092</v>
      </c>
      <c r="E1244" s="64">
        <v>42460</v>
      </c>
      <c r="F1244" s="73" t="s">
        <v>949</v>
      </c>
      <c r="G1244" s="67" t="s">
        <v>338</v>
      </c>
      <c r="H1244" s="344" t="s">
        <v>364</v>
      </c>
      <c r="I1244" s="439"/>
      <c r="J1244" s="439"/>
      <c r="K1244" s="430"/>
      <c r="L1244" s="439"/>
      <c r="M1244" s="65">
        <v>171717000</v>
      </c>
      <c r="N1244" s="66" t="s">
        <v>8</v>
      </c>
      <c r="O1244" s="66" t="s">
        <v>272</v>
      </c>
      <c r="P1244" s="84" t="str">
        <f>IF(AND('331-CT'!$E$7=TH!H1244,OR(N1244="331",O1244="331")),"x","")</f>
        <v/>
      </c>
      <c r="Q1244" s="84" t="str">
        <f>IF(AND(B1244='111'!$L$11,OR($N1244=$Q$7,$O1244=$Q$7)),"x","")</f>
        <v/>
      </c>
      <c r="R1244" s="84" t="str">
        <f>IF(AND($N1244=$Q$7,$B1244&lt;'111'!$L$11),"x","")</f>
        <v/>
      </c>
      <c r="S1244" s="84" t="str">
        <f>IF(AND($O1244=$Q$7,$B1244&lt;'111'!$L$11),"x","")</f>
        <v/>
      </c>
      <c r="T1244" s="84" t="str">
        <f>IF(ISERROR(FIND('112'!$M$9,G1244,1)),"",IF((AND(FIND('112'!$M$9,G1244,1)&gt;=1,B1244='112'!$K$9,OR($N1244='112'!$I$6,$O1244='112'!$I$6))),"x",""))</f>
        <v/>
      </c>
      <c r="U1244" s="84" t="str">
        <f>IF(ISERROR(FIND('112'!$M$9,G1244,1)),"",IF((AND(LEFT(G1244,2)=LEFT('112'!$M$9,2),B1244&lt;'112'!$K$9,$N1244='112'!$I$6)),"x",""))</f>
        <v/>
      </c>
      <c r="V1244" s="84" t="str">
        <f>IF(ISERROR(FIND('112'!$M$9,G1244,1)),"",IF((AND(RIGHT(G1244,2)=RIGHT('112'!$M$9,2),B1244&lt;'112'!$K$9,$O1244='112'!$I$6)),"x",""))</f>
        <v/>
      </c>
      <c r="W1244" s="84" t="str">
        <f>IF(AND('341-CT'!$H$9=H1244,OR(LEFT(N1244,3)=$W$7,LEFT(O1244,3)=$W$7)),"x","")</f>
        <v/>
      </c>
      <c r="X1244" s="84" t="str">
        <f>IF(OR(TH!N1244=TH!$X$7,O1244=TH!$X$7),"x","")</f>
        <v/>
      </c>
      <c r="Y1244" s="84" t="str">
        <f>IF(AND(OR(N1244="131",O1244="131"),H1244='131-CT'!$H$9),"x","")</f>
        <v/>
      </c>
      <c r="Z1244" s="84"/>
      <c r="AA1244" s="84" t="str">
        <f>IF(AND(MONTH(E1244)='IN-NX'!$J$5,'IN-NX'!$D$7=D1244),"x","")</f>
        <v/>
      </c>
      <c r="AB1244" s="84" t="str">
        <f>IF(AND(OR(LEFT(TH!N1244,2)="15",LEFT(TH!O1244,2)="15"),LEFT(TH!O1244,3)&lt;&gt;"111",'152-CT'!$J$8=TH!F1244),"x","")</f>
        <v/>
      </c>
      <c r="AC1244" s="84" t="str">
        <f>IF(AND(OR(LEFT(TH!N1244,2)="15",LEFT(TH!O1244,2)="15"),TK!$E$7=TH!F1244),"x","")</f>
        <v/>
      </c>
      <c r="AD1244" s="84" t="str">
        <f>IF(AND(N1244="1521",MONTH(C1244)='BK-NL'!$M$11),"x","")</f>
        <v/>
      </c>
      <c r="AE1244" s="1146" t="str">
        <f t="shared" si="182"/>
        <v>x</v>
      </c>
    </row>
    <row r="1245" spans="1:31" ht="15.75" hidden="1" customHeight="1">
      <c r="A1245" s="336" t="str">
        <f>IF(B1245&lt;&gt;"",IF(AND(B1245='IN-TC'!$S$4,OR(TH!N1245="1111",TH!O1245="1111")),TH!D1245,""),"")</f>
        <v/>
      </c>
      <c r="B1245" s="63">
        <f t="shared" si="185"/>
        <v>3</v>
      </c>
      <c r="C1245" s="64">
        <f t="shared" si="184"/>
        <v>42460</v>
      </c>
      <c r="D1245" s="64" t="s">
        <v>1092</v>
      </c>
      <c r="E1245" s="64">
        <v>42460</v>
      </c>
      <c r="F1245" s="73" t="s">
        <v>949</v>
      </c>
      <c r="G1245" s="67" t="s">
        <v>338</v>
      </c>
      <c r="H1245" s="344" t="s">
        <v>346</v>
      </c>
      <c r="I1245" s="439"/>
      <c r="J1245" s="439"/>
      <c r="K1245" s="430"/>
      <c r="L1245" s="439"/>
      <c r="M1245" s="65">
        <v>104155000</v>
      </c>
      <c r="N1245" s="66" t="s">
        <v>8</v>
      </c>
      <c r="O1245" s="66" t="s">
        <v>272</v>
      </c>
      <c r="P1245" s="84" t="str">
        <f>IF(AND('331-CT'!$E$7=TH!H1245,OR(N1245="331",O1245="331")),"x","")</f>
        <v/>
      </c>
      <c r="Q1245" s="84" t="str">
        <f>IF(AND(B1245='111'!$L$11,OR($N1245=$Q$7,$O1245=$Q$7)),"x","")</f>
        <v/>
      </c>
      <c r="R1245" s="84" t="str">
        <f>IF(AND($N1245=$Q$7,$B1245&lt;'111'!$L$11),"x","")</f>
        <v/>
      </c>
      <c r="S1245" s="84" t="str">
        <f>IF(AND($O1245=$Q$7,$B1245&lt;'111'!$L$11),"x","")</f>
        <v/>
      </c>
      <c r="T1245" s="84" t="str">
        <f>IF(ISERROR(FIND('112'!$M$9,G1245,1)),"",IF((AND(FIND('112'!$M$9,G1245,1)&gt;=1,B1245='112'!$K$9,OR($N1245='112'!$I$6,$O1245='112'!$I$6))),"x",""))</f>
        <v/>
      </c>
      <c r="U1245" s="84" t="str">
        <f>IF(ISERROR(FIND('112'!$M$9,G1245,1)),"",IF((AND(LEFT(G1245,2)=LEFT('112'!$M$9,2),B1245&lt;'112'!$K$9,$N1245='112'!$I$6)),"x",""))</f>
        <v/>
      </c>
      <c r="V1245" s="84" t="str">
        <f>IF(ISERROR(FIND('112'!$M$9,G1245,1)),"",IF((AND(RIGHT(G1245,2)=RIGHT('112'!$M$9,2),B1245&lt;'112'!$K$9,$O1245='112'!$I$6)),"x",""))</f>
        <v/>
      </c>
      <c r="W1245" s="84" t="str">
        <f>IF(AND('341-CT'!$H$9=H1245,OR(LEFT(N1245,3)=$W$7,LEFT(O1245,3)=$W$7)),"x","")</f>
        <v/>
      </c>
      <c r="X1245" s="84" t="str">
        <f>IF(OR(TH!N1245=TH!$X$7,O1245=TH!$X$7),"x","")</f>
        <v/>
      </c>
      <c r="Y1245" s="84" t="str">
        <f>IF(AND(OR(N1245="131",O1245="131"),H1245='131-CT'!$H$9),"x","")</f>
        <v/>
      </c>
      <c r="Z1245" s="84"/>
      <c r="AA1245" s="84" t="str">
        <f>IF(AND(MONTH(E1245)='IN-NX'!$J$5,'IN-NX'!$D$7=D1245),"x","")</f>
        <v/>
      </c>
      <c r="AB1245" s="84" t="str">
        <f>IF(AND(OR(LEFT(TH!N1245,2)="15",LEFT(TH!O1245,2)="15"),LEFT(TH!O1245,3)&lt;&gt;"111",'152-CT'!$J$8=TH!F1245),"x","")</f>
        <v/>
      </c>
      <c r="AC1245" s="84" t="str">
        <f>IF(AND(OR(LEFT(TH!N1245,2)="15",LEFT(TH!O1245,2)="15"),TK!$E$7=TH!F1245),"x","")</f>
        <v/>
      </c>
      <c r="AD1245" s="84" t="str">
        <f>IF(AND(N1245="1521",MONTH(C1245)='BK-NL'!$M$11),"x","")</f>
        <v/>
      </c>
      <c r="AE1245" s="1146" t="str">
        <f t="shared" si="182"/>
        <v>x</v>
      </c>
    </row>
    <row r="1246" spans="1:31" ht="15.75" hidden="1" customHeight="1">
      <c r="A1246" s="336" t="str">
        <f>IF(B1246&lt;&gt;"",IF(AND(B1246='IN-TC'!$S$4,OR(TH!N1246="1111",TH!O1246="1111")),TH!D1246,""),"")</f>
        <v/>
      </c>
      <c r="B1246" s="63">
        <f t="shared" si="185"/>
        <v>3</v>
      </c>
      <c r="C1246" s="64">
        <f t="shared" si="184"/>
        <v>42460</v>
      </c>
      <c r="D1246" s="64" t="s">
        <v>1092</v>
      </c>
      <c r="E1246" s="64">
        <v>42460</v>
      </c>
      <c r="F1246" s="73" t="s">
        <v>949</v>
      </c>
      <c r="G1246" s="67" t="s">
        <v>338</v>
      </c>
      <c r="H1246" s="344" t="s">
        <v>349</v>
      </c>
      <c r="I1246" s="439"/>
      <c r="J1246" s="439"/>
      <c r="K1246" s="430"/>
      <c r="L1246" s="439"/>
      <c r="M1246" s="65">
        <v>101380000</v>
      </c>
      <c r="N1246" s="66" t="s">
        <v>8</v>
      </c>
      <c r="O1246" s="66" t="s">
        <v>272</v>
      </c>
      <c r="P1246" s="84" t="str">
        <f>IF(AND('331-CT'!$E$7=TH!H1246,OR(N1246="331",O1246="331")),"x","")</f>
        <v/>
      </c>
      <c r="Q1246" s="84" t="str">
        <f>IF(AND(B1246='111'!$L$11,OR($N1246=$Q$7,$O1246=$Q$7)),"x","")</f>
        <v/>
      </c>
      <c r="R1246" s="84" t="str">
        <f>IF(AND($N1246=$Q$7,$B1246&lt;'111'!$L$11),"x","")</f>
        <v/>
      </c>
      <c r="S1246" s="84" t="str">
        <f>IF(AND($O1246=$Q$7,$B1246&lt;'111'!$L$11),"x","")</f>
        <v/>
      </c>
      <c r="T1246" s="84" t="str">
        <f>IF(ISERROR(FIND('112'!$M$9,G1246,1)),"",IF((AND(FIND('112'!$M$9,G1246,1)&gt;=1,B1246='112'!$K$9,OR($N1246='112'!$I$6,$O1246='112'!$I$6))),"x",""))</f>
        <v/>
      </c>
      <c r="U1246" s="84" t="str">
        <f>IF(ISERROR(FIND('112'!$M$9,G1246,1)),"",IF((AND(LEFT(G1246,2)=LEFT('112'!$M$9,2),B1246&lt;'112'!$K$9,$N1246='112'!$I$6)),"x",""))</f>
        <v/>
      </c>
      <c r="V1246" s="84" t="str">
        <f>IF(ISERROR(FIND('112'!$M$9,G1246,1)),"",IF((AND(RIGHT(G1246,2)=RIGHT('112'!$M$9,2),B1246&lt;'112'!$K$9,$O1246='112'!$I$6)),"x",""))</f>
        <v/>
      </c>
      <c r="W1246" s="84" t="str">
        <f>IF(AND('341-CT'!$H$9=H1246,OR(LEFT(N1246,3)=$W$7,LEFT(O1246,3)=$W$7)),"x","")</f>
        <v/>
      </c>
      <c r="X1246" s="84" t="str">
        <f>IF(OR(TH!N1246=TH!$X$7,O1246=TH!$X$7),"x","")</f>
        <v/>
      </c>
      <c r="Y1246" s="84" t="str">
        <f>IF(AND(OR(N1246="131",O1246="131"),H1246='131-CT'!$H$9),"x","")</f>
        <v/>
      </c>
      <c r="Z1246" s="84"/>
      <c r="AA1246" s="84" t="str">
        <f>IF(AND(MONTH(E1246)='IN-NX'!$J$5,'IN-NX'!$D$7=D1246),"x","")</f>
        <v/>
      </c>
      <c r="AB1246" s="84" t="str">
        <f>IF(AND(OR(LEFT(TH!N1246,2)="15",LEFT(TH!O1246,2)="15"),LEFT(TH!O1246,3)&lt;&gt;"111",'152-CT'!$J$8=TH!F1246),"x","")</f>
        <v/>
      </c>
      <c r="AC1246" s="84" t="str">
        <f>IF(AND(OR(LEFT(TH!N1246,2)="15",LEFT(TH!O1246,2)="15"),TK!$E$7=TH!F1246),"x","")</f>
        <v/>
      </c>
      <c r="AD1246" s="84" t="str">
        <f>IF(AND(N1246="1521",MONTH(C1246)='BK-NL'!$M$11),"x","")</f>
        <v/>
      </c>
      <c r="AE1246" s="1146" t="str">
        <f t="shared" si="182"/>
        <v>x</v>
      </c>
    </row>
    <row r="1247" spans="1:31" ht="15.75" hidden="1" customHeight="1">
      <c r="A1247" s="336" t="str">
        <f>IF(B1247&lt;&gt;"",IF(AND(B1247='IN-TC'!$S$4,OR(TH!N1247="1111",TH!O1247="1111")),TH!D1247,""),"")</f>
        <v/>
      </c>
      <c r="B1247" s="63">
        <f t="shared" si="185"/>
        <v>3</v>
      </c>
      <c r="C1247" s="64">
        <f t="shared" si="184"/>
        <v>42460</v>
      </c>
      <c r="D1247" s="64" t="s">
        <v>1092</v>
      </c>
      <c r="E1247" s="64">
        <v>42460</v>
      </c>
      <c r="F1247" s="73" t="s">
        <v>949</v>
      </c>
      <c r="G1247" s="67" t="s">
        <v>338</v>
      </c>
      <c r="H1247" s="344" t="s">
        <v>361</v>
      </c>
      <c r="I1247" s="439"/>
      <c r="J1247" s="439"/>
      <c r="K1247" s="430"/>
      <c r="L1247" s="439"/>
      <c r="M1247" s="65">
        <v>141858000</v>
      </c>
      <c r="N1247" s="66" t="s">
        <v>8</v>
      </c>
      <c r="O1247" s="66" t="s">
        <v>272</v>
      </c>
      <c r="P1247" s="84" t="str">
        <f>IF(AND('331-CT'!$E$7=TH!H1247,OR(N1247="331",O1247="331")),"x","")</f>
        <v/>
      </c>
      <c r="Q1247" s="84" t="str">
        <f>IF(AND(B1247='111'!$L$11,OR($N1247=$Q$7,$O1247=$Q$7)),"x","")</f>
        <v/>
      </c>
      <c r="R1247" s="84" t="str">
        <f>IF(AND($N1247=$Q$7,$B1247&lt;'111'!$L$11),"x","")</f>
        <v/>
      </c>
      <c r="S1247" s="84" t="str">
        <f>IF(AND($O1247=$Q$7,$B1247&lt;'111'!$L$11),"x","")</f>
        <v/>
      </c>
      <c r="T1247" s="84" t="str">
        <f>IF(ISERROR(FIND('112'!$M$9,G1247,1)),"",IF((AND(FIND('112'!$M$9,G1247,1)&gt;=1,B1247='112'!$K$9,OR($N1247='112'!$I$6,$O1247='112'!$I$6))),"x",""))</f>
        <v/>
      </c>
      <c r="U1247" s="84" t="str">
        <f>IF(ISERROR(FIND('112'!$M$9,G1247,1)),"",IF((AND(LEFT(G1247,2)=LEFT('112'!$M$9,2),B1247&lt;'112'!$K$9,$N1247='112'!$I$6)),"x",""))</f>
        <v/>
      </c>
      <c r="V1247" s="84" t="str">
        <f>IF(ISERROR(FIND('112'!$M$9,G1247,1)),"",IF((AND(RIGHT(G1247,2)=RIGHT('112'!$M$9,2),B1247&lt;'112'!$K$9,$O1247='112'!$I$6)),"x",""))</f>
        <v/>
      </c>
      <c r="W1247" s="84" t="str">
        <f>IF(AND('341-CT'!$H$9=H1247,OR(LEFT(N1247,3)=$W$7,LEFT(O1247,3)=$W$7)),"x","")</f>
        <v/>
      </c>
      <c r="X1247" s="84" t="str">
        <f>IF(OR(TH!N1247=TH!$X$7,O1247=TH!$X$7),"x","")</f>
        <v/>
      </c>
      <c r="Y1247" s="84" t="str">
        <f>IF(AND(OR(N1247="131",O1247="131"),H1247='131-CT'!$H$9),"x","")</f>
        <v/>
      </c>
      <c r="Z1247" s="84"/>
      <c r="AA1247" s="84" t="str">
        <f>IF(AND(MONTH(E1247)='IN-NX'!$J$5,'IN-NX'!$D$7=D1247),"x","")</f>
        <v/>
      </c>
      <c r="AB1247" s="84" t="str">
        <f>IF(AND(OR(LEFT(TH!N1247,2)="15",LEFT(TH!O1247,2)="15"),LEFT(TH!O1247,3)&lt;&gt;"111",'152-CT'!$J$8=TH!F1247),"x","")</f>
        <v/>
      </c>
      <c r="AC1247" s="84" t="str">
        <f>IF(AND(OR(LEFT(TH!N1247,2)="15",LEFT(TH!O1247,2)="15"),TK!$E$7=TH!F1247),"x","")</f>
        <v/>
      </c>
      <c r="AD1247" s="84" t="str">
        <f>IF(AND(N1247="1521",MONTH(C1247)='BK-NL'!$M$11),"x","")</f>
        <v/>
      </c>
      <c r="AE1247" s="1146" t="str">
        <f t="shared" si="182"/>
        <v>x</v>
      </c>
    </row>
    <row r="1248" spans="1:31" ht="15.75" hidden="1" customHeight="1">
      <c r="A1248" s="336" t="str">
        <f>IF(B1248&lt;&gt;"",IF(AND(B1248='IN-TC'!$S$4,OR(TH!N1248="1111",TH!O1248="1111")),TH!D1248,""),"")</f>
        <v/>
      </c>
      <c r="B1248" s="63">
        <f t="shared" si="185"/>
        <v>3</v>
      </c>
      <c r="C1248" s="64">
        <f t="shared" si="184"/>
        <v>42460</v>
      </c>
      <c r="D1248" s="64" t="s">
        <v>1092</v>
      </c>
      <c r="E1248" s="64">
        <v>42460</v>
      </c>
      <c r="F1248" s="73" t="s">
        <v>949</v>
      </c>
      <c r="G1248" s="67" t="s">
        <v>338</v>
      </c>
      <c r="H1248" s="344" t="s">
        <v>367</v>
      </c>
      <c r="I1248" s="441"/>
      <c r="J1248" s="441"/>
      <c r="K1248" s="432"/>
      <c r="L1248" s="441"/>
      <c r="M1248" s="65">
        <v>72890000</v>
      </c>
      <c r="N1248" s="66" t="s">
        <v>8</v>
      </c>
      <c r="O1248" s="66" t="s">
        <v>272</v>
      </c>
      <c r="P1248" s="84" t="str">
        <f>IF(AND('331-CT'!$E$7=TH!H1248,OR(N1248="331",O1248="331")),"x","")</f>
        <v/>
      </c>
      <c r="Q1248" s="84" t="str">
        <f>IF(AND(B1248='111'!$L$11,OR($N1248=$Q$7,$O1248=$Q$7)),"x","")</f>
        <v/>
      </c>
      <c r="R1248" s="84" t="str">
        <f>IF(AND($N1248=$Q$7,$B1248&lt;'111'!$L$11),"x","")</f>
        <v/>
      </c>
      <c r="S1248" s="84" t="str">
        <f>IF(AND($O1248=$Q$7,$B1248&lt;'111'!$L$11),"x","")</f>
        <v/>
      </c>
      <c r="T1248" s="84" t="str">
        <f>IF(ISERROR(FIND('112'!$M$9,G1248,1)),"",IF((AND(FIND('112'!$M$9,G1248,1)&gt;=1,B1248='112'!$K$9,OR($N1248='112'!$I$6,$O1248='112'!$I$6))),"x",""))</f>
        <v/>
      </c>
      <c r="U1248" s="84" t="str">
        <f>IF(ISERROR(FIND('112'!$M$9,G1248,1)),"",IF((AND(LEFT(G1248,2)=LEFT('112'!$M$9,2),B1248&lt;'112'!$K$9,$N1248='112'!$I$6)),"x",""))</f>
        <v/>
      </c>
      <c r="V1248" s="84" t="str">
        <f>IF(ISERROR(FIND('112'!$M$9,G1248,1)),"",IF((AND(RIGHT(G1248,2)=RIGHT('112'!$M$9,2),B1248&lt;'112'!$K$9,$O1248='112'!$I$6)),"x",""))</f>
        <v/>
      </c>
      <c r="W1248" s="84" t="str">
        <f>IF(AND('341-CT'!$H$9=H1248,OR(LEFT(N1248,3)=$W$7,LEFT(O1248,3)=$W$7)),"x","")</f>
        <v/>
      </c>
      <c r="X1248" s="84" t="str">
        <f>IF(OR(TH!N1248=TH!$X$7,O1248=TH!$X$7),"x","")</f>
        <v/>
      </c>
      <c r="Y1248" s="84" t="str">
        <f>IF(AND(OR(N1248="131",O1248="131"),H1248='131-CT'!$H$9),"x","")</f>
        <v/>
      </c>
      <c r="Z1248" s="84"/>
      <c r="AA1248" s="84" t="str">
        <f>IF(AND(MONTH(E1248)='IN-NX'!$J$5,'IN-NX'!$D$7=D1248),"x","")</f>
        <v/>
      </c>
      <c r="AB1248" s="84" t="str">
        <f>IF(AND(OR(LEFT(TH!N1248,2)="15",LEFT(TH!O1248,2)="15"),LEFT(TH!O1248,3)&lt;&gt;"111",'152-CT'!$J$8=TH!F1248),"x","")</f>
        <v/>
      </c>
      <c r="AC1248" s="84" t="str">
        <f>IF(AND(OR(LEFT(TH!N1248,2)="15",LEFT(TH!O1248,2)="15"),TK!$E$7=TH!F1248),"x","")</f>
        <v/>
      </c>
      <c r="AD1248" s="84" t="str">
        <f>IF(AND(N1248="1521",MONTH(C1248)='BK-NL'!$M$11),"x","")</f>
        <v/>
      </c>
      <c r="AE1248" s="1146" t="str">
        <f t="shared" si="182"/>
        <v>x</v>
      </c>
    </row>
    <row r="1249" spans="1:31" ht="15.75" hidden="1" customHeight="1">
      <c r="A1249" s="336" t="str">
        <f>IF(B1249&lt;&gt;"",IF(AND(B1249='IN-TC'!$S$4,OR(TH!N1249="1111",TH!O1249="1111")),TH!D1249,""),"")</f>
        <v/>
      </c>
      <c r="B1249" s="63">
        <f t="shared" ref="B1249:B1257" si="186">IF(C1249&lt;&gt;"",MONTH(C1249),"")</f>
        <v>4</v>
      </c>
      <c r="C1249" s="64">
        <v>42462</v>
      </c>
      <c r="D1249" s="64" t="s">
        <v>868</v>
      </c>
      <c r="E1249" s="64">
        <f t="shared" ref="E1249:E1262" si="187">C1249</f>
        <v>42462</v>
      </c>
      <c r="F1249" s="73" t="s">
        <v>1015</v>
      </c>
      <c r="G1249" s="982" t="s">
        <v>1392</v>
      </c>
      <c r="H1249" s="73" t="s">
        <v>808</v>
      </c>
      <c r="I1249" s="439"/>
      <c r="J1249" s="439"/>
      <c r="K1249" s="430"/>
      <c r="L1249" s="439"/>
      <c r="M1249" s="65">
        <v>1036637</v>
      </c>
      <c r="N1249" s="66" t="s">
        <v>101</v>
      </c>
      <c r="O1249" s="66" t="s">
        <v>63</v>
      </c>
      <c r="P1249" s="84" t="str">
        <f>IF(AND('331-CT'!$E$7=TH!H1249,OR(N1249="331",O1249="331")),"x","")</f>
        <v/>
      </c>
      <c r="Q1249" s="84" t="str">
        <f>IF(AND(B1249='111'!$L$11,OR($N1249=$Q$7,$O1249=$Q$7)),"x","")</f>
        <v/>
      </c>
      <c r="R1249" s="84" t="str">
        <f>IF(AND($N1249=$Q$7,$B1249&lt;'111'!$L$11),"x","")</f>
        <v/>
      </c>
      <c r="S1249" s="84" t="str">
        <f>IF(AND($O1249=$Q$7,$B1249&lt;'111'!$L$11),"x","")</f>
        <v/>
      </c>
      <c r="T1249" s="84" t="str">
        <f>IF(ISERROR(FIND('112'!$M$9,G1249,1)),"",IF((AND(FIND('112'!$M$9,G1249,1)&gt;=1,B1249='112'!$K$9,OR($N1249='112'!$I$6,$O1249='112'!$I$6))),"x",""))</f>
        <v/>
      </c>
      <c r="U1249" s="84" t="str">
        <f>IF(ISERROR(FIND('112'!$M$9,G1249,1)),"",IF((AND(LEFT(G1249,2)=LEFT('112'!$M$9,2),B1249&lt;'112'!$K$9,$N1249='112'!$I$6)),"x",""))</f>
        <v/>
      </c>
      <c r="V1249" s="84" t="str">
        <f>IF(ISERROR(FIND('112'!$M$9,G1249,1)),"",IF((AND(RIGHT(G1249,2)=RIGHT('112'!$M$9,2),B1249&lt;'112'!$K$9,$O1249='112'!$I$6)),"x",""))</f>
        <v/>
      </c>
      <c r="W1249" s="84" t="str">
        <f>IF(AND('341-CT'!$H$9=H1249,OR(LEFT(N1249,3)=$W$7,LEFT(O1249,3)=$W$7)),"x","")</f>
        <v/>
      </c>
      <c r="X1249" s="84" t="str">
        <f>IF(OR(TH!N1249=TH!$X$7,O1249=TH!$X$7),"x","")</f>
        <v/>
      </c>
      <c r="Y1249" s="84" t="str">
        <f>IF(AND(OR(N1249="131",O1249="131"),H1249='131-CT'!$H$9),"x","")</f>
        <v/>
      </c>
      <c r="Z1249" s="84"/>
      <c r="AA1249" s="84" t="str">
        <f>IF(AND(MONTH(E1249)='IN-NX'!$J$5,'IN-NX'!$D$7=D1249),"x","")</f>
        <v/>
      </c>
      <c r="AB1249" s="84" t="str">
        <f>IF(AND(OR(LEFT(TH!N1249,2)="15",LEFT(TH!O1249,2)="15"),LEFT(TH!O1249,3)&lt;&gt;"111",'152-CT'!$J$8=TH!F1249),"x","")</f>
        <v/>
      </c>
      <c r="AC1249" s="84" t="str">
        <f>IF(AND(OR(LEFT(TH!N1249,2)="15",LEFT(TH!O1249,2)="15"),TK!$E$7=TH!F1249),"x","")</f>
        <v/>
      </c>
      <c r="AD1249" s="84" t="str">
        <f>IF(AND(N1249="1521",MONTH(C1249)='BK-NL'!$M$11),"x","")</f>
        <v/>
      </c>
    </row>
    <row r="1250" spans="1:31" ht="15.75" hidden="1" customHeight="1">
      <c r="A1250" s="336" t="str">
        <f>IF(B1250&lt;&gt;"",IF(AND(B1250='IN-TC'!$S$4,OR(TH!N1250="1111",TH!O1250="1111")),TH!D1250,""),"")</f>
        <v/>
      </c>
      <c r="B1250" s="63">
        <f t="shared" si="186"/>
        <v>4</v>
      </c>
      <c r="C1250" s="64">
        <v>42462</v>
      </c>
      <c r="D1250" s="64" t="s">
        <v>868</v>
      </c>
      <c r="E1250" s="64">
        <f t="shared" si="187"/>
        <v>42462</v>
      </c>
      <c r="F1250" s="73" t="s">
        <v>1393</v>
      </c>
      <c r="G1250" s="982" t="s">
        <v>1392</v>
      </c>
      <c r="H1250" s="73" t="s">
        <v>808</v>
      </c>
      <c r="I1250" s="439"/>
      <c r="J1250" s="439"/>
      <c r="K1250" s="430"/>
      <c r="L1250" s="439"/>
      <c r="M1250" s="65">
        <v>103663</v>
      </c>
      <c r="N1250" s="66" t="s">
        <v>9</v>
      </c>
      <c r="O1250" s="66" t="s">
        <v>63</v>
      </c>
      <c r="P1250" s="84" t="str">
        <f>IF(AND('331-CT'!$E$7=TH!H1250,OR(N1250="331",O1250="331")),"x","")</f>
        <v/>
      </c>
      <c r="Q1250" s="84" t="str">
        <f>IF(AND(B1250='111'!$L$11,OR($N1250=$Q$7,$O1250=$Q$7)),"x","")</f>
        <v/>
      </c>
      <c r="R1250" s="84" t="str">
        <f>IF(AND($N1250=$Q$7,$B1250&lt;'111'!$L$11),"x","")</f>
        <v/>
      </c>
      <c r="S1250" s="84" t="str">
        <f>IF(AND($O1250=$Q$7,$B1250&lt;'111'!$L$11),"x","")</f>
        <v/>
      </c>
      <c r="T1250" s="84" t="str">
        <f>IF(ISERROR(FIND('112'!$M$9,G1250,1)),"",IF((AND(FIND('112'!$M$9,G1250,1)&gt;=1,B1250='112'!$K$9,OR($N1250='112'!$I$6,$O1250='112'!$I$6))),"x",""))</f>
        <v/>
      </c>
      <c r="U1250" s="84" t="str">
        <f>IF(ISERROR(FIND('112'!$M$9,G1250,1)),"",IF((AND(LEFT(G1250,2)=LEFT('112'!$M$9,2),B1250&lt;'112'!$K$9,$N1250='112'!$I$6)),"x",""))</f>
        <v/>
      </c>
      <c r="V1250" s="84" t="str">
        <f>IF(ISERROR(FIND('112'!$M$9,G1250,1)),"",IF((AND(RIGHT(G1250,2)=RIGHT('112'!$M$9,2),B1250&lt;'112'!$K$9,$O1250='112'!$I$6)),"x",""))</f>
        <v/>
      </c>
      <c r="W1250" s="84" t="str">
        <f>IF(AND('341-CT'!$H$9=H1250,OR(LEFT(N1250,3)=$W$7,LEFT(O1250,3)=$W$7)),"x","")</f>
        <v/>
      </c>
      <c r="X1250" s="84" t="str">
        <f>IF(OR(TH!N1250=TH!$X$7,O1250=TH!$X$7),"x","")</f>
        <v/>
      </c>
      <c r="Y1250" s="84" t="str">
        <f>IF(AND(OR(N1250="131",O1250="131"),H1250='131-CT'!$H$9),"x","")</f>
        <v/>
      </c>
      <c r="Z1250" s="84"/>
      <c r="AA1250" s="84" t="str">
        <f>IF(AND(MONTH(E1250)='IN-NX'!$J$5,'IN-NX'!$D$7=D1250),"x","")</f>
        <v/>
      </c>
      <c r="AB1250" s="84" t="str">
        <f>IF(AND(OR(LEFT(TH!N1250,2)="15",LEFT(TH!O1250,2)="15"),LEFT(TH!O1250,3)&lt;&gt;"111",'152-CT'!$J$8=TH!F1250),"x","")</f>
        <v/>
      </c>
      <c r="AC1250" s="84" t="str">
        <f>IF(AND(OR(LEFT(TH!N1250,2)="15",LEFT(TH!O1250,2)="15"),TK!$E$7=TH!F1250),"x","")</f>
        <v/>
      </c>
      <c r="AD1250" s="84" t="str">
        <f>IF(AND(N1250="1521",MONTH(C1250)='BK-NL'!$M$11),"x","")</f>
        <v/>
      </c>
    </row>
    <row r="1251" spans="1:31" ht="15.75" hidden="1" customHeight="1">
      <c r="A1251" s="336" t="str">
        <f>IF(B1251&lt;&gt;"",IF(AND(B1251='IN-TC'!$S$4,OR(TH!N1251="1111",TH!O1251="1111")),TH!D1251,""),"")</f>
        <v/>
      </c>
      <c r="B1251" s="63">
        <f t="shared" si="186"/>
        <v>4</v>
      </c>
      <c r="C1251" s="64">
        <v>42464</v>
      </c>
      <c r="D1251" s="64" t="s">
        <v>869</v>
      </c>
      <c r="E1251" s="64">
        <f t="shared" si="187"/>
        <v>42464</v>
      </c>
      <c r="F1251" s="73" t="s">
        <v>1014</v>
      </c>
      <c r="G1251" s="982" t="s">
        <v>1394</v>
      </c>
      <c r="H1251" s="73" t="s">
        <v>1038</v>
      </c>
      <c r="I1251" s="439"/>
      <c r="J1251" s="439"/>
      <c r="K1251" s="430"/>
      <c r="L1251" s="439"/>
      <c r="M1251" s="65">
        <v>2100000</v>
      </c>
      <c r="N1251" s="66" t="s">
        <v>101</v>
      </c>
      <c r="O1251" s="66" t="s">
        <v>63</v>
      </c>
      <c r="P1251" s="84" t="str">
        <f>IF(AND('331-CT'!$E$7=TH!H1251,OR(N1251="331",O1251="331")),"x","")</f>
        <v/>
      </c>
      <c r="Q1251" s="84" t="str">
        <f>IF(AND(B1251='111'!$L$11,OR($N1251=$Q$7,$O1251=$Q$7)),"x","")</f>
        <v/>
      </c>
      <c r="R1251" s="84" t="str">
        <f>IF(AND($N1251=$Q$7,$B1251&lt;'111'!$L$11),"x","")</f>
        <v/>
      </c>
      <c r="S1251" s="84" t="str">
        <f>IF(AND($O1251=$Q$7,$B1251&lt;'111'!$L$11),"x","")</f>
        <v/>
      </c>
      <c r="T1251" s="84" t="str">
        <f>IF(ISERROR(FIND('112'!$M$9,G1251,1)),"",IF((AND(FIND('112'!$M$9,G1251,1)&gt;=1,B1251='112'!$K$9,OR($N1251='112'!$I$6,$O1251='112'!$I$6))),"x",""))</f>
        <v/>
      </c>
      <c r="U1251" s="84" t="str">
        <f>IF(ISERROR(FIND('112'!$M$9,G1251,1)),"",IF((AND(LEFT(G1251,2)=LEFT('112'!$M$9,2),B1251&lt;'112'!$K$9,$N1251='112'!$I$6)),"x",""))</f>
        <v/>
      </c>
      <c r="V1251" s="84" t="str">
        <f>IF(ISERROR(FIND('112'!$M$9,G1251,1)),"",IF((AND(RIGHT(G1251,2)=RIGHT('112'!$M$9,2),B1251&lt;'112'!$K$9,$O1251='112'!$I$6)),"x",""))</f>
        <v/>
      </c>
      <c r="W1251" s="84" t="str">
        <f>IF(AND('341-CT'!$H$9=H1251,OR(LEFT(N1251,3)=$W$7,LEFT(O1251,3)=$W$7)),"x","")</f>
        <v/>
      </c>
      <c r="X1251" s="84" t="str">
        <f>IF(OR(TH!N1251=TH!$X$7,O1251=TH!$X$7),"x","")</f>
        <v/>
      </c>
      <c r="Y1251" s="84" t="str">
        <f>IF(AND(OR(N1251="131",O1251="131"),H1251='131-CT'!$H$9),"x","")</f>
        <v/>
      </c>
      <c r="Z1251" s="84"/>
      <c r="AA1251" s="84" t="str">
        <f>IF(AND(MONTH(E1251)='IN-NX'!$J$5,'IN-NX'!$D$7=D1251),"x","")</f>
        <v/>
      </c>
      <c r="AB1251" s="84" t="str">
        <f>IF(AND(OR(LEFT(TH!N1251,2)="15",LEFT(TH!O1251,2)="15"),LEFT(TH!O1251,3)&lt;&gt;"111",'152-CT'!$J$8=TH!F1251),"x","")</f>
        <v/>
      </c>
      <c r="AC1251" s="84" t="str">
        <f>IF(AND(OR(LEFT(TH!N1251,2)="15",LEFT(TH!O1251,2)="15"),TK!$E$7=TH!F1251),"x","")</f>
        <v/>
      </c>
      <c r="AD1251" s="84" t="str">
        <f>IF(AND(N1251="1521",MONTH(C1251)='BK-NL'!$M$11),"x","")</f>
        <v/>
      </c>
    </row>
    <row r="1252" spans="1:31" ht="15.75" hidden="1" customHeight="1">
      <c r="A1252" s="336" t="str">
        <f>IF(B1252&lt;&gt;"",IF(AND(B1252='IN-TC'!$S$4,OR(TH!N1252="1111",TH!O1252="1111")),TH!D1252,""),"")</f>
        <v/>
      </c>
      <c r="B1252" s="63">
        <f t="shared" si="186"/>
        <v>4</v>
      </c>
      <c r="C1252" s="64">
        <v>42464</v>
      </c>
      <c r="D1252" s="64" t="s">
        <v>870</v>
      </c>
      <c r="E1252" s="64">
        <f t="shared" si="187"/>
        <v>42464</v>
      </c>
      <c r="F1252" s="73" t="s">
        <v>776</v>
      </c>
      <c r="G1252" s="982" t="s">
        <v>1395</v>
      </c>
      <c r="H1252" s="73" t="s">
        <v>808</v>
      </c>
      <c r="I1252" s="439"/>
      <c r="J1252" s="439"/>
      <c r="K1252" s="430"/>
      <c r="L1252" s="439"/>
      <c r="M1252" s="65">
        <v>646036</v>
      </c>
      <c r="N1252" s="66" t="s">
        <v>101</v>
      </c>
      <c r="O1252" s="66" t="s">
        <v>63</v>
      </c>
      <c r="P1252" s="84" t="str">
        <f>IF(AND('331-CT'!$E$7=TH!H1252,OR(N1252="331",O1252="331")),"x","")</f>
        <v/>
      </c>
      <c r="Q1252" s="84" t="str">
        <f>IF(AND(B1252='111'!$L$11,OR($N1252=$Q$7,$O1252=$Q$7)),"x","")</f>
        <v/>
      </c>
      <c r="R1252" s="84" t="str">
        <f>IF(AND($N1252=$Q$7,$B1252&lt;'111'!$L$11),"x","")</f>
        <v/>
      </c>
      <c r="S1252" s="84" t="str">
        <f>IF(AND($O1252=$Q$7,$B1252&lt;'111'!$L$11),"x","")</f>
        <v/>
      </c>
      <c r="T1252" s="84" t="str">
        <f>IF(ISERROR(FIND('112'!$M$9,G1252,1)),"",IF((AND(FIND('112'!$M$9,G1252,1)&gt;=1,B1252='112'!$K$9,OR($N1252='112'!$I$6,$O1252='112'!$I$6))),"x",""))</f>
        <v/>
      </c>
      <c r="U1252" s="84" t="str">
        <f>IF(ISERROR(FIND('112'!$M$9,G1252,1)),"",IF((AND(LEFT(G1252,2)=LEFT('112'!$M$9,2),B1252&lt;'112'!$K$9,$N1252='112'!$I$6)),"x",""))</f>
        <v/>
      </c>
      <c r="V1252" s="84" t="str">
        <f>IF(ISERROR(FIND('112'!$M$9,G1252,1)),"",IF((AND(RIGHT(G1252,2)=RIGHT('112'!$M$9,2),B1252&lt;'112'!$K$9,$O1252='112'!$I$6)),"x",""))</f>
        <v/>
      </c>
      <c r="W1252" s="84" t="str">
        <f>IF(AND('341-CT'!$H$9=H1252,OR(LEFT(N1252,3)=$W$7,LEFT(O1252,3)=$W$7)),"x","")</f>
        <v/>
      </c>
      <c r="X1252" s="84" t="str">
        <f>IF(OR(TH!N1252=TH!$X$7,O1252=TH!$X$7),"x","")</f>
        <v/>
      </c>
      <c r="Y1252" s="84" t="str">
        <f>IF(AND(OR(N1252="131",O1252="131"),H1252='131-CT'!$H$9),"x","")</f>
        <v/>
      </c>
      <c r="Z1252" s="84"/>
      <c r="AA1252" s="84" t="str">
        <f>IF(AND(MONTH(E1252)='IN-NX'!$J$5,'IN-NX'!$D$7=D1252),"x","")</f>
        <v/>
      </c>
      <c r="AB1252" s="84" t="str">
        <f>IF(AND(OR(LEFT(TH!N1252,2)="15",LEFT(TH!O1252,2)="15"),LEFT(TH!O1252,3)&lt;&gt;"111",'152-CT'!$J$8=TH!F1252),"x","")</f>
        <v/>
      </c>
      <c r="AC1252" s="84" t="str">
        <f>IF(AND(OR(LEFT(TH!N1252,2)="15",LEFT(TH!O1252,2)="15"),TK!$E$7=TH!F1252),"x","")</f>
        <v/>
      </c>
      <c r="AD1252" s="84" t="str">
        <f>IF(AND(N1252="1521",MONTH(C1252)='BK-NL'!$M$11),"x","")</f>
        <v/>
      </c>
    </row>
    <row r="1253" spans="1:31" ht="15.75" hidden="1" customHeight="1">
      <c r="A1253" s="336" t="str">
        <f>IF(B1253&lt;&gt;"",IF(AND(B1253='IN-TC'!$S$4,OR(TH!N1253="1111",TH!O1253="1111")),TH!D1253,""),"")</f>
        <v/>
      </c>
      <c r="B1253" s="63">
        <f t="shared" si="186"/>
        <v>4</v>
      </c>
      <c r="C1253" s="64">
        <v>42464</v>
      </c>
      <c r="D1253" s="64" t="s">
        <v>870</v>
      </c>
      <c r="E1253" s="64">
        <f t="shared" si="187"/>
        <v>42464</v>
      </c>
      <c r="F1253" s="73" t="s">
        <v>777</v>
      </c>
      <c r="G1253" s="982" t="s">
        <v>1395</v>
      </c>
      <c r="H1253" s="73" t="s">
        <v>808</v>
      </c>
      <c r="I1253" s="439"/>
      <c r="J1253" s="439"/>
      <c r="K1253" s="430"/>
      <c r="L1253" s="439"/>
      <c r="M1253" s="65">
        <v>64604</v>
      </c>
      <c r="N1253" s="66" t="s">
        <v>9</v>
      </c>
      <c r="O1253" s="66" t="s">
        <v>63</v>
      </c>
      <c r="P1253" s="84" t="str">
        <f>IF(AND('331-CT'!$E$7=TH!H1253,OR(N1253="331",O1253="331")),"x","")</f>
        <v/>
      </c>
      <c r="Q1253" s="84" t="str">
        <f>IF(AND(B1253='111'!$L$11,OR($N1253=$Q$7,$O1253=$Q$7)),"x","")</f>
        <v/>
      </c>
      <c r="R1253" s="84" t="str">
        <f>IF(AND($N1253=$Q$7,$B1253&lt;'111'!$L$11),"x","")</f>
        <v/>
      </c>
      <c r="S1253" s="84" t="str">
        <f>IF(AND($O1253=$Q$7,$B1253&lt;'111'!$L$11),"x","")</f>
        <v/>
      </c>
      <c r="T1253" s="84" t="str">
        <f>IF(ISERROR(FIND('112'!$M$9,G1253,1)),"",IF((AND(FIND('112'!$M$9,G1253,1)&gt;=1,B1253='112'!$K$9,OR($N1253='112'!$I$6,$O1253='112'!$I$6))),"x",""))</f>
        <v/>
      </c>
      <c r="U1253" s="84" t="str">
        <f>IF(ISERROR(FIND('112'!$M$9,G1253,1)),"",IF((AND(LEFT(G1253,2)=LEFT('112'!$M$9,2),B1253&lt;'112'!$K$9,$N1253='112'!$I$6)),"x",""))</f>
        <v/>
      </c>
      <c r="V1253" s="84" t="str">
        <f>IF(ISERROR(FIND('112'!$M$9,G1253,1)),"",IF((AND(RIGHT(G1253,2)=RIGHT('112'!$M$9,2),B1253&lt;'112'!$K$9,$O1253='112'!$I$6)),"x",""))</f>
        <v/>
      </c>
      <c r="W1253" s="84" t="str">
        <f>IF(AND('341-CT'!$H$9=H1253,OR(LEFT(N1253,3)=$W$7,LEFT(O1253,3)=$W$7)),"x","")</f>
        <v/>
      </c>
      <c r="X1253" s="84" t="str">
        <f>IF(OR(TH!N1253=TH!$X$7,O1253=TH!$X$7),"x","")</f>
        <v/>
      </c>
      <c r="Y1253" s="84" t="str">
        <f>IF(AND(OR(N1253="131",O1253="131"),H1253='131-CT'!$H$9),"x","")</f>
        <v/>
      </c>
      <c r="Z1253" s="84"/>
      <c r="AA1253" s="84" t="str">
        <f>IF(AND(MONTH(E1253)='IN-NX'!$J$5,'IN-NX'!$D$7=D1253),"x","")</f>
        <v/>
      </c>
      <c r="AB1253" s="84" t="str">
        <f>IF(AND(OR(LEFT(TH!N1253,2)="15",LEFT(TH!O1253,2)="15"),LEFT(TH!O1253,3)&lt;&gt;"111",'152-CT'!$J$8=TH!F1253),"x","")</f>
        <v/>
      </c>
      <c r="AC1253" s="84" t="str">
        <f>IF(AND(OR(LEFT(TH!N1253,2)="15",LEFT(TH!O1253,2)="15"),TK!$E$7=TH!F1253),"x","")</f>
        <v/>
      </c>
      <c r="AD1253" s="84" t="str">
        <f>IF(AND(N1253="1521",MONTH(C1253)='BK-NL'!$M$11),"x","")</f>
        <v/>
      </c>
    </row>
    <row r="1254" spans="1:31" ht="15.75" hidden="1" customHeight="1">
      <c r="A1254" s="336" t="str">
        <f>IF(B1254&lt;&gt;"",IF(AND(B1254='IN-TC'!$S$4,OR(TH!N1254="1111",TH!O1254="1111")),TH!D1254,""),"")</f>
        <v/>
      </c>
      <c r="B1254" s="63">
        <f t="shared" si="186"/>
        <v>4</v>
      </c>
      <c r="C1254" s="64">
        <v>42465</v>
      </c>
      <c r="D1254" s="64" t="s">
        <v>871</v>
      </c>
      <c r="E1254" s="64">
        <f t="shared" si="187"/>
        <v>42465</v>
      </c>
      <c r="F1254" s="73" t="s">
        <v>1396</v>
      </c>
      <c r="G1254" s="982" t="s">
        <v>1397</v>
      </c>
      <c r="H1254" s="73" t="s">
        <v>846</v>
      </c>
      <c r="I1254" s="439"/>
      <c r="J1254" s="439"/>
      <c r="K1254" s="430"/>
      <c r="L1254" s="439"/>
      <c r="M1254" s="65">
        <v>1981538</v>
      </c>
      <c r="N1254" s="66" t="s">
        <v>101</v>
      </c>
      <c r="O1254" s="66" t="s">
        <v>63</v>
      </c>
      <c r="P1254" s="84" t="str">
        <f>IF(AND('331-CT'!$E$7=TH!H1254,OR(N1254="331",O1254="331")),"x","")</f>
        <v/>
      </c>
      <c r="Q1254" s="84" t="str">
        <f>IF(AND(B1254='111'!$L$11,OR($N1254=$Q$7,$O1254=$Q$7)),"x","")</f>
        <v/>
      </c>
      <c r="R1254" s="84" t="str">
        <f>IF(AND($N1254=$Q$7,$B1254&lt;'111'!$L$11),"x","")</f>
        <v/>
      </c>
      <c r="S1254" s="84" t="str">
        <f>IF(AND($O1254=$Q$7,$B1254&lt;'111'!$L$11),"x","")</f>
        <v/>
      </c>
      <c r="T1254" s="84" t="str">
        <f>IF(ISERROR(FIND('112'!$M$9,G1254,1)),"",IF((AND(FIND('112'!$M$9,G1254,1)&gt;=1,B1254='112'!$K$9,OR($N1254='112'!$I$6,$O1254='112'!$I$6))),"x",""))</f>
        <v/>
      </c>
      <c r="U1254" s="84" t="str">
        <f>IF(ISERROR(FIND('112'!$M$9,G1254,1)),"",IF((AND(LEFT(G1254,2)=LEFT('112'!$M$9,2),B1254&lt;'112'!$K$9,$N1254='112'!$I$6)),"x",""))</f>
        <v/>
      </c>
      <c r="V1254" s="84" t="str">
        <f>IF(ISERROR(FIND('112'!$M$9,G1254,1)),"",IF((AND(RIGHT(G1254,2)=RIGHT('112'!$M$9,2),B1254&lt;'112'!$K$9,$O1254='112'!$I$6)),"x",""))</f>
        <v/>
      </c>
      <c r="W1254" s="84" t="str">
        <f>IF(AND('341-CT'!$H$9=H1254,OR(LEFT(N1254,3)=$W$7,LEFT(O1254,3)=$W$7)),"x","")</f>
        <v/>
      </c>
      <c r="X1254" s="84" t="str">
        <f>IF(OR(TH!N1254=TH!$X$7,O1254=TH!$X$7),"x","")</f>
        <v/>
      </c>
      <c r="Y1254" s="84" t="str">
        <f>IF(AND(OR(N1254="131",O1254="131"),H1254='131-CT'!$H$9),"x","")</f>
        <v/>
      </c>
      <c r="Z1254" s="84"/>
      <c r="AA1254" s="84" t="str">
        <f>IF(AND(MONTH(E1254)='IN-NX'!$J$5,'IN-NX'!$D$7=D1254),"x","")</f>
        <v/>
      </c>
      <c r="AB1254" s="84" t="str">
        <f>IF(AND(OR(LEFT(TH!N1254,2)="15",LEFT(TH!O1254,2)="15"),LEFT(TH!O1254,3)&lt;&gt;"111",'152-CT'!$J$8=TH!F1254),"x","")</f>
        <v/>
      </c>
      <c r="AC1254" s="84" t="str">
        <f>IF(AND(OR(LEFT(TH!N1254,2)="15",LEFT(TH!O1254,2)="15"),TK!$E$7=TH!F1254),"x","")</f>
        <v/>
      </c>
      <c r="AD1254" s="84" t="str">
        <f>IF(AND(N1254="1521",MONTH(C1254)='BK-NL'!$M$11),"x","")</f>
        <v/>
      </c>
    </row>
    <row r="1255" spans="1:31" ht="15.75" hidden="1" customHeight="1">
      <c r="A1255" s="336" t="str">
        <f>IF(B1255&lt;&gt;"",IF(AND(B1255='IN-TC'!$S$4,OR(TH!N1255="1111",TH!O1255="1111")),TH!D1255,""),"")</f>
        <v/>
      </c>
      <c r="B1255" s="63">
        <f t="shared" si="186"/>
        <v>4</v>
      </c>
      <c r="C1255" s="64">
        <v>42465</v>
      </c>
      <c r="D1255" s="64" t="s">
        <v>871</v>
      </c>
      <c r="E1255" s="64">
        <f t="shared" si="187"/>
        <v>42465</v>
      </c>
      <c r="F1255" s="73" t="s">
        <v>1398</v>
      </c>
      <c r="G1255" s="982" t="s">
        <v>1397</v>
      </c>
      <c r="H1255" s="73" t="s">
        <v>846</v>
      </c>
      <c r="I1255" s="439"/>
      <c r="J1255" s="439"/>
      <c r="K1255" s="430"/>
      <c r="L1255" s="439"/>
      <c r="M1255" s="65">
        <v>198154</v>
      </c>
      <c r="N1255" s="66" t="s">
        <v>9</v>
      </c>
      <c r="O1255" s="66" t="s">
        <v>63</v>
      </c>
      <c r="P1255" s="84" t="str">
        <f>IF(AND('331-CT'!$E$7=TH!H1255,OR(N1255="331",O1255="331")),"x","")</f>
        <v/>
      </c>
      <c r="Q1255" s="84" t="str">
        <f>IF(AND(B1255='111'!$L$11,OR($N1255=$Q$7,$O1255=$Q$7)),"x","")</f>
        <v/>
      </c>
      <c r="R1255" s="84" t="str">
        <f>IF(AND($N1255=$Q$7,$B1255&lt;'111'!$L$11),"x","")</f>
        <v/>
      </c>
      <c r="S1255" s="84" t="str">
        <f>IF(AND($O1255=$Q$7,$B1255&lt;'111'!$L$11),"x","")</f>
        <v/>
      </c>
      <c r="T1255" s="84" t="str">
        <f>IF(ISERROR(FIND('112'!$M$9,G1255,1)),"",IF((AND(FIND('112'!$M$9,G1255,1)&gt;=1,B1255='112'!$K$9,OR($N1255='112'!$I$6,$O1255='112'!$I$6))),"x",""))</f>
        <v/>
      </c>
      <c r="U1255" s="84" t="str">
        <f>IF(ISERROR(FIND('112'!$M$9,G1255,1)),"",IF((AND(LEFT(G1255,2)=LEFT('112'!$M$9,2),B1255&lt;'112'!$K$9,$N1255='112'!$I$6)),"x",""))</f>
        <v/>
      </c>
      <c r="V1255" s="84" t="str">
        <f>IF(ISERROR(FIND('112'!$M$9,G1255,1)),"",IF((AND(RIGHT(G1255,2)=RIGHT('112'!$M$9,2),B1255&lt;'112'!$K$9,$O1255='112'!$I$6)),"x",""))</f>
        <v/>
      </c>
      <c r="W1255" s="84" t="str">
        <f>IF(AND('341-CT'!$H$9=H1255,OR(LEFT(N1255,3)=$W$7,LEFT(O1255,3)=$W$7)),"x","")</f>
        <v/>
      </c>
      <c r="X1255" s="84" t="str">
        <f>IF(OR(TH!N1255=TH!$X$7,O1255=TH!$X$7),"x","")</f>
        <v/>
      </c>
      <c r="Y1255" s="84" t="str">
        <f>IF(AND(OR(N1255="131",O1255="131"),H1255='131-CT'!$H$9),"x","")</f>
        <v/>
      </c>
      <c r="Z1255" s="84"/>
      <c r="AA1255" s="84" t="str">
        <f>IF(AND(MONTH(E1255)='IN-NX'!$J$5,'IN-NX'!$D$7=D1255),"x","")</f>
        <v/>
      </c>
      <c r="AB1255" s="84" t="str">
        <f>IF(AND(OR(LEFT(TH!N1255,2)="15",LEFT(TH!O1255,2)="15"),LEFT(TH!O1255,3)&lt;&gt;"111",'152-CT'!$J$8=TH!F1255),"x","")</f>
        <v/>
      </c>
      <c r="AC1255" s="84" t="str">
        <f>IF(AND(OR(LEFT(TH!N1255,2)="15",LEFT(TH!O1255,2)="15"),TK!$E$7=TH!F1255),"x","")</f>
        <v/>
      </c>
      <c r="AD1255" s="84" t="str">
        <f>IF(AND(N1255="1521",MONTH(C1255)='BK-NL'!$M$11),"x","")</f>
        <v/>
      </c>
    </row>
    <row r="1256" spans="1:31" ht="15.75" hidden="1" customHeight="1">
      <c r="A1256" s="336" t="str">
        <f>IF(B1256&lt;&gt;"",IF(AND(B1256='IN-TC'!$S$4,OR(TH!N1256="1111",TH!O1256="1111")),TH!D1256,""),"")</f>
        <v/>
      </c>
      <c r="B1256" s="63">
        <f>IF(C1256&lt;&gt;"",MONTH(C1256),"")</f>
        <v>4</v>
      </c>
      <c r="C1256" s="64">
        <f>E1256</f>
        <v>42468</v>
      </c>
      <c r="D1256" s="64" t="s">
        <v>872</v>
      </c>
      <c r="E1256" s="64">
        <v>42468</v>
      </c>
      <c r="F1256" s="73" t="s">
        <v>1107</v>
      </c>
      <c r="G1256" s="982" t="s">
        <v>919</v>
      </c>
      <c r="H1256" s="73" t="s">
        <v>1363</v>
      </c>
      <c r="I1256" s="439"/>
      <c r="J1256" s="439"/>
      <c r="K1256" s="430"/>
      <c r="L1256" s="439"/>
      <c r="M1256" s="65">
        <v>20000000</v>
      </c>
      <c r="N1256" s="66" t="s">
        <v>26</v>
      </c>
      <c r="O1256" s="66" t="s">
        <v>63</v>
      </c>
      <c r="P1256" s="84" t="str">
        <f>IF(AND('331-CT'!$E$7=TH!H1256,OR(N1256="331",O1256="331")),"x","")</f>
        <v/>
      </c>
      <c r="Q1256" s="84" t="str">
        <f>IF(AND(B1256='111'!$L$11,OR($N1256=$Q$7,$O1256=$Q$7)),"x","")</f>
        <v/>
      </c>
      <c r="R1256" s="84" t="str">
        <f>IF(AND($N1256=$Q$7,$B1256&lt;'111'!$L$11),"x","")</f>
        <v/>
      </c>
      <c r="S1256" s="84" t="str">
        <f>IF(AND($O1256=$Q$7,$B1256&lt;'111'!$L$11),"x","")</f>
        <v/>
      </c>
      <c r="T1256" s="84" t="str">
        <f>IF(ISERROR(FIND('112'!$M$9,G1256,1)),"",IF((AND(FIND('112'!$M$9,G1256,1)&gt;=1,B1256='112'!$K$9,OR($N1256='112'!$I$6,$O1256='112'!$I$6))),"x",""))</f>
        <v/>
      </c>
      <c r="U1256" s="84" t="str">
        <f>IF(ISERROR(FIND('112'!$M$9,G1256,1)),"",IF((AND(LEFT(G1256,2)=LEFT('112'!$M$9,2),B1256&lt;'112'!$K$9,$N1256='112'!$I$6)),"x",""))</f>
        <v>x</v>
      </c>
      <c r="V1256" s="84" t="str">
        <f>IF(ISERROR(FIND('112'!$M$9,G1256,1)),"",IF((AND(RIGHT(G1256,2)=RIGHT('112'!$M$9,2),B1256&lt;'112'!$K$9,$O1256='112'!$I$6)),"x",""))</f>
        <v/>
      </c>
      <c r="W1256" s="84" t="str">
        <f>IF(AND('341-CT'!$H$9=H1256,OR(LEFT(N1256,3)=$W$7,LEFT(O1256,3)=$W$7)),"x","")</f>
        <v/>
      </c>
      <c r="X1256" s="84" t="str">
        <f>IF(OR(TH!N1256=TH!$X$7,O1256=TH!$X$7),"x","")</f>
        <v/>
      </c>
      <c r="Y1256" s="84" t="str">
        <f>IF(AND(OR(N1256="131",O1256="131"),H1256='131-CT'!$H$9),"x","")</f>
        <v/>
      </c>
      <c r="Z1256" s="84"/>
      <c r="AA1256" s="84" t="str">
        <f>IF(AND(MONTH(E1256)='IN-NX'!$J$5,'IN-NX'!$D$7=D1256),"x","")</f>
        <v/>
      </c>
      <c r="AB1256" s="84" t="str">
        <f>IF(AND(OR(LEFT(TH!N1256,2)="15",LEFT(TH!O1256,2)="15"),LEFT(TH!O1256,3)&lt;&gt;"111",'152-CT'!$J$8=TH!F1256),"x","")</f>
        <v/>
      </c>
      <c r="AC1256" s="84" t="str">
        <f>IF(AND(OR(LEFT(TH!N1256,2)="15",LEFT(TH!O1256,2)="15"),TK!$E$7=TH!F1256),"x","")</f>
        <v/>
      </c>
      <c r="AD1256" s="84" t="str">
        <f>IF(AND(N1256="1521",MONTH(C1256)='BK-NL'!$M$11),"x","")</f>
        <v/>
      </c>
    </row>
    <row r="1257" spans="1:31" ht="15.75" hidden="1" customHeight="1">
      <c r="A1257" s="336" t="str">
        <f>IF(B1257&lt;&gt;"",IF(AND(B1257='IN-TC'!$S$4,OR(TH!N1257="1111",TH!O1257="1111")),TH!D1257,""),"")</f>
        <v/>
      </c>
      <c r="B1257" s="63">
        <f t="shared" si="186"/>
        <v>4</v>
      </c>
      <c r="C1257" s="64">
        <v>42471</v>
      </c>
      <c r="D1257" s="64" t="s">
        <v>873</v>
      </c>
      <c r="E1257" s="64">
        <f t="shared" si="187"/>
        <v>42471</v>
      </c>
      <c r="F1257" s="73" t="s">
        <v>1415</v>
      </c>
      <c r="G1257" s="982" t="s">
        <v>1410</v>
      </c>
      <c r="H1257" s="73" t="s">
        <v>1411</v>
      </c>
      <c r="I1257" s="439"/>
      <c r="J1257" s="439"/>
      <c r="K1257" s="430"/>
      <c r="L1257" s="439"/>
      <c r="M1257" s="65">
        <v>1400080</v>
      </c>
      <c r="N1257" s="66" t="s">
        <v>8</v>
      </c>
      <c r="O1257" s="66" t="s">
        <v>63</v>
      </c>
      <c r="P1257" s="84" t="str">
        <f>IF(AND('331-CT'!$E$7=TH!H1257,OR(N1257="331",O1257="331")),"x","")</f>
        <v/>
      </c>
      <c r="Q1257" s="84" t="str">
        <f>IF(AND(B1257='111'!$L$11,OR($N1257=$Q$7,$O1257=$Q$7)),"x","")</f>
        <v/>
      </c>
      <c r="R1257" s="84" t="str">
        <f>IF(AND($N1257=$Q$7,$B1257&lt;'111'!$L$11),"x","")</f>
        <v/>
      </c>
      <c r="S1257" s="84" t="str">
        <f>IF(AND($O1257=$Q$7,$B1257&lt;'111'!$L$11),"x","")</f>
        <v/>
      </c>
      <c r="T1257" s="84" t="str">
        <f>IF(ISERROR(FIND('112'!$M$9,G1257,1)),"",IF((AND(FIND('112'!$M$9,G1257,1)&gt;=1,B1257='112'!$K$9,OR($N1257='112'!$I$6,$O1257='112'!$I$6))),"x",""))</f>
        <v/>
      </c>
      <c r="U1257" s="84" t="str">
        <f>IF(ISERROR(FIND('112'!$M$9,G1257,1)),"",IF((AND(LEFT(G1257,2)=LEFT('112'!$M$9,2),B1257&lt;'112'!$K$9,$N1257='112'!$I$6)),"x",""))</f>
        <v/>
      </c>
      <c r="V1257" s="84" t="str">
        <f>IF(ISERROR(FIND('112'!$M$9,G1257,1)),"",IF((AND(RIGHT(G1257,2)=RIGHT('112'!$M$9,2),B1257&lt;'112'!$K$9,$O1257='112'!$I$6)),"x",""))</f>
        <v/>
      </c>
      <c r="W1257" s="84" t="str">
        <f>IF(AND('341-CT'!$H$9=H1257,OR(LEFT(N1257,3)=$W$7,LEFT(O1257,3)=$W$7)),"x","")</f>
        <v/>
      </c>
      <c r="X1257" s="84" t="str">
        <f>IF(OR(TH!N1257=TH!$X$7,O1257=TH!$X$7),"x","")</f>
        <v/>
      </c>
      <c r="Y1257" s="84" t="str">
        <f>IF(AND(OR(N1257="131",O1257="131"),H1257='131-CT'!$H$9),"x","")</f>
        <v/>
      </c>
      <c r="Z1257" s="84"/>
      <c r="AA1257" s="84" t="str">
        <f>IF(AND(MONTH(E1257)='IN-NX'!$J$5,'IN-NX'!$D$7=D1257),"x","")</f>
        <v/>
      </c>
      <c r="AB1257" s="84" t="str">
        <f>IF(AND(OR(LEFT(TH!N1257,2)="15",LEFT(TH!O1257,2)="15"),LEFT(TH!O1257,3)&lt;&gt;"111",'152-CT'!$J$8=TH!F1257),"x","")</f>
        <v/>
      </c>
      <c r="AC1257" s="84" t="str">
        <f>IF(AND(OR(LEFT(TH!N1257,2)="15",LEFT(TH!O1257,2)="15"),TK!$E$7=TH!F1257),"x","")</f>
        <v/>
      </c>
      <c r="AD1257" s="84" t="str">
        <f>IF(AND(N1257="1521",MONTH(C1257)='BK-NL'!$M$11),"x","")</f>
        <v/>
      </c>
      <c r="AE1257" s="1146" t="str">
        <f>IF(H1257&lt;&gt;VLOOKUP(H1257,DSKH,1,0),"","x")</f>
        <v>x</v>
      </c>
    </row>
    <row r="1258" spans="1:31" ht="15.75" hidden="1" customHeight="1">
      <c r="A1258" s="336" t="str">
        <f>IF(B1258&lt;&gt;"",IF(AND(B1258='IN-TC'!$S$4,OR(TH!N1258="1111",TH!O1258="1111")),TH!D1258,""),"")</f>
        <v/>
      </c>
      <c r="B1258" s="63">
        <f t="shared" ref="B1258:B1324" si="188">IF(C1258&lt;&gt;"",MONTH(C1258),"")</f>
        <v>4</v>
      </c>
      <c r="C1258" s="64">
        <v>42475</v>
      </c>
      <c r="D1258" s="64" t="s">
        <v>875</v>
      </c>
      <c r="E1258" s="64">
        <f t="shared" si="187"/>
        <v>42475</v>
      </c>
      <c r="F1258" s="73" t="s">
        <v>1015</v>
      </c>
      <c r="G1258" s="982" t="s">
        <v>1399</v>
      </c>
      <c r="H1258" s="73" t="s">
        <v>808</v>
      </c>
      <c r="I1258" s="439"/>
      <c r="J1258" s="439"/>
      <c r="K1258" s="430"/>
      <c r="L1258" s="439"/>
      <c r="M1258" s="65">
        <v>2879537</v>
      </c>
      <c r="N1258" s="66" t="s">
        <v>101</v>
      </c>
      <c r="O1258" s="66" t="s">
        <v>63</v>
      </c>
      <c r="P1258" s="84" t="str">
        <f>IF(AND('331-CT'!$E$7=TH!H1258,OR(N1258="331",O1258="331")),"x","")</f>
        <v/>
      </c>
      <c r="Q1258" s="84" t="str">
        <f>IF(AND(B1258='111'!$L$11,OR($N1258=$Q$7,$O1258=$Q$7)),"x","")</f>
        <v/>
      </c>
      <c r="R1258" s="84" t="str">
        <f>IF(AND($N1258=$Q$7,$B1258&lt;'111'!$L$11),"x","")</f>
        <v/>
      </c>
      <c r="S1258" s="84" t="str">
        <f>IF(AND($O1258=$Q$7,$B1258&lt;'111'!$L$11),"x","")</f>
        <v/>
      </c>
      <c r="T1258" s="84" t="str">
        <f>IF(ISERROR(FIND('112'!$M$9,G1258,1)),"",IF((AND(FIND('112'!$M$9,G1258,1)&gt;=1,B1258='112'!$K$9,OR($N1258='112'!$I$6,$O1258='112'!$I$6))),"x",""))</f>
        <v/>
      </c>
      <c r="U1258" s="84" t="str">
        <f>IF(ISERROR(FIND('112'!$M$9,G1258,1)),"",IF((AND(LEFT(G1258,2)=LEFT('112'!$M$9,2),B1258&lt;'112'!$K$9,$N1258='112'!$I$6)),"x",""))</f>
        <v/>
      </c>
      <c r="V1258" s="84" t="str">
        <f>IF(ISERROR(FIND('112'!$M$9,G1258,1)),"",IF((AND(RIGHT(G1258,2)=RIGHT('112'!$M$9,2),B1258&lt;'112'!$K$9,$O1258='112'!$I$6)),"x",""))</f>
        <v/>
      </c>
      <c r="W1258" s="84" t="str">
        <f>IF(AND('341-CT'!$H$9=H1258,OR(LEFT(N1258,3)=$W$7,LEFT(O1258,3)=$W$7)),"x","")</f>
        <v/>
      </c>
      <c r="X1258" s="84" t="str">
        <f>IF(OR(TH!N1258=TH!$X$7,O1258=TH!$X$7),"x","")</f>
        <v/>
      </c>
      <c r="Y1258" s="84" t="str">
        <f>IF(AND(OR(N1258="131",O1258="131"),H1258='131-CT'!$H$9),"x","")</f>
        <v/>
      </c>
      <c r="Z1258" s="84"/>
      <c r="AA1258" s="84" t="str">
        <f>IF(AND(MONTH(E1258)='IN-NX'!$J$5,'IN-NX'!$D$7=D1258),"x","")</f>
        <v/>
      </c>
      <c r="AB1258" s="84" t="str">
        <f>IF(AND(OR(LEFT(TH!N1258,2)="15",LEFT(TH!O1258,2)="15"),LEFT(TH!O1258,3)&lt;&gt;"111",'152-CT'!$J$8=TH!F1258),"x","")</f>
        <v/>
      </c>
      <c r="AC1258" s="84" t="str">
        <f>IF(AND(OR(LEFT(TH!N1258,2)="15",LEFT(TH!O1258,2)="15"),TK!$E$7=TH!F1258),"x","")</f>
        <v/>
      </c>
      <c r="AD1258" s="84" t="str">
        <f>IF(AND(N1258="1521",MONTH(C1258)='BK-NL'!$M$11),"x","")</f>
        <v/>
      </c>
    </row>
    <row r="1259" spans="1:31" ht="15.75" hidden="1" customHeight="1">
      <c r="A1259" s="336" t="str">
        <f>IF(B1259&lt;&gt;"",IF(AND(B1259='IN-TC'!$S$4,OR(TH!N1259="1111",TH!O1259="1111")),TH!D1259,""),"")</f>
        <v/>
      </c>
      <c r="B1259" s="63">
        <f t="shared" si="188"/>
        <v>4</v>
      </c>
      <c r="C1259" s="64">
        <v>42475</v>
      </c>
      <c r="D1259" s="64" t="s">
        <v>875</v>
      </c>
      <c r="E1259" s="64">
        <f t="shared" si="187"/>
        <v>42475</v>
      </c>
      <c r="F1259" s="73" t="s">
        <v>1393</v>
      </c>
      <c r="G1259" s="982" t="s">
        <v>1399</v>
      </c>
      <c r="H1259" s="73" t="s">
        <v>808</v>
      </c>
      <c r="I1259" s="439"/>
      <c r="J1259" s="439"/>
      <c r="K1259" s="430"/>
      <c r="L1259" s="439"/>
      <c r="M1259" s="65">
        <v>287953</v>
      </c>
      <c r="N1259" s="66" t="s">
        <v>9</v>
      </c>
      <c r="O1259" s="66" t="s">
        <v>63</v>
      </c>
      <c r="P1259" s="84" t="str">
        <f>IF(AND('331-CT'!$E$7=TH!H1259,OR(N1259="331",O1259="331")),"x","")</f>
        <v/>
      </c>
      <c r="Q1259" s="84" t="str">
        <f>IF(AND(B1259='111'!$L$11,OR($N1259=$Q$7,$O1259=$Q$7)),"x","")</f>
        <v/>
      </c>
      <c r="R1259" s="84" t="str">
        <f>IF(AND($N1259=$Q$7,$B1259&lt;'111'!$L$11),"x","")</f>
        <v/>
      </c>
      <c r="S1259" s="84" t="str">
        <f>IF(AND($O1259=$Q$7,$B1259&lt;'111'!$L$11),"x","")</f>
        <v/>
      </c>
      <c r="T1259" s="84" t="str">
        <f>IF(ISERROR(FIND('112'!$M$9,G1259,1)),"",IF((AND(FIND('112'!$M$9,G1259,1)&gt;=1,B1259='112'!$K$9,OR($N1259='112'!$I$6,$O1259='112'!$I$6))),"x",""))</f>
        <v/>
      </c>
      <c r="U1259" s="84" t="str">
        <f>IF(ISERROR(FIND('112'!$M$9,G1259,1)),"",IF((AND(LEFT(G1259,2)=LEFT('112'!$M$9,2),B1259&lt;'112'!$K$9,$N1259='112'!$I$6)),"x",""))</f>
        <v/>
      </c>
      <c r="V1259" s="84" t="str">
        <f>IF(ISERROR(FIND('112'!$M$9,G1259,1)),"",IF((AND(RIGHT(G1259,2)=RIGHT('112'!$M$9,2),B1259&lt;'112'!$K$9,$O1259='112'!$I$6)),"x",""))</f>
        <v/>
      </c>
      <c r="W1259" s="84" t="str">
        <f>IF(AND('341-CT'!$H$9=H1259,OR(LEFT(N1259,3)=$W$7,LEFT(O1259,3)=$W$7)),"x","")</f>
        <v/>
      </c>
      <c r="X1259" s="84" t="str">
        <f>IF(OR(TH!N1259=TH!$X$7,O1259=TH!$X$7),"x","")</f>
        <v/>
      </c>
      <c r="Y1259" s="84" t="str">
        <f>IF(AND(OR(N1259="131",O1259="131"),H1259='131-CT'!$H$9),"x","")</f>
        <v/>
      </c>
      <c r="Z1259" s="84"/>
      <c r="AA1259" s="84" t="str">
        <f>IF(AND(MONTH(E1259)='IN-NX'!$J$5,'IN-NX'!$D$7=D1259),"x","")</f>
        <v/>
      </c>
      <c r="AB1259" s="84" t="str">
        <f>IF(AND(OR(LEFT(TH!N1259,2)="15",LEFT(TH!O1259,2)="15"),LEFT(TH!O1259,3)&lt;&gt;"111",'152-CT'!$J$8=TH!F1259),"x","")</f>
        <v/>
      </c>
      <c r="AC1259" s="84" t="str">
        <f>IF(AND(OR(LEFT(TH!N1259,2)="15",LEFT(TH!O1259,2)="15"),TK!$E$7=TH!F1259),"x","")</f>
        <v/>
      </c>
      <c r="AD1259" s="84" t="str">
        <f>IF(AND(N1259="1521",MONTH(C1259)='BK-NL'!$M$11),"x","")</f>
        <v/>
      </c>
    </row>
    <row r="1260" spans="1:31" ht="15.75" hidden="1" customHeight="1">
      <c r="A1260" s="336" t="str">
        <f>IF(B1260&lt;&gt;"",IF(AND(B1260='IN-TC'!$S$4,OR(TH!N1260="1111",TH!O1260="1111")),TH!D1260,""),"")</f>
        <v/>
      </c>
      <c r="B1260" s="63">
        <f t="shared" si="188"/>
        <v>4</v>
      </c>
      <c r="C1260" s="64">
        <v>42475</v>
      </c>
      <c r="D1260" s="64" t="s">
        <v>876</v>
      </c>
      <c r="E1260" s="64">
        <f t="shared" si="187"/>
        <v>42475</v>
      </c>
      <c r="F1260" s="73" t="s">
        <v>1400</v>
      </c>
      <c r="G1260" s="982" t="s">
        <v>1401</v>
      </c>
      <c r="H1260" s="73" t="s">
        <v>1402</v>
      </c>
      <c r="I1260" s="439"/>
      <c r="J1260" s="439"/>
      <c r="K1260" s="430"/>
      <c r="L1260" s="439"/>
      <c r="M1260" s="65">
        <v>1935000</v>
      </c>
      <c r="N1260" s="66" t="s">
        <v>101</v>
      </c>
      <c r="O1260" s="66" t="s">
        <v>63</v>
      </c>
      <c r="P1260" s="84" t="str">
        <f>IF(AND('331-CT'!$E$7=TH!H1260,OR(N1260="331",O1260="331")),"x","")</f>
        <v/>
      </c>
      <c r="Q1260" s="84" t="str">
        <f>IF(AND(B1260='111'!$L$11,OR($N1260=$Q$7,$O1260=$Q$7)),"x","")</f>
        <v/>
      </c>
      <c r="R1260" s="84" t="str">
        <f>IF(AND($N1260=$Q$7,$B1260&lt;'111'!$L$11),"x","")</f>
        <v/>
      </c>
      <c r="S1260" s="84" t="str">
        <f>IF(AND($O1260=$Q$7,$B1260&lt;'111'!$L$11),"x","")</f>
        <v/>
      </c>
      <c r="T1260" s="84" t="str">
        <f>IF(ISERROR(FIND('112'!$M$9,G1260,1)),"",IF((AND(FIND('112'!$M$9,G1260,1)&gt;=1,B1260='112'!$K$9,OR($N1260='112'!$I$6,$O1260='112'!$I$6))),"x",""))</f>
        <v/>
      </c>
      <c r="U1260" s="84" t="str">
        <f>IF(ISERROR(FIND('112'!$M$9,G1260,1)),"",IF((AND(LEFT(G1260,2)=LEFT('112'!$M$9,2),B1260&lt;'112'!$K$9,$N1260='112'!$I$6)),"x",""))</f>
        <v/>
      </c>
      <c r="V1260" s="84" t="str">
        <f>IF(ISERROR(FIND('112'!$M$9,G1260,1)),"",IF((AND(RIGHT(G1260,2)=RIGHT('112'!$M$9,2),B1260&lt;'112'!$K$9,$O1260='112'!$I$6)),"x",""))</f>
        <v/>
      </c>
      <c r="W1260" s="84" t="str">
        <f>IF(AND('341-CT'!$H$9=H1260,OR(LEFT(N1260,3)=$W$7,LEFT(O1260,3)=$W$7)),"x","")</f>
        <v/>
      </c>
      <c r="X1260" s="84" t="str">
        <f>IF(OR(TH!N1260=TH!$X$7,O1260=TH!$X$7),"x","")</f>
        <v/>
      </c>
      <c r="Y1260" s="84" t="str">
        <f>IF(AND(OR(N1260="131",O1260="131"),H1260='131-CT'!$H$9),"x","")</f>
        <v/>
      </c>
      <c r="Z1260" s="84"/>
      <c r="AA1260" s="84" t="str">
        <f>IF(AND(MONTH(E1260)='IN-NX'!$J$5,'IN-NX'!$D$7=D1260),"x","")</f>
        <v/>
      </c>
      <c r="AB1260" s="84" t="str">
        <f>IF(AND(OR(LEFT(TH!N1260,2)="15",LEFT(TH!O1260,2)="15"),LEFT(TH!O1260,3)&lt;&gt;"111",'152-CT'!$J$8=TH!F1260),"x","")</f>
        <v/>
      </c>
      <c r="AC1260" s="84" t="str">
        <f>IF(AND(OR(LEFT(TH!N1260,2)="15",LEFT(TH!O1260,2)="15"),TK!$E$7=TH!F1260),"x","")</f>
        <v/>
      </c>
      <c r="AD1260" s="84" t="str">
        <f>IF(AND(N1260="1521",MONTH(C1260)='BK-NL'!$M$11),"x","")</f>
        <v/>
      </c>
    </row>
    <row r="1261" spans="1:31" ht="15.75" hidden="1" customHeight="1">
      <c r="A1261" s="336" t="str">
        <f>IF(B1261&lt;&gt;"",IF(AND(B1261='IN-TC'!$S$4,OR(TH!N1261="1111",TH!O1261="1111")),TH!D1261,""),"")</f>
        <v/>
      </c>
      <c r="B1261" s="63">
        <f t="shared" si="188"/>
        <v>4</v>
      </c>
      <c r="C1261" s="64">
        <v>42477</v>
      </c>
      <c r="D1261" s="64" t="s">
        <v>877</v>
      </c>
      <c r="E1261" s="64">
        <f t="shared" si="187"/>
        <v>42477</v>
      </c>
      <c r="F1261" s="73" t="s">
        <v>771</v>
      </c>
      <c r="G1261" s="982" t="s">
        <v>1403</v>
      </c>
      <c r="H1261" s="73" t="s">
        <v>808</v>
      </c>
      <c r="I1261" s="439"/>
      <c r="J1261" s="439"/>
      <c r="K1261" s="430"/>
      <c r="L1261" s="439"/>
      <c r="M1261" s="65">
        <v>484527</v>
      </c>
      <c r="N1261" s="66" t="s">
        <v>101</v>
      </c>
      <c r="O1261" s="66" t="s">
        <v>63</v>
      </c>
      <c r="P1261" s="84" t="str">
        <f>IF(AND('331-CT'!$E$7=TH!H1261,OR(N1261="331",O1261="331")),"x","")</f>
        <v/>
      </c>
      <c r="Q1261" s="84" t="str">
        <f>IF(AND(B1261='111'!$L$11,OR($N1261=$Q$7,$O1261=$Q$7)),"x","")</f>
        <v/>
      </c>
      <c r="R1261" s="84" t="str">
        <f>IF(AND($N1261=$Q$7,$B1261&lt;'111'!$L$11),"x","")</f>
        <v/>
      </c>
      <c r="S1261" s="84" t="str">
        <f>IF(AND($O1261=$Q$7,$B1261&lt;'111'!$L$11),"x","")</f>
        <v/>
      </c>
      <c r="T1261" s="84" t="str">
        <f>IF(ISERROR(FIND('112'!$M$9,G1261,1)),"",IF((AND(FIND('112'!$M$9,G1261,1)&gt;=1,B1261='112'!$K$9,OR($N1261='112'!$I$6,$O1261='112'!$I$6))),"x",""))</f>
        <v/>
      </c>
      <c r="U1261" s="84" t="str">
        <f>IF(ISERROR(FIND('112'!$M$9,G1261,1)),"",IF((AND(LEFT(G1261,2)=LEFT('112'!$M$9,2),B1261&lt;'112'!$K$9,$N1261='112'!$I$6)),"x",""))</f>
        <v/>
      </c>
      <c r="V1261" s="84" t="str">
        <f>IF(ISERROR(FIND('112'!$M$9,G1261,1)),"",IF((AND(RIGHT(G1261,2)=RIGHT('112'!$M$9,2),B1261&lt;'112'!$K$9,$O1261='112'!$I$6)),"x",""))</f>
        <v/>
      </c>
      <c r="W1261" s="84" t="str">
        <f>IF(AND('341-CT'!$H$9=H1261,OR(LEFT(N1261,3)=$W$7,LEFT(O1261,3)=$W$7)),"x","")</f>
        <v/>
      </c>
      <c r="X1261" s="84" t="str">
        <f>IF(OR(TH!N1261=TH!$X$7,O1261=TH!$X$7),"x","")</f>
        <v/>
      </c>
      <c r="Y1261" s="84" t="str">
        <f>IF(AND(OR(N1261="131",O1261="131"),H1261='131-CT'!$H$9),"x","")</f>
        <v/>
      </c>
      <c r="Z1261" s="84"/>
      <c r="AA1261" s="84" t="str">
        <f>IF(AND(MONTH(E1261)='IN-NX'!$J$5,'IN-NX'!$D$7=D1261),"x","")</f>
        <v/>
      </c>
      <c r="AB1261" s="84" t="str">
        <f>IF(AND(OR(LEFT(TH!N1261,2)="15",LEFT(TH!O1261,2)="15"),LEFT(TH!O1261,3)&lt;&gt;"111",'152-CT'!$J$8=TH!F1261),"x","")</f>
        <v/>
      </c>
      <c r="AC1261" s="84" t="str">
        <f>IF(AND(OR(LEFT(TH!N1261,2)="15",LEFT(TH!O1261,2)="15"),TK!$E$7=TH!F1261),"x","")</f>
        <v/>
      </c>
      <c r="AD1261" s="84" t="str">
        <f>IF(AND(N1261="1521",MONTH(C1261)='BK-NL'!$M$11),"x","")</f>
        <v/>
      </c>
    </row>
    <row r="1262" spans="1:31" ht="15.75" hidden="1" customHeight="1">
      <c r="A1262" s="336" t="str">
        <f>IF(B1262&lt;&gt;"",IF(AND(B1262='IN-TC'!$S$4,OR(TH!N1262="1111",TH!O1262="1111")),TH!D1262,""),"")</f>
        <v/>
      </c>
      <c r="B1262" s="63">
        <f t="shared" ref="B1262:B1271" si="189">IF(C1262&lt;&gt;"",MONTH(C1262),"")</f>
        <v>4</v>
      </c>
      <c r="C1262" s="64">
        <v>42477</v>
      </c>
      <c r="D1262" s="64" t="s">
        <v>877</v>
      </c>
      <c r="E1262" s="64">
        <f t="shared" si="187"/>
        <v>42477</v>
      </c>
      <c r="F1262" s="73" t="s">
        <v>772</v>
      </c>
      <c r="G1262" s="982" t="s">
        <v>1403</v>
      </c>
      <c r="H1262" s="73" t="s">
        <v>808</v>
      </c>
      <c r="I1262" s="439"/>
      <c r="J1262" s="439"/>
      <c r="K1262" s="430"/>
      <c r="L1262" s="439"/>
      <c r="M1262" s="65">
        <v>48453</v>
      </c>
      <c r="N1262" s="66" t="s">
        <v>9</v>
      </c>
      <c r="O1262" s="66" t="s">
        <v>63</v>
      </c>
      <c r="P1262" s="84" t="str">
        <f>IF(AND('331-CT'!$E$7=TH!H1262,OR(N1262="331",O1262="331")),"x","")</f>
        <v/>
      </c>
      <c r="Q1262" s="84" t="str">
        <f>IF(AND(B1262='111'!$L$11,OR($N1262=$Q$7,$O1262=$Q$7)),"x","")</f>
        <v/>
      </c>
      <c r="R1262" s="84" t="str">
        <f>IF(AND($N1262=$Q$7,$B1262&lt;'111'!$L$11),"x","")</f>
        <v/>
      </c>
      <c r="S1262" s="84" t="str">
        <f>IF(AND($O1262=$Q$7,$B1262&lt;'111'!$L$11),"x","")</f>
        <v/>
      </c>
      <c r="T1262" s="84" t="str">
        <f>IF(ISERROR(FIND('112'!$M$9,G1262,1)),"",IF((AND(FIND('112'!$M$9,G1262,1)&gt;=1,B1262='112'!$K$9,OR($N1262='112'!$I$6,$O1262='112'!$I$6))),"x",""))</f>
        <v/>
      </c>
      <c r="U1262" s="84" t="str">
        <f>IF(ISERROR(FIND('112'!$M$9,G1262,1)),"",IF((AND(LEFT(G1262,2)=LEFT('112'!$M$9,2),B1262&lt;'112'!$K$9,$N1262='112'!$I$6)),"x",""))</f>
        <v/>
      </c>
      <c r="V1262" s="84" t="str">
        <f>IF(ISERROR(FIND('112'!$M$9,G1262,1)),"",IF((AND(RIGHT(G1262,2)=RIGHT('112'!$M$9,2),B1262&lt;'112'!$K$9,$O1262='112'!$I$6)),"x",""))</f>
        <v/>
      </c>
      <c r="W1262" s="84" t="str">
        <f>IF(AND('341-CT'!$H$9=H1262,OR(LEFT(N1262,3)=$W$7,LEFT(O1262,3)=$W$7)),"x","")</f>
        <v/>
      </c>
      <c r="X1262" s="84" t="str">
        <f>IF(OR(TH!N1262=TH!$X$7,O1262=TH!$X$7),"x","")</f>
        <v/>
      </c>
      <c r="Y1262" s="84" t="str">
        <f>IF(AND(OR(N1262="131",O1262="131"),H1262='131-CT'!$H$9),"x","")</f>
        <v/>
      </c>
      <c r="Z1262" s="84"/>
      <c r="AA1262" s="84" t="str">
        <f>IF(AND(MONTH(E1262)='IN-NX'!$J$5,'IN-NX'!$D$7=D1262),"x","")</f>
        <v/>
      </c>
      <c r="AB1262" s="84" t="str">
        <f>IF(AND(OR(LEFT(TH!N1262,2)="15",LEFT(TH!O1262,2)="15"),LEFT(TH!O1262,3)&lt;&gt;"111",'152-CT'!$J$8=TH!F1262),"x","")</f>
        <v/>
      </c>
      <c r="AC1262" s="84" t="str">
        <f>IF(AND(OR(LEFT(TH!N1262,2)="15",LEFT(TH!O1262,2)="15"),TK!$E$7=TH!F1262),"x","")</f>
        <v/>
      </c>
      <c r="AD1262" s="84" t="str">
        <f>IF(AND(N1262="1521",MONTH(C1262)='BK-NL'!$M$11),"x","")</f>
        <v/>
      </c>
    </row>
    <row r="1263" spans="1:31" ht="15.75" hidden="1" customHeight="1">
      <c r="A1263" s="336" t="str">
        <f>IF(B1263&lt;&gt;"",IF(AND(B1263='IN-TC'!$S$4,OR(TH!N1263="1111",TH!O1263="1111")),TH!D1263,""),"")</f>
        <v/>
      </c>
      <c r="B1263" s="63">
        <f t="shared" si="189"/>
        <v>4</v>
      </c>
      <c r="C1263" s="64">
        <v>42484</v>
      </c>
      <c r="D1263" s="64" t="s">
        <v>878</v>
      </c>
      <c r="E1263" s="64">
        <v>42484</v>
      </c>
      <c r="F1263" s="73" t="s">
        <v>1014</v>
      </c>
      <c r="G1263" s="982" t="s">
        <v>1421</v>
      </c>
      <c r="H1263" s="73" t="s">
        <v>1038</v>
      </c>
      <c r="I1263" s="439"/>
      <c r="J1263" s="439"/>
      <c r="K1263" s="430"/>
      <c r="L1263" s="439"/>
      <c r="M1263" s="65">
        <v>2100000</v>
      </c>
      <c r="N1263" s="66" t="s">
        <v>101</v>
      </c>
      <c r="O1263" s="66" t="s">
        <v>63</v>
      </c>
      <c r="P1263" s="84" t="str">
        <f>IF(AND('331-CT'!$E$7=TH!H1263,OR(N1263="331",O1263="331")),"x","")</f>
        <v/>
      </c>
      <c r="Q1263" s="84" t="str">
        <f>IF(AND(B1263='111'!$L$11,OR($N1263=$Q$7,$O1263=$Q$7)),"x","")</f>
        <v/>
      </c>
      <c r="R1263" s="84" t="str">
        <f>IF(AND($N1263=$Q$7,$B1263&lt;'111'!$L$11),"x","")</f>
        <v/>
      </c>
      <c r="S1263" s="84" t="str">
        <f>IF(AND($O1263=$Q$7,$B1263&lt;'111'!$L$11),"x","")</f>
        <v/>
      </c>
      <c r="T1263" s="84" t="str">
        <f>IF(ISERROR(FIND('112'!$M$9,G1263,1)),"",IF((AND(FIND('112'!$M$9,G1263,1)&gt;=1,B1263='112'!$K$9,OR($N1263='112'!$I$6,$O1263='112'!$I$6))),"x",""))</f>
        <v/>
      </c>
      <c r="U1263" s="84" t="str">
        <f>IF(ISERROR(FIND('112'!$M$9,G1263,1)),"",IF((AND(LEFT(G1263,2)=LEFT('112'!$M$9,2),B1263&lt;'112'!$K$9,$N1263='112'!$I$6)),"x",""))</f>
        <v/>
      </c>
      <c r="V1263" s="84" t="str">
        <f>IF(ISERROR(FIND('112'!$M$9,G1263,1)),"",IF((AND(RIGHT(G1263,2)=RIGHT('112'!$M$9,2),B1263&lt;'112'!$K$9,$O1263='112'!$I$6)),"x",""))</f>
        <v/>
      </c>
      <c r="W1263" s="84" t="str">
        <f>IF(AND('341-CT'!$H$9=H1263,OR(LEFT(N1263,3)=$W$7,LEFT(O1263,3)=$W$7)),"x","")</f>
        <v/>
      </c>
      <c r="X1263" s="84" t="str">
        <f>IF(OR(TH!N1263=TH!$X$7,O1263=TH!$X$7),"x","")</f>
        <v/>
      </c>
      <c r="Y1263" s="84" t="str">
        <f>IF(AND(OR(N1263="131",O1263="131"),H1263='131-CT'!$H$9),"x","")</f>
        <v/>
      </c>
      <c r="Z1263" s="84"/>
      <c r="AA1263" s="84" t="str">
        <f>IF(AND(MONTH(E1263)='IN-NX'!$J$5,'IN-NX'!$D$7=D1263),"x","")</f>
        <v/>
      </c>
      <c r="AB1263" s="84" t="str">
        <f>IF(AND(OR(LEFT(TH!N1263,2)="15",LEFT(TH!O1263,2)="15"),LEFT(TH!O1263,3)&lt;&gt;"111",'152-CT'!$J$8=TH!F1263),"x","")</f>
        <v/>
      </c>
      <c r="AC1263" s="84" t="str">
        <f>IF(AND(OR(LEFT(TH!N1263,2)="15",LEFT(TH!O1263,2)="15"),TK!$E$7=TH!F1263),"x","")</f>
        <v/>
      </c>
      <c r="AD1263" s="84" t="str">
        <f>IF(AND(N1263="1521",MONTH(C1263)='BK-NL'!$M$11),"x","")</f>
        <v/>
      </c>
    </row>
    <row r="1264" spans="1:31" ht="15.75" hidden="1" customHeight="1">
      <c r="A1264" s="336" t="str">
        <f>IF(B1264&lt;&gt;"",IF(AND(B1264='IN-TC'!$S$4,OR(TH!N1264="1111",TH!O1264="1111")),TH!D1264,""),"")</f>
        <v/>
      </c>
      <c r="B1264" s="63">
        <f t="shared" si="189"/>
        <v>4</v>
      </c>
      <c r="C1264" s="64">
        <v>42485</v>
      </c>
      <c r="D1264" s="64" t="s">
        <v>879</v>
      </c>
      <c r="E1264" s="64">
        <v>42485</v>
      </c>
      <c r="F1264" s="73" t="s">
        <v>791</v>
      </c>
      <c r="G1264" s="982" t="s">
        <v>1439</v>
      </c>
      <c r="H1264" s="73" t="s">
        <v>808</v>
      </c>
      <c r="I1264" s="439"/>
      <c r="J1264" s="439"/>
      <c r="K1264" s="430"/>
      <c r="L1264" s="439"/>
      <c r="M1264" s="65">
        <v>1660746</v>
      </c>
      <c r="N1264" s="66" t="s">
        <v>101</v>
      </c>
      <c r="O1264" s="66" t="s">
        <v>63</v>
      </c>
      <c r="P1264" s="84" t="str">
        <f>IF(AND('331-CT'!$E$7=TH!H1264,OR(N1264="331",O1264="331")),"x","")</f>
        <v/>
      </c>
      <c r="Q1264" s="84" t="str">
        <f>IF(AND(B1264='111'!$L$11,OR($N1264=$Q$7,$O1264=$Q$7)),"x","")</f>
        <v/>
      </c>
      <c r="R1264" s="84" t="str">
        <f>IF(AND($N1264=$Q$7,$B1264&lt;'111'!$L$11),"x","")</f>
        <v/>
      </c>
      <c r="S1264" s="84" t="str">
        <f>IF(AND($O1264=$Q$7,$B1264&lt;'111'!$L$11),"x","")</f>
        <v/>
      </c>
      <c r="T1264" s="84" t="str">
        <f>IF(ISERROR(FIND('112'!$M$9,G1264,1)),"",IF((AND(FIND('112'!$M$9,G1264,1)&gt;=1,B1264='112'!$K$9,OR($N1264='112'!$I$6,$O1264='112'!$I$6))),"x",""))</f>
        <v/>
      </c>
      <c r="U1264" s="84" t="str">
        <f>IF(ISERROR(FIND('112'!$M$9,G1264,1)),"",IF((AND(LEFT(G1264,2)=LEFT('112'!$M$9,2),B1264&lt;'112'!$K$9,$N1264='112'!$I$6)),"x",""))</f>
        <v/>
      </c>
      <c r="V1264" s="84" t="str">
        <f>IF(ISERROR(FIND('112'!$M$9,G1264,1)),"",IF((AND(RIGHT(G1264,2)=RIGHT('112'!$M$9,2),B1264&lt;'112'!$K$9,$O1264='112'!$I$6)),"x",""))</f>
        <v/>
      </c>
      <c r="W1264" s="84" t="str">
        <f>IF(AND('341-CT'!$H$9=H1264,OR(LEFT(N1264,3)=$W$7,LEFT(O1264,3)=$W$7)),"x","")</f>
        <v/>
      </c>
      <c r="X1264" s="84" t="str">
        <f>IF(OR(TH!N1264=TH!$X$7,O1264=TH!$X$7),"x","")</f>
        <v/>
      </c>
      <c r="Y1264" s="84" t="str">
        <f>IF(AND(OR(N1264="131",O1264="131"),H1264='131-CT'!$H$9),"x","")</f>
        <v/>
      </c>
      <c r="Z1264" s="84"/>
      <c r="AA1264" s="84" t="str">
        <f>IF(AND(MONTH(E1264)='IN-NX'!$J$5,'IN-NX'!$D$7=D1264),"x","")</f>
        <v/>
      </c>
      <c r="AB1264" s="84" t="str">
        <f>IF(AND(OR(LEFT(TH!N1264,2)="15",LEFT(TH!O1264,2)="15"),LEFT(TH!O1264,3)&lt;&gt;"111",'152-CT'!$J$8=TH!F1264),"x","")</f>
        <v/>
      </c>
      <c r="AC1264" s="84" t="str">
        <f>IF(AND(OR(LEFT(TH!N1264,2)="15",LEFT(TH!O1264,2)="15"),TK!$E$7=TH!F1264),"x","")</f>
        <v/>
      </c>
      <c r="AD1264" s="84" t="str">
        <f>IF(AND(N1264="1521",MONTH(C1264)='BK-NL'!$M$11),"x","")</f>
        <v/>
      </c>
    </row>
    <row r="1265" spans="1:31" ht="15.75" hidden="1" customHeight="1">
      <c r="A1265" s="336" t="str">
        <f>IF(B1265&lt;&gt;"",IF(AND(B1265='IN-TC'!$S$4,OR(TH!N1265="1111",TH!O1265="1111")),TH!D1265,""),"")</f>
        <v/>
      </c>
      <c r="B1265" s="63">
        <f t="shared" si="189"/>
        <v>4</v>
      </c>
      <c r="C1265" s="64">
        <v>42485</v>
      </c>
      <c r="D1265" s="64" t="s">
        <v>879</v>
      </c>
      <c r="E1265" s="64">
        <v>42485</v>
      </c>
      <c r="F1265" s="73" t="s">
        <v>792</v>
      </c>
      <c r="G1265" s="982" t="s">
        <v>1439</v>
      </c>
      <c r="H1265" s="73" t="s">
        <v>808</v>
      </c>
      <c r="I1265" s="439"/>
      <c r="J1265" s="439"/>
      <c r="K1265" s="430"/>
      <c r="L1265" s="439"/>
      <c r="M1265" s="65">
        <v>166074</v>
      </c>
      <c r="N1265" s="66" t="s">
        <v>9</v>
      </c>
      <c r="O1265" s="66" t="s">
        <v>63</v>
      </c>
      <c r="P1265" s="84" t="str">
        <f>IF(AND('331-CT'!$E$7=TH!H1265,OR(N1265="331",O1265="331")),"x","")</f>
        <v/>
      </c>
      <c r="Q1265" s="84" t="str">
        <f>IF(AND(B1265='111'!$L$11,OR($N1265=$Q$7,$O1265=$Q$7)),"x","")</f>
        <v/>
      </c>
      <c r="R1265" s="84" t="str">
        <f>IF(AND($N1265=$Q$7,$B1265&lt;'111'!$L$11),"x","")</f>
        <v/>
      </c>
      <c r="S1265" s="84" t="str">
        <f>IF(AND($O1265=$Q$7,$B1265&lt;'111'!$L$11),"x","")</f>
        <v/>
      </c>
      <c r="T1265" s="84" t="str">
        <f>IF(ISERROR(FIND('112'!$M$9,G1265,1)),"",IF((AND(FIND('112'!$M$9,G1265,1)&gt;=1,B1265='112'!$K$9,OR($N1265='112'!$I$6,$O1265='112'!$I$6))),"x",""))</f>
        <v/>
      </c>
      <c r="U1265" s="84" t="str">
        <f>IF(ISERROR(FIND('112'!$M$9,G1265,1)),"",IF((AND(LEFT(G1265,2)=LEFT('112'!$M$9,2),B1265&lt;'112'!$K$9,$N1265='112'!$I$6)),"x",""))</f>
        <v/>
      </c>
      <c r="V1265" s="84" t="str">
        <f>IF(ISERROR(FIND('112'!$M$9,G1265,1)),"",IF((AND(RIGHT(G1265,2)=RIGHT('112'!$M$9,2),B1265&lt;'112'!$K$9,$O1265='112'!$I$6)),"x",""))</f>
        <v/>
      </c>
      <c r="W1265" s="84" t="str">
        <f>IF(AND('341-CT'!$H$9=H1265,OR(LEFT(N1265,3)=$W$7,LEFT(O1265,3)=$W$7)),"x","")</f>
        <v/>
      </c>
      <c r="X1265" s="84" t="str">
        <f>IF(OR(TH!N1265=TH!$X$7,O1265=TH!$X$7),"x","")</f>
        <v/>
      </c>
      <c r="Y1265" s="84" t="str">
        <f>IF(AND(OR(N1265="131",O1265="131"),H1265='131-CT'!$H$9),"x","")</f>
        <v/>
      </c>
      <c r="Z1265" s="84"/>
      <c r="AA1265" s="84" t="str">
        <f>IF(AND(MONTH(E1265)='IN-NX'!$J$5,'IN-NX'!$D$7=D1265),"x","")</f>
        <v/>
      </c>
      <c r="AB1265" s="84" t="str">
        <f>IF(AND(OR(LEFT(TH!N1265,2)="15",LEFT(TH!O1265,2)="15"),LEFT(TH!O1265,3)&lt;&gt;"111",'152-CT'!$J$8=TH!F1265),"x","")</f>
        <v/>
      </c>
      <c r="AC1265" s="84" t="str">
        <f>IF(AND(OR(LEFT(TH!N1265,2)="15",LEFT(TH!O1265,2)="15"),TK!$E$7=TH!F1265),"x","")</f>
        <v/>
      </c>
      <c r="AD1265" s="84" t="str">
        <f>IF(AND(N1265="1521",MONTH(C1265)='BK-NL'!$M$11),"x","")</f>
        <v/>
      </c>
    </row>
    <row r="1266" spans="1:31" ht="15.75" hidden="1" customHeight="1">
      <c r="A1266" s="336" t="str">
        <f>IF(B1266&lt;&gt;"",IF(AND(B1266='IN-TC'!$S$4,OR(TH!N1266="1111",TH!O1266="1111")),TH!D1266,""),"")</f>
        <v/>
      </c>
      <c r="B1266" s="63">
        <f>IF(C1266&lt;&gt;"",MONTH(C1266),"")</f>
        <v>4</v>
      </c>
      <c r="C1266" s="64">
        <f>E1266</f>
        <v>42485</v>
      </c>
      <c r="D1266" s="64" t="s">
        <v>880</v>
      </c>
      <c r="E1266" s="64">
        <v>42485</v>
      </c>
      <c r="F1266" s="73" t="s">
        <v>1107</v>
      </c>
      <c r="G1266" s="982" t="s">
        <v>919</v>
      </c>
      <c r="H1266" s="320" t="s">
        <v>1419</v>
      </c>
      <c r="I1266" s="439"/>
      <c r="J1266" s="439"/>
      <c r="K1266" s="430"/>
      <c r="L1266" s="439"/>
      <c r="M1266" s="65">
        <v>80000000</v>
      </c>
      <c r="N1266" s="66" t="s">
        <v>26</v>
      </c>
      <c r="O1266" s="66" t="s">
        <v>63</v>
      </c>
      <c r="P1266" s="84" t="str">
        <f>IF(AND('331-CT'!$E$7=TH!H1266,OR(N1266="331",O1266="331")),"x","")</f>
        <v/>
      </c>
      <c r="Q1266" s="84" t="str">
        <f>IF(AND(B1266='111'!$L$11,OR($N1266=$Q$7,$O1266=$Q$7)),"x","")</f>
        <v/>
      </c>
      <c r="R1266" s="84" t="str">
        <f>IF(AND($N1266=$Q$7,$B1266&lt;'111'!$L$11),"x","")</f>
        <v/>
      </c>
      <c r="S1266" s="84" t="str">
        <f>IF(AND($O1266=$Q$7,$B1266&lt;'111'!$L$11),"x","")</f>
        <v/>
      </c>
      <c r="T1266" s="84" t="str">
        <f>IF(ISERROR(FIND('112'!$M$9,G1266,1)),"",IF((AND(FIND('112'!$M$9,G1266,1)&gt;=1,B1266='112'!$K$9,OR($N1266='112'!$I$6,$O1266='112'!$I$6))),"x",""))</f>
        <v/>
      </c>
      <c r="U1266" s="84" t="str">
        <f>IF(ISERROR(FIND('112'!$M$9,G1266,1)),"",IF((AND(LEFT(G1266,2)=LEFT('112'!$M$9,2),B1266&lt;'112'!$K$9,$N1266='112'!$I$6)),"x",""))</f>
        <v>x</v>
      </c>
      <c r="V1266" s="84" t="str">
        <f>IF(ISERROR(FIND('112'!$M$9,G1266,1)),"",IF((AND(RIGHT(G1266,2)=RIGHT('112'!$M$9,2),B1266&lt;'112'!$K$9,$O1266='112'!$I$6)),"x",""))</f>
        <v/>
      </c>
      <c r="W1266" s="84" t="str">
        <f>IF(AND('341-CT'!$H$9=H1266,OR(LEFT(N1266,3)=$W$7,LEFT(O1266,3)=$W$7)),"x","")</f>
        <v/>
      </c>
      <c r="X1266" s="84" t="str">
        <f>IF(OR(TH!N1266=TH!$X$7,O1266=TH!$X$7),"x","")</f>
        <v/>
      </c>
      <c r="Y1266" s="84" t="str">
        <f>IF(AND(OR(N1266="131",O1266="131"),H1266='131-CT'!$H$9),"x","")</f>
        <v/>
      </c>
      <c r="Z1266" s="84"/>
      <c r="AA1266" s="84" t="str">
        <f>IF(AND(MONTH(E1266)='IN-NX'!$J$5,'IN-NX'!$D$7=D1266),"x","")</f>
        <v/>
      </c>
      <c r="AB1266" s="84" t="str">
        <f>IF(AND(OR(LEFT(TH!N1266,2)="15",LEFT(TH!O1266,2)="15"),LEFT(TH!O1266,3)&lt;&gt;"111",'152-CT'!$J$8=TH!F1266),"x","")</f>
        <v/>
      </c>
      <c r="AC1266" s="84" t="str">
        <f>IF(AND(OR(LEFT(TH!N1266,2)="15",LEFT(TH!O1266,2)="15"),TK!$E$7=TH!F1266),"x","")</f>
        <v/>
      </c>
      <c r="AD1266" s="84" t="str">
        <f>IF(AND(N1266="1521",MONTH(C1266)='BK-NL'!$M$11),"x","")</f>
        <v/>
      </c>
    </row>
    <row r="1267" spans="1:31" ht="15.75" hidden="1" customHeight="1">
      <c r="A1267" s="336" t="str">
        <f>IF(B1267&lt;&gt;"",IF(AND(B1267='IN-TC'!$S$4,OR(TH!N1267="1111",TH!O1267="1111")),TH!D1267,""),"")</f>
        <v/>
      </c>
      <c r="B1267" s="63">
        <f>IF(C1267&lt;&gt;"",MONTH(C1267),"")</f>
        <v>4</v>
      </c>
      <c r="C1267" s="64">
        <f>E1267</f>
        <v>42486</v>
      </c>
      <c r="D1267" s="64" t="s">
        <v>881</v>
      </c>
      <c r="E1267" s="64">
        <v>42486</v>
      </c>
      <c r="F1267" s="73" t="s">
        <v>1107</v>
      </c>
      <c r="G1267" s="982" t="s">
        <v>919</v>
      </c>
      <c r="H1267" s="320" t="s">
        <v>764</v>
      </c>
      <c r="I1267" s="439"/>
      <c r="J1267" s="439"/>
      <c r="K1267" s="430"/>
      <c r="L1267" s="439"/>
      <c r="M1267" s="65">
        <v>20000000</v>
      </c>
      <c r="N1267" s="66" t="s">
        <v>26</v>
      </c>
      <c r="O1267" s="66" t="s">
        <v>63</v>
      </c>
      <c r="P1267" s="84" t="str">
        <f>IF(AND('331-CT'!$E$7=TH!H1267,OR(N1267="331",O1267="331")),"x","")</f>
        <v/>
      </c>
      <c r="Q1267" s="84" t="str">
        <f>IF(AND(B1267='111'!$L$11,OR($N1267=$Q$7,$O1267=$Q$7)),"x","")</f>
        <v/>
      </c>
      <c r="R1267" s="84" t="str">
        <f>IF(AND($N1267=$Q$7,$B1267&lt;'111'!$L$11),"x","")</f>
        <v/>
      </c>
      <c r="S1267" s="84" t="str">
        <f>IF(AND($O1267=$Q$7,$B1267&lt;'111'!$L$11),"x","")</f>
        <v/>
      </c>
      <c r="T1267" s="84" t="str">
        <f>IF(ISERROR(FIND('112'!$M$9,G1267,1)),"",IF((AND(FIND('112'!$M$9,G1267,1)&gt;=1,B1267='112'!$K$9,OR($N1267='112'!$I$6,$O1267='112'!$I$6))),"x",""))</f>
        <v/>
      </c>
      <c r="U1267" s="84" t="str">
        <f>IF(ISERROR(FIND('112'!$M$9,G1267,1)),"",IF((AND(LEFT(G1267,2)=LEFT('112'!$M$9,2),B1267&lt;'112'!$K$9,$N1267='112'!$I$6)),"x",""))</f>
        <v>x</v>
      </c>
      <c r="V1267" s="84" t="str">
        <f>IF(ISERROR(FIND('112'!$M$9,G1267,1)),"",IF((AND(RIGHT(G1267,2)=RIGHT('112'!$M$9,2),B1267&lt;'112'!$K$9,$O1267='112'!$I$6)),"x",""))</f>
        <v/>
      </c>
      <c r="W1267" s="84" t="str">
        <f>IF(AND('341-CT'!$H$9=H1267,OR(LEFT(N1267,3)=$W$7,LEFT(O1267,3)=$W$7)),"x","")</f>
        <v/>
      </c>
      <c r="X1267" s="84" t="str">
        <f>IF(OR(TH!N1267=TH!$X$7,O1267=TH!$X$7),"x","")</f>
        <v/>
      </c>
      <c r="Y1267" s="84" t="str">
        <f>IF(AND(OR(N1267="131",O1267="131"),H1267='131-CT'!$H$9),"x","")</f>
        <v/>
      </c>
      <c r="Z1267" s="84"/>
      <c r="AA1267" s="84" t="str">
        <f>IF(AND(MONTH(E1267)='IN-NX'!$J$5,'IN-NX'!$D$7=D1267),"x","")</f>
        <v/>
      </c>
      <c r="AB1267" s="84" t="str">
        <f>IF(AND(OR(LEFT(TH!N1267,2)="15",LEFT(TH!O1267,2)="15"),LEFT(TH!O1267,3)&lt;&gt;"111",'152-CT'!$J$8=TH!F1267),"x","")</f>
        <v/>
      </c>
      <c r="AC1267" s="84" t="str">
        <f>IF(AND(OR(LEFT(TH!N1267,2)="15",LEFT(TH!O1267,2)="15"),TK!$E$7=TH!F1267),"x","")</f>
        <v/>
      </c>
      <c r="AD1267" s="84" t="str">
        <f>IF(AND(N1267="1521",MONTH(C1267)='BK-NL'!$M$11),"x","")</f>
        <v/>
      </c>
    </row>
    <row r="1268" spans="1:31" ht="15.75" hidden="1" customHeight="1">
      <c r="A1268" s="336" t="str">
        <f>IF(B1268&lt;&gt;"",IF(AND(B1268='IN-TC'!$S$4,OR(TH!N1268="1111",TH!O1268="1111")),TH!D1268,""),"")</f>
        <v/>
      </c>
      <c r="B1268" s="63">
        <f t="shared" si="189"/>
        <v>4</v>
      </c>
      <c r="C1268" s="64">
        <v>42487</v>
      </c>
      <c r="D1268" s="64" t="s">
        <v>882</v>
      </c>
      <c r="E1268" s="64">
        <v>42487</v>
      </c>
      <c r="F1268" s="73" t="s">
        <v>1424</v>
      </c>
      <c r="G1268" s="982" t="s">
        <v>1426</v>
      </c>
      <c r="H1268" s="73" t="s">
        <v>839</v>
      </c>
      <c r="I1268" s="439"/>
      <c r="J1268" s="439"/>
      <c r="K1268" s="430"/>
      <c r="L1268" s="439"/>
      <c r="M1268" s="65">
        <v>16050000</v>
      </c>
      <c r="N1268" s="66" t="s">
        <v>101</v>
      </c>
      <c r="O1268" s="66" t="s">
        <v>63</v>
      </c>
      <c r="P1268" s="84" t="str">
        <f>IF(AND('331-CT'!$E$7=TH!H1268,OR(N1268="331",O1268="331")),"x","")</f>
        <v/>
      </c>
      <c r="Q1268" s="84" t="str">
        <f>IF(AND(B1268='111'!$L$11,OR($N1268=$Q$7,$O1268=$Q$7)),"x","")</f>
        <v/>
      </c>
      <c r="R1268" s="84" t="str">
        <f>IF(AND($N1268=$Q$7,$B1268&lt;'111'!$L$11),"x","")</f>
        <v/>
      </c>
      <c r="S1268" s="84" t="str">
        <f>IF(AND($O1268=$Q$7,$B1268&lt;'111'!$L$11),"x","")</f>
        <v/>
      </c>
      <c r="T1268" s="84" t="str">
        <f>IF(ISERROR(FIND('112'!$M$9,G1268,1)),"",IF((AND(FIND('112'!$M$9,G1268,1)&gt;=1,B1268='112'!$K$9,OR($N1268='112'!$I$6,$O1268='112'!$I$6))),"x",""))</f>
        <v/>
      </c>
      <c r="U1268" s="84" t="str">
        <f>IF(ISERROR(FIND('112'!$M$9,G1268,1)),"",IF((AND(LEFT(G1268,2)=LEFT('112'!$M$9,2),B1268&lt;'112'!$K$9,$N1268='112'!$I$6)),"x",""))</f>
        <v/>
      </c>
      <c r="V1268" s="84" t="str">
        <f>IF(ISERROR(FIND('112'!$M$9,G1268,1)),"",IF((AND(RIGHT(G1268,2)=RIGHT('112'!$M$9,2),B1268&lt;'112'!$K$9,$O1268='112'!$I$6)),"x",""))</f>
        <v/>
      </c>
      <c r="W1268" s="84" t="str">
        <f>IF(AND('341-CT'!$H$9=H1268,OR(LEFT(N1268,3)=$W$7,LEFT(O1268,3)=$W$7)),"x","")</f>
        <v/>
      </c>
      <c r="X1268" s="84" t="str">
        <f>IF(OR(TH!N1268=TH!$X$7,O1268=TH!$X$7),"x","")</f>
        <v/>
      </c>
      <c r="Y1268" s="84" t="str">
        <f>IF(AND(OR(N1268="131",O1268="131"),H1268='131-CT'!$H$9),"x","")</f>
        <v/>
      </c>
      <c r="Z1268" s="84"/>
      <c r="AA1268" s="84" t="str">
        <f>IF(AND(MONTH(E1268)='IN-NX'!$J$5,'IN-NX'!$D$7=D1268),"x","")</f>
        <v/>
      </c>
      <c r="AB1268" s="84" t="str">
        <f>IF(AND(OR(LEFT(TH!N1268,2)="15",LEFT(TH!O1268,2)="15"),LEFT(TH!O1268,3)&lt;&gt;"111",'152-CT'!$J$8=TH!F1268),"x","")</f>
        <v/>
      </c>
      <c r="AC1268" s="84" t="str">
        <f>IF(AND(OR(LEFT(TH!N1268,2)="15",LEFT(TH!O1268,2)="15"),TK!$E$7=TH!F1268),"x","")</f>
        <v/>
      </c>
      <c r="AD1268" s="84" t="str">
        <f>IF(AND(N1268="1521",MONTH(C1268)='BK-NL'!$M$11),"x","")</f>
        <v/>
      </c>
    </row>
    <row r="1269" spans="1:31" ht="15.75" hidden="1" customHeight="1">
      <c r="A1269" s="336" t="str">
        <f>IF(B1269&lt;&gt;"",IF(AND(B1269='IN-TC'!$S$4,OR(TH!N1269="1111",TH!O1269="1111")),TH!D1269,""),"")</f>
        <v/>
      </c>
      <c r="B1269" s="63">
        <f t="shared" si="189"/>
        <v>4</v>
      </c>
      <c r="C1269" s="64">
        <v>42487</v>
      </c>
      <c r="D1269" s="64" t="s">
        <v>882</v>
      </c>
      <c r="E1269" s="64">
        <v>42487</v>
      </c>
      <c r="F1269" s="73" t="s">
        <v>1425</v>
      </c>
      <c r="G1269" s="982" t="s">
        <v>1426</v>
      </c>
      <c r="H1269" s="73" t="s">
        <v>839</v>
      </c>
      <c r="I1269" s="439"/>
      <c r="J1269" s="439"/>
      <c r="K1269" s="430"/>
      <c r="L1269" s="439"/>
      <c r="M1269" s="65">
        <v>1605000</v>
      </c>
      <c r="N1269" s="66" t="s">
        <v>9</v>
      </c>
      <c r="O1269" s="66" t="s">
        <v>63</v>
      </c>
      <c r="P1269" s="84" t="str">
        <f>IF(AND('331-CT'!$E$7=TH!H1269,OR(N1269="331",O1269="331")),"x","")</f>
        <v/>
      </c>
      <c r="Q1269" s="84" t="str">
        <f>IF(AND(B1269='111'!$L$11,OR($N1269=$Q$7,$O1269=$Q$7)),"x","")</f>
        <v/>
      </c>
      <c r="R1269" s="84" t="str">
        <f>IF(AND($N1269=$Q$7,$B1269&lt;'111'!$L$11),"x","")</f>
        <v/>
      </c>
      <c r="S1269" s="84" t="str">
        <f>IF(AND($O1269=$Q$7,$B1269&lt;'111'!$L$11),"x","")</f>
        <v/>
      </c>
      <c r="T1269" s="84" t="str">
        <f>IF(ISERROR(FIND('112'!$M$9,G1269,1)),"",IF((AND(FIND('112'!$M$9,G1269,1)&gt;=1,B1269='112'!$K$9,OR($N1269='112'!$I$6,$O1269='112'!$I$6))),"x",""))</f>
        <v/>
      </c>
      <c r="U1269" s="84" t="str">
        <f>IF(ISERROR(FIND('112'!$M$9,G1269,1)),"",IF((AND(LEFT(G1269,2)=LEFT('112'!$M$9,2),B1269&lt;'112'!$K$9,$N1269='112'!$I$6)),"x",""))</f>
        <v/>
      </c>
      <c r="V1269" s="84" t="str">
        <f>IF(ISERROR(FIND('112'!$M$9,G1269,1)),"",IF((AND(RIGHT(G1269,2)=RIGHT('112'!$M$9,2),B1269&lt;'112'!$K$9,$O1269='112'!$I$6)),"x",""))</f>
        <v/>
      </c>
      <c r="W1269" s="84" t="str">
        <f>IF(AND('341-CT'!$H$9=H1269,OR(LEFT(N1269,3)=$W$7,LEFT(O1269,3)=$W$7)),"x","")</f>
        <v/>
      </c>
      <c r="X1269" s="84" t="str">
        <f>IF(OR(TH!N1269=TH!$X$7,O1269=TH!$X$7),"x","")</f>
        <v/>
      </c>
      <c r="Y1269" s="84" t="str">
        <f>IF(AND(OR(N1269="131",O1269="131"),H1269='131-CT'!$H$9),"x","")</f>
        <v/>
      </c>
      <c r="Z1269" s="84"/>
      <c r="AA1269" s="84" t="str">
        <f>IF(AND(MONTH(E1269)='IN-NX'!$J$5,'IN-NX'!$D$7=D1269),"x","")</f>
        <v/>
      </c>
      <c r="AB1269" s="84" t="str">
        <f>IF(AND(OR(LEFT(TH!N1269,2)="15",LEFT(TH!O1269,2)="15"),LEFT(TH!O1269,3)&lt;&gt;"111",'152-CT'!$J$8=TH!F1269),"x","")</f>
        <v/>
      </c>
      <c r="AC1269" s="84" t="str">
        <f>IF(AND(OR(LEFT(TH!N1269,2)="15",LEFT(TH!O1269,2)="15"),TK!$E$7=TH!F1269),"x","")</f>
        <v/>
      </c>
      <c r="AD1269" s="84" t="str">
        <f>IF(AND(N1269="1521",MONTH(C1269)='BK-NL'!$M$11),"x","")</f>
        <v/>
      </c>
    </row>
    <row r="1270" spans="1:31" ht="15.75" hidden="1" customHeight="1">
      <c r="A1270" s="336" t="str">
        <f>IF(B1270&lt;&gt;"",IF(AND(B1270='IN-TC'!$S$4,OR(TH!N1270="1111",TH!O1270="1111")),TH!D1270,""),"")</f>
        <v/>
      </c>
      <c r="B1270" s="63">
        <f t="shared" si="189"/>
        <v>4</v>
      </c>
      <c r="C1270" s="64">
        <v>42487</v>
      </c>
      <c r="D1270" s="64" t="s">
        <v>883</v>
      </c>
      <c r="E1270" s="64">
        <v>42487</v>
      </c>
      <c r="F1270" s="73" t="s">
        <v>1435</v>
      </c>
      <c r="G1270" s="982" t="s">
        <v>1437</v>
      </c>
      <c r="H1270" s="73" t="s">
        <v>1438</v>
      </c>
      <c r="I1270" s="439"/>
      <c r="J1270" s="439"/>
      <c r="K1270" s="430"/>
      <c r="L1270" s="439"/>
      <c r="M1270" s="65">
        <v>2638000</v>
      </c>
      <c r="N1270" s="66" t="s">
        <v>101</v>
      </c>
      <c r="O1270" s="66" t="s">
        <v>63</v>
      </c>
      <c r="P1270" s="84" t="str">
        <f>IF(AND('331-CT'!$E$7=TH!H1270,OR(N1270="331",O1270="331")),"x","")</f>
        <v/>
      </c>
      <c r="Q1270" s="84" t="str">
        <f>IF(AND(B1270='111'!$L$11,OR($N1270=$Q$7,$O1270=$Q$7)),"x","")</f>
        <v/>
      </c>
      <c r="R1270" s="84" t="str">
        <f>IF(AND($N1270=$Q$7,$B1270&lt;'111'!$L$11),"x","")</f>
        <v/>
      </c>
      <c r="S1270" s="84" t="str">
        <f>IF(AND($O1270=$Q$7,$B1270&lt;'111'!$L$11),"x","")</f>
        <v/>
      </c>
      <c r="T1270" s="84" t="str">
        <f>IF(ISERROR(FIND('112'!$M$9,G1270,1)),"",IF((AND(FIND('112'!$M$9,G1270,1)&gt;=1,B1270='112'!$K$9,OR($N1270='112'!$I$6,$O1270='112'!$I$6))),"x",""))</f>
        <v/>
      </c>
      <c r="U1270" s="84" t="str">
        <f>IF(ISERROR(FIND('112'!$M$9,G1270,1)),"",IF((AND(LEFT(G1270,2)=LEFT('112'!$M$9,2),B1270&lt;'112'!$K$9,$N1270='112'!$I$6)),"x",""))</f>
        <v/>
      </c>
      <c r="V1270" s="84" t="str">
        <f>IF(ISERROR(FIND('112'!$M$9,G1270,1)),"",IF((AND(RIGHT(G1270,2)=RIGHT('112'!$M$9,2),B1270&lt;'112'!$K$9,$O1270='112'!$I$6)),"x",""))</f>
        <v/>
      </c>
      <c r="W1270" s="84" t="str">
        <f>IF(AND('341-CT'!$H$9=H1270,OR(LEFT(N1270,3)=$W$7,LEFT(O1270,3)=$W$7)),"x","")</f>
        <v/>
      </c>
      <c r="X1270" s="84" t="str">
        <f>IF(OR(TH!N1270=TH!$X$7,O1270=TH!$X$7),"x","")</f>
        <v/>
      </c>
      <c r="Y1270" s="84" t="str">
        <f>IF(AND(OR(N1270="131",O1270="131"),H1270='131-CT'!$H$9),"x","")</f>
        <v/>
      </c>
      <c r="Z1270" s="84"/>
      <c r="AA1270" s="84" t="str">
        <f>IF(AND(MONTH(E1270)='IN-NX'!$J$5,'IN-NX'!$D$7=D1270),"x","")</f>
        <v/>
      </c>
      <c r="AB1270" s="84" t="str">
        <f>IF(AND(OR(LEFT(TH!N1270,2)="15",LEFT(TH!O1270,2)="15"),LEFT(TH!O1270,3)&lt;&gt;"111",'152-CT'!$J$8=TH!F1270),"x","")</f>
        <v/>
      </c>
      <c r="AC1270" s="84" t="str">
        <f>IF(AND(OR(LEFT(TH!N1270,2)="15",LEFT(TH!O1270,2)="15"),TK!$E$7=TH!F1270),"x","")</f>
        <v/>
      </c>
      <c r="AD1270" s="84" t="str">
        <f>IF(AND(N1270="1521",MONTH(C1270)='BK-NL'!$M$11),"x","")</f>
        <v/>
      </c>
    </row>
    <row r="1271" spans="1:31" ht="15.75" hidden="1" customHeight="1">
      <c r="A1271" s="336" t="str">
        <f>IF(B1271&lt;&gt;"",IF(AND(B1271='IN-TC'!$S$4,OR(TH!N1271="1111",TH!O1271="1111")),TH!D1271,""),"")</f>
        <v/>
      </c>
      <c r="B1271" s="63">
        <f t="shared" si="189"/>
        <v>4</v>
      </c>
      <c r="C1271" s="64">
        <v>42487</v>
      </c>
      <c r="D1271" s="64" t="s">
        <v>883</v>
      </c>
      <c r="E1271" s="64">
        <v>42487</v>
      </c>
      <c r="F1271" s="73" t="s">
        <v>1436</v>
      </c>
      <c r="G1271" s="982" t="s">
        <v>1437</v>
      </c>
      <c r="H1271" s="73" t="s">
        <v>1438</v>
      </c>
      <c r="I1271" s="439"/>
      <c r="J1271" s="439"/>
      <c r="K1271" s="430"/>
      <c r="L1271" s="439"/>
      <c r="M1271" s="65">
        <v>263800</v>
      </c>
      <c r="N1271" s="66" t="s">
        <v>9</v>
      </c>
      <c r="O1271" s="66" t="s">
        <v>63</v>
      </c>
      <c r="P1271" s="84" t="str">
        <f>IF(AND('331-CT'!$E$7=TH!H1271,OR(N1271="331",O1271="331")),"x","")</f>
        <v/>
      </c>
      <c r="Q1271" s="84" t="str">
        <f>IF(AND(B1271='111'!$L$11,OR($N1271=$Q$7,$O1271=$Q$7)),"x","")</f>
        <v/>
      </c>
      <c r="R1271" s="84" t="str">
        <f>IF(AND($N1271=$Q$7,$B1271&lt;'111'!$L$11),"x","")</f>
        <v/>
      </c>
      <c r="S1271" s="84" t="str">
        <f>IF(AND($O1271=$Q$7,$B1271&lt;'111'!$L$11),"x","")</f>
        <v/>
      </c>
      <c r="T1271" s="84" t="str">
        <f>IF(ISERROR(FIND('112'!$M$9,G1271,1)),"",IF((AND(FIND('112'!$M$9,G1271,1)&gt;=1,B1271='112'!$K$9,OR($N1271='112'!$I$6,$O1271='112'!$I$6))),"x",""))</f>
        <v/>
      </c>
      <c r="U1271" s="84" t="str">
        <f>IF(ISERROR(FIND('112'!$M$9,G1271,1)),"",IF((AND(LEFT(G1271,2)=LEFT('112'!$M$9,2),B1271&lt;'112'!$K$9,$N1271='112'!$I$6)),"x",""))</f>
        <v/>
      </c>
      <c r="V1271" s="84" t="str">
        <f>IF(ISERROR(FIND('112'!$M$9,G1271,1)),"",IF((AND(RIGHT(G1271,2)=RIGHT('112'!$M$9,2),B1271&lt;'112'!$K$9,$O1271='112'!$I$6)),"x",""))</f>
        <v/>
      </c>
      <c r="W1271" s="84" t="str">
        <f>IF(AND('341-CT'!$H$9=H1271,OR(LEFT(N1271,3)=$W$7,LEFT(O1271,3)=$W$7)),"x","")</f>
        <v/>
      </c>
      <c r="X1271" s="84" t="str">
        <f>IF(OR(TH!N1271=TH!$X$7,O1271=TH!$X$7),"x","")</f>
        <v/>
      </c>
      <c r="Y1271" s="84" t="str">
        <f>IF(AND(OR(N1271="131",O1271="131"),H1271='131-CT'!$H$9),"x","")</f>
        <v/>
      </c>
      <c r="Z1271" s="84"/>
      <c r="AA1271" s="84" t="str">
        <f>IF(AND(MONTH(E1271)='IN-NX'!$J$5,'IN-NX'!$D$7=D1271),"x","")</f>
        <v/>
      </c>
      <c r="AB1271" s="84" t="str">
        <f>IF(AND(OR(LEFT(TH!N1271,2)="15",LEFT(TH!O1271,2)="15"),LEFT(TH!O1271,3)&lt;&gt;"111",'152-CT'!$J$8=TH!F1271),"x","")</f>
        <v/>
      </c>
      <c r="AC1271" s="84" t="str">
        <f>IF(AND(OR(LEFT(TH!N1271,2)="15",LEFT(TH!O1271,2)="15"),TK!$E$7=TH!F1271),"x","")</f>
        <v/>
      </c>
      <c r="AD1271" s="84" t="str">
        <f>IF(AND(N1271="1521",MONTH(C1271)='BK-NL'!$M$11),"x","")</f>
        <v/>
      </c>
    </row>
    <row r="1272" spans="1:31" ht="15.75" hidden="1" customHeight="1">
      <c r="A1272" s="336" t="str">
        <f>IF(B1272&lt;&gt;"",IF(AND(B1272='IN-TC'!$S$4,OR(TH!N1272="1111",TH!O1272="1111")),TH!D1272,""),"")</f>
        <v/>
      </c>
      <c r="B1272" s="63">
        <f t="shared" si="188"/>
        <v>4</v>
      </c>
      <c r="C1272" s="64">
        <v>42489</v>
      </c>
      <c r="D1272" s="64" t="s">
        <v>884</v>
      </c>
      <c r="E1272" s="64">
        <f>C1272</f>
        <v>42489</v>
      </c>
      <c r="F1272" s="73" t="s">
        <v>1361</v>
      </c>
      <c r="G1272" s="982"/>
      <c r="H1272" s="320" t="s">
        <v>1363</v>
      </c>
      <c r="I1272" s="439"/>
      <c r="J1272" s="439"/>
      <c r="K1272" s="430"/>
      <c r="L1272" s="439"/>
      <c r="M1272" s="65">
        <v>818182</v>
      </c>
      <c r="N1272" s="66" t="s">
        <v>101</v>
      </c>
      <c r="O1272" s="66" t="s">
        <v>63</v>
      </c>
      <c r="P1272" s="84" t="str">
        <f>IF(AND('331-CT'!$E$7=TH!H1272,OR(N1272="331",O1272="331")),"x","")</f>
        <v/>
      </c>
      <c r="Q1272" s="84" t="str">
        <f>IF(AND(B1272='111'!$L$11,OR($N1272=$Q$7,$O1272=$Q$7)),"x","")</f>
        <v/>
      </c>
      <c r="R1272" s="84" t="str">
        <f>IF(AND($N1272=$Q$7,$B1272&lt;'111'!$L$11),"x","")</f>
        <v/>
      </c>
      <c r="S1272" s="84" t="str">
        <f>IF(AND($O1272=$Q$7,$B1272&lt;'111'!$L$11),"x","")</f>
        <v/>
      </c>
      <c r="T1272" s="84" t="str">
        <f>IF(ISERROR(FIND('112'!$M$9,G1272,1)),"",IF((AND(FIND('112'!$M$9,G1272,1)&gt;=1,B1272='112'!$K$9,OR($N1272='112'!$I$6,$O1272='112'!$I$6))),"x",""))</f>
        <v/>
      </c>
      <c r="U1272" s="84" t="str">
        <f>IF(ISERROR(FIND('112'!$M$9,G1272,1)),"",IF((AND(LEFT(G1272,2)=LEFT('112'!$M$9,2),B1272&lt;'112'!$K$9,$N1272='112'!$I$6)),"x",""))</f>
        <v/>
      </c>
      <c r="V1272" s="84" t="str">
        <f>IF(ISERROR(FIND('112'!$M$9,G1272,1)),"",IF((AND(RIGHT(G1272,2)=RIGHT('112'!$M$9,2),B1272&lt;'112'!$K$9,$O1272='112'!$I$6)),"x",""))</f>
        <v/>
      </c>
      <c r="W1272" s="84" t="str">
        <f>IF(AND('341-CT'!$H$9=H1272,OR(LEFT(N1272,3)=$W$7,LEFT(O1272,3)=$W$7)),"x","")</f>
        <v/>
      </c>
      <c r="X1272" s="84" t="str">
        <f>IF(OR(TH!N1272=TH!$X$7,O1272=TH!$X$7),"x","")</f>
        <v/>
      </c>
      <c r="Y1272" s="84" t="str">
        <f>IF(AND(OR(N1272="131",O1272="131"),H1272='131-CT'!$H$9),"x","")</f>
        <v/>
      </c>
      <c r="Z1272" s="84"/>
      <c r="AA1272" s="84" t="str">
        <f>IF(AND(MONTH(E1272)='IN-NX'!$J$5,'IN-NX'!$D$7=D1272),"x","")</f>
        <v/>
      </c>
      <c r="AB1272" s="84" t="str">
        <f>IF(AND(OR(LEFT(TH!N1272,2)="15",LEFT(TH!O1272,2)="15"),LEFT(TH!O1272,3)&lt;&gt;"111",'152-CT'!$J$8=TH!F1272),"x","")</f>
        <v/>
      </c>
      <c r="AC1272" s="84" t="str">
        <f>IF(AND(OR(LEFT(TH!N1272,2)="15",LEFT(TH!O1272,2)="15"),TK!$E$7=TH!F1272),"x","")</f>
        <v/>
      </c>
      <c r="AD1272" s="84" t="str">
        <f>IF(AND(N1272="1521",MONTH(C1272)='BK-NL'!$M$11),"x","")</f>
        <v/>
      </c>
    </row>
    <row r="1273" spans="1:31" ht="15.75" hidden="1" customHeight="1">
      <c r="A1273" s="336" t="str">
        <f>IF(B1273&lt;&gt;"",IF(AND(B1273='IN-TC'!$S$4,OR(TH!N1273="1111",TH!O1273="1111")),TH!D1273,""),"")</f>
        <v/>
      </c>
      <c r="B1273" s="63">
        <f>IF(C1273&lt;&gt;"",MONTH(C1273),"")</f>
        <v>4</v>
      </c>
      <c r="C1273" s="64">
        <v>42489</v>
      </c>
      <c r="D1273" s="64" t="s">
        <v>884</v>
      </c>
      <c r="E1273" s="64">
        <f>C1273</f>
        <v>42489</v>
      </c>
      <c r="F1273" s="73" t="s">
        <v>1362</v>
      </c>
      <c r="G1273" s="982"/>
      <c r="H1273" s="320" t="s">
        <v>1363</v>
      </c>
      <c r="I1273" s="439"/>
      <c r="J1273" s="439"/>
      <c r="K1273" s="430"/>
      <c r="L1273" s="439"/>
      <c r="M1273" s="65">
        <v>81818</v>
      </c>
      <c r="N1273" s="66" t="s">
        <v>9</v>
      </c>
      <c r="O1273" s="66" t="s">
        <v>63</v>
      </c>
      <c r="P1273" s="84" t="str">
        <f>IF(AND('331-CT'!$E$7=TH!H1273,OR(N1273="331",O1273="331")),"x","")</f>
        <v/>
      </c>
      <c r="Q1273" s="84" t="str">
        <f>IF(AND(B1273='111'!$L$11,OR($N1273=$Q$7,$O1273=$Q$7)),"x","")</f>
        <v/>
      </c>
      <c r="R1273" s="84" t="str">
        <f>IF(AND($N1273=$Q$7,$B1273&lt;'111'!$L$11),"x","")</f>
        <v/>
      </c>
      <c r="S1273" s="84" t="str">
        <f>IF(AND($O1273=$Q$7,$B1273&lt;'111'!$L$11),"x","")</f>
        <v/>
      </c>
      <c r="T1273" s="84" t="str">
        <f>IF(ISERROR(FIND('112'!$M$9,G1273,1)),"",IF((AND(FIND('112'!$M$9,G1273,1)&gt;=1,B1273='112'!$K$9,OR($N1273='112'!$I$6,$O1273='112'!$I$6))),"x",""))</f>
        <v/>
      </c>
      <c r="U1273" s="84" t="str">
        <f>IF(ISERROR(FIND('112'!$M$9,G1273,1)),"",IF((AND(LEFT(G1273,2)=LEFT('112'!$M$9,2),B1273&lt;'112'!$K$9,$N1273='112'!$I$6)),"x",""))</f>
        <v/>
      </c>
      <c r="V1273" s="84" t="str">
        <f>IF(ISERROR(FIND('112'!$M$9,G1273,1)),"",IF((AND(RIGHT(G1273,2)=RIGHT('112'!$M$9,2),B1273&lt;'112'!$K$9,$O1273='112'!$I$6)),"x",""))</f>
        <v/>
      </c>
      <c r="W1273" s="84" t="str">
        <f>IF(AND('341-CT'!$H$9=H1273,OR(LEFT(N1273,3)=$W$7,LEFT(O1273,3)=$W$7)),"x","")</f>
        <v/>
      </c>
      <c r="X1273" s="84" t="str">
        <f>IF(OR(TH!N1273=TH!$X$7,O1273=TH!$X$7),"x","")</f>
        <v/>
      </c>
      <c r="Y1273" s="84" t="str">
        <f>IF(AND(OR(N1273="131",O1273="131"),H1273='131-CT'!$H$9),"x","")</f>
        <v/>
      </c>
      <c r="Z1273" s="84"/>
      <c r="AA1273" s="84" t="str">
        <f>IF(AND(MONTH(E1273)='IN-NX'!$J$5,'IN-NX'!$D$7=D1273),"x","")</f>
        <v/>
      </c>
      <c r="AB1273" s="84" t="str">
        <f>IF(AND(OR(LEFT(TH!N1273,2)="15",LEFT(TH!O1273,2)="15"),LEFT(TH!O1273,3)&lt;&gt;"111",'152-CT'!$J$8=TH!F1273),"x","")</f>
        <v/>
      </c>
      <c r="AC1273" s="84" t="str">
        <f>IF(AND(OR(LEFT(TH!N1273,2)="15",LEFT(TH!O1273,2)="15"),TK!$E$7=TH!F1273),"x","")</f>
        <v/>
      </c>
      <c r="AD1273" s="84" t="str">
        <f>IF(AND(N1273="1521",MONTH(C1273)='BK-NL'!$M$11),"x","")</f>
        <v/>
      </c>
    </row>
    <row r="1274" spans="1:31" ht="15.75" hidden="1" customHeight="1">
      <c r="A1274" s="336" t="str">
        <f>IF(B1274&lt;&gt;"",IF(AND(B1274='IN-TC'!$S$4,OR(TH!N1274="1111",TH!O1274="1111")),TH!D1274,""),"")</f>
        <v/>
      </c>
      <c r="B1274" s="63">
        <f>IF(C1274&lt;&gt;"",MONTH(C1274),"")</f>
        <v>4</v>
      </c>
      <c r="C1274" s="64">
        <v>42489</v>
      </c>
      <c r="D1274" s="64" t="s">
        <v>885</v>
      </c>
      <c r="E1274" s="64">
        <f>C1274</f>
        <v>42489</v>
      </c>
      <c r="F1274" s="73" t="s">
        <v>771</v>
      </c>
      <c r="G1274" s="982" t="s">
        <v>1440</v>
      </c>
      <c r="H1274" s="73" t="s">
        <v>808</v>
      </c>
      <c r="I1274" s="439"/>
      <c r="J1274" s="439"/>
      <c r="K1274" s="430"/>
      <c r="L1274" s="439"/>
      <c r="M1274" s="65">
        <v>546782</v>
      </c>
      <c r="N1274" s="66" t="s">
        <v>101</v>
      </c>
      <c r="O1274" s="66" t="s">
        <v>63</v>
      </c>
      <c r="P1274" s="84" t="str">
        <f>IF(AND('331-CT'!$E$7=TH!H1274,OR(N1274="331",O1274="331")),"x","")</f>
        <v/>
      </c>
      <c r="Q1274" s="84" t="str">
        <f>IF(AND(B1274='111'!$L$11,OR($N1274=$Q$7,$O1274=$Q$7)),"x","")</f>
        <v/>
      </c>
      <c r="R1274" s="84" t="str">
        <f>IF(AND($N1274=$Q$7,$B1274&lt;'111'!$L$11),"x","")</f>
        <v/>
      </c>
      <c r="S1274" s="84" t="str">
        <f>IF(AND($O1274=$Q$7,$B1274&lt;'111'!$L$11),"x","")</f>
        <v/>
      </c>
      <c r="T1274" s="84" t="str">
        <f>IF(ISERROR(FIND('112'!$M$9,G1274,1)),"",IF((AND(FIND('112'!$M$9,G1274,1)&gt;=1,B1274='112'!$K$9,OR($N1274='112'!$I$6,$O1274='112'!$I$6))),"x",""))</f>
        <v/>
      </c>
      <c r="U1274" s="84" t="str">
        <f>IF(ISERROR(FIND('112'!$M$9,G1274,1)),"",IF((AND(LEFT(G1274,2)=LEFT('112'!$M$9,2),B1274&lt;'112'!$K$9,$N1274='112'!$I$6)),"x",""))</f>
        <v/>
      </c>
      <c r="V1274" s="84" t="str">
        <f>IF(ISERROR(FIND('112'!$M$9,G1274,1)),"",IF((AND(RIGHT(G1274,2)=RIGHT('112'!$M$9,2),B1274&lt;'112'!$K$9,$O1274='112'!$I$6)),"x",""))</f>
        <v/>
      </c>
      <c r="W1274" s="84" t="str">
        <f>IF(AND('341-CT'!$H$9=H1274,OR(LEFT(N1274,3)=$W$7,LEFT(O1274,3)=$W$7)),"x","")</f>
        <v/>
      </c>
      <c r="X1274" s="84" t="str">
        <f>IF(OR(TH!N1274=TH!$X$7,O1274=TH!$X$7),"x","")</f>
        <v/>
      </c>
      <c r="Y1274" s="84" t="str">
        <f>IF(AND(OR(N1274="131",O1274="131"),H1274='131-CT'!$H$9),"x","")</f>
        <v/>
      </c>
      <c r="Z1274" s="84"/>
      <c r="AA1274" s="84" t="str">
        <f>IF(AND(MONTH(E1274)='IN-NX'!$J$5,'IN-NX'!$D$7=D1274),"x","")</f>
        <v/>
      </c>
      <c r="AB1274" s="84" t="str">
        <f>IF(AND(OR(LEFT(TH!N1274,2)="15",LEFT(TH!O1274,2)="15"),LEFT(TH!O1274,3)&lt;&gt;"111",'152-CT'!$J$8=TH!F1274),"x","")</f>
        <v/>
      </c>
      <c r="AC1274" s="84" t="str">
        <f>IF(AND(OR(LEFT(TH!N1274,2)="15",LEFT(TH!O1274,2)="15"),TK!$E$7=TH!F1274),"x","")</f>
        <v/>
      </c>
      <c r="AD1274" s="84" t="str">
        <f>IF(AND(N1274="1521",MONTH(C1274)='BK-NL'!$M$11),"x","")</f>
        <v/>
      </c>
    </row>
    <row r="1275" spans="1:31" ht="15.75" hidden="1" customHeight="1">
      <c r="A1275" s="336" t="str">
        <f>IF(B1275&lt;&gt;"",IF(AND(B1275='IN-TC'!$S$4,OR(TH!N1275="1111",TH!O1275="1111")),TH!D1275,""),"")</f>
        <v/>
      </c>
      <c r="B1275" s="63">
        <f>IF(C1275&lt;&gt;"",MONTH(C1275),"")</f>
        <v>4</v>
      </c>
      <c r="C1275" s="64">
        <v>42489</v>
      </c>
      <c r="D1275" s="64" t="s">
        <v>885</v>
      </c>
      <c r="E1275" s="64">
        <f>C1275</f>
        <v>42489</v>
      </c>
      <c r="F1275" s="73" t="s">
        <v>772</v>
      </c>
      <c r="G1275" s="982" t="s">
        <v>1440</v>
      </c>
      <c r="H1275" s="73" t="s">
        <v>808</v>
      </c>
      <c r="I1275" s="439"/>
      <c r="J1275" s="439"/>
      <c r="K1275" s="430"/>
      <c r="L1275" s="439"/>
      <c r="M1275" s="65">
        <v>54678</v>
      </c>
      <c r="N1275" s="66" t="s">
        <v>9</v>
      </c>
      <c r="O1275" s="66" t="s">
        <v>63</v>
      </c>
      <c r="P1275" s="84" t="str">
        <f>IF(AND('331-CT'!$E$7=TH!H1275,OR(N1275="331",O1275="331")),"x","")</f>
        <v/>
      </c>
      <c r="Q1275" s="84" t="str">
        <f>IF(AND(B1275='111'!$L$11,OR($N1275=$Q$7,$O1275=$Q$7)),"x","")</f>
        <v/>
      </c>
      <c r="R1275" s="84" t="str">
        <f>IF(AND($N1275=$Q$7,$B1275&lt;'111'!$L$11),"x","")</f>
        <v/>
      </c>
      <c r="S1275" s="84" t="str">
        <f>IF(AND($O1275=$Q$7,$B1275&lt;'111'!$L$11),"x","")</f>
        <v/>
      </c>
      <c r="T1275" s="84" t="str">
        <f>IF(ISERROR(FIND('112'!$M$9,G1275,1)),"",IF((AND(FIND('112'!$M$9,G1275,1)&gt;=1,B1275='112'!$K$9,OR($N1275='112'!$I$6,$O1275='112'!$I$6))),"x",""))</f>
        <v/>
      </c>
      <c r="U1275" s="84" t="str">
        <f>IF(ISERROR(FIND('112'!$M$9,G1275,1)),"",IF((AND(LEFT(G1275,2)=LEFT('112'!$M$9,2),B1275&lt;'112'!$K$9,$N1275='112'!$I$6)),"x",""))</f>
        <v/>
      </c>
      <c r="V1275" s="84" t="str">
        <f>IF(ISERROR(FIND('112'!$M$9,G1275,1)),"",IF((AND(RIGHT(G1275,2)=RIGHT('112'!$M$9,2),B1275&lt;'112'!$K$9,$O1275='112'!$I$6)),"x",""))</f>
        <v/>
      </c>
      <c r="W1275" s="84" t="str">
        <f>IF(AND('341-CT'!$H$9=H1275,OR(LEFT(N1275,3)=$W$7,LEFT(O1275,3)=$W$7)),"x","")</f>
        <v/>
      </c>
      <c r="X1275" s="84" t="str">
        <f>IF(OR(TH!N1275=TH!$X$7,O1275=TH!$X$7),"x","")</f>
        <v/>
      </c>
      <c r="Y1275" s="84" t="str">
        <f>IF(AND(OR(N1275="131",O1275="131"),H1275='131-CT'!$H$9),"x","")</f>
        <v/>
      </c>
      <c r="Z1275" s="84"/>
      <c r="AA1275" s="84" t="str">
        <f>IF(AND(MONTH(E1275)='IN-NX'!$J$5,'IN-NX'!$D$7=D1275),"x","")</f>
        <v/>
      </c>
      <c r="AB1275" s="84" t="str">
        <f>IF(AND(OR(LEFT(TH!N1275,2)="15",LEFT(TH!O1275,2)="15"),LEFT(TH!O1275,3)&lt;&gt;"111",'152-CT'!$J$8=TH!F1275),"x","")</f>
        <v/>
      </c>
      <c r="AC1275" s="84" t="str">
        <f>IF(AND(OR(LEFT(TH!N1275,2)="15",LEFT(TH!O1275,2)="15"),TK!$E$7=TH!F1275),"x","")</f>
        <v/>
      </c>
      <c r="AD1275" s="84" t="str">
        <f>IF(AND(N1275="1521",MONTH(C1275)='BK-NL'!$M$11),"x","")</f>
        <v/>
      </c>
    </row>
    <row r="1276" spans="1:31" s="1132" customFormat="1" ht="17.25" hidden="1" customHeight="1">
      <c r="A1276" s="1213" t="str">
        <f>IF(B1276&lt;&gt;"",IF(AND(B1276='IN-TC'!$S$4,OR(TH!N1276="1111",TH!O1276="1111")),TH!D1276,""),"")</f>
        <v/>
      </c>
      <c r="B1276" s="1129">
        <f t="shared" si="188"/>
        <v>4</v>
      </c>
      <c r="C1276" s="975">
        <v>42489</v>
      </c>
      <c r="D1276" s="975" t="s">
        <v>886</v>
      </c>
      <c r="E1276" s="975">
        <f>C1276</f>
        <v>42489</v>
      </c>
      <c r="F1276" s="971" t="s">
        <v>1404</v>
      </c>
      <c r="G1276" s="980"/>
      <c r="H1276" s="971" t="s">
        <v>849</v>
      </c>
      <c r="I1276" s="972"/>
      <c r="J1276" s="972"/>
      <c r="K1276" s="973"/>
      <c r="L1276" s="972"/>
      <c r="M1276" s="1130">
        <v>133705785</v>
      </c>
      <c r="N1276" s="873" t="s">
        <v>592</v>
      </c>
      <c r="O1276" s="1131" t="s">
        <v>63</v>
      </c>
      <c r="P1276" s="1131" t="str">
        <f>IF(AND('331-CT'!$E$7=TH!H1276,OR(N1276="331",O1276="331")),"x","")</f>
        <v/>
      </c>
      <c r="Q1276" s="1131" t="str">
        <f>IF(AND(B1276='111'!$L$11,OR($N1276=$Q$7,$O1276=$Q$7)),"x","")</f>
        <v/>
      </c>
      <c r="R1276" s="1131" t="str">
        <f>IF(AND($N1276=$Q$7,$B1276&lt;'111'!$L$11),"x","")</f>
        <v/>
      </c>
      <c r="S1276" s="1131" t="str">
        <f>IF(AND($O1276=$Q$7,$B1276&lt;'111'!$L$11),"x","")</f>
        <v/>
      </c>
      <c r="T1276" s="1131" t="str">
        <f>IF(ISERROR(FIND('112'!$M$9,G1276,1)),"",IF((AND(FIND('112'!$M$9,G1276,1)&gt;=1,B1276='112'!$K$9,OR($N1276='112'!$I$6,$O1276='112'!$I$6))),"x",""))</f>
        <v/>
      </c>
      <c r="U1276" s="1131" t="str">
        <f>IF(ISERROR(FIND('112'!$M$9,G1276,1)),"",IF((AND(LEFT(G1276,2)=LEFT('112'!$M$9,2),B1276&lt;'112'!$K$9,$N1276='112'!$I$6)),"x",""))</f>
        <v/>
      </c>
      <c r="V1276" s="1131" t="str">
        <f>IF(ISERROR(FIND('112'!$M$9,G1276,1)),"",IF((AND(RIGHT(G1276,2)=RIGHT('112'!$M$9,2),B1276&lt;'112'!$K$9,$O1276='112'!$I$6)),"x",""))</f>
        <v/>
      </c>
      <c r="W1276" s="1131" t="str">
        <f>IF(AND('341-CT'!$H$9=H1276,OR(LEFT(N1276,3)=$W$7,LEFT(O1276,3)=$W$7)),"x","")</f>
        <v/>
      </c>
      <c r="X1276" s="1131" t="str">
        <f>IF(OR(TH!N1276=TH!$X$7,O1276=TH!$X$7),"x","")</f>
        <v/>
      </c>
      <c r="Y1276" s="1131" t="str">
        <f>IF(AND(OR(N1276="131",O1276="131"),H1276='131-CT'!$H$9),"x","")</f>
        <v/>
      </c>
      <c r="Z1276" s="1131"/>
      <c r="AA1276" s="1131" t="str">
        <f>IF(AND(MONTH(E1276)='IN-NX'!$J$5,'IN-NX'!$D$7=D1276),"x","")</f>
        <v/>
      </c>
      <c r="AB1276" s="1131" t="str">
        <f>IF(AND(OR(LEFT(TH!N1276,2)="15",LEFT(TH!O1276,2)="15"),LEFT(TH!O1276,3)&lt;&gt;"111",'152-CT'!$J$8=TH!F1276),"x","")</f>
        <v/>
      </c>
      <c r="AC1276" s="1131" t="str">
        <f>IF(AND(OR(LEFT(TH!N1276,2)="15",LEFT(TH!O1276,2)="15"),TK!$E$7=TH!F1276),"x","")</f>
        <v/>
      </c>
      <c r="AD1276" s="1131" t="str">
        <f>IF(AND(N1276="1521",MONTH(C1276)='BK-NL'!$M$11),"x","")</f>
        <v/>
      </c>
    </row>
    <row r="1277" spans="1:31" s="347" customFormat="1" ht="15.75" hidden="1" customHeight="1">
      <c r="A1277" s="1176" t="str">
        <f>IF(B1277&lt;&gt;"",IF(AND(B1277='IN-TC'!$S$4,OR(TH!N1277="1111",TH!O1277="1111")),TH!D1277,""),"")</f>
        <v/>
      </c>
      <c r="B1277" s="1003">
        <f t="shared" si="188"/>
        <v>4</v>
      </c>
      <c r="C1277" s="80">
        <v>42490</v>
      </c>
      <c r="D1277" s="80" t="s">
        <v>582</v>
      </c>
      <c r="E1277" s="80">
        <v>42466</v>
      </c>
      <c r="F1277" s="82" t="s">
        <v>639</v>
      </c>
      <c r="G1277" s="985" t="s">
        <v>1416</v>
      </c>
      <c r="H1277" s="82" t="s">
        <v>630</v>
      </c>
      <c r="I1277" s="437"/>
      <c r="J1277" s="437"/>
      <c r="K1277" s="428"/>
      <c r="L1277" s="437"/>
      <c r="M1277" s="83">
        <v>2000000</v>
      </c>
      <c r="N1277" s="84" t="s">
        <v>591</v>
      </c>
      <c r="O1277" s="84" t="s">
        <v>8</v>
      </c>
      <c r="P1277" s="84" t="str">
        <f>IF(AND('331-CT'!$E$7=TH!H1277,OR(N1277="331",O1277="331")),"x","")</f>
        <v/>
      </c>
      <c r="Q1277" s="84" t="str">
        <f>IF(AND(B1277='111'!$L$11,OR($N1277=$Q$7,$O1277=$Q$7)),"x","")</f>
        <v/>
      </c>
      <c r="R1277" s="84" t="str">
        <f>IF(AND($N1277=$Q$7,$B1277&lt;'111'!$L$11),"x","")</f>
        <v/>
      </c>
      <c r="S1277" s="84" t="str">
        <f>IF(AND($O1277=$Q$7,$B1277&lt;'111'!$L$11),"x","")</f>
        <v/>
      </c>
      <c r="T1277" s="84" t="str">
        <f>IF(ISERROR(FIND('112'!$M$9,G1277,1)),"",IF((AND(FIND('112'!$M$9,G1277,1)&gt;=1,B1277='112'!$K$9,OR($N1277='112'!$I$6,$O1277='112'!$I$6))),"x",""))</f>
        <v/>
      </c>
      <c r="U1277" s="84" t="str">
        <f>IF(ISERROR(FIND('112'!$M$9,G1277,1)),"",IF((AND(LEFT(G1277,2)=LEFT('112'!$M$9,2),B1277&lt;'112'!$K$9,$N1277='112'!$I$6)),"x",""))</f>
        <v/>
      </c>
      <c r="V1277" s="84" t="str">
        <f>IF(ISERROR(FIND('112'!$M$9,G1277,1)),"",IF((AND(RIGHT(G1277,2)=RIGHT('112'!$M$9,2),B1277&lt;'112'!$K$9,$O1277='112'!$I$6)),"x",""))</f>
        <v/>
      </c>
      <c r="W1277" s="84" t="str">
        <f>IF(AND('341-CT'!$H$9=H1277,OR(LEFT(N1277,3)=$W$7,LEFT(O1277,3)=$W$7)),"x","")</f>
        <v/>
      </c>
      <c r="X1277" s="84" t="str">
        <f>IF(OR(TH!N1277=TH!$X$7,O1277=TH!$X$7),"x","")</f>
        <v/>
      </c>
      <c r="Y1277" s="84" t="str">
        <f>IF(AND(OR(N1277="131",O1277="131"),H1277='131-CT'!$H$9),"x","")</f>
        <v/>
      </c>
      <c r="Z1277" s="84"/>
      <c r="AA1277" s="84" t="str">
        <f>IF(AND(MONTH(E1277)='IN-NX'!$J$5,'IN-NX'!$D$7=D1277),"x","")</f>
        <v/>
      </c>
      <c r="AB1277" s="84" t="str">
        <f>IF(AND(OR(LEFT(TH!N1277,2)="15",LEFT(TH!O1277,2)="15"),LEFT(TH!O1277,3)&lt;&gt;"111",'152-CT'!$J$8=TH!F1277),"x","")</f>
        <v/>
      </c>
      <c r="AC1277" s="84" t="str">
        <f>IF(AND(OR(LEFT(TH!N1277,2)="15",LEFT(TH!O1277,2)="15"),TK!$E$7=TH!F1277),"x","")</f>
        <v/>
      </c>
      <c r="AD1277" s="84" t="str">
        <f>IF(AND(N1277="1521",MONTH(C1277)='BK-NL'!$M$11),"x","")</f>
        <v/>
      </c>
      <c r="AE1277" s="343" t="str">
        <f t="shared" ref="AE1277:AE1292" si="190">IF(H1277&lt;&gt;VLOOKUP(H1277,DSKH,1,0),"","x")</f>
        <v>x</v>
      </c>
    </row>
    <row r="1278" spans="1:31" s="347" customFormat="1" ht="15.75" hidden="1" customHeight="1">
      <c r="A1278" s="1176" t="str">
        <f>IF(B1278&lt;&gt;"",IF(AND(B1278='IN-TC'!$S$4,OR(TH!N1278="1111",TH!O1278="1111")),TH!D1278,""),"")</f>
        <v/>
      </c>
      <c r="B1278" s="1003">
        <f>IF(C1278&lt;&gt;"",MONTH(C1278),"")</f>
        <v>4</v>
      </c>
      <c r="C1278" s="80">
        <v>42490</v>
      </c>
      <c r="D1278" s="80" t="s">
        <v>582</v>
      </c>
      <c r="E1278" s="80">
        <v>42466</v>
      </c>
      <c r="F1278" s="82" t="s">
        <v>640</v>
      </c>
      <c r="G1278" s="985" t="s">
        <v>1416</v>
      </c>
      <c r="H1278" s="82" t="s">
        <v>630</v>
      </c>
      <c r="I1278" s="437"/>
      <c r="J1278" s="437"/>
      <c r="K1278" s="428"/>
      <c r="L1278" s="437"/>
      <c r="M1278" s="83">
        <v>200000</v>
      </c>
      <c r="N1278" s="84" t="s">
        <v>9</v>
      </c>
      <c r="O1278" s="84" t="s">
        <v>8</v>
      </c>
      <c r="P1278" s="84" t="str">
        <f>IF(AND('331-CT'!$E$7=TH!H1278,OR(N1278="331",O1278="331")),"x","")</f>
        <v/>
      </c>
      <c r="Q1278" s="84" t="str">
        <f>IF(AND(B1278='111'!$L$11,OR($N1278=$Q$7,$O1278=$Q$7)),"x","")</f>
        <v/>
      </c>
      <c r="R1278" s="84" t="str">
        <f>IF(AND($N1278=$Q$7,$B1278&lt;'111'!$L$11),"x","")</f>
        <v/>
      </c>
      <c r="S1278" s="84" t="str">
        <f>IF(AND($O1278=$Q$7,$B1278&lt;'111'!$L$11),"x","")</f>
        <v/>
      </c>
      <c r="T1278" s="84" t="str">
        <f>IF(ISERROR(FIND('112'!$M$9,G1278,1)),"",IF((AND(FIND('112'!$M$9,G1278,1)&gt;=1,B1278='112'!$K$9,OR($N1278='112'!$I$6,$O1278='112'!$I$6))),"x",""))</f>
        <v/>
      </c>
      <c r="U1278" s="84" t="str">
        <f>IF(ISERROR(FIND('112'!$M$9,G1278,1)),"",IF((AND(LEFT(G1278,2)=LEFT('112'!$M$9,2),B1278&lt;'112'!$K$9,$N1278='112'!$I$6)),"x",""))</f>
        <v/>
      </c>
      <c r="V1278" s="84" t="str">
        <f>IF(ISERROR(FIND('112'!$M$9,G1278,1)),"",IF((AND(RIGHT(G1278,2)=RIGHT('112'!$M$9,2),B1278&lt;'112'!$K$9,$O1278='112'!$I$6)),"x",""))</f>
        <v/>
      </c>
      <c r="W1278" s="84" t="str">
        <f>IF(AND('341-CT'!$H$9=H1278,OR(LEFT(N1278,3)=$W$7,LEFT(O1278,3)=$W$7)),"x","")</f>
        <v/>
      </c>
      <c r="X1278" s="84" t="str">
        <f>IF(OR(TH!N1278=TH!$X$7,O1278=TH!$X$7),"x","")</f>
        <v/>
      </c>
      <c r="Y1278" s="84" t="str">
        <f>IF(AND(OR(N1278="131",O1278="131"),H1278='131-CT'!$H$9),"x","")</f>
        <v/>
      </c>
      <c r="Z1278" s="84"/>
      <c r="AA1278" s="84" t="str">
        <f>IF(AND(MONTH(E1278)='IN-NX'!$J$5,'IN-NX'!$D$7=D1278),"x","")</f>
        <v/>
      </c>
      <c r="AB1278" s="84" t="str">
        <f>IF(AND(OR(LEFT(TH!N1278,2)="15",LEFT(TH!O1278,2)="15"),LEFT(TH!O1278,3)&lt;&gt;"111",'152-CT'!$J$8=TH!F1278),"x","")</f>
        <v/>
      </c>
      <c r="AC1278" s="84" t="str">
        <f>IF(AND(OR(LEFT(TH!N1278,2)="15",LEFT(TH!O1278,2)="15"),TK!$E$7=TH!F1278),"x","")</f>
        <v/>
      </c>
      <c r="AD1278" s="84" t="str">
        <f>IF(AND(N1278="1521",MONTH(C1278)='BK-NL'!$M$11),"x","")</f>
        <v/>
      </c>
      <c r="AE1278" s="343" t="str">
        <f t="shared" si="190"/>
        <v>x</v>
      </c>
    </row>
    <row r="1279" spans="1:31" s="347" customFormat="1" ht="15.75" hidden="1" customHeight="1">
      <c r="A1279" s="1176" t="str">
        <f>IF(B1279&lt;&gt;"",IF(AND(B1279='IN-TC'!$S$4,OR(TH!N1279="1111",TH!O1279="1111")),TH!D1279,""),"")</f>
        <v/>
      </c>
      <c r="B1279" s="1003">
        <f t="shared" si="188"/>
        <v>4</v>
      </c>
      <c r="C1279" s="80">
        <v>42490</v>
      </c>
      <c r="D1279" s="80" t="s">
        <v>582</v>
      </c>
      <c r="E1279" s="80">
        <v>42475</v>
      </c>
      <c r="F1279" s="82" t="s">
        <v>635</v>
      </c>
      <c r="G1279" s="985" t="s">
        <v>1417</v>
      </c>
      <c r="H1279" s="82" t="s">
        <v>631</v>
      </c>
      <c r="I1279" s="437"/>
      <c r="J1279" s="437"/>
      <c r="K1279" s="428"/>
      <c r="L1279" s="437"/>
      <c r="M1279" s="83">
        <v>11856100</v>
      </c>
      <c r="N1279" s="84" t="s">
        <v>591</v>
      </c>
      <c r="O1279" s="84" t="s">
        <v>8</v>
      </c>
      <c r="P1279" s="84" t="str">
        <f>IF(AND('331-CT'!$E$7=TH!H1279,OR(N1279="331",O1279="331")),"x","")</f>
        <v/>
      </c>
      <c r="Q1279" s="84" t="str">
        <f>IF(AND(B1279='111'!$L$11,OR($N1279=$Q$7,$O1279=$Q$7)),"x","")</f>
        <v/>
      </c>
      <c r="R1279" s="84" t="str">
        <f>IF(AND($N1279=$Q$7,$B1279&lt;'111'!$L$11),"x","")</f>
        <v/>
      </c>
      <c r="S1279" s="84" t="str">
        <f>IF(AND($O1279=$Q$7,$B1279&lt;'111'!$L$11),"x","")</f>
        <v/>
      </c>
      <c r="T1279" s="84" t="str">
        <f>IF(ISERROR(FIND('112'!$M$9,G1279,1)),"",IF((AND(FIND('112'!$M$9,G1279,1)&gt;=1,B1279='112'!$K$9,OR($N1279='112'!$I$6,$O1279='112'!$I$6))),"x",""))</f>
        <v/>
      </c>
      <c r="U1279" s="84" t="str">
        <f>IF(ISERROR(FIND('112'!$M$9,G1279,1)),"",IF((AND(LEFT(G1279,2)=LEFT('112'!$M$9,2),B1279&lt;'112'!$K$9,$N1279='112'!$I$6)),"x",""))</f>
        <v/>
      </c>
      <c r="V1279" s="84" t="str">
        <f>IF(ISERROR(FIND('112'!$M$9,G1279,1)),"",IF((AND(RIGHT(G1279,2)=RIGHT('112'!$M$9,2),B1279&lt;'112'!$K$9,$O1279='112'!$I$6)),"x",""))</f>
        <v/>
      </c>
      <c r="W1279" s="84" t="str">
        <f>IF(AND('341-CT'!$H$9=H1279,OR(LEFT(N1279,3)=$W$7,LEFT(O1279,3)=$W$7)),"x","")</f>
        <v/>
      </c>
      <c r="X1279" s="84" t="str">
        <f>IF(OR(TH!N1279=TH!$X$7,O1279=TH!$X$7),"x","")</f>
        <v/>
      </c>
      <c r="Y1279" s="84" t="str">
        <f>IF(AND(OR(N1279="131",O1279="131"),H1279='131-CT'!$H$9),"x","")</f>
        <v/>
      </c>
      <c r="Z1279" s="84"/>
      <c r="AA1279" s="84" t="str">
        <f>IF(AND(MONTH(E1279)='IN-NX'!$J$5,'IN-NX'!$D$7=D1279),"x","")</f>
        <v/>
      </c>
      <c r="AB1279" s="84" t="str">
        <f>IF(AND(OR(LEFT(TH!N1279,2)="15",LEFT(TH!O1279,2)="15"),LEFT(TH!O1279,3)&lt;&gt;"111",'152-CT'!$J$8=TH!F1279),"x","")</f>
        <v/>
      </c>
      <c r="AC1279" s="84" t="str">
        <f>IF(AND(OR(LEFT(TH!N1279,2)="15",LEFT(TH!O1279,2)="15"),TK!$E$7=TH!F1279),"x","")</f>
        <v/>
      </c>
      <c r="AD1279" s="84" t="str">
        <f>IF(AND(N1279="1521",MONTH(C1279)='BK-NL'!$M$11),"x","")</f>
        <v/>
      </c>
      <c r="AE1279" s="343" t="str">
        <f t="shared" si="190"/>
        <v>x</v>
      </c>
    </row>
    <row r="1280" spans="1:31" s="347" customFormat="1" ht="15.75" hidden="1" customHeight="1">
      <c r="A1280" s="1176" t="str">
        <f>IF(B1280&lt;&gt;"",IF(AND(B1280='IN-TC'!$S$4,OR(TH!N1280="1111",TH!O1280="1111")),TH!D1280,""),"")</f>
        <v/>
      </c>
      <c r="B1280" s="1003">
        <f t="shared" si="188"/>
        <v>4</v>
      </c>
      <c r="C1280" s="80">
        <v>42490</v>
      </c>
      <c r="D1280" s="80" t="s">
        <v>582</v>
      </c>
      <c r="E1280" s="80">
        <v>42475</v>
      </c>
      <c r="F1280" s="82" t="s">
        <v>1081</v>
      </c>
      <c r="G1280" s="985" t="s">
        <v>1418</v>
      </c>
      <c r="H1280" s="82" t="s">
        <v>631</v>
      </c>
      <c r="I1280" s="437"/>
      <c r="J1280" s="437"/>
      <c r="K1280" s="428"/>
      <c r="L1280" s="437"/>
      <c r="M1280" s="83">
        <v>6218860</v>
      </c>
      <c r="N1280" s="84" t="s">
        <v>591</v>
      </c>
      <c r="O1280" s="84" t="s">
        <v>8</v>
      </c>
      <c r="P1280" s="84" t="str">
        <f>IF(AND('331-CT'!$E$7=TH!H1280,OR(N1280="331",O1280="331")),"x","")</f>
        <v/>
      </c>
      <c r="Q1280" s="84" t="str">
        <f>IF(AND(B1280='111'!$L$11,OR($N1280=$Q$7,$O1280=$Q$7)),"x","")</f>
        <v/>
      </c>
      <c r="R1280" s="84" t="str">
        <f>IF(AND($N1280=$Q$7,$B1280&lt;'111'!$L$11),"x","")</f>
        <v/>
      </c>
      <c r="S1280" s="84" t="str">
        <f>IF(AND($O1280=$Q$7,$B1280&lt;'111'!$L$11),"x","")</f>
        <v/>
      </c>
      <c r="T1280" s="84" t="str">
        <f>IF(ISERROR(FIND('112'!$M$9,G1280,1)),"",IF((AND(FIND('112'!$M$9,G1280,1)&gt;=1,B1280='112'!$K$9,OR($N1280='112'!$I$6,$O1280='112'!$I$6))),"x",""))</f>
        <v/>
      </c>
      <c r="U1280" s="84" t="str">
        <f>IF(ISERROR(FIND('112'!$M$9,G1280,1)),"",IF((AND(LEFT(G1280,2)=LEFT('112'!$M$9,2),B1280&lt;'112'!$K$9,$N1280='112'!$I$6)),"x",""))</f>
        <v/>
      </c>
      <c r="V1280" s="84" t="str">
        <f>IF(ISERROR(FIND('112'!$M$9,G1280,1)),"",IF((AND(RIGHT(G1280,2)=RIGHT('112'!$M$9,2),B1280&lt;'112'!$K$9,$O1280='112'!$I$6)),"x",""))</f>
        <v/>
      </c>
      <c r="W1280" s="84" t="str">
        <f>IF(AND('341-CT'!$H$9=H1280,OR(LEFT(N1280,3)=$W$7,LEFT(O1280,3)=$W$7)),"x","")</f>
        <v/>
      </c>
      <c r="X1280" s="84" t="str">
        <f>IF(OR(TH!N1280=TH!$X$7,O1280=TH!$X$7),"x","")</f>
        <v/>
      </c>
      <c r="Y1280" s="84" t="str">
        <f>IF(AND(OR(N1280="131",O1280="131"),H1280='131-CT'!$H$9),"x","")</f>
        <v/>
      </c>
      <c r="Z1280" s="84"/>
      <c r="AA1280" s="84" t="str">
        <f>IF(AND(MONTH(E1280)='IN-NX'!$J$5,'IN-NX'!$D$7=D1280),"x","")</f>
        <v/>
      </c>
      <c r="AB1280" s="84" t="str">
        <f>IF(AND(OR(LEFT(TH!N1280,2)="15",LEFT(TH!O1280,2)="15"),LEFT(TH!O1280,3)&lt;&gt;"111",'152-CT'!$J$8=TH!F1280),"x","")</f>
        <v/>
      </c>
      <c r="AC1280" s="84" t="str">
        <f>IF(AND(OR(LEFT(TH!N1280,2)="15",LEFT(TH!O1280,2)="15"),TK!$E$7=TH!F1280),"x","")</f>
        <v/>
      </c>
      <c r="AD1280" s="84" t="str">
        <f>IF(AND(N1280="1521",MONTH(C1280)='BK-NL'!$M$11),"x","")</f>
        <v/>
      </c>
      <c r="AE1280" s="343" t="str">
        <f t="shared" si="190"/>
        <v>x</v>
      </c>
    </row>
    <row r="1281" spans="1:31" s="347" customFormat="1" ht="15.75" hidden="1" customHeight="1">
      <c r="A1281" s="1176" t="str">
        <f>IF(B1281&lt;&gt;"",IF(AND(B1281='IN-TC'!$S$4,OR(TH!N1281="1111",TH!O1281="1111")),TH!D1281,""),"")</f>
        <v/>
      </c>
      <c r="B1281" s="1003">
        <f t="shared" si="188"/>
        <v>4</v>
      </c>
      <c r="C1281" s="80">
        <v>42490</v>
      </c>
      <c r="D1281" s="80" t="s">
        <v>582</v>
      </c>
      <c r="E1281" s="80">
        <v>42475</v>
      </c>
      <c r="F1281" s="82" t="s">
        <v>1082</v>
      </c>
      <c r="G1281" s="985" t="s">
        <v>1418</v>
      </c>
      <c r="H1281" s="82" t="s">
        <v>631</v>
      </c>
      <c r="I1281" s="437"/>
      <c r="J1281" s="437"/>
      <c r="K1281" s="428"/>
      <c r="L1281" s="437"/>
      <c r="M1281" s="83">
        <v>621886</v>
      </c>
      <c r="N1281" s="1128" t="s">
        <v>9</v>
      </c>
      <c r="O1281" s="84" t="s">
        <v>8</v>
      </c>
      <c r="P1281" s="84" t="str">
        <f>IF(AND('331-CT'!$E$7=TH!H1281,OR(N1281="331",O1281="331")),"x","")</f>
        <v/>
      </c>
      <c r="Q1281" s="84" t="str">
        <f>IF(AND(B1281='111'!$L$11,OR($N1281=$Q$7,$O1281=$Q$7)),"x","")</f>
        <v/>
      </c>
      <c r="R1281" s="84" t="str">
        <f>IF(AND($N1281=$Q$7,$B1281&lt;'111'!$L$11),"x","")</f>
        <v/>
      </c>
      <c r="S1281" s="84" t="str">
        <f>IF(AND($O1281=$Q$7,$B1281&lt;'111'!$L$11),"x","")</f>
        <v/>
      </c>
      <c r="T1281" s="84" t="str">
        <f>IF(ISERROR(FIND('112'!$M$9,G1281,1)),"",IF((AND(FIND('112'!$M$9,G1281,1)&gt;=1,B1281='112'!$K$9,OR($N1281='112'!$I$6,$O1281='112'!$I$6))),"x",""))</f>
        <v/>
      </c>
      <c r="U1281" s="84" t="str">
        <f>IF(ISERROR(FIND('112'!$M$9,G1281,1)),"",IF((AND(LEFT(G1281,2)=LEFT('112'!$M$9,2),B1281&lt;'112'!$K$9,$N1281='112'!$I$6)),"x",""))</f>
        <v/>
      </c>
      <c r="V1281" s="84" t="str">
        <f>IF(ISERROR(FIND('112'!$M$9,G1281,1)),"",IF((AND(RIGHT(G1281,2)=RIGHT('112'!$M$9,2),B1281&lt;'112'!$K$9,$O1281='112'!$I$6)),"x",""))</f>
        <v/>
      </c>
      <c r="W1281" s="84" t="str">
        <f>IF(AND('341-CT'!$H$9=H1281,OR(LEFT(N1281,3)=$W$7,LEFT(O1281,3)=$W$7)),"x","")</f>
        <v/>
      </c>
      <c r="X1281" s="84" t="str">
        <f>IF(OR(TH!N1281=TH!$X$7,O1281=TH!$X$7),"x","")</f>
        <v/>
      </c>
      <c r="Y1281" s="84" t="str">
        <f>IF(AND(OR(N1281="131",O1281="131"),H1281='131-CT'!$H$9),"x","")</f>
        <v/>
      </c>
      <c r="Z1281" s="84"/>
      <c r="AA1281" s="84" t="str">
        <f>IF(AND(MONTH(E1281)='IN-NX'!$J$5,'IN-NX'!$D$7=D1281),"x","")</f>
        <v/>
      </c>
      <c r="AB1281" s="84" t="str">
        <f>IF(AND(OR(LEFT(TH!N1281,2)="15",LEFT(TH!O1281,2)="15"),LEFT(TH!O1281,3)&lt;&gt;"111",'152-CT'!$J$8=TH!F1281),"x","")</f>
        <v/>
      </c>
      <c r="AC1281" s="84" t="str">
        <f>IF(AND(OR(LEFT(TH!N1281,2)="15",LEFT(TH!O1281,2)="15"),TK!$E$7=TH!F1281),"x","")</f>
        <v/>
      </c>
      <c r="AD1281" s="84" t="str">
        <f>IF(AND(N1281="1521",MONTH(C1281)='BK-NL'!$M$11),"x","")</f>
        <v/>
      </c>
      <c r="AE1281" s="343" t="str">
        <f t="shared" si="190"/>
        <v>x</v>
      </c>
    </row>
    <row r="1282" spans="1:31" s="347" customFormat="1" ht="15.75" hidden="1" customHeight="1">
      <c r="A1282" s="1176" t="str">
        <f>IF(B1282&lt;&gt;"",IF(AND(B1282='IN-TC'!$S$4,OR(TH!N1282="1111",TH!O1282="1111")),TH!D1282,""),"")</f>
        <v/>
      </c>
      <c r="B1282" s="1003">
        <f>IF(C1282&lt;&gt;"",MONTH(C1282),"")</f>
        <v>4</v>
      </c>
      <c r="C1282" s="80">
        <v>42490</v>
      </c>
      <c r="D1282" s="80" t="s">
        <v>582</v>
      </c>
      <c r="E1282" s="80">
        <v>42488</v>
      </c>
      <c r="F1282" s="82" t="s">
        <v>1431</v>
      </c>
      <c r="G1282" s="985" t="s">
        <v>1433</v>
      </c>
      <c r="H1282" s="82" t="s">
        <v>1434</v>
      </c>
      <c r="I1282" s="437"/>
      <c r="J1282" s="437"/>
      <c r="K1282" s="428"/>
      <c r="L1282" s="437"/>
      <c r="M1282" s="83">
        <v>7200000</v>
      </c>
      <c r="N1282" s="1128" t="s">
        <v>101</v>
      </c>
      <c r="O1282" s="84" t="s">
        <v>8</v>
      </c>
      <c r="P1282" s="84" t="str">
        <f>IF(AND('331-CT'!$E$7=TH!H1282,OR(N1282="331",O1282="331")),"x","")</f>
        <v/>
      </c>
      <c r="Q1282" s="84" t="str">
        <f>IF(AND(B1282='111'!$L$11,OR($N1282=$Q$7,$O1282=$Q$7)),"x","")</f>
        <v/>
      </c>
      <c r="R1282" s="84" t="str">
        <f>IF(AND($N1282=$Q$7,$B1282&lt;'111'!$L$11),"x","")</f>
        <v/>
      </c>
      <c r="S1282" s="84" t="str">
        <f>IF(AND($O1282=$Q$7,$B1282&lt;'111'!$L$11),"x","")</f>
        <v/>
      </c>
      <c r="T1282" s="84" t="str">
        <f>IF(ISERROR(FIND('112'!$M$9,G1282,1)),"",IF((AND(FIND('112'!$M$9,G1282,1)&gt;=1,B1282='112'!$K$9,OR($N1282='112'!$I$6,$O1282='112'!$I$6))),"x",""))</f>
        <v/>
      </c>
      <c r="U1282" s="84" t="str">
        <f>IF(ISERROR(FIND('112'!$M$9,G1282,1)),"",IF((AND(LEFT(G1282,2)=LEFT('112'!$M$9,2),B1282&lt;'112'!$K$9,$N1282='112'!$I$6)),"x",""))</f>
        <v/>
      </c>
      <c r="V1282" s="84" t="str">
        <f>IF(ISERROR(FIND('112'!$M$9,G1282,1)),"",IF((AND(RIGHT(G1282,2)=RIGHT('112'!$M$9,2),B1282&lt;'112'!$K$9,$O1282='112'!$I$6)),"x",""))</f>
        <v/>
      </c>
      <c r="W1282" s="84" t="str">
        <f>IF(AND('341-CT'!$H$9=H1282,OR(LEFT(N1282,3)=$W$7,LEFT(O1282,3)=$W$7)),"x","")</f>
        <v/>
      </c>
      <c r="X1282" s="84" t="str">
        <f>IF(OR(TH!N1282=TH!$X$7,O1282=TH!$X$7),"x","")</f>
        <v/>
      </c>
      <c r="Y1282" s="84" t="str">
        <f>IF(AND(OR(N1282="131",O1282="131"),H1282='131-CT'!$H$9),"x","")</f>
        <v/>
      </c>
      <c r="Z1282" s="84"/>
      <c r="AA1282" s="84" t="str">
        <f>IF(AND(MONTH(E1282)='IN-NX'!$J$5,'IN-NX'!$D$7=D1282),"x","")</f>
        <v/>
      </c>
      <c r="AB1282" s="84" t="str">
        <f>IF(AND(OR(LEFT(TH!N1282,2)="15",LEFT(TH!O1282,2)="15"),LEFT(TH!O1282,3)&lt;&gt;"111",'152-CT'!$J$8=TH!F1282),"x","")</f>
        <v/>
      </c>
      <c r="AC1282" s="84" t="str">
        <f>IF(AND(OR(LEFT(TH!N1282,2)="15",LEFT(TH!O1282,2)="15"),TK!$E$7=TH!F1282),"x","")</f>
        <v/>
      </c>
      <c r="AD1282" s="84" t="str">
        <f>IF(AND(N1282="1521",MONTH(C1282)='BK-NL'!$M$11),"x","")</f>
        <v/>
      </c>
      <c r="AE1282" s="343" t="str">
        <f t="shared" si="190"/>
        <v>x</v>
      </c>
    </row>
    <row r="1283" spans="1:31" s="347" customFormat="1" ht="15.75" hidden="1" customHeight="1">
      <c r="A1283" s="1176" t="str">
        <f>IF(B1283&lt;&gt;"",IF(AND(B1283='IN-TC'!$S$4,OR(TH!N1283="1111",TH!O1283="1111")),TH!D1283,""),"")</f>
        <v/>
      </c>
      <c r="B1283" s="1003">
        <f>IF(C1283&lt;&gt;"",MONTH(C1283),"")</f>
        <v>4</v>
      </c>
      <c r="C1283" s="80">
        <v>42490</v>
      </c>
      <c r="D1283" s="80" t="s">
        <v>582</v>
      </c>
      <c r="E1283" s="80">
        <v>42488</v>
      </c>
      <c r="F1283" s="82" t="s">
        <v>1432</v>
      </c>
      <c r="G1283" s="985" t="s">
        <v>1433</v>
      </c>
      <c r="H1283" s="82" t="s">
        <v>1434</v>
      </c>
      <c r="I1283" s="437"/>
      <c r="J1283" s="437"/>
      <c r="K1283" s="428"/>
      <c r="L1283" s="437"/>
      <c r="M1283" s="83">
        <v>720000</v>
      </c>
      <c r="N1283" s="1128" t="s">
        <v>9</v>
      </c>
      <c r="O1283" s="84" t="s">
        <v>8</v>
      </c>
      <c r="P1283" s="84" t="str">
        <f>IF(AND('331-CT'!$E$7=TH!H1283,OR(N1283="331",O1283="331")),"x","")</f>
        <v/>
      </c>
      <c r="Q1283" s="84" t="str">
        <f>IF(AND(B1283='111'!$L$11,OR($N1283=$Q$7,$O1283=$Q$7)),"x","")</f>
        <v/>
      </c>
      <c r="R1283" s="84" t="str">
        <f>IF(AND($N1283=$Q$7,$B1283&lt;'111'!$L$11),"x","")</f>
        <v/>
      </c>
      <c r="S1283" s="84" t="str">
        <f>IF(AND($O1283=$Q$7,$B1283&lt;'111'!$L$11),"x","")</f>
        <v/>
      </c>
      <c r="T1283" s="84" t="str">
        <f>IF(ISERROR(FIND('112'!$M$9,G1283,1)),"",IF((AND(FIND('112'!$M$9,G1283,1)&gt;=1,B1283='112'!$K$9,OR($N1283='112'!$I$6,$O1283='112'!$I$6))),"x",""))</f>
        <v/>
      </c>
      <c r="U1283" s="84" t="str">
        <f>IF(ISERROR(FIND('112'!$M$9,G1283,1)),"",IF((AND(LEFT(G1283,2)=LEFT('112'!$M$9,2),B1283&lt;'112'!$K$9,$N1283='112'!$I$6)),"x",""))</f>
        <v/>
      </c>
      <c r="V1283" s="84" t="str">
        <f>IF(ISERROR(FIND('112'!$M$9,G1283,1)),"",IF((AND(RIGHT(G1283,2)=RIGHT('112'!$M$9,2),B1283&lt;'112'!$K$9,$O1283='112'!$I$6)),"x",""))</f>
        <v/>
      </c>
      <c r="W1283" s="84" t="str">
        <f>IF(AND('341-CT'!$H$9=H1283,OR(LEFT(N1283,3)=$W$7,LEFT(O1283,3)=$W$7)),"x","")</f>
        <v/>
      </c>
      <c r="X1283" s="84" t="str">
        <f>IF(OR(TH!N1283=TH!$X$7,O1283=TH!$X$7),"x","")</f>
        <v/>
      </c>
      <c r="Y1283" s="84" t="str">
        <f>IF(AND(OR(N1283="131",O1283="131"),H1283='131-CT'!$H$9),"x","")</f>
        <v/>
      </c>
      <c r="Z1283" s="84"/>
      <c r="AA1283" s="84" t="str">
        <f>IF(AND(MONTH(E1283)='IN-NX'!$J$5,'IN-NX'!$D$7=D1283),"x","")</f>
        <v/>
      </c>
      <c r="AB1283" s="84" t="str">
        <f>IF(AND(OR(LEFT(TH!N1283,2)="15",LEFT(TH!O1283,2)="15"),LEFT(TH!O1283,3)&lt;&gt;"111",'152-CT'!$J$8=TH!F1283),"x","")</f>
        <v/>
      </c>
      <c r="AC1283" s="84" t="str">
        <f>IF(AND(OR(LEFT(TH!N1283,2)="15",LEFT(TH!O1283,2)="15"),TK!$E$7=TH!F1283),"x","")</f>
        <v/>
      </c>
      <c r="AD1283" s="84" t="str">
        <f>IF(AND(N1283="1521",MONTH(C1283)='BK-NL'!$M$11),"x","")</f>
        <v/>
      </c>
      <c r="AE1283" s="343" t="str">
        <f t="shared" si="190"/>
        <v>x</v>
      </c>
    </row>
    <row r="1284" spans="1:31" s="347" customFormat="1" ht="15.75" hidden="1" customHeight="1">
      <c r="A1284" s="1176" t="str">
        <f>IF(B1284&lt;&gt;"",IF(AND(B1284='IN-TC'!$S$4,OR(TH!N1284="1111",TH!O1284="1111")),TH!D1284,""),"")</f>
        <v/>
      </c>
      <c r="B1284" s="1003">
        <f t="shared" ref="B1284:B1294" si="191">IF(C1284&lt;&gt;"",MONTH(C1284),"")</f>
        <v>4</v>
      </c>
      <c r="C1284" s="80">
        <v>42490</v>
      </c>
      <c r="D1284" s="80" t="s">
        <v>582</v>
      </c>
      <c r="E1284" s="80">
        <v>42485</v>
      </c>
      <c r="F1284" s="82" t="s">
        <v>638</v>
      </c>
      <c r="G1284" s="985" t="s">
        <v>1461</v>
      </c>
      <c r="H1284" s="82" t="s">
        <v>629</v>
      </c>
      <c r="I1284" s="437"/>
      <c r="J1284" s="437"/>
      <c r="K1284" s="428"/>
      <c r="L1284" s="437"/>
      <c r="M1284" s="83">
        <v>1095000</v>
      </c>
      <c r="N1284" s="1128" t="s">
        <v>591</v>
      </c>
      <c r="O1284" s="84" t="s">
        <v>8</v>
      </c>
      <c r="P1284" s="84" t="str">
        <f>IF(AND('331-CT'!$E$7=TH!H1284,OR(N1284="331",O1284="331")),"x","")</f>
        <v/>
      </c>
      <c r="Q1284" s="84" t="str">
        <f>IF(AND(B1284='111'!$L$11,OR($N1284=$Q$7,$O1284=$Q$7)),"x","")</f>
        <v/>
      </c>
      <c r="R1284" s="84" t="str">
        <f>IF(AND($N1284=$Q$7,$B1284&lt;'111'!$L$11),"x","")</f>
        <v/>
      </c>
      <c r="S1284" s="84" t="str">
        <f>IF(AND($O1284=$Q$7,$B1284&lt;'111'!$L$11),"x","")</f>
        <v/>
      </c>
      <c r="T1284" s="84" t="str">
        <f>IF(ISERROR(FIND('112'!$M$9,G1284,1)),"",IF((AND(FIND('112'!$M$9,G1284,1)&gt;=1,B1284='112'!$K$9,OR($N1284='112'!$I$6,$O1284='112'!$I$6))),"x",""))</f>
        <v/>
      </c>
      <c r="U1284" s="84" t="str">
        <f>IF(ISERROR(FIND('112'!$M$9,G1284,1)),"",IF((AND(LEFT(G1284,2)=LEFT('112'!$M$9,2),B1284&lt;'112'!$K$9,$N1284='112'!$I$6)),"x",""))</f>
        <v/>
      </c>
      <c r="V1284" s="84" t="str">
        <f>IF(ISERROR(FIND('112'!$M$9,G1284,1)),"",IF((AND(RIGHT(G1284,2)=RIGHT('112'!$M$9,2),B1284&lt;'112'!$K$9,$O1284='112'!$I$6)),"x",""))</f>
        <v/>
      </c>
      <c r="W1284" s="84" t="str">
        <f>IF(AND('341-CT'!$H$9=H1284,OR(LEFT(N1284,3)=$W$7,LEFT(O1284,3)=$W$7)),"x","")</f>
        <v/>
      </c>
      <c r="X1284" s="84" t="str">
        <f>IF(OR(TH!N1284=TH!$X$7,O1284=TH!$X$7),"x","")</f>
        <v/>
      </c>
      <c r="Y1284" s="84" t="str">
        <f>IF(AND(OR(N1284="131",O1284="131"),H1284='131-CT'!$H$9),"x","")</f>
        <v/>
      </c>
      <c r="Z1284" s="84"/>
      <c r="AA1284" s="84" t="str">
        <f>IF(AND(MONTH(E1284)='IN-NX'!$J$5,'IN-NX'!$D$7=D1284),"x","")</f>
        <v/>
      </c>
      <c r="AB1284" s="84" t="str">
        <f>IF(AND(OR(LEFT(TH!N1284,2)="15",LEFT(TH!O1284,2)="15"),LEFT(TH!O1284,3)&lt;&gt;"111",'152-CT'!$J$8=TH!F1284),"x","")</f>
        <v/>
      </c>
      <c r="AC1284" s="84" t="str">
        <f>IF(AND(OR(LEFT(TH!N1284,2)="15",LEFT(TH!O1284,2)="15"),TK!$E$7=TH!F1284),"x","")</f>
        <v/>
      </c>
      <c r="AD1284" s="84" t="str">
        <f>IF(AND(N1284="1521",MONTH(C1284)='BK-NL'!$M$11),"x","")</f>
        <v/>
      </c>
      <c r="AE1284" s="343" t="str">
        <f t="shared" si="190"/>
        <v>x</v>
      </c>
    </row>
    <row r="1285" spans="1:31" s="347" customFormat="1" ht="15.75" hidden="1" customHeight="1">
      <c r="A1285" s="1176" t="str">
        <f>IF(B1285&lt;&gt;"",IF(AND(B1285='IN-TC'!$S$4,OR(TH!N1285="1111",TH!O1285="1111")),TH!D1285,""),"")</f>
        <v/>
      </c>
      <c r="B1285" s="1003">
        <f t="shared" si="191"/>
        <v>4</v>
      </c>
      <c r="C1285" s="80">
        <v>42490</v>
      </c>
      <c r="D1285" s="80" t="s">
        <v>582</v>
      </c>
      <c r="E1285" s="80">
        <v>42485</v>
      </c>
      <c r="F1285" s="82" t="s">
        <v>638</v>
      </c>
      <c r="G1285" s="985" t="s">
        <v>1462</v>
      </c>
      <c r="H1285" s="82" t="s">
        <v>629</v>
      </c>
      <c r="I1285" s="437"/>
      <c r="J1285" s="437"/>
      <c r="K1285" s="428"/>
      <c r="L1285" s="437"/>
      <c r="M1285" s="83">
        <v>780000</v>
      </c>
      <c r="N1285" s="1128" t="s">
        <v>591</v>
      </c>
      <c r="O1285" s="84" t="s">
        <v>8</v>
      </c>
      <c r="P1285" s="84" t="str">
        <f>IF(AND('331-CT'!$E$7=TH!H1285,OR(N1285="331",O1285="331")),"x","")</f>
        <v/>
      </c>
      <c r="Q1285" s="84" t="str">
        <f>IF(AND(B1285='111'!$L$11,OR($N1285=$Q$7,$O1285=$Q$7)),"x","")</f>
        <v/>
      </c>
      <c r="R1285" s="84" t="str">
        <f>IF(AND($N1285=$Q$7,$B1285&lt;'111'!$L$11),"x","")</f>
        <v/>
      </c>
      <c r="S1285" s="84" t="str">
        <f>IF(AND($O1285=$Q$7,$B1285&lt;'111'!$L$11),"x","")</f>
        <v/>
      </c>
      <c r="T1285" s="84" t="str">
        <f>IF(ISERROR(FIND('112'!$M$9,G1285,1)),"",IF((AND(FIND('112'!$M$9,G1285,1)&gt;=1,B1285='112'!$K$9,OR($N1285='112'!$I$6,$O1285='112'!$I$6))),"x",""))</f>
        <v/>
      </c>
      <c r="U1285" s="84" t="str">
        <f>IF(ISERROR(FIND('112'!$M$9,G1285,1)),"",IF((AND(LEFT(G1285,2)=LEFT('112'!$M$9,2),B1285&lt;'112'!$K$9,$N1285='112'!$I$6)),"x",""))</f>
        <v/>
      </c>
      <c r="V1285" s="84" t="str">
        <f>IF(ISERROR(FIND('112'!$M$9,G1285,1)),"",IF((AND(RIGHT(G1285,2)=RIGHT('112'!$M$9,2),B1285&lt;'112'!$K$9,$O1285='112'!$I$6)),"x",""))</f>
        <v/>
      </c>
      <c r="W1285" s="84" t="str">
        <f>IF(AND('341-CT'!$H$9=H1285,OR(LEFT(N1285,3)=$W$7,LEFT(O1285,3)=$W$7)),"x","")</f>
        <v/>
      </c>
      <c r="X1285" s="84" t="str">
        <f>IF(OR(TH!N1285=TH!$X$7,O1285=TH!$X$7),"x","")</f>
        <v/>
      </c>
      <c r="Y1285" s="84" t="str">
        <f>IF(AND(OR(N1285="131",O1285="131"),H1285='131-CT'!$H$9),"x","")</f>
        <v/>
      </c>
      <c r="Z1285" s="84"/>
      <c r="AA1285" s="84" t="str">
        <f>IF(AND(MONTH(E1285)='IN-NX'!$J$5,'IN-NX'!$D$7=D1285),"x","")</f>
        <v/>
      </c>
      <c r="AB1285" s="84" t="str">
        <f>IF(AND(OR(LEFT(TH!N1285,2)="15",LEFT(TH!O1285,2)="15"),LEFT(TH!O1285,3)&lt;&gt;"111",'152-CT'!$J$8=TH!F1285),"x","")</f>
        <v/>
      </c>
      <c r="AC1285" s="84" t="str">
        <f>IF(AND(OR(LEFT(TH!N1285,2)="15",LEFT(TH!O1285,2)="15"),TK!$E$7=TH!F1285),"x","")</f>
        <v/>
      </c>
      <c r="AD1285" s="84" t="str">
        <f>IF(AND(N1285="1521",MONTH(C1285)='BK-NL'!$M$11),"x","")</f>
        <v/>
      </c>
      <c r="AE1285" s="343" t="str">
        <f t="shared" si="190"/>
        <v>x</v>
      </c>
    </row>
    <row r="1286" spans="1:31" s="347" customFormat="1" ht="15.75" hidden="1" customHeight="1">
      <c r="A1286" s="1176" t="str">
        <f>IF(B1286&lt;&gt;"",IF(AND(B1286='IN-TC'!$S$4,OR(TH!N1286="1111",TH!O1286="1111")),TH!D1286,""),"")</f>
        <v/>
      </c>
      <c r="B1286" s="1003">
        <f t="shared" si="191"/>
        <v>4</v>
      </c>
      <c r="C1286" s="80">
        <v>42490</v>
      </c>
      <c r="D1286" s="80" t="s">
        <v>582</v>
      </c>
      <c r="E1286" s="80">
        <v>42482</v>
      </c>
      <c r="F1286" s="82" t="s">
        <v>638</v>
      </c>
      <c r="G1286" s="985" t="s">
        <v>1463</v>
      </c>
      <c r="H1286" s="82" t="s">
        <v>629</v>
      </c>
      <c r="I1286" s="437"/>
      <c r="J1286" s="437"/>
      <c r="K1286" s="428"/>
      <c r="L1286" s="437"/>
      <c r="M1286" s="83">
        <v>1110000</v>
      </c>
      <c r="N1286" s="1128" t="s">
        <v>591</v>
      </c>
      <c r="O1286" s="84" t="s">
        <v>8</v>
      </c>
      <c r="P1286" s="84" t="str">
        <f>IF(AND('331-CT'!$E$7=TH!H1286,OR(N1286="331",O1286="331")),"x","")</f>
        <v/>
      </c>
      <c r="Q1286" s="84" t="str">
        <f>IF(AND(B1286='111'!$L$11,OR($N1286=$Q$7,$O1286=$Q$7)),"x","")</f>
        <v/>
      </c>
      <c r="R1286" s="84" t="str">
        <f>IF(AND($N1286=$Q$7,$B1286&lt;'111'!$L$11),"x","")</f>
        <v/>
      </c>
      <c r="S1286" s="84" t="str">
        <f>IF(AND($O1286=$Q$7,$B1286&lt;'111'!$L$11),"x","")</f>
        <v/>
      </c>
      <c r="T1286" s="84" t="str">
        <f>IF(ISERROR(FIND('112'!$M$9,G1286,1)),"",IF((AND(FIND('112'!$M$9,G1286,1)&gt;=1,B1286='112'!$K$9,OR($N1286='112'!$I$6,$O1286='112'!$I$6))),"x",""))</f>
        <v/>
      </c>
      <c r="U1286" s="84" t="str">
        <f>IF(ISERROR(FIND('112'!$M$9,G1286,1)),"",IF((AND(LEFT(G1286,2)=LEFT('112'!$M$9,2),B1286&lt;'112'!$K$9,$N1286='112'!$I$6)),"x",""))</f>
        <v/>
      </c>
      <c r="V1286" s="84" t="str">
        <f>IF(ISERROR(FIND('112'!$M$9,G1286,1)),"",IF((AND(RIGHT(G1286,2)=RIGHT('112'!$M$9,2),B1286&lt;'112'!$K$9,$O1286='112'!$I$6)),"x",""))</f>
        <v/>
      </c>
      <c r="W1286" s="84" t="str">
        <f>IF(AND('341-CT'!$H$9=H1286,OR(LEFT(N1286,3)=$W$7,LEFT(O1286,3)=$W$7)),"x","")</f>
        <v/>
      </c>
      <c r="X1286" s="84" t="str">
        <f>IF(OR(TH!N1286=TH!$X$7,O1286=TH!$X$7),"x","")</f>
        <v/>
      </c>
      <c r="Y1286" s="84" t="str">
        <f>IF(AND(OR(N1286="131",O1286="131"),H1286='131-CT'!$H$9),"x","")</f>
        <v/>
      </c>
      <c r="Z1286" s="84"/>
      <c r="AA1286" s="84" t="str">
        <f>IF(AND(MONTH(E1286)='IN-NX'!$J$5,'IN-NX'!$D$7=D1286),"x","")</f>
        <v/>
      </c>
      <c r="AB1286" s="84" t="str">
        <f>IF(AND(OR(LEFT(TH!N1286,2)="15",LEFT(TH!O1286,2)="15"),LEFT(TH!O1286,3)&lt;&gt;"111",'152-CT'!$J$8=TH!F1286),"x","")</f>
        <v/>
      </c>
      <c r="AC1286" s="84" t="str">
        <f>IF(AND(OR(LEFT(TH!N1286,2)="15",LEFT(TH!O1286,2)="15"),TK!$E$7=TH!F1286),"x","")</f>
        <v/>
      </c>
      <c r="AD1286" s="84" t="str">
        <f>IF(AND(N1286="1521",MONTH(C1286)='BK-NL'!$M$11),"x","")</f>
        <v/>
      </c>
      <c r="AE1286" s="343" t="str">
        <f t="shared" si="190"/>
        <v>x</v>
      </c>
    </row>
    <row r="1287" spans="1:31" s="347" customFormat="1" ht="15.75" hidden="1" customHeight="1">
      <c r="A1287" s="1176" t="str">
        <f>IF(B1287&lt;&gt;"",IF(AND(B1287='IN-TC'!$S$4,OR(TH!N1287="1111",TH!O1287="1111")),TH!D1287,""),"")</f>
        <v/>
      </c>
      <c r="B1287" s="1003">
        <f t="shared" si="191"/>
        <v>4</v>
      </c>
      <c r="C1287" s="80">
        <v>42490</v>
      </c>
      <c r="D1287" s="1134" t="s">
        <v>582</v>
      </c>
      <c r="E1287" s="1134">
        <v>42466</v>
      </c>
      <c r="F1287" s="82" t="s">
        <v>1464</v>
      </c>
      <c r="G1287" s="1004" t="s">
        <v>1470</v>
      </c>
      <c r="H1287" s="322" t="s">
        <v>632</v>
      </c>
      <c r="I1287" s="437"/>
      <c r="J1287" s="437"/>
      <c r="K1287" s="428"/>
      <c r="L1287" s="437"/>
      <c r="M1287" s="83">
        <v>23841200</v>
      </c>
      <c r="N1287" s="1128" t="s">
        <v>282</v>
      </c>
      <c r="O1287" s="84" t="s">
        <v>8</v>
      </c>
      <c r="P1287" s="84" t="str">
        <f>IF(AND('331-CT'!$E$7=TH!H1287,OR(N1287="331",O1287="331")),"x","")</f>
        <v/>
      </c>
      <c r="Q1287" s="84" t="str">
        <f>IF(AND(B1287='111'!$L$11,OR($N1287=$Q$7,$O1287=$Q$7)),"x","")</f>
        <v/>
      </c>
      <c r="R1287" s="84" t="str">
        <f>IF(AND($N1287=$Q$7,$B1287&lt;'111'!$L$11),"x","")</f>
        <v/>
      </c>
      <c r="S1287" s="84" t="str">
        <f>IF(AND($O1287=$Q$7,$B1287&lt;'111'!$L$11),"x","")</f>
        <v/>
      </c>
      <c r="T1287" s="84" t="str">
        <f>IF(ISERROR(FIND('112'!$M$9,G1287,1)),"",IF((AND(FIND('112'!$M$9,G1287,1)&gt;=1,B1287='112'!$K$9,OR($N1287='112'!$I$6,$O1287='112'!$I$6))),"x",""))</f>
        <v/>
      </c>
      <c r="U1287" s="84" t="str">
        <f>IF(ISERROR(FIND('112'!$M$9,G1287,1)),"",IF((AND(LEFT(G1287,2)=LEFT('112'!$M$9,2),B1287&lt;'112'!$K$9,$N1287='112'!$I$6)),"x",""))</f>
        <v/>
      </c>
      <c r="V1287" s="84" t="str">
        <f>IF(ISERROR(FIND('112'!$M$9,G1287,1)),"",IF((AND(RIGHT(G1287,2)=RIGHT('112'!$M$9,2),B1287&lt;'112'!$K$9,$O1287='112'!$I$6)),"x",""))</f>
        <v/>
      </c>
      <c r="W1287" s="84" t="str">
        <f>IF(AND('341-CT'!$H$9=H1287,OR(LEFT(N1287,3)=$W$7,LEFT(O1287,3)=$W$7)),"x","")</f>
        <v/>
      </c>
      <c r="X1287" s="84" t="str">
        <f>IF(OR(TH!N1287=TH!$X$7,O1287=TH!$X$7),"x","")</f>
        <v/>
      </c>
      <c r="Y1287" s="84" t="str">
        <f>IF(AND(OR(N1287="131",O1287="131"),H1287='131-CT'!$H$9),"x","")</f>
        <v/>
      </c>
      <c r="Z1287" s="84"/>
      <c r="AA1287" s="84" t="str">
        <f>IF(AND(MONTH(E1287)='IN-NX'!$J$5,'IN-NX'!$D$7=D1287),"x","")</f>
        <v/>
      </c>
      <c r="AB1287" s="84" t="str">
        <f>IF(AND(OR(LEFT(TH!N1287,2)="15",LEFT(TH!O1287,2)="15"),LEFT(TH!O1287,3)&lt;&gt;"111",'152-CT'!$J$8=TH!F1287),"x","")</f>
        <v/>
      </c>
      <c r="AC1287" s="84" t="str">
        <f>IF(AND(OR(LEFT(TH!N1287,2)="15",LEFT(TH!O1287,2)="15"),TK!$E$7=TH!F1287),"x","")</f>
        <v/>
      </c>
      <c r="AD1287" s="84" t="str">
        <f>IF(AND(N1287="1521",MONTH(C1287)='BK-NL'!$M$11),"x","")</f>
        <v/>
      </c>
      <c r="AE1287" s="343" t="str">
        <f t="shared" si="190"/>
        <v>x</v>
      </c>
    </row>
    <row r="1288" spans="1:31" s="347" customFormat="1" ht="15.75" hidden="1" customHeight="1">
      <c r="A1288" s="1176" t="str">
        <f>IF(B1288&lt;&gt;"",IF(AND(B1288='IN-TC'!$S$4,OR(TH!N1288="1111",TH!O1288="1111")),TH!D1288,""),"")</f>
        <v/>
      </c>
      <c r="B1288" s="1003">
        <f t="shared" si="191"/>
        <v>4</v>
      </c>
      <c r="C1288" s="80">
        <v>42490</v>
      </c>
      <c r="D1288" s="1134" t="s">
        <v>582</v>
      </c>
      <c r="E1288" s="1134">
        <v>42466</v>
      </c>
      <c r="F1288" s="82" t="s">
        <v>1465</v>
      </c>
      <c r="G1288" s="1004" t="s">
        <v>1470</v>
      </c>
      <c r="H1288" s="322" t="s">
        <v>632</v>
      </c>
      <c r="I1288" s="437"/>
      <c r="J1288" s="437"/>
      <c r="K1288" s="428"/>
      <c r="L1288" s="437"/>
      <c r="M1288" s="83">
        <v>2384120</v>
      </c>
      <c r="N1288" s="1128" t="s">
        <v>9</v>
      </c>
      <c r="O1288" s="84" t="s">
        <v>8</v>
      </c>
      <c r="P1288" s="84" t="str">
        <f>IF(AND('331-CT'!$E$7=TH!H1288,OR(N1288="331",O1288="331")),"x","")</f>
        <v/>
      </c>
      <c r="Q1288" s="84" t="str">
        <f>IF(AND(B1288='111'!$L$11,OR($N1288=$Q$7,$O1288=$Q$7)),"x","")</f>
        <v/>
      </c>
      <c r="R1288" s="84" t="str">
        <f>IF(AND($N1288=$Q$7,$B1288&lt;'111'!$L$11),"x","")</f>
        <v/>
      </c>
      <c r="S1288" s="84" t="str">
        <f>IF(AND($O1288=$Q$7,$B1288&lt;'111'!$L$11),"x","")</f>
        <v/>
      </c>
      <c r="T1288" s="84" t="str">
        <f>IF(ISERROR(FIND('112'!$M$9,G1288,1)),"",IF((AND(FIND('112'!$M$9,G1288,1)&gt;=1,B1288='112'!$K$9,OR($N1288='112'!$I$6,$O1288='112'!$I$6))),"x",""))</f>
        <v/>
      </c>
      <c r="U1288" s="84" t="str">
        <f>IF(ISERROR(FIND('112'!$M$9,G1288,1)),"",IF((AND(LEFT(G1288,2)=LEFT('112'!$M$9,2),B1288&lt;'112'!$K$9,$N1288='112'!$I$6)),"x",""))</f>
        <v/>
      </c>
      <c r="V1288" s="84" t="str">
        <f>IF(ISERROR(FIND('112'!$M$9,G1288,1)),"",IF((AND(RIGHT(G1288,2)=RIGHT('112'!$M$9,2),B1288&lt;'112'!$K$9,$O1288='112'!$I$6)),"x",""))</f>
        <v/>
      </c>
      <c r="W1288" s="84" t="str">
        <f>IF(AND('341-CT'!$H$9=H1288,OR(LEFT(N1288,3)=$W$7,LEFT(O1288,3)=$W$7)),"x","")</f>
        <v/>
      </c>
      <c r="X1288" s="84" t="str">
        <f>IF(OR(TH!N1288=TH!$X$7,O1288=TH!$X$7),"x","")</f>
        <v/>
      </c>
      <c r="Y1288" s="84" t="str">
        <f>IF(AND(OR(N1288="131",O1288="131"),H1288='131-CT'!$H$9),"x","")</f>
        <v/>
      </c>
      <c r="Z1288" s="84"/>
      <c r="AA1288" s="84" t="str">
        <f>IF(AND(MONTH(E1288)='IN-NX'!$J$5,'IN-NX'!$D$7=D1288),"x","")</f>
        <v/>
      </c>
      <c r="AB1288" s="84" t="str">
        <f>IF(AND(OR(LEFT(TH!N1288,2)="15",LEFT(TH!O1288,2)="15"),LEFT(TH!O1288,3)&lt;&gt;"111",'152-CT'!$J$8=TH!F1288),"x","")</f>
        <v/>
      </c>
      <c r="AC1288" s="84" t="str">
        <f>IF(AND(OR(LEFT(TH!N1288,2)="15",LEFT(TH!O1288,2)="15"),TK!$E$7=TH!F1288),"x","")</f>
        <v/>
      </c>
      <c r="AD1288" s="84" t="str">
        <f>IF(AND(N1288="1521",MONTH(C1288)='BK-NL'!$M$11),"x","")</f>
        <v/>
      </c>
      <c r="AE1288" s="343" t="str">
        <f t="shared" si="190"/>
        <v>x</v>
      </c>
    </row>
    <row r="1289" spans="1:31" s="347" customFormat="1" ht="15.75" hidden="1" customHeight="1">
      <c r="A1289" s="1176" t="str">
        <f>IF(B1289&lt;&gt;"",IF(AND(B1289='IN-TC'!$S$4,OR(TH!N1289="1111",TH!O1289="1111")),TH!D1289,""),"")</f>
        <v/>
      </c>
      <c r="B1289" s="1003">
        <f t="shared" si="191"/>
        <v>4</v>
      </c>
      <c r="C1289" s="80">
        <v>42490</v>
      </c>
      <c r="D1289" s="1134" t="s">
        <v>582</v>
      </c>
      <c r="E1289" s="1134">
        <v>42476</v>
      </c>
      <c r="F1289" s="82" t="s">
        <v>1466</v>
      </c>
      <c r="G1289" s="1004" t="s">
        <v>1471</v>
      </c>
      <c r="H1289" s="322" t="s">
        <v>632</v>
      </c>
      <c r="I1289" s="437"/>
      <c r="J1289" s="437"/>
      <c r="K1289" s="428"/>
      <c r="L1289" s="437"/>
      <c r="M1289" s="83">
        <v>28369800</v>
      </c>
      <c r="N1289" s="1128" t="s">
        <v>282</v>
      </c>
      <c r="O1289" s="84" t="s">
        <v>8</v>
      </c>
      <c r="P1289" s="84" t="str">
        <f>IF(AND('331-CT'!$E$7=TH!H1289,OR(N1289="331",O1289="331")),"x","")</f>
        <v/>
      </c>
      <c r="Q1289" s="84" t="str">
        <f>IF(AND(B1289='111'!$L$11,OR($N1289=$Q$7,$O1289=$Q$7)),"x","")</f>
        <v/>
      </c>
      <c r="R1289" s="84" t="str">
        <f>IF(AND($N1289=$Q$7,$B1289&lt;'111'!$L$11),"x","")</f>
        <v/>
      </c>
      <c r="S1289" s="84" t="str">
        <f>IF(AND($O1289=$Q$7,$B1289&lt;'111'!$L$11),"x","")</f>
        <v/>
      </c>
      <c r="T1289" s="84" t="str">
        <f>IF(ISERROR(FIND('112'!$M$9,G1289,1)),"",IF((AND(FIND('112'!$M$9,G1289,1)&gt;=1,B1289='112'!$K$9,OR($N1289='112'!$I$6,$O1289='112'!$I$6))),"x",""))</f>
        <v/>
      </c>
      <c r="U1289" s="84" t="str">
        <f>IF(ISERROR(FIND('112'!$M$9,G1289,1)),"",IF((AND(LEFT(G1289,2)=LEFT('112'!$M$9,2),B1289&lt;'112'!$K$9,$N1289='112'!$I$6)),"x",""))</f>
        <v/>
      </c>
      <c r="V1289" s="84" t="str">
        <f>IF(ISERROR(FIND('112'!$M$9,G1289,1)),"",IF((AND(RIGHT(G1289,2)=RIGHT('112'!$M$9,2),B1289&lt;'112'!$K$9,$O1289='112'!$I$6)),"x",""))</f>
        <v/>
      </c>
      <c r="W1289" s="84" t="str">
        <f>IF(AND('341-CT'!$H$9=H1289,OR(LEFT(N1289,3)=$W$7,LEFT(O1289,3)=$W$7)),"x","")</f>
        <v/>
      </c>
      <c r="X1289" s="84" t="str">
        <f>IF(OR(TH!N1289=TH!$X$7,O1289=TH!$X$7),"x","")</f>
        <v/>
      </c>
      <c r="Y1289" s="84" t="str">
        <f>IF(AND(OR(N1289="131",O1289="131"),H1289='131-CT'!$H$9),"x","")</f>
        <v/>
      </c>
      <c r="Z1289" s="84"/>
      <c r="AA1289" s="84" t="str">
        <f>IF(AND(MONTH(E1289)='IN-NX'!$J$5,'IN-NX'!$D$7=D1289),"x","")</f>
        <v/>
      </c>
      <c r="AB1289" s="84" t="str">
        <f>IF(AND(OR(LEFT(TH!N1289,2)="15",LEFT(TH!O1289,2)="15"),LEFT(TH!O1289,3)&lt;&gt;"111",'152-CT'!$J$8=TH!F1289),"x","")</f>
        <v/>
      </c>
      <c r="AC1289" s="84" t="str">
        <f>IF(AND(OR(LEFT(TH!N1289,2)="15",LEFT(TH!O1289,2)="15"),TK!$E$7=TH!F1289),"x","")</f>
        <v/>
      </c>
      <c r="AD1289" s="84" t="str">
        <f>IF(AND(N1289="1521",MONTH(C1289)='BK-NL'!$M$11),"x","")</f>
        <v/>
      </c>
      <c r="AE1289" s="343" t="str">
        <f t="shared" si="190"/>
        <v>x</v>
      </c>
    </row>
    <row r="1290" spans="1:31" s="347" customFormat="1" ht="15.75" hidden="1" customHeight="1">
      <c r="A1290" s="1176" t="str">
        <f>IF(B1290&lt;&gt;"",IF(AND(B1290='IN-TC'!$S$4,OR(TH!N1290="1111",TH!O1290="1111")),TH!D1290,""),"")</f>
        <v/>
      </c>
      <c r="B1290" s="1003">
        <f t="shared" si="191"/>
        <v>4</v>
      </c>
      <c r="C1290" s="80">
        <v>42490</v>
      </c>
      <c r="D1290" s="1134" t="s">
        <v>582</v>
      </c>
      <c r="E1290" s="1134">
        <v>42476</v>
      </c>
      <c r="F1290" s="82" t="s">
        <v>1467</v>
      </c>
      <c r="G1290" s="1004" t="s">
        <v>1471</v>
      </c>
      <c r="H1290" s="322" t="s">
        <v>632</v>
      </c>
      <c r="I1290" s="437"/>
      <c r="J1290" s="437"/>
      <c r="K1290" s="428"/>
      <c r="L1290" s="437"/>
      <c r="M1290" s="83">
        <v>2836980</v>
      </c>
      <c r="N1290" s="1128" t="s">
        <v>9</v>
      </c>
      <c r="O1290" s="84" t="s">
        <v>8</v>
      </c>
      <c r="P1290" s="84" t="str">
        <f>IF(AND('331-CT'!$E$7=TH!H1290,OR(N1290="331",O1290="331")),"x","")</f>
        <v/>
      </c>
      <c r="Q1290" s="84" t="str">
        <f>IF(AND(B1290='111'!$L$11,OR($N1290=$Q$7,$O1290=$Q$7)),"x","")</f>
        <v/>
      </c>
      <c r="R1290" s="84" t="str">
        <f>IF(AND($N1290=$Q$7,$B1290&lt;'111'!$L$11),"x","")</f>
        <v/>
      </c>
      <c r="S1290" s="84" t="str">
        <f>IF(AND($O1290=$Q$7,$B1290&lt;'111'!$L$11),"x","")</f>
        <v/>
      </c>
      <c r="T1290" s="84" t="str">
        <f>IF(ISERROR(FIND('112'!$M$9,G1290,1)),"",IF((AND(FIND('112'!$M$9,G1290,1)&gt;=1,B1290='112'!$K$9,OR($N1290='112'!$I$6,$O1290='112'!$I$6))),"x",""))</f>
        <v/>
      </c>
      <c r="U1290" s="84" t="str">
        <f>IF(ISERROR(FIND('112'!$M$9,G1290,1)),"",IF((AND(LEFT(G1290,2)=LEFT('112'!$M$9,2),B1290&lt;'112'!$K$9,$N1290='112'!$I$6)),"x",""))</f>
        <v/>
      </c>
      <c r="V1290" s="84" t="str">
        <f>IF(ISERROR(FIND('112'!$M$9,G1290,1)),"",IF((AND(RIGHT(G1290,2)=RIGHT('112'!$M$9,2),B1290&lt;'112'!$K$9,$O1290='112'!$I$6)),"x",""))</f>
        <v/>
      </c>
      <c r="W1290" s="84" t="str">
        <f>IF(AND('341-CT'!$H$9=H1290,OR(LEFT(N1290,3)=$W$7,LEFT(O1290,3)=$W$7)),"x","")</f>
        <v/>
      </c>
      <c r="X1290" s="84" t="str">
        <f>IF(OR(TH!N1290=TH!$X$7,O1290=TH!$X$7),"x","")</f>
        <v/>
      </c>
      <c r="Y1290" s="84" t="str">
        <f>IF(AND(OR(N1290="131",O1290="131"),H1290='131-CT'!$H$9),"x","")</f>
        <v/>
      </c>
      <c r="Z1290" s="84"/>
      <c r="AA1290" s="84" t="str">
        <f>IF(AND(MONTH(E1290)='IN-NX'!$J$5,'IN-NX'!$D$7=D1290),"x","")</f>
        <v/>
      </c>
      <c r="AB1290" s="84" t="str">
        <f>IF(AND(OR(LEFT(TH!N1290,2)="15",LEFT(TH!O1290,2)="15"),LEFT(TH!O1290,3)&lt;&gt;"111",'152-CT'!$J$8=TH!F1290),"x","")</f>
        <v/>
      </c>
      <c r="AC1290" s="84" t="str">
        <f>IF(AND(OR(LEFT(TH!N1290,2)="15",LEFT(TH!O1290,2)="15"),TK!$E$7=TH!F1290),"x","")</f>
        <v/>
      </c>
      <c r="AD1290" s="84" t="str">
        <f>IF(AND(N1290="1521",MONTH(C1290)='BK-NL'!$M$11),"x","")</f>
        <v/>
      </c>
      <c r="AE1290" s="343" t="str">
        <f t="shared" si="190"/>
        <v>x</v>
      </c>
    </row>
    <row r="1291" spans="1:31" s="347" customFormat="1" ht="15.75" hidden="1" customHeight="1">
      <c r="A1291" s="1176" t="str">
        <f>IF(B1291&lt;&gt;"",IF(AND(B1291='IN-TC'!$S$4,OR(TH!N1291="1111",TH!O1291="1111")),TH!D1291,""),"")</f>
        <v/>
      </c>
      <c r="B1291" s="1003">
        <f t="shared" si="191"/>
        <v>4</v>
      </c>
      <c r="C1291" s="80">
        <v>42490</v>
      </c>
      <c r="D1291" s="1134" t="s">
        <v>582</v>
      </c>
      <c r="E1291" s="1134">
        <v>42486</v>
      </c>
      <c r="F1291" s="82" t="s">
        <v>1468</v>
      </c>
      <c r="G1291" s="1004" t="s">
        <v>1495</v>
      </c>
      <c r="H1291" s="322" t="s">
        <v>632</v>
      </c>
      <c r="I1291" s="437"/>
      <c r="J1291" s="437"/>
      <c r="K1291" s="428"/>
      <c r="L1291" s="437"/>
      <c r="M1291" s="83">
        <v>24348800</v>
      </c>
      <c r="N1291" s="1128" t="s">
        <v>282</v>
      </c>
      <c r="O1291" s="84" t="s">
        <v>8</v>
      </c>
      <c r="P1291" s="84" t="str">
        <f>IF(AND('331-CT'!$E$7=TH!H1291,OR(N1291="331",O1291="331")),"x","")</f>
        <v/>
      </c>
      <c r="Q1291" s="84" t="str">
        <f>IF(AND(B1291='111'!$L$11,OR($N1291=$Q$7,$O1291=$Q$7)),"x","")</f>
        <v/>
      </c>
      <c r="R1291" s="84" t="str">
        <f>IF(AND($N1291=$Q$7,$B1291&lt;'111'!$L$11),"x","")</f>
        <v/>
      </c>
      <c r="S1291" s="84" t="str">
        <f>IF(AND($O1291=$Q$7,$B1291&lt;'111'!$L$11),"x","")</f>
        <v/>
      </c>
      <c r="T1291" s="84" t="str">
        <f>IF(ISERROR(FIND('112'!$M$9,G1291,1)),"",IF((AND(FIND('112'!$M$9,G1291,1)&gt;=1,B1291='112'!$K$9,OR($N1291='112'!$I$6,$O1291='112'!$I$6))),"x",""))</f>
        <v/>
      </c>
      <c r="U1291" s="84" t="str">
        <f>IF(ISERROR(FIND('112'!$M$9,G1291,1)),"",IF((AND(LEFT(G1291,2)=LEFT('112'!$M$9,2),B1291&lt;'112'!$K$9,$N1291='112'!$I$6)),"x",""))</f>
        <v/>
      </c>
      <c r="V1291" s="84" t="str">
        <f>IF(ISERROR(FIND('112'!$M$9,G1291,1)),"",IF((AND(RIGHT(G1291,2)=RIGHT('112'!$M$9,2),B1291&lt;'112'!$K$9,$O1291='112'!$I$6)),"x",""))</f>
        <v/>
      </c>
      <c r="W1291" s="84" t="str">
        <f>IF(AND('341-CT'!$H$9=H1291,OR(LEFT(N1291,3)=$W$7,LEFT(O1291,3)=$W$7)),"x","")</f>
        <v/>
      </c>
      <c r="X1291" s="84" t="str">
        <f>IF(OR(TH!N1291=TH!$X$7,O1291=TH!$X$7),"x","")</f>
        <v/>
      </c>
      <c r="Y1291" s="84" t="str">
        <f>IF(AND(OR(N1291="131",O1291="131"),H1291='131-CT'!$H$9),"x","")</f>
        <v/>
      </c>
      <c r="Z1291" s="84"/>
      <c r="AA1291" s="84" t="str">
        <f>IF(AND(MONTH(E1291)='IN-NX'!$J$5,'IN-NX'!$D$7=D1291),"x","")</f>
        <v/>
      </c>
      <c r="AB1291" s="84" t="str">
        <f>IF(AND(OR(LEFT(TH!N1291,2)="15",LEFT(TH!O1291,2)="15"),LEFT(TH!O1291,3)&lt;&gt;"111",'152-CT'!$J$8=TH!F1291),"x","")</f>
        <v/>
      </c>
      <c r="AC1291" s="84" t="str">
        <f>IF(AND(OR(LEFT(TH!N1291,2)="15",LEFT(TH!O1291,2)="15"),TK!$E$7=TH!F1291),"x","")</f>
        <v/>
      </c>
      <c r="AD1291" s="84" t="str">
        <f>IF(AND(N1291="1521",MONTH(C1291)='BK-NL'!$M$11),"x","")</f>
        <v/>
      </c>
      <c r="AE1291" s="343" t="str">
        <f t="shared" si="190"/>
        <v>x</v>
      </c>
    </row>
    <row r="1292" spans="1:31" s="347" customFormat="1" ht="15.75" hidden="1" customHeight="1">
      <c r="A1292" s="1176" t="str">
        <f>IF(B1292&lt;&gt;"",IF(AND(B1292='IN-TC'!$S$4,OR(TH!N1292="1111",TH!O1292="1111")),TH!D1292,""),"")</f>
        <v/>
      </c>
      <c r="B1292" s="1003">
        <f t="shared" si="191"/>
        <v>4</v>
      </c>
      <c r="C1292" s="80">
        <v>42490</v>
      </c>
      <c r="D1292" s="1134" t="s">
        <v>582</v>
      </c>
      <c r="E1292" s="1134">
        <v>42486</v>
      </c>
      <c r="F1292" s="82" t="s">
        <v>1469</v>
      </c>
      <c r="G1292" s="1004" t="s">
        <v>1495</v>
      </c>
      <c r="H1292" s="322" t="s">
        <v>632</v>
      </c>
      <c r="I1292" s="437"/>
      <c r="J1292" s="437"/>
      <c r="K1292" s="428"/>
      <c r="L1292" s="437"/>
      <c r="M1292" s="83">
        <v>2434880</v>
      </c>
      <c r="N1292" s="1128" t="s">
        <v>9</v>
      </c>
      <c r="O1292" s="84" t="s">
        <v>8</v>
      </c>
      <c r="P1292" s="84" t="str">
        <f>IF(AND('331-CT'!$E$7=TH!H1292,OR(N1292="331",O1292="331")),"x","")</f>
        <v/>
      </c>
      <c r="Q1292" s="84" t="str">
        <f>IF(AND(B1292='111'!$L$11,OR($N1292=$Q$7,$O1292=$Q$7)),"x","")</f>
        <v/>
      </c>
      <c r="R1292" s="84" t="str">
        <f>IF(AND($N1292=$Q$7,$B1292&lt;'111'!$L$11),"x","")</f>
        <v/>
      </c>
      <c r="S1292" s="84" t="str">
        <f>IF(AND($O1292=$Q$7,$B1292&lt;'111'!$L$11),"x","")</f>
        <v/>
      </c>
      <c r="T1292" s="84" t="str">
        <f>IF(ISERROR(FIND('112'!$M$9,G1292,1)),"",IF((AND(FIND('112'!$M$9,G1292,1)&gt;=1,B1292='112'!$K$9,OR($N1292='112'!$I$6,$O1292='112'!$I$6))),"x",""))</f>
        <v/>
      </c>
      <c r="U1292" s="84" t="str">
        <f>IF(ISERROR(FIND('112'!$M$9,G1292,1)),"",IF((AND(LEFT(G1292,2)=LEFT('112'!$M$9,2),B1292&lt;'112'!$K$9,$N1292='112'!$I$6)),"x",""))</f>
        <v/>
      </c>
      <c r="V1292" s="84" t="str">
        <f>IF(ISERROR(FIND('112'!$M$9,G1292,1)),"",IF((AND(RIGHT(G1292,2)=RIGHT('112'!$M$9,2),B1292&lt;'112'!$K$9,$O1292='112'!$I$6)),"x",""))</f>
        <v/>
      </c>
      <c r="W1292" s="84" t="str">
        <f>IF(AND('341-CT'!$H$9=H1292,OR(LEFT(N1292,3)=$W$7,LEFT(O1292,3)=$W$7)),"x","")</f>
        <v/>
      </c>
      <c r="X1292" s="84" t="str">
        <f>IF(OR(TH!N1292=TH!$X$7,O1292=TH!$X$7),"x","")</f>
        <v/>
      </c>
      <c r="Y1292" s="84" t="str">
        <f>IF(AND(OR(N1292="131",O1292="131"),H1292='131-CT'!$H$9),"x","")</f>
        <v/>
      </c>
      <c r="Z1292" s="84"/>
      <c r="AA1292" s="84" t="str">
        <f>IF(AND(MONTH(E1292)='IN-NX'!$J$5,'IN-NX'!$D$7=D1292),"x","")</f>
        <v/>
      </c>
      <c r="AB1292" s="84" t="str">
        <f>IF(AND(OR(LEFT(TH!N1292,2)="15",LEFT(TH!O1292,2)="15"),LEFT(TH!O1292,3)&lt;&gt;"111",'152-CT'!$J$8=TH!F1292),"x","")</f>
        <v/>
      </c>
      <c r="AC1292" s="84" t="str">
        <f>IF(AND(OR(LEFT(TH!N1292,2)="15",LEFT(TH!O1292,2)="15"),TK!$E$7=TH!F1292),"x","")</f>
        <v/>
      </c>
      <c r="AD1292" s="84" t="str">
        <f>IF(AND(N1292="1521",MONTH(C1292)='BK-NL'!$M$11),"x","")</f>
        <v/>
      </c>
      <c r="AE1292" s="343" t="str">
        <f t="shared" si="190"/>
        <v>x</v>
      </c>
    </row>
    <row r="1293" spans="1:31" ht="15.75" hidden="1" customHeight="1">
      <c r="A1293" s="336" t="str">
        <f>IF(B1293&lt;&gt;"",IF(AND(B1293='IN-TC'!$S$4,OR(TH!N1293="1111",TH!O1293="1111")),TH!D1293,""),"")</f>
        <v/>
      </c>
      <c r="B1293" s="63">
        <f t="shared" si="191"/>
        <v>4</v>
      </c>
      <c r="C1293" s="64">
        <f>E1293</f>
        <v>42468</v>
      </c>
      <c r="D1293" s="64" t="s">
        <v>705</v>
      </c>
      <c r="E1293" s="64">
        <v>42468</v>
      </c>
      <c r="F1293" s="73" t="s">
        <v>1443</v>
      </c>
      <c r="G1293" s="982" t="s">
        <v>919</v>
      </c>
      <c r="H1293" s="73"/>
      <c r="I1293" s="439"/>
      <c r="J1293" s="439"/>
      <c r="K1293" s="430">
        <v>5</v>
      </c>
      <c r="L1293" s="439">
        <v>22260</v>
      </c>
      <c r="M1293" s="65">
        <f>ROUND(K1293*L1293,0)</f>
        <v>111300</v>
      </c>
      <c r="N1293" s="66" t="s">
        <v>101</v>
      </c>
      <c r="O1293" s="66" t="s">
        <v>266</v>
      </c>
      <c r="P1293" s="84" t="str">
        <f>IF(AND('331-CT'!$E$7=TH!H1293,OR(N1293="331",O1293="331")),"x","")</f>
        <v/>
      </c>
      <c r="Q1293" s="84" t="str">
        <f>IF(AND(B1293='111'!$L$11,OR($N1293=$Q$7,$O1293=$Q$7)),"x","")</f>
        <v/>
      </c>
      <c r="R1293" s="84" t="str">
        <f>IF(AND($N1293=$Q$7,$B1293&lt;'111'!$L$11),"x","")</f>
        <v/>
      </c>
      <c r="S1293" s="84" t="str">
        <f>IF(AND($O1293=$Q$7,$B1293&lt;'111'!$L$11),"x","")</f>
        <v/>
      </c>
      <c r="T1293" s="84" t="str">
        <f>IF(ISERROR(FIND('112'!$M$9,G1293,1)),"",IF((AND(FIND('112'!$M$9,G1293,1)&gt;=1,B1293='112'!$K$9,OR($N1293='112'!$I$6,$O1293='112'!$I$6))),"x",""))</f>
        <v/>
      </c>
      <c r="U1293" s="84" t="str">
        <f>IF(ISERROR(FIND('112'!$M$9,G1293,1)),"",IF((AND(LEFT(G1293,2)=LEFT('112'!$M$9,2),B1293&lt;'112'!$K$9,$N1293='112'!$I$6)),"x",""))</f>
        <v/>
      </c>
      <c r="V1293" s="84" t="str">
        <f>IF(ISERROR(FIND('112'!$M$9,G1293,1)),"",IF((AND(RIGHT(G1293,2)=RIGHT('112'!$M$9,2),B1293&lt;'112'!$K$9,$O1293='112'!$I$6)),"x",""))</f>
        <v/>
      </c>
      <c r="W1293" s="84" t="str">
        <f>IF(AND('341-CT'!$H$9=H1293,OR(LEFT(N1293,3)=$W$7,LEFT(O1293,3)=$W$7)),"x","")</f>
        <v/>
      </c>
      <c r="X1293" s="84" t="str">
        <f>IF(OR(TH!N1293=TH!$X$7,O1293=TH!$X$7),"x","")</f>
        <v/>
      </c>
      <c r="Y1293" s="84" t="str">
        <f>IF(AND(OR(N1293="131",O1293="131"),H1293='131-CT'!$H$9),"x","")</f>
        <v/>
      </c>
      <c r="Z1293" s="84"/>
      <c r="AA1293" s="84" t="str">
        <f>IF(AND(MONTH(E1293)='IN-NX'!$J$5,'IN-NX'!$D$7=D1293),"x","")</f>
        <v/>
      </c>
      <c r="AB1293" s="84" t="str">
        <f>IF(AND(OR(LEFT(TH!N1293,2)="15",LEFT(TH!O1293,2)="15"),LEFT(TH!O1293,3)&lt;&gt;"111",'152-CT'!$J$8=TH!F1293),"x","")</f>
        <v/>
      </c>
      <c r="AC1293" s="84" t="str">
        <f>IF(AND(OR(LEFT(TH!N1293,2)="15",LEFT(TH!O1293,2)="15"),TK!$E$7=TH!F1293),"x","")</f>
        <v/>
      </c>
      <c r="AD1293" s="84" t="str">
        <f>IF(AND(N1293="1521",MONTH(C1293)='BK-NL'!$M$11),"x","")</f>
        <v/>
      </c>
    </row>
    <row r="1294" spans="1:31" ht="15.75" hidden="1" customHeight="1">
      <c r="A1294" s="336" t="str">
        <f>IF(B1294&lt;&gt;"",IF(AND(B1294='IN-TC'!$S$4,OR(TH!N1294="1111",TH!O1294="1111")),TH!D1294,""),"")</f>
        <v/>
      </c>
      <c r="B1294" s="63">
        <f t="shared" si="191"/>
        <v>4</v>
      </c>
      <c r="C1294" s="64">
        <f t="shared" ref="C1294:C1302" si="192">E1294</f>
        <v>42468</v>
      </c>
      <c r="D1294" s="64" t="s">
        <v>705</v>
      </c>
      <c r="E1294" s="64">
        <v>42468</v>
      </c>
      <c r="F1294" s="73" t="s">
        <v>1444</v>
      </c>
      <c r="G1294" s="982" t="s">
        <v>919</v>
      </c>
      <c r="H1294" s="73"/>
      <c r="I1294" s="439"/>
      <c r="J1294" s="439"/>
      <c r="K1294" s="430">
        <v>0.5</v>
      </c>
      <c r="L1294" s="439">
        <v>22260</v>
      </c>
      <c r="M1294" s="65">
        <f t="shared" ref="M1294:M1302" si="193">ROUND(K1294*L1294,0)</f>
        <v>11130</v>
      </c>
      <c r="N1294" s="66" t="s">
        <v>9</v>
      </c>
      <c r="O1294" s="66" t="s">
        <v>266</v>
      </c>
      <c r="P1294" s="84" t="str">
        <f>IF(AND('331-CT'!$E$7=TH!H1294,OR(N1294="331",O1294="331")),"x","")</f>
        <v/>
      </c>
      <c r="Q1294" s="84" t="str">
        <f>IF(AND(B1294='111'!$L$11,OR($N1294=$Q$7,$O1294=$Q$7)),"x","")</f>
        <v/>
      </c>
      <c r="R1294" s="84" t="str">
        <f>IF(AND($N1294=$Q$7,$B1294&lt;'111'!$L$11),"x","")</f>
        <v/>
      </c>
      <c r="S1294" s="84" t="str">
        <f>IF(AND($O1294=$Q$7,$B1294&lt;'111'!$L$11),"x","")</f>
        <v/>
      </c>
      <c r="T1294" s="84" t="str">
        <f>IF(ISERROR(FIND('112'!$M$9,G1294,1)),"",IF((AND(FIND('112'!$M$9,G1294,1)&gt;=1,B1294='112'!$K$9,OR($N1294='112'!$I$6,$O1294='112'!$I$6))),"x",""))</f>
        <v/>
      </c>
      <c r="U1294" s="84" t="str">
        <f>IF(ISERROR(FIND('112'!$M$9,G1294,1)),"",IF((AND(LEFT(G1294,2)=LEFT('112'!$M$9,2),B1294&lt;'112'!$K$9,$N1294='112'!$I$6)),"x",""))</f>
        <v/>
      </c>
      <c r="V1294" s="84" t="str">
        <f>IF(ISERROR(FIND('112'!$M$9,G1294,1)),"",IF((AND(RIGHT(G1294,2)=RIGHT('112'!$M$9,2),B1294&lt;'112'!$K$9,$O1294='112'!$I$6)),"x",""))</f>
        <v/>
      </c>
      <c r="W1294" s="84" t="str">
        <f>IF(AND('341-CT'!$H$9=H1294,OR(LEFT(N1294,3)=$W$7,LEFT(O1294,3)=$W$7)),"x","")</f>
        <v/>
      </c>
      <c r="X1294" s="84" t="str">
        <f>IF(OR(TH!N1294=TH!$X$7,O1294=TH!$X$7),"x","")</f>
        <v/>
      </c>
      <c r="Y1294" s="84" t="str">
        <f>IF(AND(OR(N1294="131",O1294="131"),H1294='131-CT'!$H$9),"x","")</f>
        <v/>
      </c>
      <c r="Z1294" s="84"/>
      <c r="AA1294" s="84" t="str">
        <f>IF(AND(MONTH(E1294)='IN-NX'!$J$5,'IN-NX'!$D$7=D1294),"x","")</f>
        <v/>
      </c>
      <c r="AB1294" s="84" t="str">
        <f>IF(AND(OR(LEFT(TH!N1294,2)="15",LEFT(TH!O1294,2)="15"),LEFT(TH!O1294,3)&lt;&gt;"111",'152-CT'!$J$8=TH!F1294),"x","")</f>
        <v/>
      </c>
      <c r="AC1294" s="84" t="str">
        <f>IF(AND(OR(LEFT(TH!N1294,2)="15",LEFT(TH!O1294,2)="15"),TK!$E$7=TH!F1294),"x","")</f>
        <v/>
      </c>
      <c r="AD1294" s="84" t="str">
        <f>IF(AND(N1294="1521",MONTH(C1294)='BK-NL'!$M$11),"x","")</f>
        <v/>
      </c>
    </row>
    <row r="1295" spans="1:31" ht="15.75" hidden="1" customHeight="1">
      <c r="A1295" s="336" t="str">
        <f>IF(B1295&lt;&gt;"",IF(AND(B1295='IN-TC'!$S$4,OR(TH!N1295="1111",TH!O1295="1111")),TH!D1295,""),"")</f>
        <v/>
      </c>
      <c r="B1295" s="63">
        <f t="shared" si="188"/>
        <v>4</v>
      </c>
      <c r="C1295" s="64">
        <f t="shared" si="192"/>
        <v>42475</v>
      </c>
      <c r="D1295" s="64" t="s">
        <v>705</v>
      </c>
      <c r="E1295" s="64">
        <v>42475</v>
      </c>
      <c r="F1295" s="73" t="s">
        <v>1443</v>
      </c>
      <c r="G1295" s="982" t="s">
        <v>919</v>
      </c>
      <c r="H1295" s="73"/>
      <c r="I1295" s="439"/>
      <c r="J1295" s="439"/>
      <c r="K1295" s="430">
        <v>5</v>
      </c>
      <c r="L1295" s="439">
        <v>22260</v>
      </c>
      <c r="M1295" s="65">
        <f t="shared" si="193"/>
        <v>111300</v>
      </c>
      <c r="N1295" s="66" t="s">
        <v>101</v>
      </c>
      <c r="O1295" s="66" t="s">
        <v>266</v>
      </c>
      <c r="P1295" s="84" t="str">
        <f>IF(AND('331-CT'!$E$7=TH!H1295,OR(N1295="331",O1295="331")),"x","")</f>
        <v/>
      </c>
      <c r="Q1295" s="84" t="str">
        <f>IF(AND(B1295='111'!$L$11,OR($N1295=$Q$7,$O1295=$Q$7)),"x","")</f>
        <v/>
      </c>
      <c r="R1295" s="84" t="str">
        <f>IF(AND($N1295=$Q$7,$B1295&lt;'111'!$L$11),"x","")</f>
        <v/>
      </c>
      <c r="S1295" s="84" t="str">
        <f>IF(AND($O1295=$Q$7,$B1295&lt;'111'!$L$11),"x","")</f>
        <v/>
      </c>
      <c r="T1295" s="84" t="str">
        <f>IF(ISERROR(FIND('112'!$M$9,G1295,1)),"",IF((AND(FIND('112'!$M$9,G1295,1)&gt;=1,B1295='112'!$K$9,OR($N1295='112'!$I$6,$O1295='112'!$I$6))),"x",""))</f>
        <v/>
      </c>
      <c r="U1295" s="84" t="str">
        <f>IF(ISERROR(FIND('112'!$M$9,G1295,1)),"",IF((AND(LEFT(G1295,2)=LEFT('112'!$M$9,2),B1295&lt;'112'!$K$9,$N1295='112'!$I$6)),"x",""))</f>
        <v/>
      </c>
      <c r="V1295" s="84" t="str">
        <f>IF(ISERROR(FIND('112'!$M$9,G1295,1)),"",IF((AND(RIGHT(G1295,2)=RIGHT('112'!$M$9,2),B1295&lt;'112'!$K$9,$O1295='112'!$I$6)),"x",""))</f>
        <v/>
      </c>
      <c r="W1295" s="84" t="str">
        <f>IF(AND('341-CT'!$H$9=H1295,OR(LEFT(N1295,3)=$W$7,LEFT(O1295,3)=$W$7)),"x","")</f>
        <v/>
      </c>
      <c r="X1295" s="84" t="str">
        <f>IF(OR(TH!N1295=TH!$X$7,O1295=TH!$X$7),"x","")</f>
        <v/>
      </c>
      <c r="Y1295" s="84" t="str">
        <f>IF(AND(OR(N1295="131",O1295="131"),H1295='131-CT'!$H$9),"x","")</f>
        <v/>
      </c>
      <c r="Z1295" s="84"/>
      <c r="AA1295" s="84" t="str">
        <f>IF(AND(MONTH(E1295)='IN-NX'!$J$5,'IN-NX'!$D$7=D1295),"x","")</f>
        <v/>
      </c>
      <c r="AB1295" s="84" t="str">
        <f>IF(AND(OR(LEFT(TH!N1295,2)="15",LEFT(TH!O1295,2)="15"),LEFT(TH!O1295,3)&lt;&gt;"111",'152-CT'!$J$8=TH!F1295),"x","")</f>
        <v/>
      </c>
      <c r="AC1295" s="84" t="str">
        <f>IF(AND(OR(LEFT(TH!N1295,2)="15",LEFT(TH!O1295,2)="15"),TK!$E$7=TH!F1295),"x","")</f>
        <v/>
      </c>
      <c r="AD1295" s="84" t="str">
        <f>IF(AND(N1295="1521",MONTH(C1295)='BK-NL'!$M$11),"x","")</f>
        <v/>
      </c>
    </row>
    <row r="1296" spans="1:31" ht="15.75" hidden="1" customHeight="1">
      <c r="A1296" s="336" t="str">
        <f>IF(B1296&lt;&gt;"",IF(AND(B1296='IN-TC'!$S$4,OR(TH!N1296="1111",TH!O1296="1111")),TH!D1296,""),"")</f>
        <v/>
      </c>
      <c r="B1296" s="63">
        <f t="shared" si="188"/>
        <v>4</v>
      </c>
      <c r="C1296" s="64">
        <f t="shared" si="192"/>
        <v>42475</v>
      </c>
      <c r="D1296" s="64" t="s">
        <v>705</v>
      </c>
      <c r="E1296" s="64">
        <v>42475</v>
      </c>
      <c r="F1296" s="73" t="s">
        <v>1444</v>
      </c>
      <c r="G1296" s="982" t="s">
        <v>919</v>
      </c>
      <c r="H1296" s="73"/>
      <c r="I1296" s="439"/>
      <c r="J1296" s="439"/>
      <c r="K1296" s="430">
        <v>0.5</v>
      </c>
      <c r="L1296" s="439">
        <v>22260</v>
      </c>
      <c r="M1296" s="65">
        <f t="shared" si="193"/>
        <v>11130</v>
      </c>
      <c r="N1296" s="66" t="s">
        <v>9</v>
      </c>
      <c r="O1296" s="66" t="s">
        <v>266</v>
      </c>
      <c r="P1296" s="84" t="str">
        <f>IF(AND('331-CT'!$E$7=TH!H1296,OR(N1296="331",O1296="331")),"x","")</f>
        <v/>
      </c>
      <c r="Q1296" s="84" t="str">
        <f>IF(AND(B1296='111'!$L$11,OR($N1296=$Q$7,$O1296=$Q$7)),"x","")</f>
        <v/>
      </c>
      <c r="R1296" s="84" t="str">
        <f>IF(AND($N1296=$Q$7,$B1296&lt;'111'!$L$11),"x","")</f>
        <v/>
      </c>
      <c r="S1296" s="84" t="str">
        <f>IF(AND($O1296=$Q$7,$B1296&lt;'111'!$L$11),"x","")</f>
        <v/>
      </c>
      <c r="T1296" s="84" t="str">
        <f>IF(ISERROR(FIND('112'!$M$9,G1296,1)),"",IF((AND(FIND('112'!$M$9,G1296,1)&gt;=1,B1296='112'!$K$9,OR($N1296='112'!$I$6,$O1296='112'!$I$6))),"x",""))</f>
        <v/>
      </c>
      <c r="U1296" s="84" t="str">
        <f>IF(ISERROR(FIND('112'!$M$9,G1296,1)),"",IF((AND(LEFT(G1296,2)=LEFT('112'!$M$9,2),B1296&lt;'112'!$K$9,$N1296='112'!$I$6)),"x",""))</f>
        <v/>
      </c>
      <c r="V1296" s="84" t="str">
        <f>IF(ISERROR(FIND('112'!$M$9,G1296,1)),"",IF((AND(RIGHT(G1296,2)=RIGHT('112'!$M$9,2),B1296&lt;'112'!$K$9,$O1296='112'!$I$6)),"x",""))</f>
        <v/>
      </c>
      <c r="W1296" s="84" t="str">
        <f>IF(AND('341-CT'!$H$9=H1296,OR(LEFT(N1296,3)=$W$7,LEFT(O1296,3)=$W$7)),"x","")</f>
        <v/>
      </c>
      <c r="X1296" s="84" t="str">
        <f>IF(OR(TH!N1296=TH!$X$7,O1296=TH!$X$7),"x","")</f>
        <v/>
      </c>
      <c r="Y1296" s="84" t="str">
        <f>IF(AND(OR(N1296="131",O1296="131"),H1296='131-CT'!$H$9),"x","")</f>
        <v/>
      </c>
      <c r="Z1296" s="84"/>
      <c r="AA1296" s="84" t="str">
        <f>IF(AND(MONTH(E1296)='IN-NX'!$J$5,'IN-NX'!$D$7=D1296),"x","")</f>
        <v/>
      </c>
      <c r="AB1296" s="84" t="str">
        <f>IF(AND(OR(LEFT(TH!N1296,2)="15",LEFT(TH!O1296,2)="15"),LEFT(TH!O1296,3)&lt;&gt;"111",'152-CT'!$J$8=TH!F1296),"x","")</f>
        <v/>
      </c>
      <c r="AC1296" s="84" t="str">
        <f>IF(AND(OR(LEFT(TH!N1296,2)="15",LEFT(TH!O1296,2)="15"),TK!$E$7=TH!F1296),"x","")</f>
        <v/>
      </c>
      <c r="AD1296" s="84" t="str">
        <f>IF(AND(N1296="1521",MONTH(C1296)='BK-NL'!$M$11),"x","")</f>
        <v/>
      </c>
    </row>
    <row r="1297" spans="1:31" ht="15.75" hidden="1" customHeight="1">
      <c r="A1297" s="336" t="str">
        <f>IF(B1297&lt;&gt;"",IF(AND(B1297='IN-TC'!$S$4,OR(TH!N1297="1111",TH!O1297="1111")),TH!D1297,""),"")</f>
        <v/>
      </c>
      <c r="B1297" s="63">
        <f t="shared" si="188"/>
        <v>4</v>
      </c>
      <c r="C1297" s="64">
        <f t="shared" si="192"/>
        <v>42475</v>
      </c>
      <c r="D1297" s="64" t="s">
        <v>705</v>
      </c>
      <c r="E1297" s="64">
        <v>42475</v>
      </c>
      <c r="F1297" s="345" t="s">
        <v>757</v>
      </c>
      <c r="G1297" s="982" t="s">
        <v>918</v>
      </c>
      <c r="H1297" s="73" t="s">
        <v>729</v>
      </c>
      <c r="I1297" s="441"/>
      <c r="J1297" s="441"/>
      <c r="K1297" s="432">
        <v>244.21</v>
      </c>
      <c r="L1297" s="439">
        <v>22260</v>
      </c>
      <c r="M1297" s="65">
        <f t="shared" si="193"/>
        <v>5436115</v>
      </c>
      <c r="N1297" s="66" t="s">
        <v>99</v>
      </c>
      <c r="O1297" s="66" t="s">
        <v>266</v>
      </c>
      <c r="P1297" s="84" t="str">
        <f>IF(AND('331-CT'!$E$7=TH!H1297,OR(N1297="331",O1297="331")),"x","")</f>
        <v/>
      </c>
      <c r="Q1297" s="84" t="str">
        <f>IF(AND(B1297='111'!$L$11,OR($N1297=$Q$7,$O1297=$Q$7)),"x","")</f>
        <v/>
      </c>
      <c r="R1297" s="84" t="str">
        <f>IF(AND($N1297=$Q$7,$B1297&lt;'111'!$L$11),"x","")</f>
        <v/>
      </c>
      <c r="S1297" s="84" t="str">
        <f>IF(AND($O1297=$Q$7,$B1297&lt;'111'!$L$11),"x","")</f>
        <v/>
      </c>
      <c r="T1297" s="84" t="str">
        <f>IF(ISERROR(FIND('112'!$M$9,G1297,1)),"",IF((AND(FIND('112'!$M$9,G1297,1)&gt;=1,B1297='112'!$K$9,OR($N1297='112'!$I$6,$O1297='112'!$I$6))),"x",""))</f>
        <v/>
      </c>
      <c r="U1297" s="84" t="str">
        <f>IF(ISERROR(FIND('112'!$M$9,G1297,1)),"",IF((AND(LEFT(G1297,2)=LEFT('112'!$M$9,2),B1297&lt;'112'!$K$9,$N1297='112'!$I$6)),"x",""))</f>
        <v/>
      </c>
      <c r="V1297" s="84" t="str">
        <f>IF(ISERROR(FIND('112'!$M$9,G1297,1)),"",IF((AND(RIGHT(G1297,2)=RIGHT('112'!$M$9,2),B1297&lt;'112'!$K$9,$O1297='112'!$I$6)),"x",""))</f>
        <v/>
      </c>
      <c r="W1297" s="84" t="str">
        <f>IF(AND('341-CT'!$H$9=H1297,OR(LEFT(N1297,3)=$W$7,LEFT(O1297,3)=$W$7)),"x","")</f>
        <v/>
      </c>
      <c r="X1297" s="84" t="str">
        <f>IF(OR(TH!N1297=TH!$X$7,O1297=TH!$X$7),"x","")</f>
        <v/>
      </c>
      <c r="Y1297" s="84" t="str">
        <f>IF(AND(OR(N1297="131",O1297="131"),H1297='131-CT'!$H$9),"x","")</f>
        <v/>
      </c>
      <c r="Z1297" s="84"/>
      <c r="AA1297" s="84" t="str">
        <f>IF(AND(MONTH(E1297)='IN-NX'!$J$5,'IN-NX'!$D$7=D1297),"x","")</f>
        <v/>
      </c>
      <c r="AB1297" s="84" t="str">
        <f>IF(AND(OR(LEFT(TH!N1297,2)="15",LEFT(TH!O1297,2)="15"),LEFT(TH!O1297,3)&lt;&gt;"111",'152-CT'!$J$8=TH!F1297),"x","")</f>
        <v/>
      </c>
      <c r="AC1297" s="84" t="str">
        <f>IF(AND(OR(LEFT(TH!N1297,2)="15",LEFT(TH!O1297,2)="15"),TK!$E$7=TH!F1297),"x","")</f>
        <v/>
      </c>
      <c r="AD1297" s="84" t="str">
        <f>IF(AND(N1297="1521",MONTH(C1297)='BK-NL'!$M$11),"x","")</f>
        <v/>
      </c>
    </row>
    <row r="1298" spans="1:31" ht="15.75" hidden="1" customHeight="1">
      <c r="A1298" s="336" t="str">
        <f>IF(B1298&lt;&gt;"",IF(AND(B1298='IN-TC'!$S$4,OR(TH!N1298="1111",TH!O1298="1111")),TH!D1298,""),"")</f>
        <v/>
      </c>
      <c r="B1298" s="63">
        <f t="shared" si="188"/>
        <v>4</v>
      </c>
      <c r="C1298" s="64">
        <f t="shared" si="192"/>
        <v>42475</v>
      </c>
      <c r="D1298" s="64" t="s">
        <v>705</v>
      </c>
      <c r="E1298" s="64">
        <v>42475</v>
      </c>
      <c r="F1298" s="514" t="s">
        <v>758</v>
      </c>
      <c r="G1298" s="982" t="s">
        <v>918</v>
      </c>
      <c r="H1298" s="73" t="s">
        <v>730</v>
      </c>
      <c r="I1298" s="439"/>
      <c r="J1298" s="439"/>
      <c r="K1298" s="430">
        <v>213.56</v>
      </c>
      <c r="L1298" s="439">
        <v>22260</v>
      </c>
      <c r="M1298" s="65">
        <f t="shared" si="193"/>
        <v>4753846</v>
      </c>
      <c r="N1298" s="66" t="s">
        <v>99</v>
      </c>
      <c r="O1298" s="66" t="s">
        <v>266</v>
      </c>
      <c r="P1298" s="84" t="str">
        <f>IF(AND('331-CT'!$E$7=TH!H1298,OR(N1298="331",O1298="331")),"x","")</f>
        <v/>
      </c>
      <c r="Q1298" s="84" t="str">
        <f>IF(AND(B1298='111'!$L$11,OR($N1298=$Q$7,$O1298=$Q$7)),"x","")</f>
        <v/>
      </c>
      <c r="R1298" s="84" t="str">
        <f>IF(AND($N1298=$Q$7,$B1298&lt;'111'!$L$11),"x","")</f>
        <v/>
      </c>
      <c r="S1298" s="84" t="str">
        <f>IF(AND($O1298=$Q$7,$B1298&lt;'111'!$L$11),"x","")</f>
        <v/>
      </c>
      <c r="T1298" s="84" t="str">
        <f>IF(ISERROR(FIND('112'!$M$9,G1298,1)),"",IF((AND(FIND('112'!$M$9,G1298,1)&gt;=1,B1298='112'!$K$9,OR($N1298='112'!$I$6,$O1298='112'!$I$6))),"x",""))</f>
        <v/>
      </c>
      <c r="U1298" s="84" t="str">
        <f>IF(ISERROR(FIND('112'!$M$9,G1298,1)),"",IF((AND(LEFT(G1298,2)=LEFT('112'!$M$9,2),B1298&lt;'112'!$K$9,$N1298='112'!$I$6)),"x",""))</f>
        <v/>
      </c>
      <c r="V1298" s="84" t="str">
        <f>IF(ISERROR(FIND('112'!$M$9,G1298,1)),"",IF((AND(RIGHT(G1298,2)=RIGHT('112'!$M$9,2),B1298&lt;'112'!$K$9,$O1298='112'!$I$6)),"x",""))</f>
        <v/>
      </c>
      <c r="W1298" s="84" t="str">
        <f>IF(AND('341-CT'!$H$9=H1298,OR(LEFT(N1298,3)=$W$7,LEFT(O1298,3)=$W$7)),"x","")</f>
        <v/>
      </c>
      <c r="X1298" s="84" t="str">
        <f>IF(OR(TH!N1298=TH!$X$7,O1298=TH!$X$7),"x","")</f>
        <v/>
      </c>
      <c r="Y1298" s="84" t="str">
        <f>IF(AND(OR(N1298="131",O1298="131"),H1298='131-CT'!$H$9),"x","")</f>
        <v/>
      </c>
      <c r="Z1298" s="84"/>
      <c r="AA1298" s="84" t="str">
        <f>IF(AND(MONTH(E1298)='IN-NX'!$J$5,'IN-NX'!$D$7=D1298),"x","")</f>
        <v/>
      </c>
      <c r="AB1298" s="84" t="str">
        <f>IF(AND(OR(LEFT(TH!N1298,2)="15",LEFT(TH!O1298,2)="15"),LEFT(TH!O1298,3)&lt;&gt;"111",'152-CT'!$J$8=TH!F1298),"x","")</f>
        <v/>
      </c>
      <c r="AC1298" s="84" t="str">
        <f>IF(AND(OR(LEFT(TH!N1298,2)="15",LEFT(TH!O1298,2)="15"),TK!$E$7=TH!F1298),"x","")</f>
        <v/>
      </c>
      <c r="AD1298" s="84" t="str">
        <f>IF(AND(N1298="1521",MONTH(C1298)='BK-NL'!$M$11),"x","")</f>
        <v/>
      </c>
    </row>
    <row r="1299" spans="1:31" ht="15.75" hidden="1" customHeight="1">
      <c r="A1299" s="336" t="str">
        <f>IF(B1299&lt;&gt;"",IF(AND(B1299='IN-TC'!$S$4,OR(TH!N1299="1111",TH!O1299="1111")),TH!D1299,""),"")</f>
        <v/>
      </c>
      <c r="B1299" s="63">
        <f t="shared" si="188"/>
        <v>4</v>
      </c>
      <c r="C1299" s="64">
        <f t="shared" si="192"/>
        <v>42475</v>
      </c>
      <c r="D1299" s="64" t="s">
        <v>705</v>
      </c>
      <c r="E1299" s="64">
        <v>42475</v>
      </c>
      <c r="F1299" s="514" t="s">
        <v>759</v>
      </c>
      <c r="G1299" s="982" t="s">
        <v>918</v>
      </c>
      <c r="H1299" s="73" t="s">
        <v>731</v>
      </c>
      <c r="I1299" s="439"/>
      <c r="J1299" s="439"/>
      <c r="K1299" s="430">
        <v>113.67</v>
      </c>
      <c r="L1299" s="439">
        <v>22260</v>
      </c>
      <c r="M1299" s="65">
        <f t="shared" si="193"/>
        <v>2530294</v>
      </c>
      <c r="N1299" s="66" t="s">
        <v>99</v>
      </c>
      <c r="O1299" s="66" t="s">
        <v>266</v>
      </c>
      <c r="P1299" s="84" t="str">
        <f>IF(AND('331-CT'!$E$7=TH!H1299,OR(N1299="331",O1299="331")),"x","")</f>
        <v/>
      </c>
      <c r="Q1299" s="84" t="str">
        <f>IF(AND(B1299='111'!$L$11,OR($N1299=$Q$7,$O1299=$Q$7)),"x","")</f>
        <v/>
      </c>
      <c r="R1299" s="84" t="str">
        <f>IF(AND($N1299=$Q$7,$B1299&lt;'111'!$L$11),"x","")</f>
        <v/>
      </c>
      <c r="S1299" s="84" t="str">
        <f>IF(AND($O1299=$Q$7,$B1299&lt;'111'!$L$11),"x","")</f>
        <v/>
      </c>
      <c r="T1299" s="84" t="str">
        <f>IF(ISERROR(FIND('112'!$M$9,G1299,1)),"",IF((AND(FIND('112'!$M$9,G1299,1)&gt;=1,B1299='112'!$K$9,OR($N1299='112'!$I$6,$O1299='112'!$I$6))),"x",""))</f>
        <v/>
      </c>
      <c r="U1299" s="84" t="str">
        <f>IF(ISERROR(FIND('112'!$M$9,G1299,1)),"",IF((AND(LEFT(G1299,2)=LEFT('112'!$M$9,2),B1299&lt;'112'!$K$9,$N1299='112'!$I$6)),"x",""))</f>
        <v/>
      </c>
      <c r="V1299" s="84" t="str">
        <f>IF(ISERROR(FIND('112'!$M$9,G1299,1)),"",IF((AND(RIGHT(G1299,2)=RIGHT('112'!$M$9,2),B1299&lt;'112'!$K$9,$O1299='112'!$I$6)),"x",""))</f>
        <v/>
      </c>
      <c r="W1299" s="84" t="str">
        <f>IF(AND('341-CT'!$H$9=H1299,OR(LEFT(N1299,3)=$W$7,LEFT(O1299,3)=$W$7)),"x","")</f>
        <v/>
      </c>
      <c r="X1299" s="84" t="str">
        <f>IF(OR(TH!N1299=TH!$X$7,O1299=TH!$X$7),"x","")</f>
        <v/>
      </c>
      <c r="Y1299" s="84" t="str">
        <f>IF(AND(OR(N1299="131",O1299="131"),H1299='131-CT'!$H$9),"x","")</f>
        <v/>
      </c>
      <c r="Z1299" s="84"/>
      <c r="AA1299" s="84" t="str">
        <f>IF(AND(MONTH(E1299)='IN-NX'!$J$5,'IN-NX'!$D$7=D1299),"x","")</f>
        <v/>
      </c>
      <c r="AB1299" s="84" t="str">
        <f>IF(AND(OR(LEFT(TH!N1299,2)="15",LEFT(TH!O1299,2)="15"),LEFT(TH!O1299,3)&lt;&gt;"111",'152-CT'!$J$8=TH!F1299),"x","")</f>
        <v/>
      </c>
      <c r="AC1299" s="84" t="str">
        <f>IF(AND(OR(LEFT(TH!N1299,2)="15",LEFT(TH!O1299,2)="15"),TK!$E$7=TH!F1299),"x","")</f>
        <v/>
      </c>
      <c r="AD1299" s="84" t="str">
        <f>IF(AND(N1299="1521",MONTH(C1299)='BK-NL'!$M$11),"x","")</f>
        <v/>
      </c>
    </row>
    <row r="1300" spans="1:31" ht="15.75" hidden="1" customHeight="1">
      <c r="A1300" s="336" t="str">
        <f>IF(B1300&lt;&gt;"",IF(AND(B1300='IN-TC'!$S$4,OR(TH!N1300="1111",TH!O1300="1111")),TH!D1300,""),"")</f>
        <v/>
      </c>
      <c r="B1300" s="63">
        <f t="shared" si="188"/>
        <v>4</v>
      </c>
      <c r="C1300" s="64">
        <f t="shared" si="192"/>
        <v>42475</v>
      </c>
      <c r="D1300" s="64" t="s">
        <v>705</v>
      </c>
      <c r="E1300" s="64">
        <v>42475</v>
      </c>
      <c r="F1300" s="514" t="s">
        <v>1063</v>
      </c>
      <c r="G1300" s="982" t="s">
        <v>918</v>
      </c>
      <c r="H1300" s="73" t="s">
        <v>732</v>
      </c>
      <c r="I1300" s="439"/>
      <c r="J1300" s="439"/>
      <c r="K1300" s="430">
        <v>148.11000000000001</v>
      </c>
      <c r="L1300" s="439">
        <v>22260</v>
      </c>
      <c r="M1300" s="65">
        <f t="shared" si="193"/>
        <v>3296929</v>
      </c>
      <c r="N1300" s="66" t="s">
        <v>99</v>
      </c>
      <c r="O1300" s="66" t="s">
        <v>266</v>
      </c>
      <c r="P1300" s="84" t="str">
        <f>IF(AND('331-CT'!$E$7=TH!H1300,OR(N1300="331",O1300="331")),"x","")</f>
        <v/>
      </c>
      <c r="Q1300" s="84" t="str">
        <f>IF(AND(B1300='111'!$L$11,OR($N1300=$Q$7,$O1300=$Q$7)),"x","")</f>
        <v/>
      </c>
      <c r="R1300" s="84" t="str">
        <f>IF(AND($N1300=$Q$7,$B1300&lt;'111'!$L$11),"x","")</f>
        <v/>
      </c>
      <c r="S1300" s="84" t="str">
        <f>IF(AND($O1300=$Q$7,$B1300&lt;'111'!$L$11),"x","")</f>
        <v/>
      </c>
      <c r="T1300" s="84" t="str">
        <f>IF(ISERROR(FIND('112'!$M$9,G1300,1)),"",IF((AND(FIND('112'!$M$9,G1300,1)&gt;=1,B1300='112'!$K$9,OR($N1300='112'!$I$6,$O1300='112'!$I$6))),"x",""))</f>
        <v/>
      </c>
      <c r="U1300" s="84" t="str">
        <f>IF(ISERROR(FIND('112'!$M$9,G1300,1)),"",IF((AND(LEFT(G1300,2)=LEFT('112'!$M$9,2),B1300&lt;'112'!$K$9,$N1300='112'!$I$6)),"x",""))</f>
        <v/>
      </c>
      <c r="V1300" s="84" t="str">
        <f>IF(ISERROR(FIND('112'!$M$9,G1300,1)),"",IF((AND(RIGHT(G1300,2)=RIGHT('112'!$M$9,2),B1300&lt;'112'!$K$9,$O1300='112'!$I$6)),"x",""))</f>
        <v/>
      </c>
      <c r="W1300" s="84" t="str">
        <f>IF(AND('341-CT'!$H$9=H1300,OR(LEFT(N1300,3)=$W$7,LEFT(O1300,3)=$W$7)),"x","")</f>
        <v/>
      </c>
      <c r="X1300" s="84" t="str">
        <f>IF(OR(TH!N1300=TH!$X$7,O1300=TH!$X$7),"x","")</f>
        <v/>
      </c>
      <c r="Y1300" s="84" t="str">
        <f>IF(AND(OR(N1300="131",O1300="131"),H1300='131-CT'!$H$9),"x","")</f>
        <v/>
      </c>
      <c r="Z1300" s="84"/>
      <c r="AA1300" s="84" t="str">
        <f>IF(AND(MONTH(E1300)='IN-NX'!$J$5,'IN-NX'!$D$7=D1300),"x","")</f>
        <v/>
      </c>
      <c r="AB1300" s="84" t="str">
        <f>IF(AND(OR(LEFT(TH!N1300,2)="15",LEFT(TH!O1300,2)="15"),LEFT(TH!O1300,3)&lt;&gt;"111",'152-CT'!$J$8=TH!F1300),"x","")</f>
        <v/>
      </c>
      <c r="AC1300" s="84" t="str">
        <f>IF(AND(OR(LEFT(TH!N1300,2)="15",LEFT(TH!O1300,2)="15"),TK!$E$7=TH!F1300),"x","")</f>
        <v/>
      </c>
      <c r="AD1300" s="84" t="str">
        <f>IF(AND(N1300="1521",MONTH(C1300)='BK-NL'!$M$11),"x","")</f>
        <v/>
      </c>
    </row>
    <row r="1301" spans="1:31" ht="15.75" hidden="1" customHeight="1">
      <c r="A1301" s="336" t="str">
        <f>IF(B1301&lt;&gt;"",IF(AND(B1301='IN-TC'!$S$4,OR(TH!N1301="1111",TH!O1301="1111")),TH!D1301,""),"")</f>
        <v/>
      </c>
      <c r="B1301" s="63">
        <f t="shared" si="188"/>
        <v>4</v>
      </c>
      <c r="C1301" s="64">
        <f t="shared" si="192"/>
        <v>42475</v>
      </c>
      <c r="D1301" s="64" t="s">
        <v>705</v>
      </c>
      <c r="E1301" s="64">
        <v>42475</v>
      </c>
      <c r="F1301" s="514" t="s">
        <v>1705</v>
      </c>
      <c r="G1301" s="982" t="s">
        <v>918</v>
      </c>
      <c r="H1301" s="73" t="s">
        <v>742</v>
      </c>
      <c r="I1301" s="439"/>
      <c r="J1301" s="439"/>
      <c r="K1301" s="430">
        <v>180.14</v>
      </c>
      <c r="L1301" s="439">
        <v>22260</v>
      </c>
      <c r="M1301" s="65">
        <f t="shared" si="193"/>
        <v>4009916</v>
      </c>
      <c r="N1301" s="66" t="s">
        <v>99</v>
      </c>
      <c r="O1301" s="66" t="s">
        <v>266</v>
      </c>
      <c r="P1301" s="84" t="str">
        <f>IF(AND('331-CT'!$E$7=TH!H1301,OR(N1301="331",O1301="331")),"x","")</f>
        <v/>
      </c>
      <c r="Q1301" s="84" t="str">
        <f>IF(AND(B1301='111'!$L$11,OR($N1301=$Q$7,$O1301=$Q$7)),"x","")</f>
        <v/>
      </c>
      <c r="R1301" s="84" t="str">
        <f>IF(AND($N1301=$Q$7,$B1301&lt;'111'!$L$11),"x","")</f>
        <v/>
      </c>
      <c r="S1301" s="84" t="str">
        <f>IF(AND($O1301=$Q$7,$B1301&lt;'111'!$L$11),"x","")</f>
        <v/>
      </c>
      <c r="T1301" s="84" t="str">
        <f>IF(ISERROR(FIND('112'!$M$9,G1301,1)),"",IF((AND(FIND('112'!$M$9,G1301,1)&gt;=1,B1301='112'!$K$9,OR($N1301='112'!$I$6,$O1301='112'!$I$6))),"x",""))</f>
        <v/>
      </c>
      <c r="U1301" s="84" t="str">
        <f>IF(ISERROR(FIND('112'!$M$9,G1301,1)),"",IF((AND(LEFT(G1301,2)=LEFT('112'!$M$9,2),B1301&lt;'112'!$K$9,$N1301='112'!$I$6)),"x",""))</f>
        <v/>
      </c>
      <c r="V1301" s="84" t="str">
        <f>IF(ISERROR(FIND('112'!$M$9,G1301,1)),"",IF((AND(RIGHT(G1301,2)=RIGHT('112'!$M$9,2),B1301&lt;'112'!$K$9,$O1301='112'!$I$6)),"x",""))</f>
        <v/>
      </c>
      <c r="W1301" s="84" t="str">
        <f>IF(AND('341-CT'!$H$9=H1301,OR(LEFT(N1301,3)=$W$7,LEFT(O1301,3)=$W$7)),"x","")</f>
        <v/>
      </c>
      <c r="X1301" s="84" t="str">
        <f>IF(OR(TH!N1301=TH!$X$7,O1301=TH!$X$7),"x","")</f>
        <v/>
      </c>
      <c r="Y1301" s="84" t="str">
        <f>IF(AND(OR(N1301="131",O1301="131"),H1301='131-CT'!$H$9),"x","")</f>
        <v/>
      </c>
      <c r="Z1301" s="84"/>
      <c r="AA1301" s="84" t="str">
        <f>IF(AND(MONTH(E1301)='IN-NX'!$J$5,'IN-NX'!$D$7=D1301),"x","")</f>
        <v/>
      </c>
      <c r="AB1301" s="84" t="str">
        <f>IF(AND(OR(LEFT(TH!N1301,2)="15",LEFT(TH!O1301,2)="15"),LEFT(TH!O1301,3)&lt;&gt;"111",'152-CT'!$J$8=TH!F1301),"x","")</f>
        <v/>
      </c>
      <c r="AC1301" s="84" t="str">
        <f>IF(AND(OR(LEFT(TH!N1301,2)="15",LEFT(TH!O1301,2)="15"),TK!$E$7=TH!F1301),"x","")</f>
        <v/>
      </c>
      <c r="AD1301" s="84" t="str">
        <f>IF(AND(N1301="1521",MONTH(C1301)='BK-NL'!$M$11),"x","")</f>
        <v/>
      </c>
    </row>
    <row r="1302" spans="1:31" ht="15.75" hidden="1" customHeight="1">
      <c r="A1302" s="336" t="str">
        <f>IF(B1302&lt;&gt;"",IF(AND(B1302='IN-TC'!$S$4,OR(TH!N1302="1111",TH!O1302="1111")),TH!D1302,""),"")</f>
        <v/>
      </c>
      <c r="B1302" s="63">
        <f t="shared" si="188"/>
        <v>4</v>
      </c>
      <c r="C1302" s="64">
        <f t="shared" si="192"/>
        <v>42481</v>
      </c>
      <c r="D1302" s="64" t="s">
        <v>705</v>
      </c>
      <c r="E1302" s="64">
        <v>42481</v>
      </c>
      <c r="F1302" s="73" t="s">
        <v>1445</v>
      </c>
      <c r="G1302" s="982" t="s">
        <v>920</v>
      </c>
      <c r="H1302" s="73"/>
      <c r="I1302" s="439"/>
      <c r="J1302" s="439"/>
      <c r="K1302" s="430">
        <v>3900</v>
      </c>
      <c r="L1302" s="439">
        <v>22260</v>
      </c>
      <c r="M1302" s="65">
        <f t="shared" si="193"/>
        <v>86814000</v>
      </c>
      <c r="N1302" s="66" t="s">
        <v>26</v>
      </c>
      <c r="O1302" s="66" t="s">
        <v>266</v>
      </c>
      <c r="P1302" s="84" t="str">
        <f>IF(AND('331-CT'!$E$7=TH!H1302,OR(N1302="331",O1302="331")),"x","")</f>
        <v/>
      </c>
      <c r="Q1302" s="84" t="str">
        <f>IF(AND(B1302='111'!$L$11,OR($N1302=$Q$7,$O1302=$Q$7)),"x","")</f>
        <v/>
      </c>
      <c r="R1302" s="84" t="str">
        <f>IF(AND($N1302=$Q$7,$B1302&lt;'111'!$L$11),"x","")</f>
        <v/>
      </c>
      <c r="S1302" s="84" t="str">
        <f>IF(AND($O1302=$Q$7,$B1302&lt;'111'!$L$11),"x","")</f>
        <v/>
      </c>
      <c r="T1302" s="84" t="str">
        <f>IF(ISERROR(FIND('112'!$M$9,G1302,1)),"",IF((AND(FIND('112'!$M$9,G1302,1)&gt;=1,B1302='112'!$K$9,OR($N1302='112'!$I$6,$O1302='112'!$I$6))),"x",""))</f>
        <v/>
      </c>
      <c r="U1302" s="84" t="str">
        <f>IF(ISERROR(FIND('112'!$M$9,G1302,1)),"",IF((AND(LEFT(G1302,2)=LEFT('112'!$M$9,2),B1302&lt;'112'!$K$9,$N1302='112'!$I$6)),"x",""))</f>
        <v>x</v>
      </c>
      <c r="V1302" s="84" t="str">
        <f>IF(ISERROR(FIND('112'!$M$9,G1302,1)),"",IF((AND(RIGHT(G1302,2)=RIGHT('112'!$M$9,2),B1302&lt;'112'!$K$9,$O1302='112'!$I$6)),"x",""))</f>
        <v/>
      </c>
      <c r="W1302" s="84" t="str">
        <f>IF(AND('341-CT'!$H$9=H1302,OR(LEFT(N1302,3)=$W$7,LEFT(O1302,3)=$W$7)),"x","")</f>
        <v/>
      </c>
      <c r="X1302" s="84" t="str">
        <f>IF(OR(TH!N1302=TH!$X$7,O1302=TH!$X$7),"x","")</f>
        <v/>
      </c>
      <c r="Y1302" s="84" t="str">
        <f>IF(AND(OR(N1302="131",O1302="131"),H1302='131-CT'!$H$9),"x","")</f>
        <v/>
      </c>
      <c r="Z1302" s="84"/>
      <c r="AA1302" s="84" t="str">
        <f>IF(AND(MONTH(E1302)='IN-NX'!$J$5,'IN-NX'!$D$7=D1302),"x","")</f>
        <v/>
      </c>
      <c r="AB1302" s="84" t="str">
        <f>IF(AND(OR(LEFT(TH!N1302,2)="15",LEFT(TH!O1302,2)="15"),LEFT(TH!O1302,3)&lt;&gt;"111",'152-CT'!$J$8=TH!F1302),"x","")</f>
        <v/>
      </c>
      <c r="AC1302" s="84" t="str">
        <f>IF(AND(OR(LEFT(TH!N1302,2)="15",LEFT(TH!O1302,2)="15"),TK!$E$7=TH!F1302),"x","")</f>
        <v/>
      </c>
      <c r="AD1302" s="84" t="str">
        <f>IF(AND(N1302="1521",MONTH(C1302)='BK-NL'!$M$11),"x","")</f>
        <v/>
      </c>
    </row>
    <row r="1303" spans="1:31" ht="15.75" hidden="1" customHeight="1">
      <c r="A1303" s="336" t="str">
        <f>IF(B1303&lt;&gt;"",IF(AND(B1303='IN-TC'!$S$4,OR(TH!N1303="1111",TH!O1303="1111")),TH!D1303,""),"")</f>
        <v/>
      </c>
      <c r="B1303" s="63">
        <f t="shared" si="188"/>
        <v>4</v>
      </c>
      <c r="C1303" s="64">
        <f t="shared" ref="C1303:C1341" si="194">E1303</f>
        <v>42468</v>
      </c>
      <c r="D1303" s="64" t="s">
        <v>705</v>
      </c>
      <c r="E1303" s="64">
        <v>42468</v>
      </c>
      <c r="F1303" s="73" t="s">
        <v>1446</v>
      </c>
      <c r="G1303" s="982" t="s">
        <v>918</v>
      </c>
      <c r="H1303" s="73" t="s">
        <v>1430</v>
      </c>
      <c r="I1303" s="439"/>
      <c r="J1303" s="439"/>
      <c r="K1303" s="430"/>
      <c r="L1303" s="439"/>
      <c r="M1303" s="65">
        <v>1000000</v>
      </c>
      <c r="N1303" s="321" t="s">
        <v>8</v>
      </c>
      <c r="O1303" s="66" t="s">
        <v>26</v>
      </c>
      <c r="P1303" s="84" t="str">
        <f>IF(AND('331-CT'!$E$7=TH!H1303,OR(N1303="331",O1303="331")),"x","")</f>
        <v/>
      </c>
      <c r="Q1303" s="84" t="str">
        <f>IF(AND(B1303='111'!$L$11,OR($N1303=$Q$7,$O1303=$Q$7)),"x","")</f>
        <v/>
      </c>
      <c r="R1303" s="84" t="str">
        <f>IF(AND($N1303=$Q$7,$B1303&lt;'111'!$L$11),"x","")</f>
        <v/>
      </c>
      <c r="S1303" s="84" t="str">
        <f>IF(AND($O1303=$Q$7,$B1303&lt;'111'!$L$11),"x","")</f>
        <v/>
      </c>
      <c r="T1303" s="84" t="str">
        <f>IF(ISERROR(FIND('112'!$M$9,G1303,1)),"",IF((AND(FIND('112'!$M$9,G1303,1)&gt;=1,B1303='112'!$K$9,OR($N1303='112'!$I$6,$O1303='112'!$I$6))),"x",""))</f>
        <v/>
      </c>
      <c r="U1303" s="84" t="str">
        <f>IF(ISERROR(FIND('112'!$M$9,G1303,1)),"",IF((AND(LEFT(G1303,2)=LEFT('112'!$M$9,2),B1303&lt;'112'!$K$9,$N1303='112'!$I$6)),"x",""))</f>
        <v/>
      </c>
      <c r="V1303" s="84" t="str">
        <f>IF(ISERROR(FIND('112'!$M$9,G1303,1)),"",IF((AND(RIGHT(G1303,2)=RIGHT('112'!$M$9,2),B1303&lt;'112'!$K$9,$O1303='112'!$I$6)),"x",""))</f>
        <v/>
      </c>
      <c r="W1303" s="84" t="str">
        <f>IF(AND('341-CT'!$H$9=H1303,OR(LEFT(N1303,3)=$W$7,LEFT(O1303,3)=$W$7)),"x","")</f>
        <v/>
      </c>
      <c r="X1303" s="84" t="str">
        <f>IF(OR(TH!N1303=TH!$X$7,O1303=TH!$X$7),"x","")</f>
        <v/>
      </c>
      <c r="Y1303" s="84" t="str">
        <f>IF(AND(OR(N1303="131",O1303="131"),H1303='131-CT'!$H$9),"x","")</f>
        <v/>
      </c>
      <c r="Z1303" s="84"/>
      <c r="AA1303" s="84" t="str">
        <f>IF(AND(MONTH(E1303)='IN-NX'!$J$5,'IN-NX'!$D$7=D1303),"x","")</f>
        <v/>
      </c>
      <c r="AB1303" s="84" t="str">
        <f>IF(AND(OR(LEFT(TH!N1303,2)="15",LEFT(TH!O1303,2)="15"),LEFT(TH!O1303,3)&lt;&gt;"111",'152-CT'!$J$8=TH!F1303),"x","")</f>
        <v/>
      </c>
      <c r="AC1303" s="84" t="str">
        <f>IF(AND(OR(LEFT(TH!N1303,2)="15",LEFT(TH!O1303,2)="15"),TK!$E$7=TH!F1303),"x","")</f>
        <v/>
      </c>
      <c r="AD1303" s="84" t="str">
        <f>IF(AND(N1303="1521",MONTH(C1303)='BK-NL'!$M$11),"x","")</f>
        <v/>
      </c>
      <c r="AE1303" s="1146" t="str">
        <f>IF(H1303&lt;&gt;VLOOKUP(H1303,DSKH,1,0),"","x")</f>
        <v>x</v>
      </c>
    </row>
    <row r="1304" spans="1:31" ht="15.75" hidden="1" customHeight="1">
      <c r="A1304" s="336" t="str">
        <f>IF(B1304&lt;&gt;"",IF(AND(B1304='IN-TC'!$S$4,OR(TH!N1304="1111",TH!O1304="1111")),TH!D1304,""),"")</f>
        <v/>
      </c>
      <c r="B1304" s="63">
        <f t="shared" si="188"/>
        <v>4</v>
      </c>
      <c r="C1304" s="64">
        <f t="shared" si="194"/>
        <v>42468</v>
      </c>
      <c r="D1304" s="64" t="s">
        <v>705</v>
      </c>
      <c r="E1304" s="64">
        <v>42468</v>
      </c>
      <c r="F1304" s="73" t="s">
        <v>1199</v>
      </c>
      <c r="G1304" s="982" t="s">
        <v>918</v>
      </c>
      <c r="H1304" s="73"/>
      <c r="I1304" s="439"/>
      <c r="J1304" s="439"/>
      <c r="K1304" s="430"/>
      <c r="L1304" s="439"/>
      <c r="M1304" s="65">
        <v>20000</v>
      </c>
      <c r="N1304" s="66" t="s">
        <v>101</v>
      </c>
      <c r="O1304" s="66" t="s">
        <v>26</v>
      </c>
      <c r="P1304" s="84" t="str">
        <f>IF(AND('331-CT'!$E$7=TH!H1304,OR(N1304="331",O1304="331")),"x","")</f>
        <v/>
      </c>
      <c r="Q1304" s="84" t="str">
        <f>IF(AND(B1304='111'!$L$11,OR($N1304=$Q$7,$O1304=$Q$7)),"x","")</f>
        <v/>
      </c>
      <c r="R1304" s="84" t="str">
        <f>IF(AND($N1304=$Q$7,$B1304&lt;'111'!$L$11),"x","")</f>
        <v/>
      </c>
      <c r="S1304" s="84" t="str">
        <f>IF(AND($O1304=$Q$7,$B1304&lt;'111'!$L$11),"x","")</f>
        <v/>
      </c>
      <c r="T1304" s="84" t="str">
        <f>IF(ISERROR(FIND('112'!$M$9,G1304,1)),"",IF((AND(FIND('112'!$M$9,G1304,1)&gt;=1,B1304='112'!$K$9,OR($N1304='112'!$I$6,$O1304='112'!$I$6))),"x",""))</f>
        <v/>
      </c>
      <c r="U1304" s="84" t="str">
        <f>IF(ISERROR(FIND('112'!$M$9,G1304,1)),"",IF((AND(LEFT(G1304,2)=LEFT('112'!$M$9,2),B1304&lt;'112'!$K$9,$N1304='112'!$I$6)),"x",""))</f>
        <v/>
      </c>
      <c r="V1304" s="84" t="str">
        <f>IF(ISERROR(FIND('112'!$M$9,G1304,1)),"",IF((AND(RIGHT(G1304,2)=RIGHT('112'!$M$9,2),B1304&lt;'112'!$K$9,$O1304='112'!$I$6)),"x",""))</f>
        <v/>
      </c>
      <c r="W1304" s="84" t="str">
        <f>IF(AND('341-CT'!$H$9=H1304,OR(LEFT(N1304,3)=$W$7,LEFT(O1304,3)=$W$7)),"x","")</f>
        <v/>
      </c>
      <c r="X1304" s="84" t="str">
        <f>IF(OR(TH!N1304=TH!$X$7,O1304=TH!$X$7),"x","")</f>
        <v/>
      </c>
      <c r="Y1304" s="84" t="str">
        <f>IF(AND(OR(N1304="131",O1304="131"),H1304='131-CT'!$H$9),"x","")</f>
        <v/>
      </c>
      <c r="Z1304" s="84"/>
      <c r="AA1304" s="84" t="str">
        <f>IF(AND(MONTH(E1304)='IN-NX'!$J$5,'IN-NX'!$D$7=D1304),"x","")</f>
        <v/>
      </c>
      <c r="AB1304" s="84" t="str">
        <f>IF(AND(OR(LEFT(TH!N1304,2)="15",LEFT(TH!O1304,2)="15"),LEFT(TH!O1304,3)&lt;&gt;"111",'152-CT'!$J$8=TH!F1304),"x","")</f>
        <v/>
      </c>
      <c r="AC1304" s="84" t="str">
        <f>IF(AND(OR(LEFT(TH!N1304,2)="15",LEFT(TH!O1304,2)="15"),TK!$E$7=TH!F1304),"x","")</f>
        <v/>
      </c>
      <c r="AD1304" s="84" t="str">
        <f>IF(AND(N1304="1521",MONTH(C1304)='BK-NL'!$M$11),"x","")</f>
        <v/>
      </c>
    </row>
    <row r="1305" spans="1:31" ht="15.75" hidden="1" customHeight="1">
      <c r="A1305" s="336" t="str">
        <f>IF(B1305&lt;&gt;"",IF(AND(B1305='IN-TC'!$S$4,OR(TH!N1305="1111",TH!O1305="1111")),TH!D1305,""),"")</f>
        <v/>
      </c>
      <c r="B1305" s="63">
        <f t="shared" si="188"/>
        <v>4</v>
      </c>
      <c r="C1305" s="64">
        <f t="shared" si="194"/>
        <v>42468</v>
      </c>
      <c r="D1305" s="64" t="s">
        <v>705</v>
      </c>
      <c r="E1305" s="64">
        <v>42468</v>
      </c>
      <c r="F1305" s="73" t="s">
        <v>1200</v>
      </c>
      <c r="G1305" s="982" t="s">
        <v>918</v>
      </c>
      <c r="H1305" s="73"/>
      <c r="I1305" s="439"/>
      <c r="J1305" s="439"/>
      <c r="K1305" s="430"/>
      <c r="L1305" s="439"/>
      <c r="M1305" s="65">
        <v>2000</v>
      </c>
      <c r="N1305" s="66" t="s">
        <v>9</v>
      </c>
      <c r="O1305" s="66" t="s">
        <v>26</v>
      </c>
      <c r="P1305" s="84" t="str">
        <f>IF(AND('331-CT'!$E$7=TH!H1305,OR(N1305="331",O1305="331")),"x","")</f>
        <v/>
      </c>
      <c r="Q1305" s="84" t="str">
        <f>IF(AND(B1305='111'!$L$11,OR($N1305=$Q$7,$O1305=$Q$7)),"x","")</f>
        <v/>
      </c>
      <c r="R1305" s="84" t="str">
        <f>IF(AND($N1305=$Q$7,$B1305&lt;'111'!$L$11),"x","")</f>
        <v/>
      </c>
      <c r="S1305" s="84" t="str">
        <f>IF(AND($O1305=$Q$7,$B1305&lt;'111'!$L$11),"x","")</f>
        <v/>
      </c>
      <c r="T1305" s="84" t="str">
        <f>IF(ISERROR(FIND('112'!$M$9,G1305,1)),"",IF((AND(FIND('112'!$M$9,G1305,1)&gt;=1,B1305='112'!$K$9,OR($N1305='112'!$I$6,$O1305='112'!$I$6))),"x",""))</f>
        <v/>
      </c>
      <c r="U1305" s="84" t="str">
        <f>IF(ISERROR(FIND('112'!$M$9,G1305,1)),"",IF((AND(LEFT(G1305,2)=LEFT('112'!$M$9,2),B1305&lt;'112'!$K$9,$N1305='112'!$I$6)),"x",""))</f>
        <v/>
      </c>
      <c r="V1305" s="84" t="str">
        <f>IF(ISERROR(FIND('112'!$M$9,G1305,1)),"",IF((AND(RIGHT(G1305,2)=RIGHT('112'!$M$9,2),B1305&lt;'112'!$K$9,$O1305='112'!$I$6)),"x",""))</f>
        <v/>
      </c>
      <c r="W1305" s="84" t="str">
        <f>IF(AND('341-CT'!$H$9=H1305,OR(LEFT(N1305,3)=$W$7,LEFT(O1305,3)=$W$7)),"x","")</f>
        <v/>
      </c>
      <c r="X1305" s="84" t="str">
        <f>IF(OR(TH!N1305=TH!$X$7,O1305=TH!$X$7),"x","")</f>
        <v/>
      </c>
      <c r="Y1305" s="84" t="str">
        <f>IF(AND(OR(N1305="131",O1305="131"),H1305='131-CT'!$H$9),"x","")</f>
        <v/>
      </c>
      <c r="Z1305" s="84"/>
      <c r="AA1305" s="84" t="str">
        <f>IF(AND(MONTH(E1305)='IN-NX'!$J$5,'IN-NX'!$D$7=D1305),"x","")</f>
        <v/>
      </c>
      <c r="AB1305" s="84" t="str">
        <f>IF(AND(OR(LEFT(TH!N1305,2)="15",LEFT(TH!O1305,2)="15"),LEFT(TH!O1305,3)&lt;&gt;"111",'152-CT'!$J$8=TH!F1305),"x","")</f>
        <v/>
      </c>
      <c r="AC1305" s="84" t="str">
        <f>IF(AND(OR(LEFT(TH!N1305,2)="15",LEFT(TH!O1305,2)="15"),TK!$E$7=TH!F1305),"x","")</f>
        <v/>
      </c>
      <c r="AD1305" s="84" t="str">
        <f>IF(AND(N1305="1521",MONTH(C1305)='BK-NL'!$M$11),"x","")</f>
        <v/>
      </c>
    </row>
    <row r="1306" spans="1:31" ht="15.75" hidden="1" customHeight="1">
      <c r="A1306" s="336" t="str">
        <f>IF(B1306&lt;&gt;"",IF(AND(B1306='IN-TC'!$S$4,OR(TH!N1306="1111",TH!O1306="1111")),TH!D1306,""),"")</f>
        <v/>
      </c>
      <c r="B1306" s="63">
        <f t="shared" si="188"/>
        <v>4</v>
      </c>
      <c r="C1306" s="64">
        <f t="shared" si="194"/>
        <v>42466</v>
      </c>
      <c r="D1306" s="64" t="s">
        <v>705</v>
      </c>
      <c r="E1306" s="64">
        <v>42466</v>
      </c>
      <c r="F1306" s="73" t="s">
        <v>1192</v>
      </c>
      <c r="G1306" s="982" t="s">
        <v>919</v>
      </c>
      <c r="H1306" s="73"/>
      <c r="I1306" s="439"/>
      <c r="J1306" s="439"/>
      <c r="K1306" s="430"/>
      <c r="L1306" s="439"/>
      <c r="M1306" s="65">
        <v>333900</v>
      </c>
      <c r="N1306" s="66" t="s">
        <v>101</v>
      </c>
      <c r="O1306" s="66" t="s">
        <v>26</v>
      </c>
      <c r="P1306" s="84" t="str">
        <f>IF(AND('331-CT'!$E$7=TH!H1306,OR(N1306="331",O1306="331")),"x","")</f>
        <v/>
      </c>
      <c r="Q1306" s="84" t="str">
        <f>IF(AND(B1306='111'!$L$11,OR($N1306=$Q$7,$O1306=$Q$7)),"x","")</f>
        <v/>
      </c>
      <c r="R1306" s="84" t="str">
        <f>IF(AND($N1306=$Q$7,$B1306&lt;'111'!$L$11),"x","")</f>
        <v/>
      </c>
      <c r="S1306" s="84" t="str">
        <f>IF(AND($O1306=$Q$7,$B1306&lt;'111'!$L$11),"x","")</f>
        <v/>
      </c>
      <c r="T1306" s="84" t="str">
        <f>IF(ISERROR(FIND('112'!$M$9,G1306,1)),"",IF((AND(FIND('112'!$M$9,G1306,1)&gt;=1,B1306='112'!$K$9,OR($N1306='112'!$I$6,$O1306='112'!$I$6))),"x",""))</f>
        <v/>
      </c>
      <c r="U1306" s="84" t="str">
        <f>IF(ISERROR(FIND('112'!$M$9,G1306,1)),"",IF((AND(LEFT(G1306,2)=LEFT('112'!$M$9,2),B1306&lt;'112'!$K$9,$N1306='112'!$I$6)),"x",""))</f>
        <v/>
      </c>
      <c r="V1306" s="84" t="str">
        <f>IF(ISERROR(FIND('112'!$M$9,G1306,1)),"",IF((AND(RIGHT(G1306,2)=RIGHT('112'!$M$9,2),B1306&lt;'112'!$K$9,$O1306='112'!$I$6)),"x",""))</f>
        <v>x</v>
      </c>
      <c r="W1306" s="84" t="str">
        <f>IF(AND('341-CT'!$H$9=H1306,OR(LEFT(N1306,3)=$W$7,LEFT(O1306,3)=$W$7)),"x","")</f>
        <v/>
      </c>
      <c r="X1306" s="84" t="str">
        <f>IF(OR(TH!N1306=TH!$X$7,O1306=TH!$X$7),"x","")</f>
        <v/>
      </c>
      <c r="Y1306" s="84" t="str">
        <f>IF(AND(OR(N1306="131",O1306="131"),H1306='131-CT'!$H$9),"x","")</f>
        <v/>
      </c>
      <c r="Z1306" s="84"/>
      <c r="AA1306" s="84" t="str">
        <f>IF(AND(MONTH(E1306)='IN-NX'!$J$5,'IN-NX'!$D$7=D1306),"x","")</f>
        <v/>
      </c>
      <c r="AB1306" s="84" t="str">
        <f>IF(AND(OR(LEFT(TH!N1306,2)="15",LEFT(TH!O1306,2)="15"),LEFT(TH!O1306,3)&lt;&gt;"111",'152-CT'!$J$8=TH!F1306),"x","")</f>
        <v/>
      </c>
      <c r="AC1306" s="84" t="str">
        <f>IF(AND(OR(LEFT(TH!N1306,2)="15",LEFT(TH!O1306,2)="15"),TK!$E$7=TH!F1306),"x","")</f>
        <v/>
      </c>
      <c r="AD1306" s="84" t="str">
        <f>IF(AND(N1306="1521",MONTH(C1306)='BK-NL'!$M$11),"x","")</f>
        <v/>
      </c>
    </row>
    <row r="1307" spans="1:31" ht="15.75" hidden="1" customHeight="1">
      <c r="A1307" s="336" t="str">
        <f>IF(B1307&lt;&gt;"",IF(AND(B1307='IN-TC'!$S$4,OR(TH!N1307="1111",TH!O1307="1111")),TH!D1307,""),"")</f>
        <v/>
      </c>
      <c r="B1307" s="63">
        <f t="shared" si="188"/>
        <v>4</v>
      </c>
      <c r="C1307" s="64">
        <f t="shared" si="194"/>
        <v>42466</v>
      </c>
      <c r="D1307" s="64" t="s">
        <v>705</v>
      </c>
      <c r="E1307" s="64">
        <v>42466</v>
      </c>
      <c r="F1307" s="73" t="s">
        <v>1193</v>
      </c>
      <c r="G1307" s="982" t="s">
        <v>919</v>
      </c>
      <c r="H1307" s="73"/>
      <c r="I1307" s="439"/>
      <c r="J1307" s="439"/>
      <c r="K1307" s="430"/>
      <c r="L1307" s="439"/>
      <c r="M1307" s="65">
        <v>33390</v>
      </c>
      <c r="N1307" s="66" t="s">
        <v>9</v>
      </c>
      <c r="O1307" s="66" t="s">
        <v>26</v>
      </c>
      <c r="P1307" s="84" t="str">
        <f>IF(AND('331-CT'!$E$7=TH!H1307,OR(N1307="331",O1307="331")),"x","")</f>
        <v/>
      </c>
      <c r="Q1307" s="84" t="str">
        <f>IF(AND(B1307='111'!$L$11,OR($N1307=$Q$7,$O1307=$Q$7)),"x","")</f>
        <v/>
      </c>
      <c r="R1307" s="84" t="str">
        <f>IF(AND($N1307=$Q$7,$B1307&lt;'111'!$L$11),"x","")</f>
        <v/>
      </c>
      <c r="S1307" s="84" t="str">
        <f>IF(AND($O1307=$Q$7,$B1307&lt;'111'!$L$11),"x","")</f>
        <v/>
      </c>
      <c r="T1307" s="84" t="str">
        <f>IF(ISERROR(FIND('112'!$M$9,G1307,1)),"",IF((AND(FIND('112'!$M$9,G1307,1)&gt;=1,B1307='112'!$K$9,OR($N1307='112'!$I$6,$O1307='112'!$I$6))),"x",""))</f>
        <v/>
      </c>
      <c r="U1307" s="84" t="str">
        <f>IF(ISERROR(FIND('112'!$M$9,G1307,1)),"",IF((AND(LEFT(G1307,2)=LEFT('112'!$M$9,2),B1307&lt;'112'!$K$9,$N1307='112'!$I$6)),"x",""))</f>
        <v/>
      </c>
      <c r="V1307" s="84" t="str">
        <f>IF(ISERROR(FIND('112'!$M$9,G1307,1)),"",IF((AND(RIGHT(G1307,2)=RIGHT('112'!$M$9,2),B1307&lt;'112'!$K$9,$O1307='112'!$I$6)),"x",""))</f>
        <v>x</v>
      </c>
      <c r="W1307" s="84" t="str">
        <f>IF(AND('341-CT'!$H$9=H1307,OR(LEFT(N1307,3)=$W$7,LEFT(O1307,3)=$W$7)),"x","")</f>
        <v/>
      </c>
      <c r="X1307" s="84" t="str">
        <f>IF(OR(TH!N1307=TH!$X$7,O1307=TH!$X$7),"x","")</f>
        <v/>
      </c>
      <c r="Y1307" s="84" t="str">
        <f>IF(AND(OR(N1307="131",O1307="131"),H1307='131-CT'!$H$9),"x","")</f>
        <v/>
      </c>
      <c r="Z1307" s="84"/>
      <c r="AA1307" s="84" t="str">
        <f>IF(AND(MONTH(E1307)='IN-NX'!$J$5,'IN-NX'!$D$7=D1307),"x","")</f>
        <v/>
      </c>
      <c r="AB1307" s="84" t="str">
        <f>IF(AND(OR(LEFT(TH!N1307,2)="15",LEFT(TH!O1307,2)="15"),LEFT(TH!O1307,3)&lt;&gt;"111",'152-CT'!$J$8=TH!F1307),"x","")</f>
        <v/>
      </c>
      <c r="AC1307" s="84" t="str">
        <f>IF(AND(OR(LEFT(TH!N1307,2)="15",LEFT(TH!O1307,2)="15"),TK!$E$7=TH!F1307),"x","")</f>
        <v/>
      </c>
      <c r="AD1307" s="84" t="str">
        <f>IF(AND(N1307="1521",MONTH(C1307)='BK-NL'!$M$11),"x","")</f>
        <v/>
      </c>
    </row>
    <row r="1308" spans="1:31" ht="15.75" hidden="1" customHeight="1">
      <c r="A1308" s="336" t="str">
        <f>IF(B1308&lt;&gt;"",IF(AND(B1308='IN-TC'!$S$4,OR(TH!N1308="1111",TH!O1308="1111")),TH!D1308,""),"")</f>
        <v/>
      </c>
      <c r="B1308" s="63">
        <f t="shared" si="188"/>
        <v>4</v>
      </c>
      <c r="C1308" s="64">
        <f t="shared" si="194"/>
        <v>42466</v>
      </c>
      <c r="D1308" s="64" t="s">
        <v>705</v>
      </c>
      <c r="E1308" s="64">
        <v>42466</v>
      </c>
      <c r="F1308" s="73" t="s">
        <v>1048</v>
      </c>
      <c r="G1308" s="982" t="s">
        <v>919</v>
      </c>
      <c r="H1308" s="344" t="s">
        <v>720</v>
      </c>
      <c r="I1308" s="439"/>
      <c r="J1308" s="439"/>
      <c r="K1308" s="430"/>
      <c r="L1308" s="439"/>
      <c r="M1308" s="65">
        <v>1203494</v>
      </c>
      <c r="N1308" s="66" t="s">
        <v>99</v>
      </c>
      <c r="O1308" s="66" t="s">
        <v>26</v>
      </c>
      <c r="P1308" s="84" t="str">
        <f>IF(AND('331-CT'!$E$7=TH!H1308,OR(N1308="331",O1308="331")),"x","")</f>
        <v/>
      </c>
      <c r="Q1308" s="84" t="str">
        <f>IF(AND(B1308='111'!$L$11,OR($N1308=$Q$7,$O1308=$Q$7)),"x","")</f>
        <v/>
      </c>
      <c r="R1308" s="84" t="str">
        <f>IF(AND($N1308=$Q$7,$B1308&lt;'111'!$L$11),"x","")</f>
        <v/>
      </c>
      <c r="S1308" s="84" t="str">
        <f>IF(AND($O1308=$Q$7,$B1308&lt;'111'!$L$11),"x","")</f>
        <v/>
      </c>
      <c r="T1308" s="84" t="str">
        <f>IF(ISERROR(FIND('112'!$M$9,G1308,1)),"",IF((AND(FIND('112'!$M$9,G1308,1)&gt;=1,B1308='112'!$K$9,OR($N1308='112'!$I$6,$O1308='112'!$I$6))),"x",""))</f>
        <v/>
      </c>
      <c r="U1308" s="84" t="str">
        <f>IF(ISERROR(FIND('112'!$M$9,G1308,1)),"",IF((AND(LEFT(G1308,2)=LEFT('112'!$M$9,2),B1308&lt;'112'!$K$9,$N1308='112'!$I$6)),"x",""))</f>
        <v/>
      </c>
      <c r="V1308" s="84" t="str">
        <f>IF(ISERROR(FIND('112'!$M$9,G1308,1)),"",IF((AND(RIGHT(G1308,2)=RIGHT('112'!$M$9,2),B1308&lt;'112'!$K$9,$O1308='112'!$I$6)),"x",""))</f>
        <v>x</v>
      </c>
      <c r="W1308" s="84" t="str">
        <f>IF(AND('341-CT'!$H$9=H1308,OR(LEFT(N1308,3)=$W$7,LEFT(O1308,3)=$W$7)),"x","")</f>
        <v/>
      </c>
      <c r="X1308" s="84" t="str">
        <f>IF(OR(TH!N1308=TH!$X$7,O1308=TH!$X$7),"x","")</f>
        <v/>
      </c>
      <c r="Y1308" s="84" t="str">
        <f>IF(AND(OR(N1308="131",O1308="131"),H1308='131-CT'!$H$9),"x","")</f>
        <v/>
      </c>
      <c r="Z1308" s="84"/>
      <c r="AA1308" s="84" t="str">
        <f>IF(AND(MONTH(E1308)='IN-NX'!$J$5,'IN-NX'!$D$7=D1308),"x","")</f>
        <v/>
      </c>
      <c r="AB1308" s="84" t="str">
        <f>IF(AND(OR(LEFT(TH!N1308,2)="15",LEFT(TH!O1308,2)="15"),LEFT(TH!O1308,3)&lt;&gt;"111",'152-CT'!$J$8=TH!F1308),"x","")</f>
        <v/>
      </c>
      <c r="AC1308" s="84" t="str">
        <f>IF(AND(OR(LEFT(TH!N1308,2)="15",LEFT(TH!O1308,2)="15"),TK!$E$7=TH!F1308),"x","")</f>
        <v/>
      </c>
      <c r="AD1308" s="84" t="str">
        <f>IF(AND(N1308="1521",MONTH(C1308)='BK-NL'!$M$11),"x","")</f>
        <v/>
      </c>
    </row>
    <row r="1309" spans="1:31" ht="15.75" hidden="1" customHeight="1">
      <c r="A1309" s="336" t="str">
        <f>IF(B1309&lt;&gt;"",IF(AND(B1309='IN-TC'!$S$4,OR(TH!N1309="1111",TH!O1309="1111")),TH!D1309,""),"")</f>
        <v/>
      </c>
      <c r="B1309" s="63">
        <f t="shared" si="188"/>
        <v>4</v>
      </c>
      <c r="C1309" s="64">
        <f t="shared" si="194"/>
        <v>42466</v>
      </c>
      <c r="D1309" s="64" t="s">
        <v>705</v>
      </c>
      <c r="E1309" s="64">
        <v>42466</v>
      </c>
      <c r="F1309" s="73" t="s">
        <v>1049</v>
      </c>
      <c r="G1309" s="982" t="s">
        <v>919</v>
      </c>
      <c r="H1309" s="344" t="s">
        <v>713</v>
      </c>
      <c r="I1309" s="439"/>
      <c r="J1309" s="439"/>
      <c r="K1309" s="430"/>
      <c r="L1309" s="439"/>
      <c r="M1309" s="65">
        <v>2881735</v>
      </c>
      <c r="N1309" s="66" t="s">
        <v>99</v>
      </c>
      <c r="O1309" s="66" t="s">
        <v>26</v>
      </c>
      <c r="P1309" s="84" t="str">
        <f>IF(AND('331-CT'!$E$7=TH!H1309,OR(N1309="331",O1309="331")),"x","")</f>
        <v/>
      </c>
      <c r="Q1309" s="84" t="str">
        <f>IF(AND(B1309='111'!$L$11,OR($N1309=$Q$7,$O1309=$Q$7)),"x","")</f>
        <v/>
      </c>
      <c r="R1309" s="84" t="str">
        <f>IF(AND($N1309=$Q$7,$B1309&lt;'111'!$L$11),"x","")</f>
        <v/>
      </c>
      <c r="S1309" s="84" t="str">
        <f>IF(AND($O1309=$Q$7,$B1309&lt;'111'!$L$11),"x","")</f>
        <v/>
      </c>
      <c r="T1309" s="84" t="str">
        <f>IF(ISERROR(FIND('112'!$M$9,G1309,1)),"",IF((AND(FIND('112'!$M$9,G1309,1)&gt;=1,B1309='112'!$K$9,OR($N1309='112'!$I$6,$O1309='112'!$I$6))),"x",""))</f>
        <v/>
      </c>
      <c r="U1309" s="84" t="str">
        <f>IF(ISERROR(FIND('112'!$M$9,G1309,1)),"",IF((AND(LEFT(G1309,2)=LEFT('112'!$M$9,2),B1309&lt;'112'!$K$9,$N1309='112'!$I$6)),"x",""))</f>
        <v/>
      </c>
      <c r="V1309" s="84" t="str">
        <f>IF(ISERROR(FIND('112'!$M$9,G1309,1)),"",IF((AND(RIGHT(G1309,2)=RIGHT('112'!$M$9,2),B1309&lt;'112'!$K$9,$O1309='112'!$I$6)),"x",""))</f>
        <v>x</v>
      </c>
      <c r="W1309" s="84" t="str">
        <f>IF(AND('341-CT'!$H$9=H1309,OR(LEFT(N1309,3)=$W$7,LEFT(O1309,3)=$W$7)),"x","")</f>
        <v/>
      </c>
      <c r="X1309" s="84" t="str">
        <f>IF(OR(TH!N1309=TH!$X$7,O1309=TH!$X$7),"x","")</f>
        <v/>
      </c>
      <c r="Y1309" s="84" t="str">
        <f>IF(AND(OR(N1309="131",O1309="131"),H1309='131-CT'!$H$9),"x","")</f>
        <v/>
      </c>
      <c r="Z1309" s="84"/>
      <c r="AA1309" s="84" t="str">
        <f>IF(AND(MONTH(E1309)='IN-NX'!$J$5,'IN-NX'!$D$7=D1309),"x","")</f>
        <v/>
      </c>
      <c r="AB1309" s="84" t="str">
        <f>IF(AND(OR(LEFT(TH!N1309,2)="15",LEFT(TH!O1309,2)="15"),LEFT(TH!O1309,3)&lt;&gt;"111",'152-CT'!$J$8=TH!F1309),"x","")</f>
        <v/>
      </c>
      <c r="AC1309" s="84" t="str">
        <f>IF(AND(OR(LEFT(TH!N1309,2)="15",LEFT(TH!O1309,2)="15"),TK!$E$7=TH!F1309),"x","")</f>
        <v/>
      </c>
      <c r="AD1309" s="84" t="str">
        <f>IF(AND(N1309="1521",MONTH(C1309)='BK-NL'!$M$11),"x","")</f>
        <v/>
      </c>
    </row>
    <row r="1310" spans="1:31" ht="15.75" hidden="1" customHeight="1">
      <c r="A1310" s="336" t="str">
        <f>IF(B1310&lt;&gt;"",IF(AND(B1310='IN-TC'!$S$4,OR(TH!N1310="1111",TH!O1310="1111")),TH!D1310,""),"")</f>
        <v/>
      </c>
      <c r="B1310" s="63">
        <f t="shared" si="188"/>
        <v>4</v>
      </c>
      <c r="C1310" s="64">
        <f t="shared" si="194"/>
        <v>42466</v>
      </c>
      <c r="D1310" s="64" t="s">
        <v>705</v>
      </c>
      <c r="E1310" s="64">
        <v>42466</v>
      </c>
      <c r="F1310" s="73" t="s">
        <v>1050</v>
      </c>
      <c r="G1310" s="982" t="s">
        <v>919</v>
      </c>
      <c r="H1310" s="344" t="s">
        <v>714</v>
      </c>
      <c r="I1310" s="439"/>
      <c r="J1310" s="439"/>
      <c r="K1310" s="430"/>
      <c r="L1310" s="439"/>
      <c r="M1310" s="65">
        <v>1774440</v>
      </c>
      <c r="N1310" s="66" t="s">
        <v>99</v>
      </c>
      <c r="O1310" s="66" t="s">
        <v>26</v>
      </c>
      <c r="P1310" s="84" t="str">
        <f>IF(AND('331-CT'!$E$7=TH!H1310,OR(N1310="331",O1310="331")),"x","")</f>
        <v/>
      </c>
      <c r="Q1310" s="84" t="str">
        <f>IF(AND(B1310='111'!$L$11,OR($N1310=$Q$7,$O1310=$Q$7)),"x","")</f>
        <v/>
      </c>
      <c r="R1310" s="84" t="str">
        <f>IF(AND($N1310=$Q$7,$B1310&lt;'111'!$L$11),"x","")</f>
        <v/>
      </c>
      <c r="S1310" s="84" t="str">
        <f>IF(AND($O1310=$Q$7,$B1310&lt;'111'!$L$11),"x","")</f>
        <v/>
      </c>
      <c r="T1310" s="84" t="str">
        <f>IF(ISERROR(FIND('112'!$M$9,G1310,1)),"",IF((AND(FIND('112'!$M$9,G1310,1)&gt;=1,B1310='112'!$K$9,OR($N1310='112'!$I$6,$O1310='112'!$I$6))),"x",""))</f>
        <v/>
      </c>
      <c r="U1310" s="84" t="str">
        <f>IF(ISERROR(FIND('112'!$M$9,G1310,1)),"",IF((AND(LEFT(G1310,2)=LEFT('112'!$M$9,2),B1310&lt;'112'!$K$9,$N1310='112'!$I$6)),"x",""))</f>
        <v/>
      </c>
      <c r="V1310" s="84" t="str">
        <f>IF(ISERROR(FIND('112'!$M$9,G1310,1)),"",IF((AND(RIGHT(G1310,2)=RIGHT('112'!$M$9,2),B1310&lt;'112'!$K$9,$O1310='112'!$I$6)),"x",""))</f>
        <v>x</v>
      </c>
      <c r="W1310" s="84" t="str">
        <f>IF(AND('341-CT'!$H$9=H1310,OR(LEFT(N1310,3)=$W$7,LEFT(O1310,3)=$W$7)),"x","")</f>
        <v/>
      </c>
      <c r="X1310" s="84" t="str">
        <f>IF(OR(TH!N1310=TH!$X$7,O1310=TH!$X$7),"x","")</f>
        <v/>
      </c>
      <c r="Y1310" s="84" t="str">
        <f>IF(AND(OR(N1310="131",O1310="131"),H1310='131-CT'!$H$9),"x","")</f>
        <v/>
      </c>
      <c r="Z1310" s="84"/>
      <c r="AA1310" s="84" t="str">
        <f>IF(AND(MONTH(E1310)='IN-NX'!$J$5,'IN-NX'!$D$7=D1310),"x","")</f>
        <v/>
      </c>
      <c r="AB1310" s="84" t="str">
        <f>IF(AND(OR(LEFT(TH!N1310,2)="15",LEFT(TH!O1310,2)="15"),LEFT(TH!O1310,3)&lt;&gt;"111",'152-CT'!$J$8=TH!F1310),"x","")</f>
        <v/>
      </c>
      <c r="AC1310" s="84" t="str">
        <f>IF(AND(OR(LEFT(TH!N1310,2)="15",LEFT(TH!O1310,2)="15"),TK!$E$7=TH!F1310),"x","")</f>
        <v/>
      </c>
      <c r="AD1310" s="84" t="str">
        <f>IF(AND(N1310="1521",MONTH(C1310)='BK-NL'!$M$11),"x","")</f>
        <v/>
      </c>
    </row>
    <row r="1311" spans="1:31" ht="15.75" hidden="1" customHeight="1">
      <c r="A1311" s="336" t="str">
        <f>IF(B1311&lt;&gt;"",IF(AND(B1311='IN-TC'!$S$4,OR(TH!N1311="1111",TH!O1311="1111")),TH!D1311,""),"")</f>
        <v/>
      </c>
      <c r="B1311" s="63">
        <f t="shared" si="188"/>
        <v>4</v>
      </c>
      <c r="C1311" s="64">
        <f t="shared" si="194"/>
        <v>42466</v>
      </c>
      <c r="D1311" s="64" t="s">
        <v>705</v>
      </c>
      <c r="E1311" s="64">
        <v>42466</v>
      </c>
      <c r="F1311" s="73" t="s">
        <v>1051</v>
      </c>
      <c r="G1311" s="982" t="s">
        <v>919</v>
      </c>
      <c r="H1311" s="344" t="s">
        <v>721</v>
      </c>
      <c r="I1311" s="439"/>
      <c r="J1311" s="439"/>
      <c r="K1311" s="430"/>
      <c r="L1311" s="439"/>
      <c r="M1311" s="65">
        <v>2483993</v>
      </c>
      <c r="N1311" s="66" t="s">
        <v>99</v>
      </c>
      <c r="O1311" s="66" t="s">
        <v>26</v>
      </c>
      <c r="P1311" s="84" t="str">
        <f>IF(AND('331-CT'!$E$7=TH!H1311,OR(N1311="331",O1311="331")),"x","")</f>
        <v/>
      </c>
      <c r="Q1311" s="84" t="str">
        <f>IF(AND(B1311='111'!$L$11,OR($N1311=$Q$7,$O1311=$Q$7)),"x","")</f>
        <v/>
      </c>
      <c r="R1311" s="84" t="str">
        <f>IF(AND($N1311=$Q$7,$B1311&lt;'111'!$L$11),"x","")</f>
        <v/>
      </c>
      <c r="S1311" s="84" t="str">
        <f>IF(AND($O1311=$Q$7,$B1311&lt;'111'!$L$11),"x","")</f>
        <v/>
      </c>
      <c r="T1311" s="84" t="str">
        <f>IF(ISERROR(FIND('112'!$M$9,G1311,1)),"",IF((AND(FIND('112'!$M$9,G1311,1)&gt;=1,B1311='112'!$K$9,OR($N1311='112'!$I$6,$O1311='112'!$I$6))),"x",""))</f>
        <v/>
      </c>
      <c r="U1311" s="84" t="str">
        <f>IF(ISERROR(FIND('112'!$M$9,G1311,1)),"",IF((AND(LEFT(G1311,2)=LEFT('112'!$M$9,2),B1311&lt;'112'!$K$9,$N1311='112'!$I$6)),"x",""))</f>
        <v/>
      </c>
      <c r="V1311" s="84" t="str">
        <f>IF(ISERROR(FIND('112'!$M$9,G1311,1)),"",IF((AND(RIGHT(G1311,2)=RIGHT('112'!$M$9,2),B1311&lt;'112'!$K$9,$O1311='112'!$I$6)),"x",""))</f>
        <v>x</v>
      </c>
      <c r="W1311" s="84" t="str">
        <f>IF(AND('341-CT'!$H$9=H1311,OR(LEFT(N1311,3)=$W$7,LEFT(O1311,3)=$W$7)),"x","")</f>
        <v/>
      </c>
      <c r="X1311" s="84" t="str">
        <f>IF(OR(TH!N1311=TH!$X$7,O1311=TH!$X$7),"x","")</f>
        <v/>
      </c>
      <c r="Y1311" s="84" t="str">
        <f>IF(AND(OR(N1311="131",O1311="131"),H1311='131-CT'!$H$9),"x","")</f>
        <v/>
      </c>
      <c r="Z1311" s="84"/>
      <c r="AA1311" s="84" t="str">
        <f>IF(AND(MONTH(E1311)='IN-NX'!$J$5,'IN-NX'!$D$7=D1311),"x","")</f>
        <v/>
      </c>
      <c r="AB1311" s="84" t="str">
        <f>IF(AND(OR(LEFT(TH!N1311,2)="15",LEFT(TH!O1311,2)="15"),LEFT(TH!O1311,3)&lt;&gt;"111",'152-CT'!$J$8=TH!F1311),"x","")</f>
        <v/>
      </c>
      <c r="AC1311" s="84" t="str">
        <f>IF(AND(OR(LEFT(TH!N1311,2)="15",LEFT(TH!O1311,2)="15"),TK!$E$7=TH!F1311),"x","")</f>
        <v/>
      </c>
      <c r="AD1311" s="84" t="str">
        <f>IF(AND(N1311="1521",MONTH(C1311)='BK-NL'!$M$11),"x","")</f>
        <v/>
      </c>
    </row>
    <row r="1312" spans="1:31" ht="15.75" hidden="1" customHeight="1">
      <c r="A1312" s="336" t="str">
        <f>IF(B1312&lt;&gt;"",IF(AND(B1312='IN-TC'!$S$4,OR(TH!N1312="1111",TH!O1312="1111")),TH!D1312,""),"")</f>
        <v/>
      </c>
      <c r="B1312" s="63">
        <f t="shared" si="188"/>
        <v>4</v>
      </c>
      <c r="C1312" s="64">
        <f t="shared" si="194"/>
        <v>42468</v>
      </c>
      <c r="D1312" s="64" t="s">
        <v>705</v>
      </c>
      <c r="E1312" s="64">
        <v>42468</v>
      </c>
      <c r="F1312" s="73" t="s">
        <v>1447</v>
      </c>
      <c r="G1312" s="982" t="s">
        <v>919</v>
      </c>
      <c r="H1312" s="344" t="s">
        <v>632</v>
      </c>
      <c r="I1312" s="439"/>
      <c r="J1312" s="439"/>
      <c r="K1312" s="430"/>
      <c r="L1312" s="439"/>
      <c r="M1312" s="65">
        <v>22186560</v>
      </c>
      <c r="N1312" s="321" t="s">
        <v>8</v>
      </c>
      <c r="O1312" s="66" t="s">
        <v>26</v>
      </c>
      <c r="P1312" s="84" t="str">
        <f>IF(AND('331-CT'!$E$7=TH!H1312,OR(N1312="331",O1312="331")),"x","")</f>
        <v/>
      </c>
      <c r="Q1312" s="84" t="str">
        <f>IF(AND(B1312='111'!$L$11,OR($N1312=$Q$7,$O1312=$Q$7)),"x","")</f>
        <v/>
      </c>
      <c r="R1312" s="84" t="str">
        <f>IF(AND($N1312=$Q$7,$B1312&lt;'111'!$L$11),"x","")</f>
        <v/>
      </c>
      <c r="S1312" s="84" t="str">
        <f>IF(AND($O1312=$Q$7,$B1312&lt;'111'!$L$11),"x","")</f>
        <v/>
      </c>
      <c r="T1312" s="84" t="str">
        <f>IF(ISERROR(FIND('112'!$M$9,G1312,1)),"",IF((AND(FIND('112'!$M$9,G1312,1)&gt;=1,B1312='112'!$K$9,OR($N1312='112'!$I$6,$O1312='112'!$I$6))),"x",""))</f>
        <v/>
      </c>
      <c r="U1312" s="84" t="str">
        <f>IF(ISERROR(FIND('112'!$M$9,G1312,1)),"",IF((AND(LEFT(G1312,2)=LEFT('112'!$M$9,2),B1312&lt;'112'!$K$9,$N1312='112'!$I$6)),"x",""))</f>
        <v/>
      </c>
      <c r="V1312" s="84" t="str">
        <f>IF(ISERROR(FIND('112'!$M$9,G1312,1)),"",IF((AND(RIGHT(G1312,2)=RIGHT('112'!$M$9,2),B1312&lt;'112'!$K$9,$O1312='112'!$I$6)),"x",""))</f>
        <v>x</v>
      </c>
      <c r="W1312" s="84" t="str">
        <f>IF(AND('341-CT'!$H$9=H1312,OR(LEFT(N1312,3)=$W$7,LEFT(O1312,3)=$W$7)),"x","")</f>
        <v/>
      </c>
      <c r="X1312" s="84" t="str">
        <f>IF(OR(TH!N1312=TH!$X$7,O1312=TH!$X$7),"x","")</f>
        <v/>
      </c>
      <c r="Y1312" s="84" t="str">
        <f>IF(AND(OR(N1312="131",O1312="131"),H1312='131-CT'!$H$9),"x","")</f>
        <v/>
      </c>
      <c r="Z1312" s="84"/>
      <c r="AA1312" s="84" t="str">
        <f>IF(AND(MONTH(E1312)='IN-NX'!$J$5,'IN-NX'!$D$7=D1312),"x","")</f>
        <v/>
      </c>
      <c r="AB1312" s="84" t="str">
        <f>IF(AND(OR(LEFT(TH!N1312,2)="15",LEFT(TH!O1312,2)="15"),LEFT(TH!O1312,3)&lt;&gt;"111",'152-CT'!$J$8=TH!F1312),"x","")</f>
        <v/>
      </c>
      <c r="AC1312" s="84" t="str">
        <f>IF(AND(OR(LEFT(TH!N1312,2)="15",LEFT(TH!O1312,2)="15"),TK!$E$7=TH!F1312),"x","")</f>
        <v/>
      </c>
      <c r="AD1312" s="84" t="str">
        <f>IF(AND(N1312="1521",MONTH(C1312)='BK-NL'!$M$11),"x","")</f>
        <v/>
      </c>
      <c r="AE1312" s="1146" t="str">
        <f>IF(H1312&lt;&gt;VLOOKUP(H1312,DSKH,1,0),"","x")</f>
        <v>x</v>
      </c>
    </row>
    <row r="1313" spans="1:30" ht="15.75" hidden="1" customHeight="1">
      <c r="A1313" s="336" t="str">
        <f>IF(B1313&lt;&gt;"",IF(AND(B1313='IN-TC'!$S$4,OR(TH!N1313="1111",TH!O1313="1111")),TH!D1313,""),"")</f>
        <v/>
      </c>
      <c r="B1313" s="63">
        <f t="shared" si="188"/>
        <v>4</v>
      </c>
      <c r="C1313" s="64">
        <f t="shared" si="194"/>
        <v>42468</v>
      </c>
      <c r="D1313" s="64" t="s">
        <v>705</v>
      </c>
      <c r="E1313" s="64">
        <v>42468</v>
      </c>
      <c r="F1313" s="73" t="s">
        <v>1199</v>
      </c>
      <c r="G1313" s="982" t="s">
        <v>919</v>
      </c>
      <c r="H1313" s="73"/>
      <c r="I1313" s="439"/>
      <c r="J1313" s="439"/>
      <c r="K1313" s="430"/>
      <c r="L1313" s="439"/>
      <c r="M1313" s="65">
        <v>45000</v>
      </c>
      <c r="N1313" s="66" t="s">
        <v>101</v>
      </c>
      <c r="O1313" s="66" t="s">
        <v>26</v>
      </c>
      <c r="P1313" s="84" t="str">
        <f>IF(AND('331-CT'!$E$7=TH!H1313,OR(N1313="331",O1313="331")),"x","")</f>
        <v/>
      </c>
      <c r="Q1313" s="84" t="str">
        <f>IF(AND(B1313='111'!$L$11,OR($N1313=$Q$7,$O1313=$Q$7)),"x","")</f>
        <v/>
      </c>
      <c r="R1313" s="84" t="str">
        <f>IF(AND($N1313=$Q$7,$B1313&lt;'111'!$L$11),"x","")</f>
        <v/>
      </c>
      <c r="S1313" s="84" t="str">
        <f>IF(AND($O1313=$Q$7,$B1313&lt;'111'!$L$11),"x","")</f>
        <v/>
      </c>
      <c r="T1313" s="84" t="str">
        <f>IF(ISERROR(FIND('112'!$M$9,G1313,1)),"",IF((AND(FIND('112'!$M$9,G1313,1)&gt;=1,B1313='112'!$K$9,OR($N1313='112'!$I$6,$O1313='112'!$I$6))),"x",""))</f>
        <v/>
      </c>
      <c r="U1313" s="84" t="str">
        <f>IF(ISERROR(FIND('112'!$M$9,G1313,1)),"",IF((AND(LEFT(G1313,2)=LEFT('112'!$M$9,2),B1313&lt;'112'!$K$9,$N1313='112'!$I$6)),"x",""))</f>
        <v/>
      </c>
      <c r="V1313" s="84" t="str">
        <f>IF(ISERROR(FIND('112'!$M$9,G1313,1)),"",IF((AND(RIGHT(G1313,2)=RIGHT('112'!$M$9,2),B1313&lt;'112'!$K$9,$O1313='112'!$I$6)),"x",""))</f>
        <v>x</v>
      </c>
      <c r="W1313" s="84" t="str">
        <f>IF(AND('341-CT'!$H$9=H1313,OR(LEFT(N1313,3)=$W$7,LEFT(O1313,3)=$W$7)),"x","")</f>
        <v/>
      </c>
      <c r="X1313" s="84" t="str">
        <f>IF(OR(TH!N1313=TH!$X$7,O1313=TH!$X$7),"x","")</f>
        <v/>
      </c>
      <c r="Y1313" s="84" t="str">
        <f>IF(AND(OR(N1313="131",O1313="131"),H1313='131-CT'!$H$9),"x","")</f>
        <v/>
      </c>
      <c r="Z1313" s="84"/>
      <c r="AA1313" s="84" t="str">
        <f>IF(AND(MONTH(E1313)='IN-NX'!$J$5,'IN-NX'!$D$7=D1313),"x","")</f>
        <v/>
      </c>
      <c r="AB1313" s="84" t="str">
        <f>IF(AND(OR(LEFT(TH!N1313,2)="15",LEFT(TH!O1313,2)="15"),LEFT(TH!O1313,3)&lt;&gt;"111",'152-CT'!$J$8=TH!F1313),"x","")</f>
        <v/>
      </c>
      <c r="AC1313" s="84" t="str">
        <f>IF(AND(OR(LEFT(TH!N1313,2)="15",LEFT(TH!O1313,2)="15"),TK!$E$7=TH!F1313),"x","")</f>
        <v/>
      </c>
      <c r="AD1313" s="84" t="str">
        <f>IF(AND(N1313="1521",MONTH(C1313)='BK-NL'!$M$11),"x","")</f>
        <v/>
      </c>
    </row>
    <row r="1314" spans="1:30" ht="15.75" hidden="1" customHeight="1">
      <c r="A1314" s="336" t="str">
        <f>IF(B1314&lt;&gt;"",IF(AND(B1314='IN-TC'!$S$4,OR(TH!N1314="1111",TH!O1314="1111")),TH!D1314,""),"")</f>
        <v/>
      </c>
      <c r="B1314" s="63">
        <f t="shared" si="188"/>
        <v>4</v>
      </c>
      <c r="C1314" s="64">
        <f t="shared" si="194"/>
        <v>42468</v>
      </c>
      <c r="D1314" s="64" t="s">
        <v>705</v>
      </c>
      <c r="E1314" s="64">
        <v>42468</v>
      </c>
      <c r="F1314" s="73" t="s">
        <v>1200</v>
      </c>
      <c r="G1314" s="982" t="s">
        <v>919</v>
      </c>
      <c r="H1314" s="73"/>
      <c r="I1314" s="439"/>
      <c r="J1314" s="439"/>
      <c r="K1314" s="430"/>
      <c r="L1314" s="439"/>
      <c r="M1314" s="65">
        <v>4500</v>
      </c>
      <c r="N1314" s="66" t="s">
        <v>9</v>
      </c>
      <c r="O1314" s="66" t="s">
        <v>26</v>
      </c>
      <c r="P1314" s="84" t="str">
        <f>IF(AND('331-CT'!$E$7=TH!H1314,OR(N1314="331",O1314="331")),"x","")</f>
        <v/>
      </c>
      <c r="Q1314" s="84" t="str">
        <f>IF(AND(B1314='111'!$L$11,OR($N1314=$Q$7,$O1314=$Q$7)),"x","")</f>
        <v/>
      </c>
      <c r="R1314" s="84" t="str">
        <f>IF(AND($N1314=$Q$7,$B1314&lt;'111'!$L$11),"x","")</f>
        <v/>
      </c>
      <c r="S1314" s="84" t="str">
        <f>IF(AND($O1314=$Q$7,$B1314&lt;'111'!$L$11),"x","")</f>
        <v/>
      </c>
      <c r="T1314" s="84" t="str">
        <f>IF(ISERROR(FIND('112'!$M$9,G1314,1)),"",IF((AND(FIND('112'!$M$9,G1314,1)&gt;=1,B1314='112'!$K$9,OR($N1314='112'!$I$6,$O1314='112'!$I$6))),"x",""))</f>
        <v/>
      </c>
      <c r="U1314" s="84" t="str">
        <f>IF(ISERROR(FIND('112'!$M$9,G1314,1)),"",IF((AND(LEFT(G1314,2)=LEFT('112'!$M$9,2),B1314&lt;'112'!$K$9,$N1314='112'!$I$6)),"x",""))</f>
        <v/>
      </c>
      <c r="V1314" s="84" t="str">
        <f>IF(ISERROR(FIND('112'!$M$9,G1314,1)),"",IF((AND(RIGHT(G1314,2)=RIGHT('112'!$M$9,2),B1314&lt;'112'!$K$9,$O1314='112'!$I$6)),"x",""))</f>
        <v>x</v>
      </c>
      <c r="W1314" s="84" t="str">
        <f>IF(AND('341-CT'!$H$9=H1314,OR(LEFT(N1314,3)=$W$7,LEFT(O1314,3)=$W$7)),"x","")</f>
        <v/>
      </c>
      <c r="X1314" s="84" t="str">
        <f>IF(OR(TH!N1314=TH!$X$7,O1314=TH!$X$7),"x","")</f>
        <v/>
      </c>
      <c r="Y1314" s="84" t="str">
        <f>IF(AND(OR(N1314="131",O1314="131"),H1314='131-CT'!$H$9),"x","")</f>
        <v/>
      </c>
      <c r="Z1314" s="84"/>
      <c r="AA1314" s="84" t="str">
        <f>IF(AND(MONTH(E1314)='IN-NX'!$J$5,'IN-NX'!$D$7=D1314),"x","")</f>
        <v/>
      </c>
      <c r="AB1314" s="84" t="str">
        <f>IF(AND(OR(LEFT(TH!N1314,2)="15",LEFT(TH!O1314,2)="15"),LEFT(TH!O1314,3)&lt;&gt;"111",'152-CT'!$J$8=TH!F1314),"x","")</f>
        <v/>
      </c>
      <c r="AC1314" s="84" t="str">
        <f>IF(AND(OR(LEFT(TH!N1314,2)="15",LEFT(TH!O1314,2)="15"),TK!$E$7=TH!F1314),"x","")</f>
        <v/>
      </c>
      <c r="AD1314" s="84" t="str">
        <f>IF(AND(N1314="1521",MONTH(C1314)='BK-NL'!$M$11),"x","")</f>
        <v/>
      </c>
    </row>
    <row r="1315" spans="1:30" ht="15.75" hidden="1" customHeight="1">
      <c r="A1315" s="336" t="str">
        <f>IF(B1315&lt;&gt;"",IF(AND(B1315='IN-TC'!$S$4,OR(TH!N1315="1111",TH!O1315="1111")),TH!D1315,""),"")</f>
        <v/>
      </c>
      <c r="B1315" s="63">
        <f t="shared" si="188"/>
        <v>4</v>
      </c>
      <c r="C1315" s="64">
        <f t="shared" si="194"/>
        <v>42475</v>
      </c>
      <c r="D1315" s="64" t="s">
        <v>705</v>
      </c>
      <c r="E1315" s="64">
        <v>42475</v>
      </c>
      <c r="F1315" s="73" t="s">
        <v>1448</v>
      </c>
      <c r="G1315" s="982" t="s">
        <v>919</v>
      </c>
      <c r="H1315" s="73" t="s">
        <v>1449</v>
      </c>
      <c r="I1315" s="439"/>
      <c r="J1315" s="439"/>
      <c r="K1315" s="430"/>
      <c r="L1315" s="439"/>
      <c r="M1315" s="65">
        <v>19958000</v>
      </c>
      <c r="N1315" s="66" t="s">
        <v>26</v>
      </c>
      <c r="O1315" s="66" t="s">
        <v>593</v>
      </c>
      <c r="P1315" s="84" t="str">
        <f>IF(AND('331-CT'!$E$7=TH!H1315,OR(N1315="331",O1315="331")),"x","")</f>
        <v/>
      </c>
      <c r="Q1315" s="84" t="str">
        <f>IF(AND(B1315='111'!$L$11,OR($N1315=$Q$7,$O1315=$Q$7)),"x","")</f>
        <v/>
      </c>
      <c r="R1315" s="84" t="str">
        <f>IF(AND($N1315=$Q$7,$B1315&lt;'111'!$L$11),"x","")</f>
        <v/>
      </c>
      <c r="S1315" s="84" t="str">
        <f>IF(AND($O1315=$Q$7,$B1315&lt;'111'!$L$11),"x","")</f>
        <v/>
      </c>
      <c r="T1315" s="84" t="str">
        <f>IF(ISERROR(FIND('112'!$M$9,G1315,1)),"",IF((AND(FIND('112'!$M$9,G1315,1)&gt;=1,B1315='112'!$K$9,OR($N1315='112'!$I$6,$O1315='112'!$I$6))),"x",""))</f>
        <v/>
      </c>
      <c r="U1315" s="84" t="str">
        <f>IF(ISERROR(FIND('112'!$M$9,G1315,1)),"",IF((AND(LEFT(G1315,2)=LEFT('112'!$M$9,2),B1315&lt;'112'!$K$9,$N1315='112'!$I$6)),"x",""))</f>
        <v>x</v>
      </c>
      <c r="V1315" s="84" t="str">
        <f>IF(ISERROR(FIND('112'!$M$9,G1315,1)),"",IF((AND(RIGHT(G1315,2)=RIGHT('112'!$M$9,2),B1315&lt;'112'!$K$9,$O1315='112'!$I$6)),"x",""))</f>
        <v/>
      </c>
      <c r="W1315" s="84" t="str">
        <f>IF(AND('341-CT'!$H$9=H1315,OR(LEFT(N1315,3)=$W$7,LEFT(O1315,3)=$W$7)),"x","")</f>
        <v/>
      </c>
      <c r="X1315" s="84" t="str">
        <f>IF(OR(TH!N1315=TH!$X$7,O1315=TH!$X$7),"x","")</f>
        <v/>
      </c>
      <c r="Y1315" s="84" t="str">
        <f>IF(AND(OR(N1315="131",O1315="131"),H1315='131-CT'!$H$9),"x","")</f>
        <v/>
      </c>
      <c r="Z1315" s="84"/>
      <c r="AA1315" s="84" t="str">
        <f>IF(AND(MONTH(E1315)='IN-NX'!$J$5,'IN-NX'!$D$7=D1315),"x","")</f>
        <v/>
      </c>
      <c r="AB1315" s="84" t="str">
        <f>IF(AND(OR(LEFT(TH!N1315,2)="15",LEFT(TH!O1315,2)="15"),LEFT(TH!O1315,3)&lt;&gt;"111",'152-CT'!$J$8=TH!F1315),"x","")</f>
        <v/>
      </c>
      <c r="AC1315" s="84" t="str">
        <f>IF(AND(OR(LEFT(TH!N1315,2)="15",LEFT(TH!O1315,2)="15"),TK!$E$7=TH!F1315),"x","")</f>
        <v/>
      </c>
      <c r="AD1315" s="84" t="str">
        <f>IF(AND(N1315="1521",MONTH(C1315)='BK-NL'!$M$11),"x","")</f>
        <v/>
      </c>
    </row>
    <row r="1316" spans="1:30" s="351" customFormat="1" ht="15.75" hidden="1" customHeight="1">
      <c r="A1316" s="336" t="str">
        <f>IF(B1316&lt;&gt;"",IF(AND(B1316='IN-TC'!$S$4,OR(TH!N1316="1111",TH!O1316="1111")),TH!D1316,""),"")</f>
        <v/>
      </c>
      <c r="B1316" s="63">
        <f t="shared" si="188"/>
        <v>4</v>
      </c>
      <c r="C1316" s="64">
        <f t="shared" si="194"/>
        <v>42475</v>
      </c>
      <c r="D1316" s="64" t="s">
        <v>705</v>
      </c>
      <c r="E1316" s="64">
        <v>42475</v>
      </c>
      <c r="F1316" s="73" t="s">
        <v>1191</v>
      </c>
      <c r="G1316" s="982" t="s">
        <v>919</v>
      </c>
      <c r="H1316" s="1174" t="s">
        <v>1456</v>
      </c>
      <c r="I1316" s="439"/>
      <c r="J1316" s="439"/>
      <c r="K1316" s="430"/>
      <c r="L1316" s="439"/>
      <c r="M1316" s="65">
        <v>1600000000</v>
      </c>
      <c r="N1316" s="66" t="s">
        <v>26</v>
      </c>
      <c r="O1316" s="66" t="s">
        <v>260</v>
      </c>
      <c r="P1316" s="84" t="str">
        <f>IF(AND('331-CT'!$E$7=TH!H1316,OR(N1316="331",O1316="331")),"x","")</f>
        <v/>
      </c>
      <c r="Q1316" s="84" t="str">
        <f>IF(AND(B1316='111'!$L$11,OR($N1316=$Q$7,$O1316=$Q$7)),"x","")</f>
        <v/>
      </c>
      <c r="R1316" s="84" t="str">
        <f>IF(AND($N1316=$Q$7,$B1316&lt;'111'!$L$11),"x","")</f>
        <v/>
      </c>
      <c r="S1316" s="84" t="str">
        <f>IF(AND($O1316=$Q$7,$B1316&lt;'111'!$L$11),"x","")</f>
        <v/>
      </c>
      <c r="T1316" s="84" t="str">
        <f>IF(ISERROR(FIND('112'!$M$9,G1316,1)),"",IF((AND(FIND('112'!$M$9,G1316,1)&gt;=1,B1316='112'!$K$9,OR($N1316='112'!$I$6,$O1316='112'!$I$6))),"x",""))</f>
        <v/>
      </c>
      <c r="U1316" s="84" t="str">
        <f>IF(ISERROR(FIND('112'!$M$9,G1316,1)),"",IF((AND(LEFT(G1316,2)=LEFT('112'!$M$9,2),B1316&lt;'112'!$K$9,$N1316='112'!$I$6)),"x",""))</f>
        <v>x</v>
      </c>
      <c r="V1316" s="84" t="str">
        <f>IF(ISERROR(FIND('112'!$M$9,G1316,1)),"",IF((AND(RIGHT(G1316,2)=RIGHT('112'!$M$9,2),B1316&lt;'112'!$K$9,$O1316='112'!$I$6)),"x",""))</f>
        <v/>
      </c>
      <c r="W1316" s="84" t="str">
        <f>IF(AND('341-CT'!$H$9=H1316,OR(LEFT(N1316,3)=$W$7,LEFT(O1316,3)=$W$7)),"x","")</f>
        <v/>
      </c>
      <c r="X1316" s="84" t="str">
        <f>IF(OR(TH!N1316=TH!$X$7,O1316=TH!$X$7),"x","")</f>
        <v/>
      </c>
      <c r="Y1316" s="84" t="str">
        <f>IF(AND(OR(N1316="131",O1316="131"),H1316='131-CT'!$H$9),"x","")</f>
        <v/>
      </c>
      <c r="Z1316" s="84"/>
      <c r="AA1316" s="84" t="str">
        <f>IF(AND(MONTH(E1316)='IN-NX'!$J$5,'IN-NX'!$D$7=D1316),"x","")</f>
        <v/>
      </c>
      <c r="AB1316" s="84" t="str">
        <f>IF(AND(OR(LEFT(TH!N1316,2)="15",LEFT(TH!O1316,2)="15"),LEFT(TH!O1316,3)&lt;&gt;"111",'152-CT'!$J$8=TH!F1316),"x","")</f>
        <v/>
      </c>
      <c r="AC1316" s="84" t="str">
        <f>IF(AND(OR(LEFT(TH!N1316,2)="15",LEFT(TH!O1316,2)="15"),TK!$E$7=TH!F1316),"x","")</f>
        <v/>
      </c>
      <c r="AD1316" s="84" t="str">
        <f>IF(AND(N1316="1521",MONTH(C1316)='BK-NL'!$M$11),"x","")</f>
        <v/>
      </c>
    </row>
    <row r="1317" spans="1:30" s="351" customFormat="1" ht="15.75" hidden="1" customHeight="1">
      <c r="A1317" s="336" t="str">
        <f>IF(B1317&lt;&gt;"",IF(AND(B1317='IN-TC'!$S$4,OR(TH!N1317="1111",TH!O1317="1111")),TH!D1317,""),"")</f>
        <v/>
      </c>
      <c r="B1317" s="63">
        <f>IF(C1317&lt;&gt;"",MONTH(C1317),"")</f>
        <v>4</v>
      </c>
      <c r="C1317" s="64">
        <f>E1317</f>
        <v>42475</v>
      </c>
      <c r="D1317" s="64" t="s">
        <v>705</v>
      </c>
      <c r="E1317" s="64">
        <v>42475</v>
      </c>
      <c r="F1317" s="73" t="s">
        <v>614</v>
      </c>
      <c r="G1317" s="982" t="s">
        <v>919</v>
      </c>
      <c r="H1317" s="1174"/>
      <c r="I1317" s="439"/>
      <c r="J1317" s="439"/>
      <c r="K1317" s="430"/>
      <c r="L1317" s="439"/>
      <c r="M1317" s="65">
        <v>222800</v>
      </c>
      <c r="N1317" s="66" t="s">
        <v>101</v>
      </c>
      <c r="O1317" s="66" t="s">
        <v>26</v>
      </c>
      <c r="P1317" s="84" t="str">
        <f>IF(AND('331-CT'!$E$7=TH!H1317,OR(N1317="331",O1317="331")),"x","")</f>
        <v/>
      </c>
      <c r="Q1317" s="84" t="str">
        <f>IF(AND(B1317='111'!$L$11,OR($N1317=$Q$7,$O1317=$Q$7)),"x","")</f>
        <v/>
      </c>
      <c r="R1317" s="84" t="str">
        <f>IF(AND($N1317=$Q$7,$B1317&lt;'111'!$L$11),"x","")</f>
        <v/>
      </c>
      <c r="S1317" s="84" t="str">
        <f>IF(AND($O1317=$Q$7,$B1317&lt;'111'!$L$11),"x","")</f>
        <v/>
      </c>
      <c r="T1317" s="84" t="str">
        <f>IF(ISERROR(FIND('112'!$M$9,G1317,1)),"",IF((AND(FIND('112'!$M$9,G1317,1)&gt;=1,B1317='112'!$K$9,OR($N1317='112'!$I$6,$O1317='112'!$I$6))),"x",""))</f>
        <v/>
      </c>
      <c r="U1317" s="84" t="str">
        <f>IF(ISERROR(FIND('112'!$M$9,G1317,1)),"",IF((AND(LEFT(G1317,2)=LEFT('112'!$M$9,2),B1317&lt;'112'!$K$9,$N1317='112'!$I$6)),"x",""))</f>
        <v/>
      </c>
      <c r="V1317" s="84" t="str">
        <f>IF(ISERROR(FIND('112'!$M$9,G1317,1)),"",IF((AND(RIGHT(G1317,2)=RIGHT('112'!$M$9,2),B1317&lt;'112'!$K$9,$O1317='112'!$I$6)),"x",""))</f>
        <v>x</v>
      </c>
      <c r="W1317" s="84" t="str">
        <f>IF(AND('341-CT'!$H$9=H1317,OR(LEFT(N1317,3)=$W$7,LEFT(O1317,3)=$W$7)),"x","")</f>
        <v/>
      </c>
      <c r="X1317" s="84" t="str">
        <f>IF(OR(TH!N1317=TH!$X$7,O1317=TH!$X$7),"x","")</f>
        <v/>
      </c>
      <c r="Y1317" s="84" t="str">
        <f>IF(AND(OR(N1317="131",O1317="131"),H1317='131-CT'!$H$9),"x","")</f>
        <v/>
      </c>
      <c r="Z1317" s="84"/>
      <c r="AA1317" s="84" t="str">
        <f>IF(AND(MONTH(E1317)='IN-NX'!$J$5,'IN-NX'!$D$7=D1317),"x","")</f>
        <v/>
      </c>
      <c r="AB1317" s="84" t="str">
        <f>IF(AND(OR(LEFT(TH!N1317,2)="15",LEFT(TH!O1317,2)="15"),LEFT(TH!O1317,3)&lt;&gt;"111",'152-CT'!$J$8=TH!F1317),"x","")</f>
        <v/>
      </c>
      <c r="AC1317" s="84" t="str">
        <f>IF(AND(OR(LEFT(TH!N1317,2)="15",LEFT(TH!O1317,2)="15"),TK!$E$7=TH!F1317),"x","")</f>
        <v/>
      </c>
      <c r="AD1317" s="84" t="str">
        <f>IF(AND(N1317="1521",MONTH(C1317)='BK-NL'!$M$11),"x","")</f>
        <v/>
      </c>
    </row>
    <row r="1318" spans="1:30" s="351" customFormat="1" ht="15.75" hidden="1" customHeight="1">
      <c r="A1318" s="336" t="str">
        <f>IF(B1318&lt;&gt;"",IF(AND(B1318='IN-TC'!$S$4,OR(TH!N1318="1111",TH!O1318="1111")),TH!D1318,""),"")</f>
        <v/>
      </c>
      <c r="B1318" s="63">
        <f>IF(C1318&lt;&gt;"",MONTH(C1318),"")</f>
        <v>4</v>
      </c>
      <c r="C1318" s="64">
        <f>E1318</f>
        <v>42475</v>
      </c>
      <c r="D1318" s="64" t="s">
        <v>705</v>
      </c>
      <c r="E1318" s="64">
        <v>42475</v>
      </c>
      <c r="F1318" s="73" t="s">
        <v>1194</v>
      </c>
      <c r="G1318" s="982" t="s">
        <v>919</v>
      </c>
      <c r="H1318" s="1174"/>
      <c r="I1318" s="439"/>
      <c r="J1318" s="439"/>
      <c r="K1318" s="430"/>
      <c r="L1318" s="439"/>
      <c r="M1318" s="65">
        <v>22280</v>
      </c>
      <c r="N1318" s="66" t="s">
        <v>9</v>
      </c>
      <c r="O1318" s="66" t="s">
        <v>26</v>
      </c>
      <c r="P1318" s="84" t="str">
        <f>IF(AND('331-CT'!$E$7=TH!H1318,OR(N1318="331",O1318="331")),"x","")</f>
        <v/>
      </c>
      <c r="Q1318" s="84" t="str">
        <f>IF(AND(B1318='111'!$L$11,OR($N1318=$Q$7,$O1318=$Q$7)),"x","")</f>
        <v/>
      </c>
      <c r="R1318" s="84" t="str">
        <f>IF(AND($N1318=$Q$7,$B1318&lt;'111'!$L$11),"x","")</f>
        <v/>
      </c>
      <c r="S1318" s="84" t="str">
        <f>IF(AND($O1318=$Q$7,$B1318&lt;'111'!$L$11),"x","")</f>
        <v/>
      </c>
      <c r="T1318" s="84" t="str">
        <f>IF(ISERROR(FIND('112'!$M$9,G1318,1)),"",IF((AND(FIND('112'!$M$9,G1318,1)&gt;=1,B1318='112'!$K$9,OR($N1318='112'!$I$6,$O1318='112'!$I$6))),"x",""))</f>
        <v/>
      </c>
      <c r="U1318" s="84" t="str">
        <f>IF(ISERROR(FIND('112'!$M$9,G1318,1)),"",IF((AND(LEFT(G1318,2)=LEFT('112'!$M$9,2),B1318&lt;'112'!$K$9,$N1318='112'!$I$6)),"x",""))</f>
        <v/>
      </c>
      <c r="V1318" s="84" t="str">
        <f>IF(ISERROR(FIND('112'!$M$9,G1318,1)),"",IF((AND(RIGHT(G1318,2)=RIGHT('112'!$M$9,2),B1318&lt;'112'!$K$9,$O1318='112'!$I$6)),"x",""))</f>
        <v>x</v>
      </c>
      <c r="W1318" s="84" t="str">
        <f>IF(AND('341-CT'!$H$9=H1318,OR(LEFT(N1318,3)=$W$7,LEFT(O1318,3)=$W$7)),"x","")</f>
        <v/>
      </c>
      <c r="X1318" s="84" t="str">
        <f>IF(OR(TH!N1318=TH!$X$7,O1318=TH!$X$7),"x","")</f>
        <v/>
      </c>
      <c r="Y1318" s="84" t="str">
        <f>IF(AND(OR(N1318="131",O1318="131"),H1318='131-CT'!$H$9),"x","")</f>
        <v/>
      </c>
      <c r="Z1318" s="84"/>
      <c r="AA1318" s="84" t="str">
        <f>IF(AND(MONTH(E1318)='IN-NX'!$J$5,'IN-NX'!$D$7=D1318),"x","")</f>
        <v/>
      </c>
      <c r="AB1318" s="84" t="str">
        <f>IF(AND(OR(LEFT(TH!N1318,2)="15",LEFT(TH!O1318,2)="15"),LEFT(TH!O1318,3)&lt;&gt;"111",'152-CT'!$J$8=TH!F1318),"x","")</f>
        <v/>
      </c>
      <c r="AC1318" s="84" t="str">
        <f>IF(AND(OR(LEFT(TH!N1318,2)="15",LEFT(TH!O1318,2)="15"),TK!$E$7=TH!F1318),"x","")</f>
        <v/>
      </c>
      <c r="AD1318" s="84" t="str">
        <f>IF(AND(N1318="1521",MONTH(C1318)='BK-NL'!$M$11),"x","")</f>
        <v/>
      </c>
    </row>
    <row r="1319" spans="1:30" s="351" customFormat="1" ht="15.75" hidden="1" customHeight="1">
      <c r="A1319" s="336" t="str">
        <f>IF(B1319&lt;&gt;"",IF(AND(B1319='IN-TC'!$S$4,OR(TH!N1319="1111",TH!O1319="1111")),TH!D1319,""),"")</f>
        <v/>
      </c>
      <c r="B1319" s="63">
        <f t="shared" si="188"/>
        <v>4</v>
      </c>
      <c r="C1319" s="64">
        <f t="shared" si="194"/>
        <v>42475</v>
      </c>
      <c r="D1319" s="64" t="s">
        <v>705</v>
      </c>
      <c r="E1319" s="64">
        <v>42475</v>
      </c>
      <c r="F1319" s="73" t="s">
        <v>615</v>
      </c>
      <c r="G1319" s="982" t="s">
        <v>919</v>
      </c>
      <c r="H1319" s="1174"/>
      <c r="I1319" s="439"/>
      <c r="J1319" s="439"/>
      <c r="K1319" s="430"/>
      <c r="L1319" s="439"/>
      <c r="M1319" s="65">
        <v>615374</v>
      </c>
      <c r="N1319" s="66" t="s">
        <v>101</v>
      </c>
      <c r="O1319" s="66" t="s">
        <v>26</v>
      </c>
      <c r="P1319" s="84" t="str">
        <f>IF(AND('331-CT'!$E$7=TH!H1319,OR(N1319="331",O1319="331")),"x","")</f>
        <v/>
      </c>
      <c r="Q1319" s="84" t="str">
        <f>IF(AND(B1319='111'!$L$11,OR($N1319=$Q$7,$O1319=$Q$7)),"x","")</f>
        <v/>
      </c>
      <c r="R1319" s="84" t="str">
        <f>IF(AND($N1319=$Q$7,$B1319&lt;'111'!$L$11),"x","")</f>
        <v/>
      </c>
      <c r="S1319" s="84" t="str">
        <f>IF(AND($O1319=$Q$7,$B1319&lt;'111'!$L$11),"x","")</f>
        <v/>
      </c>
      <c r="T1319" s="84" t="str">
        <f>IF(ISERROR(FIND('112'!$M$9,G1319,1)),"",IF((AND(FIND('112'!$M$9,G1319,1)&gt;=1,B1319='112'!$K$9,OR($N1319='112'!$I$6,$O1319='112'!$I$6))),"x",""))</f>
        <v/>
      </c>
      <c r="U1319" s="84" t="str">
        <f>IF(ISERROR(FIND('112'!$M$9,G1319,1)),"",IF((AND(LEFT(G1319,2)=LEFT('112'!$M$9,2),B1319&lt;'112'!$K$9,$N1319='112'!$I$6)),"x",""))</f>
        <v/>
      </c>
      <c r="V1319" s="84" t="str">
        <f>IF(ISERROR(FIND('112'!$M$9,G1319,1)),"",IF((AND(RIGHT(G1319,2)=RIGHT('112'!$M$9,2),B1319&lt;'112'!$K$9,$O1319='112'!$I$6)),"x",""))</f>
        <v>x</v>
      </c>
      <c r="W1319" s="84" t="str">
        <f>IF(AND('341-CT'!$H$9=H1319,OR(LEFT(N1319,3)=$W$7,LEFT(O1319,3)=$W$7)),"x","")</f>
        <v/>
      </c>
      <c r="X1319" s="84" t="str">
        <f>IF(OR(TH!N1319=TH!$X$7,O1319=TH!$X$7),"x","")</f>
        <v/>
      </c>
      <c r="Y1319" s="84" t="str">
        <f>IF(AND(OR(N1319="131",O1319="131"),H1319='131-CT'!$H$9),"x","")</f>
        <v/>
      </c>
      <c r="Z1319" s="84"/>
      <c r="AA1319" s="84" t="str">
        <f>IF(AND(MONTH(E1319)='IN-NX'!$J$5,'IN-NX'!$D$7=D1319),"x","")</f>
        <v/>
      </c>
      <c r="AB1319" s="84" t="str">
        <f>IF(AND(OR(LEFT(TH!N1319,2)="15",LEFT(TH!O1319,2)="15"),LEFT(TH!O1319,3)&lt;&gt;"111",'152-CT'!$J$8=TH!F1319),"x","")</f>
        <v/>
      </c>
      <c r="AC1319" s="84" t="str">
        <f>IF(AND(OR(LEFT(TH!N1319,2)="15",LEFT(TH!O1319,2)="15"),TK!$E$7=TH!F1319),"x","")</f>
        <v/>
      </c>
      <c r="AD1319" s="84" t="str">
        <f>IF(AND(N1319="1521",MONTH(C1319)='BK-NL'!$M$11),"x","")</f>
        <v/>
      </c>
    </row>
    <row r="1320" spans="1:30" s="351" customFormat="1" ht="15.75" hidden="1" customHeight="1">
      <c r="A1320" s="336" t="str">
        <f>IF(B1320&lt;&gt;"",IF(AND(B1320='IN-TC'!$S$4,OR(TH!N1320="1111",TH!O1320="1111")),TH!D1320,""),"")</f>
        <v/>
      </c>
      <c r="B1320" s="63">
        <f>IF(C1320&lt;&gt;"",MONTH(C1320),"")</f>
        <v>4</v>
      </c>
      <c r="C1320" s="64">
        <f>E1320</f>
        <v>42475</v>
      </c>
      <c r="D1320" s="64" t="s">
        <v>705</v>
      </c>
      <c r="E1320" s="64">
        <v>42475</v>
      </c>
      <c r="F1320" s="73" t="s">
        <v>1318</v>
      </c>
      <c r="G1320" s="982" t="s">
        <v>919</v>
      </c>
      <c r="H1320" s="1174"/>
      <c r="I1320" s="439"/>
      <c r="J1320" s="439"/>
      <c r="K1320" s="430"/>
      <c r="L1320" s="439"/>
      <c r="M1320" s="65">
        <v>61493</v>
      </c>
      <c r="N1320" s="66" t="s">
        <v>9</v>
      </c>
      <c r="O1320" s="66" t="s">
        <v>26</v>
      </c>
      <c r="P1320" s="84" t="str">
        <f>IF(AND('331-CT'!$E$7=TH!H1320,OR(N1320="331",O1320="331")),"x","")</f>
        <v/>
      </c>
      <c r="Q1320" s="84" t="str">
        <f>IF(AND(B1320='111'!$L$11,OR($N1320=$Q$7,$O1320=$Q$7)),"x","")</f>
        <v/>
      </c>
      <c r="R1320" s="84" t="str">
        <f>IF(AND($N1320=$Q$7,$B1320&lt;'111'!$L$11),"x","")</f>
        <v/>
      </c>
      <c r="S1320" s="84" t="str">
        <f>IF(AND($O1320=$Q$7,$B1320&lt;'111'!$L$11),"x","")</f>
        <v/>
      </c>
      <c r="T1320" s="84" t="str">
        <f>IF(ISERROR(FIND('112'!$M$9,G1320,1)),"",IF((AND(FIND('112'!$M$9,G1320,1)&gt;=1,B1320='112'!$K$9,OR($N1320='112'!$I$6,$O1320='112'!$I$6))),"x",""))</f>
        <v/>
      </c>
      <c r="U1320" s="84" t="str">
        <f>IF(ISERROR(FIND('112'!$M$9,G1320,1)),"",IF((AND(LEFT(G1320,2)=LEFT('112'!$M$9,2),B1320&lt;'112'!$K$9,$N1320='112'!$I$6)),"x",""))</f>
        <v/>
      </c>
      <c r="V1320" s="84" t="str">
        <f>IF(ISERROR(FIND('112'!$M$9,G1320,1)),"",IF((AND(RIGHT(G1320,2)=RIGHT('112'!$M$9,2),B1320&lt;'112'!$K$9,$O1320='112'!$I$6)),"x",""))</f>
        <v>x</v>
      </c>
      <c r="W1320" s="84" t="str">
        <f>IF(AND('341-CT'!$H$9=H1320,OR(LEFT(N1320,3)=$W$7,LEFT(O1320,3)=$W$7)),"x","")</f>
        <v/>
      </c>
      <c r="X1320" s="84" t="str">
        <f>IF(OR(TH!N1320=TH!$X$7,O1320=TH!$X$7),"x","")</f>
        <v/>
      </c>
      <c r="Y1320" s="84" t="str">
        <f>IF(AND(OR(N1320="131",O1320="131"),H1320='131-CT'!$H$9),"x","")</f>
        <v/>
      </c>
      <c r="Z1320" s="84"/>
      <c r="AA1320" s="84" t="str">
        <f>IF(AND(MONTH(E1320)='IN-NX'!$J$5,'IN-NX'!$D$7=D1320),"x","")</f>
        <v/>
      </c>
      <c r="AB1320" s="84" t="str">
        <f>IF(AND(OR(LEFT(TH!N1320,2)="15",LEFT(TH!O1320,2)="15"),LEFT(TH!O1320,3)&lt;&gt;"111",'152-CT'!$J$8=TH!F1320),"x","")</f>
        <v/>
      </c>
      <c r="AC1320" s="84" t="str">
        <f>IF(AND(OR(LEFT(TH!N1320,2)="15",LEFT(TH!O1320,2)="15"),TK!$E$7=TH!F1320),"x","")</f>
        <v/>
      </c>
      <c r="AD1320" s="84" t="str">
        <f>IF(AND(N1320="1521",MONTH(C1320)='BK-NL'!$M$11),"x","")</f>
        <v/>
      </c>
    </row>
    <row r="1321" spans="1:30" s="351" customFormat="1" ht="15.75" hidden="1" customHeight="1">
      <c r="A1321" s="336" t="str">
        <f>IF(B1321&lt;&gt;"",IF(AND(B1321='IN-TC'!$S$4,OR(TH!N1321="1111",TH!O1321="1111")),TH!D1321,""),"")</f>
        <v/>
      </c>
      <c r="B1321" s="63">
        <f t="shared" si="188"/>
        <v>4</v>
      </c>
      <c r="C1321" s="64">
        <f t="shared" si="194"/>
        <v>42475</v>
      </c>
      <c r="D1321" s="64" t="s">
        <v>705</v>
      </c>
      <c r="E1321" s="64">
        <v>42475</v>
      </c>
      <c r="F1321" s="73" t="s">
        <v>1146</v>
      </c>
      <c r="G1321" s="982" t="s">
        <v>919</v>
      </c>
      <c r="H1321" s="73" t="s">
        <v>763</v>
      </c>
      <c r="I1321" s="439"/>
      <c r="J1321" s="439"/>
      <c r="K1321" s="430"/>
      <c r="L1321" s="439"/>
      <c r="M1321" s="65">
        <v>1600000000</v>
      </c>
      <c r="N1321" s="66" t="s">
        <v>63</v>
      </c>
      <c r="O1321" s="66" t="s">
        <v>26</v>
      </c>
      <c r="P1321" s="84" t="str">
        <f>IF(AND('331-CT'!$E$7=TH!H1321,OR(N1321="331",O1321="331")),"x","")</f>
        <v/>
      </c>
      <c r="Q1321" s="84" t="str">
        <f>IF(AND(B1321='111'!$L$11,OR($N1321=$Q$7,$O1321=$Q$7)),"x","")</f>
        <v/>
      </c>
      <c r="R1321" s="84" t="str">
        <f>IF(AND($N1321=$Q$7,$B1321&lt;'111'!$L$11),"x","")</f>
        <v/>
      </c>
      <c r="S1321" s="84" t="str">
        <f>IF(AND($O1321=$Q$7,$B1321&lt;'111'!$L$11),"x","")</f>
        <v/>
      </c>
      <c r="T1321" s="84" t="str">
        <f>IF(ISERROR(FIND('112'!$M$9,G1321,1)),"",IF((AND(FIND('112'!$M$9,G1321,1)&gt;=1,B1321='112'!$K$9,OR($N1321='112'!$I$6,$O1321='112'!$I$6))),"x",""))</f>
        <v/>
      </c>
      <c r="U1321" s="84" t="str">
        <f>IF(ISERROR(FIND('112'!$M$9,G1321,1)),"",IF((AND(LEFT(G1321,2)=LEFT('112'!$M$9,2),B1321&lt;'112'!$K$9,$N1321='112'!$I$6)),"x",""))</f>
        <v/>
      </c>
      <c r="V1321" s="84" t="str">
        <f>IF(ISERROR(FIND('112'!$M$9,G1321,1)),"",IF((AND(RIGHT(G1321,2)=RIGHT('112'!$M$9,2),B1321&lt;'112'!$K$9,$O1321='112'!$I$6)),"x",""))</f>
        <v>x</v>
      </c>
      <c r="W1321" s="84" t="str">
        <f>IF(AND('341-CT'!$H$9=H1321,OR(LEFT(N1321,3)=$W$7,LEFT(O1321,3)=$W$7)),"x","")</f>
        <v/>
      </c>
      <c r="X1321" s="84" t="str">
        <f>IF(OR(TH!N1321=TH!$X$7,O1321=TH!$X$7),"x","")</f>
        <v/>
      </c>
      <c r="Y1321" s="84" t="str">
        <f>IF(AND(OR(N1321="131",O1321="131"),H1321='131-CT'!$H$9),"x","")</f>
        <v/>
      </c>
      <c r="Z1321" s="84"/>
      <c r="AA1321" s="84" t="str">
        <f>IF(AND(MONTH(E1321)='IN-NX'!$J$5,'IN-NX'!$D$7=D1321),"x","")</f>
        <v/>
      </c>
      <c r="AB1321" s="84" t="str">
        <f>IF(AND(OR(LEFT(TH!N1321,2)="15",LEFT(TH!O1321,2)="15"),LEFT(TH!O1321,3)&lt;&gt;"111",'152-CT'!$J$8=TH!F1321),"x","")</f>
        <v/>
      </c>
      <c r="AC1321" s="84" t="str">
        <f>IF(AND(OR(LEFT(TH!N1321,2)="15",LEFT(TH!O1321,2)="15"),TK!$E$7=TH!F1321),"x","")</f>
        <v/>
      </c>
      <c r="AD1321" s="84" t="str">
        <f>IF(AND(N1321="1521",MONTH(C1321)='BK-NL'!$M$11),"x","")</f>
        <v/>
      </c>
    </row>
    <row r="1322" spans="1:30" ht="15.75" hidden="1" customHeight="1">
      <c r="A1322" s="336" t="str">
        <f>IF(B1322&lt;&gt;"",IF(AND(B1322='IN-TC'!$S$4,OR(TH!N1322="1111",TH!O1322="1111")),TH!D1322,""),"")</f>
        <v/>
      </c>
      <c r="B1322" s="63">
        <f t="shared" si="188"/>
        <v>4</v>
      </c>
      <c r="C1322" s="64">
        <f t="shared" si="194"/>
        <v>42479</v>
      </c>
      <c r="D1322" s="64" t="s">
        <v>705</v>
      </c>
      <c r="E1322" s="64">
        <v>42479</v>
      </c>
      <c r="F1322" s="73" t="s">
        <v>1057</v>
      </c>
      <c r="G1322" s="982" t="s">
        <v>919</v>
      </c>
      <c r="H1322" s="344" t="s">
        <v>725</v>
      </c>
      <c r="I1322" s="439"/>
      <c r="J1322" s="439"/>
      <c r="K1322" s="430"/>
      <c r="L1322" s="439"/>
      <c r="M1322" s="65">
        <v>6883892</v>
      </c>
      <c r="N1322" s="66" t="s">
        <v>99</v>
      </c>
      <c r="O1322" s="66" t="s">
        <v>26</v>
      </c>
      <c r="P1322" s="84" t="str">
        <f>IF(AND('331-CT'!$E$7=TH!H1322,OR(N1322="331",O1322="331")),"x","")</f>
        <v/>
      </c>
      <c r="Q1322" s="84" t="str">
        <f>IF(AND(B1322='111'!$L$11,OR($N1322=$Q$7,$O1322=$Q$7)),"x","")</f>
        <v/>
      </c>
      <c r="R1322" s="84" t="str">
        <f>IF(AND($N1322=$Q$7,$B1322&lt;'111'!$L$11),"x","")</f>
        <v/>
      </c>
      <c r="S1322" s="84" t="str">
        <f>IF(AND($O1322=$Q$7,$B1322&lt;'111'!$L$11),"x","")</f>
        <v/>
      </c>
      <c r="T1322" s="84" t="str">
        <f>IF(ISERROR(FIND('112'!$M$9,G1322,1)),"",IF((AND(FIND('112'!$M$9,G1322,1)&gt;=1,B1322='112'!$K$9,OR($N1322='112'!$I$6,$O1322='112'!$I$6))),"x",""))</f>
        <v/>
      </c>
      <c r="U1322" s="84" t="str">
        <f>IF(ISERROR(FIND('112'!$M$9,G1322,1)),"",IF((AND(LEFT(G1322,2)=LEFT('112'!$M$9,2),B1322&lt;'112'!$K$9,$N1322='112'!$I$6)),"x",""))</f>
        <v/>
      </c>
      <c r="V1322" s="84" t="str">
        <f>IF(ISERROR(FIND('112'!$M$9,G1322,1)),"",IF((AND(RIGHT(G1322,2)=RIGHT('112'!$M$9,2),B1322&lt;'112'!$K$9,$O1322='112'!$I$6)),"x",""))</f>
        <v>x</v>
      </c>
      <c r="W1322" s="84" t="str">
        <f>IF(AND('341-CT'!$H$9=H1322,OR(LEFT(N1322,3)=$W$7,LEFT(O1322,3)=$W$7)),"x","")</f>
        <v/>
      </c>
      <c r="X1322" s="84" t="str">
        <f>IF(OR(TH!N1322=TH!$X$7,O1322=TH!$X$7),"x","")</f>
        <v/>
      </c>
      <c r="Y1322" s="84" t="str">
        <f>IF(AND(OR(N1322="131",O1322="131"),H1322='131-CT'!$H$9),"x","")</f>
        <v/>
      </c>
      <c r="Z1322" s="84"/>
      <c r="AA1322" s="84" t="str">
        <f>IF(AND(MONTH(E1322)='IN-NX'!$J$5,'IN-NX'!$D$7=D1322),"x","")</f>
        <v/>
      </c>
      <c r="AB1322" s="84" t="str">
        <f>IF(AND(OR(LEFT(TH!N1322,2)="15",LEFT(TH!O1322,2)="15"),LEFT(TH!O1322,3)&lt;&gt;"111",'152-CT'!$J$8=TH!F1322),"x","")</f>
        <v/>
      </c>
      <c r="AC1322" s="84" t="str">
        <f>IF(AND(OR(LEFT(TH!N1322,2)="15",LEFT(TH!O1322,2)="15"),TK!$E$7=TH!F1322),"x","")</f>
        <v/>
      </c>
      <c r="AD1322" s="84" t="str">
        <f>IF(AND(N1322="1521",MONTH(C1322)='BK-NL'!$M$11),"x","")</f>
        <v/>
      </c>
    </row>
    <row r="1323" spans="1:30" ht="15.75" hidden="1" customHeight="1">
      <c r="A1323" s="336" t="str">
        <f>IF(B1323&lt;&gt;"",IF(AND(B1323='IN-TC'!$S$4,OR(TH!N1323="1111",TH!O1323="1111")),TH!D1323,""),"")</f>
        <v/>
      </c>
      <c r="B1323" s="63">
        <f t="shared" si="188"/>
        <v>4</v>
      </c>
      <c r="C1323" s="64">
        <f t="shared" si="194"/>
        <v>42479</v>
      </c>
      <c r="D1323" s="64" t="s">
        <v>705</v>
      </c>
      <c r="E1323" s="64">
        <v>42479</v>
      </c>
      <c r="F1323" s="73" t="s">
        <v>752</v>
      </c>
      <c r="G1323" s="982" t="s">
        <v>919</v>
      </c>
      <c r="H1323" s="344" t="s">
        <v>726</v>
      </c>
      <c r="I1323" s="439"/>
      <c r="J1323" s="439"/>
      <c r="K1323" s="430"/>
      <c r="L1323" s="439"/>
      <c r="M1323" s="65">
        <v>6845485</v>
      </c>
      <c r="N1323" s="66" t="s">
        <v>99</v>
      </c>
      <c r="O1323" s="66" t="s">
        <v>26</v>
      </c>
      <c r="P1323" s="84" t="str">
        <f>IF(AND('331-CT'!$E$7=TH!H1323,OR(N1323="331",O1323="331")),"x","")</f>
        <v/>
      </c>
      <c r="Q1323" s="84" t="str">
        <f>IF(AND(B1323='111'!$L$11,OR($N1323=$Q$7,$O1323=$Q$7)),"x","")</f>
        <v/>
      </c>
      <c r="R1323" s="84" t="str">
        <f>IF(AND($N1323=$Q$7,$B1323&lt;'111'!$L$11),"x","")</f>
        <v/>
      </c>
      <c r="S1323" s="84" t="str">
        <f>IF(AND($O1323=$Q$7,$B1323&lt;'111'!$L$11),"x","")</f>
        <v/>
      </c>
      <c r="T1323" s="84" t="str">
        <f>IF(ISERROR(FIND('112'!$M$9,G1323,1)),"",IF((AND(FIND('112'!$M$9,G1323,1)&gt;=1,B1323='112'!$K$9,OR($N1323='112'!$I$6,$O1323='112'!$I$6))),"x",""))</f>
        <v/>
      </c>
      <c r="U1323" s="84" t="str">
        <f>IF(ISERROR(FIND('112'!$M$9,G1323,1)),"",IF((AND(LEFT(G1323,2)=LEFT('112'!$M$9,2),B1323&lt;'112'!$K$9,$N1323='112'!$I$6)),"x",""))</f>
        <v/>
      </c>
      <c r="V1323" s="84" t="str">
        <f>IF(ISERROR(FIND('112'!$M$9,G1323,1)),"",IF((AND(RIGHT(G1323,2)=RIGHT('112'!$M$9,2),B1323&lt;'112'!$K$9,$O1323='112'!$I$6)),"x",""))</f>
        <v>x</v>
      </c>
      <c r="W1323" s="84" t="str">
        <f>IF(AND('341-CT'!$H$9=H1323,OR(LEFT(N1323,3)=$W$7,LEFT(O1323,3)=$W$7)),"x","")</f>
        <v/>
      </c>
      <c r="X1323" s="84" t="str">
        <f>IF(OR(TH!N1323=TH!$X$7,O1323=TH!$X$7),"x","")</f>
        <v/>
      </c>
      <c r="Y1323" s="84" t="str">
        <f>IF(AND(OR(N1323="131",O1323="131"),H1323='131-CT'!$H$9),"x","")</f>
        <v/>
      </c>
      <c r="Z1323" s="84"/>
      <c r="AA1323" s="84" t="str">
        <f>IF(AND(MONTH(E1323)='IN-NX'!$J$5,'IN-NX'!$D$7=D1323),"x","")</f>
        <v/>
      </c>
      <c r="AB1323" s="84" t="str">
        <f>IF(AND(OR(LEFT(TH!N1323,2)="15",LEFT(TH!O1323,2)="15"),LEFT(TH!O1323,3)&lt;&gt;"111",'152-CT'!$J$8=TH!F1323),"x","")</f>
        <v/>
      </c>
      <c r="AC1323" s="84" t="str">
        <f>IF(AND(OR(LEFT(TH!N1323,2)="15",LEFT(TH!O1323,2)="15"),TK!$E$7=TH!F1323),"x","")</f>
        <v/>
      </c>
      <c r="AD1323" s="84" t="str">
        <f>IF(AND(N1323="1521",MONTH(C1323)='BK-NL'!$M$11),"x","")</f>
        <v/>
      </c>
    </row>
    <row r="1324" spans="1:30" ht="15.75" hidden="1" customHeight="1">
      <c r="A1324" s="336" t="str">
        <f>IF(B1324&lt;&gt;"",IF(AND(B1324='IN-TC'!$S$4,OR(TH!N1324="1111",TH!O1324="1111")),TH!D1324,""),"")</f>
        <v/>
      </c>
      <c r="B1324" s="63">
        <f t="shared" si="188"/>
        <v>4</v>
      </c>
      <c r="C1324" s="64">
        <f t="shared" si="194"/>
        <v>42479</v>
      </c>
      <c r="D1324" s="64" t="s">
        <v>705</v>
      </c>
      <c r="E1324" s="64">
        <v>42479</v>
      </c>
      <c r="F1324" s="73" t="s">
        <v>1060</v>
      </c>
      <c r="G1324" s="982" t="s">
        <v>919</v>
      </c>
      <c r="H1324" s="344" t="s">
        <v>733</v>
      </c>
      <c r="I1324" s="439"/>
      <c r="J1324" s="439"/>
      <c r="K1324" s="430"/>
      <c r="L1324" s="439"/>
      <c r="M1324" s="65">
        <v>4691756</v>
      </c>
      <c r="N1324" s="66" t="s">
        <v>99</v>
      </c>
      <c r="O1324" s="66" t="s">
        <v>26</v>
      </c>
      <c r="P1324" s="84" t="str">
        <f>IF(AND('331-CT'!$E$7=TH!H1324,OR(N1324="331",O1324="331")),"x","")</f>
        <v/>
      </c>
      <c r="Q1324" s="84" t="str">
        <f>IF(AND(B1324='111'!$L$11,OR($N1324=$Q$7,$O1324=$Q$7)),"x","")</f>
        <v/>
      </c>
      <c r="R1324" s="84" t="str">
        <f>IF(AND($N1324=$Q$7,$B1324&lt;'111'!$L$11),"x","")</f>
        <v/>
      </c>
      <c r="S1324" s="84" t="str">
        <f>IF(AND($O1324=$Q$7,$B1324&lt;'111'!$L$11),"x","")</f>
        <v/>
      </c>
      <c r="T1324" s="84" t="str">
        <f>IF(ISERROR(FIND('112'!$M$9,G1324,1)),"",IF((AND(FIND('112'!$M$9,G1324,1)&gt;=1,B1324='112'!$K$9,OR($N1324='112'!$I$6,$O1324='112'!$I$6))),"x",""))</f>
        <v/>
      </c>
      <c r="U1324" s="84" t="str">
        <f>IF(ISERROR(FIND('112'!$M$9,G1324,1)),"",IF((AND(LEFT(G1324,2)=LEFT('112'!$M$9,2),B1324&lt;'112'!$K$9,$N1324='112'!$I$6)),"x",""))</f>
        <v/>
      </c>
      <c r="V1324" s="84" t="str">
        <f>IF(ISERROR(FIND('112'!$M$9,G1324,1)),"",IF((AND(RIGHT(G1324,2)=RIGHT('112'!$M$9,2),B1324&lt;'112'!$K$9,$O1324='112'!$I$6)),"x",""))</f>
        <v>x</v>
      </c>
      <c r="W1324" s="84" t="str">
        <f>IF(AND('341-CT'!$H$9=H1324,OR(LEFT(N1324,3)=$W$7,LEFT(O1324,3)=$W$7)),"x","")</f>
        <v/>
      </c>
      <c r="X1324" s="84" t="str">
        <f>IF(OR(TH!N1324=TH!$X$7,O1324=TH!$X$7),"x","")</f>
        <v/>
      </c>
      <c r="Y1324" s="84" t="str">
        <f>IF(AND(OR(N1324="131",O1324="131"),H1324='131-CT'!$H$9),"x","")</f>
        <v/>
      </c>
      <c r="Z1324" s="84"/>
      <c r="AA1324" s="84" t="str">
        <f>IF(AND(MONTH(E1324)='IN-NX'!$J$5,'IN-NX'!$D$7=D1324),"x","")</f>
        <v/>
      </c>
      <c r="AB1324" s="84" t="str">
        <f>IF(AND(OR(LEFT(TH!N1324,2)="15",LEFT(TH!O1324,2)="15"),LEFT(TH!O1324,3)&lt;&gt;"111",'152-CT'!$J$8=TH!F1324),"x","")</f>
        <v/>
      </c>
      <c r="AC1324" s="84" t="str">
        <f>IF(AND(OR(LEFT(TH!N1324,2)="15",LEFT(TH!O1324,2)="15"),TK!$E$7=TH!F1324),"x","")</f>
        <v/>
      </c>
      <c r="AD1324" s="84" t="str">
        <f>IF(AND(N1324="1521",MONTH(C1324)='BK-NL'!$M$11),"x","")</f>
        <v/>
      </c>
    </row>
    <row r="1325" spans="1:30" ht="15.75" hidden="1" customHeight="1">
      <c r="A1325" s="336" t="str">
        <f>IF(B1325&lt;&gt;"",IF(AND(B1325='IN-TC'!$S$4,OR(TH!N1325="1111",TH!O1325="1111")),TH!D1325,""),"")</f>
        <v/>
      </c>
      <c r="B1325" s="63">
        <f t="shared" ref="B1325:B1422" si="195">IF(C1325&lt;&gt;"",MONTH(C1325),"")</f>
        <v>4</v>
      </c>
      <c r="C1325" s="64">
        <f t="shared" si="194"/>
        <v>42481</v>
      </c>
      <c r="D1325" s="64" t="s">
        <v>705</v>
      </c>
      <c r="E1325" s="64">
        <v>42481</v>
      </c>
      <c r="F1325" s="73" t="s">
        <v>1450</v>
      </c>
      <c r="G1325" s="982" t="s">
        <v>919</v>
      </c>
      <c r="H1325" s="344" t="s">
        <v>1218</v>
      </c>
      <c r="I1325" s="441"/>
      <c r="J1325" s="441"/>
      <c r="K1325" s="432"/>
      <c r="L1325" s="441"/>
      <c r="M1325" s="65">
        <v>40000000</v>
      </c>
      <c r="N1325" s="66" t="s">
        <v>72</v>
      </c>
      <c r="O1325" s="66" t="s">
        <v>26</v>
      </c>
      <c r="P1325" s="84" t="str">
        <f>IF(AND('331-CT'!$E$7=TH!H1325,OR(N1325="331",O1325="331")),"x","")</f>
        <v/>
      </c>
      <c r="Q1325" s="84" t="str">
        <f>IF(AND(B1325='111'!$L$11,OR($N1325=$Q$7,$O1325=$Q$7)),"x","")</f>
        <v/>
      </c>
      <c r="R1325" s="84" t="str">
        <f>IF(AND($N1325=$Q$7,$B1325&lt;'111'!$L$11),"x","")</f>
        <v/>
      </c>
      <c r="S1325" s="84" t="str">
        <f>IF(AND($O1325=$Q$7,$B1325&lt;'111'!$L$11),"x","")</f>
        <v/>
      </c>
      <c r="T1325" s="84" t="str">
        <f>IF(ISERROR(FIND('112'!$M$9,G1325,1)),"",IF((AND(FIND('112'!$M$9,G1325,1)&gt;=1,B1325='112'!$K$9,OR($N1325='112'!$I$6,$O1325='112'!$I$6))),"x",""))</f>
        <v/>
      </c>
      <c r="U1325" s="84" t="str">
        <f>IF(ISERROR(FIND('112'!$M$9,G1325,1)),"",IF((AND(LEFT(G1325,2)=LEFT('112'!$M$9,2),B1325&lt;'112'!$K$9,$N1325='112'!$I$6)),"x",""))</f>
        <v/>
      </c>
      <c r="V1325" s="84" t="str">
        <f>IF(ISERROR(FIND('112'!$M$9,G1325,1)),"",IF((AND(RIGHT(G1325,2)=RIGHT('112'!$M$9,2),B1325&lt;'112'!$K$9,$O1325='112'!$I$6)),"x",""))</f>
        <v>x</v>
      </c>
      <c r="W1325" s="84" t="str">
        <f>IF(AND('341-CT'!$H$9=H1325,OR(LEFT(N1325,3)=$W$7,LEFT(O1325,3)=$W$7)),"x","")</f>
        <v/>
      </c>
      <c r="X1325" s="84" t="str">
        <f>IF(OR(TH!N1325=TH!$X$7,O1325=TH!$X$7),"x","")</f>
        <v>x</v>
      </c>
      <c r="Y1325" s="84" t="str">
        <f>IF(AND(OR(N1325="131",O1325="131"),H1325='131-CT'!$H$9),"x","")</f>
        <v/>
      </c>
      <c r="Z1325" s="84"/>
      <c r="AA1325" s="84" t="str">
        <f>IF(AND(MONTH(E1325)='IN-NX'!$J$5,'IN-NX'!$D$7=D1325),"x","")</f>
        <v/>
      </c>
      <c r="AB1325" s="84" t="str">
        <f>IF(AND(OR(LEFT(TH!N1325,2)="15",LEFT(TH!O1325,2)="15"),LEFT(TH!O1325,3)&lt;&gt;"111",'152-CT'!$J$8=TH!F1325),"x","")</f>
        <v/>
      </c>
      <c r="AC1325" s="84" t="str">
        <f>IF(AND(OR(LEFT(TH!N1325,2)="15",LEFT(TH!O1325,2)="15"),TK!$E$7=TH!F1325),"x","")</f>
        <v/>
      </c>
      <c r="AD1325" s="84" t="str">
        <f>IF(AND(N1325="1521",MONTH(C1325)='BK-NL'!$M$11),"x","")</f>
        <v/>
      </c>
    </row>
    <row r="1326" spans="1:30" ht="15.75" hidden="1" customHeight="1">
      <c r="A1326" s="336" t="str">
        <f>IF(B1326&lt;&gt;"",IF(AND(B1326='IN-TC'!$S$4,OR(TH!N1326="1111",TH!O1326="1111")),TH!D1326,""),"")</f>
        <v/>
      </c>
      <c r="B1326" s="63">
        <f t="shared" si="195"/>
        <v>4</v>
      </c>
      <c r="C1326" s="64">
        <f t="shared" si="194"/>
        <v>42481</v>
      </c>
      <c r="D1326" s="64" t="s">
        <v>705</v>
      </c>
      <c r="E1326" s="64">
        <v>42481</v>
      </c>
      <c r="F1326" s="73" t="s">
        <v>754</v>
      </c>
      <c r="G1326" s="982" t="s">
        <v>919</v>
      </c>
      <c r="H1326" s="344" t="s">
        <v>727</v>
      </c>
      <c r="I1326" s="439"/>
      <c r="J1326" s="439"/>
      <c r="K1326" s="430"/>
      <c r="L1326" s="439"/>
      <c r="M1326" s="65">
        <v>6845767</v>
      </c>
      <c r="N1326" s="66" t="s">
        <v>99</v>
      </c>
      <c r="O1326" s="66" t="s">
        <v>26</v>
      </c>
      <c r="P1326" s="84" t="str">
        <f>IF(AND('331-CT'!$E$7=TH!H1326,OR(N1326="331",O1326="331")),"x","")</f>
        <v/>
      </c>
      <c r="Q1326" s="84" t="str">
        <f>IF(AND(B1326='111'!$L$11,OR($N1326=$Q$7,$O1326=$Q$7)),"x","")</f>
        <v/>
      </c>
      <c r="R1326" s="84" t="str">
        <f>IF(AND($N1326=$Q$7,$B1326&lt;'111'!$L$11),"x","")</f>
        <v/>
      </c>
      <c r="S1326" s="84" t="str">
        <f>IF(AND($O1326=$Q$7,$B1326&lt;'111'!$L$11),"x","")</f>
        <v/>
      </c>
      <c r="T1326" s="84" t="str">
        <f>IF(ISERROR(FIND('112'!$M$9,G1326,1)),"",IF((AND(FIND('112'!$M$9,G1326,1)&gt;=1,B1326='112'!$K$9,OR($N1326='112'!$I$6,$O1326='112'!$I$6))),"x",""))</f>
        <v/>
      </c>
      <c r="U1326" s="84" t="str">
        <f>IF(ISERROR(FIND('112'!$M$9,G1326,1)),"",IF((AND(LEFT(G1326,2)=LEFT('112'!$M$9,2),B1326&lt;'112'!$K$9,$N1326='112'!$I$6)),"x",""))</f>
        <v/>
      </c>
      <c r="V1326" s="84" t="str">
        <f>IF(ISERROR(FIND('112'!$M$9,G1326,1)),"",IF((AND(RIGHT(G1326,2)=RIGHT('112'!$M$9,2),B1326&lt;'112'!$K$9,$O1326='112'!$I$6)),"x",""))</f>
        <v>x</v>
      </c>
      <c r="W1326" s="84" t="str">
        <f>IF(AND('341-CT'!$H$9=H1326,OR(LEFT(N1326,3)=$W$7,LEFT(O1326,3)=$W$7)),"x","")</f>
        <v/>
      </c>
      <c r="X1326" s="84" t="str">
        <f>IF(OR(TH!N1326=TH!$X$7,O1326=TH!$X$7),"x","")</f>
        <v/>
      </c>
      <c r="Y1326" s="84" t="str">
        <f>IF(AND(OR(N1326="131",O1326="131"),H1326='131-CT'!$H$9),"x","")</f>
        <v/>
      </c>
      <c r="Z1326" s="84"/>
      <c r="AA1326" s="84" t="str">
        <f>IF(AND(MONTH(E1326)='IN-NX'!$J$5,'IN-NX'!$D$7=D1326),"x","")</f>
        <v/>
      </c>
      <c r="AB1326" s="84" t="str">
        <f>IF(AND(OR(LEFT(TH!N1326,2)="15",LEFT(TH!O1326,2)="15"),LEFT(TH!O1326,3)&lt;&gt;"111",'152-CT'!$J$8=TH!F1326),"x","")</f>
        <v/>
      </c>
      <c r="AC1326" s="84" t="str">
        <f>IF(AND(OR(LEFT(TH!N1326,2)="15",LEFT(TH!O1326,2)="15"),TK!$E$7=TH!F1326),"x","")</f>
        <v/>
      </c>
      <c r="AD1326" s="84" t="str">
        <f>IF(AND(N1326="1521",MONTH(C1326)='BK-NL'!$M$11),"x","")</f>
        <v/>
      </c>
    </row>
    <row r="1327" spans="1:30" ht="15.75" hidden="1" customHeight="1">
      <c r="A1327" s="336" t="str">
        <f>IF(B1327&lt;&gt;"",IF(AND(B1327='IN-TC'!$S$4,OR(TH!N1327="1111",TH!O1327="1111")),TH!D1327,""),"")</f>
        <v/>
      </c>
      <c r="B1327" s="63">
        <f t="shared" si="195"/>
        <v>4</v>
      </c>
      <c r="C1327" s="64">
        <f t="shared" si="194"/>
        <v>42481</v>
      </c>
      <c r="D1327" s="64" t="s">
        <v>705</v>
      </c>
      <c r="E1327" s="64">
        <v>42481</v>
      </c>
      <c r="F1327" s="73" t="s">
        <v>1061</v>
      </c>
      <c r="G1327" s="982" t="s">
        <v>919</v>
      </c>
      <c r="H1327" s="344" t="s">
        <v>728</v>
      </c>
      <c r="I1327" s="439"/>
      <c r="J1327" s="439"/>
      <c r="K1327" s="430"/>
      <c r="L1327" s="439"/>
      <c r="M1327" s="65">
        <v>6768763</v>
      </c>
      <c r="N1327" s="66" t="s">
        <v>99</v>
      </c>
      <c r="O1327" s="66" t="s">
        <v>26</v>
      </c>
      <c r="P1327" s="84" t="str">
        <f>IF(AND('331-CT'!$E$7=TH!H1327,OR(N1327="331",O1327="331")),"x","")</f>
        <v/>
      </c>
      <c r="Q1327" s="84" t="str">
        <f>IF(AND(B1327='111'!$L$11,OR($N1327=$Q$7,$O1327=$Q$7)),"x","")</f>
        <v/>
      </c>
      <c r="R1327" s="84" t="str">
        <f>IF(AND($N1327=$Q$7,$B1327&lt;'111'!$L$11),"x","")</f>
        <v/>
      </c>
      <c r="S1327" s="84" t="str">
        <f>IF(AND($O1327=$Q$7,$B1327&lt;'111'!$L$11),"x","")</f>
        <v/>
      </c>
      <c r="T1327" s="84" t="str">
        <f>IF(ISERROR(FIND('112'!$M$9,G1327,1)),"",IF((AND(FIND('112'!$M$9,G1327,1)&gt;=1,B1327='112'!$K$9,OR($N1327='112'!$I$6,$O1327='112'!$I$6))),"x",""))</f>
        <v/>
      </c>
      <c r="U1327" s="84" t="str">
        <f>IF(ISERROR(FIND('112'!$M$9,G1327,1)),"",IF((AND(LEFT(G1327,2)=LEFT('112'!$M$9,2),B1327&lt;'112'!$K$9,$N1327='112'!$I$6)),"x",""))</f>
        <v/>
      </c>
      <c r="V1327" s="84" t="str">
        <f>IF(ISERROR(FIND('112'!$M$9,G1327,1)),"",IF((AND(RIGHT(G1327,2)=RIGHT('112'!$M$9,2),B1327&lt;'112'!$K$9,$O1327='112'!$I$6)),"x",""))</f>
        <v>x</v>
      </c>
      <c r="W1327" s="84" t="str">
        <f>IF(AND('341-CT'!$H$9=H1327,OR(LEFT(N1327,3)=$W$7,LEFT(O1327,3)=$W$7)),"x","")</f>
        <v/>
      </c>
      <c r="X1327" s="84" t="str">
        <f>IF(OR(TH!N1327=TH!$X$7,O1327=TH!$X$7),"x","")</f>
        <v/>
      </c>
      <c r="Y1327" s="84" t="str">
        <f>IF(AND(OR(N1327="131",O1327="131"),H1327='131-CT'!$H$9),"x","")</f>
        <v/>
      </c>
      <c r="Z1327" s="84"/>
      <c r="AA1327" s="84" t="str">
        <f>IF(AND(MONTH(E1327)='IN-NX'!$J$5,'IN-NX'!$D$7=D1327),"x","")</f>
        <v/>
      </c>
      <c r="AB1327" s="84" t="str">
        <f>IF(AND(OR(LEFT(TH!N1327,2)="15",LEFT(TH!O1327,2)="15"),LEFT(TH!O1327,3)&lt;&gt;"111",'152-CT'!$J$8=TH!F1327),"x","")</f>
        <v/>
      </c>
      <c r="AC1327" s="84" t="str">
        <f>IF(AND(OR(LEFT(TH!N1327,2)="15",LEFT(TH!O1327,2)="15"),TK!$E$7=TH!F1327),"x","")</f>
        <v/>
      </c>
      <c r="AD1327" s="84" t="str">
        <f>IF(AND(N1327="1521",MONTH(C1327)='BK-NL'!$M$11),"x","")</f>
        <v/>
      </c>
    </row>
    <row r="1328" spans="1:30" ht="15.75" hidden="1" customHeight="1">
      <c r="A1328" s="336" t="str">
        <f>IF(B1328&lt;&gt;"",IF(AND(B1328='IN-TC'!$S$4,OR(TH!N1328="1111",TH!O1328="1111")),TH!D1328,""),"")</f>
        <v/>
      </c>
      <c r="B1328" s="63">
        <f t="shared" si="195"/>
        <v>4</v>
      </c>
      <c r="C1328" s="64">
        <f t="shared" si="194"/>
        <v>42481</v>
      </c>
      <c r="D1328" s="64" t="s">
        <v>705</v>
      </c>
      <c r="E1328" s="64">
        <v>42481</v>
      </c>
      <c r="F1328" s="73" t="s">
        <v>1652</v>
      </c>
      <c r="G1328" s="982" t="s">
        <v>919</v>
      </c>
      <c r="H1328" s="344" t="s">
        <v>736</v>
      </c>
      <c r="I1328" s="441"/>
      <c r="J1328" s="441"/>
      <c r="K1328" s="432"/>
      <c r="L1328" s="441"/>
      <c r="M1328" s="65">
        <v>7461130</v>
      </c>
      <c r="N1328" s="66" t="s">
        <v>99</v>
      </c>
      <c r="O1328" s="66" t="s">
        <v>26</v>
      </c>
      <c r="P1328" s="84" t="str">
        <f>IF(AND('331-CT'!$E$7=TH!H1328,OR(N1328="331",O1328="331")),"x","")</f>
        <v/>
      </c>
      <c r="Q1328" s="84" t="str">
        <f>IF(AND(B1328='111'!$L$11,OR($N1328=$Q$7,$O1328=$Q$7)),"x","")</f>
        <v/>
      </c>
      <c r="R1328" s="84" t="str">
        <f>IF(AND($N1328=$Q$7,$B1328&lt;'111'!$L$11),"x","")</f>
        <v/>
      </c>
      <c r="S1328" s="84" t="str">
        <f>IF(AND($O1328=$Q$7,$B1328&lt;'111'!$L$11),"x","")</f>
        <v/>
      </c>
      <c r="T1328" s="84" t="str">
        <f>IF(ISERROR(FIND('112'!$M$9,G1328,1)),"",IF((AND(FIND('112'!$M$9,G1328,1)&gt;=1,B1328='112'!$K$9,OR($N1328='112'!$I$6,$O1328='112'!$I$6))),"x",""))</f>
        <v/>
      </c>
      <c r="U1328" s="84" t="str">
        <f>IF(ISERROR(FIND('112'!$M$9,G1328,1)),"",IF((AND(LEFT(G1328,2)=LEFT('112'!$M$9,2),B1328&lt;'112'!$K$9,$N1328='112'!$I$6)),"x",""))</f>
        <v/>
      </c>
      <c r="V1328" s="84" t="str">
        <f>IF(ISERROR(FIND('112'!$M$9,G1328,1)),"",IF((AND(RIGHT(G1328,2)=RIGHT('112'!$M$9,2),B1328&lt;'112'!$K$9,$O1328='112'!$I$6)),"x",""))</f>
        <v>x</v>
      </c>
      <c r="W1328" s="84" t="str">
        <f>IF(AND('341-CT'!$H$9=H1328,OR(LEFT(N1328,3)=$W$7,LEFT(O1328,3)=$W$7)),"x","")</f>
        <v/>
      </c>
      <c r="X1328" s="84" t="str">
        <f>IF(OR(TH!N1328=TH!$X$7,O1328=TH!$X$7),"x","")</f>
        <v/>
      </c>
      <c r="Y1328" s="84" t="str">
        <f>IF(AND(OR(N1328="131",O1328="131"),H1328='131-CT'!$H$9),"x","")</f>
        <v/>
      </c>
      <c r="Z1328" s="84"/>
      <c r="AA1328" s="84" t="str">
        <f>IF(AND(MONTH(E1328)='IN-NX'!$J$5,'IN-NX'!$D$7=D1328),"x","")</f>
        <v/>
      </c>
      <c r="AB1328" s="84" t="str">
        <f>IF(AND(OR(LEFT(TH!N1328,2)="15",LEFT(TH!O1328,2)="15"),LEFT(TH!O1328,3)&lt;&gt;"111",'152-CT'!$J$8=TH!F1328),"x","")</f>
        <v/>
      </c>
      <c r="AC1328" s="84" t="str">
        <f>IF(AND(OR(LEFT(TH!N1328,2)="15",LEFT(TH!O1328,2)="15"),TK!$E$7=TH!F1328),"x","")</f>
        <v/>
      </c>
      <c r="AD1328" s="84" t="str">
        <f>IF(AND(N1328="1521",MONTH(C1328)='BK-NL'!$M$11),"x","")</f>
        <v/>
      </c>
    </row>
    <row r="1329" spans="1:31" ht="15.75" hidden="1" customHeight="1">
      <c r="A1329" s="336" t="str">
        <f>IF(B1329&lt;&gt;"",IF(AND(B1329='IN-TC'!$S$4,OR(TH!N1329="1111",TH!O1329="1111")),TH!D1329,""),"")</f>
        <v/>
      </c>
      <c r="B1329" s="63">
        <f t="shared" si="195"/>
        <v>4</v>
      </c>
      <c r="C1329" s="64">
        <f t="shared" si="194"/>
        <v>42481</v>
      </c>
      <c r="D1329" s="64" t="s">
        <v>705</v>
      </c>
      <c r="E1329" s="64">
        <v>42481</v>
      </c>
      <c r="F1329" s="73" t="s">
        <v>1653</v>
      </c>
      <c r="G1329" s="982" t="s">
        <v>919</v>
      </c>
      <c r="H1329" s="73" t="s">
        <v>1188</v>
      </c>
      <c r="I1329" s="439"/>
      <c r="J1329" s="439"/>
      <c r="K1329" s="430"/>
      <c r="L1329" s="439"/>
      <c r="M1329" s="65">
        <v>8545435</v>
      </c>
      <c r="N1329" s="66" t="s">
        <v>99</v>
      </c>
      <c r="O1329" s="66" t="s">
        <v>26</v>
      </c>
      <c r="P1329" s="84" t="str">
        <f>IF(AND('331-CT'!$E$7=TH!H1329,OR(N1329="331",O1329="331")),"x","")</f>
        <v/>
      </c>
      <c r="Q1329" s="84" t="str">
        <f>IF(AND(B1329='111'!$L$11,OR($N1329=$Q$7,$O1329=$Q$7)),"x","")</f>
        <v/>
      </c>
      <c r="R1329" s="84" t="str">
        <f>IF(AND($N1329=$Q$7,$B1329&lt;'111'!$L$11),"x","")</f>
        <v/>
      </c>
      <c r="S1329" s="84" t="str">
        <f>IF(AND($O1329=$Q$7,$B1329&lt;'111'!$L$11),"x","")</f>
        <v/>
      </c>
      <c r="T1329" s="84" t="str">
        <f>IF(ISERROR(FIND('112'!$M$9,G1329,1)),"",IF((AND(FIND('112'!$M$9,G1329,1)&gt;=1,B1329='112'!$K$9,OR($N1329='112'!$I$6,$O1329='112'!$I$6))),"x",""))</f>
        <v/>
      </c>
      <c r="U1329" s="84" t="str">
        <f>IF(ISERROR(FIND('112'!$M$9,G1329,1)),"",IF((AND(LEFT(G1329,2)=LEFT('112'!$M$9,2),B1329&lt;'112'!$K$9,$N1329='112'!$I$6)),"x",""))</f>
        <v/>
      </c>
      <c r="V1329" s="84" t="str">
        <f>IF(ISERROR(FIND('112'!$M$9,G1329,1)),"",IF((AND(RIGHT(G1329,2)=RIGHT('112'!$M$9,2),B1329&lt;'112'!$K$9,$O1329='112'!$I$6)),"x",""))</f>
        <v>x</v>
      </c>
      <c r="W1329" s="84" t="str">
        <f>IF(AND('341-CT'!$H$9=H1329,OR(LEFT(N1329,3)=$W$7,LEFT(O1329,3)=$W$7)),"x","")</f>
        <v/>
      </c>
      <c r="X1329" s="84" t="str">
        <f>IF(OR(TH!N1329=TH!$X$7,O1329=TH!$X$7),"x","")</f>
        <v/>
      </c>
      <c r="Y1329" s="84" t="str">
        <f>IF(AND(OR(N1329="131",O1329="131"),H1329='131-CT'!$H$9),"x","")</f>
        <v/>
      </c>
      <c r="Z1329" s="84"/>
      <c r="AA1329" s="84" t="str">
        <f>IF(AND(MONTH(E1329)='IN-NX'!$J$5,'IN-NX'!$D$7=D1329),"x","")</f>
        <v/>
      </c>
      <c r="AB1329" s="84" t="str">
        <f>IF(AND(OR(LEFT(TH!N1329,2)="15",LEFT(TH!O1329,2)="15"),LEFT(TH!O1329,3)&lt;&gt;"111",'152-CT'!$J$8=TH!F1329),"x","")</f>
        <v/>
      </c>
      <c r="AC1329" s="84" t="str">
        <f>IF(AND(OR(LEFT(TH!N1329,2)="15",LEFT(TH!O1329,2)="15"),TK!$E$7=TH!F1329),"x","")</f>
        <v/>
      </c>
      <c r="AD1329" s="84" t="str">
        <f>IF(AND(N1329="1521",MONTH(C1329)='BK-NL'!$M$11),"x","")</f>
        <v/>
      </c>
    </row>
    <row r="1330" spans="1:31" ht="15.75" hidden="1" customHeight="1">
      <c r="A1330" s="336" t="str">
        <f>IF(B1330&lt;&gt;"",IF(AND(B1330='IN-TC'!$S$4,OR(TH!N1330="1111",TH!O1330="1111")),TH!D1330,""),"")</f>
        <v/>
      </c>
      <c r="B1330" s="63">
        <f t="shared" si="195"/>
        <v>4</v>
      </c>
      <c r="C1330" s="64">
        <f t="shared" si="194"/>
        <v>42481</v>
      </c>
      <c r="D1330" s="64" t="s">
        <v>705</v>
      </c>
      <c r="E1330" s="64">
        <v>42481</v>
      </c>
      <c r="F1330" s="73" t="s">
        <v>1654</v>
      </c>
      <c r="G1330" s="982" t="s">
        <v>919</v>
      </c>
      <c r="H1330" s="73" t="s">
        <v>1189</v>
      </c>
      <c r="I1330" s="439"/>
      <c r="J1330" s="439"/>
      <c r="K1330" s="430"/>
      <c r="L1330" s="439"/>
      <c r="M1330" s="65">
        <v>9155887</v>
      </c>
      <c r="N1330" s="66" t="s">
        <v>99</v>
      </c>
      <c r="O1330" s="66" t="s">
        <v>26</v>
      </c>
      <c r="P1330" s="84" t="str">
        <f>IF(AND('331-CT'!$E$7=TH!H1330,OR(N1330="331",O1330="331")),"x","")</f>
        <v/>
      </c>
      <c r="Q1330" s="84" t="str">
        <f>IF(AND(B1330='111'!$L$11,OR($N1330=$Q$7,$O1330=$Q$7)),"x","")</f>
        <v/>
      </c>
      <c r="R1330" s="84" t="str">
        <f>IF(AND($N1330=$Q$7,$B1330&lt;'111'!$L$11),"x","")</f>
        <v/>
      </c>
      <c r="S1330" s="84" t="str">
        <f>IF(AND($O1330=$Q$7,$B1330&lt;'111'!$L$11),"x","")</f>
        <v/>
      </c>
      <c r="T1330" s="84" t="str">
        <f>IF(ISERROR(FIND('112'!$M$9,G1330,1)),"",IF((AND(FIND('112'!$M$9,G1330,1)&gt;=1,B1330='112'!$K$9,OR($N1330='112'!$I$6,$O1330='112'!$I$6))),"x",""))</f>
        <v/>
      </c>
      <c r="U1330" s="84" t="str">
        <f>IF(ISERROR(FIND('112'!$M$9,G1330,1)),"",IF((AND(LEFT(G1330,2)=LEFT('112'!$M$9,2),B1330&lt;'112'!$K$9,$N1330='112'!$I$6)),"x",""))</f>
        <v/>
      </c>
      <c r="V1330" s="84" t="str">
        <f>IF(ISERROR(FIND('112'!$M$9,G1330,1)),"",IF((AND(RIGHT(G1330,2)=RIGHT('112'!$M$9,2),B1330&lt;'112'!$K$9,$O1330='112'!$I$6)),"x",""))</f>
        <v>x</v>
      </c>
      <c r="W1330" s="84" t="str">
        <f>IF(AND('341-CT'!$H$9=H1330,OR(LEFT(N1330,3)=$W$7,LEFT(O1330,3)=$W$7)),"x","")</f>
        <v/>
      </c>
      <c r="X1330" s="84" t="str">
        <f>IF(OR(TH!N1330=TH!$X$7,O1330=TH!$X$7),"x","")</f>
        <v/>
      </c>
      <c r="Y1330" s="84" t="str">
        <f>IF(AND(OR(N1330="131",O1330="131"),H1330='131-CT'!$H$9),"x","")</f>
        <v/>
      </c>
      <c r="Z1330" s="84"/>
      <c r="AA1330" s="84" t="str">
        <f>IF(AND(MONTH(E1330)='IN-NX'!$J$5,'IN-NX'!$D$7=D1330),"x","")</f>
        <v/>
      </c>
      <c r="AB1330" s="84" t="str">
        <f>IF(AND(OR(LEFT(TH!N1330,2)="15",LEFT(TH!O1330,2)="15"),LEFT(TH!O1330,3)&lt;&gt;"111",'152-CT'!$J$8=TH!F1330),"x","")</f>
        <v/>
      </c>
      <c r="AC1330" s="84" t="str">
        <f>IF(AND(OR(LEFT(TH!N1330,2)="15",LEFT(TH!O1330,2)="15"),TK!$E$7=TH!F1330),"x","")</f>
        <v/>
      </c>
      <c r="AD1330" s="84" t="str">
        <f>IF(AND(N1330="1521",MONTH(C1330)='BK-NL'!$M$11),"x","")</f>
        <v/>
      </c>
    </row>
    <row r="1331" spans="1:31" ht="15.75" hidden="1" customHeight="1">
      <c r="A1331" s="336" t="str">
        <f>IF(B1331&lt;&gt;"",IF(AND(B1331='IN-TC'!$S$4,OR(TH!N1331="1111",TH!O1331="1111")),TH!D1331,""),"")</f>
        <v/>
      </c>
      <c r="B1331" s="63">
        <f t="shared" si="195"/>
        <v>4</v>
      </c>
      <c r="C1331" s="64">
        <f t="shared" si="194"/>
        <v>42482</v>
      </c>
      <c r="D1331" s="64" t="s">
        <v>705</v>
      </c>
      <c r="E1331" s="64">
        <v>42482</v>
      </c>
      <c r="F1331" s="73" t="s">
        <v>1451</v>
      </c>
      <c r="G1331" s="982" t="s">
        <v>919</v>
      </c>
      <c r="H1331" s="320" t="s">
        <v>1360</v>
      </c>
      <c r="I1331" s="439"/>
      <c r="J1331" s="439"/>
      <c r="K1331" s="430"/>
      <c r="L1331" s="439"/>
      <c r="M1331" s="65">
        <v>136832</v>
      </c>
      <c r="N1331" s="66" t="s">
        <v>105</v>
      </c>
      <c r="O1331" s="66" t="s">
        <v>26</v>
      </c>
      <c r="P1331" s="84" t="str">
        <f>IF(AND('331-CT'!$E$7=TH!H1331,OR(N1331="331",O1331="331")),"x","")</f>
        <v/>
      </c>
      <c r="Q1331" s="84" t="str">
        <f>IF(AND(B1331='111'!$L$11,OR($N1331=$Q$7,$O1331=$Q$7)),"x","")</f>
        <v/>
      </c>
      <c r="R1331" s="84" t="str">
        <f>IF(AND($N1331=$Q$7,$B1331&lt;'111'!$L$11),"x","")</f>
        <v/>
      </c>
      <c r="S1331" s="84" t="str">
        <f>IF(AND($O1331=$Q$7,$B1331&lt;'111'!$L$11),"x","")</f>
        <v/>
      </c>
      <c r="T1331" s="84" t="str">
        <f>IF(ISERROR(FIND('112'!$M$9,G1331,1)),"",IF((AND(FIND('112'!$M$9,G1331,1)&gt;=1,B1331='112'!$K$9,OR($N1331='112'!$I$6,$O1331='112'!$I$6))),"x",""))</f>
        <v/>
      </c>
      <c r="U1331" s="84" t="str">
        <f>IF(ISERROR(FIND('112'!$M$9,G1331,1)),"",IF((AND(LEFT(G1331,2)=LEFT('112'!$M$9,2),B1331&lt;'112'!$K$9,$N1331='112'!$I$6)),"x",""))</f>
        <v/>
      </c>
      <c r="V1331" s="84" t="str">
        <f>IF(ISERROR(FIND('112'!$M$9,G1331,1)),"",IF((AND(RIGHT(G1331,2)=RIGHT('112'!$M$9,2),B1331&lt;'112'!$K$9,$O1331='112'!$I$6)),"x",""))</f>
        <v>x</v>
      </c>
      <c r="W1331" s="84" t="str">
        <f>IF(AND('341-CT'!$H$9=H1331,OR(LEFT(N1331,3)=$W$7,LEFT(O1331,3)=$W$7)),"x","")</f>
        <v/>
      </c>
      <c r="X1331" s="84" t="str">
        <f>IF(OR(TH!N1331=TH!$X$7,O1331=TH!$X$7),"x","")</f>
        <v/>
      </c>
      <c r="Y1331" s="84" t="str">
        <f>IF(AND(OR(N1331="131",O1331="131"),H1331='131-CT'!$H$9),"x","")</f>
        <v/>
      </c>
      <c r="Z1331" s="84"/>
      <c r="AA1331" s="84" t="str">
        <f>IF(AND(MONTH(E1331)='IN-NX'!$J$5,'IN-NX'!$D$7=D1331),"x","")</f>
        <v/>
      </c>
      <c r="AB1331" s="84" t="str">
        <f>IF(AND(OR(LEFT(TH!N1331,2)="15",LEFT(TH!O1331,2)="15"),LEFT(TH!O1331,3)&lt;&gt;"111",'152-CT'!$J$8=TH!F1331),"x","")</f>
        <v/>
      </c>
      <c r="AC1331" s="84" t="str">
        <f>IF(AND(OR(LEFT(TH!N1331,2)="15",LEFT(TH!O1331,2)="15"),TK!$E$7=TH!F1331),"x","")</f>
        <v/>
      </c>
      <c r="AD1331" s="84" t="str">
        <f>IF(AND(N1331="1521",MONTH(C1331)='BK-NL'!$M$11),"x","")</f>
        <v/>
      </c>
    </row>
    <row r="1332" spans="1:31" ht="15.75" hidden="1" customHeight="1">
      <c r="A1332" s="336" t="str">
        <f>IF(B1332&lt;&gt;"",IF(AND(B1332='IN-TC'!$S$4,OR(TH!N1332="1111",TH!O1332="1111")),TH!D1332,""),"")</f>
        <v/>
      </c>
      <c r="B1332" s="63">
        <f t="shared" si="195"/>
        <v>4</v>
      </c>
      <c r="C1332" s="64">
        <f t="shared" si="194"/>
        <v>42485</v>
      </c>
      <c r="D1332" s="64" t="s">
        <v>705</v>
      </c>
      <c r="E1332" s="64">
        <v>42485</v>
      </c>
      <c r="F1332" s="73" t="s">
        <v>1452</v>
      </c>
      <c r="G1332" s="982" t="s">
        <v>919</v>
      </c>
      <c r="H1332" s="344" t="s">
        <v>629</v>
      </c>
      <c r="I1332" s="439"/>
      <c r="J1332" s="439"/>
      <c r="K1332" s="430"/>
      <c r="L1332" s="439"/>
      <c r="M1332" s="65">
        <v>780000</v>
      </c>
      <c r="N1332" s="66" t="s">
        <v>8</v>
      </c>
      <c r="O1332" s="66" t="s">
        <v>26</v>
      </c>
      <c r="P1332" s="84" t="str">
        <f>IF(AND('331-CT'!$E$7=TH!H1332,OR(N1332="331",O1332="331")),"x","")</f>
        <v/>
      </c>
      <c r="Q1332" s="84" t="str">
        <f>IF(AND(B1332='111'!$L$11,OR($N1332=$Q$7,$O1332=$Q$7)),"x","")</f>
        <v/>
      </c>
      <c r="R1332" s="84" t="str">
        <f>IF(AND($N1332=$Q$7,$B1332&lt;'111'!$L$11),"x","")</f>
        <v/>
      </c>
      <c r="S1332" s="84" t="str">
        <f>IF(AND($O1332=$Q$7,$B1332&lt;'111'!$L$11),"x","")</f>
        <v/>
      </c>
      <c r="T1332" s="84" t="str">
        <f>IF(ISERROR(FIND('112'!$M$9,G1332,1)),"",IF((AND(FIND('112'!$M$9,G1332,1)&gt;=1,B1332='112'!$K$9,OR($N1332='112'!$I$6,$O1332='112'!$I$6))),"x",""))</f>
        <v/>
      </c>
      <c r="U1332" s="84" t="str">
        <f>IF(ISERROR(FIND('112'!$M$9,G1332,1)),"",IF((AND(LEFT(G1332,2)=LEFT('112'!$M$9,2),B1332&lt;'112'!$K$9,$N1332='112'!$I$6)),"x",""))</f>
        <v/>
      </c>
      <c r="V1332" s="84" t="str">
        <f>IF(ISERROR(FIND('112'!$M$9,G1332,1)),"",IF((AND(RIGHT(G1332,2)=RIGHT('112'!$M$9,2),B1332&lt;'112'!$K$9,$O1332='112'!$I$6)),"x",""))</f>
        <v>x</v>
      </c>
      <c r="W1332" s="84" t="str">
        <f>IF(AND('341-CT'!$H$9=H1332,OR(LEFT(N1332,3)=$W$7,LEFT(O1332,3)=$W$7)),"x","")</f>
        <v/>
      </c>
      <c r="X1332" s="84" t="str">
        <f>IF(OR(TH!N1332=TH!$X$7,O1332=TH!$X$7),"x","")</f>
        <v/>
      </c>
      <c r="Y1332" s="84" t="str">
        <f>IF(AND(OR(N1332="131",O1332="131"),H1332='131-CT'!$H$9),"x","")</f>
        <v/>
      </c>
      <c r="Z1332" s="84"/>
      <c r="AA1332" s="84" t="str">
        <f>IF(AND(MONTH(E1332)='IN-NX'!$J$5,'IN-NX'!$D$7=D1332),"x","")</f>
        <v/>
      </c>
      <c r="AB1332" s="84" t="str">
        <f>IF(AND(OR(LEFT(TH!N1332,2)="15",LEFT(TH!O1332,2)="15"),LEFT(TH!O1332,3)&lt;&gt;"111",'152-CT'!$J$8=TH!F1332),"x","")</f>
        <v/>
      </c>
      <c r="AC1332" s="84" t="str">
        <f>IF(AND(OR(LEFT(TH!N1332,2)="15",LEFT(TH!O1332,2)="15"),TK!$E$7=TH!F1332),"x","")</f>
        <v/>
      </c>
      <c r="AD1332" s="84" t="str">
        <f>IF(AND(N1332="1521",MONTH(C1332)='BK-NL'!$M$11),"x","")</f>
        <v/>
      </c>
      <c r="AE1332" s="1146" t="str">
        <f>IF(H1332&lt;&gt;VLOOKUP(H1332,DSKH,1,0),"","x")</f>
        <v>x</v>
      </c>
    </row>
    <row r="1333" spans="1:31" ht="15.75" hidden="1" customHeight="1">
      <c r="A1333" s="336" t="str">
        <f>IF(B1333&lt;&gt;"",IF(AND(B1333='IN-TC'!$S$4,OR(TH!N1333="1111",TH!O1333="1111")),TH!D1333,""),"")</f>
        <v/>
      </c>
      <c r="B1333" s="63">
        <f t="shared" si="195"/>
        <v>4</v>
      </c>
      <c r="C1333" s="64">
        <f t="shared" si="194"/>
        <v>42485</v>
      </c>
      <c r="D1333" s="64" t="s">
        <v>705</v>
      </c>
      <c r="E1333" s="64">
        <v>42485</v>
      </c>
      <c r="F1333" s="73" t="s">
        <v>1199</v>
      </c>
      <c r="G1333" s="982" t="s">
        <v>919</v>
      </c>
      <c r="H1333" s="320"/>
      <c r="I1333" s="439"/>
      <c r="J1333" s="439"/>
      <c r="K1333" s="430"/>
      <c r="L1333" s="439"/>
      <c r="M1333" s="65">
        <v>20000</v>
      </c>
      <c r="N1333" s="321" t="s">
        <v>101</v>
      </c>
      <c r="O1333" s="66" t="s">
        <v>26</v>
      </c>
      <c r="P1333" s="84" t="str">
        <f>IF(AND('331-CT'!$E$7=TH!H1333,OR(N1333="331",O1333="331")),"x","")</f>
        <v/>
      </c>
      <c r="Q1333" s="84" t="str">
        <f>IF(AND(B1333='111'!$L$11,OR($N1333=$Q$7,$O1333=$Q$7)),"x","")</f>
        <v/>
      </c>
      <c r="R1333" s="84" t="str">
        <f>IF(AND($N1333=$Q$7,$B1333&lt;'111'!$L$11),"x","")</f>
        <v/>
      </c>
      <c r="S1333" s="84" t="str">
        <f>IF(AND($O1333=$Q$7,$B1333&lt;'111'!$L$11),"x","")</f>
        <v/>
      </c>
      <c r="T1333" s="84" t="str">
        <f>IF(ISERROR(FIND('112'!$M$9,G1333,1)),"",IF((AND(FIND('112'!$M$9,G1333,1)&gt;=1,B1333='112'!$K$9,OR($N1333='112'!$I$6,$O1333='112'!$I$6))),"x",""))</f>
        <v/>
      </c>
      <c r="U1333" s="84" t="str">
        <f>IF(ISERROR(FIND('112'!$M$9,G1333,1)),"",IF((AND(LEFT(G1333,2)=LEFT('112'!$M$9,2),B1333&lt;'112'!$K$9,$N1333='112'!$I$6)),"x",""))</f>
        <v/>
      </c>
      <c r="V1333" s="84" t="str">
        <f>IF(ISERROR(FIND('112'!$M$9,G1333,1)),"",IF((AND(RIGHT(G1333,2)=RIGHT('112'!$M$9,2),B1333&lt;'112'!$K$9,$O1333='112'!$I$6)),"x",""))</f>
        <v>x</v>
      </c>
      <c r="W1333" s="84" t="str">
        <f>IF(AND('341-CT'!$H$9=H1333,OR(LEFT(N1333,3)=$W$7,LEFT(O1333,3)=$W$7)),"x","")</f>
        <v/>
      </c>
      <c r="X1333" s="84" t="str">
        <f>IF(OR(TH!N1333=TH!$X$7,O1333=TH!$X$7),"x","")</f>
        <v/>
      </c>
      <c r="Y1333" s="84" t="str">
        <f>IF(AND(OR(N1333="131",O1333="131"),H1333='131-CT'!$H$9),"x","")</f>
        <v/>
      </c>
      <c r="Z1333" s="84"/>
      <c r="AA1333" s="84" t="str">
        <f>IF(AND(MONTH(E1333)='IN-NX'!$J$5,'IN-NX'!$D$7=D1333),"x","")</f>
        <v/>
      </c>
      <c r="AB1333" s="84" t="str">
        <f>IF(AND(OR(LEFT(TH!N1333,2)="15",LEFT(TH!O1333,2)="15"),LEFT(TH!O1333,3)&lt;&gt;"111",'152-CT'!$J$8=TH!F1333),"x","")</f>
        <v/>
      </c>
      <c r="AC1333" s="84" t="str">
        <f>IF(AND(OR(LEFT(TH!N1333,2)="15",LEFT(TH!O1333,2)="15"),TK!$E$7=TH!F1333),"x","")</f>
        <v/>
      </c>
      <c r="AD1333" s="84" t="str">
        <f>IF(AND(N1333="1521",MONTH(C1333)='BK-NL'!$M$11),"x","")</f>
        <v/>
      </c>
    </row>
    <row r="1334" spans="1:31" ht="15.75" hidden="1" customHeight="1">
      <c r="A1334" s="336" t="str">
        <f>IF(B1334&lt;&gt;"",IF(AND(B1334='IN-TC'!$S$4,OR(TH!N1334="1111",TH!O1334="1111")),TH!D1334,""),"")</f>
        <v/>
      </c>
      <c r="B1334" s="63">
        <f t="shared" si="195"/>
        <v>4</v>
      </c>
      <c r="C1334" s="64">
        <f t="shared" si="194"/>
        <v>42485</v>
      </c>
      <c r="D1334" s="64" t="s">
        <v>705</v>
      </c>
      <c r="E1334" s="64">
        <v>42485</v>
      </c>
      <c r="F1334" s="73" t="s">
        <v>1200</v>
      </c>
      <c r="G1334" s="982" t="s">
        <v>919</v>
      </c>
      <c r="H1334" s="320"/>
      <c r="I1334" s="439"/>
      <c r="J1334" s="439"/>
      <c r="K1334" s="430"/>
      <c r="L1334" s="439"/>
      <c r="M1334" s="65">
        <v>2000</v>
      </c>
      <c r="N1334" s="321" t="s">
        <v>9</v>
      </c>
      <c r="O1334" s="66" t="s">
        <v>26</v>
      </c>
      <c r="P1334" s="84" t="str">
        <f>IF(AND('331-CT'!$E$7=TH!H1334,OR(N1334="331",O1334="331")),"x","")</f>
        <v/>
      </c>
      <c r="Q1334" s="84" t="str">
        <f>IF(AND(B1334='111'!$L$11,OR($N1334=$Q$7,$O1334=$Q$7)),"x","")</f>
        <v/>
      </c>
      <c r="R1334" s="84" t="str">
        <f>IF(AND($N1334=$Q$7,$B1334&lt;'111'!$L$11),"x","")</f>
        <v/>
      </c>
      <c r="S1334" s="84" t="str">
        <f>IF(AND($O1334=$Q$7,$B1334&lt;'111'!$L$11),"x","")</f>
        <v/>
      </c>
      <c r="T1334" s="84" t="str">
        <f>IF(ISERROR(FIND('112'!$M$9,G1334,1)),"",IF((AND(FIND('112'!$M$9,G1334,1)&gt;=1,B1334='112'!$K$9,OR($N1334='112'!$I$6,$O1334='112'!$I$6))),"x",""))</f>
        <v/>
      </c>
      <c r="U1334" s="84" t="str">
        <f>IF(ISERROR(FIND('112'!$M$9,G1334,1)),"",IF((AND(LEFT(G1334,2)=LEFT('112'!$M$9,2),B1334&lt;'112'!$K$9,$N1334='112'!$I$6)),"x",""))</f>
        <v/>
      </c>
      <c r="V1334" s="84" t="str">
        <f>IF(ISERROR(FIND('112'!$M$9,G1334,1)),"",IF((AND(RIGHT(G1334,2)=RIGHT('112'!$M$9,2),B1334&lt;'112'!$K$9,$O1334='112'!$I$6)),"x",""))</f>
        <v>x</v>
      </c>
      <c r="W1334" s="84" t="str">
        <f>IF(AND('341-CT'!$H$9=H1334,OR(LEFT(N1334,3)=$W$7,LEFT(O1334,3)=$W$7)),"x","")</f>
        <v/>
      </c>
      <c r="X1334" s="84" t="str">
        <f>IF(OR(TH!N1334=TH!$X$7,O1334=TH!$X$7),"x","")</f>
        <v/>
      </c>
      <c r="Y1334" s="84" t="str">
        <f>IF(AND(OR(N1334="131",O1334="131"),H1334='131-CT'!$H$9),"x","")</f>
        <v/>
      </c>
      <c r="Z1334" s="84"/>
      <c r="AA1334" s="84" t="str">
        <f>IF(AND(MONTH(E1334)='IN-NX'!$J$5,'IN-NX'!$D$7=D1334),"x","")</f>
        <v/>
      </c>
      <c r="AB1334" s="84" t="str">
        <f>IF(AND(OR(LEFT(TH!N1334,2)="15",LEFT(TH!O1334,2)="15"),LEFT(TH!O1334,3)&lt;&gt;"111",'152-CT'!$J$8=TH!F1334),"x","")</f>
        <v/>
      </c>
      <c r="AC1334" s="84" t="str">
        <f>IF(AND(OR(LEFT(TH!N1334,2)="15",LEFT(TH!O1334,2)="15"),TK!$E$7=TH!F1334),"x","")</f>
        <v/>
      </c>
      <c r="AD1334" s="84" t="str">
        <f>IF(AND(N1334="1521",MONTH(C1334)='BK-NL'!$M$11),"x","")</f>
        <v/>
      </c>
    </row>
    <row r="1335" spans="1:31" ht="15.75" hidden="1" customHeight="1">
      <c r="A1335" s="336" t="str">
        <f>IF(B1335&lt;&gt;"",IF(AND(B1335='IN-TC'!$S$4,OR(TH!N1335="1111",TH!O1335="1111")),TH!D1335,""),"")</f>
        <v/>
      </c>
      <c r="B1335" s="63">
        <f t="shared" si="195"/>
        <v>4</v>
      </c>
      <c r="C1335" s="64">
        <f t="shared" si="194"/>
        <v>42485</v>
      </c>
      <c r="D1335" s="64" t="s">
        <v>705</v>
      </c>
      <c r="E1335" s="64">
        <v>42485</v>
      </c>
      <c r="F1335" s="73" t="s">
        <v>1453</v>
      </c>
      <c r="G1335" s="982" t="s">
        <v>919</v>
      </c>
      <c r="H1335" s="344" t="s">
        <v>629</v>
      </c>
      <c r="I1335" s="439"/>
      <c r="J1335" s="439"/>
      <c r="K1335" s="430"/>
      <c r="L1335" s="439"/>
      <c r="M1335" s="65">
        <v>2205000</v>
      </c>
      <c r="N1335" s="66" t="s">
        <v>8</v>
      </c>
      <c r="O1335" s="66" t="s">
        <v>26</v>
      </c>
      <c r="P1335" s="84" t="str">
        <f>IF(AND('331-CT'!$E$7=TH!H1335,OR(N1335="331",O1335="331")),"x","")</f>
        <v/>
      </c>
      <c r="Q1335" s="84" t="str">
        <f>IF(AND(B1335='111'!$L$11,OR($N1335=$Q$7,$O1335=$Q$7)),"x","")</f>
        <v/>
      </c>
      <c r="R1335" s="84" t="str">
        <f>IF(AND($N1335=$Q$7,$B1335&lt;'111'!$L$11),"x","")</f>
        <v/>
      </c>
      <c r="S1335" s="84" t="str">
        <f>IF(AND($O1335=$Q$7,$B1335&lt;'111'!$L$11),"x","")</f>
        <v/>
      </c>
      <c r="T1335" s="84" t="str">
        <f>IF(ISERROR(FIND('112'!$M$9,G1335,1)),"",IF((AND(FIND('112'!$M$9,G1335,1)&gt;=1,B1335='112'!$K$9,OR($N1335='112'!$I$6,$O1335='112'!$I$6))),"x",""))</f>
        <v/>
      </c>
      <c r="U1335" s="84" t="str">
        <f>IF(ISERROR(FIND('112'!$M$9,G1335,1)),"",IF((AND(LEFT(G1335,2)=LEFT('112'!$M$9,2),B1335&lt;'112'!$K$9,$N1335='112'!$I$6)),"x",""))</f>
        <v/>
      </c>
      <c r="V1335" s="84" t="str">
        <f>IF(ISERROR(FIND('112'!$M$9,G1335,1)),"",IF((AND(RIGHT(G1335,2)=RIGHT('112'!$M$9,2),B1335&lt;'112'!$K$9,$O1335='112'!$I$6)),"x",""))</f>
        <v>x</v>
      </c>
      <c r="W1335" s="84" t="str">
        <f>IF(AND('341-CT'!$H$9=H1335,OR(LEFT(N1335,3)=$W$7,LEFT(O1335,3)=$W$7)),"x","")</f>
        <v/>
      </c>
      <c r="X1335" s="84" t="str">
        <f>IF(OR(TH!N1335=TH!$X$7,O1335=TH!$X$7),"x","")</f>
        <v/>
      </c>
      <c r="Y1335" s="84" t="str">
        <f>IF(AND(OR(N1335="131",O1335="131"),H1335='131-CT'!$H$9),"x","")</f>
        <v/>
      </c>
      <c r="Z1335" s="84"/>
      <c r="AA1335" s="84" t="str">
        <f>IF(AND(MONTH(E1335)='IN-NX'!$J$5,'IN-NX'!$D$7=D1335),"x","")</f>
        <v/>
      </c>
      <c r="AB1335" s="84" t="str">
        <f>IF(AND(OR(LEFT(TH!N1335,2)="15",LEFT(TH!O1335,2)="15"),LEFT(TH!O1335,3)&lt;&gt;"111",'152-CT'!$J$8=TH!F1335),"x","")</f>
        <v/>
      </c>
      <c r="AC1335" s="84" t="str">
        <f>IF(AND(OR(LEFT(TH!N1335,2)="15",LEFT(TH!O1335,2)="15"),TK!$E$7=TH!F1335),"x","")</f>
        <v/>
      </c>
      <c r="AD1335" s="84" t="str">
        <f>IF(AND(N1335="1521",MONTH(C1335)='BK-NL'!$M$11),"x","")</f>
        <v/>
      </c>
      <c r="AE1335" s="1146" t="str">
        <f>IF(H1335&lt;&gt;VLOOKUP(H1335,DSKH,1,0),"","x")</f>
        <v>x</v>
      </c>
    </row>
    <row r="1336" spans="1:31" ht="15.75" hidden="1" customHeight="1">
      <c r="A1336" s="336" t="str">
        <f>IF(B1336&lt;&gt;"",IF(AND(B1336='IN-TC'!$S$4,OR(TH!N1336="1111",TH!O1336="1111")),TH!D1336,""),"")</f>
        <v/>
      </c>
      <c r="B1336" s="63">
        <f t="shared" si="195"/>
        <v>4</v>
      </c>
      <c r="C1336" s="64">
        <f t="shared" si="194"/>
        <v>42485</v>
      </c>
      <c r="D1336" s="64" t="s">
        <v>705</v>
      </c>
      <c r="E1336" s="64">
        <v>42485</v>
      </c>
      <c r="F1336" s="73" t="s">
        <v>1199</v>
      </c>
      <c r="G1336" s="982" t="s">
        <v>919</v>
      </c>
      <c r="H1336" s="344"/>
      <c r="I1336" s="441"/>
      <c r="J1336" s="441"/>
      <c r="K1336" s="432"/>
      <c r="L1336" s="441"/>
      <c r="M1336" s="65">
        <v>20000</v>
      </c>
      <c r="N1336" s="321" t="s">
        <v>101</v>
      </c>
      <c r="O1336" s="66" t="s">
        <v>26</v>
      </c>
      <c r="P1336" s="84" t="str">
        <f>IF(AND('331-CT'!$E$7=TH!H1336,OR(N1336="331",O1336="331")),"x","")</f>
        <v/>
      </c>
      <c r="Q1336" s="84" t="str">
        <f>IF(AND(B1336='111'!$L$11,OR($N1336=$Q$7,$O1336=$Q$7)),"x","")</f>
        <v/>
      </c>
      <c r="R1336" s="84" t="str">
        <f>IF(AND($N1336=$Q$7,$B1336&lt;'111'!$L$11),"x","")</f>
        <v/>
      </c>
      <c r="S1336" s="84" t="str">
        <f>IF(AND($O1336=$Q$7,$B1336&lt;'111'!$L$11),"x","")</f>
        <v/>
      </c>
      <c r="T1336" s="84" t="str">
        <f>IF(ISERROR(FIND('112'!$M$9,G1336,1)),"",IF((AND(FIND('112'!$M$9,G1336,1)&gt;=1,B1336='112'!$K$9,OR($N1336='112'!$I$6,$O1336='112'!$I$6))),"x",""))</f>
        <v/>
      </c>
      <c r="U1336" s="84" t="str">
        <f>IF(ISERROR(FIND('112'!$M$9,G1336,1)),"",IF((AND(LEFT(G1336,2)=LEFT('112'!$M$9,2),B1336&lt;'112'!$K$9,$N1336='112'!$I$6)),"x",""))</f>
        <v/>
      </c>
      <c r="V1336" s="84" t="str">
        <f>IF(ISERROR(FIND('112'!$M$9,G1336,1)),"",IF((AND(RIGHT(G1336,2)=RIGHT('112'!$M$9,2),B1336&lt;'112'!$K$9,$O1336='112'!$I$6)),"x",""))</f>
        <v>x</v>
      </c>
      <c r="W1336" s="84" t="str">
        <f>IF(AND('341-CT'!$H$9=H1336,OR(LEFT(N1336,3)=$W$7,LEFT(O1336,3)=$W$7)),"x","")</f>
        <v/>
      </c>
      <c r="X1336" s="84" t="str">
        <f>IF(OR(TH!N1336=TH!$X$7,O1336=TH!$X$7),"x","")</f>
        <v/>
      </c>
      <c r="Y1336" s="84" t="str">
        <f>IF(AND(OR(N1336="131",O1336="131"),H1336='131-CT'!$H$9),"x","")</f>
        <v/>
      </c>
      <c r="Z1336" s="84"/>
      <c r="AA1336" s="84" t="str">
        <f>IF(AND(MONTH(E1336)='IN-NX'!$J$5,'IN-NX'!$D$7=D1336),"x","")</f>
        <v/>
      </c>
      <c r="AB1336" s="84" t="str">
        <f>IF(AND(OR(LEFT(TH!N1336,2)="15",LEFT(TH!O1336,2)="15"),LEFT(TH!O1336,3)&lt;&gt;"111",'152-CT'!$J$8=TH!F1336),"x","")</f>
        <v/>
      </c>
      <c r="AC1336" s="84" t="str">
        <f>IF(AND(OR(LEFT(TH!N1336,2)="15",LEFT(TH!O1336,2)="15"),TK!$E$7=TH!F1336),"x","")</f>
        <v/>
      </c>
      <c r="AD1336" s="84" t="str">
        <f>IF(AND(N1336="1521",MONTH(C1336)='BK-NL'!$M$11),"x","")</f>
        <v/>
      </c>
    </row>
    <row r="1337" spans="1:31" ht="15.75" hidden="1" customHeight="1">
      <c r="A1337" s="336" t="str">
        <f>IF(B1337&lt;&gt;"",IF(AND(B1337='IN-TC'!$S$4,OR(TH!N1337="1111",TH!O1337="1111")),TH!D1337,""),"")</f>
        <v/>
      </c>
      <c r="B1337" s="63">
        <f t="shared" si="195"/>
        <v>4</v>
      </c>
      <c r="C1337" s="64">
        <f t="shared" si="194"/>
        <v>42485</v>
      </c>
      <c r="D1337" s="64" t="s">
        <v>705</v>
      </c>
      <c r="E1337" s="64">
        <v>42485</v>
      </c>
      <c r="F1337" s="73" t="s">
        <v>1200</v>
      </c>
      <c r="G1337" s="982" t="s">
        <v>919</v>
      </c>
      <c r="H1337" s="344"/>
      <c r="I1337" s="441"/>
      <c r="J1337" s="441"/>
      <c r="K1337" s="432"/>
      <c r="L1337" s="441"/>
      <c r="M1337" s="65">
        <v>2000</v>
      </c>
      <c r="N1337" s="321" t="s">
        <v>9</v>
      </c>
      <c r="O1337" s="66" t="s">
        <v>26</v>
      </c>
      <c r="P1337" s="84" t="str">
        <f>IF(AND('331-CT'!$E$7=TH!H1337,OR(N1337="331",O1337="331")),"x","")</f>
        <v/>
      </c>
      <c r="Q1337" s="84" t="str">
        <f>IF(AND(B1337='111'!$L$11,OR($N1337=$Q$7,$O1337=$Q$7)),"x","")</f>
        <v/>
      </c>
      <c r="R1337" s="84" t="str">
        <f>IF(AND($N1337=$Q$7,$B1337&lt;'111'!$L$11),"x","")</f>
        <v/>
      </c>
      <c r="S1337" s="84" t="str">
        <f>IF(AND($O1337=$Q$7,$B1337&lt;'111'!$L$11),"x","")</f>
        <v/>
      </c>
      <c r="T1337" s="84" t="str">
        <f>IF(ISERROR(FIND('112'!$M$9,G1337,1)),"",IF((AND(FIND('112'!$M$9,G1337,1)&gt;=1,B1337='112'!$K$9,OR($N1337='112'!$I$6,$O1337='112'!$I$6))),"x",""))</f>
        <v/>
      </c>
      <c r="U1337" s="84" t="str">
        <f>IF(ISERROR(FIND('112'!$M$9,G1337,1)),"",IF((AND(LEFT(G1337,2)=LEFT('112'!$M$9,2),B1337&lt;'112'!$K$9,$N1337='112'!$I$6)),"x",""))</f>
        <v/>
      </c>
      <c r="V1337" s="84" t="str">
        <f>IF(ISERROR(FIND('112'!$M$9,G1337,1)),"",IF((AND(RIGHT(G1337,2)=RIGHT('112'!$M$9,2),B1337&lt;'112'!$K$9,$O1337='112'!$I$6)),"x",""))</f>
        <v>x</v>
      </c>
      <c r="W1337" s="84" t="str">
        <f>IF(AND('341-CT'!$H$9=H1337,OR(LEFT(N1337,3)=$W$7,LEFT(O1337,3)=$W$7)),"x","")</f>
        <v/>
      </c>
      <c r="X1337" s="84" t="str">
        <f>IF(OR(TH!N1337=TH!$X$7,O1337=TH!$X$7),"x","")</f>
        <v/>
      </c>
      <c r="Y1337" s="84" t="str">
        <f>IF(AND(OR(N1337="131",O1337="131"),H1337='131-CT'!$H$9),"x","")</f>
        <v/>
      </c>
      <c r="Z1337" s="84"/>
      <c r="AA1337" s="84" t="str">
        <f>IF(AND(MONTH(E1337)='IN-NX'!$J$5,'IN-NX'!$D$7=D1337),"x","")</f>
        <v/>
      </c>
      <c r="AB1337" s="84" t="str">
        <f>IF(AND(OR(LEFT(TH!N1337,2)="15",LEFT(TH!O1337,2)="15"),LEFT(TH!O1337,3)&lt;&gt;"111",'152-CT'!$J$8=TH!F1337),"x","")</f>
        <v/>
      </c>
      <c r="AC1337" s="84" t="str">
        <f>IF(AND(OR(LEFT(TH!N1337,2)="15",LEFT(TH!O1337,2)="15"),TK!$E$7=TH!F1337),"x","")</f>
        <v/>
      </c>
      <c r="AD1337" s="84" t="str">
        <f>IF(AND(N1337="1521",MONTH(C1337)='BK-NL'!$M$11),"x","")</f>
        <v/>
      </c>
    </row>
    <row r="1338" spans="1:31" ht="15.75" hidden="1" customHeight="1">
      <c r="A1338" s="336" t="str">
        <f>IF(B1338&lt;&gt;"",IF(AND(B1338='IN-TC'!$S$4,OR(TH!N1338="1111",TH!O1338="1111")),TH!D1338,""),"")</f>
        <v/>
      </c>
      <c r="B1338" s="63">
        <f t="shared" si="195"/>
        <v>4</v>
      </c>
      <c r="C1338" s="64">
        <f t="shared" si="194"/>
        <v>42485</v>
      </c>
      <c r="D1338" s="64" t="s">
        <v>705</v>
      </c>
      <c r="E1338" s="64">
        <v>42485</v>
      </c>
      <c r="F1338" s="73" t="s">
        <v>1216</v>
      </c>
      <c r="G1338" s="982" t="s">
        <v>919</v>
      </c>
      <c r="H1338" s="76" t="s">
        <v>626</v>
      </c>
      <c r="I1338" s="439"/>
      <c r="J1338" s="439"/>
      <c r="K1338" s="430"/>
      <c r="L1338" s="439"/>
      <c r="M1338" s="65">
        <v>35536000</v>
      </c>
      <c r="N1338" s="66" t="s">
        <v>8</v>
      </c>
      <c r="O1338" s="66" t="s">
        <v>26</v>
      </c>
      <c r="P1338" s="84" t="str">
        <f>IF(AND('331-CT'!$E$7=TH!H1338,OR(N1338="331",O1338="331")),"x","")</f>
        <v/>
      </c>
      <c r="Q1338" s="84" t="str">
        <f>IF(AND(B1338='111'!$L$11,OR($N1338=$Q$7,$O1338=$Q$7)),"x","")</f>
        <v/>
      </c>
      <c r="R1338" s="84" t="str">
        <f>IF(AND($N1338=$Q$7,$B1338&lt;'111'!$L$11),"x","")</f>
        <v/>
      </c>
      <c r="S1338" s="84" t="str">
        <f>IF(AND($O1338=$Q$7,$B1338&lt;'111'!$L$11),"x","")</f>
        <v/>
      </c>
      <c r="T1338" s="84" t="str">
        <f>IF(ISERROR(FIND('112'!$M$9,G1338,1)),"",IF((AND(FIND('112'!$M$9,G1338,1)&gt;=1,B1338='112'!$K$9,OR($N1338='112'!$I$6,$O1338='112'!$I$6))),"x",""))</f>
        <v/>
      </c>
      <c r="U1338" s="84" t="str">
        <f>IF(ISERROR(FIND('112'!$M$9,G1338,1)),"",IF((AND(LEFT(G1338,2)=LEFT('112'!$M$9,2),B1338&lt;'112'!$K$9,$N1338='112'!$I$6)),"x",""))</f>
        <v/>
      </c>
      <c r="V1338" s="84" t="str">
        <f>IF(ISERROR(FIND('112'!$M$9,G1338,1)),"",IF((AND(RIGHT(G1338,2)=RIGHT('112'!$M$9,2),B1338&lt;'112'!$K$9,$O1338='112'!$I$6)),"x",""))</f>
        <v>x</v>
      </c>
      <c r="W1338" s="84" t="str">
        <f>IF(AND('341-CT'!$H$9=H1338,OR(LEFT(N1338,3)=$W$7,LEFT(O1338,3)=$W$7)),"x","")</f>
        <v/>
      </c>
      <c r="X1338" s="84" t="str">
        <f>IF(OR(TH!N1338=TH!$X$7,O1338=TH!$X$7),"x","")</f>
        <v/>
      </c>
      <c r="Y1338" s="84" t="str">
        <f>IF(AND(OR(N1338="131",O1338="131"),H1338='131-CT'!$H$9),"x","")</f>
        <v/>
      </c>
      <c r="Z1338" s="84"/>
      <c r="AA1338" s="84" t="str">
        <f>IF(AND(MONTH(E1338)='IN-NX'!$J$5,'IN-NX'!$D$7=D1338),"x","")</f>
        <v/>
      </c>
      <c r="AB1338" s="84" t="str">
        <f>IF(AND(OR(LEFT(TH!N1338,2)="15",LEFT(TH!O1338,2)="15"),LEFT(TH!O1338,3)&lt;&gt;"111",'152-CT'!$J$8=TH!F1338),"x","")</f>
        <v/>
      </c>
      <c r="AC1338" s="84" t="str">
        <f>IF(AND(OR(LEFT(TH!N1338,2)="15",LEFT(TH!O1338,2)="15"),TK!$E$7=TH!F1338),"x","")</f>
        <v/>
      </c>
      <c r="AD1338" s="84" t="str">
        <f>IF(AND(N1338="1521",MONTH(C1338)='BK-NL'!$M$11),"x","")</f>
        <v/>
      </c>
      <c r="AE1338" s="1146" t="str">
        <f>IF(H1338&lt;&gt;VLOOKUP(H1338,DSKH,1,0),"","x")</f>
        <v>x</v>
      </c>
    </row>
    <row r="1339" spans="1:31" ht="15.75" hidden="1" customHeight="1">
      <c r="A1339" s="336" t="str">
        <f>IF(B1339&lt;&gt;"",IF(AND(B1339='IN-TC'!$S$4,OR(TH!N1339="1111",TH!O1339="1111")),TH!D1339,""),"")</f>
        <v/>
      </c>
      <c r="B1339" s="63">
        <f t="shared" si="195"/>
        <v>4</v>
      </c>
      <c r="C1339" s="64">
        <f t="shared" si="194"/>
        <v>42485</v>
      </c>
      <c r="D1339" s="64" t="s">
        <v>705</v>
      </c>
      <c r="E1339" s="64">
        <v>42485</v>
      </c>
      <c r="F1339" s="73" t="s">
        <v>1199</v>
      </c>
      <c r="G1339" s="982" t="s">
        <v>919</v>
      </c>
      <c r="H1339" s="320"/>
      <c r="I1339" s="439"/>
      <c r="J1339" s="439"/>
      <c r="K1339" s="430"/>
      <c r="L1339" s="439"/>
      <c r="M1339" s="65">
        <v>40000</v>
      </c>
      <c r="N1339" s="321" t="s">
        <v>101</v>
      </c>
      <c r="O1339" s="66" t="s">
        <v>26</v>
      </c>
      <c r="P1339" s="84" t="str">
        <f>IF(AND('331-CT'!$E$7=TH!H1339,OR(N1339="331",O1339="331")),"x","")</f>
        <v/>
      </c>
      <c r="Q1339" s="84" t="str">
        <f>IF(AND(B1339='111'!$L$11,OR($N1339=$Q$7,$O1339=$Q$7)),"x","")</f>
        <v/>
      </c>
      <c r="R1339" s="84" t="str">
        <f>IF(AND($N1339=$Q$7,$B1339&lt;'111'!$L$11),"x","")</f>
        <v/>
      </c>
      <c r="S1339" s="84" t="str">
        <f>IF(AND($O1339=$Q$7,$B1339&lt;'111'!$L$11),"x","")</f>
        <v/>
      </c>
      <c r="T1339" s="84" t="str">
        <f>IF(ISERROR(FIND('112'!$M$9,G1339,1)),"",IF((AND(FIND('112'!$M$9,G1339,1)&gt;=1,B1339='112'!$K$9,OR($N1339='112'!$I$6,$O1339='112'!$I$6))),"x",""))</f>
        <v/>
      </c>
      <c r="U1339" s="84" t="str">
        <f>IF(ISERROR(FIND('112'!$M$9,G1339,1)),"",IF((AND(LEFT(G1339,2)=LEFT('112'!$M$9,2),B1339&lt;'112'!$K$9,$N1339='112'!$I$6)),"x",""))</f>
        <v/>
      </c>
      <c r="V1339" s="84" t="str">
        <f>IF(ISERROR(FIND('112'!$M$9,G1339,1)),"",IF((AND(RIGHT(G1339,2)=RIGHT('112'!$M$9,2),B1339&lt;'112'!$K$9,$O1339='112'!$I$6)),"x",""))</f>
        <v>x</v>
      </c>
      <c r="W1339" s="84" t="str">
        <f>IF(AND('341-CT'!$H$9=H1339,OR(LEFT(N1339,3)=$W$7,LEFT(O1339,3)=$W$7)),"x","")</f>
        <v/>
      </c>
      <c r="X1339" s="84" t="str">
        <f>IF(OR(TH!N1339=TH!$X$7,O1339=TH!$X$7),"x","")</f>
        <v/>
      </c>
      <c r="Y1339" s="84" t="str">
        <f>IF(AND(OR(N1339="131",O1339="131"),H1339='131-CT'!$H$9),"x","")</f>
        <v/>
      </c>
      <c r="Z1339" s="84"/>
      <c r="AA1339" s="84" t="str">
        <f>IF(AND(MONTH(E1339)='IN-NX'!$J$5,'IN-NX'!$D$7=D1339),"x","")</f>
        <v/>
      </c>
      <c r="AB1339" s="84" t="str">
        <f>IF(AND(OR(LEFT(TH!N1339,2)="15",LEFT(TH!O1339,2)="15"),LEFT(TH!O1339,3)&lt;&gt;"111",'152-CT'!$J$8=TH!F1339),"x","")</f>
        <v/>
      </c>
      <c r="AC1339" s="84" t="str">
        <f>IF(AND(OR(LEFT(TH!N1339,2)="15",LEFT(TH!O1339,2)="15"),TK!$E$7=TH!F1339),"x","")</f>
        <v/>
      </c>
      <c r="AD1339" s="84" t="str">
        <f>IF(AND(N1339="1521",MONTH(C1339)='BK-NL'!$M$11),"x","")</f>
        <v/>
      </c>
    </row>
    <row r="1340" spans="1:31" ht="15.75" hidden="1" customHeight="1">
      <c r="A1340" s="336" t="str">
        <f>IF(B1340&lt;&gt;"",IF(AND(B1340='IN-TC'!$S$4,OR(TH!N1340="1111",TH!O1340="1111")),TH!D1340,""),"")</f>
        <v/>
      </c>
      <c r="B1340" s="63">
        <f t="shared" si="195"/>
        <v>4</v>
      </c>
      <c r="C1340" s="64">
        <f t="shared" si="194"/>
        <v>42485</v>
      </c>
      <c r="D1340" s="64" t="s">
        <v>705</v>
      </c>
      <c r="E1340" s="64">
        <v>42485</v>
      </c>
      <c r="F1340" s="73" t="s">
        <v>1200</v>
      </c>
      <c r="G1340" s="982" t="s">
        <v>919</v>
      </c>
      <c r="H1340" s="320"/>
      <c r="I1340" s="439"/>
      <c r="J1340" s="439"/>
      <c r="K1340" s="430"/>
      <c r="L1340" s="439"/>
      <c r="M1340" s="65">
        <v>4000</v>
      </c>
      <c r="N1340" s="321" t="s">
        <v>9</v>
      </c>
      <c r="O1340" s="66" t="s">
        <v>26</v>
      </c>
      <c r="P1340" s="84" t="str">
        <f>IF(AND('331-CT'!$E$7=TH!H1340,OR(N1340="331",O1340="331")),"x","")</f>
        <v/>
      </c>
      <c r="Q1340" s="84" t="str">
        <f>IF(AND(B1340='111'!$L$11,OR($N1340=$Q$7,$O1340=$Q$7)),"x","")</f>
        <v/>
      </c>
      <c r="R1340" s="84" t="str">
        <f>IF(AND($N1340=$Q$7,$B1340&lt;'111'!$L$11),"x","")</f>
        <v/>
      </c>
      <c r="S1340" s="84" t="str">
        <f>IF(AND($O1340=$Q$7,$B1340&lt;'111'!$L$11),"x","")</f>
        <v/>
      </c>
      <c r="T1340" s="84" t="str">
        <f>IF(ISERROR(FIND('112'!$M$9,G1340,1)),"",IF((AND(FIND('112'!$M$9,G1340,1)&gt;=1,B1340='112'!$K$9,OR($N1340='112'!$I$6,$O1340='112'!$I$6))),"x",""))</f>
        <v/>
      </c>
      <c r="U1340" s="84" t="str">
        <f>IF(ISERROR(FIND('112'!$M$9,G1340,1)),"",IF((AND(LEFT(G1340,2)=LEFT('112'!$M$9,2),B1340&lt;'112'!$K$9,$N1340='112'!$I$6)),"x",""))</f>
        <v/>
      </c>
      <c r="V1340" s="84" t="str">
        <f>IF(ISERROR(FIND('112'!$M$9,G1340,1)),"",IF((AND(RIGHT(G1340,2)=RIGHT('112'!$M$9,2),B1340&lt;'112'!$K$9,$O1340='112'!$I$6)),"x",""))</f>
        <v>x</v>
      </c>
      <c r="W1340" s="84" t="str">
        <f>IF(AND('341-CT'!$H$9=H1340,OR(LEFT(N1340,3)=$W$7,LEFT(O1340,3)=$W$7)),"x","")</f>
        <v/>
      </c>
      <c r="X1340" s="84" t="str">
        <f>IF(OR(TH!N1340=TH!$X$7,O1340=TH!$X$7),"x","")</f>
        <v/>
      </c>
      <c r="Y1340" s="84" t="str">
        <f>IF(AND(OR(N1340="131",O1340="131"),H1340='131-CT'!$H$9),"x","")</f>
        <v/>
      </c>
      <c r="Z1340" s="84"/>
      <c r="AA1340" s="84" t="str">
        <f>IF(AND(MONTH(E1340)='IN-NX'!$J$5,'IN-NX'!$D$7=D1340),"x","")</f>
        <v/>
      </c>
      <c r="AB1340" s="84" t="str">
        <f>IF(AND(OR(LEFT(TH!N1340,2)="15",LEFT(TH!O1340,2)="15"),LEFT(TH!O1340,3)&lt;&gt;"111",'152-CT'!$J$8=TH!F1340),"x","")</f>
        <v/>
      </c>
      <c r="AC1340" s="84" t="str">
        <f>IF(AND(OR(LEFT(TH!N1340,2)="15",LEFT(TH!O1340,2)="15"),TK!$E$7=TH!F1340),"x","")</f>
        <v/>
      </c>
      <c r="AD1340" s="84" t="str">
        <f>IF(AND(N1340="1521",MONTH(C1340)='BK-NL'!$M$11),"x","")</f>
        <v/>
      </c>
    </row>
    <row r="1341" spans="1:31" ht="15.75" hidden="1" customHeight="1">
      <c r="A1341" s="336" t="str">
        <f>IF(B1341&lt;&gt;"",IF(AND(B1341='IN-TC'!$S$4,OR(TH!N1341="1111",TH!O1341="1111")),TH!D1341,""),"")</f>
        <v/>
      </c>
      <c r="B1341" s="63">
        <f t="shared" si="195"/>
        <v>4</v>
      </c>
      <c r="C1341" s="64">
        <f t="shared" si="194"/>
        <v>42485</v>
      </c>
      <c r="D1341" s="64" t="s">
        <v>705</v>
      </c>
      <c r="E1341" s="64">
        <v>42485</v>
      </c>
      <c r="F1341" s="73" t="s">
        <v>1454</v>
      </c>
      <c r="G1341" s="982" t="s">
        <v>919</v>
      </c>
      <c r="H1341" s="73" t="s">
        <v>1175</v>
      </c>
      <c r="I1341" s="439"/>
      <c r="J1341" s="439"/>
      <c r="K1341" s="430"/>
      <c r="L1341" s="439"/>
      <c r="M1341" s="65">
        <v>36900000</v>
      </c>
      <c r="N1341" s="66" t="s">
        <v>8</v>
      </c>
      <c r="O1341" s="66" t="s">
        <v>26</v>
      </c>
      <c r="P1341" s="84" t="str">
        <f>IF(AND('331-CT'!$E$7=TH!H1341,OR(N1341="331",O1341="331")),"x","")</f>
        <v/>
      </c>
      <c r="Q1341" s="84" t="str">
        <f>IF(AND(B1341='111'!$L$11,OR($N1341=$Q$7,$O1341=$Q$7)),"x","")</f>
        <v/>
      </c>
      <c r="R1341" s="84" t="str">
        <f>IF(AND($N1341=$Q$7,$B1341&lt;'111'!$L$11),"x","")</f>
        <v/>
      </c>
      <c r="S1341" s="84" t="str">
        <f>IF(AND($O1341=$Q$7,$B1341&lt;'111'!$L$11),"x","")</f>
        <v/>
      </c>
      <c r="T1341" s="84" t="str">
        <f>IF(ISERROR(FIND('112'!$M$9,G1341,1)),"",IF((AND(FIND('112'!$M$9,G1341,1)&gt;=1,B1341='112'!$K$9,OR($N1341='112'!$I$6,$O1341='112'!$I$6))),"x",""))</f>
        <v/>
      </c>
      <c r="U1341" s="84" t="str">
        <f>IF(ISERROR(FIND('112'!$M$9,G1341,1)),"",IF((AND(LEFT(G1341,2)=LEFT('112'!$M$9,2),B1341&lt;'112'!$K$9,$N1341='112'!$I$6)),"x",""))</f>
        <v/>
      </c>
      <c r="V1341" s="84" t="str">
        <f>IF(ISERROR(FIND('112'!$M$9,G1341,1)),"",IF((AND(RIGHT(G1341,2)=RIGHT('112'!$M$9,2),B1341&lt;'112'!$K$9,$O1341='112'!$I$6)),"x",""))</f>
        <v>x</v>
      </c>
      <c r="W1341" s="84" t="str">
        <f>IF(AND('341-CT'!$H$9=H1341,OR(LEFT(N1341,3)=$W$7,LEFT(O1341,3)=$W$7)),"x","")</f>
        <v/>
      </c>
      <c r="X1341" s="84" t="str">
        <f>IF(OR(TH!N1341=TH!$X$7,O1341=TH!$X$7),"x","")</f>
        <v/>
      </c>
      <c r="Y1341" s="84" t="str">
        <f>IF(AND(OR(N1341="131",O1341="131"),H1341='131-CT'!$H$9),"x","")</f>
        <v/>
      </c>
      <c r="Z1341" s="84"/>
      <c r="AA1341" s="84" t="str">
        <f>IF(AND(MONTH(E1341)='IN-NX'!$J$5,'IN-NX'!$D$7=D1341),"x","")</f>
        <v/>
      </c>
      <c r="AB1341" s="84" t="str">
        <f>IF(AND(OR(LEFT(TH!N1341,2)="15",LEFT(TH!O1341,2)="15"),LEFT(TH!O1341,3)&lt;&gt;"111",'152-CT'!$J$8=TH!F1341),"x","")</f>
        <v/>
      </c>
      <c r="AC1341" s="84" t="str">
        <f>IF(AND(OR(LEFT(TH!N1341,2)="15",LEFT(TH!O1341,2)="15"),TK!$E$7=TH!F1341),"x","")</f>
        <v/>
      </c>
      <c r="AD1341" s="84" t="str">
        <f>IF(AND(N1341="1521",MONTH(C1341)='BK-NL'!$M$11),"x","")</f>
        <v/>
      </c>
      <c r="AE1341" s="1146" t="str">
        <f>IF(H1341&lt;&gt;VLOOKUP(H1341,DSKH,1,0),"","x")</f>
        <v>x</v>
      </c>
    </row>
    <row r="1342" spans="1:31" ht="15.75" hidden="1" customHeight="1">
      <c r="A1342" s="336" t="str">
        <f>IF(B1342&lt;&gt;"",IF(AND(B1342='IN-TC'!$S$4,OR(TH!N1342="1111",TH!O1342="1111")),TH!D1342,""),"")</f>
        <v/>
      </c>
      <c r="B1342" s="63">
        <f t="shared" si="195"/>
        <v>4</v>
      </c>
      <c r="C1342" s="64">
        <f t="shared" ref="C1342:C1354" si="196">E1342</f>
        <v>42485</v>
      </c>
      <c r="D1342" s="64" t="s">
        <v>705</v>
      </c>
      <c r="E1342" s="64">
        <v>42485</v>
      </c>
      <c r="F1342" s="73" t="s">
        <v>1199</v>
      </c>
      <c r="G1342" s="982" t="s">
        <v>919</v>
      </c>
      <c r="H1342" s="320"/>
      <c r="I1342" s="439"/>
      <c r="J1342" s="439"/>
      <c r="K1342" s="430"/>
      <c r="L1342" s="439"/>
      <c r="M1342" s="65">
        <v>40000</v>
      </c>
      <c r="N1342" s="321" t="s">
        <v>101</v>
      </c>
      <c r="O1342" s="66" t="s">
        <v>26</v>
      </c>
      <c r="P1342" s="84" t="str">
        <f>IF(AND('331-CT'!$E$7=TH!H1342,OR(N1342="331",O1342="331")),"x","")</f>
        <v/>
      </c>
      <c r="Q1342" s="84" t="str">
        <f>IF(AND(B1342='111'!$L$11,OR($N1342=$Q$7,$O1342=$Q$7)),"x","")</f>
        <v/>
      </c>
      <c r="R1342" s="84" t="str">
        <f>IF(AND($N1342=$Q$7,$B1342&lt;'111'!$L$11),"x","")</f>
        <v/>
      </c>
      <c r="S1342" s="84" t="str">
        <f>IF(AND($O1342=$Q$7,$B1342&lt;'111'!$L$11),"x","")</f>
        <v/>
      </c>
      <c r="T1342" s="84" t="str">
        <f>IF(ISERROR(FIND('112'!$M$9,G1342,1)),"",IF((AND(FIND('112'!$M$9,G1342,1)&gt;=1,B1342='112'!$K$9,OR($N1342='112'!$I$6,$O1342='112'!$I$6))),"x",""))</f>
        <v/>
      </c>
      <c r="U1342" s="84" t="str">
        <f>IF(ISERROR(FIND('112'!$M$9,G1342,1)),"",IF((AND(LEFT(G1342,2)=LEFT('112'!$M$9,2),B1342&lt;'112'!$K$9,$N1342='112'!$I$6)),"x",""))</f>
        <v/>
      </c>
      <c r="V1342" s="84" t="str">
        <f>IF(ISERROR(FIND('112'!$M$9,G1342,1)),"",IF((AND(RIGHT(G1342,2)=RIGHT('112'!$M$9,2),B1342&lt;'112'!$K$9,$O1342='112'!$I$6)),"x",""))</f>
        <v>x</v>
      </c>
      <c r="W1342" s="84" t="str">
        <f>IF(AND('341-CT'!$H$9=H1342,OR(LEFT(N1342,3)=$W$7,LEFT(O1342,3)=$W$7)),"x","")</f>
        <v/>
      </c>
      <c r="X1342" s="84" t="str">
        <f>IF(OR(TH!N1342=TH!$X$7,O1342=TH!$X$7),"x","")</f>
        <v/>
      </c>
      <c r="Y1342" s="84" t="str">
        <f>IF(AND(OR(N1342="131",O1342="131"),H1342='131-CT'!$H$9),"x","")</f>
        <v/>
      </c>
      <c r="Z1342" s="84"/>
      <c r="AA1342" s="84" t="str">
        <f>IF(AND(MONTH(E1342)='IN-NX'!$J$5,'IN-NX'!$D$7=D1342),"x","")</f>
        <v/>
      </c>
      <c r="AB1342" s="84" t="str">
        <f>IF(AND(OR(LEFT(TH!N1342,2)="15",LEFT(TH!O1342,2)="15"),LEFT(TH!O1342,3)&lt;&gt;"111",'152-CT'!$J$8=TH!F1342),"x","")</f>
        <v/>
      </c>
      <c r="AC1342" s="84" t="str">
        <f>IF(AND(OR(LEFT(TH!N1342,2)="15",LEFT(TH!O1342,2)="15"),TK!$E$7=TH!F1342),"x","")</f>
        <v/>
      </c>
      <c r="AD1342" s="84" t="str">
        <f>IF(AND(N1342="1521",MONTH(C1342)='BK-NL'!$M$11),"x","")</f>
        <v/>
      </c>
    </row>
    <row r="1343" spans="1:31" ht="15.75" hidden="1" customHeight="1">
      <c r="A1343" s="336" t="str">
        <f>IF(B1343&lt;&gt;"",IF(AND(B1343='IN-TC'!$S$4,OR(TH!N1343="1111",TH!O1343="1111")),TH!D1343,""),"")</f>
        <v/>
      </c>
      <c r="B1343" s="63">
        <f t="shared" si="195"/>
        <v>4</v>
      </c>
      <c r="C1343" s="64">
        <f t="shared" si="196"/>
        <v>42485</v>
      </c>
      <c r="D1343" s="64" t="s">
        <v>705</v>
      </c>
      <c r="E1343" s="64">
        <v>42485</v>
      </c>
      <c r="F1343" s="73" t="s">
        <v>1200</v>
      </c>
      <c r="G1343" s="982" t="s">
        <v>919</v>
      </c>
      <c r="H1343" s="320"/>
      <c r="I1343" s="439"/>
      <c r="J1343" s="439"/>
      <c r="K1343" s="430"/>
      <c r="L1343" s="439"/>
      <c r="M1343" s="65">
        <v>4000</v>
      </c>
      <c r="N1343" s="321" t="s">
        <v>9</v>
      </c>
      <c r="O1343" s="66" t="s">
        <v>26</v>
      </c>
      <c r="P1343" s="84" t="str">
        <f>IF(AND('331-CT'!$E$7=TH!H1343,OR(N1343="331",O1343="331")),"x","")</f>
        <v/>
      </c>
      <c r="Q1343" s="84" t="str">
        <f>IF(AND(B1343='111'!$L$11,OR($N1343=$Q$7,$O1343=$Q$7)),"x","")</f>
        <v/>
      </c>
      <c r="R1343" s="84" t="str">
        <f>IF(AND($N1343=$Q$7,$B1343&lt;'111'!$L$11),"x","")</f>
        <v/>
      </c>
      <c r="S1343" s="84" t="str">
        <f>IF(AND($O1343=$Q$7,$B1343&lt;'111'!$L$11),"x","")</f>
        <v/>
      </c>
      <c r="T1343" s="84" t="str">
        <f>IF(ISERROR(FIND('112'!$M$9,G1343,1)),"",IF((AND(FIND('112'!$M$9,G1343,1)&gt;=1,B1343='112'!$K$9,OR($N1343='112'!$I$6,$O1343='112'!$I$6))),"x",""))</f>
        <v/>
      </c>
      <c r="U1343" s="84" t="str">
        <f>IF(ISERROR(FIND('112'!$M$9,G1343,1)),"",IF((AND(LEFT(G1343,2)=LEFT('112'!$M$9,2),B1343&lt;'112'!$K$9,$N1343='112'!$I$6)),"x",""))</f>
        <v/>
      </c>
      <c r="V1343" s="84" t="str">
        <f>IF(ISERROR(FIND('112'!$M$9,G1343,1)),"",IF((AND(RIGHT(G1343,2)=RIGHT('112'!$M$9,2),B1343&lt;'112'!$K$9,$O1343='112'!$I$6)),"x",""))</f>
        <v>x</v>
      </c>
      <c r="W1343" s="84" t="str">
        <f>IF(AND('341-CT'!$H$9=H1343,OR(LEFT(N1343,3)=$W$7,LEFT(O1343,3)=$W$7)),"x","")</f>
        <v/>
      </c>
      <c r="X1343" s="84" t="str">
        <f>IF(OR(TH!N1343=TH!$X$7,O1343=TH!$X$7),"x","")</f>
        <v/>
      </c>
      <c r="Y1343" s="84" t="str">
        <f>IF(AND(OR(N1343="131",O1343="131"),H1343='131-CT'!$H$9),"x","")</f>
        <v/>
      </c>
      <c r="Z1343" s="84"/>
      <c r="AA1343" s="84" t="str">
        <f>IF(AND(MONTH(E1343)='IN-NX'!$J$5,'IN-NX'!$D$7=D1343),"x","")</f>
        <v/>
      </c>
      <c r="AB1343" s="84" t="str">
        <f>IF(AND(OR(LEFT(TH!N1343,2)="15",LEFT(TH!O1343,2)="15"),LEFT(TH!O1343,3)&lt;&gt;"111",'152-CT'!$J$8=TH!F1343),"x","")</f>
        <v/>
      </c>
      <c r="AC1343" s="84" t="str">
        <f>IF(AND(OR(LEFT(TH!N1343,2)="15",LEFT(TH!O1343,2)="15"),TK!$E$7=TH!F1343),"x","")</f>
        <v/>
      </c>
      <c r="AD1343" s="84" t="str">
        <f>IF(AND(N1343="1521",MONTH(C1343)='BK-NL'!$M$11),"x","")</f>
        <v/>
      </c>
    </row>
    <row r="1344" spans="1:31" ht="15.75" hidden="1" customHeight="1">
      <c r="A1344" s="336" t="str">
        <f>IF(B1344&lt;&gt;"",IF(AND(B1344='IN-TC'!$S$4,OR(TH!N1344="1111",TH!O1344="1111")),TH!D1344,""),"")</f>
        <v/>
      </c>
      <c r="B1344" s="63">
        <f t="shared" si="195"/>
        <v>4</v>
      </c>
      <c r="C1344" s="64">
        <f t="shared" si="196"/>
        <v>42486</v>
      </c>
      <c r="D1344" s="64" t="s">
        <v>705</v>
      </c>
      <c r="E1344" s="64">
        <v>42486</v>
      </c>
      <c r="F1344" s="73" t="s">
        <v>1455</v>
      </c>
      <c r="G1344" s="982" t="s">
        <v>919</v>
      </c>
      <c r="H1344" s="344" t="s">
        <v>632</v>
      </c>
      <c r="I1344" s="439"/>
      <c r="J1344" s="439"/>
      <c r="K1344" s="430"/>
      <c r="L1344" s="439"/>
      <c r="M1344" s="65">
        <v>26225320</v>
      </c>
      <c r="N1344" s="66" t="s">
        <v>8</v>
      </c>
      <c r="O1344" s="66" t="s">
        <v>26</v>
      </c>
      <c r="P1344" s="84" t="str">
        <f>IF(AND('331-CT'!$E$7=TH!H1344,OR(N1344="331",O1344="331")),"x","")</f>
        <v/>
      </c>
      <c r="Q1344" s="84" t="str">
        <f>IF(AND(B1344='111'!$L$11,OR($N1344=$Q$7,$O1344=$Q$7)),"x","")</f>
        <v/>
      </c>
      <c r="R1344" s="84" t="str">
        <f>IF(AND($N1344=$Q$7,$B1344&lt;'111'!$L$11),"x","")</f>
        <v/>
      </c>
      <c r="S1344" s="84" t="str">
        <f>IF(AND($O1344=$Q$7,$B1344&lt;'111'!$L$11),"x","")</f>
        <v/>
      </c>
      <c r="T1344" s="84" t="str">
        <f>IF(ISERROR(FIND('112'!$M$9,G1344,1)),"",IF((AND(FIND('112'!$M$9,G1344,1)&gt;=1,B1344='112'!$K$9,OR($N1344='112'!$I$6,$O1344='112'!$I$6))),"x",""))</f>
        <v/>
      </c>
      <c r="U1344" s="84" t="str">
        <f>IF(ISERROR(FIND('112'!$M$9,G1344,1)),"",IF((AND(LEFT(G1344,2)=LEFT('112'!$M$9,2),B1344&lt;'112'!$K$9,$N1344='112'!$I$6)),"x",""))</f>
        <v/>
      </c>
      <c r="V1344" s="84" t="str">
        <f>IF(ISERROR(FIND('112'!$M$9,G1344,1)),"",IF((AND(RIGHT(G1344,2)=RIGHT('112'!$M$9,2),B1344&lt;'112'!$K$9,$O1344='112'!$I$6)),"x",""))</f>
        <v>x</v>
      </c>
      <c r="W1344" s="84" t="str">
        <f>IF(AND('341-CT'!$H$9=H1344,OR(LEFT(N1344,3)=$W$7,LEFT(O1344,3)=$W$7)),"x","")</f>
        <v/>
      </c>
      <c r="X1344" s="84" t="str">
        <f>IF(OR(TH!N1344=TH!$X$7,O1344=TH!$X$7),"x","")</f>
        <v/>
      </c>
      <c r="Y1344" s="84" t="str">
        <f>IF(AND(OR(N1344="131",O1344="131"),H1344='131-CT'!$H$9),"x","")</f>
        <v/>
      </c>
      <c r="Z1344" s="84"/>
      <c r="AA1344" s="84" t="str">
        <f>IF(AND(MONTH(E1344)='IN-NX'!$J$5,'IN-NX'!$D$7=D1344),"x","")</f>
        <v/>
      </c>
      <c r="AB1344" s="84" t="str">
        <f>IF(AND(OR(LEFT(TH!N1344,2)="15",LEFT(TH!O1344,2)="15"),LEFT(TH!O1344,3)&lt;&gt;"111",'152-CT'!$J$8=TH!F1344),"x","")</f>
        <v/>
      </c>
      <c r="AC1344" s="84" t="str">
        <f>IF(AND(OR(LEFT(TH!N1344,2)="15",LEFT(TH!O1344,2)="15"),TK!$E$7=TH!F1344),"x","")</f>
        <v/>
      </c>
      <c r="AD1344" s="84" t="str">
        <f>IF(AND(N1344="1521",MONTH(C1344)='BK-NL'!$M$11),"x","")</f>
        <v/>
      </c>
      <c r="AE1344" s="1146" t="str">
        <f>IF(H1344&lt;&gt;VLOOKUP(H1344,DSKH,1,0),"","x")</f>
        <v>x</v>
      </c>
    </row>
    <row r="1345" spans="1:30" ht="15.75" hidden="1" customHeight="1">
      <c r="A1345" s="336" t="str">
        <f>IF(B1345&lt;&gt;"",IF(AND(B1345='IN-TC'!$S$4,OR(TH!N1345="1111",TH!O1345="1111")),TH!D1345,""),"")</f>
        <v/>
      </c>
      <c r="B1345" s="63">
        <f t="shared" si="195"/>
        <v>4</v>
      </c>
      <c r="C1345" s="64">
        <f t="shared" si="196"/>
        <v>42486</v>
      </c>
      <c r="D1345" s="64" t="s">
        <v>705</v>
      </c>
      <c r="E1345" s="64">
        <v>42486</v>
      </c>
      <c r="F1345" s="73" t="s">
        <v>1199</v>
      </c>
      <c r="G1345" s="982" t="s">
        <v>919</v>
      </c>
      <c r="H1345" s="73"/>
      <c r="I1345" s="439"/>
      <c r="J1345" s="439"/>
      <c r="K1345" s="430"/>
      <c r="L1345" s="439"/>
      <c r="M1345" s="65">
        <v>45000</v>
      </c>
      <c r="N1345" s="321" t="s">
        <v>101</v>
      </c>
      <c r="O1345" s="66" t="s">
        <v>26</v>
      </c>
      <c r="P1345" s="84" t="str">
        <f>IF(AND('331-CT'!$E$7=TH!H1345,OR(N1345="331",O1345="331")),"x","")</f>
        <v/>
      </c>
      <c r="Q1345" s="84" t="str">
        <f>IF(AND(B1345='111'!$L$11,OR($N1345=$Q$7,$O1345=$Q$7)),"x","")</f>
        <v/>
      </c>
      <c r="R1345" s="84" t="str">
        <f>IF(AND($N1345=$Q$7,$B1345&lt;'111'!$L$11),"x","")</f>
        <v/>
      </c>
      <c r="S1345" s="84" t="str">
        <f>IF(AND($O1345=$Q$7,$B1345&lt;'111'!$L$11),"x","")</f>
        <v/>
      </c>
      <c r="T1345" s="84" t="str">
        <f>IF(ISERROR(FIND('112'!$M$9,G1345,1)),"",IF((AND(FIND('112'!$M$9,G1345,1)&gt;=1,B1345='112'!$K$9,OR($N1345='112'!$I$6,$O1345='112'!$I$6))),"x",""))</f>
        <v/>
      </c>
      <c r="U1345" s="84" t="str">
        <f>IF(ISERROR(FIND('112'!$M$9,G1345,1)),"",IF((AND(LEFT(G1345,2)=LEFT('112'!$M$9,2),B1345&lt;'112'!$K$9,$N1345='112'!$I$6)),"x",""))</f>
        <v/>
      </c>
      <c r="V1345" s="84" t="str">
        <f>IF(ISERROR(FIND('112'!$M$9,G1345,1)),"",IF((AND(RIGHT(G1345,2)=RIGHT('112'!$M$9,2),B1345&lt;'112'!$K$9,$O1345='112'!$I$6)),"x",""))</f>
        <v>x</v>
      </c>
      <c r="W1345" s="84" t="str">
        <f>IF(AND('341-CT'!$H$9=H1345,OR(LEFT(N1345,3)=$W$7,LEFT(O1345,3)=$W$7)),"x","")</f>
        <v/>
      </c>
      <c r="X1345" s="84" t="str">
        <f>IF(OR(TH!N1345=TH!$X$7,O1345=TH!$X$7),"x","")</f>
        <v/>
      </c>
      <c r="Y1345" s="84" t="str">
        <f>IF(AND(OR(N1345="131",O1345="131"),H1345='131-CT'!$H$9),"x","")</f>
        <v/>
      </c>
      <c r="Z1345" s="84"/>
      <c r="AA1345" s="84" t="str">
        <f>IF(AND(MONTH(E1345)='IN-NX'!$J$5,'IN-NX'!$D$7=D1345),"x","")</f>
        <v/>
      </c>
      <c r="AB1345" s="84" t="str">
        <f>IF(AND(OR(LEFT(TH!N1345,2)="15",LEFT(TH!O1345,2)="15"),LEFT(TH!O1345,3)&lt;&gt;"111",'152-CT'!$J$8=TH!F1345),"x","")</f>
        <v/>
      </c>
      <c r="AC1345" s="84" t="str">
        <f>IF(AND(OR(LEFT(TH!N1345,2)="15",LEFT(TH!O1345,2)="15"),TK!$E$7=TH!F1345),"x","")</f>
        <v/>
      </c>
      <c r="AD1345" s="84" t="str">
        <f>IF(AND(N1345="1521",MONTH(C1345)='BK-NL'!$M$11),"x","")</f>
        <v/>
      </c>
    </row>
    <row r="1346" spans="1:30" ht="15.75" hidden="1" customHeight="1">
      <c r="A1346" s="336" t="str">
        <f>IF(B1346&lt;&gt;"",IF(AND(B1346='IN-TC'!$S$4,OR(TH!N1346="1111",TH!O1346="1111")),TH!D1346,""),"")</f>
        <v/>
      </c>
      <c r="B1346" s="63">
        <f t="shared" si="195"/>
        <v>4</v>
      </c>
      <c r="C1346" s="64">
        <f t="shared" si="196"/>
        <v>42486</v>
      </c>
      <c r="D1346" s="64" t="s">
        <v>705</v>
      </c>
      <c r="E1346" s="64">
        <v>42486</v>
      </c>
      <c r="F1346" s="73" t="s">
        <v>1200</v>
      </c>
      <c r="G1346" s="982" t="s">
        <v>919</v>
      </c>
      <c r="H1346" s="73"/>
      <c r="I1346" s="439"/>
      <c r="J1346" s="439"/>
      <c r="K1346" s="430"/>
      <c r="L1346" s="439"/>
      <c r="M1346" s="65">
        <v>4500</v>
      </c>
      <c r="N1346" s="321" t="s">
        <v>9</v>
      </c>
      <c r="O1346" s="66" t="s">
        <v>26</v>
      </c>
      <c r="P1346" s="84" t="str">
        <f>IF(AND('331-CT'!$E$7=TH!H1346,OR(N1346="331",O1346="331")),"x","")</f>
        <v/>
      </c>
      <c r="Q1346" s="84" t="str">
        <f>IF(AND(B1346='111'!$L$11,OR($N1346=$Q$7,$O1346=$Q$7)),"x","")</f>
        <v/>
      </c>
      <c r="R1346" s="84" t="str">
        <f>IF(AND($N1346=$Q$7,$B1346&lt;'111'!$L$11),"x","")</f>
        <v/>
      </c>
      <c r="S1346" s="84" t="str">
        <f>IF(AND($O1346=$Q$7,$B1346&lt;'111'!$L$11),"x","")</f>
        <v/>
      </c>
      <c r="T1346" s="84" t="str">
        <f>IF(ISERROR(FIND('112'!$M$9,G1346,1)),"",IF((AND(FIND('112'!$M$9,G1346,1)&gt;=1,B1346='112'!$K$9,OR($N1346='112'!$I$6,$O1346='112'!$I$6))),"x",""))</f>
        <v/>
      </c>
      <c r="U1346" s="84" t="str">
        <f>IF(ISERROR(FIND('112'!$M$9,G1346,1)),"",IF((AND(LEFT(G1346,2)=LEFT('112'!$M$9,2),B1346&lt;'112'!$K$9,$N1346='112'!$I$6)),"x",""))</f>
        <v/>
      </c>
      <c r="V1346" s="84" t="str">
        <f>IF(ISERROR(FIND('112'!$M$9,G1346,1)),"",IF((AND(RIGHT(G1346,2)=RIGHT('112'!$M$9,2),B1346&lt;'112'!$K$9,$O1346='112'!$I$6)),"x",""))</f>
        <v>x</v>
      </c>
      <c r="W1346" s="84" t="str">
        <f>IF(AND('341-CT'!$H$9=H1346,OR(LEFT(N1346,3)=$W$7,LEFT(O1346,3)=$W$7)),"x","")</f>
        <v/>
      </c>
      <c r="X1346" s="84" t="str">
        <f>IF(OR(TH!N1346=TH!$X$7,O1346=TH!$X$7),"x","")</f>
        <v/>
      </c>
      <c r="Y1346" s="84" t="str">
        <f>IF(AND(OR(N1346="131",O1346="131"),H1346='131-CT'!$H$9),"x","")</f>
        <v/>
      </c>
      <c r="Z1346" s="84"/>
      <c r="AA1346" s="84" t="str">
        <f>IF(AND(MONTH(E1346)='IN-NX'!$J$5,'IN-NX'!$D$7=D1346),"x","")</f>
        <v/>
      </c>
      <c r="AB1346" s="84" t="str">
        <f>IF(AND(OR(LEFT(TH!N1346,2)="15",LEFT(TH!O1346,2)="15"),LEFT(TH!O1346,3)&lt;&gt;"111",'152-CT'!$J$8=TH!F1346),"x","")</f>
        <v/>
      </c>
      <c r="AC1346" s="84" t="str">
        <f>IF(AND(OR(LEFT(TH!N1346,2)="15",LEFT(TH!O1346,2)="15"),TK!$E$7=TH!F1346),"x","")</f>
        <v/>
      </c>
      <c r="AD1346" s="84" t="str">
        <f>IF(AND(N1346="1521",MONTH(C1346)='BK-NL'!$M$11),"x","")</f>
        <v/>
      </c>
    </row>
    <row r="1347" spans="1:30" ht="15.75" hidden="1" customHeight="1">
      <c r="A1347" s="336" t="str">
        <f>IF(B1347&lt;&gt;"",IF(AND(B1347='IN-TC'!$S$4,OR(TH!N1347="1111",TH!O1347="1111")),TH!D1347,""),"")</f>
        <v/>
      </c>
      <c r="B1347" s="63">
        <f t="shared" si="195"/>
        <v>4</v>
      </c>
      <c r="C1347" s="64">
        <f t="shared" si="196"/>
        <v>42488</v>
      </c>
      <c r="D1347" s="64" t="s">
        <v>705</v>
      </c>
      <c r="E1347" s="64">
        <v>42488</v>
      </c>
      <c r="F1347" s="73" t="s">
        <v>1451</v>
      </c>
      <c r="G1347" s="982" t="s">
        <v>919</v>
      </c>
      <c r="H1347" s="320" t="s">
        <v>1360</v>
      </c>
      <c r="I1347" s="439"/>
      <c r="J1347" s="439"/>
      <c r="K1347" s="430"/>
      <c r="L1347" s="439"/>
      <c r="M1347" s="65">
        <v>304272</v>
      </c>
      <c r="N1347" s="66" t="s">
        <v>105</v>
      </c>
      <c r="O1347" s="66" t="s">
        <v>26</v>
      </c>
      <c r="P1347" s="84" t="str">
        <f>IF(AND('331-CT'!$E$7=TH!H1347,OR(N1347="331",O1347="331")),"x","")</f>
        <v/>
      </c>
      <c r="Q1347" s="84" t="str">
        <f>IF(AND(B1347='111'!$L$11,OR($N1347=$Q$7,$O1347=$Q$7)),"x","")</f>
        <v/>
      </c>
      <c r="R1347" s="84" t="str">
        <f>IF(AND($N1347=$Q$7,$B1347&lt;'111'!$L$11),"x","")</f>
        <v/>
      </c>
      <c r="S1347" s="84" t="str">
        <f>IF(AND($O1347=$Q$7,$B1347&lt;'111'!$L$11),"x","")</f>
        <v/>
      </c>
      <c r="T1347" s="84" t="str">
        <f>IF(ISERROR(FIND('112'!$M$9,G1347,1)),"",IF((AND(FIND('112'!$M$9,G1347,1)&gt;=1,B1347='112'!$K$9,OR($N1347='112'!$I$6,$O1347='112'!$I$6))),"x",""))</f>
        <v/>
      </c>
      <c r="U1347" s="84" t="str">
        <f>IF(ISERROR(FIND('112'!$M$9,G1347,1)),"",IF((AND(LEFT(G1347,2)=LEFT('112'!$M$9,2),B1347&lt;'112'!$K$9,$N1347='112'!$I$6)),"x",""))</f>
        <v/>
      </c>
      <c r="V1347" s="84" t="str">
        <f>IF(ISERROR(FIND('112'!$M$9,G1347,1)),"",IF((AND(RIGHT(G1347,2)=RIGHT('112'!$M$9,2),B1347&lt;'112'!$K$9,$O1347='112'!$I$6)),"x",""))</f>
        <v>x</v>
      </c>
      <c r="W1347" s="84" t="str">
        <f>IF(AND('341-CT'!$H$9=H1347,OR(LEFT(N1347,3)=$W$7,LEFT(O1347,3)=$W$7)),"x","")</f>
        <v/>
      </c>
      <c r="X1347" s="84" t="str">
        <f>IF(OR(TH!N1347=TH!$X$7,O1347=TH!$X$7),"x","")</f>
        <v/>
      </c>
      <c r="Y1347" s="84" t="str">
        <f>IF(AND(OR(N1347="131",O1347="131"),H1347='131-CT'!$H$9),"x","")</f>
        <v/>
      </c>
      <c r="Z1347" s="84"/>
      <c r="AA1347" s="84" t="str">
        <f>IF(AND(MONTH(E1347)='IN-NX'!$J$5,'IN-NX'!$D$7=D1347),"x","")</f>
        <v/>
      </c>
      <c r="AB1347" s="84" t="str">
        <f>IF(AND(OR(LEFT(TH!N1347,2)="15",LEFT(TH!O1347,2)="15"),LEFT(TH!O1347,3)&lt;&gt;"111",'152-CT'!$J$8=TH!F1347),"x","")</f>
        <v/>
      </c>
      <c r="AC1347" s="84" t="str">
        <f>IF(AND(OR(LEFT(TH!N1347,2)="15",LEFT(TH!O1347,2)="15"),TK!$E$7=TH!F1347),"x","")</f>
        <v/>
      </c>
      <c r="AD1347" s="84" t="str">
        <f>IF(AND(N1347="1521",MONTH(C1347)='BK-NL'!$M$11),"x","")</f>
        <v/>
      </c>
    </row>
    <row r="1348" spans="1:30" ht="15.75" hidden="1" customHeight="1">
      <c r="A1348" s="336" t="str">
        <f>IF(B1348&lt;&gt;"",IF(AND(B1348='IN-TC'!$S$4,OR(TH!N1348="1111",TH!O1348="1111")),TH!D1348,""),"")</f>
        <v/>
      </c>
      <c r="B1348" s="63">
        <f t="shared" si="195"/>
        <v>4</v>
      </c>
      <c r="C1348" s="64">
        <f t="shared" si="196"/>
        <v>42489</v>
      </c>
      <c r="D1348" s="64" t="s">
        <v>705</v>
      </c>
      <c r="E1348" s="64">
        <v>42489</v>
      </c>
      <c r="F1348" s="73" t="s">
        <v>1457</v>
      </c>
      <c r="G1348" s="982" t="s">
        <v>919</v>
      </c>
      <c r="H1348" s="1174" t="s">
        <v>1370</v>
      </c>
      <c r="I1348" s="439"/>
      <c r="J1348" s="439"/>
      <c r="K1348" s="430">
        <f>M1348/L1348</f>
        <v>76081.644384546278</v>
      </c>
      <c r="L1348" s="439">
        <v>22260</v>
      </c>
      <c r="M1348" s="65">
        <v>1693577404</v>
      </c>
      <c r="N1348" s="66" t="s">
        <v>26</v>
      </c>
      <c r="O1348" s="66" t="s">
        <v>588</v>
      </c>
      <c r="P1348" s="84" t="str">
        <f>IF(AND('331-CT'!$E$7=TH!H1348,OR(N1348="331",O1348="331")),"x","")</f>
        <v/>
      </c>
      <c r="Q1348" s="84" t="str">
        <f>IF(AND(B1348='111'!$L$11,OR($N1348=$Q$7,$O1348=$Q$7)),"x","")</f>
        <v/>
      </c>
      <c r="R1348" s="84" t="str">
        <f>IF(AND($N1348=$Q$7,$B1348&lt;'111'!$L$11),"x","")</f>
        <v/>
      </c>
      <c r="S1348" s="84" t="str">
        <f>IF(AND($O1348=$Q$7,$B1348&lt;'111'!$L$11),"x","")</f>
        <v/>
      </c>
      <c r="T1348" s="84" t="str">
        <f>IF(ISERROR(FIND('112'!$M$9,G1348,1)),"",IF((AND(FIND('112'!$M$9,G1348,1)&gt;=1,B1348='112'!$K$9,OR($N1348='112'!$I$6,$O1348='112'!$I$6))),"x",""))</f>
        <v/>
      </c>
      <c r="U1348" s="84" t="str">
        <f>IF(ISERROR(FIND('112'!$M$9,G1348,1)),"",IF((AND(LEFT(G1348,2)=LEFT('112'!$M$9,2),B1348&lt;'112'!$K$9,$N1348='112'!$I$6)),"x",""))</f>
        <v>x</v>
      </c>
      <c r="V1348" s="84" t="str">
        <f>IF(ISERROR(FIND('112'!$M$9,G1348,1)),"",IF((AND(RIGHT(G1348,2)=RIGHT('112'!$M$9,2),B1348&lt;'112'!$K$9,$O1348='112'!$I$6)),"x",""))</f>
        <v/>
      </c>
      <c r="W1348" s="84" t="str">
        <f>IF(AND('341-CT'!$H$9=H1348,OR(LEFT(N1348,3)=$W$7,LEFT(O1348,3)=$W$7)),"x","")</f>
        <v/>
      </c>
      <c r="X1348" s="84" t="str">
        <f>IF(OR(TH!N1348=TH!$X$7,O1348=TH!$X$7),"x","")</f>
        <v/>
      </c>
      <c r="Y1348" s="84" t="str">
        <f>IF(AND(OR(N1348="131",O1348="131"),H1348='131-CT'!$H$9),"x","")</f>
        <v/>
      </c>
      <c r="Z1348" s="84"/>
      <c r="AA1348" s="84" t="str">
        <f>IF(AND(MONTH(E1348)='IN-NX'!$J$5,'IN-NX'!$D$7=D1348),"x","")</f>
        <v/>
      </c>
      <c r="AB1348" s="84" t="str">
        <f>IF(AND(OR(LEFT(TH!N1348,2)="15",LEFT(TH!O1348,2)="15"),LEFT(TH!O1348,3)&lt;&gt;"111",'152-CT'!$J$8=TH!F1348),"x","")</f>
        <v/>
      </c>
      <c r="AC1348" s="84" t="str">
        <f>IF(AND(OR(LEFT(TH!N1348,2)="15",LEFT(TH!O1348,2)="15"),TK!$E$7=TH!F1348),"x","")</f>
        <v/>
      </c>
      <c r="AD1348" s="84" t="str">
        <f>IF(AND(N1348="1521",MONTH(C1348)='BK-NL'!$M$11),"x","")</f>
        <v/>
      </c>
    </row>
    <row r="1349" spans="1:30" ht="15.75" hidden="1" customHeight="1">
      <c r="A1349" s="336" t="str">
        <f>IF(B1349&lt;&gt;"",IF(AND(B1349='IN-TC'!$S$4,OR(TH!N1349="1111",TH!O1349="1111")),TH!D1349,""),"")</f>
        <v/>
      </c>
      <c r="B1349" s="63">
        <f>IF(C1349&lt;&gt;"",MONTH(C1349),"")</f>
        <v>4</v>
      </c>
      <c r="C1349" s="64">
        <f>E1349</f>
        <v>42489</v>
      </c>
      <c r="D1349" s="64" t="s">
        <v>705</v>
      </c>
      <c r="E1349" s="64">
        <v>42489</v>
      </c>
      <c r="F1349" s="73" t="s">
        <v>1459</v>
      </c>
      <c r="G1349" s="982" t="s">
        <v>919</v>
      </c>
      <c r="H1349" s="1174" t="s">
        <v>1370</v>
      </c>
      <c r="I1349" s="439"/>
      <c r="J1349" s="439"/>
      <c r="K1349" s="430">
        <v>170</v>
      </c>
      <c r="L1349" s="439">
        <v>22260</v>
      </c>
      <c r="M1349" s="65">
        <f>ROUND(K1349*L1349,0)</f>
        <v>3784200</v>
      </c>
      <c r="N1349" s="321" t="s">
        <v>101</v>
      </c>
      <c r="O1349" s="66" t="s">
        <v>588</v>
      </c>
      <c r="P1349" s="84" t="str">
        <f>IF(AND('331-CT'!$E$7=TH!H1349,OR(N1349="331",O1349="331")),"x","")</f>
        <v/>
      </c>
      <c r="Q1349" s="84" t="str">
        <f>IF(AND(B1349='111'!$L$11,OR($N1349=$Q$7,$O1349=$Q$7)),"x","")</f>
        <v/>
      </c>
      <c r="R1349" s="84" t="str">
        <f>IF(AND($N1349=$Q$7,$B1349&lt;'111'!$L$11),"x","")</f>
        <v/>
      </c>
      <c r="S1349" s="84" t="str">
        <f>IF(AND($O1349=$Q$7,$B1349&lt;'111'!$L$11),"x","")</f>
        <v/>
      </c>
      <c r="T1349" s="84" t="str">
        <f>IF(ISERROR(FIND('112'!$M$9,G1349,1)),"",IF((AND(FIND('112'!$M$9,G1349,1)&gt;=1,B1349='112'!$K$9,OR($N1349='112'!$I$6,$O1349='112'!$I$6))),"x",""))</f>
        <v/>
      </c>
      <c r="U1349" s="84" t="str">
        <f>IF(ISERROR(FIND('112'!$M$9,G1349,1)),"",IF((AND(LEFT(G1349,2)=LEFT('112'!$M$9,2),B1349&lt;'112'!$K$9,$N1349='112'!$I$6)),"x",""))</f>
        <v/>
      </c>
      <c r="V1349" s="84" t="str">
        <f>IF(ISERROR(FIND('112'!$M$9,G1349,1)),"",IF((AND(RIGHT(G1349,2)=RIGHT('112'!$M$9,2),B1349&lt;'112'!$K$9,$O1349='112'!$I$6)),"x",""))</f>
        <v/>
      </c>
      <c r="W1349" s="84" t="str">
        <f>IF(AND('341-CT'!$H$9=H1349,OR(LEFT(N1349,3)=$W$7,LEFT(O1349,3)=$W$7)),"x","")</f>
        <v/>
      </c>
      <c r="X1349" s="84" t="str">
        <f>IF(OR(TH!N1349=TH!$X$7,O1349=TH!$X$7),"x","")</f>
        <v/>
      </c>
      <c r="Y1349" s="84" t="str">
        <f>IF(AND(OR(N1349="131",O1349="131"),H1349='131-CT'!$H$9),"x","")</f>
        <v/>
      </c>
      <c r="Z1349" s="84"/>
      <c r="AA1349" s="84" t="str">
        <f>IF(AND(MONTH(E1349)='IN-NX'!$J$5,'IN-NX'!$D$7=D1349),"x","")</f>
        <v/>
      </c>
      <c r="AB1349" s="84" t="str">
        <f>IF(AND(OR(LEFT(TH!N1349,2)="15",LEFT(TH!O1349,2)="15"),LEFT(TH!O1349,3)&lt;&gt;"111",'152-CT'!$J$8=TH!F1349),"x","")</f>
        <v/>
      </c>
      <c r="AC1349" s="84" t="str">
        <f>IF(AND(OR(LEFT(TH!N1349,2)="15",LEFT(TH!O1349,2)="15"),TK!$E$7=TH!F1349),"x","")</f>
        <v/>
      </c>
      <c r="AD1349" s="84" t="str">
        <f>IF(AND(N1349="1521",MONTH(C1349)='BK-NL'!$M$11),"x","")</f>
        <v/>
      </c>
    </row>
    <row r="1350" spans="1:30" ht="15.75" hidden="1" customHeight="1">
      <c r="A1350" s="336" t="str">
        <f>IF(B1350&lt;&gt;"",IF(AND(B1350='IN-TC'!$S$4,OR(TH!N1350="1111",TH!O1350="1111")),TH!D1350,""),"")</f>
        <v/>
      </c>
      <c r="B1350" s="63">
        <f>IF(C1350&lt;&gt;"",MONTH(C1350),"")</f>
        <v>4</v>
      </c>
      <c r="C1350" s="64">
        <f>E1350</f>
        <v>42489</v>
      </c>
      <c r="D1350" s="64" t="s">
        <v>705</v>
      </c>
      <c r="E1350" s="64">
        <v>42489</v>
      </c>
      <c r="F1350" s="73" t="s">
        <v>1460</v>
      </c>
      <c r="G1350" s="982" t="s">
        <v>919</v>
      </c>
      <c r="H1350" s="1174" t="s">
        <v>1370</v>
      </c>
      <c r="I1350" s="439"/>
      <c r="J1350" s="439"/>
      <c r="K1350" s="430">
        <f>M1350/L1350</f>
        <v>181.69110512129379</v>
      </c>
      <c r="L1350" s="439">
        <v>22260</v>
      </c>
      <c r="M1350" s="65">
        <v>4044444</v>
      </c>
      <c r="N1350" s="66" t="s">
        <v>99</v>
      </c>
      <c r="O1350" s="66" t="s">
        <v>588</v>
      </c>
      <c r="P1350" s="84" t="str">
        <f>IF(AND('331-CT'!$E$7=TH!H1350,OR(N1350="331",O1350="331")),"x","")</f>
        <v/>
      </c>
      <c r="Q1350" s="84" t="str">
        <f>IF(AND(B1350='111'!$L$11,OR($N1350=$Q$7,$O1350=$Q$7)),"x","")</f>
        <v/>
      </c>
      <c r="R1350" s="84" t="str">
        <f>IF(AND($N1350=$Q$7,$B1350&lt;'111'!$L$11),"x","")</f>
        <v/>
      </c>
      <c r="S1350" s="84" t="str">
        <f>IF(AND($O1350=$Q$7,$B1350&lt;'111'!$L$11),"x","")</f>
        <v/>
      </c>
      <c r="T1350" s="84" t="str">
        <f>IF(ISERROR(FIND('112'!$M$9,G1350,1)),"",IF((AND(FIND('112'!$M$9,G1350,1)&gt;=1,B1350='112'!$K$9,OR($N1350='112'!$I$6,$O1350='112'!$I$6))),"x",""))</f>
        <v/>
      </c>
      <c r="U1350" s="84" t="str">
        <f>IF(ISERROR(FIND('112'!$M$9,G1350,1)),"",IF((AND(LEFT(G1350,2)=LEFT('112'!$M$9,2),B1350&lt;'112'!$K$9,$N1350='112'!$I$6)),"x",""))</f>
        <v/>
      </c>
      <c r="V1350" s="84" t="str">
        <f>IF(ISERROR(FIND('112'!$M$9,G1350,1)),"",IF((AND(RIGHT(G1350,2)=RIGHT('112'!$M$9,2),B1350&lt;'112'!$K$9,$O1350='112'!$I$6)),"x",""))</f>
        <v/>
      </c>
      <c r="W1350" s="84" t="str">
        <f>IF(AND('341-CT'!$H$9=H1350,OR(LEFT(N1350,3)=$W$7,LEFT(O1350,3)=$W$7)),"x","")</f>
        <v/>
      </c>
      <c r="X1350" s="84" t="str">
        <f>IF(OR(TH!N1350=TH!$X$7,O1350=TH!$X$7),"x","")</f>
        <v/>
      </c>
      <c r="Y1350" s="84" t="str">
        <f>IF(AND(OR(N1350="131",O1350="131"),H1350='131-CT'!$H$9),"x","")</f>
        <v/>
      </c>
      <c r="Z1350" s="84"/>
      <c r="AA1350" s="84" t="str">
        <f>IF(AND(MONTH(E1350)='IN-NX'!$J$5,'IN-NX'!$D$7=D1350),"x","")</f>
        <v/>
      </c>
      <c r="AB1350" s="84" t="str">
        <f>IF(AND(OR(LEFT(TH!N1350,2)="15",LEFT(TH!O1350,2)="15"),LEFT(TH!O1350,3)&lt;&gt;"111",'152-CT'!$J$8=TH!F1350),"x","")</f>
        <v/>
      </c>
      <c r="AC1350" s="84" t="str">
        <f>IF(AND(OR(LEFT(TH!N1350,2)="15",LEFT(TH!O1350,2)="15"),TK!$E$7=TH!F1350),"x","")</f>
        <v/>
      </c>
      <c r="AD1350" s="84" t="str">
        <f>IF(AND(N1350="1521",MONTH(C1350)='BK-NL'!$M$11),"x","")</f>
        <v/>
      </c>
    </row>
    <row r="1351" spans="1:30" ht="15.75" hidden="1" customHeight="1">
      <c r="A1351" s="336" t="str">
        <f>IF(B1351&lt;&gt;"",IF(AND(B1351='IN-TC'!$S$4,OR(TH!N1351="1111",TH!O1351="1111")),TH!D1351,""),"")</f>
        <v/>
      </c>
      <c r="B1351" s="63">
        <f>IF(C1351&lt;&gt;"",MONTH(C1351),"")</f>
        <v>4</v>
      </c>
      <c r="C1351" s="64">
        <f>E1351</f>
        <v>42489</v>
      </c>
      <c r="D1351" s="64" t="s">
        <v>705</v>
      </c>
      <c r="E1351" s="64">
        <v>42489</v>
      </c>
      <c r="F1351" s="73" t="s">
        <v>1459</v>
      </c>
      <c r="G1351" s="982" t="s">
        <v>919</v>
      </c>
      <c r="H1351" s="1174" t="s">
        <v>1370</v>
      </c>
      <c r="I1351" s="439"/>
      <c r="J1351" s="439"/>
      <c r="K1351" s="430">
        <f>M1351/L1351</f>
        <v>115.14955076370171</v>
      </c>
      <c r="L1351" s="439">
        <v>22260</v>
      </c>
      <c r="M1351" s="65">
        <v>2563229</v>
      </c>
      <c r="N1351" s="321" t="s">
        <v>101</v>
      </c>
      <c r="O1351" s="66" t="s">
        <v>588</v>
      </c>
      <c r="P1351" s="84" t="str">
        <f>IF(AND('331-CT'!$E$7=TH!H1351,OR(N1351="331",O1351="331")),"x","")</f>
        <v/>
      </c>
      <c r="Q1351" s="84" t="str">
        <f>IF(AND(B1351='111'!$L$11,OR($N1351=$Q$7,$O1351=$Q$7)),"x","")</f>
        <v/>
      </c>
      <c r="R1351" s="84" t="str">
        <f>IF(AND($N1351=$Q$7,$B1351&lt;'111'!$L$11),"x","")</f>
        <v/>
      </c>
      <c r="S1351" s="84" t="str">
        <f>IF(AND($O1351=$Q$7,$B1351&lt;'111'!$L$11),"x","")</f>
        <v/>
      </c>
      <c r="T1351" s="84" t="str">
        <f>IF(ISERROR(FIND('112'!$M$9,G1351,1)),"",IF((AND(FIND('112'!$M$9,G1351,1)&gt;=1,B1351='112'!$K$9,OR($N1351='112'!$I$6,$O1351='112'!$I$6))),"x",""))</f>
        <v/>
      </c>
      <c r="U1351" s="84" t="str">
        <f>IF(ISERROR(FIND('112'!$M$9,G1351,1)),"",IF((AND(LEFT(G1351,2)=LEFT('112'!$M$9,2),B1351&lt;'112'!$K$9,$N1351='112'!$I$6)),"x",""))</f>
        <v/>
      </c>
      <c r="V1351" s="84" t="str">
        <f>IF(ISERROR(FIND('112'!$M$9,G1351,1)),"",IF((AND(RIGHT(G1351,2)=RIGHT('112'!$M$9,2),B1351&lt;'112'!$K$9,$O1351='112'!$I$6)),"x",""))</f>
        <v/>
      </c>
      <c r="W1351" s="84" t="str">
        <f>IF(AND('341-CT'!$H$9=H1351,OR(LEFT(N1351,3)=$W$7,LEFT(O1351,3)=$W$7)),"x","")</f>
        <v/>
      </c>
      <c r="X1351" s="84" t="str">
        <f>IF(OR(TH!N1351=TH!$X$7,O1351=TH!$X$7),"x","")</f>
        <v/>
      </c>
      <c r="Y1351" s="84" t="str">
        <f>IF(AND(OR(N1351="131",O1351="131"),H1351='131-CT'!$H$9),"x","")</f>
        <v/>
      </c>
      <c r="Z1351" s="84"/>
      <c r="AA1351" s="84" t="str">
        <f>IF(AND(MONTH(E1351)='IN-NX'!$J$5,'IN-NX'!$D$7=D1351),"x","")</f>
        <v/>
      </c>
      <c r="AB1351" s="84" t="str">
        <f>IF(AND(OR(LEFT(TH!N1351,2)="15",LEFT(TH!O1351,2)="15"),LEFT(TH!O1351,3)&lt;&gt;"111",'152-CT'!$J$8=TH!F1351),"x","")</f>
        <v/>
      </c>
      <c r="AC1351" s="84" t="str">
        <f>IF(AND(OR(LEFT(TH!N1351,2)="15",LEFT(TH!O1351,2)="15"),TK!$E$7=TH!F1351),"x","")</f>
        <v/>
      </c>
      <c r="AD1351" s="84" t="str">
        <f>IF(AND(N1351="1521",MONTH(C1351)='BK-NL'!$M$11),"x","")</f>
        <v/>
      </c>
    </row>
    <row r="1352" spans="1:30" ht="15.75" hidden="1" customHeight="1">
      <c r="A1352" s="336" t="str">
        <f>IF(B1352&lt;&gt;"",IF(AND(B1352='IN-TC'!$S$4,OR(TH!N1352="1111",TH!O1352="1111")),TH!D1352,""),"")</f>
        <v/>
      </c>
      <c r="B1352" s="63">
        <f>IF(C1352&lt;&gt;"",MONTH(C1352),"")</f>
        <v>4</v>
      </c>
      <c r="C1352" s="64">
        <f>E1352</f>
        <v>42489</v>
      </c>
      <c r="D1352" s="64" t="s">
        <v>705</v>
      </c>
      <c r="E1352" s="64">
        <v>42489</v>
      </c>
      <c r="F1352" s="73" t="s">
        <v>1472</v>
      </c>
      <c r="G1352" s="982" t="s">
        <v>919</v>
      </c>
      <c r="H1352" s="1174" t="s">
        <v>1370</v>
      </c>
      <c r="I1352" s="439"/>
      <c r="J1352" s="439"/>
      <c r="K1352" s="430">
        <f>M1352/L1352</f>
        <v>11.514959568733154</v>
      </c>
      <c r="L1352" s="439">
        <v>22260</v>
      </c>
      <c r="M1352" s="65">
        <v>256323</v>
      </c>
      <c r="N1352" s="321" t="s">
        <v>9</v>
      </c>
      <c r="O1352" s="66" t="s">
        <v>588</v>
      </c>
      <c r="P1352" s="84" t="str">
        <f>IF(AND('331-CT'!$E$7=TH!H1352,OR(N1352="331",O1352="331")),"x","")</f>
        <v/>
      </c>
      <c r="Q1352" s="84" t="str">
        <f>IF(AND(B1352='111'!$L$11,OR($N1352=$Q$7,$O1352=$Q$7)),"x","")</f>
        <v/>
      </c>
      <c r="R1352" s="84" t="str">
        <f>IF(AND($N1352=$Q$7,$B1352&lt;'111'!$L$11),"x","")</f>
        <v/>
      </c>
      <c r="S1352" s="84" t="str">
        <f>IF(AND($O1352=$Q$7,$B1352&lt;'111'!$L$11),"x","")</f>
        <v/>
      </c>
      <c r="T1352" s="84" t="str">
        <f>IF(ISERROR(FIND('112'!$M$9,G1352,1)),"",IF((AND(FIND('112'!$M$9,G1352,1)&gt;=1,B1352='112'!$K$9,OR($N1352='112'!$I$6,$O1352='112'!$I$6))),"x",""))</f>
        <v/>
      </c>
      <c r="U1352" s="84" t="str">
        <f>IF(ISERROR(FIND('112'!$M$9,G1352,1)),"",IF((AND(LEFT(G1352,2)=LEFT('112'!$M$9,2),B1352&lt;'112'!$K$9,$N1352='112'!$I$6)),"x",""))</f>
        <v/>
      </c>
      <c r="V1352" s="84" t="str">
        <f>IF(ISERROR(FIND('112'!$M$9,G1352,1)),"",IF((AND(RIGHT(G1352,2)=RIGHT('112'!$M$9,2),B1352&lt;'112'!$K$9,$O1352='112'!$I$6)),"x",""))</f>
        <v/>
      </c>
      <c r="W1352" s="84" t="str">
        <f>IF(AND('341-CT'!$H$9=H1352,OR(LEFT(N1352,3)=$W$7,LEFT(O1352,3)=$W$7)),"x","")</f>
        <v/>
      </c>
      <c r="X1352" s="84" t="str">
        <f>IF(OR(TH!N1352=TH!$X$7,O1352=TH!$X$7),"x","")</f>
        <v/>
      </c>
      <c r="Y1352" s="84" t="str">
        <f>IF(AND(OR(N1352="131",O1352="131"),H1352='131-CT'!$H$9),"x","")</f>
        <v/>
      </c>
      <c r="Z1352" s="84"/>
      <c r="AA1352" s="84" t="str">
        <f>IF(AND(MONTH(E1352)='IN-NX'!$J$5,'IN-NX'!$D$7=D1352),"x","")</f>
        <v/>
      </c>
      <c r="AB1352" s="84" t="str">
        <f>IF(AND(OR(LEFT(TH!N1352,2)="15",LEFT(TH!O1352,2)="15"),LEFT(TH!O1352,3)&lt;&gt;"111",'152-CT'!$J$8=TH!F1352),"x","")</f>
        <v/>
      </c>
      <c r="AC1352" s="84" t="str">
        <f>IF(AND(OR(LEFT(TH!N1352,2)="15",LEFT(TH!O1352,2)="15"),TK!$E$7=TH!F1352),"x","")</f>
        <v/>
      </c>
      <c r="AD1352" s="84" t="str">
        <f>IF(AND(N1352="1521",MONTH(C1352)='BK-NL'!$M$11),"x","")</f>
        <v/>
      </c>
    </row>
    <row r="1353" spans="1:30" ht="15.75" hidden="1" customHeight="1">
      <c r="A1353" s="336" t="str">
        <f>IF(B1353&lt;&gt;"",IF(AND(B1353='IN-TC'!$S$4,OR(TH!N1353="1111",TH!O1353="1111")),TH!D1353,""),"")</f>
        <v/>
      </c>
      <c r="B1353" s="63">
        <f>IF(C1353&lt;&gt;"",MONTH(C1353),"")</f>
        <v>4</v>
      </c>
      <c r="C1353" s="64">
        <f>E1353</f>
        <v>42489</v>
      </c>
      <c r="D1353" s="64" t="s">
        <v>705</v>
      </c>
      <c r="E1353" s="64">
        <v>42489</v>
      </c>
      <c r="F1353" s="73" t="s">
        <v>1068</v>
      </c>
      <c r="G1353" s="982" t="s">
        <v>919</v>
      </c>
      <c r="H1353" s="1174" t="s">
        <v>1370</v>
      </c>
      <c r="I1353" s="439"/>
      <c r="J1353" s="439"/>
      <c r="K1353" s="430"/>
      <c r="L1353" s="439"/>
      <c r="M1353" s="65">
        <v>765600</v>
      </c>
      <c r="N1353" s="321" t="s">
        <v>588</v>
      </c>
      <c r="O1353" s="66" t="s">
        <v>43</v>
      </c>
      <c r="P1353" s="84" t="str">
        <f>IF(AND('331-CT'!$E$7=TH!H1353,OR(N1353="331",O1353="331")),"x","")</f>
        <v/>
      </c>
      <c r="Q1353" s="84" t="str">
        <f>IF(AND(B1353='111'!$L$11,OR($N1353=$Q$7,$O1353=$Q$7)),"x","")</f>
        <v/>
      </c>
      <c r="R1353" s="84" t="str">
        <f>IF(AND($N1353=$Q$7,$B1353&lt;'111'!$L$11),"x","")</f>
        <v/>
      </c>
      <c r="S1353" s="84" t="str">
        <f>IF(AND($O1353=$Q$7,$B1353&lt;'111'!$L$11),"x","")</f>
        <v/>
      </c>
      <c r="T1353" s="84" t="str">
        <f>IF(ISERROR(FIND('112'!$M$9,G1353,1)),"",IF((AND(FIND('112'!$M$9,G1353,1)&gt;=1,B1353='112'!$K$9,OR($N1353='112'!$I$6,$O1353='112'!$I$6))),"x",""))</f>
        <v/>
      </c>
      <c r="U1353" s="84" t="str">
        <f>IF(ISERROR(FIND('112'!$M$9,G1353,1)),"",IF((AND(LEFT(G1353,2)=LEFT('112'!$M$9,2),B1353&lt;'112'!$K$9,$N1353='112'!$I$6)),"x",""))</f>
        <v/>
      </c>
      <c r="V1353" s="84" t="str">
        <f>IF(ISERROR(FIND('112'!$M$9,G1353,1)),"",IF((AND(RIGHT(G1353,2)=RIGHT('112'!$M$9,2),B1353&lt;'112'!$K$9,$O1353='112'!$I$6)),"x",""))</f>
        <v/>
      </c>
      <c r="W1353" s="84" t="str">
        <f>IF(AND('341-CT'!$H$9=H1353,OR(LEFT(N1353,3)=$W$7,LEFT(O1353,3)=$W$7)),"x","")</f>
        <v/>
      </c>
      <c r="X1353" s="84" t="str">
        <f>IF(OR(TH!N1353=TH!$X$7,O1353=TH!$X$7),"x","")</f>
        <v/>
      </c>
      <c r="Y1353" s="84" t="str">
        <f>IF(AND(OR(N1353="131",O1353="131"),H1353='131-CT'!$H$9),"x","")</f>
        <v/>
      </c>
      <c r="Z1353" s="84"/>
      <c r="AA1353" s="84" t="str">
        <f>IF(AND(MONTH(E1353)='IN-NX'!$J$5,'IN-NX'!$D$7=D1353),"x","")</f>
        <v/>
      </c>
      <c r="AB1353" s="84" t="str">
        <f>IF(AND(OR(LEFT(TH!N1353,2)="15",LEFT(TH!O1353,2)="15"),LEFT(TH!O1353,3)&lt;&gt;"111",'152-CT'!$J$8=TH!F1353),"x","")</f>
        <v/>
      </c>
      <c r="AC1353" s="84" t="str">
        <f>IF(AND(OR(LEFT(TH!N1353,2)="15",LEFT(TH!O1353,2)="15"),TK!$E$7=TH!F1353),"x","")</f>
        <v/>
      </c>
      <c r="AD1353" s="84" t="str">
        <f>IF(AND(N1353="1521",MONTH(C1353)='BK-NL'!$M$11),"x","")</f>
        <v/>
      </c>
    </row>
    <row r="1354" spans="1:30" ht="15.75" hidden="1" customHeight="1">
      <c r="A1354" s="336" t="str">
        <f>IF(B1354&lt;&gt;"",IF(AND(B1354='IN-TC'!$S$4,OR(TH!N1354="1111",TH!O1354="1111")),TH!D1354,""),"")</f>
        <v/>
      </c>
      <c r="B1354" s="63">
        <f t="shared" si="195"/>
        <v>4</v>
      </c>
      <c r="C1354" s="64">
        <f t="shared" si="196"/>
        <v>42489</v>
      </c>
      <c r="D1354" s="64" t="s">
        <v>705</v>
      </c>
      <c r="E1354" s="64">
        <v>42489</v>
      </c>
      <c r="F1354" s="73" t="s">
        <v>1458</v>
      </c>
      <c r="G1354" s="982" t="s">
        <v>919</v>
      </c>
      <c r="H1354" s="1174" t="s">
        <v>1456</v>
      </c>
      <c r="I1354" s="439"/>
      <c r="J1354" s="439"/>
      <c r="K1354" s="430"/>
      <c r="L1354" s="439"/>
      <c r="M1354" s="65">
        <v>1600000000</v>
      </c>
      <c r="N1354" s="321" t="s">
        <v>260</v>
      </c>
      <c r="O1354" s="66" t="s">
        <v>26</v>
      </c>
      <c r="P1354" s="84" t="str">
        <f>IF(AND('331-CT'!$E$7=TH!H1354,OR(N1354="331",O1354="331")),"x","")</f>
        <v/>
      </c>
      <c r="Q1354" s="84" t="str">
        <f>IF(AND(B1354='111'!$L$11,OR($N1354=$Q$7,$O1354=$Q$7)),"x","")</f>
        <v/>
      </c>
      <c r="R1354" s="84" t="str">
        <f>IF(AND($N1354=$Q$7,$B1354&lt;'111'!$L$11),"x","")</f>
        <v/>
      </c>
      <c r="S1354" s="84" t="str">
        <f>IF(AND($O1354=$Q$7,$B1354&lt;'111'!$L$11),"x","")</f>
        <v/>
      </c>
      <c r="T1354" s="84" t="str">
        <f>IF(ISERROR(FIND('112'!$M$9,G1354,1)),"",IF((AND(FIND('112'!$M$9,G1354,1)&gt;=1,B1354='112'!$K$9,OR($N1354='112'!$I$6,$O1354='112'!$I$6))),"x",""))</f>
        <v/>
      </c>
      <c r="U1354" s="84" t="str">
        <f>IF(ISERROR(FIND('112'!$M$9,G1354,1)),"",IF((AND(LEFT(G1354,2)=LEFT('112'!$M$9,2),B1354&lt;'112'!$K$9,$N1354='112'!$I$6)),"x",""))</f>
        <v/>
      </c>
      <c r="V1354" s="84" t="str">
        <f>IF(ISERROR(FIND('112'!$M$9,G1354,1)),"",IF((AND(RIGHT(G1354,2)=RIGHT('112'!$M$9,2),B1354&lt;'112'!$K$9,$O1354='112'!$I$6)),"x",""))</f>
        <v>x</v>
      </c>
      <c r="W1354" s="84" t="str">
        <f>IF(AND('341-CT'!$H$9=H1354,OR(LEFT(N1354,3)=$W$7,LEFT(O1354,3)=$W$7)),"x","")</f>
        <v/>
      </c>
      <c r="X1354" s="84" t="str">
        <f>IF(OR(TH!N1354=TH!$X$7,O1354=TH!$X$7),"x","")</f>
        <v/>
      </c>
      <c r="Y1354" s="84" t="str">
        <f>IF(AND(OR(N1354="131",O1354="131"),H1354='131-CT'!$H$9),"x","")</f>
        <v/>
      </c>
      <c r="Z1354" s="84"/>
      <c r="AA1354" s="84" t="str">
        <f>IF(AND(MONTH(E1354)='IN-NX'!$J$5,'IN-NX'!$D$7=D1354),"x","")</f>
        <v/>
      </c>
      <c r="AB1354" s="84" t="str">
        <f>IF(AND(OR(LEFT(TH!N1354,2)="15",LEFT(TH!O1354,2)="15"),LEFT(TH!O1354,3)&lt;&gt;"111",'152-CT'!$J$8=TH!F1354),"x","")</f>
        <v/>
      </c>
      <c r="AC1354" s="84" t="str">
        <f>IF(AND(OR(LEFT(TH!N1354,2)="15",LEFT(TH!O1354,2)="15"),TK!$E$7=TH!F1354),"x","")</f>
        <v/>
      </c>
      <c r="AD1354" s="84" t="str">
        <f>IF(AND(N1354="1521",MONTH(C1354)='BK-NL'!$M$11),"x","")</f>
        <v/>
      </c>
    </row>
    <row r="1355" spans="1:30" ht="15.75" hidden="1" customHeight="1">
      <c r="A1355" s="336" t="str">
        <f>IF(B1355&lt;&gt;"",IF(AND(B1355='IN-TC'!$S$4,OR(TH!N1355="1111",TH!O1355="1111")),TH!D1355,""),"")</f>
        <v/>
      </c>
      <c r="B1355" s="63">
        <f>IF(C1355&lt;&gt;"",MONTH(C1355),"")</f>
        <v>5</v>
      </c>
      <c r="C1355" s="64">
        <v>42494</v>
      </c>
      <c r="D1355" s="64" t="s">
        <v>868</v>
      </c>
      <c r="E1355" s="64">
        <v>42489</v>
      </c>
      <c r="F1355" s="73" t="s">
        <v>1485</v>
      </c>
      <c r="G1355" s="982" t="s">
        <v>1486</v>
      </c>
      <c r="H1355" s="1174" t="s">
        <v>802</v>
      </c>
      <c r="I1355" s="439"/>
      <c r="J1355" s="439"/>
      <c r="K1355" s="430"/>
      <c r="L1355" s="439"/>
      <c r="M1355" s="65">
        <v>33050</v>
      </c>
      <c r="N1355" s="321" t="s">
        <v>101</v>
      </c>
      <c r="O1355" s="66" t="s">
        <v>63</v>
      </c>
      <c r="P1355" s="84" t="str">
        <f>IF(AND('331-CT'!$E$7=TH!H1355,OR(N1355="331",O1355="331")),"x","")</f>
        <v/>
      </c>
      <c r="Q1355" s="84" t="str">
        <f>IF(AND(B1355='111'!$L$11,OR($N1355=$Q$7,$O1355=$Q$7)),"x","")</f>
        <v/>
      </c>
      <c r="R1355" s="84" t="str">
        <f>IF(AND($N1355=$Q$7,$B1355&lt;'111'!$L$11),"x","")</f>
        <v/>
      </c>
      <c r="S1355" s="84" t="str">
        <f>IF(AND($O1355=$Q$7,$B1355&lt;'111'!$L$11),"x","")</f>
        <v/>
      </c>
      <c r="T1355" s="84" t="str">
        <f>IF(ISERROR(FIND('112'!$M$9,G1355,1)),"",IF((AND(FIND('112'!$M$9,G1355,1)&gt;=1,B1355='112'!$K$9,OR($N1355='112'!$I$6,$O1355='112'!$I$6))),"x",""))</f>
        <v/>
      </c>
      <c r="U1355" s="84" t="str">
        <f>IF(ISERROR(FIND('112'!$M$9,G1355,1)),"",IF((AND(LEFT(G1355,2)=LEFT('112'!$M$9,2),B1355&lt;'112'!$K$9,$N1355='112'!$I$6)),"x",""))</f>
        <v/>
      </c>
      <c r="V1355" s="84" t="str">
        <f>IF(ISERROR(FIND('112'!$M$9,G1355,1)),"",IF((AND(RIGHT(G1355,2)=RIGHT('112'!$M$9,2),B1355&lt;'112'!$K$9,$O1355='112'!$I$6)),"x",""))</f>
        <v/>
      </c>
      <c r="W1355" s="84" t="str">
        <f>IF(AND('341-CT'!$H$9=H1355,OR(LEFT(N1355,3)=$W$7,LEFT(O1355,3)=$W$7)),"x","")</f>
        <v/>
      </c>
      <c r="X1355" s="84" t="str">
        <f>IF(OR(TH!N1355=TH!$X$7,O1355=TH!$X$7),"x","")</f>
        <v/>
      </c>
      <c r="Y1355" s="84" t="str">
        <f>IF(AND(OR(N1355="131",O1355="131"),H1355='131-CT'!$H$9),"x","")</f>
        <v/>
      </c>
      <c r="Z1355" s="84"/>
      <c r="AA1355" s="84" t="str">
        <f>IF(AND(MONTH(E1355)='IN-NX'!$J$5,'IN-NX'!$D$7=D1355),"x","")</f>
        <v/>
      </c>
      <c r="AB1355" s="84" t="str">
        <f>IF(AND(OR(LEFT(TH!N1355,2)="15",LEFT(TH!O1355,2)="15"),LEFT(TH!O1355,3)&lt;&gt;"111",'152-CT'!$J$8=TH!F1355),"x","")</f>
        <v/>
      </c>
      <c r="AC1355" s="84" t="str">
        <f>IF(AND(OR(LEFT(TH!N1355,2)="15",LEFT(TH!O1355,2)="15"),TK!$E$7=TH!F1355),"x","")</f>
        <v/>
      </c>
      <c r="AD1355" s="84" t="str">
        <f>IF(AND(N1355="1521",MONTH(C1355)='BK-NL'!$M$11),"x","")</f>
        <v/>
      </c>
    </row>
    <row r="1356" spans="1:30" ht="15.75" hidden="1" customHeight="1">
      <c r="A1356" s="336" t="str">
        <f>IF(B1356&lt;&gt;"",IF(AND(B1356='IN-TC'!$S$4,OR(TH!N1356="1111",TH!O1356="1111")),TH!D1356,""),"")</f>
        <v/>
      </c>
      <c r="B1356" s="63">
        <f>IF(C1356&lt;&gt;"",MONTH(C1356),"")</f>
        <v>5</v>
      </c>
      <c r="C1356" s="64">
        <v>42494</v>
      </c>
      <c r="D1356" s="64" t="s">
        <v>868</v>
      </c>
      <c r="E1356" s="64">
        <v>42489</v>
      </c>
      <c r="F1356" s="73" t="s">
        <v>1490</v>
      </c>
      <c r="G1356" s="982" t="s">
        <v>1486</v>
      </c>
      <c r="H1356" s="1174" t="s">
        <v>802</v>
      </c>
      <c r="I1356" s="439"/>
      <c r="J1356" s="439"/>
      <c r="K1356" s="430"/>
      <c r="L1356" s="439"/>
      <c r="M1356" s="65">
        <v>3305</v>
      </c>
      <c r="N1356" s="321" t="s">
        <v>9</v>
      </c>
      <c r="O1356" s="66" t="s">
        <v>63</v>
      </c>
      <c r="P1356" s="84" t="str">
        <f>IF(AND('331-CT'!$E$7=TH!H1356,OR(N1356="331",O1356="331")),"x","")</f>
        <v/>
      </c>
      <c r="Q1356" s="84" t="str">
        <f>IF(AND(B1356='111'!$L$11,OR($N1356=$Q$7,$O1356=$Q$7)),"x","")</f>
        <v/>
      </c>
      <c r="R1356" s="84" t="str">
        <f>IF(AND($N1356=$Q$7,$B1356&lt;'111'!$L$11),"x","")</f>
        <v/>
      </c>
      <c r="S1356" s="84" t="str">
        <f>IF(AND($O1356=$Q$7,$B1356&lt;'111'!$L$11),"x","")</f>
        <v/>
      </c>
      <c r="T1356" s="84" t="str">
        <f>IF(ISERROR(FIND('112'!$M$9,G1356,1)),"",IF((AND(FIND('112'!$M$9,G1356,1)&gt;=1,B1356='112'!$K$9,OR($N1356='112'!$I$6,$O1356='112'!$I$6))),"x",""))</f>
        <v/>
      </c>
      <c r="U1356" s="84" t="str">
        <f>IF(ISERROR(FIND('112'!$M$9,G1356,1)),"",IF((AND(LEFT(G1356,2)=LEFT('112'!$M$9,2),B1356&lt;'112'!$K$9,$N1356='112'!$I$6)),"x",""))</f>
        <v/>
      </c>
      <c r="V1356" s="84" t="str">
        <f>IF(ISERROR(FIND('112'!$M$9,G1356,1)),"",IF((AND(RIGHT(G1356,2)=RIGHT('112'!$M$9,2),B1356&lt;'112'!$K$9,$O1356='112'!$I$6)),"x",""))</f>
        <v/>
      </c>
      <c r="W1356" s="84" t="str">
        <f>IF(AND('341-CT'!$H$9=H1356,OR(LEFT(N1356,3)=$W$7,LEFT(O1356,3)=$W$7)),"x","")</f>
        <v/>
      </c>
      <c r="X1356" s="84" t="str">
        <f>IF(OR(TH!N1356=TH!$X$7,O1356=TH!$X$7),"x","")</f>
        <v/>
      </c>
      <c r="Y1356" s="84" t="str">
        <f>IF(AND(OR(N1356="131",O1356="131"),H1356='131-CT'!$H$9),"x","")</f>
        <v/>
      </c>
      <c r="Z1356" s="84"/>
      <c r="AA1356" s="84" t="str">
        <f>IF(AND(MONTH(E1356)='IN-NX'!$J$5,'IN-NX'!$D$7=D1356),"x","")</f>
        <v/>
      </c>
      <c r="AB1356" s="84" t="str">
        <f>IF(AND(OR(LEFT(TH!N1356,2)="15",LEFT(TH!O1356,2)="15"),LEFT(TH!O1356,3)&lt;&gt;"111",'152-CT'!$J$8=TH!F1356),"x","")</f>
        <v/>
      </c>
      <c r="AC1356" s="84" t="str">
        <f>IF(AND(OR(LEFT(TH!N1356,2)="15",LEFT(TH!O1356,2)="15"),TK!$E$7=TH!F1356),"x","")</f>
        <v/>
      </c>
      <c r="AD1356" s="84" t="str">
        <f>IF(AND(N1356="1521",MONTH(C1356)='BK-NL'!$M$11),"x","")</f>
        <v/>
      </c>
    </row>
    <row r="1357" spans="1:30" ht="15.75" hidden="1" customHeight="1">
      <c r="A1357" s="336" t="str">
        <f>IF(B1357&lt;&gt;"",IF(AND(B1357='IN-TC'!$S$4,OR(TH!N1357="1111",TH!O1357="1111")),TH!D1357,""),"")</f>
        <v/>
      </c>
      <c r="B1357" s="63">
        <f>IF(C1357&lt;&gt;"",MONTH(C1357),"")</f>
        <v>5</v>
      </c>
      <c r="C1357" s="64">
        <v>42494</v>
      </c>
      <c r="D1357" s="64" t="s">
        <v>869</v>
      </c>
      <c r="E1357" s="64">
        <v>42494</v>
      </c>
      <c r="F1357" s="73" t="s">
        <v>1107</v>
      </c>
      <c r="G1357" s="67" t="s">
        <v>919</v>
      </c>
      <c r="H1357" s="1175" t="s">
        <v>764</v>
      </c>
      <c r="I1357" s="439"/>
      <c r="J1357" s="439"/>
      <c r="K1357" s="430"/>
      <c r="L1357" s="439"/>
      <c r="M1357" s="65">
        <v>31000000</v>
      </c>
      <c r="N1357" s="66" t="s">
        <v>26</v>
      </c>
      <c r="O1357" s="66" t="s">
        <v>63</v>
      </c>
      <c r="P1357" s="84" t="str">
        <f>IF(AND('331-CT'!$E$7=TH!H1357,OR(N1357="331",O1357="331")),"x","")</f>
        <v/>
      </c>
      <c r="Q1357" s="84" t="str">
        <f>IF(AND(B1357='111'!$L$11,OR($N1357=$Q$7,$O1357=$Q$7)),"x","")</f>
        <v/>
      </c>
      <c r="R1357" s="84" t="str">
        <f>IF(AND($N1357=$Q$7,$B1357&lt;'111'!$L$11),"x","")</f>
        <v/>
      </c>
      <c r="S1357" s="84" t="str">
        <f>IF(AND($O1357=$Q$7,$B1357&lt;'111'!$L$11),"x","")</f>
        <v/>
      </c>
      <c r="T1357" s="84" t="str">
        <f>IF(ISERROR(FIND('112'!$M$9,G1357,1)),"",IF((AND(FIND('112'!$M$9,G1357,1)&gt;=1,B1357='112'!$K$9,OR($N1357='112'!$I$6,$O1357='112'!$I$6))),"x",""))</f>
        <v/>
      </c>
      <c r="U1357" s="84" t="str">
        <f>IF(ISERROR(FIND('112'!$M$9,G1357,1)),"",IF((AND(LEFT(G1357,2)=LEFT('112'!$M$9,2),B1357&lt;'112'!$K$9,$N1357='112'!$I$6)),"x",""))</f>
        <v>x</v>
      </c>
      <c r="V1357" s="84" t="str">
        <f>IF(ISERROR(FIND('112'!$M$9,G1357,1)),"",IF((AND(RIGHT(G1357,2)=RIGHT('112'!$M$9,2),B1357&lt;'112'!$K$9,$O1357='112'!$I$6)),"x",""))</f>
        <v/>
      </c>
      <c r="W1357" s="84" t="str">
        <f>IF(AND('341-CT'!$H$9=H1357,OR(LEFT(N1357,3)=$W$7,LEFT(O1357,3)=$W$7)),"x","")</f>
        <v/>
      </c>
      <c r="X1357" s="84" t="str">
        <f>IF(OR(TH!N1357=TH!$X$7,O1357=TH!$X$7),"x","")</f>
        <v/>
      </c>
      <c r="Y1357" s="84" t="str">
        <f>IF(AND(OR(N1357="131",O1357="131"),H1357='131-CT'!$H$9),"x","")</f>
        <v/>
      </c>
      <c r="Z1357" s="84"/>
      <c r="AA1357" s="84" t="str">
        <f>IF(AND(MONTH(E1357)='IN-NX'!$J$5,'IN-NX'!$D$7=D1357),"x","")</f>
        <v/>
      </c>
      <c r="AB1357" s="84" t="str">
        <f>IF(AND(OR(LEFT(TH!N1357,2)="15",LEFT(TH!O1357,2)="15"),LEFT(TH!O1357,3)&lt;&gt;"111",'152-CT'!$J$8=TH!F1357),"x","")</f>
        <v/>
      </c>
      <c r="AC1357" s="84" t="str">
        <f>IF(AND(OR(LEFT(TH!N1357,2)="15",LEFT(TH!O1357,2)="15"),TK!$E$7=TH!F1357),"x","")</f>
        <v/>
      </c>
      <c r="AD1357" s="84" t="str">
        <f>IF(AND(N1357="1521",MONTH(C1357)='BK-NL'!$M$11),"x","")</f>
        <v/>
      </c>
    </row>
    <row r="1358" spans="1:30" ht="15.75" hidden="1" customHeight="1">
      <c r="A1358" s="336" t="str">
        <f>IF(B1358&lt;&gt;"",IF(AND(B1358='IN-TC'!$S$4,OR(TH!N1358="1111",TH!O1358="1111")),TH!D1358,""),"")</f>
        <v/>
      </c>
      <c r="B1358" s="63">
        <f t="shared" si="195"/>
        <v>5</v>
      </c>
      <c r="C1358" s="64">
        <v>42494</v>
      </c>
      <c r="D1358" s="64" t="s">
        <v>870</v>
      </c>
      <c r="E1358" s="64">
        <v>42494</v>
      </c>
      <c r="F1358" s="73" t="s">
        <v>1015</v>
      </c>
      <c r="G1358" s="982" t="s">
        <v>1479</v>
      </c>
      <c r="H1358" s="320" t="s">
        <v>808</v>
      </c>
      <c r="I1358" s="439"/>
      <c r="J1358" s="439"/>
      <c r="K1358" s="430"/>
      <c r="L1358" s="439"/>
      <c r="M1358" s="65">
        <v>1082436</v>
      </c>
      <c r="N1358" s="321" t="s">
        <v>101</v>
      </c>
      <c r="O1358" s="66" t="s">
        <v>63</v>
      </c>
      <c r="P1358" s="84" t="str">
        <f>IF(AND('331-CT'!$E$7=TH!H1358,OR(N1358="331",O1358="331")),"x","")</f>
        <v/>
      </c>
      <c r="Q1358" s="84" t="str">
        <f>IF(AND(B1358='111'!$L$11,OR($N1358=$Q$7,$O1358=$Q$7)),"x","")</f>
        <v/>
      </c>
      <c r="R1358" s="84" t="str">
        <f>IF(AND($N1358=$Q$7,$B1358&lt;'111'!$L$11),"x","")</f>
        <v/>
      </c>
      <c r="S1358" s="84" t="str">
        <f>IF(AND($O1358=$Q$7,$B1358&lt;'111'!$L$11),"x","")</f>
        <v/>
      </c>
      <c r="T1358" s="84" t="str">
        <f>IF(ISERROR(FIND('112'!$M$9,G1358,1)),"",IF((AND(FIND('112'!$M$9,G1358,1)&gt;=1,B1358='112'!$K$9,OR($N1358='112'!$I$6,$O1358='112'!$I$6))),"x",""))</f>
        <v/>
      </c>
      <c r="U1358" s="84" t="str">
        <f>IF(ISERROR(FIND('112'!$M$9,G1358,1)),"",IF((AND(LEFT(G1358,2)=LEFT('112'!$M$9,2),B1358&lt;'112'!$K$9,$N1358='112'!$I$6)),"x",""))</f>
        <v/>
      </c>
      <c r="V1358" s="84" t="str">
        <f>IF(ISERROR(FIND('112'!$M$9,G1358,1)),"",IF((AND(RIGHT(G1358,2)=RIGHT('112'!$M$9,2),B1358&lt;'112'!$K$9,$O1358='112'!$I$6)),"x",""))</f>
        <v/>
      </c>
      <c r="W1358" s="84" t="str">
        <f>IF(AND('341-CT'!$H$9=H1358,OR(LEFT(N1358,3)=$W$7,LEFT(O1358,3)=$W$7)),"x","")</f>
        <v/>
      </c>
      <c r="X1358" s="84" t="str">
        <f>IF(OR(TH!N1358=TH!$X$7,O1358=TH!$X$7),"x","")</f>
        <v/>
      </c>
      <c r="Y1358" s="84" t="str">
        <f>IF(AND(OR(N1358="131",O1358="131"),H1358='131-CT'!$H$9),"x","")</f>
        <v/>
      </c>
      <c r="Z1358" s="84"/>
      <c r="AA1358" s="84" t="str">
        <f>IF(AND(MONTH(E1358)='IN-NX'!$J$5,'IN-NX'!$D$7=D1358),"x","")</f>
        <v/>
      </c>
      <c r="AB1358" s="84" t="str">
        <f>IF(AND(OR(LEFT(TH!N1358,2)="15",LEFT(TH!O1358,2)="15"),LEFT(TH!O1358,3)&lt;&gt;"111",'152-CT'!$J$8=TH!F1358),"x","")</f>
        <v/>
      </c>
      <c r="AC1358" s="84" t="str">
        <f>IF(AND(OR(LEFT(TH!N1358,2)="15",LEFT(TH!O1358,2)="15"),TK!$E$7=TH!F1358),"x","")</f>
        <v/>
      </c>
      <c r="AD1358" s="84" t="str">
        <f>IF(AND(N1358="1521",MONTH(C1358)='BK-NL'!$M$11),"x","")</f>
        <v/>
      </c>
    </row>
    <row r="1359" spans="1:30" ht="15.75" hidden="1" customHeight="1">
      <c r="A1359" s="336" t="str">
        <f>IF(B1359&lt;&gt;"",IF(AND(B1359='IN-TC'!$S$4,OR(TH!N1359="1111",TH!O1359="1111")),TH!D1359,""),"")</f>
        <v/>
      </c>
      <c r="B1359" s="63">
        <f>IF(C1359&lt;&gt;"",MONTH(C1359),"")</f>
        <v>5</v>
      </c>
      <c r="C1359" s="64">
        <v>42494</v>
      </c>
      <c r="D1359" s="64" t="s">
        <v>870</v>
      </c>
      <c r="E1359" s="64">
        <v>42494</v>
      </c>
      <c r="F1359" s="73" t="s">
        <v>1016</v>
      </c>
      <c r="G1359" s="982" t="s">
        <v>1479</v>
      </c>
      <c r="H1359" s="320" t="s">
        <v>808</v>
      </c>
      <c r="I1359" s="439"/>
      <c r="J1359" s="439"/>
      <c r="K1359" s="430"/>
      <c r="L1359" s="439"/>
      <c r="M1359" s="65">
        <v>108244</v>
      </c>
      <c r="N1359" s="321" t="s">
        <v>9</v>
      </c>
      <c r="O1359" s="66" t="s">
        <v>63</v>
      </c>
      <c r="P1359" s="84" t="str">
        <f>IF(AND('331-CT'!$E$7=TH!H1359,OR(N1359="331",O1359="331")),"x","")</f>
        <v/>
      </c>
      <c r="Q1359" s="84" t="str">
        <f>IF(AND(B1359='111'!$L$11,OR($N1359=$Q$7,$O1359=$Q$7)),"x","")</f>
        <v/>
      </c>
      <c r="R1359" s="84" t="str">
        <f>IF(AND($N1359=$Q$7,$B1359&lt;'111'!$L$11),"x","")</f>
        <v/>
      </c>
      <c r="S1359" s="84" t="str">
        <f>IF(AND($O1359=$Q$7,$B1359&lt;'111'!$L$11),"x","")</f>
        <v/>
      </c>
      <c r="T1359" s="84" t="str">
        <f>IF(ISERROR(FIND('112'!$M$9,G1359,1)),"",IF((AND(FIND('112'!$M$9,G1359,1)&gt;=1,B1359='112'!$K$9,OR($N1359='112'!$I$6,$O1359='112'!$I$6))),"x",""))</f>
        <v/>
      </c>
      <c r="U1359" s="84" t="str">
        <f>IF(ISERROR(FIND('112'!$M$9,G1359,1)),"",IF((AND(LEFT(G1359,2)=LEFT('112'!$M$9,2),B1359&lt;'112'!$K$9,$N1359='112'!$I$6)),"x",""))</f>
        <v/>
      </c>
      <c r="V1359" s="84" t="str">
        <f>IF(ISERROR(FIND('112'!$M$9,G1359,1)),"",IF((AND(RIGHT(G1359,2)=RIGHT('112'!$M$9,2),B1359&lt;'112'!$K$9,$O1359='112'!$I$6)),"x",""))</f>
        <v/>
      </c>
      <c r="W1359" s="84" t="str">
        <f>IF(AND('341-CT'!$H$9=H1359,OR(LEFT(N1359,3)=$W$7,LEFT(O1359,3)=$W$7)),"x","")</f>
        <v/>
      </c>
      <c r="X1359" s="84" t="str">
        <f>IF(OR(TH!N1359=TH!$X$7,O1359=TH!$X$7),"x","")</f>
        <v/>
      </c>
      <c r="Y1359" s="84" t="str">
        <f>IF(AND(OR(N1359="131",O1359="131"),H1359='131-CT'!$H$9),"x","")</f>
        <v/>
      </c>
      <c r="Z1359" s="84"/>
      <c r="AA1359" s="84" t="str">
        <f>IF(AND(MONTH(E1359)='IN-NX'!$J$5,'IN-NX'!$D$7=D1359),"x","")</f>
        <v/>
      </c>
      <c r="AB1359" s="84" t="str">
        <f>IF(AND(OR(LEFT(TH!N1359,2)="15",LEFT(TH!O1359,2)="15"),LEFT(TH!O1359,3)&lt;&gt;"111",'152-CT'!$J$8=TH!F1359),"x","")</f>
        <v/>
      </c>
      <c r="AC1359" s="84" t="str">
        <f>IF(AND(OR(LEFT(TH!N1359,2)="15",LEFT(TH!O1359,2)="15"),TK!$E$7=TH!F1359),"x","")</f>
        <v/>
      </c>
      <c r="AD1359" s="84" t="str">
        <f>IF(AND(N1359="1521",MONTH(C1359)='BK-NL'!$M$11),"x","")</f>
        <v/>
      </c>
    </row>
    <row r="1360" spans="1:30" ht="15.75" hidden="1" customHeight="1">
      <c r="A1360" s="336" t="str">
        <f>IF(B1360&lt;&gt;"",IF(AND(B1360='IN-TC'!$S$4,OR(TH!N1360="1111",TH!O1360="1111")),TH!D1360,""),"")</f>
        <v/>
      </c>
      <c r="B1360" s="63">
        <f t="shared" si="195"/>
        <v>5</v>
      </c>
      <c r="C1360" s="318">
        <v>42495</v>
      </c>
      <c r="D1360" s="64" t="s">
        <v>871</v>
      </c>
      <c r="E1360" s="318">
        <v>42495</v>
      </c>
      <c r="F1360" s="73" t="s">
        <v>1473</v>
      </c>
      <c r="G1360" s="986" t="s">
        <v>1480</v>
      </c>
      <c r="H1360" s="320" t="s">
        <v>846</v>
      </c>
      <c r="I1360" s="439"/>
      <c r="J1360" s="439"/>
      <c r="K1360" s="430"/>
      <c r="L1360" s="439"/>
      <c r="M1360" s="65">
        <v>1927823</v>
      </c>
      <c r="N1360" s="321" t="s">
        <v>101</v>
      </c>
      <c r="O1360" s="66" t="s">
        <v>63</v>
      </c>
      <c r="P1360" s="84" t="str">
        <f>IF(AND('331-CT'!$E$7=TH!H1360,OR(N1360="331",O1360="331")),"x","")</f>
        <v/>
      </c>
      <c r="Q1360" s="84" t="str">
        <f>IF(AND(B1360='111'!$L$11,OR($N1360=$Q$7,$O1360=$Q$7)),"x","")</f>
        <v/>
      </c>
      <c r="R1360" s="84" t="str">
        <f>IF(AND($N1360=$Q$7,$B1360&lt;'111'!$L$11),"x","")</f>
        <v/>
      </c>
      <c r="S1360" s="84" t="str">
        <f>IF(AND($O1360=$Q$7,$B1360&lt;'111'!$L$11),"x","")</f>
        <v/>
      </c>
      <c r="T1360" s="84" t="str">
        <f>IF(ISERROR(FIND('112'!$M$9,G1360,1)),"",IF((AND(FIND('112'!$M$9,G1360,1)&gt;=1,B1360='112'!$K$9,OR($N1360='112'!$I$6,$O1360='112'!$I$6))),"x",""))</f>
        <v/>
      </c>
      <c r="U1360" s="84" t="str">
        <f>IF(ISERROR(FIND('112'!$M$9,G1360,1)),"",IF((AND(LEFT(G1360,2)=LEFT('112'!$M$9,2),B1360&lt;'112'!$K$9,$N1360='112'!$I$6)),"x",""))</f>
        <v/>
      </c>
      <c r="V1360" s="84" t="str">
        <f>IF(ISERROR(FIND('112'!$M$9,G1360,1)),"",IF((AND(RIGHT(G1360,2)=RIGHT('112'!$M$9,2),B1360&lt;'112'!$K$9,$O1360='112'!$I$6)),"x",""))</f>
        <v/>
      </c>
      <c r="W1360" s="84" t="str">
        <f>IF(AND('341-CT'!$H$9=H1360,OR(LEFT(N1360,3)=$W$7,LEFT(O1360,3)=$W$7)),"x","")</f>
        <v/>
      </c>
      <c r="X1360" s="84" t="str">
        <f>IF(OR(TH!N1360=TH!$X$7,O1360=TH!$X$7),"x","")</f>
        <v/>
      </c>
      <c r="Y1360" s="84" t="str">
        <f>IF(AND(OR(N1360="131",O1360="131"),H1360='131-CT'!$H$9),"x","")</f>
        <v/>
      </c>
      <c r="Z1360" s="84"/>
      <c r="AA1360" s="84" t="str">
        <f>IF(AND(MONTH(E1360)='IN-NX'!$J$5,'IN-NX'!$D$7=D1360),"x","")</f>
        <v/>
      </c>
      <c r="AB1360" s="84" t="str">
        <f>IF(AND(OR(LEFT(TH!N1360,2)="15",LEFT(TH!O1360,2)="15"),LEFT(TH!O1360,3)&lt;&gt;"111",'152-CT'!$J$8=TH!F1360),"x","")</f>
        <v/>
      </c>
      <c r="AC1360" s="84" t="str">
        <f>IF(AND(OR(LEFT(TH!N1360,2)="15",LEFT(TH!O1360,2)="15"),TK!$E$7=TH!F1360),"x","")</f>
        <v/>
      </c>
      <c r="AD1360" s="84" t="str">
        <f>IF(AND(N1360="1521",MONTH(C1360)='BK-NL'!$M$11),"x","")</f>
        <v/>
      </c>
    </row>
    <row r="1361" spans="1:30" ht="15.75" hidden="1" customHeight="1">
      <c r="A1361" s="336" t="str">
        <f>IF(B1361&lt;&gt;"",IF(AND(B1361='IN-TC'!$S$4,OR(TH!N1361="1111",TH!O1361="1111")),TH!D1361,""),"")</f>
        <v/>
      </c>
      <c r="B1361" s="63">
        <f t="shared" si="195"/>
        <v>5</v>
      </c>
      <c r="C1361" s="318">
        <v>42495</v>
      </c>
      <c r="D1361" s="64" t="s">
        <v>871</v>
      </c>
      <c r="E1361" s="318">
        <v>42495</v>
      </c>
      <c r="F1361" s="73" t="s">
        <v>1474</v>
      </c>
      <c r="G1361" s="986" t="s">
        <v>1480</v>
      </c>
      <c r="H1361" s="320" t="s">
        <v>846</v>
      </c>
      <c r="I1361" s="441"/>
      <c r="J1361" s="441"/>
      <c r="K1361" s="432"/>
      <c r="L1361" s="441"/>
      <c r="M1361" s="65">
        <v>192782</v>
      </c>
      <c r="N1361" s="321" t="s">
        <v>9</v>
      </c>
      <c r="O1361" s="66" t="s">
        <v>63</v>
      </c>
      <c r="P1361" s="84" t="str">
        <f>IF(AND('331-CT'!$E$7=TH!H1361,OR(N1361="331",O1361="331")),"x","")</f>
        <v/>
      </c>
      <c r="Q1361" s="84" t="str">
        <f>IF(AND(B1361='111'!$L$11,OR($N1361=$Q$7,$O1361=$Q$7)),"x","")</f>
        <v/>
      </c>
      <c r="R1361" s="84" t="str">
        <f>IF(AND($N1361=$Q$7,$B1361&lt;'111'!$L$11),"x","")</f>
        <v/>
      </c>
      <c r="S1361" s="84" t="str">
        <f>IF(AND($O1361=$Q$7,$B1361&lt;'111'!$L$11),"x","")</f>
        <v/>
      </c>
      <c r="T1361" s="84" t="str">
        <f>IF(ISERROR(FIND('112'!$M$9,G1361,1)),"",IF((AND(FIND('112'!$M$9,G1361,1)&gt;=1,B1361='112'!$K$9,OR($N1361='112'!$I$6,$O1361='112'!$I$6))),"x",""))</f>
        <v/>
      </c>
      <c r="U1361" s="84" t="str">
        <f>IF(ISERROR(FIND('112'!$M$9,G1361,1)),"",IF((AND(LEFT(G1361,2)=LEFT('112'!$M$9,2),B1361&lt;'112'!$K$9,$N1361='112'!$I$6)),"x",""))</f>
        <v/>
      </c>
      <c r="V1361" s="84" t="str">
        <f>IF(ISERROR(FIND('112'!$M$9,G1361,1)),"",IF((AND(RIGHT(G1361,2)=RIGHT('112'!$M$9,2),B1361&lt;'112'!$K$9,$O1361='112'!$I$6)),"x",""))</f>
        <v/>
      </c>
      <c r="W1361" s="84" t="str">
        <f>IF(AND('341-CT'!$H$9=H1361,OR(LEFT(N1361,3)=$W$7,LEFT(O1361,3)=$W$7)),"x","")</f>
        <v/>
      </c>
      <c r="X1361" s="84" t="str">
        <f>IF(OR(TH!N1361=TH!$X$7,O1361=TH!$X$7),"x","")</f>
        <v/>
      </c>
      <c r="Y1361" s="84" t="str">
        <f>IF(AND(OR(N1361="131",O1361="131"),H1361='131-CT'!$H$9),"x","")</f>
        <v/>
      </c>
      <c r="Z1361" s="84"/>
      <c r="AA1361" s="84" t="str">
        <f>IF(AND(MONTH(E1361)='IN-NX'!$J$5,'IN-NX'!$D$7=D1361),"x","")</f>
        <v/>
      </c>
      <c r="AB1361" s="84" t="str">
        <f>IF(AND(OR(LEFT(TH!N1361,2)="15",LEFT(TH!O1361,2)="15"),LEFT(TH!O1361,3)&lt;&gt;"111",'152-CT'!$J$8=TH!F1361),"x","")</f>
        <v/>
      </c>
      <c r="AC1361" s="84" t="str">
        <f>IF(AND(OR(LEFT(TH!N1361,2)="15",LEFT(TH!O1361,2)="15"),TK!$E$7=TH!F1361),"x","")</f>
        <v/>
      </c>
      <c r="AD1361" s="84" t="str">
        <f>IF(AND(N1361="1521",MONTH(C1361)='BK-NL'!$M$11),"x","")</f>
        <v/>
      </c>
    </row>
    <row r="1362" spans="1:30" ht="15.75" hidden="1" customHeight="1">
      <c r="A1362" s="336" t="str">
        <f>IF(B1362&lt;&gt;"",IF(AND(B1362='IN-TC'!$S$4,OR(TH!N1362="1111",TH!O1362="1111")),TH!D1362,""),"")</f>
        <v/>
      </c>
      <c r="B1362" s="63">
        <f t="shared" si="195"/>
        <v>5</v>
      </c>
      <c r="C1362" s="64">
        <v>42499</v>
      </c>
      <c r="D1362" s="64" t="s">
        <v>872</v>
      </c>
      <c r="E1362" s="64">
        <v>42499</v>
      </c>
      <c r="F1362" s="73" t="s">
        <v>1475</v>
      </c>
      <c r="G1362" s="982" t="s">
        <v>1481</v>
      </c>
      <c r="H1362" s="73" t="s">
        <v>1038</v>
      </c>
      <c r="I1362" s="441"/>
      <c r="J1362" s="441"/>
      <c r="K1362" s="432"/>
      <c r="L1362" s="441"/>
      <c r="M1362" s="65">
        <v>2320000</v>
      </c>
      <c r="N1362" s="321" t="s">
        <v>101</v>
      </c>
      <c r="O1362" s="66" t="s">
        <v>63</v>
      </c>
      <c r="P1362" s="84" t="str">
        <f>IF(AND('331-CT'!$E$7=TH!H1362,OR(N1362="331",O1362="331")),"x","")</f>
        <v/>
      </c>
      <c r="Q1362" s="84" t="str">
        <f>IF(AND(B1362='111'!$L$11,OR($N1362=$Q$7,$O1362=$Q$7)),"x","")</f>
        <v/>
      </c>
      <c r="R1362" s="84" t="str">
        <f>IF(AND($N1362=$Q$7,$B1362&lt;'111'!$L$11),"x","")</f>
        <v/>
      </c>
      <c r="S1362" s="84" t="str">
        <f>IF(AND($O1362=$Q$7,$B1362&lt;'111'!$L$11),"x","")</f>
        <v/>
      </c>
      <c r="T1362" s="84" t="str">
        <f>IF(ISERROR(FIND('112'!$M$9,G1362,1)),"",IF((AND(FIND('112'!$M$9,G1362,1)&gt;=1,B1362='112'!$K$9,OR($N1362='112'!$I$6,$O1362='112'!$I$6))),"x",""))</f>
        <v/>
      </c>
      <c r="U1362" s="84" t="str">
        <f>IF(ISERROR(FIND('112'!$M$9,G1362,1)),"",IF((AND(LEFT(G1362,2)=LEFT('112'!$M$9,2),B1362&lt;'112'!$K$9,$N1362='112'!$I$6)),"x",""))</f>
        <v/>
      </c>
      <c r="V1362" s="84" t="str">
        <f>IF(ISERROR(FIND('112'!$M$9,G1362,1)),"",IF((AND(RIGHT(G1362,2)=RIGHT('112'!$M$9,2),B1362&lt;'112'!$K$9,$O1362='112'!$I$6)),"x",""))</f>
        <v/>
      </c>
      <c r="W1362" s="84" t="str">
        <f>IF(AND('341-CT'!$H$9=H1362,OR(LEFT(N1362,3)=$W$7,LEFT(O1362,3)=$W$7)),"x","")</f>
        <v/>
      </c>
      <c r="X1362" s="84" t="str">
        <f>IF(OR(TH!N1362=TH!$X$7,O1362=TH!$X$7),"x","")</f>
        <v/>
      </c>
      <c r="Y1362" s="84" t="str">
        <f>IF(AND(OR(N1362="131",O1362="131"),H1362='131-CT'!$H$9),"x","")</f>
        <v/>
      </c>
      <c r="Z1362" s="84"/>
      <c r="AA1362" s="84" t="str">
        <f>IF(AND(MONTH(E1362)='IN-NX'!$J$5,'IN-NX'!$D$7=D1362),"x","")</f>
        <v/>
      </c>
      <c r="AB1362" s="84" t="str">
        <f>IF(AND(OR(LEFT(TH!N1362,2)="15",LEFT(TH!O1362,2)="15"),LEFT(TH!O1362,3)&lt;&gt;"111",'152-CT'!$J$8=TH!F1362),"x","")</f>
        <v/>
      </c>
      <c r="AC1362" s="84" t="str">
        <f>IF(AND(OR(LEFT(TH!N1362,2)="15",LEFT(TH!O1362,2)="15"),TK!$E$7=TH!F1362),"x","")</f>
        <v/>
      </c>
      <c r="AD1362" s="84" t="str">
        <f>IF(AND(N1362="1521",MONTH(C1362)='BK-NL'!$M$11),"x","")</f>
        <v/>
      </c>
    </row>
    <row r="1363" spans="1:30" ht="15.75" hidden="1" customHeight="1">
      <c r="A1363" s="336" t="str">
        <f>IF(B1363&lt;&gt;"",IF(AND(B1363='IN-TC'!$S$4,OR(TH!N1363="1111",TH!O1363="1111")),TH!D1363,""),"")</f>
        <v/>
      </c>
      <c r="B1363" s="63">
        <f t="shared" si="195"/>
        <v>5</v>
      </c>
      <c r="C1363" s="318">
        <v>42503</v>
      </c>
      <c r="D1363" s="318" t="s">
        <v>875</v>
      </c>
      <c r="E1363" s="318">
        <v>42503</v>
      </c>
      <c r="F1363" s="73" t="s">
        <v>1476</v>
      </c>
      <c r="G1363" s="986" t="s">
        <v>1482</v>
      </c>
      <c r="H1363" s="320" t="s">
        <v>1477</v>
      </c>
      <c r="I1363" s="439"/>
      <c r="J1363" s="439"/>
      <c r="K1363" s="430"/>
      <c r="L1363" s="439"/>
      <c r="M1363" s="65">
        <v>354533</v>
      </c>
      <c r="N1363" s="321" t="s">
        <v>101</v>
      </c>
      <c r="O1363" s="66" t="s">
        <v>63</v>
      </c>
      <c r="P1363" s="84" t="str">
        <f>IF(AND('331-CT'!$E$7=TH!H1363,OR(N1363="331",O1363="331")),"x","")</f>
        <v/>
      </c>
      <c r="Q1363" s="84" t="str">
        <f>IF(AND(B1363='111'!$L$11,OR($N1363=$Q$7,$O1363=$Q$7)),"x","")</f>
        <v/>
      </c>
      <c r="R1363" s="84" t="str">
        <f>IF(AND($N1363=$Q$7,$B1363&lt;'111'!$L$11),"x","")</f>
        <v/>
      </c>
      <c r="S1363" s="84" t="str">
        <f>IF(AND($O1363=$Q$7,$B1363&lt;'111'!$L$11),"x","")</f>
        <v/>
      </c>
      <c r="T1363" s="84" t="str">
        <f>IF(ISERROR(FIND('112'!$M$9,G1363,1)),"",IF((AND(FIND('112'!$M$9,G1363,1)&gt;=1,B1363='112'!$K$9,OR($N1363='112'!$I$6,$O1363='112'!$I$6))),"x",""))</f>
        <v/>
      </c>
      <c r="U1363" s="84" t="str">
        <f>IF(ISERROR(FIND('112'!$M$9,G1363,1)),"",IF((AND(LEFT(G1363,2)=LEFT('112'!$M$9,2),B1363&lt;'112'!$K$9,$N1363='112'!$I$6)),"x",""))</f>
        <v/>
      </c>
      <c r="V1363" s="84" t="str">
        <f>IF(ISERROR(FIND('112'!$M$9,G1363,1)),"",IF((AND(RIGHT(G1363,2)=RIGHT('112'!$M$9,2),B1363&lt;'112'!$K$9,$O1363='112'!$I$6)),"x",""))</f>
        <v/>
      </c>
      <c r="W1363" s="84" t="str">
        <f>IF(AND('341-CT'!$H$9=H1363,OR(LEFT(N1363,3)=$W$7,LEFT(O1363,3)=$W$7)),"x","")</f>
        <v/>
      </c>
      <c r="X1363" s="84" t="str">
        <f>IF(OR(TH!N1363=TH!$X$7,O1363=TH!$X$7),"x","")</f>
        <v/>
      </c>
      <c r="Y1363" s="84" t="str">
        <f>IF(AND(OR(N1363="131",O1363="131"),H1363='131-CT'!$H$9),"x","")</f>
        <v/>
      </c>
      <c r="Z1363" s="84"/>
      <c r="AA1363" s="84" t="str">
        <f>IF(AND(MONTH(E1363)='IN-NX'!$J$5,'IN-NX'!$D$7=D1363),"x","")</f>
        <v/>
      </c>
      <c r="AB1363" s="84" t="str">
        <f>IF(AND(OR(LEFT(TH!N1363,2)="15",LEFT(TH!O1363,2)="15"),LEFT(TH!O1363,3)&lt;&gt;"111",'152-CT'!$J$8=TH!F1363),"x","")</f>
        <v/>
      </c>
      <c r="AC1363" s="84" t="str">
        <f>IF(AND(OR(LEFT(TH!N1363,2)="15",LEFT(TH!O1363,2)="15"),TK!$E$7=TH!F1363),"x","")</f>
        <v/>
      </c>
      <c r="AD1363" s="84" t="str">
        <f>IF(AND(N1363="1521",MONTH(C1363)='BK-NL'!$M$11),"x","")</f>
        <v/>
      </c>
    </row>
    <row r="1364" spans="1:30" ht="15.75" hidden="1" customHeight="1">
      <c r="A1364" s="336" t="str">
        <f>IF(B1364&lt;&gt;"",IF(AND(B1364='IN-TC'!$S$4,OR(TH!N1364="1111",TH!O1364="1111")),TH!D1364,""),"")</f>
        <v/>
      </c>
      <c r="B1364" s="63">
        <f t="shared" si="195"/>
        <v>5</v>
      </c>
      <c r="C1364" s="318">
        <v>42503</v>
      </c>
      <c r="D1364" s="318" t="s">
        <v>875</v>
      </c>
      <c r="E1364" s="318">
        <v>42503</v>
      </c>
      <c r="F1364" s="73" t="s">
        <v>1478</v>
      </c>
      <c r="G1364" s="986" t="s">
        <v>1482</v>
      </c>
      <c r="H1364" s="320" t="s">
        <v>1477</v>
      </c>
      <c r="I1364" s="439"/>
      <c r="J1364" s="439"/>
      <c r="K1364" s="430"/>
      <c r="L1364" s="439"/>
      <c r="M1364" s="65">
        <v>35453</v>
      </c>
      <c r="N1364" s="321" t="s">
        <v>9</v>
      </c>
      <c r="O1364" s="66" t="s">
        <v>63</v>
      </c>
      <c r="P1364" s="84" t="str">
        <f>IF(AND('331-CT'!$E$7=TH!H1364,OR(N1364="331",O1364="331")),"x","")</f>
        <v/>
      </c>
      <c r="Q1364" s="84" t="str">
        <f>IF(AND(B1364='111'!$L$11,OR($N1364=$Q$7,$O1364=$Q$7)),"x","")</f>
        <v/>
      </c>
      <c r="R1364" s="84" t="str">
        <f>IF(AND($N1364=$Q$7,$B1364&lt;'111'!$L$11),"x","")</f>
        <v/>
      </c>
      <c r="S1364" s="84" t="str">
        <f>IF(AND($O1364=$Q$7,$B1364&lt;'111'!$L$11),"x","")</f>
        <v/>
      </c>
      <c r="T1364" s="84" t="str">
        <f>IF(ISERROR(FIND('112'!$M$9,G1364,1)),"",IF((AND(FIND('112'!$M$9,G1364,1)&gt;=1,B1364='112'!$K$9,OR($N1364='112'!$I$6,$O1364='112'!$I$6))),"x",""))</f>
        <v/>
      </c>
      <c r="U1364" s="84" t="str">
        <f>IF(ISERROR(FIND('112'!$M$9,G1364,1)),"",IF((AND(LEFT(G1364,2)=LEFT('112'!$M$9,2),B1364&lt;'112'!$K$9,$N1364='112'!$I$6)),"x",""))</f>
        <v/>
      </c>
      <c r="V1364" s="84" t="str">
        <f>IF(ISERROR(FIND('112'!$M$9,G1364,1)),"",IF((AND(RIGHT(G1364,2)=RIGHT('112'!$M$9,2),B1364&lt;'112'!$K$9,$O1364='112'!$I$6)),"x",""))</f>
        <v/>
      </c>
      <c r="W1364" s="84" t="str">
        <f>IF(AND('341-CT'!$H$9=H1364,OR(LEFT(N1364,3)=$W$7,LEFT(O1364,3)=$W$7)),"x","")</f>
        <v/>
      </c>
      <c r="X1364" s="84" t="str">
        <f>IF(OR(TH!N1364=TH!$X$7,O1364=TH!$X$7),"x","")</f>
        <v/>
      </c>
      <c r="Y1364" s="84" t="str">
        <f>IF(AND(OR(N1364="131",O1364="131"),H1364='131-CT'!$H$9),"x","")</f>
        <v/>
      </c>
      <c r="Z1364" s="84"/>
      <c r="AA1364" s="84" t="str">
        <f>IF(AND(MONTH(E1364)='IN-NX'!$J$5,'IN-NX'!$D$7=D1364),"x","")</f>
        <v/>
      </c>
      <c r="AB1364" s="84" t="str">
        <f>IF(AND(OR(LEFT(TH!N1364,2)="15",LEFT(TH!O1364,2)="15"),LEFT(TH!O1364,3)&lt;&gt;"111",'152-CT'!$J$8=TH!F1364),"x","")</f>
        <v/>
      </c>
      <c r="AC1364" s="84" t="str">
        <f>IF(AND(OR(LEFT(TH!N1364,2)="15",LEFT(TH!O1364,2)="15"),TK!$E$7=TH!F1364),"x","")</f>
        <v/>
      </c>
      <c r="AD1364" s="84" t="str">
        <f>IF(AND(N1364="1521",MONTH(C1364)='BK-NL'!$M$11),"x","")</f>
        <v/>
      </c>
    </row>
    <row r="1365" spans="1:30" ht="15.75" hidden="1" customHeight="1">
      <c r="A1365" s="336" t="str">
        <f>IF(B1365&lt;&gt;"",IF(AND(B1365='IN-TC'!$S$4,OR(TH!N1365="1111",TH!O1365="1111")),TH!D1365,""),"")</f>
        <v/>
      </c>
      <c r="B1365" s="63">
        <f t="shared" si="195"/>
        <v>5</v>
      </c>
      <c r="C1365" s="318">
        <v>42506</v>
      </c>
      <c r="D1365" s="318" t="s">
        <v>876</v>
      </c>
      <c r="E1365" s="318">
        <v>42506</v>
      </c>
      <c r="F1365" s="73" t="s">
        <v>1015</v>
      </c>
      <c r="G1365" s="986" t="s">
        <v>1483</v>
      </c>
      <c r="H1365" s="320" t="s">
        <v>808</v>
      </c>
      <c r="I1365" s="439"/>
      <c r="J1365" s="439"/>
      <c r="K1365" s="430"/>
      <c r="L1365" s="439"/>
      <c r="M1365" s="65">
        <v>2679909</v>
      </c>
      <c r="N1365" s="321" t="s">
        <v>101</v>
      </c>
      <c r="O1365" s="66" t="s">
        <v>63</v>
      </c>
      <c r="P1365" s="84" t="str">
        <f>IF(AND('331-CT'!$E$7=TH!H1365,OR(N1365="331",O1365="331")),"x","")</f>
        <v/>
      </c>
      <c r="Q1365" s="84" t="str">
        <f>IF(AND(B1365='111'!$L$11,OR($N1365=$Q$7,$O1365=$Q$7)),"x","")</f>
        <v/>
      </c>
      <c r="R1365" s="84" t="str">
        <f>IF(AND($N1365=$Q$7,$B1365&lt;'111'!$L$11),"x","")</f>
        <v/>
      </c>
      <c r="S1365" s="84" t="str">
        <f>IF(AND($O1365=$Q$7,$B1365&lt;'111'!$L$11),"x","")</f>
        <v/>
      </c>
      <c r="T1365" s="84" t="str">
        <f>IF(ISERROR(FIND('112'!$M$9,G1365,1)),"",IF((AND(FIND('112'!$M$9,G1365,1)&gt;=1,B1365='112'!$K$9,OR($N1365='112'!$I$6,$O1365='112'!$I$6))),"x",""))</f>
        <v/>
      </c>
      <c r="U1365" s="84" t="str">
        <f>IF(ISERROR(FIND('112'!$M$9,G1365,1)),"",IF((AND(LEFT(G1365,2)=LEFT('112'!$M$9,2),B1365&lt;'112'!$K$9,$N1365='112'!$I$6)),"x",""))</f>
        <v/>
      </c>
      <c r="V1365" s="84" t="str">
        <f>IF(ISERROR(FIND('112'!$M$9,G1365,1)),"",IF((AND(RIGHT(G1365,2)=RIGHT('112'!$M$9,2),B1365&lt;'112'!$K$9,$O1365='112'!$I$6)),"x",""))</f>
        <v/>
      </c>
      <c r="W1365" s="84" t="str">
        <f>IF(AND('341-CT'!$H$9=H1365,OR(LEFT(N1365,3)=$W$7,LEFT(O1365,3)=$W$7)),"x","")</f>
        <v/>
      </c>
      <c r="X1365" s="84" t="str">
        <f>IF(OR(TH!N1365=TH!$X$7,O1365=TH!$X$7),"x","")</f>
        <v/>
      </c>
      <c r="Y1365" s="84" t="str">
        <f>IF(AND(OR(N1365="131",O1365="131"),H1365='131-CT'!$H$9),"x","")</f>
        <v/>
      </c>
      <c r="Z1365" s="84"/>
      <c r="AA1365" s="84" t="str">
        <f>IF(AND(MONTH(E1365)='IN-NX'!$J$5,'IN-NX'!$D$7=D1365),"x","")</f>
        <v/>
      </c>
      <c r="AB1365" s="84" t="str">
        <f>IF(AND(OR(LEFT(TH!N1365,2)="15",LEFT(TH!O1365,2)="15"),LEFT(TH!O1365,3)&lt;&gt;"111",'152-CT'!$J$8=TH!F1365),"x","")</f>
        <v/>
      </c>
      <c r="AC1365" s="84" t="str">
        <f>IF(AND(OR(LEFT(TH!N1365,2)="15",LEFT(TH!O1365,2)="15"),TK!$E$7=TH!F1365),"x","")</f>
        <v/>
      </c>
      <c r="AD1365" s="84" t="str">
        <f>IF(AND(N1365="1521",MONTH(C1365)='BK-NL'!$M$11),"x","")</f>
        <v/>
      </c>
    </row>
    <row r="1366" spans="1:30" ht="15.75" hidden="1" customHeight="1">
      <c r="A1366" s="336" t="str">
        <f>IF(B1366&lt;&gt;"",IF(AND(B1366='IN-TC'!$S$4,OR(TH!N1366="1111",TH!O1366="1111")),TH!D1366,""),"")</f>
        <v/>
      </c>
      <c r="B1366" s="63">
        <f t="shared" si="195"/>
        <v>5</v>
      </c>
      <c r="C1366" s="318">
        <v>42506</v>
      </c>
      <c r="D1366" s="318" t="s">
        <v>876</v>
      </c>
      <c r="E1366" s="318">
        <v>42506</v>
      </c>
      <c r="F1366" s="73" t="s">
        <v>1016</v>
      </c>
      <c r="G1366" s="986" t="s">
        <v>1483</v>
      </c>
      <c r="H1366" s="320" t="s">
        <v>808</v>
      </c>
      <c r="I1366" s="439"/>
      <c r="J1366" s="439"/>
      <c r="K1366" s="430"/>
      <c r="L1366" s="439"/>
      <c r="M1366" s="65">
        <v>267991</v>
      </c>
      <c r="N1366" s="321" t="s">
        <v>9</v>
      </c>
      <c r="O1366" s="66" t="s">
        <v>63</v>
      </c>
      <c r="P1366" s="84" t="str">
        <f>IF(AND('331-CT'!$E$7=TH!H1366,OR(N1366="331",O1366="331")),"x","")</f>
        <v/>
      </c>
      <c r="Q1366" s="84" t="str">
        <f>IF(AND(B1366='111'!$L$11,OR($N1366=$Q$7,$O1366=$Q$7)),"x","")</f>
        <v/>
      </c>
      <c r="R1366" s="84" t="str">
        <f>IF(AND($N1366=$Q$7,$B1366&lt;'111'!$L$11),"x","")</f>
        <v/>
      </c>
      <c r="S1366" s="84" t="str">
        <f>IF(AND($O1366=$Q$7,$B1366&lt;'111'!$L$11),"x","")</f>
        <v/>
      </c>
      <c r="T1366" s="84" t="str">
        <f>IF(ISERROR(FIND('112'!$M$9,G1366,1)),"",IF((AND(FIND('112'!$M$9,G1366,1)&gt;=1,B1366='112'!$K$9,OR($N1366='112'!$I$6,$O1366='112'!$I$6))),"x",""))</f>
        <v/>
      </c>
      <c r="U1366" s="84" t="str">
        <f>IF(ISERROR(FIND('112'!$M$9,G1366,1)),"",IF((AND(LEFT(G1366,2)=LEFT('112'!$M$9,2),B1366&lt;'112'!$K$9,$N1366='112'!$I$6)),"x",""))</f>
        <v/>
      </c>
      <c r="V1366" s="84" t="str">
        <f>IF(ISERROR(FIND('112'!$M$9,G1366,1)),"",IF((AND(RIGHT(G1366,2)=RIGHT('112'!$M$9,2),B1366&lt;'112'!$K$9,$O1366='112'!$I$6)),"x",""))</f>
        <v/>
      </c>
      <c r="W1366" s="84" t="str">
        <f>IF(AND('341-CT'!$H$9=H1366,OR(LEFT(N1366,3)=$W$7,LEFT(O1366,3)=$W$7)),"x","")</f>
        <v/>
      </c>
      <c r="X1366" s="84" t="str">
        <f>IF(OR(TH!N1366=TH!$X$7,O1366=TH!$X$7),"x","")</f>
        <v/>
      </c>
      <c r="Y1366" s="84" t="str">
        <f>IF(AND(OR(N1366="131",O1366="131"),H1366='131-CT'!$H$9),"x","")</f>
        <v/>
      </c>
      <c r="Z1366" s="84"/>
      <c r="AA1366" s="84" t="str">
        <f>IF(AND(MONTH(E1366)='IN-NX'!$J$5,'IN-NX'!$D$7=D1366),"x","")</f>
        <v/>
      </c>
      <c r="AB1366" s="84" t="str">
        <f>IF(AND(OR(LEFT(TH!N1366,2)="15",LEFT(TH!O1366,2)="15"),LEFT(TH!O1366,3)&lt;&gt;"111",'152-CT'!$J$8=TH!F1366),"x","")</f>
        <v/>
      </c>
      <c r="AC1366" s="84" t="str">
        <f>IF(AND(OR(LEFT(TH!N1366,2)="15",LEFT(TH!O1366,2)="15"),TK!$E$7=TH!F1366),"x","")</f>
        <v/>
      </c>
      <c r="AD1366" s="84" t="str">
        <f>IF(AND(N1366="1521",MONTH(C1366)='BK-NL'!$M$11),"x","")</f>
        <v/>
      </c>
    </row>
    <row r="1367" spans="1:30" ht="15.75" hidden="1" customHeight="1">
      <c r="A1367" s="336" t="str">
        <f>IF(B1367&lt;&gt;"",IF(AND(B1367='IN-TC'!$S$4,OR(TH!N1367="1111",TH!O1367="1111")),TH!D1367,""),"")</f>
        <v/>
      </c>
      <c r="B1367" s="63">
        <f t="shared" ref="B1367:B1374" si="197">IF(C1367&lt;&gt;"",MONTH(C1367),"")</f>
        <v>5</v>
      </c>
      <c r="C1367" s="318">
        <f t="shared" ref="C1367:C1374" si="198">E1367</f>
        <v>42510</v>
      </c>
      <c r="D1367" s="318" t="s">
        <v>877</v>
      </c>
      <c r="E1367" s="318">
        <v>42510</v>
      </c>
      <c r="F1367" s="73" t="s">
        <v>1015</v>
      </c>
      <c r="G1367" s="986" t="s">
        <v>1542</v>
      </c>
      <c r="H1367" s="320" t="s">
        <v>808</v>
      </c>
      <c r="I1367" s="439"/>
      <c r="J1367" s="439"/>
      <c r="K1367" s="430"/>
      <c r="L1367" s="439"/>
      <c r="M1367" s="65">
        <v>871582</v>
      </c>
      <c r="N1367" s="321" t="s">
        <v>101</v>
      </c>
      <c r="O1367" s="66" t="s">
        <v>63</v>
      </c>
      <c r="P1367" s="84" t="str">
        <f>IF(AND('331-CT'!$E$7=TH!H1367,OR(N1367="331",O1367="331")),"x","")</f>
        <v/>
      </c>
      <c r="Q1367" s="84" t="str">
        <f>IF(AND(B1367='111'!$L$11,OR($N1367=$Q$7,$O1367=$Q$7)),"x","")</f>
        <v/>
      </c>
      <c r="R1367" s="84" t="str">
        <f>IF(AND($N1367=$Q$7,$B1367&lt;'111'!$L$11),"x","")</f>
        <v/>
      </c>
      <c r="S1367" s="84" t="str">
        <f>IF(AND($O1367=$Q$7,$B1367&lt;'111'!$L$11),"x","")</f>
        <v/>
      </c>
      <c r="T1367" s="84" t="str">
        <f>IF(ISERROR(FIND('112'!$M$9,G1367,1)),"",IF((AND(FIND('112'!$M$9,G1367,1)&gt;=1,B1367='112'!$K$9,OR($N1367='112'!$I$6,$O1367='112'!$I$6))),"x",""))</f>
        <v/>
      </c>
      <c r="U1367" s="84" t="str">
        <f>IF(ISERROR(FIND('112'!$M$9,G1367,1)),"",IF((AND(LEFT(G1367,2)=LEFT('112'!$M$9,2),B1367&lt;'112'!$K$9,$N1367='112'!$I$6)),"x",""))</f>
        <v/>
      </c>
      <c r="V1367" s="84" t="str">
        <f>IF(ISERROR(FIND('112'!$M$9,G1367,1)),"",IF((AND(RIGHT(G1367,2)=RIGHT('112'!$M$9,2),B1367&lt;'112'!$K$9,$O1367='112'!$I$6)),"x",""))</f>
        <v/>
      </c>
      <c r="W1367" s="84" t="str">
        <f>IF(AND('341-CT'!$H$9=H1367,OR(LEFT(N1367,3)=$W$7,LEFT(O1367,3)=$W$7)),"x","")</f>
        <v/>
      </c>
      <c r="X1367" s="84" t="str">
        <f>IF(OR(TH!N1367=TH!$X$7,O1367=TH!$X$7),"x","")</f>
        <v/>
      </c>
      <c r="Y1367" s="84" t="str">
        <f>IF(AND(OR(N1367="131",O1367="131"),H1367='131-CT'!$H$9),"x","")</f>
        <v/>
      </c>
      <c r="Z1367" s="84"/>
      <c r="AA1367" s="84" t="str">
        <f>IF(AND(MONTH(E1367)='IN-NX'!$J$5,'IN-NX'!$D$7=D1367),"x","")</f>
        <v/>
      </c>
      <c r="AB1367" s="84" t="str">
        <f>IF(AND(OR(LEFT(TH!N1367,2)="15",LEFT(TH!O1367,2)="15"),LEFT(TH!O1367,3)&lt;&gt;"111",'152-CT'!$J$8=TH!F1367),"x","")</f>
        <v/>
      </c>
      <c r="AC1367" s="84" t="str">
        <f>IF(AND(OR(LEFT(TH!N1367,2)="15",LEFT(TH!O1367,2)="15"),TK!$E$7=TH!F1367),"x","")</f>
        <v/>
      </c>
      <c r="AD1367" s="84" t="str">
        <f>IF(AND(N1367="1521",MONTH(C1367)='BK-NL'!$M$11),"x","")</f>
        <v/>
      </c>
    </row>
    <row r="1368" spans="1:30" ht="15.75" hidden="1" customHeight="1">
      <c r="A1368" s="336" t="str">
        <f>IF(B1368&lt;&gt;"",IF(AND(B1368='IN-TC'!$S$4,OR(TH!N1368="1111",TH!O1368="1111")),TH!D1368,""),"")</f>
        <v/>
      </c>
      <c r="B1368" s="63">
        <f t="shared" si="197"/>
        <v>5</v>
      </c>
      <c r="C1368" s="318">
        <f t="shared" si="198"/>
        <v>42510</v>
      </c>
      <c r="D1368" s="318" t="s">
        <v>877</v>
      </c>
      <c r="E1368" s="318">
        <v>42510</v>
      </c>
      <c r="F1368" s="73" t="s">
        <v>1016</v>
      </c>
      <c r="G1368" s="986" t="s">
        <v>1542</v>
      </c>
      <c r="H1368" s="320" t="s">
        <v>808</v>
      </c>
      <c r="I1368" s="439"/>
      <c r="J1368" s="439"/>
      <c r="K1368" s="430"/>
      <c r="L1368" s="439"/>
      <c r="M1368" s="65">
        <v>87158</v>
      </c>
      <c r="N1368" s="321" t="s">
        <v>9</v>
      </c>
      <c r="O1368" s="66" t="s">
        <v>63</v>
      </c>
      <c r="P1368" s="84" t="str">
        <f>IF(AND('331-CT'!$E$7=TH!H1368,OR(N1368="331",O1368="331")),"x","")</f>
        <v/>
      </c>
      <c r="Q1368" s="84" t="str">
        <f>IF(AND(B1368='111'!$L$11,OR($N1368=$Q$7,$O1368=$Q$7)),"x","")</f>
        <v/>
      </c>
      <c r="R1368" s="84" t="str">
        <f>IF(AND($N1368=$Q$7,$B1368&lt;'111'!$L$11),"x","")</f>
        <v/>
      </c>
      <c r="S1368" s="84" t="str">
        <f>IF(AND($O1368=$Q$7,$B1368&lt;'111'!$L$11),"x","")</f>
        <v/>
      </c>
      <c r="T1368" s="84" t="str">
        <f>IF(ISERROR(FIND('112'!$M$9,G1368,1)),"",IF((AND(FIND('112'!$M$9,G1368,1)&gt;=1,B1368='112'!$K$9,OR($N1368='112'!$I$6,$O1368='112'!$I$6))),"x",""))</f>
        <v/>
      </c>
      <c r="U1368" s="84" t="str">
        <f>IF(ISERROR(FIND('112'!$M$9,G1368,1)),"",IF((AND(LEFT(G1368,2)=LEFT('112'!$M$9,2),B1368&lt;'112'!$K$9,$N1368='112'!$I$6)),"x",""))</f>
        <v/>
      </c>
      <c r="V1368" s="84" t="str">
        <f>IF(ISERROR(FIND('112'!$M$9,G1368,1)),"",IF((AND(RIGHT(G1368,2)=RIGHT('112'!$M$9,2),B1368&lt;'112'!$K$9,$O1368='112'!$I$6)),"x",""))</f>
        <v/>
      </c>
      <c r="W1368" s="84" t="str">
        <f>IF(AND('341-CT'!$H$9=H1368,OR(LEFT(N1368,3)=$W$7,LEFT(O1368,3)=$W$7)),"x","")</f>
        <v/>
      </c>
      <c r="X1368" s="84" t="str">
        <f>IF(OR(TH!N1368=TH!$X$7,O1368=TH!$X$7),"x","")</f>
        <v/>
      </c>
      <c r="Y1368" s="84" t="str">
        <f>IF(AND(OR(N1368="131",O1368="131"),H1368='131-CT'!$H$9),"x","")</f>
        <v/>
      </c>
      <c r="Z1368" s="84"/>
      <c r="AA1368" s="84" t="str">
        <f>IF(AND(MONTH(E1368)='IN-NX'!$J$5,'IN-NX'!$D$7=D1368),"x","")</f>
        <v/>
      </c>
      <c r="AB1368" s="84" t="str">
        <f>IF(AND(OR(LEFT(TH!N1368,2)="15",LEFT(TH!O1368,2)="15"),LEFT(TH!O1368,3)&lt;&gt;"111",'152-CT'!$J$8=TH!F1368),"x","")</f>
        <v/>
      </c>
      <c r="AC1368" s="84" t="str">
        <f>IF(AND(OR(LEFT(TH!N1368,2)="15",LEFT(TH!O1368,2)="15"),TK!$E$7=TH!F1368),"x","")</f>
        <v/>
      </c>
      <c r="AD1368" s="84" t="str">
        <f>IF(AND(N1368="1521",MONTH(C1368)='BK-NL'!$M$11),"x","")</f>
        <v/>
      </c>
    </row>
    <row r="1369" spans="1:30" ht="15.75" hidden="1" customHeight="1">
      <c r="A1369" s="336" t="str">
        <f>IF(B1369&lt;&gt;"",IF(AND(B1369='IN-TC'!$S$4,OR(TH!N1369="1111",TH!O1369="1111")),TH!D1369,""),"")</f>
        <v/>
      </c>
      <c r="B1369" s="63">
        <f t="shared" si="197"/>
        <v>5</v>
      </c>
      <c r="C1369" s="318">
        <f t="shared" si="198"/>
        <v>42513</v>
      </c>
      <c r="D1369" s="318" t="s">
        <v>878</v>
      </c>
      <c r="E1369" s="318">
        <v>42513</v>
      </c>
      <c r="F1369" s="73" t="s">
        <v>638</v>
      </c>
      <c r="G1369" s="986" t="s">
        <v>1538</v>
      </c>
      <c r="H1369" s="319" t="s">
        <v>1535</v>
      </c>
      <c r="I1369" s="439"/>
      <c r="J1369" s="439"/>
      <c r="K1369" s="430"/>
      <c r="L1369" s="439"/>
      <c r="M1369" s="65">
        <v>480000</v>
      </c>
      <c r="N1369" s="321" t="s">
        <v>101</v>
      </c>
      <c r="O1369" s="66" t="s">
        <v>63</v>
      </c>
      <c r="P1369" s="84" t="str">
        <f>IF(AND('331-CT'!$E$7=TH!H1369,OR(N1369="331",O1369="331")),"x","")</f>
        <v/>
      </c>
      <c r="Q1369" s="84" t="str">
        <f>IF(AND(B1369='111'!$L$11,OR($N1369=$Q$7,$O1369=$Q$7)),"x","")</f>
        <v/>
      </c>
      <c r="R1369" s="84" t="str">
        <f>IF(AND($N1369=$Q$7,$B1369&lt;'111'!$L$11),"x","")</f>
        <v/>
      </c>
      <c r="S1369" s="84" t="str">
        <f>IF(AND($O1369=$Q$7,$B1369&lt;'111'!$L$11),"x","")</f>
        <v/>
      </c>
      <c r="T1369" s="84" t="str">
        <f>IF(ISERROR(FIND('112'!$M$9,G1369,1)),"",IF((AND(FIND('112'!$M$9,G1369,1)&gt;=1,B1369='112'!$K$9,OR($N1369='112'!$I$6,$O1369='112'!$I$6))),"x",""))</f>
        <v/>
      </c>
      <c r="U1369" s="84" t="str">
        <f>IF(ISERROR(FIND('112'!$M$9,G1369,1)),"",IF((AND(LEFT(G1369,2)=LEFT('112'!$M$9,2),B1369&lt;'112'!$K$9,$N1369='112'!$I$6)),"x",""))</f>
        <v/>
      </c>
      <c r="V1369" s="84" t="str">
        <f>IF(ISERROR(FIND('112'!$M$9,G1369,1)),"",IF((AND(RIGHT(G1369,2)=RIGHT('112'!$M$9,2),B1369&lt;'112'!$K$9,$O1369='112'!$I$6)),"x",""))</f>
        <v/>
      </c>
      <c r="W1369" s="84" t="str">
        <f>IF(AND('341-CT'!$H$9=H1369,OR(LEFT(N1369,3)=$W$7,LEFT(O1369,3)=$W$7)),"x","")</f>
        <v/>
      </c>
      <c r="X1369" s="84" t="str">
        <f>IF(OR(TH!N1369=TH!$X$7,O1369=TH!$X$7),"x","")</f>
        <v/>
      </c>
      <c r="Y1369" s="84" t="str">
        <f>IF(AND(OR(N1369="131",O1369="131"),H1369='131-CT'!$H$9),"x","")</f>
        <v/>
      </c>
      <c r="Z1369" s="84"/>
      <c r="AA1369" s="84" t="str">
        <f>IF(AND(MONTH(E1369)='IN-NX'!$J$5,'IN-NX'!$D$7=D1369),"x","")</f>
        <v/>
      </c>
      <c r="AB1369" s="84" t="str">
        <f>IF(AND(OR(LEFT(TH!N1369,2)="15",LEFT(TH!O1369,2)="15"),LEFT(TH!O1369,3)&lt;&gt;"111",'152-CT'!$J$8=TH!F1369),"x","")</f>
        <v/>
      </c>
      <c r="AC1369" s="84" t="str">
        <f>IF(AND(OR(LEFT(TH!N1369,2)="15",LEFT(TH!O1369,2)="15"),TK!$E$7=TH!F1369),"x","")</f>
        <v/>
      </c>
      <c r="AD1369" s="84" t="str">
        <f>IF(AND(N1369="1521",MONTH(C1369)='BK-NL'!$M$11),"x","")</f>
        <v/>
      </c>
    </row>
    <row r="1370" spans="1:30" ht="15.75" hidden="1" customHeight="1">
      <c r="A1370" s="336" t="str">
        <f>IF(B1370&lt;&gt;"",IF(AND(B1370='IN-TC'!$S$4,OR(TH!N1370="1111",TH!O1370="1111")),TH!D1370,""),"")</f>
        <v/>
      </c>
      <c r="B1370" s="63">
        <f t="shared" si="197"/>
        <v>5</v>
      </c>
      <c r="C1370" s="318">
        <f t="shared" si="198"/>
        <v>42513</v>
      </c>
      <c r="D1370" s="318" t="s">
        <v>878</v>
      </c>
      <c r="E1370" s="318">
        <v>42513</v>
      </c>
      <c r="F1370" s="73" t="s">
        <v>1536</v>
      </c>
      <c r="G1370" s="986" t="s">
        <v>1538</v>
      </c>
      <c r="H1370" s="319" t="s">
        <v>1535</v>
      </c>
      <c r="I1370" s="437"/>
      <c r="J1370" s="437"/>
      <c r="K1370" s="428"/>
      <c r="L1370" s="437"/>
      <c r="M1370" s="65">
        <v>24000</v>
      </c>
      <c r="N1370" s="321" t="s">
        <v>9</v>
      </c>
      <c r="O1370" s="66" t="s">
        <v>63</v>
      </c>
      <c r="P1370" s="84" t="str">
        <f>IF(AND('331-CT'!$E$7=TH!H1370,OR(N1370="331",O1370="331")),"x","")</f>
        <v/>
      </c>
      <c r="Q1370" s="84" t="str">
        <f>IF(AND(B1370='111'!$L$11,OR($N1370=$Q$7,$O1370=$Q$7)),"x","")</f>
        <v/>
      </c>
      <c r="R1370" s="84" t="str">
        <f>IF(AND($N1370=$Q$7,$B1370&lt;'111'!$L$11),"x","")</f>
        <v/>
      </c>
      <c r="S1370" s="84" t="str">
        <f>IF(AND($O1370=$Q$7,$B1370&lt;'111'!$L$11),"x","")</f>
        <v/>
      </c>
      <c r="T1370" s="84" t="str">
        <f>IF(ISERROR(FIND('112'!$M$9,G1370,1)),"",IF((AND(FIND('112'!$M$9,G1370,1)&gt;=1,B1370='112'!$K$9,OR($N1370='112'!$I$6,$O1370='112'!$I$6))),"x",""))</f>
        <v/>
      </c>
      <c r="U1370" s="84" t="str">
        <f>IF(ISERROR(FIND('112'!$M$9,G1370,1)),"",IF((AND(LEFT(G1370,2)=LEFT('112'!$M$9,2),B1370&lt;'112'!$K$9,$N1370='112'!$I$6)),"x",""))</f>
        <v/>
      </c>
      <c r="V1370" s="84" t="str">
        <f>IF(ISERROR(FIND('112'!$M$9,G1370,1)),"",IF((AND(RIGHT(G1370,2)=RIGHT('112'!$M$9,2),B1370&lt;'112'!$K$9,$O1370='112'!$I$6)),"x",""))</f>
        <v/>
      </c>
      <c r="W1370" s="84" t="str">
        <f>IF(AND('341-CT'!$H$9=H1370,OR(LEFT(N1370,3)=$W$7,LEFT(O1370,3)=$W$7)),"x","")</f>
        <v/>
      </c>
      <c r="X1370" s="84" t="str">
        <f>IF(OR(TH!N1370=TH!$X$7,O1370=TH!$X$7),"x","")</f>
        <v/>
      </c>
      <c r="Y1370" s="84" t="str">
        <f>IF(AND(OR(N1370="131",O1370="131"),H1370='131-CT'!$H$9),"x","")</f>
        <v/>
      </c>
      <c r="Z1370" s="84"/>
      <c r="AA1370" s="84" t="str">
        <f>IF(AND(MONTH(E1370)='IN-NX'!$J$5,'IN-NX'!$D$7=D1370),"x","")</f>
        <v/>
      </c>
      <c r="AB1370" s="84" t="str">
        <f>IF(AND(OR(LEFT(TH!N1370,2)="15",LEFT(TH!O1370,2)="15"),LEFT(TH!O1370,3)&lt;&gt;"111",'152-CT'!$J$8=TH!F1370),"x","")</f>
        <v/>
      </c>
      <c r="AC1370" s="84" t="str">
        <f>IF(AND(OR(LEFT(TH!N1370,2)="15",LEFT(TH!O1370,2)="15"),TK!$E$7=TH!F1370),"x","")</f>
        <v/>
      </c>
      <c r="AD1370" s="84" t="str">
        <f>IF(AND(N1370="1521",MONTH(C1370)='BK-NL'!$M$11),"x","")</f>
        <v/>
      </c>
    </row>
    <row r="1371" spans="1:30" ht="15.75" hidden="1" customHeight="1">
      <c r="A1371" s="336" t="str">
        <f>IF(B1371&lt;&gt;"",IF(AND(B1371='IN-TC'!$S$4,OR(TH!N1371="1111",TH!O1371="1111")),TH!D1371,""),"")</f>
        <v/>
      </c>
      <c r="B1371" s="63">
        <f t="shared" si="197"/>
        <v>5</v>
      </c>
      <c r="C1371" s="318">
        <f t="shared" si="198"/>
        <v>42513</v>
      </c>
      <c r="D1371" s="318" t="s">
        <v>879</v>
      </c>
      <c r="E1371" s="318">
        <v>42513</v>
      </c>
      <c r="F1371" s="73" t="s">
        <v>638</v>
      </c>
      <c r="G1371" s="986" t="s">
        <v>1539</v>
      </c>
      <c r="H1371" s="319" t="s">
        <v>1535</v>
      </c>
      <c r="I1371" s="439"/>
      <c r="J1371" s="439"/>
      <c r="K1371" s="430"/>
      <c r="L1371" s="439"/>
      <c r="M1371" s="65">
        <v>300000</v>
      </c>
      <c r="N1371" s="321" t="s">
        <v>101</v>
      </c>
      <c r="O1371" s="66" t="s">
        <v>63</v>
      </c>
      <c r="P1371" s="84" t="str">
        <f>IF(AND('331-CT'!$E$7=TH!H1371,OR(N1371="331",O1371="331")),"x","")</f>
        <v/>
      </c>
      <c r="Q1371" s="84" t="str">
        <f>IF(AND(B1371='111'!$L$11,OR($N1371=$Q$7,$O1371=$Q$7)),"x","")</f>
        <v/>
      </c>
      <c r="R1371" s="84" t="str">
        <f>IF(AND($N1371=$Q$7,$B1371&lt;'111'!$L$11),"x","")</f>
        <v/>
      </c>
      <c r="S1371" s="84" t="str">
        <f>IF(AND($O1371=$Q$7,$B1371&lt;'111'!$L$11),"x","")</f>
        <v/>
      </c>
      <c r="T1371" s="84" t="str">
        <f>IF(ISERROR(FIND('112'!$M$9,G1371,1)),"",IF((AND(FIND('112'!$M$9,G1371,1)&gt;=1,B1371='112'!$K$9,OR($N1371='112'!$I$6,$O1371='112'!$I$6))),"x",""))</f>
        <v/>
      </c>
      <c r="U1371" s="84" t="str">
        <f>IF(ISERROR(FIND('112'!$M$9,G1371,1)),"",IF((AND(LEFT(G1371,2)=LEFT('112'!$M$9,2),B1371&lt;'112'!$K$9,$N1371='112'!$I$6)),"x",""))</f>
        <v/>
      </c>
      <c r="V1371" s="84" t="str">
        <f>IF(ISERROR(FIND('112'!$M$9,G1371,1)),"",IF((AND(RIGHT(G1371,2)=RIGHT('112'!$M$9,2),B1371&lt;'112'!$K$9,$O1371='112'!$I$6)),"x",""))</f>
        <v/>
      </c>
      <c r="W1371" s="84" t="str">
        <f>IF(AND('341-CT'!$H$9=H1371,OR(LEFT(N1371,3)=$W$7,LEFT(O1371,3)=$W$7)),"x","")</f>
        <v/>
      </c>
      <c r="X1371" s="84" t="str">
        <f>IF(OR(TH!N1371=TH!$X$7,O1371=TH!$X$7),"x","")</f>
        <v/>
      </c>
      <c r="Y1371" s="84" t="str">
        <f>IF(AND(OR(N1371="131",O1371="131"),H1371='131-CT'!$H$9),"x","")</f>
        <v/>
      </c>
      <c r="Z1371" s="84"/>
      <c r="AA1371" s="84" t="str">
        <f>IF(AND(MONTH(E1371)='IN-NX'!$J$5,'IN-NX'!$D$7=D1371),"x","")</f>
        <v/>
      </c>
      <c r="AB1371" s="84" t="str">
        <f>IF(AND(OR(LEFT(TH!N1371,2)="15",LEFT(TH!O1371,2)="15"),LEFT(TH!O1371,3)&lt;&gt;"111",'152-CT'!$J$8=TH!F1371),"x","")</f>
        <v/>
      </c>
      <c r="AC1371" s="84" t="str">
        <f>IF(AND(OR(LEFT(TH!N1371,2)="15",LEFT(TH!O1371,2)="15"),TK!$E$7=TH!F1371),"x","")</f>
        <v/>
      </c>
      <c r="AD1371" s="84" t="str">
        <f>IF(AND(N1371="1521",MONTH(C1371)='BK-NL'!$M$11),"x","")</f>
        <v/>
      </c>
    </row>
    <row r="1372" spans="1:30" ht="15.75" hidden="1" customHeight="1">
      <c r="A1372" s="336" t="str">
        <f>IF(B1372&lt;&gt;"",IF(AND(B1372='IN-TC'!$S$4,OR(TH!N1372="1111",TH!O1372="1111")),TH!D1372,""),"")</f>
        <v/>
      </c>
      <c r="B1372" s="63">
        <f t="shared" si="197"/>
        <v>5</v>
      </c>
      <c r="C1372" s="318">
        <f t="shared" si="198"/>
        <v>42513</v>
      </c>
      <c r="D1372" s="318" t="s">
        <v>879</v>
      </c>
      <c r="E1372" s="318">
        <v>42513</v>
      </c>
      <c r="F1372" s="73" t="s">
        <v>1536</v>
      </c>
      <c r="G1372" s="986" t="s">
        <v>1539</v>
      </c>
      <c r="H1372" s="319" t="s">
        <v>1535</v>
      </c>
      <c r="I1372" s="437"/>
      <c r="J1372" s="437"/>
      <c r="K1372" s="428"/>
      <c r="L1372" s="437"/>
      <c r="M1372" s="65">
        <v>15000</v>
      </c>
      <c r="N1372" s="321" t="s">
        <v>9</v>
      </c>
      <c r="O1372" s="66" t="s">
        <v>63</v>
      </c>
      <c r="P1372" s="84" t="str">
        <f>IF(AND('331-CT'!$E$7=TH!H1372,OR(N1372="331",O1372="331")),"x","")</f>
        <v/>
      </c>
      <c r="Q1372" s="84" t="str">
        <f>IF(AND(B1372='111'!$L$11,OR($N1372=$Q$7,$O1372=$Q$7)),"x","")</f>
        <v/>
      </c>
      <c r="R1372" s="84" t="str">
        <f>IF(AND($N1372=$Q$7,$B1372&lt;'111'!$L$11),"x","")</f>
        <v/>
      </c>
      <c r="S1372" s="84" t="str">
        <f>IF(AND($O1372=$Q$7,$B1372&lt;'111'!$L$11),"x","")</f>
        <v/>
      </c>
      <c r="T1372" s="84" t="str">
        <f>IF(ISERROR(FIND('112'!$M$9,G1372,1)),"",IF((AND(FIND('112'!$M$9,G1372,1)&gt;=1,B1372='112'!$K$9,OR($N1372='112'!$I$6,$O1372='112'!$I$6))),"x",""))</f>
        <v/>
      </c>
      <c r="U1372" s="84" t="str">
        <f>IF(ISERROR(FIND('112'!$M$9,G1372,1)),"",IF((AND(LEFT(G1372,2)=LEFT('112'!$M$9,2),B1372&lt;'112'!$K$9,$N1372='112'!$I$6)),"x",""))</f>
        <v/>
      </c>
      <c r="V1372" s="84" t="str">
        <f>IF(ISERROR(FIND('112'!$M$9,G1372,1)),"",IF((AND(RIGHT(G1372,2)=RIGHT('112'!$M$9,2),B1372&lt;'112'!$K$9,$O1372='112'!$I$6)),"x",""))</f>
        <v/>
      </c>
      <c r="W1372" s="84" t="str">
        <f>IF(AND('341-CT'!$H$9=H1372,OR(LEFT(N1372,3)=$W$7,LEFT(O1372,3)=$W$7)),"x","")</f>
        <v/>
      </c>
      <c r="X1372" s="84" t="str">
        <f>IF(OR(TH!N1372=TH!$X$7,O1372=TH!$X$7),"x","")</f>
        <v/>
      </c>
      <c r="Y1372" s="84" t="str">
        <f>IF(AND(OR(N1372="131",O1372="131"),H1372='131-CT'!$H$9),"x","")</f>
        <v/>
      </c>
      <c r="Z1372" s="84"/>
      <c r="AA1372" s="84" t="str">
        <f>IF(AND(MONTH(E1372)='IN-NX'!$J$5,'IN-NX'!$D$7=D1372),"x","")</f>
        <v/>
      </c>
      <c r="AB1372" s="84" t="str">
        <f>IF(AND(OR(LEFT(TH!N1372,2)="15",LEFT(TH!O1372,2)="15"),LEFT(TH!O1372,3)&lt;&gt;"111",'152-CT'!$J$8=TH!F1372),"x","")</f>
        <v/>
      </c>
      <c r="AC1372" s="84" t="str">
        <f>IF(AND(OR(LEFT(TH!N1372,2)="15",LEFT(TH!O1372,2)="15"),TK!$E$7=TH!F1372),"x","")</f>
        <v/>
      </c>
      <c r="AD1372" s="84" t="str">
        <f>IF(AND(N1372="1521",MONTH(C1372)='BK-NL'!$M$11),"x","")</f>
        <v/>
      </c>
    </row>
    <row r="1373" spans="1:30" ht="15.75" hidden="1" customHeight="1">
      <c r="A1373" s="336" t="str">
        <f>IF(B1373&lt;&gt;"",IF(AND(B1373='IN-TC'!$S$4,OR(TH!N1373="1111",TH!O1373="1111")),TH!D1373,""),"")</f>
        <v/>
      </c>
      <c r="B1373" s="63">
        <f t="shared" si="197"/>
        <v>5</v>
      </c>
      <c r="C1373" s="318">
        <f t="shared" si="198"/>
        <v>42514</v>
      </c>
      <c r="D1373" s="318" t="s">
        <v>880</v>
      </c>
      <c r="E1373" s="318">
        <v>42514</v>
      </c>
      <c r="F1373" s="73" t="s">
        <v>1015</v>
      </c>
      <c r="G1373" s="986" t="s">
        <v>1543</v>
      </c>
      <c r="H1373" s="320" t="s">
        <v>808</v>
      </c>
      <c r="I1373" s="439"/>
      <c r="J1373" s="439"/>
      <c r="K1373" s="430"/>
      <c r="L1373" s="439"/>
      <c r="M1373" s="65">
        <v>1310382</v>
      </c>
      <c r="N1373" s="321" t="s">
        <v>101</v>
      </c>
      <c r="O1373" s="66" t="s">
        <v>63</v>
      </c>
      <c r="P1373" s="84" t="str">
        <f>IF(AND('331-CT'!$E$7=TH!H1373,OR(N1373="331",O1373="331")),"x","")</f>
        <v/>
      </c>
      <c r="Q1373" s="84" t="str">
        <f>IF(AND(B1373='111'!$L$11,OR($N1373=$Q$7,$O1373=$Q$7)),"x","")</f>
        <v/>
      </c>
      <c r="R1373" s="84" t="str">
        <f>IF(AND($N1373=$Q$7,$B1373&lt;'111'!$L$11),"x","")</f>
        <v/>
      </c>
      <c r="S1373" s="84" t="str">
        <f>IF(AND($O1373=$Q$7,$B1373&lt;'111'!$L$11),"x","")</f>
        <v/>
      </c>
      <c r="T1373" s="84" t="str">
        <f>IF(ISERROR(FIND('112'!$M$9,G1373,1)),"",IF((AND(FIND('112'!$M$9,G1373,1)&gt;=1,B1373='112'!$K$9,OR($N1373='112'!$I$6,$O1373='112'!$I$6))),"x",""))</f>
        <v/>
      </c>
      <c r="U1373" s="84" t="str">
        <f>IF(ISERROR(FIND('112'!$M$9,G1373,1)),"",IF((AND(LEFT(G1373,2)=LEFT('112'!$M$9,2),B1373&lt;'112'!$K$9,$N1373='112'!$I$6)),"x",""))</f>
        <v/>
      </c>
      <c r="V1373" s="84" t="str">
        <f>IF(ISERROR(FIND('112'!$M$9,G1373,1)),"",IF((AND(RIGHT(G1373,2)=RIGHT('112'!$M$9,2),B1373&lt;'112'!$K$9,$O1373='112'!$I$6)),"x",""))</f>
        <v/>
      </c>
      <c r="W1373" s="84" t="str">
        <f>IF(AND('341-CT'!$H$9=H1373,OR(LEFT(N1373,3)=$W$7,LEFT(O1373,3)=$W$7)),"x","")</f>
        <v/>
      </c>
      <c r="X1373" s="84" t="str">
        <f>IF(OR(TH!N1373=TH!$X$7,O1373=TH!$X$7),"x","")</f>
        <v/>
      </c>
      <c r="Y1373" s="84" t="str">
        <f>IF(AND(OR(N1373="131",O1373="131"),H1373='131-CT'!$H$9),"x","")</f>
        <v/>
      </c>
      <c r="Z1373" s="84"/>
      <c r="AA1373" s="84" t="str">
        <f>IF(AND(MONTH(E1373)='IN-NX'!$J$5,'IN-NX'!$D$7=D1373),"x","")</f>
        <v/>
      </c>
      <c r="AB1373" s="84" t="str">
        <f>IF(AND(OR(LEFT(TH!N1373,2)="15",LEFT(TH!O1373,2)="15"),LEFT(TH!O1373,3)&lt;&gt;"111",'152-CT'!$J$8=TH!F1373),"x","")</f>
        <v/>
      </c>
      <c r="AC1373" s="84" t="str">
        <f>IF(AND(OR(LEFT(TH!N1373,2)="15",LEFT(TH!O1373,2)="15"),TK!$E$7=TH!F1373),"x","")</f>
        <v/>
      </c>
      <c r="AD1373" s="84" t="str">
        <f>IF(AND(N1373="1521",MONTH(C1373)='BK-NL'!$M$11),"x","")</f>
        <v/>
      </c>
    </row>
    <row r="1374" spans="1:30" ht="15.75" hidden="1" customHeight="1">
      <c r="A1374" s="336" t="str">
        <f>IF(B1374&lt;&gt;"",IF(AND(B1374='IN-TC'!$S$4,OR(TH!N1374="1111",TH!O1374="1111")),TH!D1374,""),"")</f>
        <v/>
      </c>
      <c r="B1374" s="63">
        <f t="shared" si="197"/>
        <v>5</v>
      </c>
      <c r="C1374" s="318">
        <f t="shared" si="198"/>
        <v>42514</v>
      </c>
      <c r="D1374" s="318" t="s">
        <v>880</v>
      </c>
      <c r="E1374" s="318">
        <v>42514</v>
      </c>
      <c r="F1374" s="73" t="s">
        <v>1016</v>
      </c>
      <c r="G1374" s="986" t="s">
        <v>1543</v>
      </c>
      <c r="H1374" s="320" t="s">
        <v>808</v>
      </c>
      <c r="I1374" s="439"/>
      <c r="J1374" s="439"/>
      <c r="K1374" s="430"/>
      <c r="L1374" s="439"/>
      <c r="M1374" s="65">
        <v>131038</v>
      </c>
      <c r="N1374" s="321" t="s">
        <v>9</v>
      </c>
      <c r="O1374" s="66" t="s">
        <v>63</v>
      </c>
      <c r="P1374" s="84" t="str">
        <f>IF(AND('331-CT'!$E$7=TH!H1374,OR(N1374="331",O1374="331")),"x","")</f>
        <v/>
      </c>
      <c r="Q1374" s="84" t="str">
        <f>IF(AND(B1374='111'!$L$11,OR($N1374=$Q$7,$O1374=$Q$7)),"x","")</f>
        <v/>
      </c>
      <c r="R1374" s="84" t="str">
        <f>IF(AND($N1374=$Q$7,$B1374&lt;'111'!$L$11),"x","")</f>
        <v/>
      </c>
      <c r="S1374" s="84" t="str">
        <f>IF(AND($O1374=$Q$7,$B1374&lt;'111'!$L$11),"x","")</f>
        <v/>
      </c>
      <c r="T1374" s="84" t="str">
        <f>IF(ISERROR(FIND('112'!$M$9,G1374,1)),"",IF((AND(FIND('112'!$M$9,G1374,1)&gt;=1,B1374='112'!$K$9,OR($N1374='112'!$I$6,$O1374='112'!$I$6))),"x",""))</f>
        <v/>
      </c>
      <c r="U1374" s="84" t="str">
        <f>IF(ISERROR(FIND('112'!$M$9,G1374,1)),"",IF((AND(LEFT(G1374,2)=LEFT('112'!$M$9,2),B1374&lt;'112'!$K$9,$N1374='112'!$I$6)),"x",""))</f>
        <v/>
      </c>
      <c r="V1374" s="84" t="str">
        <f>IF(ISERROR(FIND('112'!$M$9,G1374,1)),"",IF((AND(RIGHT(G1374,2)=RIGHT('112'!$M$9,2),B1374&lt;'112'!$K$9,$O1374='112'!$I$6)),"x",""))</f>
        <v/>
      </c>
      <c r="W1374" s="84" t="str">
        <f>IF(AND('341-CT'!$H$9=H1374,OR(LEFT(N1374,3)=$W$7,LEFT(O1374,3)=$W$7)),"x","")</f>
        <v/>
      </c>
      <c r="X1374" s="84" t="str">
        <f>IF(OR(TH!N1374=TH!$X$7,O1374=TH!$X$7),"x","")</f>
        <v/>
      </c>
      <c r="Y1374" s="84" t="str">
        <f>IF(AND(OR(N1374="131",O1374="131"),H1374='131-CT'!$H$9),"x","")</f>
        <v/>
      </c>
      <c r="Z1374" s="84"/>
      <c r="AA1374" s="84" t="str">
        <f>IF(AND(MONTH(E1374)='IN-NX'!$J$5,'IN-NX'!$D$7=D1374),"x","")</f>
        <v/>
      </c>
      <c r="AB1374" s="84" t="str">
        <f>IF(AND(OR(LEFT(TH!N1374,2)="15",LEFT(TH!O1374,2)="15"),LEFT(TH!O1374,3)&lt;&gt;"111",'152-CT'!$J$8=TH!F1374),"x","")</f>
        <v/>
      </c>
      <c r="AC1374" s="84" t="str">
        <f>IF(AND(OR(LEFT(TH!N1374,2)="15",LEFT(TH!O1374,2)="15"),TK!$E$7=TH!F1374),"x","")</f>
        <v/>
      </c>
      <c r="AD1374" s="84" t="str">
        <f>IF(AND(N1374="1521",MONTH(C1374)='BK-NL'!$M$11),"x","")</f>
        <v/>
      </c>
    </row>
    <row r="1375" spans="1:30" ht="15.75" hidden="1" customHeight="1">
      <c r="A1375" s="336" t="str">
        <f>IF(B1375&lt;&gt;"",IF(AND(B1375='IN-TC'!$S$4,OR(TH!N1375="1111",TH!O1375="1111")),TH!D1375,""),"")</f>
        <v/>
      </c>
      <c r="B1375" s="63">
        <f t="shared" si="195"/>
        <v>5</v>
      </c>
      <c r="C1375" s="318">
        <v>42515</v>
      </c>
      <c r="D1375" s="318" t="s">
        <v>881</v>
      </c>
      <c r="E1375" s="318">
        <v>42515</v>
      </c>
      <c r="F1375" s="73" t="s">
        <v>1142</v>
      </c>
      <c r="G1375" s="986" t="s">
        <v>1484</v>
      </c>
      <c r="H1375" s="320" t="s">
        <v>1145</v>
      </c>
      <c r="I1375" s="439"/>
      <c r="J1375" s="439"/>
      <c r="K1375" s="430"/>
      <c r="L1375" s="439"/>
      <c r="M1375" s="65">
        <v>1526660</v>
      </c>
      <c r="N1375" s="321" t="s">
        <v>101</v>
      </c>
      <c r="O1375" s="66" t="s">
        <v>63</v>
      </c>
      <c r="P1375" s="84" t="str">
        <f>IF(AND('331-CT'!$E$7=TH!H1375,OR(N1375="331",O1375="331")),"x","")</f>
        <v/>
      </c>
      <c r="Q1375" s="84" t="str">
        <f>IF(AND(B1375='111'!$L$11,OR($N1375=$Q$7,$O1375=$Q$7)),"x","")</f>
        <v/>
      </c>
      <c r="R1375" s="84" t="str">
        <f>IF(AND($N1375=$Q$7,$B1375&lt;'111'!$L$11),"x","")</f>
        <v/>
      </c>
      <c r="S1375" s="84" t="str">
        <f>IF(AND($O1375=$Q$7,$B1375&lt;'111'!$L$11),"x","")</f>
        <v/>
      </c>
      <c r="T1375" s="84" t="str">
        <f>IF(ISERROR(FIND('112'!$M$9,G1375,1)),"",IF((AND(FIND('112'!$M$9,G1375,1)&gt;=1,B1375='112'!$K$9,OR($N1375='112'!$I$6,$O1375='112'!$I$6))),"x",""))</f>
        <v/>
      </c>
      <c r="U1375" s="84" t="str">
        <f>IF(ISERROR(FIND('112'!$M$9,G1375,1)),"",IF((AND(LEFT(G1375,2)=LEFT('112'!$M$9,2),B1375&lt;'112'!$K$9,$N1375='112'!$I$6)),"x",""))</f>
        <v/>
      </c>
      <c r="V1375" s="84" t="str">
        <f>IF(ISERROR(FIND('112'!$M$9,G1375,1)),"",IF((AND(RIGHT(G1375,2)=RIGHT('112'!$M$9,2),B1375&lt;'112'!$K$9,$O1375='112'!$I$6)),"x",""))</f>
        <v/>
      </c>
      <c r="W1375" s="84" t="str">
        <f>IF(AND('341-CT'!$H$9=H1375,OR(LEFT(N1375,3)=$W$7,LEFT(O1375,3)=$W$7)),"x","")</f>
        <v/>
      </c>
      <c r="X1375" s="84" t="str">
        <f>IF(OR(TH!N1375=TH!$X$7,O1375=TH!$X$7),"x","")</f>
        <v/>
      </c>
      <c r="Y1375" s="84" t="str">
        <f>IF(AND(OR(N1375="131",O1375="131"),H1375='131-CT'!$H$9),"x","")</f>
        <v/>
      </c>
      <c r="Z1375" s="84"/>
      <c r="AA1375" s="84" t="str">
        <f>IF(AND(MONTH(E1375)='IN-NX'!$J$5,'IN-NX'!$D$7=D1375),"x","")</f>
        <v/>
      </c>
      <c r="AB1375" s="84" t="str">
        <f>IF(AND(OR(LEFT(TH!N1375,2)="15",LEFT(TH!O1375,2)="15"),LEFT(TH!O1375,3)&lt;&gt;"111",'152-CT'!$J$8=TH!F1375),"x","")</f>
        <v/>
      </c>
      <c r="AC1375" s="84" t="str">
        <f>IF(AND(OR(LEFT(TH!N1375,2)="15",LEFT(TH!O1375,2)="15"),TK!$E$7=TH!F1375),"x","")</f>
        <v/>
      </c>
      <c r="AD1375" s="84" t="str">
        <f>IF(AND(N1375="1521",MONTH(C1375)='BK-NL'!$M$11),"x","")</f>
        <v/>
      </c>
    </row>
    <row r="1376" spans="1:30" ht="15.75" hidden="1" customHeight="1">
      <c r="A1376" s="336" t="str">
        <f>IF(B1376&lt;&gt;"",IF(AND(B1376='IN-TC'!$S$4,OR(TH!N1376="1111",TH!O1376="1111")),TH!D1376,""),"")</f>
        <v/>
      </c>
      <c r="B1376" s="63">
        <f t="shared" si="195"/>
        <v>5</v>
      </c>
      <c r="C1376" s="318">
        <v>42515</v>
      </c>
      <c r="D1376" s="318" t="s">
        <v>881</v>
      </c>
      <c r="E1376" s="318">
        <v>42515</v>
      </c>
      <c r="F1376" s="73" t="s">
        <v>1143</v>
      </c>
      <c r="G1376" s="986" t="s">
        <v>1484</v>
      </c>
      <c r="H1376" s="320" t="s">
        <v>1145</v>
      </c>
      <c r="I1376" s="439"/>
      <c r="J1376" s="439"/>
      <c r="K1376" s="430"/>
      <c r="L1376" s="439"/>
      <c r="M1376" s="65">
        <v>152666</v>
      </c>
      <c r="N1376" s="321" t="s">
        <v>9</v>
      </c>
      <c r="O1376" s="66" t="s">
        <v>63</v>
      </c>
      <c r="P1376" s="84" t="str">
        <f>IF(AND('331-CT'!$E$7=TH!H1376,OR(N1376="331",O1376="331")),"x","")</f>
        <v/>
      </c>
      <c r="Q1376" s="84" t="str">
        <f>IF(AND(B1376='111'!$L$11,OR($N1376=$Q$7,$O1376=$Q$7)),"x","")</f>
        <v/>
      </c>
      <c r="R1376" s="84" t="str">
        <f>IF(AND($N1376=$Q$7,$B1376&lt;'111'!$L$11),"x","")</f>
        <v/>
      </c>
      <c r="S1376" s="84" t="str">
        <f>IF(AND($O1376=$Q$7,$B1376&lt;'111'!$L$11),"x","")</f>
        <v/>
      </c>
      <c r="T1376" s="84" t="str">
        <f>IF(ISERROR(FIND('112'!$M$9,G1376,1)),"",IF((AND(FIND('112'!$M$9,G1376,1)&gt;=1,B1376='112'!$K$9,OR($N1376='112'!$I$6,$O1376='112'!$I$6))),"x",""))</f>
        <v/>
      </c>
      <c r="U1376" s="84" t="str">
        <f>IF(ISERROR(FIND('112'!$M$9,G1376,1)),"",IF((AND(LEFT(G1376,2)=LEFT('112'!$M$9,2),B1376&lt;'112'!$K$9,$N1376='112'!$I$6)),"x",""))</f>
        <v/>
      </c>
      <c r="V1376" s="84" t="str">
        <f>IF(ISERROR(FIND('112'!$M$9,G1376,1)),"",IF((AND(RIGHT(G1376,2)=RIGHT('112'!$M$9,2),B1376&lt;'112'!$K$9,$O1376='112'!$I$6)),"x",""))</f>
        <v/>
      </c>
      <c r="W1376" s="84" t="str">
        <f>IF(AND('341-CT'!$H$9=H1376,OR(LEFT(N1376,3)=$W$7,LEFT(O1376,3)=$W$7)),"x","")</f>
        <v/>
      </c>
      <c r="X1376" s="84" t="str">
        <f>IF(OR(TH!N1376=TH!$X$7,O1376=TH!$X$7),"x","")</f>
        <v/>
      </c>
      <c r="Y1376" s="84" t="str">
        <f>IF(AND(OR(N1376="131",O1376="131"),H1376='131-CT'!$H$9),"x","")</f>
        <v/>
      </c>
      <c r="Z1376" s="84"/>
      <c r="AA1376" s="84" t="str">
        <f>IF(AND(MONTH(E1376)='IN-NX'!$J$5,'IN-NX'!$D$7=D1376),"x","")</f>
        <v/>
      </c>
      <c r="AB1376" s="84" t="str">
        <f>IF(AND(OR(LEFT(TH!N1376,2)="15",LEFT(TH!O1376,2)="15"),LEFT(TH!O1376,3)&lt;&gt;"111",'152-CT'!$J$8=TH!F1376),"x","")</f>
        <v/>
      </c>
      <c r="AC1376" s="84" t="str">
        <f>IF(AND(OR(LEFT(TH!N1376,2)="15",LEFT(TH!O1376,2)="15"),TK!$E$7=TH!F1376),"x","")</f>
        <v/>
      </c>
      <c r="AD1376" s="84" t="str">
        <f>IF(AND(N1376="1521",MONTH(C1376)='BK-NL'!$M$11),"x","")</f>
        <v/>
      </c>
    </row>
    <row r="1377" spans="1:31" ht="15.75" hidden="1" customHeight="1">
      <c r="A1377" s="336" t="str">
        <f>IF(B1377&lt;&gt;"",IF(AND(B1377='IN-TC'!$S$4,OR(TH!N1377="1111",TH!O1377="1111")),TH!D1377,""),"")</f>
        <v/>
      </c>
      <c r="B1377" s="63">
        <f>IF(C1377&lt;&gt;"",MONTH(C1377),"")</f>
        <v>5</v>
      </c>
      <c r="C1377" s="318">
        <f>E1377</f>
        <v>42516</v>
      </c>
      <c r="D1377" s="318" t="s">
        <v>882</v>
      </c>
      <c r="E1377" s="318">
        <v>42516</v>
      </c>
      <c r="F1377" s="73" t="s">
        <v>1531</v>
      </c>
      <c r="G1377" s="986" t="s">
        <v>1533</v>
      </c>
      <c r="H1377" s="320" t="s">
        <v>1534</v>
      </c>
      <c r="I1377" s="439"/>
      <c r="J1377" s="439"/>
      <c r="K1377" s="430"/>
      <c r="L1377" s="439"/>
      <c r="M1377" s="65">
        <v>462727</v>
      </c>
      <c r="N1377" s="321" t="s">
        <v>101</v>
      </c>
      <c r="O1377" s="66" t="s">
        <v>63</v>
      </c>
      <c r="P1377" s="84" t="str">
        <f>IF(AND('331-CT'!$E$7=TH!H1377,OR(N1377="331",O1377="331")),"x","")</f>
        <v/>
      </c>
      <c r="Q1377" s="84" t="str">
        <f>IF(AND(B1377='111'!$L$11,OR($N1377=$Q$7,$O1377=$Q$7)),"x","")</f>
        <v/>
      </c>
      <c r="R1377" s="84" t="str">
        <f>IF(AND($N1377=$Q$7,$B1377&lt;'111'!$L$11),"x","")</f>
        <v/>
      </c>
      <c r="S1377" s="84" t="str">
        <f>IF(AND($O1377=$Q$7,$B1377&lt;'111'!$L$11),"x","")</f>
        <v/>
      </c>
      <c r="T1377" s="84" t="str">
        <f>IF(ISERROR(FIND('112'!$M$9,G1377,1)),"",IF((AND(FIND('112'!$M$9,G1377,1)&gt;=1,B1377='112'!$K$9,OR($N1377='112'!$I$6,$O1377='112'!$I$6))),"x",""))</f>
        <v/>
      </c>
      <c r="U1377" s="84" t="str">
        <f>IF(ISERROR(FIND('112'!$M$9,G1377,1)),"",IF((AND(LEFT(G1377,2)=LEFT('112'!$M$9,2),B1377&lt;'112'!$K$9,$N1377='112'!$I$6)),"x",""))</f>
        <v/>
      </c>
      <c r="V1377" s="84" t="str">
        <f>IF(ISERROR(FIND('112'!$M$9,G1377,1)),"",IF((AND(RIGHT(G1377,2)=RIGHT('112'!$M$9,2),B1377&lt;'112'!$K$9,$O1377='112'!$I$6)),"x",""))</f>
        <v/>
      </c>
      <c r="W1377" s="84" t="str">
        <f>IF(AND('341-CT'!$H$9=H1377,OR(LEFT(N1377,3)=$W$7,LEFT(O1377,3)=$W$7)),"x","")</f>
        <v/>
      </c>
      <c r="X1377" s="84" t="str">
        <f>IF(OR(TH!N1377=TH!$X$7,O1377=TH!$X$7),"x","")</f>
        <v/>
      </c>
      <c r="Y1377" s="84" t="str">
        <f>IF(AND(OR(N1377="131",O1377="131"),H1377='131-CT'!$H$9),"x","")</f>
        <v/>
      </c>
      <c r="Z1377" s="84"/>
      <c r="AA1377" s="84" t="str">
        <f>IF(AND(MONTH(E1377)='IN-NX'!$J$5,'IN-NX'!$D$7=D1377),"x","")</f>
        <v/>
      </c>
      <c r="AB1377" s="84" t="str">
        <f>IF(AND(OR(LEFT(TH!N1377,2)="15",LEFT(TH!O1377,2)="15"),LEFT(TH!O1377,3)&lt;&gt;"111",'152-CT'!$J$8=TH!F1377),"x","")</f>
        <v/>
      </c>
      <c r="AC1377" s="84" t="str">
        <f>IF(AND(OR(LEFT(TH!N1377,2)="15",LEFT(TH!O1377,2)="15"),TK!$E$7=TH!F1377),"x","")</f>
        <v/>
      </c>
      <c r="AD1377" s="84" t="str">
        <f>IF(AND(N1377="1521",MONTH(C1377)='BK-NL'!$M$11),"x","")</f>
        <v/>
      </c>
    </row>
    <row r="1378" spans="1:31" ht="15.75" hidden="1" customHeight="1">
      <c r="A1378" s="336" t="str">
        <f>IF(B1378&lt;&gt;"",IF(AND(B1378='IN-TC'!$S$4,OR(TH!N1378="1111",TH!O1378="1111")),TH!D1378,""),"")</f>
        <v/>
      </c>
      <c r="B1378" s="63">
        <f>IF(C1378&lt;&gt;"",MONTH(C1378),"")</f>
        <v>5</v>
      </c>
      <c r="C1378" s="318">
        <f>E1378</f>
        <v>42516</v>
      </c>
      <c r="D1378" s="318" t="s">
        <v>882</v>
      </c>
      <c r="E1378" s="318">
        <v>42516</v>
      </c>
      <c r="F1378" s="73" t="s">
        <v>1532</v>
      </c>
      <c r="G1378" s="986" t="s">
        <v>1533</v>
      </c>
      <c r="H1378" s="320" t="s">
        <v>1534</v>
      </c>
      <c r="I1378" s="439"/>
      <c r="J1378" s="439"/>
      <c r="K1378" s="430"/>
      <c r="L1378" s="439"/>
      <c r="M1378" s="65">
        <v>46273</v>
      </c>
      <c r="N1378" s="321" t="s">
        <v>9</v>
      </c>
      <c r="O1378" s="66" t="s">
        <v>63</v>
      </c>
      <c r="P1378" s="84" t="str">
        <f>IF(AND('331-CT'!$E$7=TH!H1378,OR(N1378="331",O1378="331")),"x","")</f>
        <v/>
      </c>
      <c r="Q1378" s="84" t="str">
        <f>IF(AND(B1378='111'!$L$11,OR($N1378=$Q$7,$O1378=$Q$7)),"x","")</f>
        <v/>
      </c>
      <c r="R1378" s="84" t="str">
        <f>IF(AND($N1378=$Q$7,$B1378&lt;'111'!$L$11),"x","")</f>
        <v/>
      </c>
      <c r="S1378" s="84" t="str">
        <f>IF(AND($O1378=$Q$7,$B1378&lt;'111'!$L$11),"x","")</f>
        <v/>
      </c>
      <c r="T1378" s="84" t="str">
        <f>IF(ISERROR(FIND('112'!$M$9,G1378,1)),"",IF((AND(FIND('112'!$M$9,G1378,1)&gt;=1,B1378='112'!$K$9,OR($N1378='112'!$I$6,$O1378='112'!$I$6))),"x",""))</f>
        <v/>
      </c>
      <c r="U1378" s="84" t="str">
        <f>IF(ISERROR(FIND('112'!$M$9,G1378,1)),"",IF((AND(LEFT(G1378,2)=LEFT('112'!$M$9,2),B1378&lt;'112'!$K$9,$N1378='112'!$I$6)),"x",""))</f>
        <v/>
      </c>
      <c r="V1378" s="84" t="str">
        <f>IF(ISERROR(FIND('112'!$M$9,G1378,1)),"",IF((AND(RIGHT(G1378,2)=RIGHT('112'!$M$9,2),B1378&lt;'112'!$K$9,$O1378='112'!$I$6)),"x",""))</f>
        <v/>
      </c>
      <c r="W1378" s="84" t="str">
        <f>IF(AND('341-CT'!$H$9=H1378,OR(LEFT(N1378,3)=$W$7,LEFT(O1378,3)=$W$7)),"x","")</f>
        <v/>
      </c>
      <c r="X1378" s="84" t="str">
        <f>IF(OR(TH!N1378=TH!$X$7,O1378=TH!$X$7),"x","")</f>
        <v/>
      </c>
      <c r="Y1378" s="84" t="str">
        <f>IF(AND(OR(N1378="131",O1378="131"),H1378='131-CT'!$H$9),"x","")</f>
        <v/>
      </c>
      <c r="Z1378" s="84"/>
      <c r="AA1378" s="84" t="str">
        <f>IF(AND(MONTH(E1378)='IN-NX'!$J$5,'IN-NX'!$D$7=D1378),"x","")</f>
        <v/>
      </c>
      <c r="AB1378" s="84" t="str">
        <f>IF(AND(OR(LEFT(TH!N1378,2)="15",LEFT(TH!O1378,2)="15"),LEFT(TH!O1378,3)&lt;&gt;"111",'152-CT'!$J$8=TH!F1378),"x","")</f>
        <v/>
      </c>
      <c r="AC1378" s="84" t="str">
        <f>IF(AND(OR(LEFT(TH!N1378,2)="15",LEFT(TH!O1378,2)="15"),TK!$E$7=TH!F1378),"x","")</f>
        <v/>
      </c>
      <c r="AD1378" s="84" t="str">
        <f>IF(AND(N1378="1521",MONTH(C1378)='BK-NL'!$M$11),"x","")</f>
        <v/>
      </c>
    </row>
    <row r="1379" spans="1:31" ht="15.75" hidden="1" customHeight="1">
      <c r="A1379" s="336" t="str">
        <f>IF(B1379&lt;&gt;"",IF(AND(B1379='IN-TC'!$S$4,OR(TH!N1379="1111",TH!O1379="1111")),TH!D1379,""),"")</f>
        <v/>
      </c>
      <c r="B1379" s="63">
        <f t="shared" si="195"/>
        <v>5</v>
      </c>
      <c r="C1379" s="318">
        <v>42517</v>
      </c>
      <c r="D1379" s="318" t="s">
        <v>883</v>
      </c>
      <c r="E1379" s="318">
        <v>42517</v>
      </c>
      <c r="F1379" s="73" t="s">
        <v>1488</v>
      </c>
      <c r="G1379" s="986" t="s">
        <v>1491</v>
      </c>
      <c r="H1379" s="320" t="s">
        <v>839</v>
      </c>
      <c r="I1379" s="439"/>
      <c r="J1379" s="439"/>
      <c r="K1379" s="430"/>
      <c r="L1379" s="439"/>
      <c r="M1379" s="65">
        <v>16050000</v>
      </c>
      <c r="N1379" s="321" t="s">
        <v>101</v>
      </c>
      <c r="O1379" s="66" t="s">
        <v>63</v>
      </c>
      <c r="P1379" s="84" t="str">
        <f>IF(AND('331-CT'!$E$7=TH!H1379,OR(N1379="331",O1379="331")),"x","")</f>
        <v/>
      </c>
      <c r="Q1379" s="84" t="str">
        <f>IF(AND(B1379='111'!$L$11,OR($N1379=$Q$7,$O1379=$Q$7)),"x","")</f>
        <v/>
      </c>
      <c r="R1379" s="84" t="str">
        <f>IF(AND($N1379=$Q$7,$B1379&lt;'111'!$L$11),"x","")</f>
        <v/>
      </c>
      <c r="S1379" s="84" t="str">
        <f>IF(AND($O1379=$Q$7,$B1379&lt;'111'!$L$11),"x","")</f>
        <v/>
      </c>
      <c r="T1379" s="84" t="str">
        <f>IF(ISERROR(FIND('112'!$M$9,G1379,1)),"",IF((AND(FIND('112'!$M$9,G1379,1)&gt;=1,B1379='112'!$K$9,OR($N1379='112'!$I$6,$O1379='112'!$I$6))),"x",""))</f>
        <v/>
      </c>
      <c r="U1379" s="84" t="str">
        <f>IF(ISERROR(FIND('112'!$M$9,G1379,1)),"",IF((AND(LEFT(G1379,2)=LEFT('112'!$M$9,2),B1379&lt;'112'!$K$9,$N1379='112'!$I$6)),"x",""))</f>
        <v/>
      </c>
      <c r="V1379" s="84" t="str">
        <f>IF(ISERROR(FIND('112'!$M$9,G1379,1)),"",IF((AND(RIGHT(G1379,2)=RIGHT('112'!$M$9,2),B1379&lt;'112'!$K$9,$O1379='112'!$I$6)),"x",""))</f>
        <v/>
      </c>
      <c r="W1379" s="84" t="str">
        <f>IF(AND('341-CT'!$H$9=H1379,OR(LEFT(N1379,3)=$W$7,LEFT(O1379,3)=$W$7)),"x","")</f>
        <v/>
      </c>
      <c r="X1379" s="84" t="str">
        <f>IF(OR(TH!N1379=TH!$X$7,O1379=TH!$X$7),"x","")</f>
        <v/>
      </c>
      <c r="Y1379" s="84" t="str">
        <f>IF(AND(OR(N1379="131",O1379="131"),H1379='131-CT'!$H$9),"x","")</f>
        <v/>
      </c>
      <c r="Z1379" s="84"/>
      <c r="AA1379" s="84" t="str">
        <f>IF(AND(MONTH(E1379)='IN-NX'!$J$5,'IN-NX'!$D$7=D1379),"x","")</f>
        <v/>
      </c>
      <c r="AB1379" s="84" t="str">
        <f>IF(AND(OR(LEFT(TH!N1379,2)="15",LEFT(TH!O1379,2)="15"),LEFT(TH!O1379,3)&lt;&gt;"111",'152-CT'!$J$8=TH!F1379),"x","")</f>
        <v/>
      </c>
      <c r="AC1379" s="84" t="str">
        <f>IF(AND(OR(LEFT(TH!N1379,2)="15",LEFT(TH!O1379,2)="15"),TK!$E$7=TH!F1379),"x","")</f>
        <v/>
      </c>
      <c r="AD1379" s="84" t="str">
        <f>IF(AND(N1379="1521",MONTH(C1379)='BK-NL'!$M$11),"x","")</f>
        <v/>
      </c>
    </row>
    <row r="1380" spans="1:31" ht="15.75" hidden="1" customHeight="1">
      <c r="A1380" s="336" t="str">
        <f>IF(B1380&lt;&gt;"",IF(AND(B1380='IN-TC'!$S$4,OR(TH!N1380="1111",TH!O1380="1111")),TH!D1380,""),"")</f>
        <v/>
      </c>
      <c r="B1380" s="63">
        <f t="shared" si="195"/>
        <v>5</v>
      </c>
      <c r="C1380" s="318">
        <v>42517</v>
      </c>
      <c r="D1380" s="318" t="s">
        <v>883</v>
      </c>
      <c r="E1380" s="318">
        <v>42517</v>
      </c>
      <c r="F1380" s="73" t="s">
        <v>1489</v>
      </c>
      <c r="G1380" s="986" t="s">
        <v>1491</v>
      </c>
      <c r="H1380" s="320" t="s">
        <v>839</v>
      </c>
      <c r="I1380" s="439"/>
      <c r="J1380" s="439"/>
      <c r="K1380" s="430"/>
      <c r="L1380" s="439"/>
      <c r="M1380" s="65">
        <v>1605000</v>
      </c>
      <c r="N1380" s="321" t="s">
        <v>9</v>
      </c>
      <c r="O1380" s="66" t="s">
        <v>63</v>
      </c>
      <c r="P1380" s="84" t="str">
        <f>IF(AND('331-CT'!$E$7=TH!H1380,OR(N1380="331",O1380="331")),"x","")</f>
        <v/>
      </c>
      <c r="Q1380" s="84" t="str">
        <f>IF(AND(B1380='111'!$L$11,OR($N1380=$Q$7,$O1380=$Q$7)),"x","")</f>
        <v/>
      </c>
      <c r="R1380" s="84" t="str">
        <f>IF(AND($N1380=$Q$7,$B1380&lt;'111'!$L$11),"x","")</f>
        <v/>
      </c>
      <c r="S1380" s="84" t="str">
        <f>IF(AND($O1380=$Q$7,$B1380&lt;'111'!$L$11),"x","")</f>
        <v/>
      </c>
      <c r="T1380" s="84" t="str">
        <f>IF(ISERROR(FIND('112'!$M$9,G1380,1)),"",IF((AND(FIND('112'!$M$9,G1380,1)&gt;=1,B1380='112'!$K$9,OR($N1380='112'!$I$6,$O1380='112'!$I$6))),"x",""))</f>
        <v/>
      </c>
      <c r="U1380" s="84" t="str">
        <f>IF(ISERROR(FIND('112'!$M$9,G1380,1)),"",IF((AND(LEFT(G1380,2)=LEFT('112'!$M$9,2),B1380&lt;'112'!$K$9,$N1380='112'!$I$6)),"x",""))</f>
        <v/>
      </c>
      <c r="V1380" s="84" t="str">
        <f>IF(ISERROR(FIND('112'!$M$9,G1380,1)),"",IF((AND(RIGHT(G1380,2)=RIGHT('112'!$M$9,2),B1380&lt;'112'!$K$9,$O1380='112'!$I$6)),"x",""))</f>
        <v/>
      </c>
      <c r="W1380" s="84" t="str">
        <f>IF(AND('341-CT'!$H$9=H1380,OR(LEFT(N1380,3)=$W$7,LEFT(O1380,3)=$W$7)),"x","")</f>
        <v/>
      </c>
      <c r="X1380" s="84" t="str">
        <f>IF(OR(TH!N1380=TH!$X$7,O1380=TH!$X$7),"x","")</f>
        <v/>
      </c>
      <c r="Y1380" s="84" t="str">
        <f>IF(AND(OR(N1380="131",O1380="131"),H1380='131-CT'!$H$9),"x","")</f>
        <v/>
      </c>
      <c r="Z1380" s="84"/>
      <c r="AA1380" s="84" t="str">
        <f>IF(AND(MONTH(E1380)='IN-NX'!$J$5,'IN-NX'!$D$7=D1380),"x","")</f>
        <v/>
      </c>
      <c r="AB1380" s="84" t="str">
        <f>IF(AND(OR(LEFT(TH!N1380,2)="15",LEFT(TH!O1380,2)="15"),LEFT(TH!O1380,3)&lt;&gt;"111",'152-CT'!$J$8=TH!F1380),"x","")</f>
        <v/>
      </c>
      <c r="AC1380" s="84" t="str">
        <f>IF(AND(OR(LEFT(TH!N1380,2)="15",LEFT(TH!O1380,2)="15"),TK!$E$7=TH!F1380),"x","")</f>
        <v/>
      </c>
      <c r="AD1380" s="84" t="str">
        <f>IF(AND(N1380="1521",MONTH(C1380)='BK-NL'!$M$11),"x","")</f>
        <v/>
      </c>
    </row>
    <row r="1381" spans="1:31" ht="15.75" hidden="1" customHeight="1">
      <c r="A1381" s="336" t="str">
        <f>IF(B1381&lt;&gt;"",IF(AND(B1381='IN-TC'!$S$4,OR(TH!N1381="1111",TH!O1381="1111")),TH!D1381,""),"")</f>
        <v/>
      </c>
      <c r="B1381" s="63">
        <f t="shared" si="195"/>
        <v>5</v>
      </c>
      <c r="C1381" s="318">
        <f t="shared" ref="C1381:C1386" si="199">E1381</f>
        <v>42519</v>
      </c>
      <c r="D1381" s="318" t="s">
        <v>884</v>
      </c>
      <c r="E1381" s="318">
        <v>42519</v>
      </c>
      <c r="F1381" s="73" t="s">
        <v>1015</v>
      </c>
      <c r="G1381" s="986" t="s">
        <v>1544</v>
      </c>
      <c r="H1381" s="320" t="s">
        <v>808</v>
      </c>
      <c r="I1381" s="439"/>
      <c r="J1381" s="439"/>
      <c r="K1381" s="430"/>
      <c r="L1381" s="439"/>
      <c r="M1381" s="65">
        <v>1591927</v>
      </c>
      <c r="N1381" s="321" t="s">
        <v>101</v>
      </c>
      <c r="O1381" s="66" t="s">
        <v>63</v>
      </c>
      <c r="P1381" s="84" t="str">
        <f>IF(AND('331-CT'!$E$7=TH!H1381,OR(N1381="331",O1381="331")),"x","")</f>
        <v/>
      </c>
      <c r="Q1381" s="84" t="str">
        <f>IF(AND(B1381='111'!$L$11,OR($N1381=$Q$7,$O1381=$Q$7)),"x","")</f>
        <v/>
      </c>
      <c r="R1381" s="84" t="str">
        <f>IF(AND($N1381=$Q$7,$B1381&lt;'111'!$L$11),"x","")</f>
        <v/>
      </c>
      <c r="S1381" s="84" t="str">
        <f>IF(AND($O1381=$Q$7,$B1381&lt;'111'!$L$11),"x","")</f>
        <v/>
      </c>
      <c r="T1381" s="84" t="str">
        <f>IF(ISERROR(FIND('112'!$M$9,G1381,1)),"",IF((AND(FIND('112'!$M$9,G1381,1)&gt;=1,B1381='112'!$K$9,OR($N1381='112'!$I$6,$O1381='112'!$I$6))),"x",""))</f>
        <v/>
      </c>
      <c r="U1381" s="84" t="str">
        <f>IF(ISERROR(FIND('112'!$M$9,G1381,1)),"",IF((AND(LEFT(G1381,2)=LEFT('112'!$M$9,2),B1381&lt;'112'!$K$9,$N1381='112'!$I$6)),"x",""))</f>
        <v/>
      </c>
      <c r="V1381" s="84" t="str">
        <f>IF(ISERROR(FIND('112'!$M$9,G1381,1)),"",IF((AND(RIGHT(G1381,2)=RIGHT('112'!$M$9,2),B1381&lt;'112'!$K$9,$O1381='112'!$I$6)),"x",""))</f>
        <v/>
      </c>
      <c r="W1381" s="84" t="str">
        <f>IF(AND('341-CT'!$H$9=H1381,OR(LEFT(N1381,3)=$W$7,LEFT(O1381,3)=$W$7)),"x","")</f>
        <v/>
      </c>
      <c r="X1381" s="84" t="str">
        <f>IF(OR(TH!N1381=TH!$X$7,O1381=TH!$X$7),"x","")</f>
        <v/>
      </c>
      <c r="Y1381" s="84" t="str">
        <f>IF(AND(OR(N1381="131",O1381="131"),H1381='131-CT'!$H$9),"x","")</f>
        <v/>
      </c>
      <c r="Z1381" s="84"/>
      <c r="AA1381" s="84" t="str">
        <f>IF(AND(MONTH(E1381)='IN-NX'!$J$5,'IN-NX'!$D$7=D1381),"x","")</f>
        <v/>
      </c>
      <c r="AB1381" s="84" t="str">
        <f>IF(AND(OR(LEFT(TH!N1381,2)="15",LEFT(TH!O1381,2)="15"),LEFT(TH!O1381,3)&lt;&gt;"111",'152-CT'!$J$8=TH!F1381),"x","")</f>
        <v/>
      </c>
      <c r="AC1381" s="84" t="str">
        <f>IF(AND(OR(LEFT(TH!N1381,2)="15",LEFT(TH!O1381,2)="15"),TK!$E$7=TH!F1381),"x","")</f>
        <v/>
      </c>
      <c r="AD1381" s="84" t="str">
        <f>IF(AND(N1381="1521",MONTH(C1381)='BK-NL'!$M$11),"x","")</f>
        <v/>
      </c>
    </row>
    <row r="1382" spans="1:31" ht="15.75" hidden="1" customHeight="1">
      <c r="A1382" s="336" t="str">
        <f>IF(B1382&lt;&gt;"",IF(AND(B1382='IN-TC'!$S$4,OR(TH!N1382="1111",TH!O1382="1111")),TH!D1382,""),"")</f>
        <v/>
      </c>
      <c r="B1382" s="63">
        <f t="shared" si="195"/>
        <v>5</v>
      </c>
      <c r="C1382" s="318">
        <f t="shared" si="199"/>
        <v>42519</v>
      </c>
      <c r="D1382" s="318" t="s">
        <v>884</v>
      </c>
      <c r="E1382" s="318">
        <v>42519</v>
      </c>
      <c r="F1382" s="73" t="s">
        <v>1016</v>
      </c>
      <c r="G1382" s="986" t="s">
        <v>1544</v>
      </c>
      <c r="H1382" s="320" t="s">
        <v>808</v>
      </c>
      <c r="I1382" s="439"/>
      <c r="J1382" s="439"/>
      <c r="K1382" s="430"/>
      <c r="L1382" s="439"/>
      <c r="M1382" s="65">
        <v>159193</v>
      </c>
      <c r="N1382" s="321" t="s">
        <v>9</v>
      </c>
      <c r="O1382" s="66" t="s">
        <v>63</v>
      </c>
      <c r="P1382" s="84" t="str">
        <f>IF(AND('331-CT'!$E$7=TH!H1382,OR(N1382="331",O1382="331")),"x","")</f>
        <v/>
      </c>
      <c r="Q1382" s="84" t="str">
        <f>IF(AND(B1382='111'!$L$11,OR($N1382=$Q$7,$O1382=$Q$7)),"x","")</f>
        <v/>
      </c>
      <c r="R1382" s="84" t="str">
        <f>IF(AND($N1382=$Q$7,$B1382&lt;'111'!$L$11),"x","")</f>
        <v/>
      </c>
      <c r="S1382" s="84" t="str">
        <f>IF(AND($O1382=$Q$7,$B1382&lt;'111'!$L$11),"x","")</f>
        <v/>
      </c>
      <c r="T1382" s="84" t="str">
        <f>IF(ISERROR(FIND('112'!$M$9,G1382,1)),"",IF((AND(FIND('112'!$M$9,G1382,1)&gt;=1,B1382='112'!$K$9,OR($N1382='112'!$I$6,$O1382='112'!$I$6))),"x",""))</f>
        <v/>
      </c>
      <c r="U1382" s="84" t="str">
        <f>IF(ISERROR(FIND('112'!$M$9,G1382,1)),"",IF((AND(LEFT(G1382,2)=LEFT('112'!$M$9,2),B1382&lt;'112'!$K$9,$N1382='112'!$I$6)),"x",""))</f>
        <v/>
      </c>
      <c r="V1382" s="84" t="str">
        <f>IF(ISERROR(FIND('112'!$M$9,G1382,1)),"",IF((AND(RIGHT(G1382,2)=RIGHT('112'!$M$9,2),B1382&lt;'112'!$K$9,$O1382='112'!$I$6)),"x",""))</f>
        <v/>
      </c>
      <c r="W1382" s="84" t="str">
        <f>IF(AND('341-CT'!$H$9=H1382,OR(LEFT(N1382,3)=$W$7,LEFT(O1382,3)=$W$7)),"x","")</f>
        <v/>
      </c>
      <c r="X1382" s="84" t="str">
        <f>IF(OR(TH!N1382=TH!$X$7,O1382=TH!$X$7),"x","")</f>
        <v/>
      </c>
      <c r="Y1382" s="84" t="str">
        <f>IF(AND(OR(N1382="131",O1382="131"),H1382='131-CT'!$H$9),"x","")</f>
        <v/>
      </c>
      <c r="Z1382" s="84"/>
      <c r="AA1382" s="84" t="str">
        <f>IF(AND(MONTH(E1382)='IN-NX'!$J$5,'IN-NX'!$D$7=D1382),"x","")</f>
        <v/>
      </c>
      <c r="AB1382" s="84" t="str">
        <f>IF(AND(OR(LEFT(TH!N1382,2)="15",LEFT(TH!O1382,2)="15"),LEFT(TH!O1382,3)&lt;&gt;"111",'152-CT'!$J$8=TH!F1382),"x","")</f>
        <v/>
      </c>
      <c r="AC1382" s="84" t="str">
        <f>IF(AND(OR(LEFT(TH!N1382,2)="15",LEFT(TH!O1382,2)="15"),TK!$E$7=TH!F1382),"x","")</f>
        <v/>
      </c>
      <c r="AD1382" s="84" t="str">
        <f>IF(AND(N1382="1521",MONTH(C1382)='BK-NL'!$M$11),"x","")</f>
        <v/>
      </c>
    </row>
    <row r="1383" spans="1:31" ht="15.75" hidden="1" customHeight="1">
      <c r="A1383" s="336" t="str">
        <f>IF(B1383&lt;&gt;"",IF(AND(B1383='IN-TC'!$S$4,OR(TH!N1383="1111",TH!O1383="1111")),TH!D1383,""),"")</f>
        <v/>
      </c>
      <c r="B1383" s="63">
        <f t="shared" si="195"/>
        <v>5</v>
      </c>
      <c r="C1383" s="318">
        <f t="shared" si="199"/>
        <v>42520</v>
      </c>
      <c r="D1383" s="318" t="s">
        <v>885</v>
      </c>
      <c r="E1383" s="318">
        <v>42520</v>
      </c>
      <c r="F1383" s="73" t="s">
        <v>638</v>
      </c>
      <c r="G1383" s="986" t="s">
        <v>1537</v>
      </c>
      <c r="H1383" s="319" t="s">
        <v>1535</v>
      </c>
      <c r="I1383" s="439"/>
      <c r="J1383" s="439"/>
      <c r="K1383" s="430"/>
      <c r="L1383" s="439"/>
      <c r="M1383" s="65">
        <v>5040000</v>
      </c>
      <c r="N1383" s="321" t="s">
        <v>101</v>
      </c>
      <c r="O1383" s="66" t="s">
        <v>63</v>
      </c>
      <c r="P1383" s="84" t="str">
        <f>IF(AND('331-CT'!$E$7=TH!H1383,OR(N1383="331",O1383="331")),"x","")</f>
        <v/>
      </c>
      <c r="Q1383" s="84" t="str">
        <f>IF(AND(B1383='111'!$L$11,OR($N1383=$Q$7,$O1383=$Q$7)),"x","")</f>
        <v/>
      </c>
      <c r="R1383" s="84" t="str">
        <f>IF(AND($N1383=$Q$7,$B1383&lt;'111'!$L$11),"x","")</f>
        <v/>
      </c>
      <c r="S1383" s="84" t="str">
        <f>IF(AND($O1383=$Q$7,$B1383&lt;'111'!$L$11),"x","")</f>
        <v/>
      </c>
      <c r="T1383" s="84" t="str">
        <f>IF(ISERROR(FIND('112'!$M$9,G1383,1)),"",IF((AND(FIND('112'!$M$9,G1383,1)&gt;=1,B1383='112'!$K$9,OR($N1383='112'!$I$6,$O1383='112'!$I$6))),"x",""))</f>
        <v/>
      </c>
      <c r="U1383" s="84" t="str">
        <f>IF(ISERROR(FIND('112'!$M$9,G1383,1)),"",IF((AND(LEFT(G1383,2)=LEFT('112'!$M$9,2),B1383&lt;'112'!$K$9,$N1383='112'!$I$6)),"x",""))</f>
        <v/>
      </c>
      <c r="V1383" s="84" t="str">
        <f>IF(ISERROR(FIND('112'!$M$9,G1383,1)),"",IF((AND(RIGHT(G1383,2)=RIGHT('112'!$M$9,2),B1383&lt;'112'!$K$9,$O1383='112'!$I$6)),"x",""))</f>
        <v/>
      </c>
      <c r="W1383" s="84" t="str">
        <f>IF(AND('341-CT'!$H$9=H1383,OR(LEFT(N1383,3)=$W$7,LEFT(O1383,3)=$W$7)),"x","")</f>
        <v/>
      </c>
      <c r="X1383" s="84" t="str">
        <f>IF(OR(TH!N1383=TH!$X$7,O1383=TH!$X$7),"x","")</f>
        <v/>
      </c>
      <c r="Y1383" s="84" t="str">
        <f>IF(AND(OR(N1383="131",O1383="131"),H1383='131-CT'!$H$9),"x","")</f>
        <v/>
      </c>
      <c r="Z1383" s="84"/>
      <c r="AA1383" s="84" t="str">
        <f>IF(AND(MONTH(E1383)='IN-NX'!$J$5,'IN-NX'!$D$7=D1383),"x","")</f>
        <v/>
      </c>
      <c r="AB1383" s="84" t="str">
        <f>IF(AND(OR(LEFT(TH!N1383,2)="15",LEFT(TH!O1383,2)="15"),LEFT(TH!O1383,3)&lt;&gt;"111",'152-CT'!$J$8=TH!F1383),"x","")</f>
        <v/>
      </c>
      <c r="AC1383" s="84" t="str">
        <f>IF(AND(OR(LEFT(TH!N1383,2)="15",LEFT(TH!O1383,2)="15"),TK!$E$7=TH!F1383),"x","")</f>
        <v/>
      </c>
      <c r="AD1383" s="84" t="str">
        <f>IF(AND(N1383="1521",MONTH(C1383)='BK-NL'!$M$11),"x","")</f>
        <v/>
      </c>
    </row>
    <row r="1384" spans="1:31" ht="15.75" hidden="1" customHeight="1">
      <c r="A1384" s="336" t="str">
        <f>IF(B1384&lt;&gt;"",IF(AND(B1384='IN-TC'!$S$4,OR(TH!N1384="1111",TH!O1384="1111")),TH!D1384,""),"")</f>
        <v/>
      </c>
      <c r="B1384" s="63">
        <f t="shared" si="195"/>
        <v>5</v>
      </c>
      <c r="C1384" s="318">
        <f t="shared" si="199"/>
        <v>42520</v>
      </c>
      <c r="D1384" s="318" t="s">
        <v>885</v>
      </c>
      <c r="E1384" s="318">
        <v>42520</v>
      </c>
      <c r="F1384" s="73" t="s">
        <v>1536</v>
      </c>
      <c r="G1384" s="986" t="s">
        <v>1537</v>
      </c>
      <c r="H1384" s="319" t="s">
        <v>1535</v>
      </c>
      <c r="I1384" s="437"/>
      <c r="J1384" s="437"/>
      <c r="K1384" s="428"/>
      <c r="L1384" s="437"/>
      <c r="M1384" s="65">
        <v>252000</v>
      </c>
      <c r="N1384" s="321" t="s">
        <v>9</v>
      </c>
      <c r="O1384" s="66" t="s">
        <v>63</v>
      </c>
      <c r="P1384" s="84" t="str">
        <f>IF(AND('331-CT'!$E$7=TH!H1384,OR(N1384="331",O1384="331")),"x","")</f>
        <v/>
      </c>
      <c r="Q1384" s="84" t="str">
        <f>IF(AND(B1384='111'!$L$11,OR($N1384=$Q$7,$O1384=$Q$7)),"x","")</f>
        <v/>
      </c>
      <c r="R1384" s="84" t="str">
        <f>IF(AND($N1384=$Q$7,$B1384&lt;'111'!$L$11),"x","")</f>
        <v/>
      </c>
      <c r="S1384" s="84" t="str">
        <f>IF(AND($O1384=$Q$7,$B1384&lt;'111'!$L$11),"x","")</f>
        <v/>
      </c>
      <c r="T1384" s="84" t="str">
        <f>IF(ISERROR(FIND('112'!$M$9,G1384,1)),"",IF((AND(FIND('112'!$M$9,G1384,1)&gt;=1,B1384='112'!$K$9,OR($N1384='112'!$I$6,$O1384='112'!$I$6))),"x",""))</f>
        <v/>
      </c>
      <c r="U1384" s="84" t="str">
        <f>IF(ISERROR(FIND('112'!$M$9,G1384,1)),"",IF((AND(LEFT(G1384,2)=LEFT('112'!$M$9,2),B1384&lt;'112'!$K$9,$N1384='112'!$I$6)),"x",""))</f>
        <v/>
      </c>
      <c r="V1384" s="84" t="str">
        <f>IF(ISERROR(FIND('112'!$M$9,G1384,1)),"",IF((AND(RIGHT(G1384,2)=RIGHT('112'!$M$9,2),B1384&lt;'112'!$K$9,$O1384='112'!$I$6)),"x",""))</f>
        <v/>
      </c>
      <c r="W1384" s="84" t="str">
        <f>IF(AND('341-CT'!$H$9=H1384,OR(LEFT(N1384,3)=$W$7,LEFT(O1384,3)=$W$7)),"x","")</f>
        <v/>
      </c>
      <c r="X1384" s="84" t="str">
        <f>IF(OR(TH!N1384=TH!$X$7,O1384=TH!$X$7),"x","")</f>
        <v/>
      </c>
      <c r="Y1384" s="84" t="str">
        <f>IF(AND(OR(N1384="131",O1384="131"),H1384='131-CT'!$H$9),"x","")</f>
        <v/>
      </c>
      <c r="Z1384" s="84"/>
      <c r="AA1384" s="84" t="str">
        <f>IF(AND(MONTH(E1384)='IN-NX'!$J$5,'IN-NX'!$D$7=D1384),"x","")</f>
        <v/>
      </c>
      <c r="AB1384" s="84" t="str">
        <f>IF(AND(OR(LEFT(TH!N1384,2)="15",LEFT(TH!O1384,2)="15"),LEFT(TH!O1384,3)&lt;&gt;"111",'152-CT'!$J$8=TH!F1384),"x","")</f>
        <v/>
      </c>
      <c r="AC1384" s="84" t="str">
        <f>IF(AND(OR(LEFT(TH!N1384,2)="15",LEFT(TH!O1384,2)="15"),TK!$E$7=TH!F1384),"x","")</f>
        <v/>
      </c>
      <c r="AD1384" s="84" t="str">
        <f>IF(AND(N1384="1521",MONTH(C1384)='BK-NL'!$M$11),"x","")</f>
        <v/>
      </c>
    </row>
    <row r="1385" spans="1:31" ht="15.75" hidden="1" customHeight="1">
      <c r="A1385" s="336" t="str">
        <f>IF(B1385&lt;&gt;"",IF(AND(B1385='IN-TC'!$S$4,OR(TH!N1385="1111",TH!O1385="1111")),TH!D1385,""),"")</f>
        <v/>
      </c>
      <c r="B1385" s="63">
        <f>IF(C1385&lt;&gt;"",MONTH(C1385),"")</f>
        <v>5</v>
      </c>
      <c r="C1385" s="318">
        <f t="shared" si="199"/>
        <v>42521</v>
      </c>
      <c r="D1385" s="318" t="s">
        <v>887</v>
      </c>
      <c r="E1385" s="318">
        <v>42521</v>
      </c>
      <c r="F1385" s="73" t="s">
        <v>1015</v>
      </c>
      <c r="G1385" s="986" t="s">
        <v>1545</v>
      </c>
      <c r="H1385" s="320" t="s">
        <v>808</v>
      </c>
      <c r="I1385" s="439"/>
      <c r="J1385" s="439"/>
      <c r="K1385" s="430"/>
      <c r="L1385" s="439"/>
      <c r="M1385" s="65">
        <v>503364</v>
      </c>
      <c r="N1385" s="321" t="s">
        <v>101</v>
      </c>
      <c r="O1385" s="66" t="s">
        <v>63</v>
      </c>
      <c r="P1385" s="84" t="str">
        <f>IF(AND('331-CT'!$E$7=TH!H1385,OR(N1385="331",O1385="331")),"x","")</f>
        <v/>
      </c>
      <c r="Q1385" s="84" t="str">
        <f>IF(AND(B1385='111'!$L$11,OR($N1385=$Q$7,$O1385=$Q$7)),"x","")</f>
        <v/>
      </c>
      <c r="R1385" s="84" t="str">
        <f>IF(AND($N1385=$Q$7,$B1385&lt;'111'!$L$11),"x","")</f>
        <v/>
      </c>
      <c r="S1385" s="84" t="str">
        <f>IF(AND($O1385=$Q$7,$B1385&lt;'111'!$L$11),"x","")</f>
        <v/>
      </c>
      <c r="T1385" s="84" t="str">
        <f>IF(ISERROR(FIND('112'!$M$9,G1385,1)),"",IF((AND(FIND('112'!$M$9,G1385,1)&gt;=1,B1385='112'!$K$9,OR($N1385='112'!$I$6,$O1385='112'!$I$6))),"x",""))</f>
        <v/>
      </c>
      <c r="U1385" s="84" t="str">
        <f>IF(ISERROR(FIND('112'!$M$9,G1385,1)),"",IF((AND(LEFT(G1385,2)=LEFT('112'!$M$9,2),B1385&lt;'112'!$K$9,$N1385='112'!$I$6)),"x",""))</f>
        <v/>
      </c>
      <c r="V1385" s="84" t="str">
        <f>IF(ISERROR(FIND('112'!$M$9,G1385,1)),"",IF((AND(RIGHT(G1385,2)=RIGHT('112'!$M$9,2),B1385&lt;'112'!$K$9,$O1385='112'!$I$6)),"x",""))</f>
        <v/>
      </c>
      <c r="W1385" s="84" t="str">
        <f>IF(AND('341-CT'!$H$9=H1385,OR(LEFT(N1385,3)=$W$7,LEFT(O1385,3)=$W$7)),"x","")</f>
        <v/>
      </c>
      <c r="X1385" s="84" t="str">
        <f>IF(OR(TH!N1385=TH!$X$7,O1385=TH!$X$7),"x","")</f>
        <v/>
      </c>
      <c r="Y1385" s="84" t="str">
        <f>IF(AND(OR(N1385="131",O1385="131"),H1385='131-CT'!$H$9),"x","")</f>
        <v/>
      </c>
      <c r="Z1385" s="84"/>
      <c r="AA1385" s="84" t="str">
        <f>IF(AND(MONTH(E1385)='IN-NX'!$J$5,'IN-NX'!$D$7=D1385),"x","")</f>
        <v/>
      </c>
      <c r="AB1385" s="84" t="str">
        <f>IF(AND(OR(LEFT(TH!N1385,2)="15",LEFT(TH!O1385,2)="15"),LEFT(TH!O1385,3)&lt;&gt;"111",'152-CT'!$J$8=TH!F1385),"x","")</f>
        <v/>
      </c>
      <c r="AC1385" s="84" t="str">
        <f>IF(AND(OR(LEFT(TH!N1385,2)="15",LEFT(TH!O1385,2)="15"),TK!$E$7=TH!F1385),"x","")</f>
        <v/>
      </c>
      <c r="AD1385" s="84" t="str">
        <f>IF(AND(N1385="1521",MONTH(C1385)='BK-NL'!$M$11),"x","")</f>
        <v/>
      </c>
    </row>
    <row r="1386" spans="1:31" ht="15.75" hidden="1" customHeight="1">
      <c r="A1386" s="336" t="str">
        <f>IF(B1386&lt;&gt;"",IF(AND(B1386='IN-TC'!$S$4,OR(TH!N1386="1111",TH!O1386="1111")),TH!D1386,""),"")</f>
        <v/>
      </c>
      <c r="B1386" s="63">
        <f>IF(C1386&lt;&gt;"",MONTH(C1386),"")</f>
        <v>5</v>
      </c>
      <c r="C1386" s="318">
        <f t="shared" si="199"/>
        <v>42521</v>
      </c>
      <c r="D1386" s="318" t="s">
        <v>887</v>
      </c>
      <c r="E1386" s="318">
        <v>42521</v>
      </c>
      <c r="F1386" s="73" t="s">
        <v>1016</v>
      </c>
      <c r="G1386" s="986" t="s">
        <v>1545</v>
      </c>
      <c r="H1386" s="320" t="s">
        <v>808</v>
      </c>
      <c r="I1386" s="439"/>
      <c r="J1386" s="439"/>
      <c r="K1386" s="430"/>
      <c r="L1386" s="439"/>
      <c r="M1386" s="65">
        <v>50336</v>
      </c>
      <c r="N1386" s="321" t="s">
        <v>9</v>
      </c>
      <c r="O1386" s="66" t="s">
        <v>63</v>
      </c>
      <c r="P1386" s="84" t="str">
        <f>IF(AND('331-CT'!$E$7=TH!H1386,OR(N1386="331",O1386="331")),"x","")</f>
        <v/>
      </c>
      <c r="Q1386" s="84" t="str">
        <f>IF(AND(B1386='111'!$L$11,OR($N1386=$Q$7,$O1386=$Q$7)),"x","")</f>
        <v/>
      </c>
      <c r="R1386" s="84" t="str">
        <f>IF(AND($N1386=$Q$7,$B1386&lt;'111'!$L$11),"x","")</f>
        <v/>
      </c>
      <c r="S1386" s="84" t="str">
        <f>IF(AND($O1386=$Q$7,$B1386&lt;'111'!$L$11),"x","")</f>
        <v/>
      </c>
      <c r="T1386" s="84" t="str">
        <f>IF(ISERROR(FIND('112'!$M$9,G1386,1)),"",IF((AND(FIND('112'!$M$9,G1386,1)&gt;=1,B1386='112'!$K$9,OR($N1386='112'!$I$6,$O1386='112'!$I$6))),"x",""))</f>
        <v/>
      </c>
      <c r="U1386" s="84" t="str">
        <f>IF(ISERROR(FIND('112'!$M$9,G1386,1)),"",IF((AND(LEFT(G1386,2)=LEFT('112'!$M$9,2),B1386&lt;'112'!$K$9,$N1386='112'!$I$6)),"x",""))</f>
        <v/>
      </c>
      <c r="V1386" s="84" t="str">
        <f>IF(ISERROR(FIND('112'!$M$9,G1386,1)),"",IF((AND(RIGHT(G1386,2)=RIGHT('112'!$M$9,2),B1386&lt;'112'!$K$9,$O1386='112'!$I$6)),"x",""))</f>
        <v/>
      </c>
      <c r="W1386" s="84" t="str">
        <f>IF(AND('341-CT'!$H$9=H1386,OR(LEFT(N1386,3)=$W$7,LEFT(O1386,3)=$W$7)),"x","")</f>
        <v/>
      </c>
      <c r="X1386" s="84" t="str">
        <f>IF(OR(TH!N1386=TH!$X$7,O1386=TH!$X$7),"x","")</f>
        <v/>
      </c>
      <c r="Y1386" s="84" t="str">
        <f>IF(AND(OR(N1386="131",O1386="131"),H1386='131-CT'!$H$9),"x","")</f>
        <v/>
      </c>
      <c r="Z1386" s="84"/>
      <c r="AA1386" s="84" t="str">
        <f>IF(AND(MONTH(E1386)='IN-NX'!$J$5,'IN-NX'!$D$7=D1386),"x","")</f>
        <v/>
      </c>
      <c r="AB1386" s="84" t="str">
        <f>IF(AND(OR(LEFT(TH!N1386,2)="15",LEFT(TH!O1386,2)="15"),LEFT(TH!O1386,3)&lt;&gt;"111",'152-CT'!$J$8=TH!F1386),"x","")</f>
        <v/>
      </c>
      <c r="AC1386" s="84" t="str">
        <f>IF(AND(OR(LEFT(TH!N1386,2)="15",LEFT(TH!O1386,2)="15"),TK!$E$7=TH!F1386),"x","")</f>
        <v/>
      </c>
      <c r="AD1386" s="84" t="str">
        <f>IF(AND(N1386="1521",MONTH(C1386)='BK-NL'!$M$11),"x","")</f>
        <v/>
      </c>
    </row>
    <row r="1387" spans="1:31" ht="15.75" hidden="1" customHeight="1">
      <c r="A1387" s="336" t="str">
        <f>IF(B1387&lt;&gt;"",IF(AND(B1387='IN-TC'!$S$4,OR(TH!N1387="1111",TH!O1387="1111")),TH!D1387,""),"")</f>
        <v/>
      </c>
      <c r="B1387" s="63">
        <f t="shared" si="195"/>
        <v>5</v>
      </c>
      <c r="C1387" s="318">
        <v>42521</v>
      </c>
      <c r="D1387" s="318" t="s">
        <v>888</v>
      </c>
      <c r="E1387" s="318">
        <v>42521</v>
      </c>
      <c r="F1387" s="73" t="s">
        <v>1541</v>
      </c>
      <c r="G1387" s="986" t="s">
        <v>1540</v>
      </c>
      <c r="H1387" s="320" t="s">
        <v>1527</v>
      </c>
      <c r="I1387" s="439"/>
      <c r="J1387" s="439"/>
      <c r="K1387" s="430"/>
      <c r="L1387" s="439"/>
      <c r="M1387" s="65">
        <v>3000000</v>
      </c>
      <c r="N1387" s="321" t="s">
        <v>101</v>
      </c>
      <c r="O1387" s="66" t="s">
        <v>63</v>
      </c>
      <c r="P1387" s="84" t="str">
        <f>IF(AND('331-CT'!$E$7=TH!H1387,OR(N1387="331",O1387="331")),"x","")</f>
        <v/>
      </c>
      <c r="Q1387" s="84" t="str">
        <f>IF(AND(B1387='111'!$L$11,OR($N1387=$Q$7,$O1387=$Q$7)),"x","")</f>
        <v/>
      </c>
      <c r="R1387" s="84" t="str">
        <f>IF(AND($N1387=$Q$7,$B1387&lt;'111'!$L$11),"x","")</f>
        <v/>
      </c>
      <c r="S1387" s="84" t="str">
        <f>IF(AND($O1387=$Q$7,$B1387&lt;'111'!$L$11),"x","")</f>
        <v/>
      </c>
      <c r="T1387" s="84" t="str">
        <f>IF(ISERROR(FIND('112'!$M$9,G1387,1)),"",IF((AND(FIND('112'!$M$9,G1387,1)&gt;=1,B1387='112'!$K$9,OR($N1387='112'!$I$6,$O1387='112'!$I$6))),"x",""))</f>
        <v/>
      </c>
      <c r="U1387" s="84" t="str">
        <f>IF(ISERROR(FIND('112'!$M$9,G1387,1)),"",IF((AND(LEFT(G1387,2)=LEFT('112'!$M$9,2),B1387&lt;'112'!$K$9,$N1387='112'!$I$6)),"x",""))</f>
        <v/>
      </c>
      <c r="V1387" s="84" t="str">
        <f>IF(ISERROR(FIND('112'!$M$9,G1387,1)),"",IF((AND(RIGHT(G1387,2)=RIGHT('112'!$M$9,2),B1387&lt;'112'!$K$9,$O1387='112'!$I$6)),"x",""))</f>
        <v/>
      </c>
      <c r="W1387" s="84" t="str">
        <f>IF(AND('341-CT'!$H$9=H1387,OR(LEFT(N1387,3)=$W$7,LEFT(O1387,3)=$W$7)),"x","")</f>
        <v/>
      </c>
      <c r="X1387" s="84" t="str">
        <f>IF(OR(TH!N1387=TH!$X$7,O1387=TH!$X$7),"x","")</f>
        <v/>
      </c>
      <c r="Y1387" s="84" t="str">
        <f>IF(AND(OR(N1387="131",O1387="131"),H1387='131-CT'!$H$9),"x","")</f>
        <v/>
      </c>
      <c r="Z1387" s="84"/>
      <c r="AA1387" s="84" t="str">
        <f>IF(AND(MONTH(E1387)='IN-NX'!$J$5,'IN-NX'!$D$7=D1387),"x","")</f>
        <v/>
      </c>
      <c r="AB1387" s="84" t="str">
        <f>IF(AND(OR(LEFT(TH!N1387,2)="15",LEFT(TH!O1387,2)="15"),LEFT(TH!O1387,3)&lt;&gt;"111",'152-CT'!$J$8=TH!F1387),"x","")</f>
        <v/>
      </c>
      <c r="AC1387" s="84" t="str">
        <f>IF(AND(OR(LEFT(TH!N1387,2)="15",LEFT(TH!O1387,2)="15"),TK!$E$7=TH!F1387),"x","")</f>
        <v/>
      </c>
      <c r="AD1387" s="84" t="str">
        <f>IF(AND(N1387="1521",MONTH(C1387)='BK-NL'!$M$11),"x","")</f>
        <v/>
      </c>
    </row>
    <row r="1388" spans="1:31" ht="15.75" hidden="1" customHeight="1">
      <c r="A1388" s="336" t="str">
        <f>IF(B1388&lt;&gt;"",IF(AND(B1388='IN-TC'!$S$4,OR(TH!N1388="1111",TH!O1388="1111")),TH!D1388,""),"")</f>
        <v/>
      </c>
      <c r="B1388" s="63">
        <f>IF(C1388&lt;&gt;"",MONTH(C1388),"")</f>
        <v>5</v>
      </c>
      <c r="C1388" s="318">
        <v>42521</v>
      </c>
      <c r="D1388" s="318" t="s">
        <v>889</v>
      </c>
      <c r="E1388" s="318">
        <v>42521</v>
      </c>
      <c r="F1388" s="73" t="s">
        <v>1528</v>
      </c>
      <c r="G1388" s="986" t="s">
        <v>1530</v>
      </c>
      <c r="H1388" s="320" t="s">
        <v>1527</v>
      </c>
      <c r="I1388" s="439"/>
      <c r="J1388" s="439"/>
      <c r="K1388" s="430"/>
      <c r="L1388" s="439"/>
      <c r="M1388" s="65">
        <v>2000000</v>
      </c>
      <c r="N1388" s="321" t="s">
        <v>101</v>
      </c>
      <c r="O1388" s="66" t="s">
        <v>63</v>
      </c>
      <c r="P1388" s="84" t="str">
        <f>IF(AND('331-CT'!$E$7=TH!H1388,OR(N1388="331",O1388="331")),"x","")</f>
        <v/>
      </c>
      <c r="Q1388" s="84" t="str">
        <f>IF(AND(B1388='111'!$L$11,OR($N1388=$Q$7,$O1388=$Q$7)),"x","")</f>
        <v/>
      </c>
      <c r="R1388" s="84" t="str">
        <f>IF(AND($N1388=$Q$7,$B1388&lt;'111'!$L$11),"x","")</f>
        <v/>
      </c>
      <c r="S1388" s="84" t="str">
        <f>IF(AND($O1388=$Q$7,$B1388&lt;'111'!$L$11),"x","")</f>
        <v/>
      </c>
      <c r="T1388" s="84" t="str">
        <f>IF(ISERROR(FIND('112'!$M$9,G1388,1)),"",IF((AND(FIND('112'!$M$9,G1388,1)&gt;=1,B1388='112'!$K$9,OR($N1388='112'!$I$6,$O1388='112'!$I$6))),"x",""))</f>
        <v/>
      </c>
      <c r="U1388" s="84" t="str">
        <f>IF(ISERROR(FIND('112'!$M$9,G1388,1)),"",IF((AND(LEFT(G1388,2)=LEFT('112'!$M$9,2),B1388&lt;'112'!$K$9,$N1388='112'!$I$6)),"x",""))</f>
        <v/>
      </c>
      <c r="V1388" s="84" t="str">
        <f>IF(ISERROR(FIND('112'!$M$9,G1388,1)),"",IF((AND(RIGHT(G1388,2)=RIGHT('112'!$M$9,2),B1388&lt;'112'!$K$9,$O1388='112'!$I$6)),"x",""))</f>
        <v/>
      </c>
      <c r="W1388" s="84" t="str">
        <f>IF(AND('341-CT'!$H$9=H1388,OR(LEFT(N1388,3)=$W$7,LEFT(O1388,3)=$W$7)),"x","")</f>
        <v/>
      </c>
      <c r="X1388" s="84" t="str">
        <f>IF(OR(TH!N1388=TH!$X$7,O1388=TH!$X$7),"x","")</f>
        <v/>
      </c>
      <c r="Y1388" s="84" t="str">
        <f>IF(AND(OR(N1388="131",O1388="131"),H1388='131-CT'!$H$9),"x","")</f>
        <v/>
      </c>
      <c r="Z1388" s="84"/>
      <c r="AA1388" s="84" t="str">
        <f>IF(AND(MONTH(E1388)='IN-NX'!$J$5,'IN-NX'!$D$7=D1388),"x","")</f>
        <v/>
      </c>
      <c r="AB1388" s="84" t="str">
        <f>IF(AND(OR(LEFT(TH!N1388,2)="15",LEFT(TH!O1388,2)="15"),LEFT(TH!O1388,3)&lt;&gt;"111",'152-CT'!$J$8=TH!F1388),"x","")</f>
        <v/>
      </c>
      <c r="AC1388" s="84" t="str">
        <f>IF(AND(OR(LEFT(TH!N1388,2)="15",LEFT(TH!O1388,2)="15"),TK!$E$7=TH!F1388),"x","")</f>
        <v/>
      </c>
      <c r="AD1388" s="84" t="str">
        <f>IF(AND(N1388="1521",MONTH(C1388)='BK-NL'!$M$11),"x","")</f>
        <v/>
      </c>
    </row>
    <row r="1389" spans="1:31" ht="15.75" hidden="1" customHeight="1">
      <c r="A1389" s="336" t="str">
        <f>IF(B1389&lt;&gt;"",IF(AND(B1389='IN-TC'!$S$4,OR(TH!N1389="1111",TH!O1389="1111")),TH!D1389,""),"")</f>
        <v/>
      </c>
      <c r="B1389" s="63">
        <f>IF(C1389&lt;&gt;"",MONTH(C1389),"")</f>
        <v>5</v>
      </c>
      <c r="C1389" s="318">
        <v>42521</v>
      </c>
      <c r="D1389" s="318" t="s">
        <v>889</v>
      </c>
      <c r="E1389" s="318">
        <v>42521</v>
      </c>
      <c r="F1389" s="73" t="s">
        <v>1529</v>
      </c>
      <c r="G1389" s="986" t="s">
        <v>1530</v>
      </c>
      <c r="H1389" s="320" t="s">
        <v>1527</v>
      </c>
      <c r="I1389" s="437"/>
      <c r="J1389" s="437"/>
      <c r="K1389" s="428"/>
      <c r="L1389" s="437"/>
      <c r="M1389" s="65">
        <v>200000</v>
      </c>
      <c r="N1389" s="321" t="s">
        <v>9</v>
      </c>
      <c r="O1389" s="66" t="s">
        <v>63</v>
      </c>
      <c r="P1389" s="84" t="str">
        <f>IF(AND('331-CT'!$E$7=TH!H1389,OR(N1389="331",O1389="331")),"x","")</f>
        <v/>
      </c>
      <c r="Q1389" s="84" t="str">
        <f>IF(AND(B1389='111'!$L$11,OR($N1389=$Q$7,$O1389=$Q$7)),"x","")</f>
        <v/>
      </c>
      <c r="R1389" s="84" t="str">
        <f>IF(AND($N1389=$Q$7,$B1389&lt;'111'!$L$11),"x","")</f>
        <v/>
      </c>
      <c r="S1389" s="84" t="str">
        <f>IF(AND($O1389=$Q$7,$B1389&lt;'111'!$L$11),"x","")</f>
        <v/>
      </c>
      <c r="T1389" s="84" t="str">
        <f>IF(ISERROR(FIND('112'!$M$9,G1389,1)),"",IF((AND(FIND('112'!$M$9,G1389,1)&gt;=1,B1389='112'!$K$9,OR($N1389='112'!$I$6,$O1389='112'!$I$6))),"x",""))</f>
        <v/>
      </c>
      <c r="U1389" s="84" t="str">
        <f>IF(ISERROR(FIND('112'!$M$9,G1389,1)),"",IF((AND(LEFT(G1389,2)=LEFT('112'!$M$9,2),B1389&lt;'112'!$K$9,$N1389='112'!$I$6)),"x",""))</f>
        <v/>
      </c>
      <c r="V1389" s="84" t="str">
        <f>IF(ISERROR(FIND('112'!$M$9,G1389,1)),"",IF((AND(RIGHT(G1389,2)=RIGHT('112'!$M$9,2),B1389&lt;'112'!$K$9,$O1389='112'!$I$6)),"x",""))</f>
        <v/>
      </c>
      <c r="W1389" s="84" t="str">
        <f>IF(AND('341-CT'!$H$9=H1389,OR(LEFT(N1389,3)=$W$7,LEFT(O1389,3)=$W$7)),"x","")</f>
        <v/>
      </c>
      <c r="X1389" s="84" t="str">
        <f>IF(OR(TH!N1389=TH!$X$7,O1389=TH!$X$7),"x","")</f>
        <v/>
      </c>
      <c r="Y1389" s="84" t="str">
        <f>IF(AND(OR(N1389="131",O1389="131"),H1389='131-CT'!$H$9),"x","")</f>
        <v/>
      </c>
      <c r="Z1389" s="84"/>
      <c r="AA1389" s="84" t="str">
        <f>IF(AND(MONTH(E1389)='IN-NX'!$J$5,'IN-NX'!$D$7=D1389),"x","")</f>
        <v/>
      </c>
      <c r="AB1389" s="84" t="str">
        <f>IF(AND(OR(LEFT(TH!N1389,2)="15",LEFT(TH!O1389,2)="15"),LEFT(TH!O1389,3)&lt;&gt;"111",'152-CT'!$J$8=TH!F1389),"x","")</f>
        <v/>
      </c>
      <c r="AC1389" s="84" t="str">
        <f>IF(AND(OR(LEFT(TH!N1389,2)="15",LEFT(TH!O1389,2)="15"),TK!$E$7=TH!F1389),"x","")</f>
        <v/>
      </c>
      <c r="AD1389" s="84" t="str">
        <f>IF(AND(N1389="1521",MONTH(C1389)='BK-NL'!$M$11),"x","")</f>
        <v/>
      </c>
    </row>
    <row r="1390" spans="1:31" ht="15.75" hidden="1" customHeight="1">
      <c r="A1390" s="336" t="str">
        <f>IF(B1390&lt;&gt;"",IF(AND(B1390='IN-TC'!$S$4,OR(TH!N1390="1111",TH!O1390="1111")),TH!D1390,""),"")</f>
        <v/>
      </c>
      <c r="B1390" s="63">
        <f>IF(C1390&lt;&gt;"",MONTH(C1390),"")</f>
        <v>5</v>
      </c>
      <c r="C1390" s="318">
        <v>42521</v>
      </c>
      <c r="D1390" s="318" t="s">
        <v>890</v>
      </c>
      <c r="E1390" s="318">
        <v>42521</v>
      </c>
      <c r="F1390" s="73" t="s">
        <v>1553</v>
      </c>
      <c r="G1390" s="319"/>
      <c r="H1390" s="76" t="s">
        <v>624</v>
      </c>
      <c r="I1390" s="439"/>
      <c r="J1390" s="439"/>
      <c r="K1390" s="430"/>
      <c r="L1390" s="439"/>
      <c r="M1390" s="65">
        <v>990540</v>
      </c>
      <c r="N1390" s="321" t="s">
        <v>8</v>
      </c>
      <c r="O1390" s="66" t="s">
        <v>63</v>
      </c>
      <c r="P1390" s="84" t="str">
        <f>IF(AND('331-CT'!$E$7=TH!H1390,OR(N1390="331",O1390="331")),"x","")</f>
        <v/>
      </c>
      <c r="Q1390" s="84" t="str">
        <f>IF(AND(B1390='111'!$L$11,OR($N1390=$Q$7,$O1390=$Q$7)),"x","")</f>
        <v/>
      </c>
      <c r="R1390" s="84" t="str">
        <f>IF(AND($N1390=$Q$7,$B1390&lt;'111'!$L$11),"x","")</f>
        <v/>
      </c>
      <c r="S1390" s="84" t="str">
        <f>IF(AND($O1390=$Q$7,$B1390&lt;'111'!$L$11),"x","")</f>
        <v/>
      </c>
      <c r="T1390" s="84" t="str">
        <f>IF(ISERROR(FIND('112'!$M$9,G1390,1)),"",IF((AND(FIND('112'!$M$9,G1390,1)&gt;=1,B1390='112'!$K$9,OR($N1390='112'!$I$6,$O1390='112'!$I$6))),"x",""))</f>
        <v/>
      </c>
      <c r="U1390" s="84" t="str">
        <f>IF(ISERROR(FIND('112'!$M$9,G1390,1)),"",IF((AND(LEFT(G1390,2)=LEFT('112'!$M$9,2),B1390&lt;'112'!$K$9,$N1390='112'!$I$6)),"x",""))</f>
        <v/>
      </c>
      <c r="V1390" s="84" t="str">
        <f>IF(ISERROR(FIND('112'!$M$9,G1390,1)),"",IF((AND(RIGHT(G1390,2)=RIGHT('112'!$M$9,2),B1390&lt;'112'!$K$9,$O1390='112'!$I$6)),"x",""))</f>
        <v/>
      </c>
      <c r="W1390" s="84" t="str">
        <f>IF(AND('341-CT'!$H$9=H1390,OR(LEFT(N1390,3)=$W$7,LEFT(O1390,3)=$W$7)),"x","")</f>
        <v/>
      </c>
      <c r="X1390" s="84" t="str">
        <f>IF(OR(TH!N1390=TH!$X$7,O1390=TH!$X$7),"x","")</f>
        <v/>
      </c>
      <c r="Y1390" s="84" t="str">
        <f>IF(AND(OR(N1390="131",O1390="131"),H1390='131-CT'!$H$9),"x","")</f>
        <v/>
      </c>
      <c r="Z1390" s="84"/>
      <c r="AA1390" s="84" t="str">
        <f>IF(AND(MONTH(E1390)='IN-NX'!$J$5,'IN-NX'!$D$7=D1390),"x","")</f>
        <v/>
      </c>
      <c r="AB1390" s="84" t="str">
        <f>IF(AND(OR(LEFT(TH!N1390,2)="15",LEFT(TH!O1390,2)="15"),LEFT(TH!O1390,3)&lt;&gt;"111",'152-CT'!$J$8=TH!F1390),"x","")</f>
        <v/>
      </c>
      <c r="AC1390" s="84" t="str">
        <f>IF(AND(OR(LEFT(TH!N1390,2)="15",LEFT(TH!O1390,2)="15"),TK!$E$7=TH!F1390),"x","")</f>
        <v/>
      </c>
      <c r="AD1390" s="84" t="str">
        <f>IF(AND(N1390="1521",MONTH(C1390)='BK-NL'!$M$11),"x","")</f>
        <v/>
      </c>
      <c r="AE1390" s="1146" t="str">
        <f>IF(H1390&lt;&gt;VLOOKUP(H1390,DSKH,1,0),"","x")</f>
        <v>x</v>
      </c>
    </row>
    <row r="1391" spans="1:31" ht="15.75" hidden="1" customHeight="1">
      <c r="A1391" s="336" t="str">
        <f>IF(B1391&lt;&gt;"",IF(AND(B1391='IN-TC'!$S$4,OR(TH!N1391="1111",TH!O1391="1111")),TH!D1391,""),"")</f>
        <v/>
      </c>
      <c r="B1391" s="63">
        <f t="shared" si="195"/>
        <v>5</v>
      </c>
      <c r="C1391" s="318">
        <v>42521</v>
      </c>
      <c r="D1391" s="318" t="s">
        <v>891</v>
      </c>
      <c r="E1391" s="318">
        <v>42521</v>
      </c>
      <c r="F1391" s="73" t="s">
        <v>1492</v>
      </c>
      <c r="G1391" s="319"/>
      <c r="H1391" s="320" t="s">
        <v>1363</v>
      </c>
      <c r="I1391" s="439"/>
      <c r="J1391" s="439"/>
      <c r="K1391" s="430"/>
      <c r="L1391" s="439"/>
      <c r="M1391" s="65">
        <v>1236364</v>
      </c>
      <c r="N1391" s="321" t="s">
        <v>101</v>
      </c>
      <c r="O1391" s="66" t="s">
        <v>63</v>
      </c>
      <c r="P1391" s="84" t="str">
        <f>IF(AND('331-CT'!$E$7=TH!H1391,OR(N1391="331",O1391="331")),"x","")</f>
        <v/>
      </c>
      <c r="Q1391" s="84" t="str">
        <f>IF(AND(B1391='111'!$L$11,OR($N1391=$Q$7,$O1391=$Q$7)),"x","")</f>
        <v/>
      </c>
      <c r="R1391" s="84" t="str">
        <f>IF(AND($N1391=$Q$7,$B1391&lt;'111'!$L$11),"x","")</f>
        <v/>
      </c>
      <c r="S1391" s="84" t="str">
        <f>IF(AND($O1391=$Q$7,$B1391&lt;'111'!$L$11),"x","")</f>
        <v/>
      </c>
      <c r="T1391" s="84" t="str">
        <f>IF(ISERROR(FIND('112'!$M$9,G1391,1)),"",IF((AND(FIND('112'!$M$9,G1391,1)&gt;=1,B1391='112'!$K$9,OR($N1391='112'!$I$6,$O1391='112'!$I$6))),"x",""))</f>
        <v/>
      </c>
      <c r="U1391" s="84" t="str">
        <f>IF(ISERROR(FIND('112'!$M$9,G1391,1)),"",IF((AND(LEFT(G1391,2)=LEFT('112'!$M$9,2),B1391&lt;'112'!$K$9,$N1391='112'!$I$6)),"x",""))</f>
        <v/>
      </c>
      <c r="V1391" s="84" t="str">
        <f>IF(ISERROR(FIND('112'!$M$9,G1391,1)),"",IF((AND(RIGHT(G1391,2)=RIGHT('112'!$M$9,2),B1391&lt;'112'!$K$9,$O1391='112'!$I$6)),"x",""))</f>
        <v/>
      </c>
      <c r="W1391" s="84" t="str">
        <f>IF(AND('341-CT'!$H$9=H1391,OR(LEFT(N1391,3)=$W$7,LEFT(O1391,3)=$W$7)),"x","")</f>
        <v/>
      </c>
      <c r="X1391" s="84" t="str">
        <f>IF(OR(TH!N1391=TH!$X$7,O1391=TH!$X$7),"x","")</f>
        <v/>
      </c>
      <c r="Y1391" s="84" t="str">
        <f>IF(AND(OR(N1391="131",O1391="131"),H1391='131-CT'!$H$9),"x","")</f>
        <v/>
      </c>
      <c r="Z1391" s="84"/>
      <c r="AA1391" s="84" t="str">
        <f>IF(AND(MONTH(E1391)='IN-NX'!$J$5,'IN-NX'!$D$7=D1391),"x","")</f>
        <v/>
      </c>
      <c r="AB1391" s="84" t="str">
        <f>IF(AND(OR(LEFT(TH!N1391,2)="15",LEFT(TH!O1391,2)="15"),LEFT(TH!O1391,3)&lt;&gt;"111",'152-CT'!$J$8=TH!F1391),"x","")</f>
        <v/>
      </c>
      <c r="AC1391" s="84" t="str">
        <f>IF(AND(OR(LEFT(TH!N1391,2)="15",LEFT(TH!O1391,2)="15"),TK!$E$7=TH!F1391),"x","")</f>
        <v/>
      </c>
      <c r="AD1391" s="84" t="str">
        <f>IF(AND(N1391="1521",MONTH(C1391)='BK-NL'!$M$11),"x","")</f>
        <v/>
      </c>
    </row>
    <row r="1392" spans="1:31" ht="15.75" hidden="1" customHeight="1">
      <c r="A1392" s="336" t="str">
        <f>IF(B1392&lt;&gt;"",IF(AND(B1392='IN-TC'!$S$4,OR(TH!N1392="1111",TH!O1392="1111")),TH!D1392,""),"")</f>
        <v/>
      </c>
      <c r="B1392" s="63">
        <f t="shared" si="195"/>
        <v>5</v>
      </c>
      <c r="C1392" s="318">
        <v>42521</v>
      </c>
      <c r="D1392" s="318" t="s">
        <v>891</v>
      </c>
      <c r="E1392" s="318">
        <v>42521</v>
      </c>
      <c r="F1392" s="73" t="s">
        <v>1493</v>
      </c>
      <c r="G1392" s="982"/>
      <c r="H1392" s="320" t="s">
        <v>1363</v>
      </c>
      <c r="I1392" s="437"/>
      <c r="J1392" s="437"/>
      <c r="K1392" s="428"/>
      <c r="L1392" s="437"/>
      <c r="M1392" s="65">
        <v>123636</v>
      </c>
      <c r="N1392" s="321" t="s">
        <v>9</v>
      </c>
      <c r="O1392" s="66" t="s">
        <v>63</v>
      </c>
      <c r="P1392" s="84" t="str">
        <f>IF(AND('331-CT'!$E$7=TH!H1392,OR(N1392="331",O1392="331")),"x","")</f>
        <v/>
      </c>
      <c r="Q1392" s="84" t="str">
        <f>IF(AND(B1392='111'!$L$11,OR($N1392=$Q$7,$O1392=$Q$7)),"x","")</f>
        <v/>
      </c>
      <c r="R1392" s="84" t="str">
        <f>IF(AND($N1392=$Q$7,$B1392&lt;'111'!$L$11),"x","")</f>
        <v/>
      </c>
      <c r="S1392" s="84" t="str">
        <f>IF(AND($O1392=$Q$7,$B1392&lt;'111'!$L$11),"x","")</f>
        <v/>
      </c>
      <c r="T1392" s="84" t="str">
        <f>IF(ISERROR(FIND('112'!$M$9,G1392,1)),"",IF((AND(FIND('112'!$M$9,G1392,1)&gt;=1,B1392='112'!$K$9,OR($N1392='112'!$I$6,$O1392='112'!$I$6))),"x",""))</f>
        <v/>
      </c>
      <c r="U1392" s="84" t="str">
        <f>IF(ISERROR(FIND('112'!$M$9,G1392,1)),"",IF((AND(LEFT(G1392,2)=LEFT('112'!$M$9,2),B1392&lt;'112'!$K$9,$N1392='112'!$I$6)),"x",""))</f>
        <v/>
      </c>
      <c r="V1392" s="84" t="str">
        <f>IF(ISERROR(FIND('112'!$M$9,G1392,1)),"",IF((AND(RIGHT(G1392,2)=RIGHT('112'!$M$9,2),B1392&lt;'112'!$K$9,$O1392='112'!$I$6)),"x",""))</f>
        <v/>
      </c>
      <c r="W1392" s="84" t="str">
        <f>IF(AND('341-CT'!$H$9=H1392,OR(LEFT(N1392,3)=$W$7,LEFT(O1392,3)=$W$7)),"x","")</f>
        <v/>
      </c>
      <c r="X1392" s="84" t="str">
        <f>IF(OR(TH!N1392=TH!$X$7,O1392=TH!$X$7),"x","")</f>
        <v/>
      </c>
      <c r="Y1392" s="84" t="str">
        <f>IF(AND(OR(N1392="131",O1392="131"),H1392='131-CT'!$H$9),"x","")</f>
        <v/>
      </c>
      <c r="Z1392" s="84"/>
      <c r="AA1392" s="84" t="str">
        <f>IF(AND(MONTH(E1392)='IN-NX'!$J$5,'IN-NX'!$D$7=D1392),"x","")</f>
        <v/>
      </c>
      <c r="AB1392" s="84" t="str">
        <f>IF(AND(OR(LEFT(TH!N1392,2)="15",LEFT(TH!O1392,2)="15"),LEFT(TH!O1392,3)&lt;&gt;"111",'152-CT'!$J$8=TH!F1392),"x","")</f>
        <v/>
      </c>
      <c r="AC1392" s="84" t="str">
        <f>IF(AND(OR(LEFT(TH!N1392,2)="15",LEFT(TH!O1392,2)="15"),TK!$E$7=TH!F1392),"x","")</f>
        <v/>
      </c>
      <c r="AD1392" s="84" t="str">
        <f>IF(AND(N1392="1521",MONTH(C1392)='BK-NL'!$M$11),"x","")</f>
        <v/>
      </c>
    </row>
    <row r="1393" spans="1:31" s="1132" customFormat="1" ht="15.75" hidden="1" customHeight="1">
      <c r="A1393" s="1213" t="str">
        <f>IF(B1393&lt;&gt;"",IF(AND(B1393='IN-TC'!$S$4,OR(TH!N1393="1111",TH!O1393="1111")),TH!D1393,""),"")</f>
        <v/>
      </c>
      <c r="B1393" s="1129">
        <f t="shared" si="195"/>
        <v>5</v>
      </c>
      <c r="C1393" s="865">
        <v>42521</v>
      </c>
      <c r="D1393" s="865" t="s">
        <v>892</v>
      </c>
      <c r="E1393" s="865">
        <v>42521</v>
      </c>
      <c r="F1393" s="971" t="s">
        <v>1494</v>
      </c>
      <c r="G1393" s="980"/>
      <c r="H1393" s="1215" t="s">
        <v>849</v>
      </c>
      <c r="I1393" s="972"/>
      <c r="J1393" s="972"/>
      <c r="K1393" s="973"/>
      <c r="L1393" s="972"/>
      <c r="M1393" s="1130">
        <v>148626983</v>
      </c>
      <c r="N1393" s="873" t="s">
        <v>592</v>
      </c>
      <c r="O1393" s="1131" t="s">
        <v>63</v>
      </c>
      <c r="P1393" s="1131" t="str">
        <f>IF(AND('331-CT'!$E$7=TH!H1393,OR(N1393="331",O1393="331")),"x","")</f>
        <v/>
      </c>
      <c r="Q1393" s="1131" t="str">
        <f>IF(AND(B1393='111'!$L$11,OR($N1393=$Q$7,$O1393=$Q$7)),"x","")</f>
        <v/>
      </c>
      <c r="R1393" s="1131" t="str">
        <f>IF(AND($N1393=$Q$7,$B1393&lt;'111'!$L$11),"x","")</f>
        <v/>
      </c>
      <c r="S1393" s="1131" t="str">
        <f>IF(AND($O1393=$Q$7,$B1393&lt;'111'!$L$11),"x","")</f>
        <v/>
      </c>
      <c r="T1393" s="1131" t="str">
        <f>IF(ISERROR(FIND('112'!$M$9,G1393,1)),"",IF((AND(FIND('112'!$M$9,G1393,1)&gt;=1,B1393='112'!$K$9,OR($N1393='112'!$I$6,$O1393='112'!$I$6))),"x",""))</f>
        <v/>
      </c>
      <c r="U1393" s="1131" t="str">
        <f>IF(ISERROR(FIND('112'!$M$9,G1393,1)),"",IF((AND(LEFT(G1393,2)=LEFT('112'!$M$9,2),B1393&lt;'112'!$K$9,$N1393='112'!$I$6)),"x",""))</f>
        <v/>
      </c>
      <c r="V1393" s="1131" t="str">
        <f>IF(ISERROR(FIND('112'!$M$9,G1393,1)),"",IF((AND(RIGHT(G1393,2)=RIGHT('112'!$M$9,2),B1393&lt;'112'!$K$9,$O1393='112'!$I$6)),"x",""))</f>
        <v/>
      </c>
      <c r="W1393" s="1131" t="str">
        <f>IF(AND('341-CT'!$H$9=H1393,OR(LEFT(N1393,3)=$W$7,LEFT(O1393,3)=$W$7)),"x","")</f>
        <v/>
      </c>
      <c r="X1393" s="1131" t="str">
        <f>IF(OR(TH!N1393=TH!$X$7,O1393=TH!$X$7),"x","")</f>
        <v/>
      </c>
      <c r="Y1393" s="1131" t="str">
        <f>IF(AND(OR(N1393="131",O1393="131"),H1393='131-CT'!$H$9),"x","")</f>
        <v/>
      </c>
      <c r="Z1393" s="1131"/>
      <c r="AA1393" s="1131" t="str">
        <f>IF(AND(MONTH(E1393)='IN-NX'!$J$5,'IN-NX'!$D$7=D1393),"x","")</f>
        <v/>
      </c>
      <c r="AB1393" s="1131" t="str">
        <f>IF(AND(OR(LEFT(TH!N1393,2)="15",LEFT(TH!O1393,2)="15"),LEFT(TH!O1393,3)&lt;&gt;"111",'152-CT'!$J$8=TH!F1393),"x","")</f>
        <v/>
      </c>
      <c r="AC1393" s="1131" t="str">
        <f>IF(AND(OR(LEFT(TH!N1393,2)="15",LEFT(TH!O1393,2)="15"),TK!$E$7=TH!F1393),"x","")</f>
        <v/>
      </c>
      <c r="AD1393" s="1131" t="str">
        <f>IF(AND(N1393="1521",MONTH(C1393)='BK-NL'!$M$11),"x","")</f>
        <v/>
      </c>
    </row>
    <row r="1394" spans="1:31" s="347" customFormat="1" ht="15.75" hidden="1" customHeight="1">
      <c r="A1394" s="1176" t="str">
        <f>IF(B1394&lt;&gt;"",IF(AND(B1394='IN-TC'!$S$4,OR(TH!N1394="1111",TH!O1394="1111")),TH!D1394,""),"")</f>
        <v/>
      </c>
      <c r="B1394" s="1003">
        <f t="shared" si="195"/>
        <v>5</v>
      </c>
      <c r="C1394" s="1134">
        <v>42521</v>
      </c>
      <c r="D1394" s="1134" t="s">
        <v>582</v>
      </c>
      <c r="E1394" s="1134">
        <v>42502</v>
      </c>
      <c r="F1394" s="82" t="s">
        <v>639</v>
      </c>
      <c r="G1394" s="1004" t="s">
        <v>1512</v>
      </c>
      <c r="H1394" s="322" t="s">
        <v>630</v>
      </c>
      <c r="I1394" s="437"/>
      <c r="J1394" s="437"/>
      <c r="K1394" s="428"/>
      <c r="L1394" s="437"/>
      <c r="M1394" s="83">
        <v>2000000</v>
      </c>
      <c r="N1394" s="1128" t="s">
        <v>591</v>
      </c>
      <c r="O1394" s="84" t="s">
        <v>8</v>
      </c>
      <c r="P1394" s="84" t="str">
        <f>IF(AND('331-CT'!$E$7=TH!H1394,OR(N1394="331",O1394="331")),"x","")</f>
        <v/>
      </c>
      <c r="Q1394" s="84" t="str">
        <f>IF(AND(B1394='111'!$L$11,OR($N1394=$Q$7,$O1394=$Q$7)),"x","")</f>
        <v/>
      </c>
      <c r="R1394" s="84" t="str">
        <f>IF(AND($N1394=$Q$7,$B1394&lt;'111'!$L$11),"x","")</f>
        <v/>
      </c>
      <c r="S1394" s="84" t="str">
        <f>IF(AND($O1394=$Q$7,$B1394&lt;'111'!$L$11),"x","")</f>
        <v/>
      </c>
      <c r="T1394" s="84" t="str">
        <f>IF(ISERROR(FIND('112'!$M$9,G1394,1)),"",IF((AND(FIND('112'!$M$9,G1394,1)&gt;=1,B1394='112'!$K$9,OR($N1394='112'!$I$6,$O1394='112'!$I$6))),"x",""))</f>
        <v/>
      </c>
      <c r="U1394" s="84" t="str">
        <f>IF(ISERROR(FIND('112'!$M$9,G1394,1)),"",IF((AND(LEFT(G1394,2)=LEFT('112'!$M$9,2),B1394&lt;'112'!$K$9,$N1394='112'!$I$6)),"x",""))</f>
        <v/>
      </c>
      <c r="V1394" s="84" t="str">
        <f>IF(ISERROR(FIND('112'!$M$9,G1394,1)),"",IF((AND(RIGHT(G1394,2)=RIGHT('112'!$M$9,2),B1394&lt;'112'!$K$9,$O1394='112'!$I$6)),"x",""))</f>
        <v/>
      </c>
      <c r="W1394" s="84" t="str">
        <f>IF(AND('341-CT'!$H$9=H1394,OR(LEFT(N1394,3)=$W$7,LEFT(O1394,3)=$W$7)),"x","")</f>
        <v/>
      </c>
      <c r="X1394" s="84" t="str">
        <f>IF(OR(TH!N1394=TH!$X$7,O1394=TH!$X$7),"x","")</f>
        <v/>
      </c>
      <c r="Y1394" s="84" t="str">
        <f>IF(AND(OR(N1394="131",O1394="131"),H1394='131-CT'!$H$9),"x","")</f>
        <v/>
      </c>
      <c r="Z1394" s="84"/>
      <c r="AA1394" s="84" t="str">
        <f>IF(AND(MONTH(E1394)='IN-NX'!$J$5,'IN-NX'!$D$7=D1394),"x","")</f>
        <v/>
      </c>
      <c r="AB1394" s="84" t="str">
        <f>IF(AND(OR(LEFT(TH!N1394,2)="15",LEFT(TH!O1394,2)="15"),LEFT(TH!O1394,3)&lt;&gt;"111",'152-CT'!$J$8=TH!F1394),"x","")</f>
        <v/>
      </c>
      <c r="AC1394" s="84" t="str">
        <f>IF(AND(OR(LEFT(TH!N1394,2)="15",LEFT(TH!O1394,2)="15"),TK!$E$7=TH!F1394),"x","")</f>
        <v/>
      </c>
      <c r="AD1394" s="84" t="str">
        <f>IF(AND(N1394="1521",MONTH(C1394)='BK-NL'!$M$11),"x","")</f>
        <v/>
      </c>
      <c r="AE1394" s="343" t="str">
        <f t="shared" ref="AE1394:AE1407" si="200">IF(H1394&lt;&gt;VLOOKUP(H1394,DSKH,1,0),"","x")</f>
        <v>x</v>
      </c>
    </row>
    <row r="1395" spans="1:31" s="347" customFormat="1" ht="15.75" hidden="1" customHeight="1">
      <c r="A1395" s="1176" t="str">
        <f>IF(B1395&lt;&gt;"",IF(AND(B1395='IN-TC'!$S$4,OR(TH!N1395="1111",TH!O1395="1111")),TH!D1395,""),"")</f>
        <v/>
      </c>
      <c r="B1395" s="1003">
        <f>IF(C1395&lt;&gt;"",MONTH(C1395),"")</f>
        <v>5</v>
      </c>
      <c r="C1395" s="1134">
        <v>42521</v>
      </c>
      <c r="D1395" s="1134" t="s">
        <v>582</v>
      </c>
      <c r="E1395" s="1134">
        <v>42502</v>
      </c>
      <c r="F1395" s="82" t="s">
        <v>640</v>
      </c>
      <c r="G1395" s="1004" t="s">
        <v>1512</v>
      </c>
      <c r="H1395" s="322" t="s">
        <v>630</v>
      </c>
      <c r="I1395" s="437"/>
      <c r="J1395" s="437"/>
      <c r="K1395" s="428"/>
      <c r="L1395" s="437"/>
      <c r="M1395" s="83">
        <v>200000</v>
      </c>
      <c r="N1395" s="1128" t="s">
        <v>9</v>
      </c>
      <c r="O1395" s="84" t="s">
        <v>8</v>
      </c>
      <c r="P1395" s="84" t="str">
        <f>IF(AND('331-CT'!$E$7=TH!H1395,OR(N1395="331",O1395="331")),"x","")</f>
        <v/>
      </c>
      <c r="Q1395" s="84" t="str">
        <f>IF(AND(B1395='111'!$L$11,OR($N1395=$Q$7,$O1395=$Q$7)),"x","")</f>
        <v/>
      </c>
      <c r="R1395" s="84" t="str">
        <f>IF(AND($N1395=$Q$7,$B1395&lt;'111'!$L$11),"x","")</f>
        <v/>
      </c>
      <c r="S1395" s="84" t="str">
        <f>IF(AND($O1395=$Q$7,$B1395&lt;'111'!$L$11),"x","")</f>
        <v/>
      </c>
      <c r="T1395" s="84" t="str">
        <f>IF(ISERROR(FIND('112'!$M$9,G1395,1)),"",IF((AND(FIND('112'!$M$9,G1395,1)&gt;=1,B1395='112'!$K$9,OR($N1395='112'!$I$6,$O1395='112'!$I$6))),"x",""))</f>
        <v/>
      </c>
      <c r="U1395" s="84" t="str">
        <f>IF(ISERROR(FIND('112'!$M$9,G1395,1)),"",IF((AND(LEFT(G1395,2)=LEFT('112'!$M$9,2),B1395&lt;'112'!$K$9,$N1395='112'!$I$6)),"x",""))</f>
        <v/>
      </c>
      <c r="V1395" s="84" t="str">
        <f>IF(ISERROR(FIND('112'!$M$9,G1395,1)),"",IF((AND(RIGHT(G1395,2)=RIGHT('112'!$M$9,2),B1395&lt;'112'!$K$9,$O1395='112'!$I$6)),"x",""))</f>
        <v/>
      </c>
      <c r="W1395" s="84" t="str">
        <f>IF(AND('341-CT'!$H$9=H1395,OR(LEFT(N1395,3)=$W$7,LEFT(O1395,3)=$W$7)),"x","")</f>
        <v/>
      </c>
      <c r="X1395" s="84" t="str">
        <f>IF(OR(TH!N1395=TH!$X$7,O1395=TH!$X$7),"x","")</f>
        <v/>
      </c>
      <c r="Y1395" s="84" t="str">
        <f>IF(AND(OR(N1395="131",O1395="131"),H1395='131-CT'!$H$9),"x","")</f>
        <v/>
      </c>
      <c r="Z1395" s="84"/>
      <c r="AA1395" s="84" t="str">
        <f>IF(AND(MONTH(E1395)='IN-NX'!$J$5,'IN-NX'!$D$7=D1395),"x","")</f>
        <v/>
      </c>
      <c r="AB1395" s="84" t="str">
        <f>IF(AND(OR(LEFT(TH!N1395,2)="15",LEFT(TH!O1395,2)="15"),LEFT(TH!O1395,3)&lt;&gt;"111",'152-CT'!$J$8=TH!F1395),"x","")</f>
        <v/>
      </c>
      <c r="AC1395" s="84" t="str">
        <f>IF(AND(OR(LEFT(TH!N1395,2)="15",LEFT(TH!O1395,2)="15"),TK!$E$7=TH!F1395),"x","")</f>
        <v/>
      </c>
      <c r="AD1395" s="84" t="str">
        <f>IF(AND(N1395="1521",MONTH(C1395)='BK-NL'!$M$11),"x","")</f>
        <v/>
      </c>
      <c r="AE1395" s="343" t="str">
        <f t="shared" si="200"/>
        <v>x</v>
      </c>
    </row>
    <row r="1396" spans="1:31" s="347" customFormat="1" ht="15.75" hidden="1" customHeight="1">
      <c r="A1396" s="1176" t="str">
        <f>IF(B1396&lt;&gt;"",IF(AND(B1396='IN-TC'!$S$4,OR(TH!N1396="1111",TH!O1396="1111")),TH!D1396,""),"")</f>
        <v/>
      </c>
      <c r="B1396" s="1003">
        <f>IF(C1396&lt;&gt;"",MONTH(C1396),"")</f>
        <v>5</v>
      </c>
      <c r="C1396" s="1134">
        <v>42521</v>
      </c>
      <c r="D1396" s="1134" t="s">
        <v>582</v>
      </c>
      <c r="E1396" s="1134">
        <v>42503</v>
      </c>
      <c r="F1396" s="82" t="s">
        <v>1507</v>
      </c>
      <c r="G1396" s="1004" t="s">
        <v>1506</v>
      </c>
      <c r="H1396" s="322" t="s">
        <v>1505</v>
      </c>
      <c r="I1396" s="437"/>
      <c r="J1396" s="437"/>
      <c r="K1396" s="428"/>
      <c r="L1396" s="437"/>
      <c r="M1396" s="83">
        <v>18972000</v>
      </c>
      <c r="N1396" s="1128" t="s">
        <v>591</v>
      </c>
      <c r="O1396" s="84" t="s">
        <v>8</v>
      </c>
      <c r="P1396" s="84" t="str">
        <f>IF(AND('331-CT'!$E$7=TH!H1396,OR(N1396="331",O1396="331")),"x","")</f>
        <v/>
      </c>
      <c r="Q1396" s="84" t="str">
        <f>IF(AND(B1396='111'!$L$11,OR($N1396=$Q$7,$O1396=$Q$7)),"x","")</f>
        <v/>
      </c>
      <c r="R1396" s="84" t="str">
        <f>IF(AND($N1396=$Q$7,$B1396&lt;'111'!$L$11),"x","")</f>
        <v/>
      </c>
      <c r="S1396" s="84" t="str">
        <f>IF(AND($O1396=$Q$7,$B1396&lt;'111'!$L$11),"x","")</f>
        <v/>
      </c>
      <c r="T1396" s="84" t="str">
        <f>IF(ISERROR(FIND('112'!$M$9,G1396,1)),"",IF((AND(FIND('112'!$M$9,G1396,1)&gt;=1,B1396='112'!$K$9,OR($N1396='112'!$I$6,$O1396='112'!$I$6))),"x",""))</f>
        <v/>
      </c>
      <c r="U1396" s="84" t="str">
        <f>IF(ISERROR(FIND('112'!$M$9,G1396,1)),"",IF((AND(LEFT(G1396,2)=LEFT('112'!$M$9,2),B1396&lt;'112'!$K$9,$N1396='112'!$I$6)),"x",""))</f>
        <v/>
      </c>
      <c r="V1396" s="84" t="str">
        <f>IF(ISERROR(FIND('112'!$M$9,G1396,1)),"",IF((AND(RIGHT(G1396,2)=RIGHT('112'!$M$9,2),B1396&lt;'112'!$K$9,$O1396='112'!$I$6)),"x",""))</f>
        <v/>
      </c>
      <c r="W1396" s="84" t="str">
        <f>IF(AND('341-CT'!$H$9=H1396,OR(LEFT(N1396,3)=$W$7,LEFT(O1396,3)=$W$7)),"x","")</f>
        <v/>
      </c>
      <c r="X1396" s="84" t="str">
        <f>IF(OR(TH!N1396=TH!$X$7,O1396=TH!$X$7),"x","")</f>
        <v/>
      </c>
      <c r="Y1396" s="84" t="str">
        <f>IF(AND(OR(N1396="131",O1396="131"),H1396='131-CT'!$H$9),"x","")</f>
        <v/>
      </c>
      <c r="Z1396" s="84"/>
      <c r="AA1396" s="84" t="str">
        <f>IF(AND(MONTH(E1396)='IN-NX'!$J$5,'IN-NX'!$D$7=D1396),"x","")</f>
        <v/>
      </c>
      <c r="AB1396" s="84" t="str">
        <f>IF(AND(OR(LEFT(TH!N1396,2)="15",LEFT(TH!O1396,2)="15"),LEFT(TH!O1396,3)&lt;&gt;"111",'152-CT'!$J$8=TH!F1396),"x","")</f>
        <v/>
      </c>
      <c r="AC1396" s="84" t="str">
        <f>IF(AND(OR(LEFT(TH!N1396,2)="15",LEFT(TH!O1396,2)="15"),TK!$E$7=TH!F1396),"x","")</f>
        <v/>
      </c>
      <c r="AD1396" s="84" t="str">
        <f>IF(AND(N1396="1521",MONTH(C1396)='BK-NL'!$M$11),"x","")</f>
        <v/>
      </c>
      <c r="AE1396" s="343" t="str">
        <f t="shared" si="200"/>
        <v>x</v>
      </c>
    </row>
    <row r="1397" spans="1:31" s="347" customFormat="1" ht="15.75" hidden="1" customHeight="1">
      <c r="A1397" s="1176" t="str">
        <f>IF(B1397&lt;&gt;"",IF(AND(B1397='IN-TC'!$S$4,OR(TH!N1397="1111",TH!O1397="1111")),TH!D1397,""),"")</f>
        <v/>
      </c>
      <c r="B1397" s="1003">
        <f t="shared" si="195"/>
        <v>5</v>
      </c>
      <c r="C1397" s="1134">
        <v>42521</v>
      </c>
      <c r="D1397" s="1134" t="s">
        <v>582</v>
      </c>
      <c r="E1397" s="1134">
        <v>42503</v>
      </c>
      <c r="F1397" s="82" t="s">
        <v>1502</v>
      </c>
      <c r="G1397" s="1004" t="s">
        <v>1504</v>
      </c>
      <c r="H1397" s="322" t="s">
        <v>1505</v>
      </c>
      <c r="I1397" s="437"/>
      <c r="J1397" s="437"/>
      <c r="K1397" s="428"/>
      <c r="L1397" s="437"/>
      <c r="M1397" s="83">
        <v>8503920</v>
      </c>
      <c r="N1397" s="1128" t="s">
        <v>591</v>
      </c>
      <c r="O1397" s="84" t="s">
        <v>8</v>
      </c>
      <c r="P1397" s="84" t="str">
        <f>IF(AND('331-CT'!$E$7=TH!H1397,OR(N1397="331",O1397="331")),"x","")</f>
        <v/>
      </c>
      <c r="Q1397" s="84" t="str">
        <f>IF(AND(B1397='111'!$L$11,OR($N1397=$Q$7,$O1397=$Q$7)),"x","")</f>
        <v/>
      </c>
      <c r="R1397" s="84" t="str">
        <f>IF(AND($N1397=$Q$7,$B1397&lt;'111'!$L$11),"x","")</f>
        <v/>
      </c>
      <c r="S1397" s="84" t="str">
        <f>IF(AND($O1397=$Q$7,$B1397&lt;'111'!$L$11),"x","")</f>
        <v/>
      </c>
      <c r="T1397" s="84" t="str">
        <f>IF(ISERROR(FIND('112'!$M$9,G1397,1)),"",IF((AND(FIND('112'!$M$9,G1397,1)&gt;=1,B1397='112'!$K$9,OR($N1397='112'!$I$6,$O1397='112'!$I$6))),"x",""))</f>
        <v/>
      </c>
      <c r="U1397" s="84" t="str">
        <f>IF(ISERROR(FIND('112'!$M$9,G1397,1)),"",IF((AND(LEFT(G1397,2)=LEFT('112'!$M$9,2),B1397&lt;'112'!$K$9,$N1397='112'!$I$6)),"x",""))</f>
        <v/>
      </c>
      <c r="V1397" s="84" t="str">
        <f>IF(ISERROR(FIND('112'!$M$9,G1397,1)),"",IF((AND(RIGHT(G1397,2)=RIGHT('112'!$M$9,2),B1397&lt;'112'!$K$9,$O1397='112'!$I$6)),"x",""))</f>
        <v/>
      </c>
      <c r="W1397" s="84" t="str">
        <f>IF(AND('341-CT'!$H$9=H1397,OR(LEFT(N1397,3)=$W$7,LEFT(O1397,3)=$W$7)),"x","")</f>
        <v/>
      </c>
      <c r="X1397" s="84" t="str">
        <f>IF(OR(TH!N1397=TH!$X$7,O1397=TH!$X$7),"x","")</f>
        <v/>
      </c>
      <c r="Y1397" s="84" t="str">
        <f>IF(AND(OR(N1397="131",O1397="131"),H1397='131-CT'!$H$9),"x","")</f>
        <v/>
      </c>
      <c r="Z1397" s="84"/>
      <c r="AA1397" s="84" t="str">
        <f>IF(AND(MONTH(E1397)='IN-NX'!$J$5,'IN-NX'!$D$7=D1397),"x","")</f>
        <v/>
      </c>
      <c r="AB1397" s="84" t="str">
        <f>IF(AND(OR(LEFT(TH!N1397,2)="15",LEFT(TH!O1397,2)="15"),LEFT(TH!O1397,3)&lt;&gt;"111",'152-CT'!$J$8=TH!F1397),"x","")</f>
        <v/>
      </c>
      <c r="AC1397" s="84" t="str">
        <f>IF(AND(OR(LEFT(TH!N1397,2)="15",LEFT(TH!O1397,2)="15"),TK!$E$7=TH!F1397),"x","")</f>
        <v/>
      </c>
      <c r="AD1397" s="84" t="str">
        <f>IF(AND(N1397="1521",MONTH(C1397)='BK-NL'!$M$11),"x","")</f>
        <v/>
      </c>
      <c r="AE1397" s="343" t="str">
        <f t="shared" si="200"/>
        <v>x</v>
      </c>
    </row>
    <row r="1398" spans="1:31" s="347" customFormat="1" ht="15.75" hidden="1" customHeight="1">
      <c r="A1398" s="1176" t="str">
        <f>IF(B1398&lt;&gt;"",IF(AND(B1398='IN-TC'!$S$4,OR(TH!N1398="1111",TH!O1398="1111")),TH!D1398,""),"")</f>
        <v/>
      </c>
      <c r="B1398" s="1003">
        <f t="shared" si="195"/>
        <v>5</v>
      </c>
      <c r="C1398" s="1134">
        <v>42521</v>
      </c>
      <c r="D1398" s="1134" t="s">
        <v>582</v>
      </c>
      <c r="E1398" s="1134">
        <v>42503</v>
      </c>
      <c r="F1398" s="82" t="s">
        <v>1503</v>
      </c>
      <c r="G1398" s="1004" t="s">
        <v>1504</v>
      </c>
      <c r="H1398" s="322" t="s">
        <v>1505</v>
      </c>
      <c r="I1398" s="437"/>
      <c r="J1398" s="437"/>
      <c r="K1398" s="428"/>
      <c r="L1398" s="437"/>
      <c r="M1398" s="83">
        <v>850392</v>
      </c>
      <c r="N1398" s="1128" t="s">
        <v>9</v>
      </c>
      <c r="O1398" s="84" t="s">
        <v>8</v>
      </c>
      <c r="P1398" s="84" t="str">
        <f>IF(AND('331-CT'!$E$7=TH!H1398,OR(N1398="331",O1398="331")),"x","")</f>
        <v/>
      </c>
      <c r="Q1398" s="84" t="str">
        <f>IF(AND(B1398='111'!$L$11,OR($N1398=$Q$7,$O1398=$Q$7)),"x","")</f>
        <v/>
      </c>
      <c r="R1398" s="84" t="str">
        <f>IF(AND($N1398=$Q$7,$B1398&lt;'111'!$L$11),"x","")</f>
        <v/>
      </c>
      <c r="S1398" s="84" t="str">
        <f>IF(AND($O1398=$Q$7,$B1398&lt;'111'!$L$11),"x","")</f>
        <v/>
      </c>
      <c r="T1398" s="84" t="str">
        <f>IF(ISERROR(FIND('112'!$M$9,G1398,1)),"",IF((AND(FIND('112'!$M$9,G1398,1)&gt;=1,B1398='112'!$K$9,OR($N1398='112'!$I$6,$O1398='112'!$I$6))),"x",""))</f>
        <v/>
      </c>
      <c r="U1398" s="84" t="str">
        <f>IF(ISERROR(FIND('112'!$M$9,G1398,1)),"",IF((AND(LEFT(G1398,2)=LEFT('112'!$M$9,2),B1398&lt;'112'!$K$9,$N1398='112'!$I$6)),"x",""))</f>
        <v/>
      </c>
      <c r="V1398" s="84" t="str">
        <f>IF(ISERROR(FIND('112'!$M$9,G1398,1)),"",IF((AND(RIGHT(G1398,2)=RIGHT('112'!$M$9,2),B1398&lt;'112'!$K$9,$O1398='112'!$I$6)),"x",""))</f>
        <v/>
      </c>
      <c r="W1398" s="84" t="str">
        <f>IF(AND('341-CT'!$H$9=H1398,OR(LEFT(N1398,3)=$W$7,LEFT(O1398,3)=$W$7)),"x","")</f>
        <v/>
      </c>
      <c r="X1398" s="84" t="str">
        <f>IF(OR(TH!N1398=TH!$X$7,O1398=TH!$X$7),"x","")</f>
        <v/>
      </c>
      <c r="Y1398" s="84" t="str">
        <f>IF(AND(OR(N1398="131",O1398="131"),H1398='131-CT'!$H$9),"x","")</f>
        <v/>
      </c>
      <c r="Z1398" s="84"/>
      <c r="AA1398" s="84" t="str">
        <f>IF(AND(MONTH(E1398)='IN-NX'!$J$5,'IN-NX'!$D$7=D1398),"x","")</f>
        <v/>
      </c>
      <c r="AB1398" s="84" t="str">
        <f>IF(AND(OR(LEFT(TH!N1398,2)="15",LEFT(TH!O1398,2)="15"),LEFT(TH!O1398,3)&lt;&gt;"111",'152-CT'!$J$8=TH!F1398),"x","")</f>
        <v/>
      </c>
      <c r="AC1398" s="84" t="str">
        <f>IF(AND(OR(LEFT(TH!N1398,2)="15",LEFT(TH!O1398,2)="15"),TK!$E$7=TH!F1398),"x","")</f>
        <v/>
      </c>
      <c r="AD1398" s="84" t="str">
        <f>IF(AND(N1398="1521",MONTH(C1398)='BK-NL'!$M$11),"x","")</f>
        <v/>
      </c>
      <c r="AE1398" s="343" t="str">
        <f t="shared" si="200"/>
        <v>x</v>
      </c>
    </row>
    <row r="1399" spans="1:31" s="347" customFormat="1" ht="15.75" hidden="1" customHeight="1">
      <c r="A1399" s="1176" t="str">
        <f>IF(B1399&lt;&gt;"",IF(AND(B1399='IN-TC'!$S$4,OR(TH!N1399="1111",TH!O1399="1111")),TH!D1399,""),"")</f>
        <v/>
      </c>
      <c r="B1399" s="1003">
        <f t="shared" si="195"/>
        <v>5</v>
      </c>
      <c r="C1399" s="1134">
        <v>42521</v>
      </c>
      <c r="D1399" s="1134" t="s">
        <v>582</v>
      </c>
      <c r="E1399" s="1134">
        <v>42504</v>
      </c>
      <c r="F1399" s="82" t="s">
        <v>1507</v>
      </c>
      <c r="G1399" s="1004" t="s">
        <v>1511</v>
      </c>
      <c r="H1399" s="322" t="s">
        <v>1505</v>
      </c>
      <c r="I1399" s="437"/>
      <c r="J1399" s="437"/>
      <c r="K1399" s="428"/>
      <c r="L1399" s="437"/>
      <c r="M1399" s="83">
        <v>9382800</v>
      </c>
      <c r="N1399" s="1128" t="s">
        <v>591</v>
      </c>
      <c r="O1399" s="84" t="s">
        <v>8</v>
      </c>
      <c r="P1399" s="84" t="str">
        <f>IF(AND('331-CT'!$E$7=TH!H1399,OR(N1399="331",O1399="331")),"x","")</f>
        <v/>
      </c>
      <c r="Q1399" s="84" t="str">
        <f>IF(AND(B1399='111'!$L$11,OR($N1399=$Q$7,$O1399=$Q$7)),"x","")</f>
        <v/>
      </c>
      <c r="R1399" s="84" t="str">
        <f>IF(AND($N1399=$Q$7,$B1399&lt;'111'!$L$11),"x","")</f>
        <v/>
      </c>
      <c r="S1399" s="84" t="str">
        <f>IF(AND($O1399=$Q$7,$B1399&lt;'111'!$L$11),"x","")</f>
        <v/>
      </c>
      <c r="T1399" s="84" t="str">
        <f>IF(ISERROR(FIND('112'!$M$9,G1399,1)),"",IF((AND(FIND('112'!$M$9,G1399,1)&gt;=1,B1399='112'!$K$9,OR($N1399='112'!$I$6,$O1399='112'!$I$6))),"x",""))</f>
        <v/>
      </c>
      <c r="U1399" s="84" t="str">
        <f>IF(ISERROR(FIND('112'!$M$9,G1399,1)),"",IF((AND(LEFT(G1399,2)=LEFT('112'!$M$9,2),B1399&lt;'112'!$K$9,$N1399='112'!$I$6)),"x",""))</f>
        <v/>
      </c>
      <c r="V1399" s="84" t="str">
        <f>IF(ISERROR(FIND('112'!$M$9,G1399,1)),"",IF((AND(RIGHT(G1399,2)=RIGHT('112'!$M$9,2),B1399&lt;'112'!$K$9,$O1399='112'!$I$6)),"x",""))</f>
        <v/>
      </c>
      <c r="W1399" s="84" t="str">
        <f>IF(AND('341-CT'!$H$9=H1399,OR(LEFT(N1399,3)=$W$7,LEFT(O1399,3)=$W$7)),"x","")</f>
        <v/>
      </c>
      <c r="X1399" s="84" t="str">
        <f>IF(OR(TH!N1399=TH!$X$7,O1399=TH!$X$7),"x","")</f>
        <v/>
      </c>
      <c r="Y1399" s="84" t="str">
        <f>IF(AND(OR(N1399="131",O1399="131"),H1399='131-CT'!$H$9),"x","")</f>
        <v/>
      </c>
      <c r="Z1399" s="84"/>
      <c r="AA1399" s="84" t="str">
        <f>IF(AND(MONTH(E1399)='IN-NX'!$J$5,'IN-NX'!$D$7=D1399),"x","")</f>
        <v/>
      </c>
      <c r="AB1399" s="84" t="str">
        <f>IF(AND(OR(LEFT(TH!N1399,2)="15",LEFT(TH!O1399,2)="15"),LEFT(TH!O1399,3)&lt;&gt;"111",'152-CT'!$J$8=TH!F1399),"x","")</f>
        <v/>
      </c>
      <c r="AC1399" s="84" t="str">
        <f>IF(AND(OR(LEFT(TH!N1399,2)="15",LEFT(TH!O1399,2)="15"),TK!$E$7=TH!F1399),"x","")</f>
        <v/>
      </c>
      <c r="AD1399" s="84" t="str">
        <f>IF(AND(N1399="1521",MONTH(C1399)='BK-NL'!$M$11),"x","")</f>
        <v/>
      </c>
      <c r="AE1399" s="343" t="str">
        <f t="shared" si="200"/>
        <v>x</v>
      </c>
    </row>
    <row r="1400" spans="1:31" s="347" customFormat="1" ht="15.75" hidden="1" customHeight="1">
      <c r="A1400" s="1176" t="str">
        <f>IF(B1400&lt;&gt;"",IF(AND(B1400='IN-TC'!$S$4,OR(TH!N1400="1111",TH!O1400="1111")),TH!D1400,""),"")</f>
        <v/>
      </c>
      <c r="B1400" s="1003">
        <f>IF(C1400&lt;&gt;"",MONTH(C1400),"")</f>
        <v>5</v>
      </c>
      <c r="C1400" s="1134">
        <v>42521</v>
      </c>
      <c r="D1400" s="1134" t="s">
        <v>582</v>
      </c>
      <c r="E1400" s="1134">
        <v>42504</v>
      </c>
      <c r="F1400" s="82" t="s">
        <v>1508</v>
      </c>
      <c r="G1400" s="1004" t="s">
        <v>1510</v>
      </c>
      <c r="H1400" s="322" t="s">
        <v>1505</v>
      </c>
      <c r="I1400" s="437"/>
      <c r="J1400" s="437"/>
      <c r="K1400" s="428"/>
      <c r="L1400" s="437"/>
      <c r="M1400" s="83">
        <v>7841340</v>
      </c>
      <c r="N1400" s="1128" t="s">
        <v>591</v>
      </c>
      <c r="O1400" s="84" t="s">
        <v>8</v>
      </c>
      <c r="P1400" s="84" t="str">
        <f>IF(AND('331-CT'!$E$7=TH!H1400,OR(N1400="331",O1400="331")),"x","")</f>
        <v/>
      </c>
      <c r="Q1400" s="84" t="str">
        <f>IF(AND(B1400='111'!$L$11,OR($N1400=$Q$7,$O1400=$Q$7)),"x","")</f>
        <v/>
      </c>
      <c r="R1400" s="84" t="str">
        <f>IF(AND($N1400=$Q$7,$B1400&lt;'111'!$L$11),"x","")</f>
        <v/>
      </c>
      <c r="S1400" s="84" t="str">
        <f>IF(AND($O1400=$Q$7,$B1400&lt;'111'!$L$11),"x","")</f>
        <v/>
      </c>
      <c r="T1400" s="84" t="str">
        <f>IF(ISERROR(FIND('112'!$M$9,G1400,1)),"",IF((AND(FIND('112'!$M$9,G1400,1)&gt;=1,B1400='112'!$K$9,OR($N1400='112'!$I$6,$O1400='112'!$I$6))),"x",""))</f>
        <v/>
      </c>
      <c r="U1400" s="84" t="str">
        <f>IF(ISERROR(FIND('112'!$M$9,G1400,1)),"",IF((AND(LEFT(G1400,2)=LEFT('112'!$M$9,2),B1400&lt;'112'!$K$9,$N1400='112'!$I$6)),"x",""))</f>
        <v/>
      </c>
      <c r="V1400" s="84" t="str">
        <f>IF(ISERROR(FIND('112'!$M$9,G1400,1)),"",IF((AND(RIGHT(G1400,2)=RIGHT('112'!$M$9,2),B1400&lt;'112'!$K$9,$O1400='112'!$I$6)),"x",""))</f>
        <v/>
      </c>
      <c r="W1400" s="84" t="str">
        <f>IF(AND('341-CT'!$H$9=H1400,OR(LEFT(N1400,3)=$W$7,LEFT(O1400,3)=$W$7)),"x","")</f>
        <v/>
      </c>
      <c r="X1400" s="84" t="str">
        <f>IF(OR(TH!N1400=TH!$X$7,O1400=TH!$X$7),"x","")</f>
        <v/>
      </c>
      <c r="Y1400" s="84" t="str">
        <f>IF(AND(OR(N1400="131",O1400="131"),H1400='131-CT'!$H$9),"x","")</f>
        <v/>
      </c>
      <c r="Z1400" s="84"/>
      <c r="AA1400" s="84" t="str">
        <f>IF(AND(MONTH(E1400)='IN-NX'!$J$5,'IN-NX'!$D$7=D1400),"x","")</f>
        <v/>
      </c>
      <c r="AB1400" s="84" t="str">
        <f>IF(AND(OR(LEFT(TH!N1400,2)="15",LEFT(TH!O1400,2)="15"),LEFT(TH!O1400,3)&lt;&gt;"111",'152-CT'!$J$8=TH!F1400),"x","")</f>
        <v/>
      </c>
      <c r="AC1400" s="84" t="str">
        <f>IF(AND(OR(LEFT(TH!N1400,2)="15",LEFT(TH!O1400,2)="15"),TK!$E$7=TH!F1400),"x","")</f>
        <v/>
      </c>
      <c r="AD1400" s="84" t="str">
        <f>IF(AND(N1400="1521",MONTH(C1400)='BK-NL'!$M$11),"x","")</f>
        <v/>
      </c>
      <c r="AE1400" s="343" t="str">
        <f t="shared" si="200"/>
        <v>x</v>
      </c>
    </row>
    <row r="1401" spans="1:31" s="347" customFormat="1" ht="15.75" hidden="1" customHeight="1">
      <c r="A1401" s="1176" t="str">
        <f>IF(B1401&lt;&gt;"",IF(AND(B1401='IN-TC'!$S$4,OR(TH!N1401="1111",TH!O1401="1111")),TH!D1401,""),"")</f>
        <v/>
      </c>
      <c r="B1401" s="1003">
        <f>IF(C1401&lt;&gt;"",MONTH(C1401),"")</f>
        <v>5</v>
      </c>
      <c r="C1401" s="1134">
        <v>42521</v>
      </c>
      <c r="D1401" s="1134" t="s">
        <v>582</v>
      </c>
      <c r="E1401" s="1134">
        <v>42504</v>
      </c>
      <c r="F1401" s="82" t="s">
        <v>1509</v>
      </c>
      <c r="G1401" s="1004" t="s">
        <v>1510</v>
      </c>
      <c r="H1401" s="322" t="s">
        <v>1505</v>
      </c>
      <c r="I1401" s="437"/>
      <c r="J1401" s="437"/>
      <c r="K1401" s="428"/>
      <c r="L1401" s="437"/>
      <c r="M1401" s="83">
        <v>784134</v>
      </c>
      <c r="N1401" s="1128" t="s">
        <v>9</v>
      </c>
      <c r="O1401" s="84" t="s">
        <v>8</v>
      </c>
      <c r="P1401" s="84" t="str">
        <f>IF(AND('331-CT'!$E$7=TH!H1401,OR(N1401="331",O1401="331")),"x","")</f>
        <v/>
      </c>
      <c r="Q1401" s="84" t="str">
        <f>IF(AND(B1401='111'!$L$11,OR($N1401=$Q$7,$O1401=$Q$7)),"x","")</f>
        <v/>
      </c>
      <c r="R1401" s="84" t="str">
        <f>IF(AND($N1401=$Q$7,$B1401&lt;'111'!$L$11),"x","")</f>
        <v/>
      </c>
      <c r="S1401" s="84" t="str">
        <f>IF(AND($O1401=$Q$7,$B1401&lt;'111'!$L$11),"x","")</f>
        <v/>
      </c>
      <c r="T1401" s="84" t="str">
        <f>IF(ISERROR(FIND('112'!$M$9,G1401,1)),"",IF((AND(FIND('112'!$M$9,G1401,1)&gt;=1,B1401='112'!$K$9,OR($N1401='112'!$I$6,$O1401='112'!$I$6))),"x",""))</f>
        <v/>
      </c>
      <c r="U1401" s="84" t="str">
        <f>IF(ISERROR(FIND('112'!$M$9,G1401,1)),"",IF((AND(LEFT(G1401,2)=LEFT('112'!$M$9,2),B1401&lt;'112'!$K$9,$N1401='112'!$I$6)),"x",""))</f>
        <v/>
      </c>
      <c r="V1401" s="84" t="str">
        <f>IF(ISERROR(FIND('112'!$M$9,G1401,1)),"",IF((AND(RIGHT(G1401,2)=RIGHT('112'!$M$9,2),B1401&lt;'112'!$K$9,$O1401='112'!$I$6)),"x",""))</f>
        <v/>
      </c>
      <c r="W1401" s="84" t="str">
        <f>IF(AND('341-CT'!$H$9=H1401,OR(LEFT(N1401,3)=$W$7,LEFT(O1401,3)=$W$7)),"x","")</f>
        <v/>
      </c>
      <c r="X1401" s="84" t="str">
        <f>IF(OR(TH!N1401=TH!$X$7,O1401=TH!$X$7),"x","")</f>
        <v/>
      </c>
      <c r="Y1401" s="84" t="str">
        <f>IF(AND(OR(N1401="131",O1401="131"),H1401='131-CT'!$H$9),"x","")</f>
        <v/>
      </c>
      <c r="Z1401" s="84"/>
      <c r="AA1401" s="84" t="str">
        <f>IF(AND(MONTH(E1401)='IN-NX'!$J$5,'IN-NX'!$D$7=D1401),"x","")</f>
        <v/>
      </c>
      <c r="AB1401" s="84" t="str">
        <f>IF(AND(OR(LEFT(TH!N1401,2)="15",LEFT(TH!O1401,2)="15"),LEFT(TH!O1401,3)&lt;&gt;"111",'152-CT'!$J$8=TH!F1401),"x","")</f>
        <v/>
      </c>
      <c r="AC1401" s="84" t="str">
        <f>IF(AND(OR(LEFT(TH!N1401,2)="15",LEFT(TH!O1401,2)="15"),TK!$E$7=TH!F1401),"x","")</f>
        <v/>
      </c>
      <c r="AD1401" s="84" t="str">
        <f>IF(AND(N1401="1521",MONTH(C1401)='BK-NL'!$M$11),"x","")</f>
        <v/>
      </c>
      <c r="AE1401" s="343" t="str">
        <f t="shared" si="200"/>
        <v>x</v>
      </c>
    </row>
    <row r="1402" spans="1:31" s="347" customFormat="1" ht="15.75" hidden="1" customHeight="1">
      <c r="A1402" s="1176" t="str">
        <f>IF(B1402&lt;&gt;"",IF(AND(B1402='IN-TC'!$S$4,OR(TH!N1402="1111",TH!O1402="1111")),TH!D1402,""),"")</f>
        <v/>
      </c>
      <c r="B1402" s="1003">
        <f t="shared" ref="B1402:B1407" si="201">IF(C1402&lt;&gt;"",MONTH(C1402),"")</f>
        <v>5</v>
      </c>
      <c r="C1402" s="1134">
        <v>42521</v>
      </c>
      <c r="D1402" s="1134" t="s">
        <v>582</v>
      </c>
      <c r="E1402" s="1134">
        <v>42496</v>
      </c>
      <c r="F1402" s="82" t="s">
        <v>1496</v>
      </c>
      <c r="G1402" s="1004" t="s">
        <v>1560</v>
      </c>
      <c r="H1402" s="322" t="s">
        <v>632</v>
      </c>
      <c r="I1402" s="437"/>
      <c r="J1402" s="437"/>
      <c r="K1402" s="428"/>
      <c r="L1402" s="437"/>
      <c r="M1402" s="83">
        <v>25896900</v>
      </c>
      <c r="N1402" s="1128" t="s">
        <v>282</v>
      </c>
      <c r="O1402" s="84" t="s">
        <v>8</v>
      </c>
      <c r="P1402" s="84" t="str">
        <f>IF(AND('331-CT'!$E$7=TH!H1402,OR(N1402="331",O1402="331")),"x","")</f>
        <v/>
      </c>
      <c r="Q1402" s="84" t="str">
        <f>IF(AND(B1402='111'!$L$11,OR($N1402=$Q$7,$O1402=$Q$7)),"x","")</f>
        <v/>
      </c>
      <c r="R1402" s="84" t="str">
        <f>IF(AND($N1402=$Q$7,$B1402&lt;'111'!$L$11),"x","")</f>
        <v/>
      </c>
      <c r="S1402" s="84" t="str">
        <f>IF(AND($O1402=$Q$7,$B1402&lt;'111'!$L$11),"x","")</f>
        <v/>
      </c>
      <c r="T1402" s="84" t="str">
        <f>IF(ISERROR(FIND('112'!$M$9,G1402,1)),"",IF((AND(FIND('112'!$M$9,G1402,1)&gt;=1,B1402='112'!$K$9,OR($N1402='112'!$I$6,$O1402='112'!$I$6))),"x",""))</f>
        <v/>
      </c>
      <c r="U1402" s="84" t="str">
        <f>IF(ISERROR(FIND('112'!$M$9,G1402,1)),"",IF((AND(LEFT(G1402,2)=LEFT('112'!$M$9,2),B1402&lt;'112'!$K$9,$N1402='112'!$I$6)),"x",""))</f>
        <v/>
      </c>
      <c r="V1402" s="84" t="str">
        <f>IF(ISERROR(FIND('112'!$M$9,G1402,1)),"",IF((AND(RIGHT(G1402,2)=RIGHT('112'!$M$9,2),B1402&lt;'112'!$K$9,$O1402='112'!$I$6)),"x",""))</f>
        <v/>
      </c>
      <c r="W1402" s="84" t="str">
        <f>IF(AND('341-CT'!$H$9=H1402,OR(LEFT(N1402,3)=$W$7,LEFT(O1402,3)=$W$7)),"x","")</f>
        <v/>
      </c>
      <c r="X1402" s="84" t="str">
        <f>IF(OR(TH!N1402=TH!$X$7,O1402=TH!$X$7),"x","")</f>
        <v/>
      </c>
      <c r="Y1402" s="84" t="str">
        <f>IF(AND(OR(N1402="131",O1402="131"),H1402='131-CT'!$H$9),"x","")</f>
        <v/>
      </c>
      <c r="Z1402" s="84"/>
      <c r="AA1402" s="84" t="str">
        <f>IF(AND(MONTH(E1402)='IN-NX'!$J$5,'IN-NX'!$D$7=D1402),"x","")</f>
        <v/>
      </c>
      <c r="AB1402" s="84" t="str">
        <f>IF(AND(OR(LEFT(TH!N1402,2)="15",LEFT(TH!O1402,2)="15"),LEFT(TH!O1402,3)&lt;&gt;"111",'152-CT'!$J$8=TH!F1402),"x","")</f>
        <v/>
      </c>
      <c r="AC1402" s="84" t="str">
        <f>IF(AND(OR(LEFT(TH!N1402,2)="15",LEFT(TH!O1402,2)="15"),TK!$E$7=TH!F1402),"x","")</f>
        <v/>
      </c>
      <c r="AD1402" s="84" t="str">
        <f>IF(AND(N1402="1521",MONTH(C1402)='BK-NL'!$M$11),"x","")</f>
        <v/>
      </c>
      <c r="AE1402" s="343" t="str">
        <f t="shared" si="200"/>
        <v>x</v>
      </c>
    </row>
    <row r="1403" spans="1:31" s="347" customFormat="1" ht="15.75" hidden="1" customHeight="1">
      <c r="A1403" s="1176" t="str">
        <f>IF(B1403&lt;&gt;"",IF(AND(B1403='IN-TC'!$S$4,OR(TH!N1403="1111",TH!O1403="1111")),TH!D1403,""),"")</f>
        <v/>
      </c>
      <c r="B1403" s="1003">
        <f t="shared" si="201"/>
        <v>5</v>
      </c>
      <c r="C1403" s="1134">
        <v>42521</v>
      </c>
      <c r="D1403" s="1134" t="s">
        <v>582</v>
      </c>
      <c r="E1403" s="1134">
        <v>42496</v>
      </c>
      <c r="F1403" s="82" t="s">
        <v>1497</v>
      </c>
      <c r="G1403" s="1004" t="s">
        <v>1560</v>
      </c>
      <c r="H1403" s="322" t="s">
        <v>632</v>
      </c>
      <c r="I1403" s="437"/>
      <c r="J1403" s="437"/>
      <c r="K1403" s="428"/>
      <c r="L1403" s="437"/>
      <c r="M1403" s="83">
        <v>2589690</v>
      </c>
      <c r="N1403" s="1128" t="s">
        <v>9</v>
      </c>
      <c r="O1403" s="84" t="s">
        <v>8</v>
      </c>
      <c r="P1403" s="84" t="str">
        <f>IF(AND('331-CT'!$E$7=TH!H1403,OR(N1403="331",O1403="331")),"x","")</f>
        <v/>
      </c>
      <c r="Q1403" s="84" t="str">
        <f>IF(AND(B1403='111'!$L$11,OR($N1403=$Q$7,$O1403=$Q$7)),"x","")</f>
        <v/>
      </c>
      <c r="R1403" s="84" t="str">
        <f>IF(AND($N1403=$Q$7,$B1403&lt;'111'!$L$11),"x","")</f>
        <v/>
      </c>
      <c r="S1403" s="84" t="str">
        <f>IF(AND($O1403=$Q$7,$B1403&lt;'111'!$L$11),"x","")</f>
        <v/>
      </c>
      <c r="T1403" s="84" t="str">
        <f>IF(ISERROR(FIND('112'!$M$9,G1403,1)),"",IF((AND(FIND('112'!$M$9,G1403,1)&gt;=1,B1403='112'!$K$9,OR($N1403='112'!$I$6,$O1403='112'!$I$6))),"x",""))</f>
        <v/>
      </c>
      <c r="U1403" s="84" t="str">
        <f>IF(ISERROR(FIND('112'!$M$9,G1403,1)),"",IF((AND(LEFT(G1403,2)=LEFT('112'!$M$9,2),B1403&lt;'112'!$K$9,$N1403='112'!$I$6)),"x",""))</f>
        <v/>
      </c>
      <c r="V1403" s="84" t="str">
        <f>IF(ISERROR(FIND('112'!$M$9,G1403,1)),"",IF((AND(RIGHT(G1403,2)=RIGHT('112'!$M$9,2),B1403&lt;'112'!$K$9,$O1403='112'!$I$6)),"x",""))</f>
        <v/>
      </c>
      <c r="W1403" s="84" t="str">
        <f>IF(AND('341-CT'!$H$9=H1403,OR(LEFT(N1403,3)=$W$7,LEFT(O1403,3)=$W$7)),"x","")</f>
        <v/>
      </c>
      <c r="X1403" s="84" t="str">
        <f>IF(OR(TH!N1403=TH!$X$7,O1403=TH!$X$7),"x","")</f>
        <v/>
      </c>
      <c r="Y1403" s="84" t="str">
        <f>IF(AND(OR(N1403="131",O1403="131"),H1403='131-CT'!$H$9),"x","")</f>
        <v/>
      </c>
      <c r="Z1403" s="84"/>
      <c r="AA1403" s="84" t="str">
        <f>IF(AND(MONTH(E1403)='IN-NX'!$J$5,'IN-NX'!$D$7=D1403),"x","")</f>
        <v/>
      </c>
      <c r="AB1403" s="84" t="str">
        <f>IF(AND(OR(LEFT(TH!N1403,2)="15",LEFT(TH!O1403,2)="15"),LEFT(TH!O1403,3)&lt;&gt;"111",'152-CT'!$J$8=TH!F1403),"x","")</f>
        <v/>
      </c>
      <c r="AC1403" s="84" t="str">
        <f>IF(AND(OR(LEFT(TH!N1403,2)="15",LEFT(TH!O1403,2)="15"),TK!$E$7=TH!F1403),"x","")</f>
        <v/>
      </c>
      <c r="AD1403" s="84" t="str">
        <f>IF(AND(N1403="1521",MONTH(C1403)='BK-NL'!$M$11),"x","")</f>
        <v/>
      </c>
      <c r="AE1403" s="343" t="str">
        <f t="shared" si="200"/>
        <v>x</v>
      </c>
    </row>
    <row r="1404" spans="1:31" s="347" customFormat="1" ht="15.75" hidden="1" customHeight="1">
      <c r="A1404" s="1176" t="str">
        <f>IF(B1404&lt;&gt;"",IF(AND(B1404='IN-TC'!$S$4,OR(TH!N1404="1111",TH!O1404="1111")),TH!D1404,""),"")</f>
        <v/>
      </c>
      <c r="B1404" s="1003">
        <f t="shared" si="201"/>
        <v>5</v>
      </c>
      <c r="C1404" s="1134">
        <v>42521</v>
      </c>
      <c r="D1404" s="1134" t="s">
        <v>582</v>
      </c>
      <c r="E1404" s="1134">
        <v>42506</v>
      </c>
      <c r="F1404" s="82" t="s">
        <v>1498</v>
      </c>
      <c r="G1404" s="1004" t="s">
        <v>1561</v>
      </c>
      <c r="H1404" s="322" t="s">
        <v>632</v>
      </c>
      <c r="I1404" s="437"/>
      <c r="J1404" s="437"/>
      <c r="K1404" s="428"/>
      <c r="L1404" s="437"/>
      <c r="M1404" s="83">
        <v>32111500</v>
      </c>
      <c r="N1404" s="1128" t="s">
        <v>282</v>
      </c>
      <c r="O1404" s="84" t="s">
        <v>8</v>
      </c>
      <c r="P1404" s="84" t="str">
        <f>IF(AND('331-CT'!$E$7=TH!H1404,OR(N1404="331",O1404="331")),"x","")</f>
        <v/>
      </c>
      <c r="Q1404" s="84" t="str">
        <f>IF(AND(B1404='111'!$L$11,OR($N1404=$Q$7,$O1404=$Q$7)),"x","")</f>
        <v/>
      </c>
      <c r="R1404" s="84" t="str">
        <f>IF(AND($N1404=$Q$7,$B1404&lt;'111'!$L$11),"x","")</f>
        <v/>
      </c>
      <c r="S1404" s="84" t="str">
        <f>IF(AND($O1404=$Q$7,$B1404&lt;'111'!$L$11),"x","")</f>
        <v/>
      </c>
      <c r="T1404" s="84" t="str">
        <f>IF(ISERROR(FIND('112'!$M$9,G1404,1)),"",IF((AND(FIND('112'!$M$9,G1404,1)&gt;=1,B1404='112'!$K$9,OR($N1404='112'!$I$6,$O1404='112'!$I$6))),"x",""))</f>
        <v/>
      </c>
      <c r="U1404" s="84" t="str">
        <f>IF(ISERROR(FIND('112'!$M$9,G1404,1)),"",IF((AND(LEFT(G1404,2)=LEFT('112'!$M$9,2),B1404&lt;'112'!$K$9,$N1404='112'!$I$6)),"x",""))</f>
        <v/>
      </c>
      <c r="V1404" s="84" t="str">
        <f>IF(ISERROR(FIND('112'!$M$9,G1404,1)),"",IF((AND(RIGHT(G1404,2)=RIGHT('112'!$M$9,2),B1404&lt;'112'!$K$9,$O1404='112'!$I$6)),"x",""))</f>
        <v/>
      </c>
      <c r="W1404" s="84" t="str">
        <f>IF(AND('341-CT'!$H$9=H1404,OR(LEFT(N1404,3)=$W$7,LEFT(O1404,3)=$W$7)),"x","")</f>
        <v/>
      </c>
      <c r="X1404" s="84" t="str">
        <f>IF(OR(TH!N1404=TH!$X$7,O1404=TH!$X$7),"x","")</f>
        <v/>
      </c>
      <c r="Y1404" s="84" t="str">
        <f>IF(AND(OR(N1404="131",O1404="131"),H1404='131-CT'!$H$9),"x","")</f>
        <v/>
      </c>
      <c r="Z1404" s="84"/>
      <c r="AA1404" s="84" t="str">
        <f>IF(AND(MONTH(E1404)='IN-NX'!$J$5,'IN-NX'!$D$7=D1404),"x","")</f>
        <v/>
      </c>
      <c r="AB1404" s="84" t="str">
        <f>IF(AND(OR(LEFT(TH!N1404,2)="15",LEFT(TH!O1404,2)="15"),LEFT(TH!O1404,3)&lt;&gt;"111",'152-CT'!$J$8=TH!F1404),"x","")</f>
        <v/>
      </c>
      <c r="AC1404" s="84" t="str">
        <f>IF(AND(OR(LEFT(TH!N1404,2)="15",LEFT(TH!O1404,2)="15"),TK!$E$7=TH!F1404),"x","")</f>
        <v/>
      </c>
      <c r="AD1404" s="84" t="str">
        <f>IF(AND(N1404="1521",MONTH(C1404)='BK-NL'!$M$11),"x","")</f>
        <v/>
      </c>
      <c r="AE1404" s="343" t="str">
        <f t="shared" si="200"/>
        <v>x</v>
      </c>
    </row>
    <row r="1405" spans="1:31" s="347" customFormat="1" ht="15.75" hidden="1" customHeight="1">
      <c r="A1405" s="1176" t="str">
        <f>IF(B1405&lt;&gt;"",IF(AND(B1405='IN-TC'!$S$4,OR(TH!N1405="1111",TH!O1405="1111")),TH!D1405,""),"")</f>
        <v/>
      </c>
      <c r="B1405" s="1003">
        <f t="shared" si="201"/>
        <v>5</v>
      </c>
      <c r="C1405" s="1134">
        <v>42521</v>
      </c>
      <c r="D1405" s="1134" t="s">
        <v>582</v>
      </c>
      <c r="E1405" s="1134">
        <v>42506</v>
      </c>
      <c r="F1405" s="82" t="s">
        <v>1499</v>
      </c>
      <c r="G1405" s="1004" t="s">
        <v>1561</v>
      </c>
      <c r="H1405" s="322" t="s">
        <v>632</v>
      </c>
      <c r="I1405" s="437"/>
      <c r="J1405" s="437"/>
      <c r="K1405" s="428"/>
      <c r="L1405" s="437"/>
      <c r="M1405" s="83">
        <v>3211150</v>
      </c>
      <c r="N1405" s="1128" t="s">
        <v>9</v>
      </c>
      <c r="O1405" s="84" t="s">
        <v>8</v>
      </c>
      <c r="P1405" s="84" t="str">
        <f>IF(AND('331-CT'!$E$7=TH!H1405,OR(N1405="331",O1405="331")),"x","")</f>
        <v/>
      </c>
      <c r="Q1405" s="84" t="str">
        <f>IF(AND(B1405='111'!$L$11,OR($N1405=$Q$7,$O1405=$Q$7)),"x","")</f>
        <v/>
      </c>
      <c r="R1405" s="84" t="str">
        <f>IF(AND($N1405=$Q$7,$B1405&lt;'111'!$L$11),"x","")</f>
        <v/>
      </c>
      <c r="S1405" s="84" t="str">
        <f>IF(AND($O1405=$Q$7,$B1405&lt;'111'!$L$11),"x","")</f>
        <v/>
      </c>
      <c r="T1405" s="84" t="str">
        <f>IF(ISERROR(FIND('112'!$M$9,G1405,1)),"",IF((AND(FIND('112'!$M$9,G1405,1)&gt;=1,B1405='112'!$K$9,OR($N1405='112'!$I$6,$O1405='112'!$I$6))),"x",""))</f>
        <v/>
      </c>
      <c r="U1405" s="84" t="str">
        <f>IF(ISERROR(FIND('112'!$M$9,G1405,1)),"",IF((AND(LEFT(G1405,2)=LEFT('112'!$M$9,2),B1405&lt;'112'!$K$9,$N1405='112'!$I$6)),"x",""))</f>
        <v/>
      </c>
      <c r="V1405" s="84" t="str">
        <f>IF(ISERROR(FIND('112'!$M$9,G1405,1)),"",IF((AND(RIGHT(G1405,2)=RIGHT('112'!$M$9,2),B1405&lt;'112'!$K$9,$O1405='112'!$I$6)),"x",""))</f>
        <v/>
      </c>
      <c r="W1405" s="84" t="str">
        <f>IF(AND('341-CT'!$H$9=H1405,OR(LEFT(N1405,3)=$W$7,LEFT(O1405,3)=$W$7)),"x","")</f>
        <v/>
      </c>
      <c r="X1405" s="84" t="str">
        <f>IF(OR(TH!N1405=TH!$X$7,O1405=TH!$X$7),"x","")</f>
        <v/>
      </c>
      <c r="Y1405" s="84" t="str">
        <f>IF(AND(OR(N1405="131",O1405="131"),H1405='131-CT'!$H$9),"x","")</f>
        <v/>
      </c>
      <c r="Z1405" s="84"/>
      <c r="AA1405" s="84" t="str">
        <f>IF(AND(MONTH(E1405)='IN-NX'!$J$5,'IN-NX'!$D$7=D1405),"x","")</f>
        <v/>
      </c>
      <c r="AB1405" s="84" t="str">
        <f>IF(AND(OR(LEFT(TH!N1405,2)="15",LEFT(TH!O1405,2)="15"),LEFT(TH!O1405,3)&lt;&gt;"111",'152-CT'!$J$8=TH!F1405),"x","")</f>
        <v/>
      </c>
      <c r="AC1405" s="84" t="str">
        <f>IF(AND(OR(LEFT(TH!N1405,2)="15",LEFT(TH!O1405,2)="15"),TK!$E$7=TH!F1405),"x","")</f>
        <v/>
      </c>
      <c r="AD1405" s="84" t="str">
        <f>IF(AND(N1405="1521",MONTH(C1405)='BK-NL'!$M$11),"x","")</f>
        <v/>
      </c>
      <c r="AE1405" s="343" t="str">
        <f t="shared" si="200"/>
        <v>x</v>
      </c>
    </row>
    <row r="1406" spans="1:31" s="347" customFormat="1" ht="15.75" hidden="1" customHeight="1">
      <c r="A1406" s="1176" t="str">
        <f>IF(B1406&lt;&gt;"",IF(AND(B1406='IN-TC'!$S$4,OR(TH!N1406="1111",TH!O1406="1111")),TH!D1406,""),"")</f>
        <v/>
      </c>
      <c r="B1406" s="1003">
        <f t="shared" si="201"/>
        <v>5</v>
      </c>
      <c r="C1406" s="1134">
        <v>42521</v>
      </c>
      <c r="D1406" s="1134" t="s">
        <v>582</v>
      </c>
      <c r="E1406" s="1134">
        <v>42516</v>
      </c>
      <c r="F1406" s="82" t="s">
        <v>1500</v>
      </c>
      <c r="G1406" s="1004" t="s">
        <v>1562</v>
      </c>
      <c r="H1406" s="322" t="s">
        <v>632</v>
      </c>
      <c r="I1406" s="437"/>
      <c r="J1406" s="437"/>
      <c r="K1406" s="428"/>
      <c r="L1406" s="437"/>
      <c r="M1406" s="83">
        <v>28480300</v>
      </c>
      <c r="N1406" s="1128" t="s">
        <v>282</v>
      </c>
      <c r="O1406" s="84" t="s">
        <v>8</v>
      </c>
      <c r="P1406" s="84" t="str">
        <f>IF(AND('331-CT'!$E$7=TH!H1406,OR(N1406="331",O1406="331")),"x","")</f>
        <v/>
      </c>
      <c r="Q1406" s="84" t="str">
        <f>IF(AND(B1406='111'!$L$11,OR($N1406=$Q$7,$O1406=$Q$7)),"x","")</f>
        <v/>
      </c>
      <c r="R1406" s="84" t="str">
        <f>IF(AND($N1406=$Q$7,$B1406&lt;'111'!$L$11),"x","")</f>
        <v/>
      </c>
      <c r="S1406" s="84" t="str">
        <f>IF(AND($O1406=$Q$7,$B1406&lt;'111'!$L$11),"x","")</f>
        <v/>
      </c>
      <c r="T1406" s="84" t="str">
        <f>IF(ISERROR(FIND('112'!$M$9,G1406,1)),"",IF((AND(FIND('112'!$M$9,G1406,1)&gt;=1,B1406='112'!$K$9,OR($N1406='112'!$I$6,$O1406='112'!$I$6))),"x",""))</f>
        <v/>
      </c>
      <c r="U1406" s="84" t="str">
        <f>IF(ISERROR(FIND('112'!$M$9,G1406,1)),"",IF((AND(LEFT(G1406,2)=LEFT('112'!$M$9,2),B1406&lt;'112'!$K$9,$N1406='112'!$I$6)),"x",""))</f>
        <v/>
      </c>
      <c r="V1406" s="84" t="str">
        <f>IF(ISERROR(FIND('112'!$M$9,G1406,1)),"",IF((AND(RIGHT(G1406,2)=RIGHT('112'!$M$9,2),B1406&lt;'112'!$K$9,$O1406='112'!$I$6)),"x",""))</f>
        <v/>
      </c>
      <c r="W1406" s="84" t="str">
        <f>IF(AND('341-CT'!$H$9=H1406,OR(LEFT(N1406,3)=$W$7,LEFT(O1406,3)=$W$7)),"x","")</f>
        <v/>
      </c>
      <c r="X1406" s="84" t="str">
        <f>IF(OR(TH!N1406=TH!$X$7,O1406=TH!$X$7),"x","")</f>
        <v/>
      </c>
      <c r="Y1406" s="84" t="str">
        <f>IF(AND(OR(N1406="131",O1406="131"),H1406='131-CT'!$H$9),"x","")</f>
        <v/>
      </c>
      <c r="Z1406" s="84"/>
      <c r="AA1406" s="84" t="str">
        <f>IF(AND(MONTH(E1406)='IN-NX'!$J$5,'IN-NX'!$D$7=D1406),"x","")</f>
        <v/>
      </c>
      <c r="AB1406" s="84" t="str">
        <f>IF(AND(OR(LEFT(TH!N1406,2)="15",LEFT(TH!O1406,2)="15"),LEFT(TH!O1406,3)&lt;&gt;"111",'152-CT'!$J$8=TH!F1406),"x","")</f>
        <v/>
      </c>
      <c r="AC1406" s="84" t="str">
        <f>IF(AND(OR(LEFT(TH!N1406,2)="15",LEFT(TH!O1406,2)="15"),TK!$E$7=TH!F1406),"x","")</f>
        <v/>
      </c>
      <c r="AD1406" s="84" t="str">
        <f>IF(AND(N1406="1521",MONTH(C1406)='BK-NL'!$M$11),"x","")</f>
        <v/>
      </c>
      <c r="AE1406" s="343" t="str">
        <f t="shared" si="200"/>
        <v>x</v>
      </c>
    </row>
    <row r="1407" spans="1:31" s="347" customFormat="1" ht="15.75" hidden="1" customHeight="1">
      <c r="A1407" s="1176" t="str">
        <f>IF(B1407&lt;&gt;"",IF(AND(B1407='IN-TC'!$S$4,OR(TH!N1407="1111",TH!O1407="1111")),TH!D1407,""),"")</f>
        <v/>
      </c>
      <c r="B1407" s="1003">
        <f t="shared" si="201"/>
        <v>5</v>
      </c>
      <c r="C1407" s="1134">
        <v>42521</v>
      </c>
      <c r="D1407" s="1134" t="s">
        <v>582</v>
      </c>
      <c r="E1407" s="1134">
        <v>42516</v>
      </c>
      <c r="F1407" s="82" t="s">
        <v>1501</v>
      </c>
      <c r="G1407" s="1004" t="s">
        <v>1562</v>
      </c>
      <c r="H1407" s="322" t="s">
        <v>632</v>
      </c>
      <c r="I1407" s="437"/>
      <c r="J1407" s="437"/>
      <c r="K1407" s="428"/>
      <c r="L1407" s="437"/>
      <c r="M1407" s="83">
        <v>2848030</v>
      </c>
      <c r="N1407" s="1128" t="s">
        <v>9</v>
      </c>
      <c r="O1407" s="84" t="s">
        <v>8</v>
      </c>
      <c r="P1407" s="84" t="str">
        <f>IF(AND('331-CT'!$E$7=TH!H1407,OR(N1407="331",O1407="331")),"x","")</f>
        <v/>
      </c>
      <c r="Q1407" s="84" t="str">
        <f>IF(AND(B1407='111'!$L$11,OR($N1407=$Q$7,$O1407=$Q$7)),"x","")</f>
        <v/>
      </c>
      <c r="R1407" s="84" t="str">
        <f>IF(AND($N1407=$Q$7,$B1407&lt;'111'!$L$11),"x","")</f>
        <v/>
      </c>
      <c r="S1407" s="84" t="str">
        <f>IF(AND($O1407=$Q$7,$B1407&lt;'111'!$L$11),"x","")</f>
        <v/>
      </c>
      <c r="T1407" s="84" t="str">
        <f>IF(ISERROR(FIND('112'!$M$9,G1407,1)),"",IF((AND(FIND('112'!$M$9,G1407,1)&gt;=1,B1407='112'!$K$9,OR($N1407='112'!$I$6,$O1407='112'!$I$6))),"x",""))</f>
        <v/>
      </c>
      <c r="U1407" s="84" t="str">
        <f>IF(ISERROR(FIND('112'!$M$9,G1407,1)),"",IF((AND(LEFT(G1407,2)=LEFT('112'!$M$9,2),B1407&lt;'112'!$K$9,$N1407='112'!$I$6)),"x",""))</f>
        <v/>
      </c>
      <c r="V1407" s="84" t="str">
        <f>IF(ISERROR(FIND('112'!$M$9,G1407,1)),"",IF((AND(RIGHT(G1407,2)=RIGHT('112'!$M$9,2),B1407&lt;'112'!$K$9,$O1407='112'!$I$6)),"x",""))</f>
        <v/>
      </c>
      <c r="W1407" s="84" t="str">
        <f>IF(AND('341-CT'!$H$9=H1407,OR(LEFT(N1407,3)=$W$7,LEFT(O1407,3)=$W$7)),"x","")</f>
        <v/>
      </c>
      <c r="X1407" s="84" t="str">
        <f>IF(OR(TH!N1407=TH!$X$7,O1407=TH!$X$7),"x","")</f>
        <v/>
      </c>
      <c r="Y1407" s="84" t="str">
        <f>IF(AND(OR(N1407="131",O1407="131"),H1407='131-CT'!$H$9),"x","")</f>
        <v/>
      </c>
      <c r="Z1407" s="84"/>
      <c r="AA1407" s="84" t="str">
        <f>IF(AND(MONTH(E1407)='IN-NX'!$J$5,'IN-NX'!$D$7=D1407),"x","")</f>
        <v/>
      </c>
      <c r="AB1407" s="84" t="str">
        <f>IF(AND(OR(LEFT(TH!N1407,2)="15",LEFT(TH!O1407,2)="15"),LEFT(TH!O1407,3)&lt;&gt;"111",'152-CT'!$J$8=TH!F1407),"x","")</f>
        <v/>
      </c>
      <c r="AC1407" s="84" t="str">
        <f>IF(AND(OR(LEFT(TH!N1407,2)="15",LEFT(TH!O1407,2)="15"),TK!$E$7=TH!F1407),"x","")</f>
        <v/>
      </c>
      <c r="AD1407" s="84" t="str">
        <f>IF(AND(N1407="1521",MONTH(C1407)='BK-NL'!$M$11),"x","")</f>
        <v/>
      </c>
      <c r="AE1407" s="343" t="str">
        <f t="shared" si="200"/>
        <v>x</v>
      </c>
    </row>
    <row r="1408" spans="1:31" ht="15.75" hidden="1" customHeight="1">
      <c r="A1408" s="336" t="str">
        <f>IF(B1408&lt;&gt;"",IF(AND(B1408='IN-TC'!$S$4,OR(TH!N1408="1111",TH!O1408="1111")),TH!D1408,""),"")</f>
        <v/>
      </c>
      <c r="B1408" s="63">
        <f t="shared" si="195"/>
        <v>5</v>
      </c>
      <c r="C1408" s="64">
        <f t="shared" ref="C1408:C1418" si="202">E1408</f>
        <v>42502</v>
      </c>
      <c r="D1408" s="318"/>
      <c r="E1408" s="64">
        <v>42502</v>
      </c>
      <c r="F1408" s="73" t="s">
        <v>224</v>
      </c>
      <c r="G1408" s="982" t="s">
        <v>1487</v>
      </c>
      <c r="H1408" s="344" t="s">
        <v>621</v>
      </c>
      <c r="I1408" s="441">
        <v>450</v>
      </c>
      <c r="J1408" s="441">
        <v>19565.650000000001</v>
      </c>
      <c r="K1408" s="432"/>
      <c r="L1408" s="441"/>
      <c r="M1408" s="65">
        <f>ROUND(I1408*J1408,0)</f>
        <v>8804543</v>
      </c>
      <c r="N1408" s="321" t="s">
        <v>282</v>
      </c>
      <c r="O1408" s="66" t="s">
        <v>63</v>
      </c>
      <c r="P1408" s="84" t="str">
        <f>IF(AND('331-CT'!$E$7=TH!H1408,OR(N1408="331",O1408="331")),"x","")</f>
        <v/>
      </c>
      <c r="Q1408" s="84" t="str">
        <f>IF(AND(B1408='111'!$L$11,OR($N1408=$Q$7,$O1408=$Q$7)),"x","")</f>
        <v/>
      </c>
      <c r="R1408" s="84" t="str">
        <f>IF(AND($N1408=$Q$7,$B1408&lt;'111'!$L$11),"x","")</f>
        <v/>
      </c>
      <c r="S1408" s="84" t="str">
        <f>IF(AND($O1408=$Q$7,$B1408&lt;'111'!$L$11),"x","")</f>
        <v/>
      </c>
      <c r="T1408" s="84" t="str">
        <f>IF(ISERROR(FIND('112'!$M$9,G1408,1)),"",IF((AND(FIND('112'!$M$9,G1408,1)&gt;=1,B1408='112'!$K$9,OR($N1408='112'!$I$6,$O1408='112'!$I$6))),"x",""))</f>
        <v/>
      </c>
      <c r="U1408" s="84" t="str">
        <f>IF(ISERROR(FIND('112'!$M$9,G1408,1)),"",IF((AND(LEFT(G1408,2)=LEFT('112'!$M$9,2),B1408&lt;'112'!$K$9,$N1408='112'!$I$6)),"x",""))</f>
        <v/>
      </c>
      <c r="V1408" s="84" t="str">
        <f>IF(ISERROR(FIND('112'!$M$9,G1408,1)),"",IF((AND(RIGHT(G1408,2)=RIGHT('112'!$M$9,2),B1408&lt;'112'!$K$9,$O1408='112'!$I$6)),"x",""))</f>
        <v/>
      </c>
      <c r="W1408" s="84" t="str">
        <f>IF(AND('341-CT'!$H$9=H1408,OR(LEFT(N1408,3)=$W$7,LEFT(O1408,3)=$W$7)),"x","")</f>
        <v/>
      </c>
      <c r="X1408" s="84" t="str">
        <f>IF(OR(TH!N1408=TH!$X$7,O1408=TH!$X$7),"x","")</f>
        <v/>
      </c>
      <c r="Y1408" s="84" t="str">
        <f>IF(AND(OR(N1408="131",O1408="131"),H1408='131-CT'!$H$9),"x","")</f>
        <v/>
      </c>
      <c r="Z1408" s="84"/>
      <c r="AA1408" s="84" t="str">
        <f>IF(AND(MONTH(E1408)='IN-NX'!$J$5,'IN-NX'!$D$7=D1408),"x","")</f>
        <v/>
      </c>
      <c r="AB1408" s="84" t="str">
        <f>IF(AND(OR(LEFT(TH!N1408,2)="15",LEFT(TH!O1408,2)="15"),LEFT(TH!O1408,3)&lt;&gt;"111",'152-CT'!$J$8=TH!F1408),"x","")</f>
        <v/>
      </c>
      <c r="AC1408" s="84" t="str">
        <f>IF(AND(OR(LEFT(TH!N1408,2)="15",LEFT(TH!O1408,2)="15"),TK!$E$7=TH!F1408),"x","")</f>
        <v/>
      </c>
      <c r="AD1408" s="84" t="str">
        <f>IF(AND(N1408="1521",MONTH(C1408)='BK-NL'!$M$11),"x","")</f>
        <v/>
      </c>
    </row>
    <row r="1409" spans="1:31" ht="15.75" hidden="1" customHeight="1">
      <c r="A1409" s="336" t="str">
        <f>IF(B1409&lt;&gt;"",IF(AND(B1409='IN-TC'!$S$4,OR(TH!N1409="1111",TH!O1409="1111")),TH!D1409,""),"")</f>
        <v/>
      </c>
      <c r="B1409" s="63">
        <f t="shared" si="195"/>
        <v>5</v>
      </c>
      <c r="C1409" s="64">
        <f t="shared" si="202"/>
        <v>42502</v>
      </c>
      <c r="D1409" s="318"/>
      <c r="E1409" s="64">
        <v>42502</v>
      </c>
      <c r="F1409" s="73" t="s">
        <v>1355</v>
      </c>
      <c r="G1409" s="982" t="s">
        <v>1487</v>
      </c>
      <c r="H1409" s="344" t="s">
        <v>621</v>
      </c>
      <c r="I1409" s="441"/>
      <c r="J1409" s="441"/>
      <c r="K1409" s="432"/>
      <c r="L1409" s="441"/>
      <c r="M1409" s="65">
        <v>880454</v>
      </c>
      <c r="N1409" s="321" t="s">
        <v>9</v>
      </c>
      <c r="O1409" s="66" t="s">
        <v>63</v>
      </c>
      <c r="P1409" s="84" t="str">
        <f>IF(AND('331-CT'!$E$7=TH!H1409,OR(N1409="331",O1409="331")),"x","")</f>
        <v/>
      </c>
      <c r="Q1409" s="84" t="str">
        <f>IF(AND(B1409='111'!$L$11,OR($N1409=$Q$7,$O1409=$Q$7)),"x","")</f>
        <v/>
      </c>
      <c r="R1409" s="84" t="str">
        <f>IF(AND($N1409=$Q$7,$B1409&lt;'111'!$L$11),"x","")</f>
        <v/>
      </c>
      <c r="S1409" s="84" t="str">
        <f>IF(AND($O1409=$Q$7,$B1409&lt;'111'!$L$11),"x","")</f>
        <v/>
      </c>
      <c r="T1409" s="84" t="str">
        <f>IF(ISERROR(FIND('112'!$M$9,G1409,1)),"",IF((AND(FIND('112'!$M$9,G1409,1)&gt;=1,B1409='112'!$K$9,OR($N1409='112'!$I$6,$O1409='112'!$I$6))),"x",""))</f>
        <v/>
      </c>
      <c r="U1409" s="84" t="str">
        <f>IF(ISERROR(FIND('112'!$M$9,G1409,1)),"",IF((AND(LEFT(G1409,2)=LEFT('112'!$M$9,2),B1409&lt;'112'!$K$9,$N1409='112'!$I$6)),"x",""))</f>
        <v/>
      </c>
      <c r="V1409" s="84" t="str">
        <f>IF(ISERROR(FIND('112'!$M$9,G1409,1)),"",IF((AND(RIGHT(G1409,2)=RIGHT('112'!$M$9,2),B1409&lt;'112'!$K$9,$O1409='112'!$I$6)),"x",""))</f>
        <v/>
      </c>
      <c r="W1409" s="84" t="str">
        <f>IF(AND('341-CT'!$H$9=H1409,OR(LEFT(N1409,3)=$W$7,LEFT(O1409,3)=$W$7)),"x","")</f>
        <v/>
      </c>
      <c r="X1409" s="84" t="str">
        <f>IF(OR(TH!N1409=TH!$X$7,O1409=TH!$X$7),"x","")</f>
        <v/>
      </c>
      <c r="Y1409" s="84" t="str">
        <f>IF(AND(OR(N1409="131",O1409="131"),H1409='131-CT'!$H$9),"x","")</f>
        <v/>
      </c>
      <c r="Z1409" s="84"/>
      <c r="AA1409" s="84" t="str">
        <f>IF(AND(MONTH(E1409)='IN-NX'!$J$5,'IN-NX'!$D$7=D1409),"x","")</f>
        <v/>
      </c>
      <c r="AB1409" s="84" t="str">
        <f>IF(AND(OR(LEFT(TH!N1409,2)="15",LEFT(TH!O1409,2)="15"),LEFT(TH!O1409,3)&lt;&gt;"111",'152-CT'!$J$8=TH!F1409),"x","")</f>
        <v/>
      </c>
      <c r="AC1409" s="84" t="str">
        <f>IF(AND(OR(LEFT(TH!N1409,2)="15",LEFT(TH!O1409,2)="15"),TK!$E$7=TH!F1409),"x","")</f>
        <v/>
      </c>
      <c r="AD1409" s="84" t="str">
        <f>IF(AND(N1409="1521",MONTH(C1409)='BK-NL'!$M$11),"x","")</f>
        <v/>
      </c>
    </row>
    <row r="1410" spans="1:31" ht="15.75" hidden="1" customHeight="1">
      <c r="A1410" s="336" t="str">
        <f>IF(B1410&lt;&gt;"",IF(AND(B1410='IN-TC'!$S$4,OR(TH!N1410="1111",TH!O1410="1111")),TH!D1410,""),"")</f>
        <v/>
      </c>
      <c r="B1410" s="63">
        <f>IF(C1410&lt;&gt;"",MONTH(C1410),"")</f>
        <v>5</v>
      </c>
      <c r="C1410" s="64">
        <f t="shared" si="202"/>
        <v>42520</v>
      </c>
      <c r="D1410" s="318"/>
      <c r="E1410" s="64">
        <v>42520</v>
      </c>
      <c r="F1410" s="73" t="s">
        <v>224</v>
      </c>
      <c r="G1410" s="982" t="s">
        <v>1526</v>
      </c>
      <c r="H1410" s="344" t="s">
        <v>621</v>
      </c>
      <c r="I1410" s="441">
        <v>450</v>
      </c>
      <c r="J1410" s="441">
        <v>19565.57</v>
      </c>
      <c r="K1410" s="432"/>
      <c r="L1410" s="441"/>
      <c r="M1410" s="65">
        <f>ROUND(I1410*J1410,0)</f>
        <v>8804507</v>
      </c>
      <c r="N1410" s="321" t="s">
        <v>282</v>
      </c>
      <c r="O1410" s="66" t="s">
        <v>63</v>
      </c>
      <c r="P1410" s="84" t="str">
        <f>IF(AND('331-CT'!$E$7=TH!H1410,OR(N1410="331",O1410="331")),"x","")</f>
        <v/>
      </c>
      <c r="Q1410" s="84" t="str">
        <f>IF(AND(B1410='111'!$L$11,OR($N1410=$Q$7,$O1410=$Q$7)),"x","")</f>
        <v/>
      </c>
      <c r="R1410" s="84" t="str">
        <f>IF(AND($N1410=$Q$7,$B1410&lt;'111'!$L$11),"x","")</f>
        <v/>
      </c>
      <c r="S1410" s="84" t="str">
        <f>IF(AND($O1410=$Q$7,$B1410&lt;'111'!$L$11),"x","")</f>
        <v/>
      </c>
      <c r="T1410" s="84" t="str">
        <f>IF(ISERROR(FIND('112'!$M$9,G1410,1)),"",IF((AND(FIND('112'!$M$9,G1410,1)&gt;=1,B1410='112'!$K$9,OR($N1410='112'!$I$6,$O1410='112'!$I$6))),"x",""))</f>
        <v/>
      </c>
      <c r="U1410" s="84" t="str">
        <f>IF(ISERROR(FIND('112'!$M$9,G1410,1)),"",IF((AND(LEFT(G1410,2)=LEFT('112'!$M$9,2),B1410&lt;'112'!$K$9,$N1410='112'!$I$6)),"x",""))</f>
        <v/>
      </c>
      <c r="V1410" s="84" t="str">
        <f>IF(ISERROR(FIND('112'!$M$9,G1410,1)),"",IF((AND(RIGHT(G1410,2)=RIGHT('112'!$M$9,2),B1410&lt;'112'!$K$9,$O1410='112'!$I$6)),"x",""))</f>
        <v/>
      </c>
      <c r="W1410" s="84" t="str">
        <f>IF(AND('341-CT'!$H$9=H1410,OR(LEFT(N1410,3)=$W$7,LEFT(O1410,3)=$W$7)),"x","")</f>
        <v/>
      </c>
      <c r="X1410" s="84" t="str">
        <f>IF(OR(TH!N1410=TH!$X$7,O1410=TH!$X$7),"x","")</f>
        <v/>
      </c>
      <c r="Y1410" s="84" t="str">
        <f>IF(AND(OR(N1410="131",O1410="131"),H1410='131-CT'!$H$9),"x","")</f>
        <v/>
      </c>
      <c r="Z1410" s="84"/>
      <c r="AA1410" s="84" t="str">
        <f>IF(AND(MONTH(E1410)='IN-NX'!$J$5,'IN-NX'!$D$7=D1410),"x","")</f>
        <v/>
      </c>
      <c r="AB1410" s="84" t="str">
        <f>IF(AND(OR(LEFT(TH!N1410,2)="15",LEFT(TH!O1410,2)="15"),LEFT(TH!O1410,3)&lt;&gt;"111",'152-CT'!$J$8=TH!F1410),"x","")</f>
        <v/>
      </c>
      <c r="AC1410" s="84" t="str">
        <f>IF(AND(OR(LEFT(TH!N1410,2)="15",LEFT(TH!O1410,2)="15"),TK!$E$7=TH!F1410),"x","")</f>
        <v/>
      </c>
      <c r="AD1410" s="84" t="str">
        <f>IF(AND(N1410="1521",MONTH(C1410)='BK-NL'!$M$11),"x","")</f>
        <v/>
      </c>
    </row>
    <row r="1411" spans="1:31" ht="15.75" hidden="1" customHeight="1">
      <c r="A1411" s="336" t="str">
        <f>IF(B1411&lt;&gt;"",IF(AND(B1411='IN-TC'!$S$4,OR(TH!N1411="1111",TH!O1411="1111")),TH!D1411,""),"")</f>
        <v/>
      </c>
      <c r="B1411" s="63">
        <f>IF(C1411&lt;&gt;"",MONTH(C1411),"")</f>
        <v>5</v>
      </c>
      <c r="C1411" s="64">
        <f t="shared" si="202"/>
        <v>42520</v>
      </c>
      <c r="D1411" s="318"/>
      <c r="E1411" s="64">
        <v>42520</v>
      </c>
      <c r="F1411" s="73" t="s">
        <v>1355</v>
      </c>
      <c r="G1411" s="982" t="s">
        <v>1526</v>
      </c>
      <c r="H1411" s="344" t="s">
        <v>621</v>
      </c>
      <c r="I1411" s="441"/>
      <c r="J1411" s="441"/>
      <c r="K1411" s="432"/>
      <c r="L1411" s="441"/>
      <c r="M1411" s="65">
        <v>880451</v>
      </c>
      <c r="N1411" s="321" t="s">
        <v>9</v>
      </c>
      <c r="O1411" s="66" t="s">
        <v>63</v>
      </c>
      <c r="P1411" s="84" t="str">
        <f>IF(AND('331-CT'!$E$7=TH!H1411,OR(N1411="331",O1411="331")),"x","")</f>
        <v/>
      </c>
      <c r="Q1411" s="84" t="str">
        <f>IF(AND(B1411='111'!$L$11,OR($N1411=$Q$7,$O1411=$Q$7)),"x","")</f>
        <v/>
      </c>
      <c r="R1411" s="84" t="str">
        <f>IF(AND($N1411=$Q$7,$B1411&lt;'111'!$L$11),"x","")</f>
        <v/>
      </c>
      <c r="S1411" s="84" t="str">
        <f>IF(AND($O1411=$Q$7,$B1411&lt;'111'!$L$11),"x","")</f>
        <v/>
      </c>
      <c r="T1411" s="84" t="str">
        <f>IF(ISERROR(FIND('112'!$M$9,G1411,1)),"",IF((AND(FIND('112'!$M$9,G1411,1)&gt;=1,B1411='112'!$K$9,OR($N1411='112'!$I$6,$O1411='112'!$I$6))),"x",""))</f>
        <v/>
      </c>
      <c r="U1411" s="84" t="str">
        <f>IF(ISERROR(FIND('112'!$M$9,G1411,1)),"",IF((AND(LEFT(G1411,2)=LEFT('112'!$M$9,2),B1411&lt;'112'!$K$9,$N1411='112'!$I$6)),"x",""))</f>
        <v/>
      </c>
      <c r="V1411" s="84" t="str">
        <f>IF(ISERROR(FIND('112'!$M$9,G1411,1)),"",IF((AND(RIGHT(G1411,2)=RIGHT('112'!$M$9,2),B1411&lt;'112'!$K$9,$O1411='112'!$I$6)),"x",""))</f>
        <v/>
      </c>
      <c r="W1411" s="84" t="str">
        <f>IF(AND('341-CT'!$H$9=H1411,OR(LEFT(N1411,3)=$W$7,LEFT(O1411,3)=$W$7)),"x","")</f>
        <v/>
      </c>
      <c r="X1411" s="84" t="str">
        <f>IF(OR(TH!N1411=TH!$X$7,O1411=TH!$X$7),"x","")</f>
        <v/>
      </c>
      <c r="Y1411" s="84" t="str">
        <f>IF(AND(OR(N1411="131",O1411="131"),H1411='131-CT'!$H$9),"x","")</f>
        <v/>
      </c>
      <c r="Z1411" s="84"/>
      <c r="AA1411" s="84" t="str">
        <f>IF(AND(MONTH(E1411)='IN-NX'!$J$5,'IN-NX'!$D$7=D1411),"x","")</f>
        <v/>
      </c>
      <c r="AB1411" s="84" t="str">
        <f>IF(AND(OR(LEFT(TH!N1411,2)="15",LEFT(TH!O1411,2)="15"),LEFT(TH!O1411,3)&lt;&gt;"111",'152-CT'!$J$8=TH!F1411),"x","")</f>
        <v/>
      </c>
      <c r="AC1411" s="84" t="str">
        <f>IF(AND(OR(LEFT(TH!N1411,2)="15",LEFT(TH!O1411,2)="15"),TK!$E$7=TH!F1411),"x","")</f>
        <v/>
      </c>
      <c r="AD1411" s="84" t="str">
        <f>IF(AND(N1411="1521",MONTH(C1411)='BK-NL'!$M$11),"x","")</f>
        <v/>
      </c>
    </row>
    <row r="1412" spans="1:31" ht="15.75" hidden="1" customHeight="1">
      <c r="A1412" s="336" t="str">
        <f>IF(B1412&lt;&gt;"",IF(AND(B1412='IN-TC'!$S$4,OR(TH!N1412="1111",TH!O1412="1111")),TH!D1412,""),"")</f>
        <v/>
      </c>
      <c r="B1412" s="63">
        <f t="shared" si="195"/>
        <v>5</v>
      </c>
      <c r="C1412" s="64">
        <f t="shared" si="202"/>
        <v>42508</v>
      </c>
      <c r="D1412" s="64" t="s">
        <v>702</v>
      </c>
      <c r="E1412" s="64">
        <v>42508</v>
      </c>
      <c r="F1412" s="73" t="s">
        <v>1457</v>
      </c>
      <c r="G1412" s="982" t="s">
        <v>919</v>
      </c>
      <c r="H1412" s="344" t="s">
        <v>601</v>
      </c>
      <c r="I1412" s="439"/>
      <c r="J1412" s="439"/>
      <c r="K1412" s="430">
        <v>70606.179999999993</v>
      </c>
      <c r="L1412" s="439">
        <v>22270</v>
      </c>
      <c r="M1412" s="65">
        <f t="shared" ref="M1412:M1425" si="203">ROUND(K1412*L1412,0)</f>
        <v>1572399629</v>
      </c>
      <c r="N1412" s="66" t="s">
        <v>266</v>
      </c>
      <c r="O1412" s="66" t="s">
        <v>588</v>
      </c>
      <c r="P1412" s="84" t="str">
        <f>IF(AND('331-CT'!$E$7=TH!H1412,OR(N1412="331",O1412="331")),"x","")</f>
        <v/>
      </c>
      <c r="Q1412" s="84" t="str">
        <f>IF(AND(B1412='111'!$L$11,OR($N1412=$Q$7,$O1412=$Q$7)),"x","")</f>
        <v/>
      </c>
      <c r="R1412" s="84" t="str">
        <f>IF(AND($N1412=$Q$7,$B1412&lt;'111'!$L$11),"x","")</f>
        <v/>
      </c>
      <c r="S1412" s="84" t="str">
        <f>IF(AND($O1412=$Q$7,$B1412&lt;'111'!$L$11),"x","")</f>
        <v/>
      </c>
      <c r="T1412" s="84" t="str">
        <f>IF(ISERROR(FIND('112'!$M$9,G1412,1)),"",IF((AND(FIND('112'!$M$9,G1412,1)&gt;=1,B1412='112'!$K$9,OR($N1412='112'!$I$6,$O1412='112'!$I$6))),"x",""))</f>
        <v/>
      </c>
      <c r="U1412" s="84" t="str">
        <f>IF(ISERROR(FIND('112'!$M$9,G1412,1)),"",IF((AND(LEFT(G1412,2)=LEFT('112'!$M$9,2),B1412&lt;'112'!$K$9,$N1412='112'!$I$6)),"x",""))</f>
        <v/>
      </c>
      <c r="V1412" s="84" t="str">
        <f>IF(ISERROR(FIND('112'!$M$9,G1412,1)),"",IF((AND(RIGHT(G1412,2)=RIGHT('112'!$M$9,2),B1412&lt;'112'!$K$9,$O1412='112'!$I$6)),"x",""))</f>
        <v/>
      </c>
      <c r="W1412" s="84" t="str">
        <f>IF(AND('341-CT'!$H$9=H1412,OR(LEFT(N1412,3)=$W$7,LEFT(O1412,3)=$W$7)),"x","")</f>
        <v/>
      </c>
      <c r="X1412" s="84" t="str">
        <f>IF(OR(TH!N1412=TH!$X$7,O1412=TH!$X$7),"x","")</f>
        <v/>
      </c>
      <c r="Y1412" s="84" t="str">
        <f>IF(AND(OR(N1412="131",O1412="131"),H1412='131-CT'!$H$9),"x","")</f>
        <v>x</v>
      </c>
      <c r="Z1412" s="84"/>
      <c r="AA1412" s="84" t="str">
        <f>IF(AND(MONTH(E1412)='IN-NX'!$J$5,'IN-NX'!$D$7=D1412),"x","")</f>
        <v/>
      </c>
      <c r="AB1412" s="84" t="str">
        <f>IF(AND(OR(LEFT(TH!N1412,2)="15",LEFT(TH!O1412,2)="15"),LEFT(TH!O1412,3)&lt;&gt;"111",'152-CT'!$J$8=TH!F1412),"x","")</f>
        <v/>
      </c>
      <c r="AC1412" s="84" t="str">
        <f>IF(AND(OR(LEFT(TH!N1412,2)="15",LEFT(TH!O1412,2)="15"),TK!$E$7=TH!F1412),"x","")</f>
        <v/>
      </c>
      <c r="AD1412" s="84" t="str">
        <f>IF(AND(N1412="1521",MONTH(C1412)='BK-NL'!$M$11),"x","")</f>
        <v/>
      </c>
    </row>
    <row r="1413" spans="1:31" ht="15.75" hidden="1" customHeight="1">
      <c r="A1413" s="336" t="str">
        <f>IF(B1413&lt;&gt;"",IF(AND(B1413='IN-TC'!$S$4,OR(TH!N1413="1111",TH!O1413="1111")),TH!D1413,""),"")</f>
        <v/>
      </c>
      <c r="B1413" s="63">
        <f t="shared" ref="B1413:B1418" si="204">IF(C1413&lt;&gt;"",MONTH(C1413),"")</f>
        <v>5</v>
      </c>
      <c r="C1413" s="64">
        <f t="shared" si="202"/>
        <v>42508</v>
      </c>
      <c r="D1413" s="64" t="s">
        <v>582</v>
      </c>
      <c r="E1413" s="64">
        <v>42508</v>
      </c>
      <c r="F1413" s="73" t="s">
        <v>1518</v>
      </c>
      <c r="G1413" s="982" t="s">
        <v>919</v>
      </c>
      <c r="H1413" s="344" t="s">
        <v>601</v>
      </c>
      <c r="I1413" s="439"/>
      <c r="J1413" s="439"/>
      <c r="K1413" s="430">
        <v>106.2</v>
      </c>
      <c r="L1413" s="439">
        <v>22270</v>
      </c>
      <c r="M1413" s="65">
        <f>ROUND(K1413*L1413,0)</f>
        <v>2365074</v>
      </c>
      <c r="N1413" s="66" t="s">
        <v>101</v>
      </c>
      <c r="O1413" s="66" t="s">
        <v>588</v>
      </c>
      <c r="P1413" s="84" t="str">
        <f>IF(AND('331-CT'!$E$7=TH!H1413,OR(N1413="331",O1413="331")),"x","")</f>
        <v/>
      </c>
      <c r="Q1413" s="84" t="str">
        <f>IF(AND(B1413='111'!$L$11,OR($N1413=$Q$7,$O1413=$Q$7)),"x","")</f>
        <v/>
      </c>
      <c r="R1413" s="84" t="str">
        <f>IF(AND($N1413=$Q$7,$B1413&lt;'111'!$L$11),"x","")</f>
        <v/>
      </c>
      <c r="S1413" s="84" t="str">
        <f>IF(AND($O1413=$Q$7,$B1413&lt;'111'!$L$11),"x","")</f>
        <v/>
      </c>
      <c r="T1413" s="84" t="str">
        <f>IF(ISERROR(FIND('112'!$M$9,G1413,1)),"",IF((AND(FIND('112'!$M$9,G1413,1)&gt;=1,B1413='112'!$K$9,OR($N1413='112'!$I$6,$O1413='112'!$I$6))),"x",""))</f>
        <v/>
      </c>
      <c r="U1413" s="84" t="str">
        <f>IF(ISERROR(FIND('112'!$M$9,G1413,1)),"",IF((AND(LEFT(G1413,2)=LEFT('112'!$M$9,2),B1413&lt;'112'!$K$9,$N1413='112'!$I$6)),"x",""))</f>
        <v/>
      </c>
      <c r="V1413" s="84" t="str">
        <f>IF(ISERROR(FIND('112'!$M$9,G1413,1)),"",IF((AND(RIGHT(G1413,2)=RIGHT('112'!$M$9,2),B1413&lt;'112'!$K$9,$O1413='112'!$I$6)),"x",""))</f>
        <v/>
      </c>
      <c r="W1413" s="84" t="str">
        <f>IF(AND('341-CT'!$H$9=H1413,OR(LEFT(N1413,3)=$W$7,LEFT(O1413,3)=$W$7)),"x","")</f>
        <v/>
      </c>
      <c r="X1413" s="84" t="str">
        <f>IF(OR(TH!N1413=TH!$X$7,O1413=TH!$X$7),"x","")</f>
        <v/>
      </c>
      <c r="Y1413" s="84" t="str">
        <f>IF(AND(OR(N1413="131",O1413="131"),H1413='131-CT'!$H$9),"x","")</f>
        <v>x</v>
      </c>
      <c r="Z1413" s="84"/>
      <c r="AA1413" s="84" t="str">
        <f>IF(AND(MONTH(E1413)='IN-NX'!$J$5,'IN-NX'!$D$7=D1413),"x","")</f>
        <v/>
      </c>
      <c r="AB1413" s="84" t="str">
        <f>IF(AND(OR(LEFT(TH!N1413,2)="15",LEFT(TH!O1413,2)="15"),LEFT(TH!O1413,3)&lt;&gt;"111",'152-CT'!$J$8=TH!F1413),"x","")</f>
        <v/>
      </c>
      <c r="AC1413" s="84" t="str">
        <f>IF(AND(OR(LEFT(TH!N1413,2)="15",LEFT(TH!O1413,2)="15"),TK!$E$7=TH!F1413),"x","")</f>
        <v/>
      </c>
      <c r="AD1413" s="84" t="str">
        <f>IF(AND(N1413="1521",MONTH(C1413)='BK-NL'!$M$11),"x","")</f>
        <v/>
      </c>
    </row>
    <row r="1414" spans="1:31" ht="15.75" hidden="1" customHeight="1">
      <c r="A1414" s="336" t="str">
        <f>IF(B1414&lt;&gt;"",IF(AND(B1414='IN-TC'!$S$4,OR(TH!N1414="1111",TH!O1414="1111")),TH!D1414,""),"")</f>
        <v/>
      </c>
      <c r="B1414" s="63">
        <f t="shared" si="204"/>
        <v>5</v>
      </c>
      <c r="C1414" s="64">
        <f t="shared" si="202"/>
        <v>42508</v>
      </c>
      <c r="D1414" s="64" t="s">
        <v>582</v>
      </c>
      <c r="E1414" s="64">
        <v>42508</v>
      </c>
      <c r="F1414" s="73" t="s">
        <v>1518</v>
      </c>
      <c r="G1414" s="982" t="s">
        <v>919</v>
      </c>
      <c r="H1414" s="344" t="s">
        <v>601</v>
      </c>
      <c r="I1414" s="439"/>
      <c r="J1414" s="439"/>
      <c r="K1414" s="430">
        <v>10.62</v>
      </c>
      <c r="L1414" s="439">
        <v>22270</v>
      </c>
      <c r="M1414" s="65">
        <f>ROUND(K1414*L1414,0)</f>
        <v>236507</v>
      </c>
      <c r="N1414" s="66" t="s">
        <v>101</v>
      </c>
      <c r="O1414" s="66" t="s">
        <v>588</v>
      </c>
      <c r="P1414" s="84" t="str">
        <f>IF(AND('331-CT'!$E$7=TH!H1414,OR(N1414="331",O1414="331")),"x","")</f>
        <v/>
      </c>
      <c r="Q1414" s="84" t="str">
        <f>IF(AND(B1414='111'!$L$11,OR($N1414=$Q$7,$O1414=$Q$7)),"x","")</f>
        <v/>
      </c>
      <c r="R1414" s="84" t="str">
        <f>IF(AND($N1414=$Q$7,$B1414&lt;'111'!$L$11),"x","")</f>
        <v/>
      </c>
      <c r="S1414" s="84" t="str">
        <f>IF(AND($O1414=$Q$7,$B1414&lt;'111'!$L$11),"x","")</f>
        <v/>
      </c>
      <c r="T1414" s="84" t="str">
        <f>IF(ISERROR(FIND('112'!$M$9,G1414,1)),"",IF((AND(FIND('112'!$M$9,G1414,1)&gt;=1,B1414='112'!$K$9,OR($N1414='112'!$I$6,$O1414='112'!$I$6))),"x",""))</f>
        <v/>
      </c>
      <c r="U1414" s="84" t="str">
        <f>IF(ISERROR(FIND('112'!$M$9,G1414,1)),"",IF((AND(LEFT(G1414,2)=LEFT('112'!$M$9,2),B1414&lt;'112'!$K$9,$N1414='112'!$I$6)),"x",""))</f>
        <v/>
      </c>
      <c r="V1414" s="84" t="str">
        <f>IF(ISERROR(FIND('112'!$M$9,G1414,1)),"",IF((AND(RIGHT(G1414,2)=RIGHT('112'!$M$9,2),B1414&lt;'112'!$K$9,$O1414='112'!$I$6)),"x",""))</f>
        <v/>
      </c>
      <c r="W1414" s="84" t="str">
        <f>IF(AND('341-CT'!$H$9=H1414,OR(LEFT(N1414,3)=$W$7,LEFT(O1414,3)=$W$7)),"x","")</f>
        <v/>
      </c>
      <c r="X1414" s="84" t="str">
        <f>IF(OR(TH!N1414=TH!$X$7,O1414=TH!$X$7),"x","")</f>
        <v/>
      </c>
      <c r="Y1414" s="84" t="str">
        <f>IF(AND(OR(N1414="131",O1414="131"),H1414='131-CT'!$H$9),"x","")</f>
        <v>x</v>
      </c>
      <c r="Z1414" s="84"/>
      <c r="AA1414" s="84" t="str">
        <f>IF(AND(MONTH(E1414)='IN-NX'!$J$5,'IN-NX'!$D$7=D1414),"x","")</f>
        <v/>
      </c>
      <c r="AB1414" s="84" t="str">
        <f>IF(AND(OR(LEFT(TH!N1414,2)="15",LEFT(TH!O1414,2)="15"),LEFT(TH!O1414,3)&lt;&gt;"111",'152-CT'!$J$8=TH!F1414),"x","")</f>
        <v/>
      </c>
      <c r="AC1414" s="84" t="str">
        <f>IF(AND(OR(LEFT(TH!N1414,2)="15",LEFT(TH!O1414,2)="15"),TK!$E$7=TH!F1414),"x","")</f>
        <v/>
      </c>
      <c r="AD1414" s="84" t="str">
        <f>IF(AND(N1414="1521",MONTH(C1414)='BK-NL'!$M$11),"x","")</f>
        <v/>
      </c>
    </row>
    <row r="1415" spans="1:31" s="350" customFormat="1" ht="15.75" hidden="1" customHeight="1">
      <c r="A1415" s="336" t="str">
        <f>IF(B1415&lt;&gt;"",IF(AND(B1415='IN-TC'!$S$4,OR(TH!N1415="1111",TH!O1415="1111")),TH!D1415,""),"")</f>
        <v/>
      </c>
      <c r="B1415" s="1144">
        <f t="shared" si="204"/>
        <v>5</v>
      </c>
      <c r="C1415" s="94">
        <f t="shared" si="202"/>
        <v>42508</v>
      </c>
      <c r="D1415" s="94" t="s">
        <v>582</v>
      </c>
      <c r="E1415" s="94">
        <v>42508</v>
      </c>
      <c r="F1415" s="96" t="s">
        <v>1520</v>
      </c>
      <c r="G1415" s="1148" t="s">
        <v>919</v>
      </c>
      <c r="H1415" s="988" t="s">
        <v>601</v>
      </c>
      <c r="I1415" s="445"/>
      <c r="J1415" s="445"/>
      <c r="K1415" s="436">
        <v>79</v>
      </c>
      <c r="L1415" s="445">
        <v>22270</v>
      </c>
      <c r="M1415" s="97">
        <f>ROUND(K1415*L1415,0)</f>
        <v>1759330</v>
      </c>
      <c r="N1415" s="85" t="s">
        <v>9</v>
      </c>
      <c r="O1415" s="85" t="s">
        <v>588</v>
      </c>
      <c r="P1415" s="84" t="str">
        <f>IF(AND('331-CT'!$E$7=TH!H1415,OR(N1415="331",O1415="331")),"x","")</f>
        <v/>
      </c>
      <c r="Q1415" s="84" t="str">
        <f>IF(AND(B1415='111'!$L$11,OR($N1415=$Q$7,$O1415=$Q$7)),"x","")</f>
        <v/>
      </c>
      <c r="R1415" s="84" t="str">
        <f>IF(AND($N1415=$Q$7,$B1415&lt;'111'!$L$11),"x","")</f>
        <v/>
      </c>
      <c r="S1415" s="84" t="str">
        <f>IF(AND($O1415=$Q$7,$B1415&lt;'111'!$L$11),"x","")</f>
        <v/>
      </c>
      <c r="T1415" s="84" t="str">
        <f>IF(ISERROR(FIND('112'!$M$9,G1415,1)),"",IF((AND(FIND('112'!$M$9,G1415,1)&gt;=1,B1415='112'!$K$9,OR($N1415='112'!$I$6,$O1415='112'!$I$6))),"x",""))</f>
        <v/>
      </c>
      <c r="U1415" s="84" t="str">
        <f>IF(ISERROR(FIND('112'!$M$9,G1415,1)),"",IF((AND(LEFT(G1415,2)=LEFT('112'!$M$9,2),B1415&lt;'112'!$K$9,$N1415='112'!$I$6)),"x",""))</f>
        <v/>
      </c>
      <c r="V1415" s="84" t="str">
        <f>IF(ISERROR(FIND('112'!$M$9,G1415,1)),"",IF((AND(RIGHT(G1415,2)=RIGHT('112'!$M$9,2),B1415&lt;'112'!$K$9,$O1415='112'!$I$6)),"x",""))</f>
        <v/>
      </c>
      <c r="W1415" s="84" t="str">
        <f>IF(AND('341-CT'!$H$9=H1415,OR(LEFT(N1415,3)=$W$7,LEFT(O1415,3)=$W$7)),"x","")</f>
        <v/>
      </c>
      <c r="X1415" s="84" t="str">
        <f>IF(OR(TH!N1415=TH!$X$7,O1415=TH!$X$7),"x","")</f>
        <v/>
      </c>
      <c r="Y1415" s="84" t="str">
        <f>IF(AND(OR(N1415="131",O1415="131"),H1415='131-CT'!$H$9),"x","")</f>
        <v>x</v>
      </c>
      <c r="Z1415" s="84"/>
      <c r="AA1415" s="84" t="str">
        <f>IF(AND(MONTH(E1415)='IN-NX'!$J$5,'IN-NX'!$D$7=D1415),"x","")</f>
        <v/>
      </c>
      <c r="AB1415" s="84" t="str">
        <f>IF(AND(OR(LEFT(TH!N1415,2)="15",LEFT(TH!O1415,2)="15"),LEFT(TH!O1415,3)&lt;&gt;"111",'152-CT'!$J$8=TH!F1415),"x","")</f>
        <v/>
      </c>
      <c r="AC1415" s="84" t="str">
        <f>IF(AND(OR(LEFT(TH!N1415,2)="15",LEFT(TH!O1415,2)="15"),TK!$E$7=TH!F1415),"x","")</f>
        <v/>
      </c>
      <c r="AD1415" s="84" t="str">
        <f>IF(AND(N1415="1521",MONTH(C1415)='BK-NL'!$M$11),"x","")</f>
        <v/>
      </c>
      <c r="AE1415" s="330"/>
    </row>
    <row r="1416" spans="1:31" ht="15.75" hidden="1" customHeight="1">
      <c r="A1416" s="336" t="str">
        <f>IF(B1416&lt;&gt;"",IF(AND(B1416='IN-TC'!$S$4,OR(TH!N1416="1111",TH!O1416="1111")),TH!D1416,""),"")</f>
        <v/>
      </c>
      <c r="B1416" s="63">
        <f t="shared" si="204"/>
        <v>5</v>
      </c>
      <c r="C1416" s="64">
        <f t="shared" si="202"/>
        <v>42508</v>
      </c>
      <c r="D1416" s="64" t="s">
        <v>582</v>
      </c>
      <c r="E1416" s="64">
        <v>42508</v>
      </c>
      <c r="F1416" s="73" t="s">
        <v>1068</v>
      </c>
      <c r="G1416" s="982"/>
      <c r="H1416" s="344" t="s">
        <v>601</v>
      </c>
      <c r="I1416" s="439"/>
      <c r="J1416" s="439"/>
      <c r="K1416" s="430"/>
      <c r="L1416" s="439"/>
      <c r="M1416" s="65">
        <v>1062030</v>
      </c>
      <c r="N1416" s="66" t="s">
        <v>588</v>
      </c>
      <c r="O1416" s="66" t="s">
        <v>43</v>
      </c>
      <c r="P1416" s="84" t="str">
        <f>IF(AND('331-CT'!$E$7=TH!H1416,OR(N1416="331",O1416="331")),"x","")</f>
        <v/>
      </c>
      <c r="Q1416" s="84" t="str">
        <f>IF(AND(B1416='111'!$L$11,OR($N1416=$Q$7,$O1416=$Q$7)),"x","")</f>
        <v/>
      </c>
      <c r="R1416" s="84" t="str">
        <f>IF(AND($N1416=$Q$7,$B1416&lt;'111'!$L$11),"x","")</f>
        <v/>
      </c>
      <c r="S1416" s="84" t="str">
        <f>IF(AND($O1416=$Q$7,$B1416&lt;'111'!$L$11),"x","")</f>
        <v/>
      </c>
      <c r="T1416" s="84" t="str">
        <f>IF(ISERROR(FIND('112'!$M$9,G1416,1)),"",IF((AND(FIND('112'!$M$9,G1416,1)&gt;=1,B1416='112'!$K$9,OR($N1416='112'!$I$6,$O1416='112'!$I$6))),"x",""))</f>
        <v/>
      </c>
      <c r="U1416" s="84" t="str">
        <f>IF(ISERROR(FIND('112'!$M$9,G1416,1)),"",IF((AND(LEFT(G1416,2)=LEFT('112'!$M$9,2),B1416&lt;'112'!$K$9,$N1416='112'!$I$6)),"x",""))</f>
        <v/>
      </c>
      <c r="V1416" s="84" t="str">
        <f>IF(ISERROR(FIND('112'!$M$9,G1416,1)),"",IF((AND(RIGHT(G1416,2)=RIGHT('112'!$M$9,2),B1416&lt;'112'!$K$9,$O1416='112'!$I$6)),"x",""))</f>
        <v/>
      </c>
      <c r="W1416" s="84" t="str">
        <f>IF(AND('341-CT'!$H$9=H1416,OR(LEFT(N1416,3)=$W$7,LEFT(O1416,3)=$W$7)),"x","")</f>
        <v/>
      </c>
      <c r="X1416" s="84" t="str">
        <f>IF(OR(TH!N1416=TH!$X$7,O1416=TH!$X$7),"x","")</f>
        <v/>
      </c>
      <c r="Y1416" s="84" t="str">
        <f>IF(AND(OR(N1416="131",O1416="131"),H1416='131-CT'!$H$9),"x","")</f>
        <v>x</v>
      </c>
      <c r="Z1416" s="84"/>
      <c r="AA1416" s="84" t="str">
        <f>IF(AND(MONTH(E1416)='IN-NX'!$J$5,'IN-NX'!$D$7=D1416),"x","")</f>
        <v/>
      </c>
      <c r="AB1416" s="84" t="str">
        <f>IF(AND(OR(LEFT(TH!N1416,2)="15",LEFT(TH!O1416,2)="15"),LEFT(TH!O1416,3)&lt;&gt;"111",'152-CT'!$J$8=TH!F1416),"x","")</f>
        <v/>
      </c>
      <c r="AC1416" s="84" t="str">
        <f>IF(AND(OR(LEFT(TH!N1416,2)="15",LEFT(TH!O1416,2)="15"),TK!$E$7=TH!F1416),"x","")</f>
        <v/>
      </c>
      <c r="AD1416" s="84" t="str">
        <f>IF(AND(N1416="1521",MONTH(C1416)='BK-NL'!$M$11),"x","")</f>
        <v/>
      </c>
    </row>
    <row r="1417" spans="1:31" ht="15.75" hidden="1" customHeight="1">
      <c r="A1417" s="336" t="str">
        <f>IF(B1417&lt;&gt;"",IF(AND(B1417='IN-TC'!$S$4,OR(TH!N1417="1111",TH!O1417="1111")),TH!D1417,""),"")</f>
        <v/>
      </c>
      <c r="B1417" s="63">
        <f t="shared" si="204"/>
        <v>5</v>
      </c>
      <c r="C1417" s="64">
        <f t="shared" si="202"/>
        <v>42508</v>
      </c>
      <c r="D1417" s="64" t="s">
        <v>705</v>
      </c>
      <c r="E1417" s="64">
        <v>42508</v>
      </c>
      <c r="F1417" s="73" t="s">
        <v>1445</v>
      </c>
      <c r="G1417" s="982" t="s">
        <v>919</v>
      </c>
      <c r="H1417" s="344" t="s">
        <v>1547</v>
      </c>
      <c r="I1417" s="439"/>
      <c r="J1417" s="439"/>
      <c r="K1417" s="430">
        <v>63720</v>
      </c>
      <c r="L1417" s="439">
        <v>22260</v>
      </c>
      <c r="M1417" s="65">
        <f>ROUND(K1417*L1417,0)</f>
        <v>1418407200</v>
      </c>
      <c r="N1417" s="66" t="s">
        <v>26</v>
      </c>
      <c r="O1417" s="66" t="s">
        <v>266</v>
      </c>
      <c r="P1417" s="84" t="str">
        <f>IF(AND('331-CT'!$E$7=TH!H1417,OR(N1417="331",O1417="331")),"x","")</f>
        <v/>
      </c>
      <c r="Q1417" s="84" t="str">
        <f>IF(AND(B1417='111'!$L$11,OR($N1417=$Q$7,$O1417=$Q$7)),"x","")</f>
        <v/>
      </c>
      <c r="R1417" s="84" t="str">
        <f>IF(AND($N1417=$Q$7,$B1417&lt;'111'!$L$11),"x","")</f>
        <v/>
      </c>
      <c r="S1417" s="84" t="str">
        <f>IF(AND($O1417=$Q$7,$B1417&lt;'111'!$L$11),"x","")</f>
        <v/>
      </c>
      <c r="T1417" s="84" t="str">
        <f>IF(ISERROR(FIND('112'!$M$9,G1417,1)),"",IF((AND(FIND('112'!$M$9,G1417,1)&gt;=1,B1417='112'!$K$9,OR($N1417='112'!$I$6,$O1417='112'!$I$6))),"x",""))</f>
        <v/>
      </c>
      <c r="U1417" s="84" t="str">
        <f>IF(ISERROR(FIND('112'!$M$9,G1417,1)),"",IF((AND(LEFT(G1417,2)=LEFT('112'!$M$9,2),B1417&lt;'112'!$K$9,$N1417='112'!$I$6)),"x",""))</f>
        <v>x</v>
      </c>
      <c r="V1417" s="84" t="str">
        <f>IF(ISERROR(FIND('112'!$M$9,G1417,1)),"",IF((AND(RIGHT(G1417,2)=RIGHT('112'!$M$9,2),B1417&lt;'112'!$K$9,$O1417='112'!$I$6)),"x",""))</f>
        <v/>
      </c>
      <c r="W1417" s="84" t="str">
        <f>IF(AND('341-CT'!$H$9=H1417,OR(LEFT(N1417,3)=$W$7,LEFT(O1417,3)=$W$7)),"x","")</f>
        <v/>
      </c>
      <c r="X1417" s="84" t="str">
        <f>IF(OR(TH!N1417=TH!$X$7,O1417=TH!$X$7),"x","")</f>
        <v/>
      </c>
      <c r="Y1417" s="84" t="str">
        <f>IF(AND(OR(N1417="131",O1417="131"),H1417='131-CT'!$H$9),"x","")</f>
        <v/>
      </c>
      <c r="Z1417" s="84"/>
      <c r="AA1417" s="84" t="str">
        <f>IF(AND(MONTH(E1417)='IN-NX'!$J$5,'IN-NX'!$D$7=D1417),"x","")</f>
        <v/>
      </c>
      <c r="AB1417" s="84" t="str">
        <f>IF(AND(OR(LEFT(TH!N1417,2)="15",LEFT(TH!O1417,2)="15"),LEFT(TH!O1417,3)&lt;&gt;"111",'152-CT'!$J$8=TH!F1417),"x","")</f>
        <v/>
      </c>
      <c r="AC1417" s="84" t="str">
        <f>IF(AND(OR(LEFT(TH!N1417,2)="15",LEFT(TH!O1417,2)="15"),TK!$E$7=TH!F1417),"x","")</f>
        <v/>
      </c>
      <c r="AD1417" s="84" t="str">
        <f>IF(AND(N1417="1521",MONTH(C1417)='BK-NL'!$M$11),"x","")</f>
        <v/>
      </c>
    </row>
    <row r="1418" spans="1:31" ht="15.75" hidden="1" customHeight="1">
      <c r="A1418" s="336" t="str">
        <f>IF(B1418&lt;&gt;"",IF(AND(B1418='IN-TC'!$S$4,OR(TH!N1418="1111",TH!O1418="1111")),TH!D1418,""),"")</f>
        <v/>
      </c>
      <c r="B1418" s="63">
        <f t="shared" si="204"/>
        <v>5</v>
      </c>
      <c r="C1418" s="64">
        <f t="shared" si="202"/>
        <v>42508</v>
      </c>
      <c r="D1418" s="64" t="s">
        <v>705</v>
      </c>
      <c r="E1418" s="64">
        <v>42508</v>
      </c>
      <c r="F1418" s="73" t="s">
        <v>1445</v>
      </c>
      <c r="G1418" s="982" t="s">
        <v>919</v>
      </c>
      <c r="H1418" s="344"/>
      <c r="I1418" s="439"/>
      <c r="J1418" s="439"/>
      <c r="K1418" s="430">
        <v>6800</v>
      </c>
      <c r="L1418" s="439">
        <v>22300</v>
      </c>
      <c r="M1418" s="65">
        <f>ROUND(K1418*L1418,0)</f>
        <v>151640000</v>
      </c>
      <c r="N1418" s="66" t="s">
        <v>26</v>
      </c>
      <c r="O1418" s="66" t="s">
        <v>266</v>
      </c>
      <c r="P1418" s="84" t="str">
        <f>IF(AND('331-CT'!$E$7=TH!H1418,OR(N1418="331",O1418="331")),"x","")</f>
        <v/>
      </c>
      <c r="Q1418" s="84" t="str">
        <f>IF(AND(B1418='111'!$L$11,OR($N1418=$Q$7,$O1418=$Q$7)),"x","")</f>
        <v/>
      </c>
      <c r="R1418" s="84" t="str">
        <f>IF(AND($N1418=$Q$7,$B1418&lt;'111'!$L$11),"x","")</f>
        <v/>
      </c>
      <c r="S1418" s="84" t="str">
        <f>IF(AND($O1418=$Q$7,$B1418&lt;'111'!$L$11),"x","")</f>
        <v/>
      </c>
      <c r="T1418" s="84" t="str">
        <f>IF(ISERROR(FIND('112'!$M$9,G1418,1)),"",IF((AND(FIND('112'!$M$9,G1418,1)&gt;=1,B1418='112'!$K$9,OR($N1418='112'!$I$6,$O1418='112'!$I$6))),"x",""))</f>
        <v/>
      </c>
      <c r="U1418" s="84" t="str">
        <f>IF(ISERROR(FIND('112'!$M$9,G1418,1)),"",IF((AND(LEFT(G1418,2)=LEFT('112'!$M$9,2),B1418&lt;'112'!$K$9,$N1418='112'!$I$6)),"x",""))</f>
        <v>x</v>
      </c>
      <c r="V1418" s="84" t="str">
        <f>IF(ISERROR(FIND('112'!$M$9,G1418,1)),"",IF((AND(RIGHT(G1418,2)=RIGHT('112'!$M$9,2),B1418&lt;'112'!$K$9,$O1418='112'!$I$6)),"x",""))</f>
        <v/>
      </c>
      <c r="W1418" s="84" t="str">
        <f>IF(AND('341-CT'!$H$9=H1418,OR(LEFT(N1418,3)=$W$7,LEFT(O1418,3)=$W$7)),"x","")</f>
        <v/>
      </c>
      <c r="X1418" s="84" t="str">
        <f>IF(OR(TH!N1418=TH!$X$7,O1418=TH!$X$7),"x","")</f>
        <v/>
      </c>
      <c r="Y1418" s="84" t="str">
        <f>IF(AND(OR(N1418="131",O1418="131"),H1418='131-CT'!$H$9),"x","")</f>
        <v/>
      </c>
      <c r="Z1418" s="84"/>
      <c r="AA1418" s="84" t="str">
        <f>IF(AND(MONTH(E1418)='IN-NX'!$J$5,'IN-NX'!$D$7=D1418),"x","")</f>
        <v/>
      </c>
      <c r="AB1418" s="84" t="str">
        <f>IF(AND(OR(LEFT(TH!N1418,2)="15",LEFT(TH!O1418,2)="15"),LEFT(TH!O1418,3)&lt;&gt;"111",'152-CT'!$J$8=TH!F1418),"x","")</f>
        <v/>
      </c>
      <c r="AC1418" s="84" t="str">
        <f>IF(AND(OR(LEFT(TH!N1418,2)="15",LEFT(TH!O1418,2)="15"),TK!$E$7=TH!F1418),"x","")</f>
        <v/>
      </c>
      <c r="AD1418" s="84" t="str">
        <f>IF(AND(N1418="1521",MONTH(C1418)='BK-NL'!$M$11),"x","")</f>
        <v/>
      </c>
    </row>
    <row r="1419" spans="1:31" ht="15.75" hidden="1" customHeight="1">
      <c r="A1419" s="336" t="str">
        <f>IF(B1419&lt;&gt;"",IF(AND(B1419='IN-TC'!$S$4,OR(TH!N1419="1111",TH!O1419="1111")),TH!D1419,""),"")</f>
        <v/>
      </c>
      <c r="B1419" s="63">
        <f t="shared" si="195"/>
        <v>5</v>
      </c>
      <c r="C1419" s="64">
        <f t="shared" ref="C1419:C1425" si="205">E1419</f>
        <v>42510</v>
      </c>
      <c r="D1419" s="64" t="s">
        <v>702</v>
      </c>
      <c r="E1419" s="64">
        <v>42510</v>
      </c>
      <c r="F1419" s="73" t="s">
        <v>1457</v>
      </c>
      <c r="G1419" s="982" t="s">
        <v>919</v>
      </c>
      <c r="H1419" s="344" t="s">
        <v>602</v>
      </c>
      <c r="I1419" s="439"/>
      <c r="J1419" s="439"/>
      <c r="K1419" s="430">
        <v>4991.58</v>
      </c>
      <c r="L1419" s="439">
        <v>22280</v>
      </c>
      <c r="M1419" s="65">
        <f t="shared" si="203"/>
        <v>111212402</v>
      </c>
      <c r="N1419" s="66" t="s">
        <v>266</v>
      </c>
      <c r="O1419" s="66" t="s">
        <v>588</v>
      </c>
      <c r="P1419" s="84" t="str">
        <f>IF(AND('331-CT'!$E$7=TH!H1419,OR(N1419="331",O1419="331")),"x","")</f>
        <v/>
      </c>
      <c r="Q1419" s="84" t="str">
        <f>IF(AND(B1419='111'!$L$11,OR($N1419=$Q$7,$O1419=$Q$7)),"x","")</f>
        <v/>
      </c>
      <c r="R1419" s="84" t="str">
        <f>IF(AND($N1419=$Q$7,$B1419&lt;'111'!$L$11),"x","")</f>
        <v/>
      </c>
      <c r="S1419" s="84" t="str">
        <f>IF(AND($O1419=$Q$7,$B1419&lt;'111'!$L$11),"x","")</f>
        <v/>
      </c>
      <c r="T1419" s="84" t="str">
        <f>IF(ISERROR(FIND('112'!$M$9,G1419,1)),"",IF((AND(FIND('112'!$M$9,G1419,1)&gt;=1,B1419='112'!$K$9,OR($N1419='112'!$I$6,$O1419='112'!$I$6))),"x",""))</f>
        <v/>
      </c>
      <c r="U1419" s="84" t="str">
        <f>IF(ISERROR(FIND('112'!$M$9,G1419,1)),"",IF((AND(LEFT(G1419,2)=LEFT('112'!$M$9,2),B1419&lt;'112'!$K$9,$N1419='112'!$I$6)),"x",""))</f>
        <v/>
      </c>
      <c r="V1419" s="84" t="str">
        <f>IF(ISERROR(FIND('112'!$M$9,G1419,1)),"",IF((AND(RIGHT(G1419,2)=RIGHT('112'!$M$9,2),B1419&lt;'112'!$K$9,$O1419='112'!$I$6)),"x",""))</f>
        <v/>
      </c>
      <c r="W1419" s="84" t="str">
        <f>IF(AND('341-CT'!$H$9=H1419,OR(LEFT(N1419,3)=$W$7,LEFT(O1419,3)=$W$7)),"x","")</f>
        <v/>
      </c>
      <c r="X1419" s="84" t="str">
        <f>IF(OR(TH!N1419=TH!$X$7,O1419=TH!$X$7),"x","")</f>
        <v/>
      </c>
      <c r="Y1419" s="84" t="str">
        <f>IF(AND(OR(N1419="131",O1419="131"),H1419='131-CT'!$H$9),"x","")</f>
        <v/>
      </c>
      <c r="Z1419" s="84"/>
      <c r="AA1419" s="84" t="str">
        <f>IF(AND(MONTH(E1419)='IN-NX'!$J$5,'IN-NX'!$D$7=D1419),"x","")</f>
        <v/>
      </c>
      <c r="AB1419" s="84" t="str">
        <f>IF(AND(OR(LEFT(TH!N1419,2)="15",LEFT(TH!O1419,2)="15"),LEFT(TH!O1419,3)&lt;&gt;"111",'152-CT'!$J$8=TH!F1419),"x","")</f>
        <v/>
      </c>
      <c r="AC1419" s="84" t="str">
        <f>IF(AND(OR(LEFT(TH!N1419,2)="15",LEFT(TH!O1419,2)="15"),TK!$E$7=TH!F1419),"x","")</f>
        <v/>
      </c>
      <c r="AD1419" s="84" t="str">
        <f>IF(AND(N1419="1521",MONTH(C1419)='BK-NL'!$M$11),"x","")</f>
        <v/>
      </c>
    </row>
    <row r="1420" spans="1:31" ht="15.75" hidden="1" customHeight="1">
      <c r="A1420" s="336" t="str">
        <f>IF(B1420&lt;&gt;"",IF(AND(B1420='IN-TC'!$S$4,OR(TH!N1420="1111",TH!O1420="1111")),TH!D1420,""),"")</f>
        <v/>
      </c>
      <c r="B1420" s="63">
        <f t="shared" si="195"/>
        <v>5</v>
      </c>
      <c r="C1420" s="64">
        <f t="shared" si="205"/>
        <v>42510</v>
      </c>
      <c r="D1420" s="64" t="s">
        <v>582</v>
      </c>
      <c r="E1420" s="64">
        <v>42510</v>
      </c>
      <c r="F1420" s="73" t="s">
        <v>1518</v>
      </c>
      <c r="G1420" s="982" t="s">
        <v>919</v>
      </c>
      <c r="H1420" s="344" t="s">
        <v>602</v>
      </c>
      <c r="I1420" s="439"/>
      <c r="J1420" s="439"/>
      <c r="K1420" s="430">
        <v>2.2000000000000002</v>
      </c>
      <c r="L1420" s="439">
        <v>22280</v>
      </c>
      <c r="M1420" s="65">
        <f t="shared" si="203"/>
        <v>49016</v>
      </c>
      <c r="N1420" s="66" t="s">
        <v>101</v>
      </c>
      <c r="O1420" s="66" t="s">
        <v>588</v>
      </c>
      <c r="P1420" s="84" t="str">
        <f>IF(AND('331-CT'!$E$7=TH!H1420,OR(N1420="331",O1420="331")),"x","")</f>
        <v/>
      </c>
      <c r="Q1420" s="84" t="str">
        <f>IF(AND(B1420='111'!$L$11,OR($N1420=$Q$7,$O1420=$Q$7)),"x","")</f>
        <v/>
      </c>
      <c r="R1420" s="84" t="str">
        <f>IF(AND($N1420=$Q$7,$B1420&lt;'111'!$L$11),"x","")</f>
        <v/>
      </c>
      <c r="S1420" s="84" t="str">
        <f>IF(AND($O1420=$Q$7,$B1420&lt;'111'!$L$11),"x","")</f>
        <v/>
      </c>
      <c r="T1420" s="84" t="str">
        <f>IF(ISERROR(FIND('112'!$M$9,G1420,1)),"",IF((AND(FIND('112'!$M$9,G1420,1)&gt;=1,B1420='112'!$K$9,OR($N1420='112'!$I$6,$O1420='112'!$I$6))),"x",""))</f>
        <v/>
      </c>
      <c r="U1420" s="84" t="str">
        <f>IF(ISERROR(FIND('112'!$M$9,G1420,1)),"",IF((AND(LEFT(G1420,2)=LEFT('112'!$M$9,2),B1420&lt;'112'!$K$9,$N1420='112'!$I$6)),"x",""))</f>
        <v/>
      </c>
      <c r="V1420" s="84" t="str">
        <f>IF(ISERROR(FIND('112'!$M$9,G1420,1)),"",IF((AND(RIGHT(G1420,2)=RIGHT('112'!$M$9,2),B1420&lt;'112'!$K$9,$O1420='112'!$I$6)),"x",""))</f>
        <v/>
      </c>
      <c r="W1420" s="84" t="str">
        <f>IF(AND('341-CT'!$H$9=H1420,OR(LEFT(N1420,3)=$W$7,LEFT(O1420,3)=$W$7)),"x","")</f>
        <v/>
      </c>
      <c r="X1420" s="84" t="str">
        <f>IF(OR(TH!N1420=TH!$X$7,O1420=TH!$X$7),"x","")</f>
        <v/>
      </c>
      <c r="Y1420" s="84" t="str">
        <f>IF(AND(OR(N1420="131",O1420="131"),H1420='131-CT'!$H$9),"x","")</f>
        <v/>
      </c>
      <c r="Z1420" s="84"/>
      <c r="AA1420" s="84" t="str">
        <f>IF(AND(MONTH(E1420)='IN-NX'!$J$5,'IN-NX'!$D$7=D1420),"x","")</f>
        <v/>
      </c>
      <c r="AB1420" s="84" t="str">
        <f>IF(AND(OR(LEFT(TH!N1420,2)="15",LEFT(TH!O1420,2)="15"),LEFT(TH!O1420,3)&lt;&gt;"111",'152-CT'!$J$8=TH!F1420),"x","")</f>
        <v/>
      </c>
      <c r="AC1420" s="84" t="str">
        <f>IF(AND(OR(LEFT(TH!N1420,2)="15",LEFT(TH!O1420,2)="15"),TK!$E$7=TH!F1420),"x","")</f>
        <v/>
      </c>
      <c r="AD1420" s="84" t="str">
        <f>IF(AND(N1420="1521",MONTH(C1420)='BK-NL'!$M$11),"x","")</f>
        <v/>
      </c>
    </row>
    <row r="1421" spans="1:31" ht="15.75" hidden="1" customHeight="1">
      <c r="A1421" s="336" t="str">
        <f>IF(B1421&lt;&gt;"",IF(AND(B1421='IN-TC'!$S$4,OR(TH!N1421="1111",TH!O1421="1111")),TH!D1421,""),"")</f>
        <v/>
      </c>
      <c r="B1421" s="63">
        <f t="shared" si="195"/>
        <v>5</v>
      </c>
      <c r="C1421" s="64">
        <f>E1421</f>
        <v>42510</v>
      </c>
      <c r="D1421" s="64" t="s">
        <v>582</v>
      </c>
      <c r="E1421" s="64">
        <v>42510</v>
      </c>
      <c r="F1421" s="73" t="s">
        <v>1519</v>
      </c>
      <c r="G1421" s="982" t="s">
        <v>919</v>
      </c>
      <c r="H1421" s="344" t="s">
        <v>602</v>
      </c>
      <c r="I1421" s="439"/>
      <c r="J1421" s="439"/>
      <c r="K1421" s="430">
        <v>0.22</v>
      </c>
      <c r="L1421" s="439">
        <v>22280</v>
      </c>
      <c r="M1421" s="65">
        <f t="shared" si="203"/>
        <v>4902</v>
      </c>
      <c r="N1421" s="66" t="s">
        <v>9</v>
      </c>
      <c r="O1421" s="66" t="s">
        <v>588</v>
      </c>
      <c r="P1421" s="84" t="str">
        <f>IF(AND('331-CT'!$E$7=TH!H1421,OR(N1421="331",O1421="331")),"x","")</f>
        <v/>
      </c>
      <c r="Q1421" s="84" t="str">
        <f>IF(AND(B1421='111'!$L$11,OR($N1421=$Q$7,$O1421=$Q$7)),"x","")</f>
        <v/>
      </c>
      <c r="R1421" s="84" t="str">
        <f>IF(AND($N1421=$Q$7,$B1421&lt;'111'!$L$11),"x","")</f>
        <v/>
      </c>
      <c r="S1421" s="84" t="str">
        <f>IF(AND($O1421=$Q$7,$B1421&lt;'111'!$L$11),"x","")</f>
        <v/>
      </c>
      <c r="T1421" s="84" t="str">
        <f>IF(ISERROR(FIND('112'!$M$9,G1421,1)),"",IF((AND(FIND('112'!$M$9,G1421,1)&gt;=1,B1421='112'!$K$9,OR($N1421='112'!$I$6,$O1421='112'!$I$6))),"x",""))</f>
        <v/>
      </c>
      <c r="U1421" s="84" t="str">
        <f>IF(ISERROR(FIND('112'!$M$9,G1421,1)),"",IF((AND(LEFT(G1421,2)=LEFT('112'!$M$9,2),B1421&lt;'112'!$K$9,$N1421='112'!$I$6)),"x",""))</f>
        <v/>
      </c>
      <c r="V1421" s="84" t="str">
        <f>IF(ISERROR(FIND('112'!$M$9,G1421,1)),"",IF((AND(RIGHT(G1421,2)=RIGHT('112'!$M$9,2),B1421&lt;'112'!$K$9,$O1421='112'!$I$6)),"x",""))</f>
        <v/>
      </c>
      <c r="W1421" s="84" t="str">
        <f>IF(AND('341-CT'!$H$9=H1421,OR(LEFT(N1421,3)=$W$7,LEFT(O1421,3)=$W$7)),"x","")</f>
        <v/>
      </c>
      <c r="X1421" s="84" t="str">
        <f>IF(OR(TH!N1421=TH!$X$7,O1421=TH!$X$7),"x","")</f>
        <v/>
      </c>
      <c r="Y1421" s="84" t="str">
        <f>IF(AND(OR(N1421="131",O1421="131"),H1421='131-CT'!$H$9),"x","")</f>
        <v/>
      </c>
      <c r="Z1421" s="84"/>
      <c r="AA1421" s="84" t="str">
        <f>IF(AND(MONTH(E1421)='IN-NX'!$J$5,'IN-NX'!$D$7=D1421),"x","")</f>
        <v/>
      </c>
      <c r="AB1421" s="84" t="str">
        <f>IF(AND(OR(LEFT(TH!N1421,2)="15",LEFT(TH!O1421,2)="15"),LEFT(TH!O1421,3)&lt;&gt;"111",'152-CT'!$J$8=TH!F1421),"x","")</f>
        <v/>
      </c>
      <c r="AC1421" s="84" t="str">
        <f>IF(AND(OR(LEFT(TH!N1421,2)="15",LEFT(TH!O1421,2)="15"),TK!$E$7=TH!F1421),"x","")</f>
        <v/>
      </c>
      <c r="AD1421" s="84" t="str">
        <f>IF(AND(N1421="1521",MONTH(C1421)='BK-NL'!$M$11),"x","")</f>
        <v/>
      </c>
    </row>
    <row r="1422" spans="1:31" ht="15.75" hidden="1" customHeight="1">
      <c r="A1422" s="336" t="str">
        <f>IF(B1422&lt;&gt;"",IF(AND(B1422='IN-TC'!$S$4,OR(TH!N1422="1111",TH!O1422="1111")),TH!D1422,""),"")</f>
        <v/>
      </c>
      <c r="B1422" s="63">
        <f t="shared" si="195"/>
        <v>5</v>
      </c>
      <c r="C1422" s="64">
        <f t="shared" si="205"/>
        <v>42510</v>
      </c>
      <c r="D1422" s="64" t="s">
        <v>582</v>
      </c>
      <c r="E1422" s="64">
        <v>42510</v>
      </c>
      <c r="F1422" s="73" t="s">
        <v>1520</v>
      </c>
      <c r="G1422" s="982" t="s">
        <v>919</v>
      </c>
      <c r="H1422" s="344" t="s">
        <v>602</v>
      </c>
      <c r="I1422" s="439"/>
      <c r="J1422" s="439"/>
      <c r="K1422" s="430">
        <v>3</v>
      </c>
      <c r="L1422" s="439">
        <v>22280</v>
      </c>
      <c r="M1422" s="65">
        <f t="shared" si="203"/>
        <v>66840</v>
      </c>
      <c r="N1422" s="66" t="s">
        <v>101</v>
      </c>
      <c r="O1422" s="66" t="s">
        <v>588</v>
      </c>
      <c r="P1422" s="84" t="str">
        <f>IF(AND('331-CT'!$E$7=TH!H1422,OR(N1422="331",O1422="331")),"x","")</f>
        <v/>
      </c>
      <c r="Q1422" s="84" t="str">
        <f>IF(AND(B1422='111'!$L$11,OR($N1422=$Q$7,$O1422=$Q$7)),"x","")</f>
        <v/>
      </c>
      <c r="R1422" s="84" t="str">
        <f>IF(AND($N1422=$Q$7,$B1422&lt;'111'!$L$11),"x","")</f>
        <v/>
      </c>
      <c r="S1422" s="84" t="str">
        <f>IF(AND($O1422=$Q$7,$B1422&lt;'111'!$L$11),"x","")</f>
        <v/>
      </c>
      <c r="T1422" s="84" t="str">
        <f>IF(ISERROR(FIND('112'!$M$9,G1422,1)),"",IF((AND(FIND('112'!$M$9,G1422,1)&gt;=1,B1422='112'!$K$9,OR($N1422='112'!$I$6,$O1422='112'!$I$6))),"x",""))</f>
        <v/>
      </c>
      <c r="U1422" s="84" t="str">
        <f>IF(ISERROR(FIND('112'!$M$9,G1422,1)),"",IF((AND(LEFT(G1422,2)=LEFT('112'!$M$9,2),B1422&lt;'112'!$K$9,$N1422='112'!$I$6)),"x",""))</f>
        <v/>
      </c>
      <c r="V1422" s="84" t="str">
        <f>IF(ISERROR(FIND('112'!$M$9,G1422,1)),"",IF((AND(RIGHT(G1422,2)=RIGHT('112'!$M$9,2),B1422&lt;'112'!$K$9,$O1422='112'!$I$6)),"x",""))</f>
        <v/>
      </c>
      <c r="W1422" s="84" t="str">
        <f>IF(AND('341-CT'!$H$9=H1422,OR(LEFT(N1422,3)=$W$7,LEFT(O1422,3)=$W$7)),"x","")</f>
        <v/>
      </c>
      <c r="X1422" s="84" t="str">
        <f>IF(OR(TH!N1422=TH!$X$7,O1422=TH!$X$7),"x","")</f>
        <v/>
      </c>
      <c r="Y1422" s="84" t="str">
        <f>IF(AND(OR(N1422="131",O1422="131"),H1422='131-CT'!$H$9),"x","")</f>
        <v/>
      </c>
      <c r="Z1422" s="84"/>
      <c r="AA1422" s="84" t="str">
        <f>IF(AND(MONTH(E1422)='IN-NX'!$J$5,'IN-NX'!$D$7=D1422),"x","")</f>
        <v/>
      </c>
      <c r="AB1422" s="84" t="str">
        <f>IF(AND(OR(LEFT(TH!N1422,2)="15",LEFT(TH!O1422,2)="15"),LEFT(TH!O1422,3)&lt;&gt;"111",'152-CT'!$J$8=TH!F1422),"x","")</f>
        <v/>
      </c>
      <c r="AC1422" s="84" t="str">
        <f>IF(AND(OR(LEFT(TH!N1422,2)="15",LEFT(TH!O1422,2)="15"),TK!$E$7=TH!F1422),"x","")</f>
        <v/>
      </c>
      <c r="AD1422" s="84" t="str">
        <f>IF(AND(N1422="1521",MONTH(C1422)='BK-NL'!$M$11),"x","")</f>
        <v/>
      </c>
    </row>
    <row r="1423" spans="1:31" ht="15.75" hidden="1" customHeight="1">
      <c r="A1423" s="336" t="str">
        <f>IF(B1423&lt;&gt;"",IF(AND(B1423='IN-TC'!$S$4,OR(TH!N1423="1111",TH!O1423="1111")),TH!D1423,""),"")</f>
        <v/>
      </c>
      <c r="B1423" s="63">
        <f t="shared" ref="B1423:B1428" si="206">IF(C1423&lt;&gt;"",MONTH(C1423),"")</f>
        <v>5</v>
      </c>
      <c r="C1423" s="64">
        <f>E1423</f>
        <v>42510</v>
      </c>
      <c r="D1423" s="64" t="s">
        <v>705</v>
      </c>
      <c r="E1423" s="64">
        <v>42510</v>
      </c>
      <c r="F1423" s="73" t="s">
        <v>1445</v>
      </c>
      <c r="G1423" s="982" t="s">
        <v>919</v>
      </c>
      <c r="H1423" s="344"/>
      <c r="I1423" s="439"/>
      <c r="J1423" s="439"/>
      <c r="K1423" s="430">
        <v>5000</v>
      </c>
      <c r="L1423" s="439">
        <v>22290</v>
      </c>
      <c r="M1423" s="65">
        <f t="shared" si="203"/>
        <v>111450000</v>
      </c>
      <c r="N1423" s="66" t="s">
        <v>26</v>
      </c>
      <c r="O1423" s="66" t="s">
        <v>266</v>
      </c>
      <c r="P1423" s="84" t="str">
        <f>IF(AND('331-CT'!$E$7=TH!H1423,OR(N1423="331",O1423="331")),"x","")</f>
        <v/>
      </c>
      <c r="Q1423" s="84" t="str">
        <f>IF(AND(B1423='111'!$L$11,OR($N1423=$Q$7,$O1423=$Q$7)),"x","")</f>
        <v/>
      </c>
      <c r="R1423" s="84" t="str">
        <f>IF(AND($N1423=$Q$7,$B1423&lt;'111'!$L$11),"x","")</f>
        <v/>
      </c>
      <c r="S1423" s="84" t="str">
        <f>IF(AND($O1423=$Q$7,$B1423&lt;'111'!$L$11),"x","")</f>
        <v/>
      </c>
      <c r="T1423" s="84" t="str">
        <f>IF(ISERROR(FIND('112'!$M$9,G1423,1)),"",IF((AND(FIND('112'!$M$9,G1423,1)&gt;=1,B1423='112'!$K$9,OR($N1423='112'!$I$6,$O1423='112'!$I$6))),"x",""))</f>
        <v/>
      </c>
      <c r="U1423" s="84" t="str">
        <f>IF(ISERROR(FIND('112'!$M$9,G1423,1)),"",IF((AND(LEFT(G1423,2)=LEFT('112'!$M$9,2),B1423&lt;'112'!$K$9,$N1423='112'!$I$6)),"x",""))</f>
        <v>x</v>
      </c>
      <c r="V1423" s="84" t="str">
        <f>IF(ISERROR(FIND('112'!$M$9,G1423,1)),"",IF((AND(RIGHT(G1423,2)=RIGHT('112'!$M$9,2),B1423&lt;'112'!$K$9,$O1423='112'!$I$6)),"x",""))</f>
        <v/>
      </c>
      <c r="W1423" s="84" t="str">
        <f>IF(AND('341-CT'!$H$9=H1423,OR(LEFT(N1423,3)=$W$7,LEFT(O1423,3)=$W$7)),"x","")</f>
        <v/>
      </c>
      <c r="X1423" s="84" t="str">
        <f>IF(OR(TH!N1423=TH!$X$7,O1423=TH!$X$7),"x","")</f>
        <v/>
      </c>
      <c r="Y1423" s="84" t="str">
        <f>IF(AND(OR(N1423="131",O1423="131"),H1423='131-CT'!$H$9),"x","")</f>
        <v/>
      </c>
      <c r="Z1423" s="84"/>
      <c r="AA1423" s="84" t="str">
        <f>IF(AND(MONTH(E1423)='IN-NX'!$J$5,'IN-NX'!$D$7=D1423),"x","")</f>
        <v/>
      </c>
      <c r="AB1423" s="84" t="str">
        <f>IF(AND(OR(LEFT(TH!N1423,2)="15",LEFT(TH!O1423,2)="15"),LEFT(TH!O1423,3)&lt;&gt;"111",'152-CT'!$J$8=TH!F1423),"x","")</f>
        <v/>
      </c>
      <c r="AC1423" s="84" t="str">
        <f>IF(AND(OR(LEFT(TH!N1423,2)="15",LEFT(TH!O1423,2)="15"),TK!$E$7=TH!F1423),"x","")</f>
        <v/>
      </c>
      <c r="AD1423" s="84" t="str">
        <f>IF(AND(N1423="1521",MONTH(C1423)='BK-NL'!$M$11),"x","")</f>
        <v/>
      </c>
    </row>
    <row r="1424" spans="1:31" ht="15.75" hidden="1" customHeight="1">
      <c r="A1424" s="336" t="str">
        <f>IF(B1424&lt;&gt;"",IF(AND(B1424='IN-TC'!$S$4,OR(TH!N1424="1111",TH!O1424="1111")),TH!D1424,""),"")</f>
        <v/>
      </c>
      <c r="B1424" s="63">
        <f t="shared" si="206"/>
        <v>5</v>
      </c>
      <c r="C1424" s="64">
        <f t="shared" si="205"/>
        <v>42517</v>
      </c>
      <c r="D1424" s="64" t="s">
        <v>702</v>
      </c>
      <c r="E1424" s="318">
        <v>42517</v>
      </c>
      <c r="F1424" s="73" t="s">
        <v>1457</v>
      </c>
      <c r="G1424" s="982" t="s">
        <v>919</v>
      </c>
      <c r="H1424" s="1174" t="s">
        <v>598</v>
      </c>
      <c r="I1424" s="439"/>
      <c r="J1424" s="439"/>
      <c r="K1424" s="430">
        <v>41493</v>
      </c>
      <c r="L1424" s="439">
        <v>22290</v>
      </c>
      <c r="M1424" s="65">
        <f t="shared" si="203"/>
        <v>924878970</v>
      </c>
      <c r="N1424" s="66" t="s">
        <v>266</v>
      </c>
      <c r="O1424" s="66" t="s">
        <v>588</v>
      </c>
      <c r="P1424" s="84" t="str">
        <f>IF(AND('331-CT'!$E$7=TH!H1424,OR(N1424="331",O1424="331")),"x","")</f>
        <v/>
      </c>
      <c r="Q1424" s="84" t="str">
        <f>IF(AND(B1424='111'!$L$11,OR($N1424=$Q$7,$O1424=$Q$7)),"x","")</f>
        <v/>
      </c>
      <c r="R1424" s="84" t="str">
        <f>IF(AND($N1424=$Q$7,$B1424&lt;'111'!$L$11),"x","")</f>
        <v/>
      </c>
      <c r="S1424" s="84" t="str">
        <f>IF(AND($O1424=$Q$7,$B1424&lt;'111'!$L$11),"x","")</f>
        <v/>
      </c>
      <c r="T1424" s="84" t="str">
        <f>IF(ISERROR(FIND('112'!$M$9,G1424,1)),"",IF((AND(FIND('112'!$M$9,G1424,1)&gt;=1,B1424='112'!$K$9,OR($N1424='112'!$I$6,$O1424='112'!$I$6))),"x",""))</f>
        <v/>
      </c>
      <c r="U1424" s="84" t="str">
        <f>IF(ISERROR(FIND('112'!$M$9,G1424,1)),"",IF((AND(LEFT(G1424,2)=LEFT('112'!$M$9,2),B1424&lt;'112'!$K$9,$N1424='112'!$I$6)),"x",""))</f>
        <v/>
      </c>
      <c r="V1424" s="84" t="str">
        <f>IF(ISERROR(FIND('112'!$M$9,G1424,1)),"",IF((AND(RIGHT(G1424,2)=RIGHT('112'!$M$9,2),B1424&lt;'112'!$K$9,$O1424='112'!$I$6)),"x",""))</f>
        <v/>
      </c>
      <c r="W1424" s="84" t="str">
        <f>IF(AND('341-CT'!$H$9=H1424,OR(LEFT(N1424,3)=$W$7,LEFT(O1424,3)=$W$7)),"x","")</f>
        <v/>
      </c>
      <c r="X1424" s="84" t="str">
        <f>IF(OR(TH!N1424=TH!$X$7,O1424=TH!$X$7),"x","")</f>
        <v/>
      </c>
      <c r="Y1424" s="84" t="str">
        <f>IF(AND(OR(N1424="131",O1424="131"),H1424='131-CT'!$H$9),"x","")</f>
        <v/>
      </c>
      <c r="Z1424" s="84"/>
      <c r="AA1424" s="84" t="str">
        <f>IF(AND(MONTH(E1424)='IN-NX'!$J$5,'IN-NX'!$D$7=D1424),"x","")</f>
        <v/>
      </c>
      <c r="AB1424" s="84" t="str">
        <f>IF(AND(OR(LEFT(TH!N1424,2)="15",LEFT(TH!O1424,2)="15"),LEFT(TH!O1424,3)&lt;&gt;"111",'152-CT'!$J$8=TH!F1424),"x","")</f>
        <v/>
      </c>
      <c r="AC1424" s="84" t="str">
        <f>IF(AND(OR(LEFT(TH!N1424,2)="15",LEFT(TH!O1424,2)="15"),TK!$E$7=TH!F1424),"x","")</f>
        <v/>
      </c>
      <c r="AD1424" s="84" t="str">
        <f>IF(AND(N1424="1521",MONTH(C1424)='BK-NL'!$M$11),"x","")</f>
        <v/>
      </c>
    </row>
    <row r="1425" spans="1:30" ht="15.75" hidden="1" customHeight="1">
      <c r="A1425" s="336" t="str">
        <f>IF(B1425&lt;&gt;"",IF(AND(B1425='IN-TC'!$S$4,OR(TH!N1425="1111",TH!O1425="1111")),TH!D1425,""),"")</f>
        <v/>
      </c>
      <c r="B1425" s="63">
        <f t="shared" si="206"/>
        <v>5</v>
      </c>
      <c r="C1425" s="64">
        <f t="shared" si="205"/>
        <v>42517</v>
      </c>
      <c r="D1425" s="64" t="s">
        <v>582</v>
      </c>
      <c r="E1425" s="318">
        <v>42517</v>
      </c>
      <c r="F1425" s="73" t="s">
        <v>1520</v>
      </c>
      <c r="G1425" s="982" t="s">
        <v>919</v>
      </c>
      <c r="H1425" s="1174" t="s">
        <v>598</v>
      </c>
      <c r="I1425" s="439"/>
      <c r="J1425" s="439"/>
      <c r="K1425" s="430">
        <v>267</v>
      </c>
      <c r="L1425" s="439">
        <v>22290</v>
      </c>
      <c r="M1425" s="65">
        <f t="shared" si="203"/>
        <v>5951430</v>
      </c>
      <c r="N1425" s="66" t="s">
        <v>101</v>
      </c>
      <c r="O1425" s="66" t="s">
        <v>588</v>
      </c>
      <c r="P1425" s="84" t="str">
        <f>IF(AND('331-CT'!$E$7=TH!H1425,OR(N1425="331",O1425="331")),"x","")</f>
        <v/>
      </c>
      <c r="Q1425" s="84" t="str">
        <f>IF(AND(B1425='111'!$L$11,OR($N1425=$Q$7,$O1425=$Q$7)),"x","")</f>
        <v/>
      </c>
      <c r="R1425" s="84" t="str">
        <f>IF(AND($N1425=$Q$7,$B1425&lt;'111'!$L$11),"x","")</f>
        <v/>
      </c>
      <c r="S1425" s="84" t="str">
        <f>IF(AND($O1425=$Q$7,$B1425&lt;'111'!$L$11),"x","")</f>
        <v/>
      </c>
      <c r="T1425" s="84" t="str">
        <f>IF(ISERROR(FIND('112'!$M$9,G1425,1)),"",IF((AND(FIND('112'!$M$9,G1425,1)&gt;=1,B1425='112'!$K$9,OR($N1425='112'!$I$6,$O1425='112'!$I$6))),"x",""))</f>
        <v/>
      </c>
      <c r="U1425" s="84" t="str">
        <f>IF(ISERROR(FIND('112'!$M$9,G1425,1)),"",IF((AND(LEFT(G1425,2)=LEFT('112'!$M$9,2),B1425&lt;'112'!$K$9,$N1425='112'!$I$6)),"x",""))</f>
        <v/>
      </c>
      <c r="V1425" s="84" t="str">
        <f>IF(ISERROR(FIND('112'!$M$9,G1425,1)),"",IF((AND(RIGHT(G1425,2)=RIGHT('112'!$M$9,2),B1425&lt;'112'!$K$9,$O1425='112'!$I$6)),"x",""))</f>
        <v/>
      </c>
      <c r="W1425" s="84" t="str">
        <f>IF(AND('341-CT'!$H$9=H1425,OR(LEFT(N1425,3)=$W$7,LEFT(O1425,3)=$W$7)),"x","")</f>
        <v/>
      </c>
      <c r="X1425" s="84" t="str">
        <f>IF(OR(TH!N1425=TH!$X$7,O1425=TH!$X$7),"x","")</f>
        <v/>
      </c>
      <c r="Y1425" s="84" t="str">
        <f>IF(AND(OR(N1425="131",O1425="131"),H1425='131-CT'!$H$9),"x","")</f>
        <v/>
      </c>
      <c r="Z1425" s="84"/>
      <c r="AA1425" s="84" t="str">
        <f>IF(AND(MONTH(E1425)='IN-NX'!$J$5,'IN-NX'!$D$7=D1425),"x","")</f>
        <v/>
      </c>
      <c r="AB1425" s="84" t="str">
        <f>IF(AND(OR(LEFT(TH!N1425,2)="15",LEFT(TH!O1425,2)="15"),LEFT(TH!O1425,3)&lt;&gt;"111",'152-CT'!$J$8=TH!F1425),"x","")</f>
        <v/>
      </c>
      <c r="AC1425" s="84" t="str">
        <f>IF(AND(OR(LEFT(TH!N1425,2)="15",LEFT(TH!O1425,2)="15"),TK!$E$7=TH!F1425),"x","")</f>
        <v/>
      </c>
      <c r="AD1425" s="84" t="str">
        <f>IF(AND(N1425="1521",MONTH(C1425)='BK-NL'!$M$11),"x","")</f>
        <v/>
      </c>
    </row>
    <row r="1426" spans="1:30" ht="15.75" hidden="1" customHeight="1">
      <c r="A1426" s="336" t="str">
        <f>IF(B1426&lt;&gt;"",IF(AND(B1426='IN-TC'!$S$4,OR(TH!N1426="1111",TH!O1426="1111")),TH!D1426,""),"")</f>
        <v/>
      </c>
      <c r="B1426" s="63">
        <f t="shared" si="206"/>
        <v>5</v>
      </c>
      <c r="C1426" s="64">
        <f t="shared" ref="C1426:C1439" si="207">E1426</f>
        <v>42517</v>
      </c>
      <c r="D1426" s="64" t="s">
        <v>582</v>
      </c>
      <c r="E1426" s="318">
        <v>42517</v>
      </c>
      <c r="F1426" s="73" t="s">
        <v>1068</v>
      </c>
      <c r="G1426" s="982"/>
      <c r="H1426" s="1174" t="s">
        <v>598</v>
      </c>
      <c r="I1426" s="439"/>
      <c r="J1426" s="439"/>
      <c r="K1426" s="430"/>
      <c r="L1426" s="439"/>
      <c r="M1426" s="65">
        <v>1461600</v>
      </c>
      <c r="N1426" s="66" t="s">
        <v>588</v>
      </c>
      <c r="O1426" s="66" t="s">
        <v>43</v>
      </c>
      <c r="P1426" s="84" t="str">
        <f>IF(AND('331-CT'!$E$7=TH!H1426,OR(N1426="331",O1426="331")),"x","")</f>
        <v/>
      </c>
      <c r="Q1426" s="84" t="str">
        <f>IF(AND(B1426='111'!$L$11,OR($N1426=$Q$7,$O1426=$Q$7)),"x","")</f>
        <v/>
      </c>
      <c r="R1426" s="84" t="str">
        <f>IF(AND($N1426=$Q$7,$B1426&lt;'111'!$L$11),"x","")</f>
        <v/>
      </c>
      <c r="S1426" s="84" t="str">
        <f>IF(AND($O1426=$Q$7,$B1426&lt;'111'!$L$11),"x","")</f>
        <v/>
      </c>
      <c r="T1426" s="84" t="str">
        <f>IF(ISERROR(FIND('112'!$M$9,G1426,1)),"",IF((AND(FIND('112'!$M$9,G1426,1)&gt;=1,B1426='112'!$K$9,OR($N1426='112'!$I$6,$O1426='112'!$I$6))),"x",""))</f>
        <v/>
      </c>
      <c r="U1426" s="84" t="str">
        <f>IF(ISERROR(FIND('112'!$M$9,G1426,1)),"",IF((AND(LEFT(G1426,2)=LEFT('112'!$M$9,2),B1426&lt;'112'!$K$9,$N1426='112'!$I$6)),"x",""))</f>
        <v/>
      </c>
      <c r="V1426" s="84" t="str">
        <f>IF(ISERROR(FIND('112'!$M$9,G1426,1)),"",IF((AND(RIGHT(G1426,2)=RIGHT('112'!$M$9,2),B1426&lt;'112'!$K$9,$O1426='112'!$I$6)),"x",""))</f>
        <v/>
      </c>
      <c r="W1426" s="84" t="str">
        <f>IF(AND('341-CT'!$H$9=H1426,OR(LEFT(N1426,3)=$W$7,LEFT(O1426,3)=$W$7)),"x","")</f>
        <v/>
      </c>
      <c r="X1426" s="84" t="str">
        <f>IF(OR(TH!N1426=TH!$X$7,O1426=TH!$X$7),"x","")</f>
        <v/>
      </c>
      <c r="Y1426" s="84" t="str">
        <f>IF(AND(OR(N1426="131",O1426="131"),H1426='131-CT'!$H$9),"x","")</f>
        <v/>
      </c>
      <c r="Z1426" s="84"/>
      <c r="AA1426" s="84" t="str">
        <f>IF(AND(MONTH(E1426)='IN-NX'!$J$5,'IN-NX'!$D$7=D1426),"x","")</f>
        <v/>
      </c>
      <c r="AB1426" s="84" t="str">
        <f>IF(AND(OR(LEFT(TH!N1426,2)="15",LEFT(TH!O1426,2)="15"),LEFT(TH!O1426,3)&lt;&gt;"111",'152-CT'!$J$8=TH!F1426),"x","")</f>
        <v/>
      </c>
      <c r="AC1426" s="84" t="str">
        <f>IF(AND(OR(LEFT(TH!N1426,2)="15",LEFT(TH!O1426,2)="15"),TK!$E$7=TH!F1426),"x","")</f>
        <v/>
      </c>
      <c r="AD1426" s="84" t="str">
        <f>IF(AND(N1426="1521",MONTH(C1426)='BK-NL'!$M$11),"x","")</f>
        <v/>
      </c>
    </row>
    <row r="1427" spans="1:30" ht="15.75" hidden="1" customHeight="1">
      <c r="A1427" s="336" t="str">
        <f>IF(B1427&lt;&gt;"",IF(AND(B1427='IN-TC'!$S$4,OR(TH!N1427="1111",TH!O1427="1111")),TH!D1427,""),"")</f>
        <v/>
      </c>
      <c r="B1427" s="63">
        <f t="shared" si="206"/>
        <v>5</v>
      </c>
      <c r="C1427" s="64">
        <f t="shared" si="207"/>
        <v>42517</v>
      </c>
      <c r="D1427" s="64" t="s">
        <v>705</v>
      </c>
      <c r="E1427" s="318">
        <v>42517</v>
      </c>
      <c r="F1427" s="73" t="s">
        <v>1445</v>
      </c>
      <c r="G1427" s="982" t="s">
        <v>919</v>
      </c>
      <c r="H1427" s="1174" t="s">
        <v>1548</v>
      </c>
      <c r="I1427" s="439"/>
      <c r="J1427" s="439"/>
      <c r="K1427" s="430">
        <v>37580</v>
      </c>
      <c r="L1427" s="439">
        <v>22290</v>
      </c>
      <c r="M1427" s="65">
        <f>ROUND(K1427*L1427,0)</f>
        <v>837658200</v>
      </c>
      <c r="N1427" s="66" t="s">
        <v>26</v>
      </c>
      <c r="O1427" s="66" t="s">
        <v>266</v>
      </c>
      <c r="P1427" s="84" t="str">
        <f>IF(AND('331-CT'!$E$7=TH!H1427,OR(N1427="331",O1427="331")),"x","")</f>
        <v/>
      </c>
      <c r="Q1427" s="84" t="str">
        <f>IF(AND(B1427='111'!$L$11,OR($N1427=$Q$7,$O1427=$Q$7)),"x","")</f>
        <v/>
      </c>
      <c r="R1427" s="84" t="str">
        <f>IF(AND($N1427=$Q$7,$B1427&lt;'111'!$L$11),"x","")</f>
        <v/>
      </c>
      <c r="S1427" s="84" t="str">
        <f>IF(AND($O1427=$Q$7,$B1427&lt;'111'!$L$11),"x","")</f>
        <v/>
      </c>
      <c r="T1427" s="84" t="str">
        <f>IF(ISERROR(FIND('112'!$M$9,G1427,1)),"",IF((AND(FIND('112'!$M$9,G1427,1)&gt;=1,B1427='112'!$K$9,OR($N1427='112'!$I$6,$O1427='112'!$I$6))),"x",""))</f>
        <v/>
      </c>
      <c r="U1427" s="84" t="str">
        <f>IF(ISERROR(FIND('112'!$M$9,G1427,1)),"",IF((AND(LEFT(G1427,2)=LEFT('112'!$M$9,2),B1427&lt;'112'!$K$9,$N1427='112'!$I$6)),"x",""))</f>
        <v>x</v>
      </c>
      <c r="V1427" s="84" t="str">
        <f>IF(ISERROR(FIND('112'!$M$9,G1427,1)),"",IF((AND(RIGHT(G1427,2)=RIGHT('112'!$M$9,2),B1427&lt;'112'!$K$9,$O1427='112'!$I$6)),"x",""))</f>
        <v/>
      </c>
      <c r="W1427" s="84" t="str">
        <f>IF(AND('341-CT'!$H$9=H1427,OR(LEFT(N1427,3)=$W$7,LEFT(O1427,3)=$W$7)),"x","")</f>
        <v/>
      </c>
      <c r="X1427" s="84" t="str">
        <f>IF(OR(TH!N1427=TH!$X$7,O1427=TH!$X$7),"x","")</f>
        <v/>
      </c>
      <c r="Y1427" s="84" t="str">
        <f>IF(AND(OR(N1427="131",O1427="131"),H1427='131-CT'!$H$9),"x","")</f>
        <v/>
      </c>
      <c r="Z1427" s="84"/>
      <c r="AA1427" s="84" t="str">
        <f>IF(AND(MONTH(E1427)='IN-NX'!$J$5,'IN-NX'!$D$7=D1427),"x","")</f>
        <v/>
      </c>
      <c r="AB1427" s="84" t="str">
        <f>IF(AND(OR(LEFT(TH!N1427,2)="15",LEFT(TH!O1427,2)="15"),LEFT(TH!O1427,3)&lt;&gt;"111",'152-CT'!$J$8=TH!F1427),"x","")</f>
        <v/>
      </c>
      <c r="AC1427" s="84" t="str">
        <f>IF(AND(OR(LEFT(TH!N1427,2)="15",LEFT(TH!O1427,2)="15"),TK!$E$7=TH!F1427),"x","")</f>
        <v/>
      </c>
      <c r="AD1427" s="84" t="str">
        <f>IF(AND(N1427="1521",MONTH(C1427)='BK-NL'!$M$11),"x","")</f>
        <v/>
      </c>
    </row>
    <row r="1428" spans="1:30" ht="15.75" hidden="1" customHeight="1">
      <c r="A1428" s="336" t="str">
        <f>IF(B1428&lt;&gt;"",IF(AND(B1428='IN-TC'!$S$4,OR(TH!N1428="1111",TH!O1428="1111")),TH!D1428,""),"")</f>
        <v/>
      </c>
      <c r="B1428" s="63">
        <f t="shared" si="206"/>
        <v>5</v>
      </c>
      <c r="C1428" s="64">
        <f t="shared" si="207"/>
        <v>42518</v>
      </c>
      <c r="D1428" s="64" t="s">
        <v>705</v>
      </c>
      <c r="E1428" s="318">
        <v>42518</v>
      </c>
      <c r="F1428" s="73" t="s">
        <v>1445</v>
      </c>
      <c r="G1428" s="982" t="s">
        <v>919</v>
      </c>
      <c r="H1428" s="344"/>
      <c r="I1428" s="439"/>
      <c r="J1428" s="439"/>
      <c r="K1428" s="430">
        <v>3900</v>
      </c>
      <c r="L1428" s="439">
        <v>22360</v>
      </c>
      <c r="M1428" s="65">
        <f>ROUND(K1428*L1428,0)</f>
        <v>87204000</v>
      </c>
      <c r="N1428" s="66" t="s">
        <v>26</v>
      </c>
      <c r="O1428" s="66" t="s">
        <v>266</v>
      </c>
      <c r="P1428" s="84" t="str">
        <f>IF(AND('331-CT'!$E$7=TH!H1428,OR(N1428="331",O1428="331")),"x","")</f>
        <v/>
      </c>
      <c r="Q1428" s="84" t="str">
        <f>IF(AND(B1428='111'!$L$11,OR($N1428=$Q$7,$O1428=$Q$7)),"x","")</f>
        <v/>
      </c>
      <c r="R1428" s="84" t="str">
        <f>IF(AND($N1428=$Q$7,$B1428&lt;'111'!$L$11),"x","")</f>
        <v/>
      </c>
      <c r="S1428" s="84" t="str">
        <f>IF(AND($O1428=$Q$7,$B1428&lt;'111'!$L$11),"x","")</f>
        <v/>
      </c>
      <c r="T1428" s="84" t="str">
        <f>IF(ISERROR(FIND('112'!$M$9,G1428,1)),"",IF((AND(FIND('112'!$M$9,G1428,1)&gt;=1,B1428='112'!$K$9,OR($N1428='112'!$I$6,$O1428='112'!$I$6))),"x",""))</f>
        <v/>
      </c>
      <c r="U1428" s="84" t="str">
        <f>IF(ISERROR(FIND('112'!$M$9,G1428,1)),"",IF((AND(LEFT(G1428,2)=LEFT('112'!$M$9,2),B1428&lt;'112'!$K$9,$N1428='112'!$I$6)),"x",""))</f>
        <v>x</v>
      </c>
      <c r="V1428" s="84" t="str">
        <f>IF(ISERROR(FIND('112'!$M$9,G1428,1)),"",IF((AND(RIGHT(G1428,2)=RIGHT('112'!$M$9,2),B1428&lt;'112'!$K$9,$O1428='112'!$I$6)),"x",""))</f>
        <v/>
      </c>
      <c r="W1428" s="84" t="str">
        <f>IF(AND('341-CT'!$H$9=H1428,OR(LEFT(N1428,3)=$W$7,LEFT(O1428,3)=$W$7)),"x","")</f>
        <v/>
      </c>
      <c r="X1428" s="84" t="str">
        <f>IF(OR(TH!N1428=TH!$X$7,O1428=TH!$X$7),"x","")</f>
        <v/>
      </c>
      <c r="Y1428" s="84" t="str">
        <f>IF(AND(OR(N1428="131",O1428="131"),H1428='131-CT'!$H$9),"x","")</f>
        <v/>
      </c>
      <c r="Z1428" s="84"/>
      <c r="AA1428" s="84" t="str">
        <f>IF(AND(MONTH(E1428)='IN-NX'!$J$5,'IN-NX'!$D$7=D1428),"x","")</f>
        <v/>
      </c>
      <c r="AB1428" s="84" t="str">
        <f>IF(AND(OR(LEFT(TH!N1428,2)="15",LEFT(TH!O1428,2)="15"),LEFT(TH!O1428,3)&lt;&gt;"111",'152-CT'!$J$8=TH!F1428),"x","")</f>
        <v/>
      </c>
      <c r="AC1428" s="84" t="str">
        <f>IF(AND(OR(LEFT(TH!N1428,2)="15",LEFT(TH!O1428,2)="15"),TK!$E$7=TH!F1428),"x","")</f>
        <v/>
      </c>
      <c r="AD1428" s="84" t="str">
        <f>IF(AND(N1428="1521",MONTH(C1428)='BK-NL'!$M$11),"x","")</f>
        <v/>
      </c>
    </row>
    <row r="1429" spans="1:30" ht="15.75" hidden="1" customHeight="1">
      <c r="A1429" s="336" t="str">
        <f>IF(B1429&lt;&gt;"",IF(AND(B1429='IN-TC'!$S$4,OR(TH!N1429="1111",TH!O1429="1111")),TH!D1429,""),"")</f>
        <v/>
      </c>
      <c r="B1429" s="63">
        <f t="shared" ref="B1429:B1456" si="208">IF(C1429&lt;&gt;"",MONTH(C1429),"")</f>
        <v>5</v>
      </c>
      <c r="C1429" s="64">
        <f t="shared" si="207"/>
        <v>42501</v>
      </c>
      <c r="D1429" s="318" t="s">
        <v>702</v>
      </c>
      <c r="E1429" s="64">
        <v>42501</v>
      </c>
      <c r="F1429" s="73" t="s">
        <v>1191</v>
      </c>
      <c r="G1429" s="982" t="s">
        <v>919</v>
      </c>
      <c r="H1429" s="1174" t="s">
        <v>1547</v>
      </c>
      <c r="I1429" s="439"/>
      <c r="J1429" s="439"/>
      <c r="K1429" s="430"/>
      <c r="L1429" s="439"/>
      <c r="M1429" s="65">
        <v>1417486081</v>
      </c>
      <c r="N1429" s="66" t="s">
        <v>26</v>
      </c>
      <c r="O1429" s="66" t="s">
        <v>260</v>
      </c>
      <c r="P1429" s="84" t="str">
        <f>IF(AND('331-CT'!$E$7=TH!H1429,OR(N1429="331",O1429="331")),"x","")</f>
        <v/>
      </c>
      <c r="Q1429" s="84" t="str">
        <f>IF(AND(B1429='111'!$L$11,OR($N1429=$Q$7,$O1429=$Q$7)),"x","")</f>
        <v/>
      </c>
      <c r="R1429" s="84" t="str">
        <f>IF(AND($N1429=$Q$7,$B1429&lt;'111'!$L$11),"x","")</f>
        <v/>
      </c>
      <c r="S1429" s="84" t="str">
        <f>IF(AND($O1429=$Q$7,$B1429&lt;'111'!$L$11),"x","")</f>
        <v/>
      </c>
      <c r="T1429" s="84" t="str">
        <f>IF(ISERROR(FIND('112'!$M$9,G1429,1)),"",IF((AND(FIND('112'!$M$9,G1429,1)&gt;=1,B1429='112'!$K$9,OR($N1429='112'!$I$6,$O1429='112'!$I$6))),"x",""))</f>
        <v/>
      </c>
      <c r="U1429" s="84" t="str">
        <f>IF(ISERROR(FIND('112'!$M$9,G1429,1)),"",IF((AND(LEFT(G1429,2)=LEFT('112'!$M$9,2),B1429&lt;'112'!$K$9,$N1429='112'!$I$6)),"x",""))</f>
        <v>x</v>
      </c>
      <c r="V1429" s="84" t="str">
        <f>IF(ISERROR(FIND('112'!$M$9,G1429,1)),"",IF((AND(RIGHT(G1429,2)=RIGHT('112'!$M$9,2),B1429&lt;'112'!$K$9,$O1429='112'!$I$6)),"x",""))</f>
        <v/>
      </c>
      <c r="W1429" s="84" t="str">
        <f>IF(AND('341-CT'!$H$9=H1429,OR(LEFT(N1429,3)=$W$7,LEFT(O1429,3)=$W$7)),"x","")</f>
        <v/>
      </c>
      <c r="X1429" s="84" t="str">
        <f>IF(OR(TH!N1429=TH!$X$7,O1429=TH!$X$7),"x","")</f>
        <v/>
      </c>
      <c r="Y1429" s="84" t="str">
        <f>IF(AND(OR(N1429="131",O1429="131"),H1429='131-CT'!$H$9),"x","")</f>
        <v/>
      </c>
      <c r="Z1429" s="84"/>
      <c r="AA1429" s="84" t="str">
        <f>IF(AND(MONTH(E1429)='IN-NX'!$J$5,'IN-NX'!$D$7=D1429),"x","")</f>
        <v/>
      </c>
      <c r="AB1429" s="84" t="str">
        <f>IF(AND(OR(LEFT(TH!N1429,2)="15",LEFT(TH!O1429,2)="15"),LEFT(TH!O1429,3)&lt;&gt;"111",'152-CT'!$J$8=TH!F1429),"x","")</f>
        <v/>
      </c>
      <c r="AC1429" s="84" t="str">
        <f>IF(AND(OR(LEFT(TH!N1429,2)="15",LEFT(TH!O1429,2)="15"),TK!$E$7=TH!F1429),"x","")</f>
        <v/>
      </c>
      <c r="AD1429" s="84" t="str">
        <f>IF(AND(N1429="1521",MONTH(C1429)='BK-NL'!$M$11),"x","")</f>
        <v/>
      </c>
    </row>
    <row r="1430" spans="1:30" ht="15.75" hidden="1" customHeight="1">
      <c r="A1430" s="336" t="str">
        <f>IF(B1430&lt;&gt;"",IF(AND(B1430='IN-TC'!$S$4,OR(TH!N1430="1111",TH!O1430="1111")),TH!D1430,""),"")</f>
        <v/>
      </c>
      <c r="B1430" s="63">
        <f t="shared" si="208"/>
        <v>5</v>
      </c>
      <c r="C1430" s="64">
        <f t="shared" si="207"/>
        <v>42501</v>
      </c>
      <c r="D1430" s="64" t="s">
        <v>582</v>
      </c>
      <c r="E1430" s="64">
        <v>42501</v>
      </c>
      <c r="F1430" s="73" t="s">
        <v>614</v>
      </c>
      <c r="G1430" s="982" t="s">
        <v>919</v>
      </c>
      <c r="H1430" s="1174" t="s">
        <v>1547</v>
      </c>
      <c r="I1430" s="439"/>
      <c r="J1430" s="439"/>
      <c r="K1430" s="430"/>
      <c r="L1430" s="439"/>
      <c r="M1430" s="65">
        <v>222600</v>
      </c>
      <c r="N1430" s="66" t="s">
        <v>101</v>
      </c>
      <c r="O1430" s="66" t="s">
        <v>260</v>
      </c>
      <c r="P1430" s="84" t="str">
        <f>IF(AND('331-CT'!$E$7=TH!H1430,OR(N1430="331",O1430="331")),"x","")</f>
        <v/>
      </c>
      <c r="Q1430" s="84" t="str">
        <f>IF(AND(B1430='111'!$L$11,OR($N1430=$Q$7,$O1430=$Q$7)),"x","")</f>
        <v/>
      </c>
      <c r="R1430" s="84" t="str">
        <f>IF(AND($N1430=$Q$7,$B1430&lt;'111'!$L$11),"x","")</f>
        <v/>
      </c>
      <c r="S1430" s="84" t="str">
        <f>IF(AND($O1430=$Q$7,$B1430&lt;'111'!$L$11),"x","")</f>
        <v/>
      </c>
      <c r="T1430" s="84" t="str">
        <f>IF(ISERROR(FIND('112'!$M$9,G1430,1)),"",IF((AND(FIND('112'!$M$9,G1430,1)&gt;=1,B1430='112'!$K$9,OR($N1430='112'!$I$6,$O1430='112'!$I$6))),"x",""))</f>
        <v/>
      </c>
      <c r="U1430" s="84" t="str">
        <f>IF(ISERROR(FIND('112'!$M$9,G1430,1)),"",IF((AND(LEFT(G1430,2)=LEFT('112'!$M$9,2),B1430&lt;'112'!$K$9,$N1430='112'!$I$6)),"x",""))</f>
        <v/>
      </c>
      <c r="V1430" s="84" t="str">
        <f>IF(ISERROR(FIND('112'!$M$9,G1430,1)),"",IF((AND(RIGHT(G1430,2)=RIGHT('112'!$M$9,2),B1430&lt;'112'!$K$9,$O1430='112'!$I$6)),"x",""))</f>
        <v/>
      </c>
      <c r="W1430" s="84" t="str">
        <f>IF(AND('341-CT'!$H$9=H1430,OR(LEFT(N1430,3)=$W$7,LEFT(O1430,3)=$W$7)),"x","")</f>
        <v/>
      </c>
      <c r="X1430" s="84" t="str">
        <f>IF(OR(TH!N1430=TH!$X$7,O1430=TH!$X$7),"x","")</f>
        <v/>
      </c>
      <c r="Y1430" s="84" t="str">
        <f>IF(AND(OR(N1430="131",O1430="131"),H1430='131-CT'!$H$9),"x","")</f>
        <v/>
      </c>
      <c r="Z1430" s="84"/>
      <c r="AA1430" s="84" t="str">
        <f>IF(AND(MONTH(E1430)='IN-NX'!$J$5,'IN-NX'!$D$7=D1430),"x","")</f>
        <v/>
      </c>
      <c r="AB1430" s="84" t="str">
        <f>IF(AND(OR(LEFT(TH!N1430,2)="15",LEFT(TH!O1430,2)="15"),LEFT(TH!O1430,3)&lt;&gt;"111",'152-CT'!$J$8=TH!F1430),"x","")</f>
        <v/>
      </c>
      <c r="AC1430" s="84" t="str">
        <f>IF(AND(OR(LEFT(TH!N1430,2)="15",LEFT(TH!O1430,2)="15"),TK!$E$7=TH!F1430),"x","")</f>
        <v/>
      </c>
      <c r="AD1430" s="84" t="str">
        <f>IF(AND(N1430="1521",MONTH(C1430)='BK-NL'!$M$11),"x","")</f>
        <v/>
      </c>
    </row>
    <row r="1431" spans="1:30" ht="15.75" hidden="1" customHeight="1">
      <c r="A1431" s="336" t="str">
        <f>IF(B1431&lt;&gt;"",IF(AND(B1431='IN-TC'!$S$4,OR(TH!N1431="1111",TH!O1431="1111")),TH!D1431,""),"")</f>
        <v/>
      </c>
      <c r="B1431" s="63">
        <f t="shared" si="208"/>
        <v>5</v>
      </c>
      <c r="C1431" s="64">
        <f t="shared" si="207"/>
        <v>42501</v>
      </c>
      <c r="D1431" s="64" t="s">
        <v>582</v>
      </c>
      <c r="E1431" s="64">
        <v>42501</v>
      </c>
      <c r="F1431" s="73" t="s">
        <v>1194</v>
      </c>
      <c r="G1431" s="982" t="s">
        <v>919</v>
      </c>
      <c r="H1431" s="1174" t="s">
        <v>1547</v>
      </c>
      <c r="I1431" s="439"/>
      <c r="J1431" s="439"/>
      <c r="K1431" s="430"/>
      <c r="L1431" s="439"/>
      <c r="M1431" s="65">
        <v>22260</v>
      </c>
      <c r="N1431" s="66" t="s">
        <v>9</v>
      </c>
      <c r="O1431" s="66" t="s">
        <v>260</v>
      </c>
      <c r="P1431" s="84" t="str">
        <f>IF(AND('331-CT'!$E$7=TH!H1431,OR(N1431="331",O1431="331")),"x","")</f>
        <v/>
      </c>
      <c r="Q1431" s="84" t="str">
        <f>IF(AND(B1431='111'!$L$11,OR($N1431=$Q$7,$O1431=$Q$7)),"x","")</f>
        <v/>
      </c>
      <c r="R1431" s="84" t="str">
        <f>IF(AND($N1431=$Q$7,$B1431&lt;'111'!$L$11),"x","")</f>
        <v/>
      </c>
      <c r="S1431" s="84" t="str">
        <f>IF(AND($O1431=$Q$7,$B1431&lt;'111'!$L$11),"x","")</f>
        <v/>
      </c>
      <c r="T1431" s="84" t="str">
        <f>IF(ISERROR(FIND('112'!$M$9,G1431,1)),"",IF((AND(FIND('112'!$M$9,G1431,1)&gt;=1,B1431='112'!$K$9,OR($N1431='112'!$I$6,$O1431='112'!$I$6))),"x",""))</f>
        <v/>
      </c>
      <c r="U1431" s="84" t="str">
        <f>IF(ISERROR(FIND('112'!$M$9,G1431,1)),"",IF((AND(LEFT(G1431,2)=LEFT('112'!$M$9,2),B1431&lt;'112'!$K$9,$N1431='112'!$I$6)),"x",""))</f>
        <v/>
      </c>
      <c r="V1431" s="84" t="str">
        <f>IF(ISERROR(FIND('112'!$M$9,G1431,1)),"",IF((AND(RIGHT(G1431,2)=RIGHT('112'!$M$9,2),B1431&lt;'112'!$K$9,$O1431='112'!$I$6)),"x",""))</f>
        <v/>
      </c>
      <c r="W1431" s="84" t="str">
        <f>IF(AND('341-CT'!$H$9=H1431,OR(LEFT(N1431,3)=$W$7,LEFT(O1431,3)=$W$7)),"x","")</f>
        <v/>
      </c>
      <c r="X1431" s="84" t="str">
        <f>IF(OR(TH!N1431=TH!$X$7,O1431=TH!$X$7),"x","")</f>
        <v/>
      </c>
      <c r="Y1431" s="84" t="str">
        <f>IF(AND(OR(N1431="131",O1431="131"),H1431='131-CT'!$H$9),"x","")</f>
        <v/>
      </c>
      <c r="Z1431" s="84"/>
      <c r="AA1431" s="84" t="str">
        <f>IF(AND(MONTH(E1431)='IN-NX'!$J$5,'IN-NX'!$D$7=D1431),"x","")</f>
        <v/>
      </c>
      <c r="AB1431" s="84" t="str">
        <f>IF(AND(OR(LEFT(TH!N1431,2)="15",LEFT(TH!O1431,2)="15"),LEFT(TH!O1431,3)&lt;&gt;"111",'152-CT'!$J$8=TH!F1431),"x","")</f>
        <v/>
      </c>
      <c r="AC1431" s="84" t="str">
        <f>IF(AND(OR(LEFT(TH!N1431,2)="15",LEFT(TH!O1431,2)="15"),TK!$E$7=TH!F1431),"x","")</f>
        <v/>
      </c>
      <c r="AD1431" s="84" t="str">
        <f>IF(AND(N1431="1521",MONTH(C1431)='BK-NL'!$M$11),"x","")</f>
        <v/>
      </c>
    </row>
    <row r="1432" spans="1:30" ht="15.75" hidden="1" customHeight="1">
      <c r="A1432" s="336" t="str">
        <f>IF(B1432&lt;&gt;"",IF(AND(B1432='IN-TC'!$S$4,OR(TH!N1432="1111",TH!O1432="1111")),TH!D1432,""),"")</f>
        <v/>
      </c>
      <c r="B1432" s="63">
        <f>IF(C1432&lt;&gt;"",MONTH(C1432),"")</f>
        <v>5</v>
      </c>
      <c r="C1432" s="64">
        <f t="shared" si="207"/>
        <v>42501</v>
      </c>
      <c r="D1432" s="64" t="s">
        <v>582</v>
      </c>
      <c r="E1432" s="64">
        <v>42501</v>
      </c>
      <c r="F1432" s="73" t="s">
        <v>615</v>
      </c>
      <c r="G1432" s="982" t="s">
        <v>919</v>
      </c>
      <c r="H1432" s="1174" t="s">
        <v>1547</v>
      </c>
      <c r="I1432" s="439"/>
      <c r="J1432" s="439"/>
      <c r="K1432" s="430"/>
      <c r="L1432" s="439"/>
      <c r="M1432" s="65">
        <v>614821</v>
      </c>
      <c r="N1432" s="66" t="s">
        <v>101</v>
      </c>
      <c r="O1432" s="66" t="s">
        <v>260</v>
      </c>
      <c r="P1432" s="84" t="str">
        <f>IF(AND('331-CT'!$E$7=TH!H1432,OR(N1432="331",O1432="331")),"x","")</f>
        <v/>
      </c>
      <c r="Q1432" s="84" t="str">
        <f>IF(AND(B1432='111'!$L$11,OR($N1432=$Q$7,$O1432=$Q$7)),"x","")</f>
        <v/>
      </c>
      <c r="R1432" s="84" t="str">
        <f>IF(AND($N1432=$Q$7,$B1432&lt;'111'!$L$11),"x","")</f>
        <v/>
      </c>
      <c r="S1432" s="84" t="str">
        <f>IF(AND($O1432=$Q$7,$B1432&lt;'111'!$L$11),"x","")</f>
        <v/>
      </c>
      <c r="T1432" s="84" t="str">
        <f>IF(ISERROR(FIND('112'!$M$9,G1432,1)),"",IF((AND(FIND('112'!$M$9,G1432,1)&gt;=1,B1432='112'!$K$9,OR($N1432='112'!$I$6,$O1432='112'!$I$6))),"x",""))</f>
        <v/>
      </c>
      <c r="U1432" s="84" t="str">
        <f>IF(ISERROR(FIND('112'!$M$9,G1432,1)),"",IF((AND(LEFT(G1432,2)=LEFT('112'!$M$9,2),B1432&lt;'112'!$K$9,$N1432='112'!$I$6)),"x",""))</f>
        <v/>
      </c>
      <c r="V1432" s="84" t="str">
        <f>IF(ISERROR(FIND('112'!$M$9,G1432,1)),"",IF((AND(RIGHT(G1432,2)=RIGHT('112'!$M$9,2),B1432&lt;'112'!$K$9,$O1432='112'!$I$6)),"x",""))</f>
        <v/>
      </c>
      <c r="W1432" s="84" t="str">
        <f>IF(AND('341-CT'!$H$9=H1432,OR(LEFT(N1432,3)=$W$7,LEFT(O1432,3)=$W$7)),"x","")</f>
        <v/>
      </c>
      <c r="X1432" s="84" t="str">
        <f>IF(OR(TH!N1432=TH!$X$7,O1432=TH!$X$7),"x","")</f>
        <v/>
      </c>
      <c r="Y1432" s="84" t="str">
        <f>IF(AND(OR(N1432="131",O1432="131"),H1432='131-CT'!$H$9),"x","")</f>
        <v/>
      </c>
      <c r="Z1432" s="84"/>
      <c r="AA1432" s="84" t="str">
        <f>IF(AND(MONTH(E1432)='IN-NX'!$J$5,'IN-NX'!$D$7=D1432),"x","")</f>
        <v/>
      </c>
      <c r="AB1432" s="84" t="str">
        <f>IF(AND(OR(LEFT(TH!N1432,2)="15",LEFT(TH!O1432,2)="15"),LEFT(TH!O1432,3)&lt;&gt;"111",'152-CT'!$J$8=TH!F1432),"x","")</f>
        <v/>
      </c>
      <c r="AC1432" s="84" t="str">
        <f>IF(AND(OR(LEFT(TH!N1432,2)="15",LEFT(TH!O1432,2)="15"),TK!$E$7=TH!F1432),"x","")</f>
        <v/>
      </c>
      <c r="AD1432" s="84" t="str">
        <f>IF(AND(N1432="1521",MONTH(C1432)='BK-NL'!$M$11),"x","")</f>
        <v/>
      </c>
    </row>
    <row r="1433" spans="1:30" ht="15.75" hidden="1" customHeight="1">
      <c r="A1433" s="336" t="str">
        <f>IF(B1433&lt;&gt;"",IF(AND(B1433='IN-TC'!$S$4,OR(TH!N1433="1111",TH!O1433="1111")),TH!D1433,""),"")</f>
        <v/>
      </c>
      <c r="B1433" s="63">
        <f>IF(C1433&lt;&gt;"",MONTH(C1433),"")</f>
        <v>5</v>
      </c>
      <c r="C1433" s="64">
        <f t="shared" si="207"/>
        <v>42501</v>
      </c>
      <c r="D1433" s="64" t="s">
        <v>582</v>
      </c>
      <c r="E1433" s="64">
        <v>42501</v>
      </c>
      <c r="F1433" s="73" t="s">
        <v>1318</v>
      </c>
      <c r="G1433" s="982" t="s">
        <v>919</v>
      </c>
      <c r="H1433" s="1174" t="s">
        <v>1547</v>
      </c>
      <c r="I1433" s="439"/>
      <c r="J1433" s="439"/>
      <c r="K1433" s="430"/>
      <c r="L1433" s="439"/>
      <c r="M1433" s="65">
        <v>61438</v>
      </c>
      <c r="N1433" s="66" t="s">
        <v>9</v>
      </c>
      <c r="O1433" s="66" t="s">
        <v>260</v>
      </c>
      <c r="P1433" s="84" t="str">
        <f>IF(AND('331-CT'!$E$7=TH!H1433,OR(N1433="331",O1433="331")),"x","")</f>
        <v/>
      </c>
      <c r="Q1433" s="84" t="str">
        <f>IF(AND(B1433='111'!$L$11,OR($N1433=$Q$7,$O1433=$Q$7)),"x","")</f>
        <v/>
      </c>
      <c r="R1433" s="84" t="str">
        <f>IF(AND($N1433=$Q$7,$B1433&lt;'111'!$L$11),"x","")</f>
        <v/>
      </c>
      <c r="S1433" s="84" t="str">
        <f>IF(AND($O1433=$Q$7,$B1433&lt;'111'!$L$11),"x","")</f>
        <v/>
      </c>
      <c r="T1433" s="84" t="str">
        <f>IF(ISERROR(FIND('112'!$M$9,G1433,1)),"",IF((AND(FIND('112'!$M$9,G1433,1)&gt;=1,B1433='112'!$K$9,OR($N1433='112'!$I$6,$O1433='112'!$I$6))),"x",""))</f>
        <v/>
      </c>
      <c r="U1433" s="84" t="str">
        <f>IF(ISERROR(FIND('112'!$M$9,G1433,1)),"",IF((AND(LEFT(G1433,2)=LEFT('112'!$M$9,2),B1433&lt;'112'!$K$9,$N1433='112'!$I$6)),"x",""))</f>
        <v/>
      </c>
      <c r="V1433" s="84" t="str">
        <f>IF(ISERROR(FIND('112'!$M$9,G1433,1)),"",IF((AND(RIGHT(G1433,2)=RIGHT('112'!$M$9,2),B1433&lt;'112'!$K$9,$O1433='112'!$I$6)),"x",""))</f>
        <v/>
      </c>
      <c r="W1433" s="84" t="str">
        <f>IF(AND('341-CT'!$H$9=H1433,OR(LEFT(N1433,3)=$W$7,LEFT(O1433,3)=$W$7)),"x","")</f>
        <v/>
      </c>
      <c r="X1433" s="84" t="str">
        <f>IF(OR(TH!N1433=TH!$X$7,O1433=TH!$X$7),"x","")</f>
        <v/>
      </c>
      <c r="Y1433" s="84" t="str">
        <f>IF(AND(OR(N1433="131",O1433="131"),H1433='131-CT'!$H$9),"x","")</f>
        <v/>
      </c>
      <c r="Z1433" s="84"/>
      <c r="AA1433" s="84" t="str">
        <f>IF(AND(MONTH(E1433)='IN-NX'!$J$5,'IN-NX'!$D$7=D1433),"x","")</f>
        <v/>
      </c>
      <c r="AB1433" s="84" t="str">
        <f>IF(AND(OR(LEFT(TH!N1433,2)="15",LEFT(TH!O1433,2)="15"),LEFT(TH!O1433,3)&lt;&gt;"111",'152-CT'!$J$8=TH!F1433),"x","")</f>
        <v/>
      </c>
      <c r="AC1433" s="84" t="str">
        <f>IF(AND(OR(LEFT(TH!N1433,2)="15",LEFT(TH!O1433,2)="15"),TK!$E$7=TH!F1433),"x","")</f>
        <v/>
      </c>
      <c r="AD1433" s="84" t="str">
        <f>IF(AND(N1433="1521",MONTH(C1433)='BK-NL'!$M$11),"x","")</f>
        <v/>
      </c>
    </row>
    <row r="1434" spans="1:30" ht="15.75" hidden="1" customHeight="1">
      <c r="A1434" s="336" t="str">
        <f>IF(B1434&lt;&gt;"",IF(AND(B1434='IN-TC'!$S$4,OR(TH!N1434="1111",TH!O1434="1111")),TH!D1434,""),"")</f>
        <v/>
      </c>
      <c r="B1434" s="63">
        <f t="shared" si="208"/>
        <v>5</v>
      </c>
      <c r="C1434" s="64">
        <f t="shared" si="207"/>
        <v>42503</v>
      </c>
      <c r="D1434" s="318" t="s">
        <v>702</v>
      </c>
      <c r="E1434" s="64">
        <v>42503</v>
      </c>
      <c r="F1434" s="73" t="s">
        <v>1191</v>
      </c>
      <c r="G1434" s="982" t="s">
        <v>919</v>
      </c>
      <c r="H1434" s="1174" t="s">
        <v>1548</v>
      </c>
      <c r="I1434" s="439"/>
      <c r="J1434" s="439"/>
      <c r="K1434" s="430"/>
      <c r="L1434" s="439"/>
      <c r="M1434" s="65">
        <v>836613245</v>
      </c>
      <c r="N1434" s="66" t="s">
        <v>26</v>
      </c>
      <c r="O1434" s="66" t="s">
        <v>260</v>
      </c>
      <c r="P1434" s="84" t="str">
        <f>IF(AND('331-CT'!$E$7=TH!H1434,OR(N1434="331",O1434="331")),"x","")</f>
        <v/>
      </c>
      <c r="Q1434" s="84" t="str">
        <f>IF(AND(B1434='111'!$L$11,OR($N1434=$Q$7,$O1434=$Q$7)),"x","")</f>
        <v/>
      </c>
      <c r="R1434" s="84" t="str">
        <f>IF(AND($N1434=$Q$7,$B1434&lt;'111'!$L$11),"x","")</f>
        <v/>
      </c>
      <c r="S1434" s="84" t="str">
        <f>IF(AND($O1434=$Q$7,$B1434&lt;'111'!$L$11),"x","")</f>
        <v/>
      </c>
      <c r="T1434" s="84" t="str">
        <f>IF(ISERROR(FIND('112'!$M$9,G1434,1)),"",IF((AND(FIND('112'!$M$9,G1434,1)&gt;=1,B1434='112'!$K$9,OR($N1434='112'!$I$6,$O1434='112'!$I$6))),"x",""))</f>
        <v/>
      </c>
      <c r="U1434" s="84" t="str">
        <f>IF(ISERROR(FIND('112'!$M$9,G1434,1)),"",IF((AND(LEFT(G1434,2)=LEFT('112'!$M$9,2),B1434&lt;'112'!$K$9,$N1434='112'!$I$6)),"x",""))</f>
        <v>x</v>
      </c>
      <c r="V1434" s="84" t="str">
        <f>IF(ISERROR(FIND('112'!$M$9,G1434,1)),"",IF((AND(RIGHT(G1434,2)=RIGHT('112'!$M$9,2),B1434&lt;'112'!$K$9,$O1434='112'!$I$6)),"x",""))</f>
        <v/>
      </c>
      <c r="W1434" s="84" t="str">
        <f>IF(AND('341-CT'!$H$9=H1434,OR(LEFT(N1434,3)=$W$7,LEFT(O1434,3)=$W$7)),"x","")</f>
        <v/>
      </c>
      <c r="X1434" s="84" t="str">
        <f>IF(OR(TH!N1434=TH!$X$7,O1434=TH!$X$7),"x","")</f>
        <v/>
      </c>
      <c r="Y1434" s="84" t="str">
        <f>IF(AND(OR(N1434="131",O1434="131"),H1434='131-CT'!$H$9),"x","")</f>
        <v/>
      </c>
      <c r="Z1434" s="84"/>
      <c r="AA1434" s="84" t="str">
        <f>IF(AND(MONTH(E1434)='IN-NX'!$J$5,'IN-NX'!$D$7=D1434),"x","")</f>
        <v/>
      </c>
      <c r="AB1434" s="84" t="str">
        <f>IF(AND(OR(LEFT(TH!N1434,2)="15",LEFT(TH!O1434,2)="15"),LEFT(TH!O1434,3)&lt;&gt;"111",'152-CT'!$J$8=TH!F1434),"x","")</f>
        <v/>
      </c>
      <c r="AC1434" s="84" t="str">
        <f>IF(AND(OR(LEFT(TH!N1434,2)="15",LEFT(TH!O1434,2)="15"),TK!$E$7=TH!F1434),"x","")</f>
        <v/>
      </c>
      <c r="AD1434" s="84" t="str">
        <f>IF(AND(N1434="1521",MONTH(C1434)='BK-NL'!$M$11),"x","")</f>
        <v/>
      </c>
    </row>
    <row r="1435" spans="1:30" ht="15.75" hidden="1" customHeight="1">
      <c r="A1435" s="336" t="str">
        <f>IF(B1435&lt;&gt;"",IF(AND(B1435='IN-TC'!$S$4,OR(TH!N1435="1111",TH!O1435="1111")),TH!D1435,""),"")</f>
        <v/>
      </c>
      <c r="B1435" s="63">
        <f t="shared" ref="B1435:B1440" si="209">IF(C1435&lt;&gt;"",MONTH(C1435),"")</f>
        <v>5</v>
      </c>
      <c r="C1435" s="64">
        <f t="shared" si="207"/>
        <v>42503</v>
      </c>
      <c r="D1435" s="64" t="s">
        <v>582</v>
      </c>
      <c r="E1435" s="64">
        <v>42503</v>
      </c>
      <c r="F1435" s="73" t="s">
        <v>614</v>
      </c>
      <c r="G1435" s="982" t="s">
        <v>919</v>
      </c>
      <c r="H1435" s="1174" t="s">
        <v>1548</v>
      </c>
      <c r="I1435" s="439"/>
      <c r="J1435" s="439"/>
      <c r="K1435" s="430"/>
      <c r="L1435" s="439"/>
      <c r="M1435" s="65">
        <v>222900</v>
      </c>
      <c r="N1435" s="66" t="s">
        <v>101</v>
      </c>
      <c r="O1435" s="66" t="s">
        <v>260</v>
      </c>
      <c r="P1435" s="84" t="str">
        <f>IF(AND('331-CT'!$E$7=TH!H1435,OR(N1435="331",O1435="331")),"x","")</f>
        <v/>
      </c>
      <c r="Q1435" s="84" t="str">
        <f>IF(AND(B1435='111'!$L$11,OR($N1435=$Q$7,$O1435=$Q$7)),"x","")</f>
        <v/>
      </c>
      <c r="R1435" s="84" t="str">
        <f>IF(AND($N1435=$Q$7,$B1435&lt;'111'!$L$11),"x","")</f>
        <v/>
      </c>
      <c r="S1435" s="84" t="str">
        <f>IF(AND($O1435=$Q$7,$B1435&lt;'111'!$L$11),"x","")</f>
        <v/>
      </c>
      <c r="T1435" s="84" t="str">
        <f>IF(ISERROR(FIND('112'!$M$9,G1435,1)),"",IF((AND(FIND('112'!$M$9,G1435,1)&gt;=1,B1435='112'!$K$9,OR($N1435='112'!$I$6,$O1435='112'!$I$6))),"x",""))</f>
        <v/>
      </c>
      <c r="U1435" s="84" t="str">
        <f>IF(ISERROR(FIND('112'!$M$9,G1435,1)),"",IF((AND(LEFT(G1435,2)=LEFT('112'!$M$9,2),B1435&lt;'112'!$K$9,$N1435='112'!$I$6)),"x",""))</f>
        <v/>
      </c>
      <c r="V1435" s="84" t="str">
        <f>IF(ISERROR(FIND('112'!$M$9,G1435,1)),"",IF((AND(RIGHT(G1435,2)=RIGHT('112'!$M$9,2),B1435&lt;'112'!$K$9,$O1435='112'!$I$6)),"x",""))</f>
        <v/>
      </c>
      <c r="W1435" s="84" t="str">
        <f>IF(AND('341-CT'!$H$9=H1435,OR(LEFT(N1435,3)=$W$7,LEFT(O1435,3)=$W$7)),"x","")</f>
        <v/>
      </c>
      <c r="X1435" s="84" t="str">
        <f>IF(OR(TH!N1435=TH!$X$7,O1435=TH!$X$7),"x","")</f>
        <v/>
      </c>
      <c r="Y1435" s="84" t="str">
        <f>IF(AND(OR(N1435="131",O1435="131"),H1435='131-CT'!$H$9),"x","")</f>
        <v/>
      </c>
      <c r="Z1435" s="84"/>
      <c r="AA1435" s="84" t="str">
        <f>IF(AND(MONTH(E1435)='IN-NX'!$J$5,'IN-NX'!$D$7=D1435),"x","")</f>
        <v/>
      </c>
      <c r="AB1435" s="84" t="str">
        <f>IF(AND(OR(LEFT(TH!N1435,2)="15",LEFT(TH!O1435,2)="15"),LEFT(TH!O1435,3)&lt;&gt;"111",'152-CT'!$J$8=TH!F1435),"x","")</f>
        <v/>
      </c>
      <c r="AC1435" s="84" t="str">
        <f>IF(AND(OR(LEFT(TH!N1435,2)="15",LEFT(TH!O1435,2)="15"),TK!$E$7=TH!F1435),"x","")</f>
        <v/>
      </c>
      <c r="AD1435" s="84" t="str">
        <f>IF(AND(N1435="1521",MONTH(C1435)='BK-NL'!$M$11),"x","")</f>
        <v/>
      </c>
    </row>
    <row r="1436" spans="1:30" ht="15.75" hidden="1" customHeight="1">
      <c r="A1436" s="336" t="str">
        <f>IF(B1436&lt;&gt;"",IF(AND(B1436='IN-TC'!$S$4,OR(TH!N1436="1111",TH!O1436="1111")),TH!D1436,""),"")</f>
        <v/>
      </c>
      <c r="B1436" s="63">
        <f t="shared" si="209"/>
        <v>5</v>
      </c>
      <c r="C1436" s="64">
        <f t="shared" si="207"/>
        <v>42503</v>
      </c>
      <c r="D1436" s="64" t="s">
        <v>582</v>
      </c>
      <c r="E1436" s="64">
        <v>42503</v>
      </c>
      <c r="F1436" s="73" t="s">
        <v>1194</v>
      </c>
      <c r="G1436" s="982" t="s">
        <v>919</v>
      </c>
      <c r="H1436" s="1174" t="s">
        <v>1548</v>
      </c>
      <c r="I1436" s="439"/>
      <c r="J1436" s="439"/>
      <c r="K1436" s="430"/>
      <c r="L1436" s="439"/>
      <c r="M1436" s="65">
        <v>22290</v>
      </c>
      <c r="N1436" s="66" t="s">
        <v>9</v>
      </c>
      <c r="O1436" s="66" t="s">
        <v>260</v>
      </c>
      <c r="P1436" s="84" t="str">
        <f>IF(AND('331-CT'!$E$7=TH!H1436,OR(N1436="331",O1436="331")),"x","")</f>
        <v/>
      </c>
      <c r="Q1436" s="84" t="str">
        <f>IF(AND(B1436='111'!$L$11,OR($N1436=$Q$7,$O1436=$Q$7)),"x","")</f>
        <v/>
      </c>
      <c r="R1436" s="84" t="str">
        <f>IF(AND($N1436=$Q$7,$B1436&lt;'111'!$L$11),"x","")</f>
        <v/>
      </c>
      <c r="S1436" s="84" t="str">
        <f>IF(AND($O1436=$Q$7,$B1436&lt;'111'!$L$11),"x","")</f>
        <v/>
      </c>
      <c r="T1436" s="84" t="str">
        <f>IF(ISERROR(FIND('112'!$M$9,G1436,1)),"",IF((AND(FIND('112'!$M$9,G1436,1)&gt;=1,B1436='112'!$K$9,OR($N1436='112'!$I$6,$O1436='112'!$I$6))),"x",""))</f>
        <v/>
      </c>
      <c r="U1436" s="84" t="str">
        <f>IF(ISERROR(FIND('112'!$M$9,G1436,1)),"",IF((AND(LEFT(G1436,2)=LEFT('112'!$M$9,2),B1436&lt;'112'!$K$9,$N1436='112'!$I$6)),"x",""))</f>
        <v/>
      </c>
      <c r="V1436" s="84" t="str">
        <f>IF(ISERROR(FIND('112'!$M$9,G1436,1)),"",IF((AND(RIGHT(G1436,2)=RIGHT('112'!$M$9,2),B1436&lt;'112'!$K$9,$O1436='112'!$I$6)),"x",""))</f>
        <v/>
      </c>
      <c r="W1436" s="84" t="str">
        <f>IF(AND('341-CT'!$H$9=H1436,OR(LEFT(N1436,3)=$W$7,LEFT(O1436,3)=$W$7)),"x","")</f>
        <v/>
      </c>
      <c r="X1436" s="84" t="str">
        <f>IF(OR(TH!N1436=TH!$X$7,O1436=TH!$X$7),"x","")</f>
        <v/>
      </c>
      <c r="Y1436" s="84" t="str">
        <f>IF(AND(OR(N1436="131",O1436="131"),H1436='131-CT'!$H$9),"x","")</f>
        <v/>
      </c>
      <c r="Z1436" s="84"/>
      <c r="AA1436" s="84" t="str">
        <f>IF(AND(MONTH(E1436)='IN-NX'!$J$5,'IN-NX'!$D$7=D1436),"x","")</f>
        <v/>
      </c>
      <c r="AB1436" s="84" t="str">
        <f>IF(AND(OR(LEFT(TH!N1436,2)="15",LEFT(TH!O1436,2)="15"),LEFT(TH!O1436,3)&lt;&gt;"111",'152-CT'!$J$8=TH!F1436),"x","")</f>
        <v/>
      </c>
      <c r="AC1436" s="84" t="str">
        <f>IF(AND(OR(LEFT(TH!N1436,2)="15",LEFT(TH!O1436,2)="15"),TK!$E$7=TH!F1436),"x","")</f>
        <v/>
      </c>
      <c r="AD1436" s="84" t="str">
        <f>IF(AND(N1436="1521",MONTH(C1436)='BK-NL'!$M$11),"x","")</f>
        <v/>
      </c>
    </row>
    <row r="1437" spans="1:30" ht="15.75" hidden="1" customHeight="1">
      <c r="A1437" s="336" t="str">
        <f>IF(B1437&lt;&gt;"",IF(AND(B1437='IN-TC'!$S$4,OR(TH!N1437="1111",TH!O1437="1111")),TH!D1437,""),"")</f>
        <v/>
      </c>
      <c r="B1437" s="63">
        <f t="shared" si="209"/>
        <v>5</v>
      </c>
      <c r="C1437" s="64">
        <f t="shared" si="207"/>
        <v>42503</v>
      </c>
      <c r="D1437" s="64" t="s">
        <v>582</v>
      </c>
      <c r="E1437" s="64">
        <v>42503</v>
      </c>
      <c r="F1437" s="73" t="s">
        <v>615</v>
      </c>
      <c r="G1437" s="982" t="s">
        <v>919</v>
      </c>
      <c r="H1437" s="1174" t="s">
        <v>1548</v>
      </c>
      <c r="I1437" s="439"/>
      <c r="J1437" s="439"/>
      <c r="K1437" s="430"/>
      <c r="L1437" s="439"/>
      <c r="M1437" s="65">
        <v>615650</v>
      </c>
      <c r="N1437" s="66" t="s">
        <v>101</v>
      </c>
      <c r="O1437" s="66" t="s">
        <v>260</v>
      </c>
      <c r="P1437" s="84" t="str">
        <f>IF(AND('331-CT'!$E$7=TH!H1437,OR(N1437="331",O1437="331")),"x","")</f>
        <v/>
      </c>
      <c r="Q1437" s="84" t="str">
        <f>IF(AND(B1437='111'!$L$11,OR($N1437=$Q$7,$O1437=$Q$7)),"x","")</f>
        <v/>
      </c>
      <c r="R1437" s="84" t="str">
        <f>IF(AND($N1437=$Q$7,$B1437&lt;'111'!$L$11),"x","")</f>
        <v/>
      </c>
      <c r="S1437" s="84" t="str">
        <f>IF(AND($O1437=$Q$7,$B1437&lt;'111'!$L$11),"x","")</f>
        <v/>
      </c>
      <c r="T1437" s="84" t="str">
        <f>IF(ISERROR(FIND('112'!$M$9,G1437,1)),"",IF((AND(FIND('112'!$M$9,G1437,1)&gt;=1,B1437='112'!$K$9,OR($N1437='112'!$I$6,$O1437='112'!$I$6))),"x",""))</f>
        <v/>
      </c>
      <c r="U1437" s="84" t="str">
        <f>IF(ISERROR(FIND('112'!$M$9,G1437,1)),"",IF((AND(LEFT(G1437,2)=LEFT('112'!$M$9,2),B1437&lt;'112'!$K$9,$N1437='112'!$I$6)),"x",""))</f>
        <v/>
      </c>
      <c r="V1437" s="84" t="str">
        <f>IF(ISERROR(FIND('112'!$M$9,G1437,1)),"",IF((AND(RIGHT(G1437,2)=RIGHT('112'!$M$9,2),B1437&lt;'112'!$K$9,$O1437='112'!$I$6)),"x",""))</f>
        <v/>
      </c>
      <c r="W1437" s="84" t="str">
        <f>IF(AND('341-CT'!$H$9=H1437,OR(LEFT(N1437,3)=$W$7,LEFT(O1437,3)=$W$7)),"x","")</f>
        <v/>
      </c>
      <c r="X1437" s="84" t="str">
        <f>IF(OR(TH!N1437=TH!$X$7,O1437=TH!$X$7),"x","")</f>
        <v/>
      </c>
      <c r="Y1437" s="84" t="str">
        <f>IF(AND(OR(N1437="131",O1437="131"),H1437='131-CT'!$H$9),"x","")</f>
        <v/>
      </c>
      <c r="Z1437" s="84"/>
      <c r="AA1437" s="84" t="str">
        <f>IF(AND(MONTH(E1437)='IN-NX'!$J$5,'IN-NX'!$D$7=D1437),"x","")</f>
        <v/>
      </c>
      <c r="AB1437" s="84" t="str">
        <f>IF(AND(OR(LEFT(TH!N1437,2)="15",LEFT(TH!O1437,2)="15"),LEFT(TH!O1437,3)&lt;&gt;"111",'152-CT'!$J$8=TH!F1437),"x","")</f>
        <v/>
      </c>
      <c r="AC1437" s="84" t="str">
        <f>IF(AND(OR(LEFT(TH!N1437,2)="15",LEFT(TH!O1437,2)="15"),TK!$E$7=TH!F1437),"x","")</f>
        <v/>
      </c>
      <c r="AD1437" s="84" t="str">
        <f>IF(AND(N1437="1521",MONTH(C1437)='BK-NL'!$M$11),"x","")</f>
        <v/>
      </c>
    </row>
    <row r="1438" spans="1:30" ht="15.75" hidden="1" customHeight="1">
      <c r="A1438" s="336" t="str">
        <f>IF(B1438&lt;&gt;"",IF(AND(B1438='IN-TC'!$S$4,OR(TH!N1438="1111",TH!O1438="1111")),TH!D1438,""),"")</f>
        <v/>
      </c>
      <c r="B1438" s="63">
        <f t="shared" si="209"/>
        <v>5</v>
      </c>
      <c r="C1438" s="64">
        <f t="shared" si="207"/>
        <v>42503</v>
      </c>
      <c r="D1438" s="64" t="s">
        <v>582</v>
      </c>
      <c r="E1438" s="64">
        <v>42503</v>
      </c>
      <c r="F1438" s="73" t="s">
        <v>1318</v>
      </c>
      <c r="G1438" s="982" t="s">
        <v>919</v>
      </c>
      <c r="H1438" s="1174" t="s">
        <v>1548</v>
      </c>
      <c r="I1438" s="439"/>
      <c r="J1438" s="439"/>
      <c r="K1438" s="430"/>
      <c r="L1438" s="439"/>
      <c r="M1438" s="65">
        <v>61520</v>
      </c>
      <c r="N1438" s="66" t="s">
        <v>9</v>
      </c>
      <c r="O1438" s="66" t="s">
        <v>260</v>
      </c>
      <c r="P1438" s="84" t="str">
        <f>IF(AND('331-CT'!$E$7=TH!H1438,OR(N1438="331",O1438="331")),"x","")</f>
        <v/>
      </c>
      <c r="Q1438" s="84" t="str">
        <f>IF(AND(B1438='111'!$L$11,OR($N1438=$Q$7,$O1438=$Q$7)),"x","")</f>
        <v/>
      </c>
      <c r="R1438" s="84" t="str">
        <f>IF(AND($N1438=$Q$7,$B1438&lt;'111'!$L$11),"x","")</f>
        <v/>
      </c>
      <c r="S1438" s="84" t="str">
        <f>IF(AND($O1438=$Q$7,$B1438&lt;'111'!$L$11),"x","")</f>
        <v/>
      </c>
      <c r="T1438" s="84" t="str">
        <f>IF(ISERROR(FIND('112'!$M$9,G1438,1)),"",IF((AND(FIND('112'!$M$9,G1438,1)&gt;=1,B1438='112'!$K$9,OR($N1438='112'!$I$6,$O1438='112'!$I$6))),"x",""))</f>
        <v/>
      </c>
      <c r="U1438" s="84" t="str">
        <f>IF(ISERROR(FIND('112'!$M$9,G1438,1)),"",IF((AND(LEFT(G1438,2)=LEFT('112'!$M$9,2),B1438&lt;'112'!$K$9,$N1438='112'!$I$6)),"x",""))</f>
        <v/>
      </c>
      <c r="V1438" s="84" t="str">
        <f>IF(ISERROR(FIND('112'!$M$9,G1438,1)),"",IF((AND(RIGHT(G1438,2)=RIGHT('112'!$M$9,2),B1438&lt;'112'!$K$9,$O1438='112'!$I$6)),"x",""))</f>
        <v/>
      </c>
      <c r="W1438" s="84" t="str">
        <f>IF(AND('341-CT'!$H$9=H1438,OR(LEFT(N1438,3)=$W$7,LEFT(O1438,3)=$W$7)),"x","")</f>
        <v/>
      </c>
      <c r="X1438" s="84" t="str">
        <f>IF(OR(TH!N1438=TH!$X$7,O1438=TH!$X$7),"x","")</f>
        <v/>
      </c>
      <c r="Y1438" s="84" t="str">
        <f>IF(AND(OR(N1438="131",O1438="131"),H1438='131-CT'!$H$9),"x","")</f>
        <v/>
      </c>
      <c r="Z1438" s="84"/>
      <c r="AA1438" s="84" t="str">
        <f>IF(AND(MONTH(E1438)='IN-NX'!$J$5,'IN-NX'!$D$7=D1438),"x","")</f>
        <v/>
      </c>
      <c r="AB1438" s="84" t="str">
        <f>IF(AND(OR(LEFT(TH!N1438,2)="15",LEFT(TH!O1438,2)="15"),LEFT(TH!O1438,3)&lt;&gt;"111",'152-CT'!$J$8=TH!F1438),"x","")</f>
        <v/>
      </c>
      <c r="AC1438" s="84" t="str">
        <f>IF(AND(OR(LEFT(TH!N1438,2)="15",LEFT(TH!O1438,2)="15"),TK!$E$7=TH!F1438),"x","")</f>
        <v/>
      </c>
      <c r="AD1438" s="84" t="str">
        <f>IF(AND(N1438="1521",MONTH(C1438)='BK-NL'!$M$11),"x","")</f>
        <v/>
      </c>
    </row>
    <row r="1439" spans="1:30" ht="15.75" hidden="1" customHeight="1">
      <c r="A1439" s="336" t="str">
        <f>IF(B1439&lt;&gt;"",IF(AND(B1439='IN-TC'!$S$4,OR(TH!N1439="1111",TH!O1439="1111")),TH!D1439,""),"")</f>
        <v/>
      </c>
      <c r="B1439" s="63">
        <f t="shared" si="209"/>
        <v>5</v>
      </c>
      <c r="C1439" s="64">
        <f t="shared" si="207"/>
        <v>42503</v>
      </c>
      <c r="D1439" s="64" t="s">
        <v>582</v>
      </c>
      <c r="E1439" s="64">
        <v>42503</v>
      </c>
      <c r="F1439" s="73" t="s">
        <v>616</v>
      </c>
      <c r="G1439" s="982" t="s">
        <v>919</v>
      </c>
      <c r="H1439" s="1174" t="s">
        <v>1548</v>
      </c>
      <c r="I1439" s="439"/>
      <c r="J1439" s="439"/>
      <c r="K1439" s="430"/>
      <c r="L1439" s="439"/>
      <c r="M1439" s="65">
        <v>111450</v>
      </c>
      <c r="N1439" s="66" t="s">
        <v>101</v>
      </c>
      <c r="O1439" s="66" t="s">
        <v>260</v>
      </c>
      <c r="P1439" s="84" t="str">
        <f>IF(AND('331-CT'!$E$7=TH!H1439,OR(N1439="331",O1439="331")),"x","")</f>
        <v/>
      </c>
      <c r="Q1439" s="84" t="str">
        <f>IF(AND(B1439='111'!$L$11,OR($N1439=$Q$7,$O1439=$Q$7)),"x","")</f>
        <v/>
      </c>
      <c r="R1439" s="84" t="str">
        <f>IF(AND($N1439=$Q$7,$B1439&lt;'111'!$L$11),"x","")</f>
        <v/>
      </c>
      <c r="S1439" s="84" t="str">
        <f>IF(AND($O1439=$Q$7,$B1439&lt;'111'!$L$11),"x","")</f>
        <v/>
      </c>
      <c r="T1439" s="84" t="str">
        <f>IF(ISERROR(FIND('112'!$M$9,G1439,1)),"",IF((AND(FIND('112'!$M$9,G1439,1)&gt;=1,B1439='112'!$K$9,OR($N1439='112'!$I$6,$O1439='112'!$I$6))),"x",""))</f>
        <v/>
      </c>
      <c r="U1439" s="84" t="str">
        <f>IF(ISERROR(FIND('112'!$M$9,G1439,1)),"",IF((AND(LEFT(G1439,2)=LEFT('112'!$M$9,2),B1439&lt;'112'!$K$9,$N1439='112'!$I$6)),"x",""))</f>
        <v/>
      </c>
      <c r="V1439" s="84" t="str">
        <f>IF(ISERROR(FIND('112'!$M$9,G1439,1)),"",IF((AND(RIGHT(G1439,2)=RIGHT('112'!$M$9,2),B1439&lt;'112'!$K$9,$O1439='112'!$I$6)),"x",""))</f>
        <v/>
      </c>
      <c r="W1439" s="84" t="str">
        <f>IF(AND('341-CT'!$H$9=H1439,OR(LEFT(N1439,3)=$W$7,LEFT(O1439,3)=$W$7)),"x","")</f>
        <v/>
      </c>
      <c r="X1439" s="84" t="str">
        <f>IF(OR(TH!N1439=TH!$X$7,O1439=TH!$X$7),"x","")</f>
        <v/>
      </c>
      <c r="Y1439" s="84" t="str">
        <f>IF(AND(OR(N1439="131",O1439="131"),H1439='131-CT'!$H$9),"x","")</f>
        <v/>
      </c>
      <c r="Z1439" s="84"/>
      <c r="AA1439" s="84" t="str">
        <f>IF(AND(MONTH(E1439)='IN-NX'!$J$5,'IN-NX'!$D$7=D1439),"x","")</f>
        <v/>
      </c>
      <c r="AB1439" s="84" t="str">
        <f>IF(AND(OR(LEFT(TH!N1439,2)="15",LEFT(TH!O1439,2)="15"),LEFT(TH!O1439,3)&lt;&gt;"111",'152-CT'!$J$8=TH!F1439),"x","")</f>
        <v/>
      </c>
      <c r="AC1439" s="84" t="str">
        <f>IF(AND(OR(LEFT(TH!N1439,2)="15",LEFT(TH!O1439,2)="15"),TK!$E$7=TH!F1439),"x","")</f>
        <v/>
      </c>
      <c r="AD1439" s="84" t="str">
        <f>IF(AND(N1439="1521",MONTH(C1439)='BK-NL'!$M$11),"x","")</f>
        <v/>
      </c>
    </row>
    <row r="1440" spans="1:30" ht="15.75" hidden="1" customHeight="1">
      <c r="A1440" s="336" t="str">
        <f>IF(B1440&lt;&gt;"",IF(AND(B1440='IN-TC'!$S$4,OR(TH!N1440="1111",TH!O1440="1111")),TH!D1440,""),"")</f>
        <v/>
      </c>
      <c r="B1440" s="63">
        <f t="shared" si="209"/>
        <v>5</v>
      </c>
      <c r="C1440" s="64">
        <f t="shared" ref="C1440:C1446" si="210">E1440</f>
        <v>42503</v>
      </c>
      <c r="D1440" s="64" t="s">
        <v>582</v>
      </c>
      <c r="E1440" s="64">
        <v>42503</v>
      </c>
      <c r="F1440" s="73" t="s">
        <v>1198</v>
      </c>
      <c r="G1440" s="982" t="s">
        <v>919</v>
      </c>
      <c r="H1440" s="1174" t="s">
        <v>1548</v>
      </c>
      <c r="I1440" s="439"/>
      <c r="J1440" s="439"/>
      <c r="K1440" s="430"/>
      <c r="L1440" s="439"/>
      <c r="M1440" s="65">
        <v>11145</v>
      </c>
      <c r="N1440" s="66" t="s">
        <v>9</v>
      </c>
      <c r="O1440" s="66" t="s">
        <v>260</v>
      </c>
      <c r="P1440" s="84" t="str">
        <f>IF(AND('331-CT'!$E$7=TH!H1440,OR(N1440="331",O1440="331")),"x","")</f>
        <v/>
      </c>
      <c r="Q1440" s="84" t="str">
        <f>IF(AND(B1440='111'!$L$11,OR($N1440=$Q$7,$O1440=$Q$7)),"x","")</f>
        <v/>
      </c>
      <c r="R1440" s="84" t="str">
        <f>IF(AND($N1440=$Q$7,$B1440&lt;'111'!$L$11),"x","")</f>
        <v/>
      </c>
      <c r="S1440" s="84" t="str">
        <f>IF(AND($O1440=$Q$7,$B1440&lt;'111'!$L$11),"x","")</f>
        <v/>
      </c>
      <c r="T1440" s="84" t="str">
        <f>IF(ISERROR(FIND('112'!$M$9,G1440,1)),"",IF((AND(FIND('112'!$M$9,G1440,1)&gt;=1,B1440='112'!$K$9,OR($N1440='112'!$I$6,$O1440='112'!$I$6))),"x",""))</f>
        <v/>
      </c>
      <c r="U1440" s="84" t="str">
        <f>IF(ISERROR(FIND('112'!$M$9,G1440,1)),"",IF((AND(LEFT(G1440,2)=LEFT('112'!$M$9,2),B1440&lt;'112'!$K$9,$N1440='112'!$I$6)),"x",""))</f>
        <v/>
      </c>
      <c r="V1440" s="84" t="str">
        <f>IF(ISERROR(FIND('112'!$M$9,G1440,1)),"",IF((AND(RIGHT(G1440,2)=RIGHT('112'!$M$9,2),B1440&lt;'112'!$K$9,$O1440='112'!$I$6)),"x",""))</f>
        <v/>
      </c>
      <c r="W1440" s="84" t="str">
        <f>IF(AND('341-CT'!$H$9=H1440,OR(LEFT(N1440,3)=$W$7,LEFT(O1440,3)=$W$7)),"x","")</f>
        <v/>
      </c>
      <c r="X1440" s="84" t="str">
        <f>IF(OR(TH!N1440=TH!$X$7,O1440=TH!$X$7),"x","")</f>
        <v/>
      </c>
      <c r="Y1440" s="84" t="str">
        <f>IF(AND(OR(N1440="131",O1440="131"),H1440='131-CT'!$H$9),"x","")</f>
        <v/>
      </c>
      <c r="Z1440" s="84"/>
      <c r="AA1440" s="84" t="str">
        <f>IF(AND(MONTH(E1440)='IN-NX'!$J$5,'IN-NX'!$D$7=D1440),"x","")</f>
        <v/>
      </c>
      <c r="AB1440" s="84" t="str">
        <f>IF(AND(OR(LEFT(TH!N1440,2)="15",LEFT(TH!O1440,2)="15"),LEFT(TH!O1440,3)&lt;&gt;"111",'152-CT'!$J$8=TH!F1440),"x","")</f>
        <v/>
      </c>
      <c r="AC1440" s="84" t="str">
        <f>IF(AND(OR(LEFT(TH!N1440,2)="15",LEFT(TH!O1440,2)="15"),TK!$E$7=TH!F1440),"x","")</f>
        <v/>
      </c>
      <c r="AD1440" s="84" t="str">
        <f>IF(AND(N1440="1521",MONTH(C1440)='BK-NL'!$M$11),"x","")</f>
        <v/>
      </c>
    </row>
    <row r="1441" spans="1:31" ht="15.75" hidden="1" customHeight="1">
      <c r="A1441" s="336" t="str">
        <f>IF(B1441&lt;&gt;"",IF(AND(B1441='IN-TC'!$S$4,OR(TH!N1441="1111",TH!O1441="1111")),TH!D1441,""),"")</f>
        <v/>
      </c>
      <c r="B1441" s="63">
        <f t="shared" si="208"/>
        <v>5</v>
      </c>
      <c r="C1441" s="64">
        <f t="shared" si="210"/>
        <v>42514</v>
      </c>
      <c r="D1441" s="318" t="s">
        <v>702</v>
      </c>
      <c r="E1441" s="64">
        <v>42514</v>
      </c>
      <c r="F1441" s="73" t="s">
        <v>1549</v>
      </c>
      <c r="G1441" s="982" t="s">
        <v>919</v>
      </c>
      <c r="H1441" s="73"/>
      <c r="I1441" s="439"/>
      <c r="J1441" s="439"/>
      <c r="K1441" s="430"/>
      <c r="L1441" s="439"/>
      <c r="M1441" s="65">
        <v>23165</v>
      </c>
      <c r="N1441" s="66" t="s">
        <v>26</v>
      </c>
      <c r="O1441" s="66" t="s">
        <v>43</v>
      </c>
      <c r="P1441" s="84" t="str">
        <f>IF(AND('331-CT'!$E$7=TH!H1441,OR(N1441="331",O1441="331")),"x","")</f>
        <v/>
      </c>
      <c r="Q1441" s="84" t="str">
        <f>IF(AND(B1441='111'!$L$11,OR($N1441=$Q$7,$O1441=$Q$7)),"x","")</f>
        <v/>
      </c>
      <c r="R1441" s="84" t="str">
        <f>IF(AND($N1441=$Q$7,$B1441&lt;'111'!$L$11),"x","")</f>
        <v/>
      </c>
      <c r="S1441" s="84" t="str">
        <f>IF(AND($O1441=$Q$7,$B1441&lt;'111'!$L$11),"x","")</f>
        <v/>
      </c>
      <c r="T1441" s="84" t="str">
        <f>IF(ISERROR(FIND('112'!$M$9,G1441,1)),"",IF((AND(FIND('112'!$M$9,G1441,1)&gt;=1,B1441='112'!$K$9,OR($N1441='112'!$I$6,$O1441='112'!$I$6))),"x",""))</f>
        <v/>
      </c>
      <c r="U1441" s="84" t="str">
        <f>IF(ISERROR(FIND('112'!$M$9,G1441,1)),"",IF((AND(LEFT(G1441,2)=LEFT('112'!$M$9,2),B1441&lt;'112'!$K$9,$N1441='112'!$I$6)),"x",""))</f>
        <v>x</v>
      </c>
      <c r="V1441" s="84" t="str">
        <f>IF(ISERROR(FIND('112'!$M$9,G1441,1)),"",IF((AND(RIGHT(G1441,2)=RIGHT('112'!$M$9,2),B1441&lt;'112'!$K$9,$O1441='112'!$I$6)),"x",""))</f>
        <v/>
      </c>
      <c r="W1441" s="84" t="str">
        <f>IF(AND('341-CT'!$H$9=H1441,OR(LEFT(N1441,3)=$W$7,LEFT(O1441,3)=$W$7)),"x","")</f>
        <v/>
      </c>
      <c r="X1441" s="84" t="str">
        <f>IF(OR(TH!N1441=TH!$X$7,O1441=TH!$X$7),"x","")</f>
        <v/>
      </c>
      <c r="Y1441" s="84" t="str">
        <f>IF(AND(OR(N1441="131",O1441="131"),H1441='131-CT'!$H$9),"x","")</f>
        <v/>
      </c>
      <c r="Z1441" s="84"/>
      <c r="AA1441" s="84" t="str">
        <f>IF(AND(MONTH(E1441)='IN-NX'!$J$5,'IN-NX'!$D$7=D1441),"x","")</f>
        <v/>
      </c>
      <c r="AB1441" s="84" t="str">
        <f>IF(AND(OR(LEFT(TH!N1441,2)="15",LEFT(TH!O1441,2)="15"),LEFT(TH!O1441,3)&lt;&gt;"111",'152-CT'!$J$8=TH!F1441),"x","")</f>
        <v/>
      </c>
      <c r="AC1441" s="84" t="str">
        <f>IF(AND(OR(LEFT(TH!N1441,2)="15",LEFT(TH!O1441,2)="15"),TK!$E$7=TH!F1441),"x","")</f>
        <v/>
      </c>
      <c r="AD1441" s="84" t="str">
        <f>IF(AND(N1441="1521",MONTH(C1441)='BK-NL'!$M$11),"x","")</f>
        <v/>
      </c>
    </row>
    <row r="1442" spans="1:31" ht="15.75" hidden="1" customHeight="1">
      <c r="A1442" s="336" t="str">
        <f>IF(B1442&lt;&gt;"",IF(AND(B1442='IN-TC'!$S$4,OR(TH!N1442="1111",TH!O1442="1111")),TH!D1442,""),"")</f>
        <v/>
      </c>
      <c r="B1442" s="63">
        <f t="shared" si="208"/>
        <v>5</v>
      </c>
      <c r="C1442" s="64">
        <f t="shared" si="210"/>
        <v>42494</v>
      </c>
      <c r="D1442" s="318" t="s">
        <v>705</v>
      </c>
      <c r="E1442" s="64">
        <v>42494</v>
      </c>
      <c r="F1442" s="73" t="s">
        <v>1450</v>
      </c>
      <c r="G1442" s="982" t="s">
        <v>919</v>
      </c>
      <c r="H1442" s="73" t="s">
        <v>1218</v>
      </c>
      <c r="I1442" s="439"/>
      <c r="J1442" s="439"/>
      <c r="K1442" s="430"/>
      <c r="L1442" s="439"/>
      <c r="M1442" s="65">
        <v>95000000</v>
      </c>
      <c r="N1442" s="66" t="s">
        <v>72</v>
      </c>
      <c r="O1442" s="66" t="s">
        <v>26</v>
      </c>
      <c r="P1442" s="84" t="str">
        <f>IF(AND('331-CT'!$E$7=TH!H1442,OR(N1442="331",O1442="331")),"x","")</f>
        <v/>
      </c>
      <c r="Q1442" s="84" t="str">
        <f>IF(AND(B1442='111'!$L$11,OR($N1442=$Q$7,$O1442=$Q$7)),"x","")</f>
        <v/>
      </c>
      <c r="R1442" s="84" t="str">
        <f>IF(AND($N1442=$Q$7,$B1442&lt;'111'!$L$11),"x","")</f>
        <v/>
      </c>
      <c r="S1442" s="84" t="str">
        <f>IF(AND($O1442=$Q$7,$B1442&lt;'111'!$L$11),"x","")</f>
        <v/>
      </c>
      <c r="T1442" s="84" t="str">
        <f>IF(ISERROR(FIND('112'!$M$9,G1442,1)),"",IF((AND(FIND('112'!$M$9,G1442,1)&gt;=1,B1442='112'!$K$9,OR($N1442='112'!$I$6,$O1442='112'!$I$6))),"x",""))</f>
        <v/>
      </c>
      <c r="U1442" s="84" t="str">
        <f>IF(ISERROR(FIND('112'!$M$9,G1442,1)),"",IF((AND(LEFT(G1442,2)=LEFT('112'!$M$9,2),B1442&lt;'112'!$K$9,$N1442='112'!$I$6)),"x",""))</f>
        <v/>
      </c>
      <c r="V1442" s="84" t="str">
        <f>IF(ISERROR(FIND('112'!$M$9,G1442,1)),"",IF((AND(RIGHT(G1442,2)=RIGHT('112'!$M$9,2),B1442&lt;'112'!$K$9,$O1442='112'!$I$6)),"x",""))</f>
        <v>x</v>
      </c>
      <c r="W1442" s="84" t="str">
        <f>IF(AND('341-CT'!$H$9=H1442,OR(LEFT(N1442,3)=$W$7,LEFT(O1442,3)=$W$7)),"x","")</f>
        <v/>
      </c>
      <c r="X1442" s="84" t="str">
        <f>IF(OR(TH!N1442=TH!$X$7,O1442=TH!$X$7),"x","")</f>
        <v>x</v>
      </c>
      <c r="Y1442" s="84" t="str">
        <f>IF(AND(OR(N1442="131",O1442="131"),H1442='131-CT'!$H$9),"x","")</f>
        <v/>
      </c>
      <c r="Z1442" s="84"/>
      <c r="AA1442" s="84" t="str">
        <f>IF(AND(MONTH(E1442)='IN-NX'!$J$5,'IN-NX'!$D$7=D1442),"x","")</f>
        <v/>
      </c>
      <c r="AB1442" s="84" t="str">
        <f>IF(AND(OR(LEFT(TH!N1442,2)="15",LEFT(TH!O1442,2)="15"),LEFT(TH!O1442,3)&lt;&gt;"111",'152-CT'!$J$8=TH!F1442),"x","")</f>
        <v/>
      </c>
      <c r="AC1442" s="84" t="str">
        <f>IF(AND(OR(LEFT(TH!N1442,2)="15",LEFT(TH!O1442,2)="15"),TK!$E$7=TH!F1442),"x","")</f>
        <v/>
      </c>
      <c r="AD1442" s="84" t="str">
        <f>IF(AND(N1442="1521",MONTH(C1442)='BK-NL'!$M$11),"x","")</f>
        <v/>
      </c>
    </row>
    <row r="1443" spans="1:31" ht="15.75" hidden="1" customHeight="1">
      <c r="A1443" s="336" t="str">
        <f>IF(B1443&lt;&gt;"",IF(AND(B1443='IN-TC'!$S$4,OR(TH!N1443="1111",TH!O1443="1111")),TH!D1443,""),"")</f>
        <v/>
      </c>
      <c r="B1443" s="63">
        <f t="shared" si="208"/>
        <v>5</v>
      </c>
      <c r="C1443" s="64">
        <f t="shared" si="210"/>
        <v>42494</v>
      </c>
      <c r="D1443" s="318" t="s">
        <v>705</v>
      </c>
      <c r="E1443" s="64">
        <v>42494</v>
      </c>
      <c r="F1443" s="73" t="s">
        <v>1550</v>
      </c>
      <c r="G1443" s="982" t="s">
        <v>919</v>
      </c>
      <c r="H1443" s="73" t="s">
        <v>632</v>
      </c>
      <c r="I1443" s="439"/>
      <c r="J1443" s="439"/>
      <c r="K1443" s="430"/>
      <c r="L1443" s="439"/>
      <c r="M1443" s="65">
        <v>31206780</v>
      </c>
      <c r="N1443" s="66" t="s">
        <v>8</v>
      </c>
      <c r="O1443" s="66" t="s">
        <v>26</v>
      </c>
      <c r="P1443" s="84" t="str">
        <f>IF(AND('331-CT'!$E$7=TH!H1443,OR(N1443="331",O1443="331")),"x","")</f>
        <v/>
      </c>
      <c r="Q1443" s="84" t="str">
        <f>IF(AND(B1443='111'!$L$11,OR($N1443=$Q$7,$O1443=$Q$7)),"x","")</f>
        <v/>
      </c>
      <c r="R1443" s="84" t="str">
        <f>IF(AND($N1443=$Q$7,$B1443&lt;'111'!$L$11),"x","")</f>
        <v/>
      </c>
      <c r="S1443" s="84" t="str">
        <f>IF(AND($O1443=$Q$7,$B1443&lt;'111'!$L$11),"x","")</f>
        <v/>
      </c>
      <c r="T1443" s="84" t="str">
        <f>IF(ISERROR(FIND('112'!$M$9,G1443,1)),"",IF((AND(FIND('112'!$M$9,G1443,1)&gt;=1,B1443='112'!$K$9,OR($N1443='112'!$I$6,$O1443='112'!$I$6))),"x",""))</f>
        <v/>
      </c>
      <c r="U1443" s="84" t="str">
        <f>IF(ISERROR(FIND('112'!$M$9,G1443,1)),"",IF((AND(LEFT(G1443,2)=LEFT('112'!$M$9,2),B1443&lt;'112'!$K$9,$N1443='112'!$I$6)),"x",""))</f>
        <v/>
      </c>
      <c r="V1443" s="84" t="str">
        <f>IF(ISERROR(FIND('112'!$M$9,G1443,1)),"",IF((AND(RIGHT(G1443,2)=RIGHT('112'!$M$9,2),B1443&lt;'112'!$K$9,$O1443='112'!$I$6)),"x",""))</f>
        <v>x</v>
      </c>
      <c r="W1443" s="84" t="str">
        <f>IF(AND('341-CT'!$H$9=H1443,OR(LEFT(N1443,3)=$W$7,LEFT(O1443,3)=$W$7)),"x","")</f>
        <v/>
      </c>
      <c r="X1443" s="84" t="str">
        <f>IF(OR(TH!N1443=TH!$X$7,O1443=TH!$X$7),"x","")</f>
        <v/>
      </c>
      <c r="Y1443" s="84" t="str">
        <f>IF(AND(OR(N1443="131",O1443="131"),H1443='131-CT'!$H$9),"x","")</f>
        <v/>
      </c>
      <c r="Z1443" s="84"/>
      <c r="AA1443" s="84" t="str">
        <f>IF(AND(MONTH(E1443)='IN-NX'!$J$5,'IN-NX'!$D$7=D1443),"x","")</f>
        <v/>
      </c>
      <c r="AB1443" s="84" t="str">
        <f>IF(AND(OR(LEFT(TH!N1443,2)="15",LEFT(TH!O1443,2)="15"),LEFT(TH!O1443,3)&lt;&gt;"111",'152-CT'!$J$8=TH!F1443),"x","")</f>
        <v/>
      </c>
      <c r="AC1443" s="84" t="str">
        <f>IF(AND(OR(LEFT(TH!N1443,2)="15",LEFT(TH!O1443,2)="15"),TK!$E$7=TH!F1443),"x","")</f>
        <v/>
      </c>
      <c r="AD1443" s="84" t="str">
        <f>IF(AND(N1443="1521",MONTH(C1443)='BK-NL'!$M$11),"x","")</f>
        <v/>
      </c>
      <c r="AE1443" s="1146" t="str">
        <f>IF(H1443&lt;&gt;VLOOKUP(H1443,DSKH,1,0),"","x")</f>
        <v>x</v>
      </c>
    </row>
    <row r="1444" spans="1:31" ht="15.75" hidden="1" customHeight="1">
      <c r="A1444" s="336" t="str">
        <f>IF(B1444&lt;&gt;"",IF(AND(B1444='IN-TC'!$S$4,OR(TH!N1444="1111",TH!O1444="1111")),TH!D1444,""),"")</f>
        <v/>
      </c>
      <c r="B1444" s="63">
        <f t="shared" si="208"/>
        <v>5</v>
      </c>
      <c r="C1444" s="64">
        <f t="shared" si="210"/>
        <v>42494</v>
      </c>
      <c r="D1444" s="318" t="s">
        <v>705</v>
      </c>
      <c r="E1444" s="64">
        <v>42494</v>
      </c>
      <c r="F1444" s="73" t="s">
        <v>1199</v>
      </c>
      <c r="G1444" s="982" t="s">
        <v>919</v>
      </c>
      <c r="H1444" s="344"/>
      <c r="I1444" s="439"/>
      <c r="J1444" s="439"/>
      <c r="K1444" s="430"/>
      <c r="L1444" s="439"/>
      <c r="M1444" s="65">
        <v>25000</v>
      </c>
      <c r="N1444" s="66" t="s">
        <v>101</v>
      </c>
      <c r="O1444" s="66" t="s">
        <v>26</v>
      </c>
      <c r="P1444" s="84" t="str">
        <f>IF(AND('331-CT'!$E$7=TH!H1444,OR(N1444="331",O1444="331")),"x","")</f>
        <v/>
      </c>
      <c r="Q1444" s="84" t="str">
        <f>IF(AND(B1444='111'!$L$11,OR($N1444=$Q$7,$O1444=$Q$7)),"x","")</f>
        <v/>
      </c>
      <c r="R1444" s="84" t="str">
        <f>IF(AND($N1444=$Q$7,$B1444&lt;'111'!$L$11),"x","")</f>
        <v/>
      </c>
      <c r="S1444" s="84" t="str">
        <f>IF(AND($O1444=$Q$7,$B1444&lt;'111'!$L$11),"x","")</f>
        <v/>
      </c>
      <c r="T1444" s="84" t="str">
        <f>IF(ISERROR(FIND('112'!$M$9,G1444,1)),"",IF((AND(FIND('112'!$M$9,G1444,1)&gt;=1,B1444='112'!$K$9,OR($N1444='112'!$I$6,$O1444='112'!$I$6))),"x",""))</f>
        <v/>
      </c>
      <c r="U1444" s="84" t="str">
        <f>IF(ISERROR(FIND('112'!$M$9,G1444,1)),"",IF((AND(LEFT(G1444,2)=LEFT('112'!$M$9,2),B1444&lt;'112'!$K$9,$N1444='112'!$I$6)),"x",""))</f>
        <v/>
      </c>
      <c r="V1444" s="84" t="str">
        <f>IF(ISERROR(FIND('112'!$M$9,G1444,1)),"",IF((AND(RIGHT(G1444,2)=RIGHT('112'!$M$9,2),B1444&lt;'112'!$K$9,$O1444='112'!$I$6)),"x",""))</f>
        <v>x</v>
      </c>
      <c r="W1444" s="84" t="str">
        <f>IF(AND('341-CT'!$H$9=H1444,OR(LEFT(N1444,3)=$W$7,LEFT(O1444,3)=$W$7)),"x","")</f>
        <v/>
      </c>
      <c r="X1444" s="84" t="str">
        <f>IF(OR(TH!N1444=TH!$X$7,O1444=TH!$X$7),"x","")</f>
        <v/>
      </c>
      <c r="Y1444" s="84" t="str">
        <f>IF(AND(OR(N1444="131",O1444="131"),H1444='131-CT'!$H$9),"x","")</f>
        <v/>
      </c>
      <c r="Z1444" s="84"/>
      <c r="AA1444" s="84" t="str">
        <f>IF(AND(MONTH(E1444)='IN-NX'!$J$5,'IN-NX'!$D$7=D1444),"x","")</f>
        <v/>
      </c>
      <c r="AB1444" s="84" t="str">
        <f>IF(AND(OR(LEFT(TH!N1444,2)="15",LEFT(TH!O1444,2)="15"),LEFT(TH!O1444,3)&lt;&gt;"111",'152-CT'!$J$8=TH!F1444),"x","")</f>
        <v/>
      </c>
      <c r="AC1444" s="84" t="str">
        <f>IF(AND(OR(LEFT(TH!N1444,2)="15",LEFT(TH!O1444,2)="15"),TK!$E$7=TH!F1444),"x","")</f>
        <v/>
      </c>
      <c r="AD1444" s="84" t="str">
        <f>IF(AND(N1444="1521",MONTH(C1444)='BK-NL'!$M$11),"x","")</f>
        <v/>
      </c>
    </row>
    <row r="1445" spans="1:31" ht="15.75" hidden="1" customHeight="1">
      <c r="A1445" s="336" t="str">
        <f>IF(B1445&lt;&gt;"",IF(AND(B1445='IN-TC'!$S$4,OR(TH!N1445="1111",TH!O1445="1111")),TH!D1445,""),"")</f>
        <v/>
      </c>
      <c r="B1445" s="63">
        <f t="shared" si="208"/>
        <v>5</v>
      </c>
      <c r="C1445" s="64">
        <f t="shared" si="210"/>
        <v>42494</v>
      </c>
      <c r="D1445" s="318" t="s">
        <v>705</v>
      </c>
      <c r="E1445" s="64">
        <v>42494</v>
      </c>
      <c r="F1445" s="73" t="s">
        <v>1200</v>
      </c>
      <c r="G1445" s="982" t="s">
        <v>919</v>
      </c>
      <c r="H1445" s="344"/>
      <c r="I1445" s="439"/>
      <c r="J1445" s="439"/>
      <c r="K1445" s="430"/>
      <c r="L1445" s="439"/>
      <c r="M1445" s="65">
        <v>2500</v>
      </c>
      <c r="N1445" s="66" t="s">
        <v>9</v>
      </c>
      <c r="O1445" s="66" t="s">
        <v>26</v>
      </c>
      <c r="P1445" s="84" t="str">
        <f>IF(AND('331-CT'!$E$7=TH!H1445,OR(N1445="331",O1445="331")),"x","")</f>
        <v/>
      </c>
      <c r="Q1445" s="84" t="str">
        <f>IF(AND(B1445='111'!$L$11,OR($N1445=$Q$7,$O1445=$Q$7)),"x","")</f>
        <v/>
      </c>
      <c r="R1445" s="84" t="str">
        <f>IF(AND($N1445=$Q$7,$B1445&lt;'111'!$L$11),"x","")</f>
        <v/>
      </c>
      <c r="S1445" s="84" t="str">
        <f>IF(AND($O1445=$Q$7,$B1445&lt;'111'!$L$11),"x","")</f>
        <v/>
      </c>
      <c r="T1445" s="84" t="str">
        <f>IF(ISERROR(FIND('112'!$M$9,G1445,1)),"",IF((AND(FIND('112'!$M$9,G1445,1)&gt;=1,B1445='112'!$K$9,OR($N1445='112'!$I$6,$O1445='112'!$I$6))),"x",""))</f>
        <v/>
      </c>
      <c r="U1445" s="84" t="str">
        <f>IF(ISERROR(FIND('112'!$M$9,G1445,1)),"",IF((AND(LEFT(G1445,2)=LEFT('112'!$M$9,2),B1445&lt;'112'!$K$9,$N1445='112'!$I$6)),"x",""))</f>
        <v/>
      </c>
      <c r="V1445" s="84" t="str">
        <f>IF(ISERROR(FIND('112'!$M$9,G1445,1)),"",IF((AND(RIGHT(G1445,2)=RIGHT('112'!$M$9,2),B1445&lt;'112'!$K$9,$O1445='112'!$I$6)),"x",""))</f>
        <v>x</v>
      </c>
      <c r="W1445" s="84" t="str">
        <f>IF(AND('341-CT'!$H$9=H1445,OR(LEFT(N1445,3)=$W$7,LEFT(O1445,3)=$W$7)),"x","")</f>
        <v/>
      </c>
      <c r="X1445" s="84" t="str">
        <f>IF(OR(TH!N1445=TH!$X$7,O1445=TH!$X$7),"x","")</f>
        <v/>
      </c>
      <c r="Y1445" s="84" t="str">
        <f>IF(AND(OR(N1445="131",O1445="131"),H1445='131-CT'!$H$9),"x","")</f>
        <v/>
      </c>
      <c r="Z1445" s="84"/>
      <c r="AA1445" s="84" t="str">
        <f>IF(AND(MONTH(E1445)='IN-NX'!$J$5,'IN-NX'!$D$7=D1445),"x","")</f>
        <v/>
      </c>
      <c r="AB1445" s="84" t="str">
        <f>IF(AND(OR(LEFT(TH!N1445,2)="15",LEFT(TH!O1445,2)="15"),LEFT(TH!O1445,3)&lt;&gt;"111",'152-CT'!$J$8=TH!F1445),"x","")</f>
        <v/>
      </c>
      <c r="AC1445" s="84" t="str">
        <f>IF(AND(OR(LEFT(TH!N1445,2)="15",LEFT(TH!O1445,2)="15"),TK!$E$7=TH!F1445),"x","")</f>
        <v/>
      </c>
      <c r="AD1445" s="84" t="str">
        <f>IF(AND(N1445="1521",MONTH(C1445)='BK-NL'!$M$11),"x","")</f>
        <v/>
      </c>
    </row>
    <row r="1446" spans="1:31" ht="15.75" hidden="1" customHeight="1">
      <c r="A1446" s="336" t="str">
        <f>IF(B1446&lt;&gt;"",IF(AND(B1446='IN-TC'!$S$4,OR(TH!N1446="1111",TH!O1446="1111")),TH!D1446,""),"")</f>
        <v/>
      </c>
      <c r="B1446" s="63">
        <f t="shared" si="208"/>
        <v>5</v>
      </c>
      <c r="C1446" s="64">
        <f t="shared" si="210"/>
        <v>42494</v>
      </c>
      <c r="D1446" s="318" t="s">
        <v>705</v>
      </c>
      <c r="E1446" s="64">
        <v>42494</v>
      </c>
      <c r="F1446" s="73" t="s">
        <v>1551</v>
      </c>
      <c r="G1446" s="982" t="s">
        <v>919</v>
      </c>
      <c r="H1446" s="73"/>
      <c r="I1446" s="439"/>
      <c r="J1446" s="439"/>
      <c r="K1446" s="430"/>
      <c r="L1446" s="439"/>
      <c r="M1446" s="65">
        <v>20000</v>
      </c>
      <c r="N1446" s="66" t="s">
        <v>101</v>
      </c>
      <c r="O1446" s="66" t="s">
        <v>26</v>
      </c>
      <c r="P1446" s="84" t="str">
        <f>IF(AND('331-CT'!$E$7=TH!H1446,OR(N1446="331",O1446="331")),"x","")</f>
        <v/>
      </c>
      <c r="Q1446" s="84" t="str">
        <f>IF(AND(B1446='111'!$L$11,OR($N1446=$Q$7,$O1446=$Q$7)),"x","")</f>
        <v/>
      </c>
      <c r="R1446" s="84" t="str">
        <f>IF(AND($N1446=$Q$7,$B1446&lt;'111'!$L$11),"x","")</f>
        <v/>
      </c>
      <c r="S1446" s="84" t="str">
        <f>IF(AND($O1446=$Q$7,$B1446&lt;'111'!$L$11),"x","")</f>
        <v/>
      </c>
      <c r="T1446" s="84" t="str">
        <f>IF(ISERROR(FIND('112'!$M$9,G1446,1)),"",IF((AND(FIND('112'!$M$9,G1446,1)&gt;=1,B1446='112'!$K$9,OR($N1446='112'!$I$6,$O1446='112'!$I$6))),"x",""))</f>
        <v/>
      </c>
      <c r="U1446" s="84" t="str">
        <f>IF(ISERROR(FIND('112'!$M$9,G1446,1)),"",IF((AND(LEFT(G1446,2)=LEFT('112'!$M$9,2),B1446&lt;'112'!$K$9,$N1446='112'!$I$6)),"x",""))</f>
        <v/>
      </c>
      <c r="V1446" s="84" t="str">
        <f>IF(ISERROR(FIND('112'!$M$9,G1446,1)),"",IF((AND(RIGHT(G1446,2)=RIGHT('112'!$M$9,2),B1446&lt;'112'!$K$9,$O1446='112'!$I$6)),"x",""))</f>
        <v>x</v>
      </c>
      <c r="W1446" s="84" t="str">
        <f>IF(AND('341-CT'!$H$9=H1446,OR(LEFT(N1446,3)=$W$7,LEFT(O1446,3)=$W$7)),"x","")</f>
        <v/>
      </c>
      <c r="X1446" s="84" t="str">
        <f>IF(OR(TH!N1446=TH!$X$7,O1446=TH!$X$7),"x","")</f>
        <v/>
      </c>
      <c r="Y1446" s="84" t="str">
        <f>IF(AND(OR(N1446="131",O1446="131"),H1446='131-CT'!$H$9),"x","")</f>
        <v/>
      </c>
      <c r="Z1446" s="84"/>
      <c r="AA1446" s="84" t="str">
        <f>IF(AND(MONTH(E1446)='IN-NX'!$J$5,'IN-NX'!$D$7=D1446),"x","")</f>
        <v/>
      </c>
      <c r="AB1446" s="84" t="str">
        <f>IF(AND(OR(LEFT(TH!N1446,2)="15",LEFT(TH!O1446,2)="15"),LEFT(TH!O1446,3)&lt;&gt;"111",'152-CT'!$J$8=TH!F1446),"x","")</f>
        <v/>
      </c>
      <c r="AC1446" s="84" t="str">
        <f>IF(AND(OR(LEFT(TH!N1446,2)="15",LEFT(TH!O1446,2)="15"),TK!$E$7=TH!F1446),"x","")</f>
        <v/>
      </c>
      <c r="AD1446" s="84" t="str">
        <f>IF(AND(N1446="1521",MONTH(C1446)='BK-NL'!$M$11),"x","")</f>
        <v/>
      </c>
    </row>
    <row r="1447" spans="1:31" ht="15.75" hidden="1" customHeight="1">
      <c r="A1447" s="336" t="str">
        <f>IF(B1447&lt;&gt;"",IF(AND(B1447='IN-TC'!$S$4,OR(TH!N1447="1111",TH!O1447="1111")),TH!D1447,""),"")</f>
        <v/>
      </c>
      <c r="B1447" s="63">
        <f t="shared" si="208"/>
        <v>5</v>
      </c>
      <c r="C1447" s="64">
        <f t="shared" ref="C1447:C1472" si="211">E1447</f>
        <v>42494</v>
      </c>
      <c r="D1447" s="318" t="s">
        <v>705</v>
      </c>
      <c r="E1447" s="64">
        <v>42494</v>
      </c>
      <c r="F1447" s="73" t="s">
        <v>1552</v>
      </c>
      <c r="G1447" s="982" t="s">
        <v>919</v>
      </c>
      <c r="H1447" s="73"/>
      <c r="I1447" s="439"/>
      <c r="J1447" s="439"/>
      <c r="K1447" s="430"/>
      <c r="L1447" s="439"/>
      <c r="M1447" s="65">
        <v>2000</v>
      </c>
      <c r="N1447" s="66" t="s">
        <v>9</v>
      </c>
      <c r="O1447" s="66" t="s">
        <v>26</v>
      </c>
      <c r="P1447" s="84" t="str">
        <f>IF(AND('331-CT'!$E$7=TH!H1447,OR(N1447="331",O1447="331")),"x","")</f>
        <v/>
      </c>
      <c r="Q1447" s="84" t="str">
        <f>IF(AND(B1447='111'!$L$11,OR($N1447=$Q$7,$O1447=$Q$7)),"x","")</f>
        <v/>
      </c>
      <c r="R1447" s="84" t="str">
        <f>IF(AND($N1447=$Q$7,$B1447&lt;'111'!$L$11),"x","")</f>
        <v/>
      </c>
      <c r="S1447" s="84" t="str">
        <f>IF(AND($O1447=$Q$7,$B1447&lt;'111'!$L$11),"x","")</f>
        <v/>
      </c>
      <c r="T1447" s="84" t="str">
        <f>IF(ISERROR(FIND('112'!$M$9,G1447,1)),"",IF((AND(FIND('112'!$M$9,G1447,1)&gt;=1,B1447='112'!$K$9,OR($N1447='112'!$I$6,$O1447='112'!$I$6))),"x",""))</f>
        <v/>
      </c>
      <c r="U1447" s="84" t="str">
        <f>IF(ISERROR(FIND('112'!$M$9,G1447,1)),"",IF((AND(LEFT(G1447,2)=LEFT('112'!$M$9,2),B1447&lt;'112'!$K$9,$N1447='112'!$I$6)),"x",""))</f>
        <v/>
      </c>
      <c r="V1447" s="84" t="str">
        <f>IF(ISERROR(FIND('112'!$M$9,G1447,1)),"",IF((AND(RIGHT(G1447,2)=RIGHT('112'!$M$9,2),B1447&lt;'112'!$K$9,$O1447='112'!$I$6)),"x",""))</f>
        <v>x</v>
      </c>
      <c r="W1447" s="84" t="str">
        <f>IF(AND('341-CT'!$H$9=H1447,OR(LEFT(N1447,3)=$W$7,LEFT(O1447,3)=$W$7)),"x","")</f>
        <v/>
      </c>
      <c r="X1447" s="84" t="str">
        <f>IF(OR(TH!N1447=TH!$X$7,O1447=TH!$X$7),"x","")</f>
        <v/>
      </c>
      <c r="Y1447" s="84" t="str">
        <f>IF(AND(OR(N1447="131",O1447="131"),H1447='131-CT'!$H$9),"x","")</f>
        <v/>
      </c>
      <c r="Z1447" s="84"/>
      <c r="AA1447" s="84" t="str">
        <f>IF(AND(MONTH(E1447)='IN-NX'!$J$5,'IN-NX'!$D$7=D1447),"x","")</f>
        <v/>
      </c>
      <c r="AB1447" s="84" t="str">
        <f>IF(AND(OR(LEFT(TH!N1447,2)="15",LEFT(TH!O1447,2)="15"),LEFT(TH!O1447,3)&lt;&gt;"111",'152-CT'!$J$8=TH!F1447),"x","")</f>
        <v/>
      </c>
      <c r="AC1447" s="84" t="str">
        <f>IF(AND(OR(LEFT(TH!N1447,2)="15",LEFT(TH!O1447,2)="15"),TK!$E$7=TH!F1447),"x","")</f>
        <v/>
      </c>
      <c r="AD1447" s="84" t="str">
        <f>IF(AND(N1447="1521",MONTH(C1447)='BK-NL'!$M$11),"x","")</f>
        <v/>
      </c>
    </row>
    <row r="1448" spans="1:31" ht="15.75" hidden="1" customHeight="1">
      <c r="A1448" s="336" t="str">
        <f>IF(B1448&lt;&gt;"",IF(AND(B1448='IN-TC'!$S$4,OR(TH!N1448="1111",TH!O1448="1111")),TH!D1448,""),"")</f>
        <v/>
      </c>
      <c r="B1448" s="63">
        <f t="shared" si="208"/>
        <v>5</v>
      </c>
      <c r="C1448" s="64">
        <f t="shared" si="211"/>
        <v>42496</v>
      </c>
      <c r="D1448" s="318" t="s">
        <v>705</v>
      </c>
      <c r="E1448" s="64">
        <v>42496</v>
      </c>
      <c r="F1448" s="73" t="s">
        <v>1050</v>
      </c>
      <c r="G1448" s="982" t="s">
        <v>919</v>
      </c>
      <c r="H1448" s="344" t="s">
        <v>714</v>
      </c>
      <c r="I1448" s="439"/>
      <c r="J1448" s="439"/>
      <c r="K1448" s="430"/>
      <c r="L1448" s="439"/>
      <c r="M1448" s="65">
        <v>1717301</v>
      </c>
      <c r="N1448" s="66" t="s">
        <v>99</v>
      </c>
      <c r="O1448" s="66" t="s">
        <v>26</v>
      </c>
      <c r="P1448" s="84" t="str">
        <f>IF(AND('331-CT'!$E$7=TH!H1448,OR(N1448="331",O1448="331")),"x","")</f>
        <v/>
      </c>
      <c r="Q1448" s="84" t="str">
        <f>IF(AND(B1448='111'!$L$11,OR($N1448=$Q$7,$O1448=$Q$7)),"x","")</f>
        <v/>
      </c>
      <c r="R1448" s="84" t="str">
        <f>IF(AND($N1448=$Q$7,$B1448&lt;'111'!$L$11),"x","")</f>
        <v/>
      </c>
      <c r="S1448" s="84" t="str">
        <f>IF(AND($O1448=$Q$7,$B1448&lt;'111'!$L$11),"x","")</f>
        <v/>
      </c>
      <c r="T1448" s="84" t="str">
        <f>IF(ISERROR(FIND('112'!$M$9,G1448,1)),"",IF((AND(FIND('112'!$M$9,G1448,1)&gt;=1,B1448='112'!$K$9,OR($N1448='112'!$I$6,$O1448='112'!$I$6))),"x",""))</f>
        <v/>
      </c>
      <c r="U1448" s="84" t="str">
        <f>IF(ISERROR(FIND('112'!$M$9,G1448,1)),"",IF((AND(LEFT(G1448,2)=LEFT('112'!$M$9,2),B1448&lt;'112'!$K$9,$N1448='112'!$I$6)),"x",""))</f>
        <v/>
      </c>
      <c r="V1448" s="84" t="str">
        <f>IF(ISERROR(FIND('112'!$M$9,G1448,1)),"",IF((AND(RIGHT(G1448,2)=RIGHT('112'!$M$9,2),B1448&lt;'112'!$K$9,$O1448='112'!$I$6)),"x",""))</f>
        <v>x</v>
      </c>
      <c r="W1448" s="84" t="str">
        <f>IF(AND('341-CT'!$H$9=H1448,OR(LEFT(N1448,3)=$W$7,LEFT(O1448,3)=$W$7)),"x","")</f>
        <v/>
      </c>
      <c r="X1448" s="84" t="str">
        <f>IF(OR(TH!N1448=TH!$X$7,O1448=TH!$X$7),"x","")</f>
        <v/>
      </c>
      <c r="Y1448" s="84" t="str">
        <f>IF(AND(OR(N1448="131",O1448="131"),H1448='131-CT'!$H$9),"x","")</f>
        <v/>
      </c>
      <c r="Z1448" s="84"/>
      <c r="AA1448" s="84" t="str">
        <f>IF(AND(MONTH(E1448)='IN-NX'!$J$5,'IN-NX'!$D$7=D1448),"x","")</f>
        <v/>
      </c>
      <c r="AB1448" s="84" t="str">
        <f>IF(AND(OR(LEFT(TH!N1448,2)="15",LEFT(TH!O1448,2)="15"),LEFT(TH!O1448,3)&lt;&gt;"111",'152-CT'!$J$8=TH!F1448),"x","")</f>
        <v/>
      </c>
      <c r="AC1448" s="84" t="str">
        <f>IF(AND(OR(LEFT(TH!N1448,2)="15",LEFT(TH!O1448,2)="15"),TK!$E$7=TH!F1448),"x","")</f>
        <v/>
      </c>
      <c r="AD1448" s="84" t="str">
        <f>IF(AND(N1448="1521",MONTH(C1448)='BK-NL'!$M$11),"x","")</f>
        <v/>
      </c>
    </row>
    <row r="1449" spans="1:31" ht="15.75" hidden="1" customHeight="1">
      <c r="A1449" s="336" t="str">
        <f>IF(B1449&lt;&gt;"",IF(AND(B1449='IN-TC'!$S$4,OR(TH!N1449="1111",TH!O1449="1111")),TH!D1449,""),"")</f>
        <v/>
      </c>
      <c r="B1449" s="63">
        <f t="shared" si="208"/>
        <v>5</v>
      </c>
      <c r="C1449" s="64">
        <f t="shared" si="211"/>
        <v>42496</v>
      </c>
      <c r="D1449" s="318" t="s">
        <v>705</v>
      </c>
      <c r="E1449" s="64">
        <v>42496</v>
      </c>
      <c r="F1449" s="73" t="s">
        <v>1049</v>
      </c>
      <c r="G1449" s="982" t="s">
        <v>919</v>
      </c>
      <c r="H1449" s="344" t="s">
        <v>713</v>
      </c>
      <c r="I1449" s="439"/>
      <c r="J1449" s="439"/>
      <c r="K1449" s="430"/>
      <c r="L1449" s="439"/>
      <c r="M1449" s="65">
        <v>2788884</v>
      </c>
      <c r="N1449" s="66" t="s">
        <v>99</v>
      </c>
      <c r="O1449" s="66" t="s">
        <v>26</v>
      </c>
      <c r="P1449" s="84" t="str">
        <f>IF(AND('331-CT'!$E$7=TH!H1449,OR(N1449="331",O1449="331")),"x","")</f>
        <v/>
      </c>
      <c r="Q1449" s="84" t="str">
        <f>IF(AND(B1449='111'!$L$11,OR($N1449=$Q$7,$O1449=$Q$7)),"x","")</f>
        <v/>
      </c>
      <c r="R1449" s="84" t="str">
        <f>IF(AND($N1449=$Q$7,$B1449&lt;'111'!$L$11),"x","")</f>
        <v/>
      </c>
      <c r="S1449" s="84" t="str">
        <f>IF(AND($O1449=$Q$7,$B1449&lt;'111'!$L$11),"x","")</f>
        <v/>
      </c>
      <c r="T1449" s="84" t="str">
        <f>IF(ISERROR(FIND('112'!$M$9,G1449,1)),"",IF((AND(FIND('112'!$M$9,G1449,1)&gt;=1,B1449='112'!$K$9,OR($N1449='112'!$I$6,$O1449='112'!$I$6))),"x",""))</f>
        <v/>
      </c>
      <c r="U1449" s="84" t="str">
        <f>IF(ISERROR(FIND('112'!$M$9,G1449,1)),"",IF((AND(LEFT(G1449,2)=LEFT('112'!$M$9,2),B1449&lt;'112'!$K$9,$N1449='112'!$I$6)),"x",""))</f>
        <v/>
      </c>
      <c r="V1449" s="84" t="str">
        <f>IF(ISERROR(FIND('112'!$M$9,G1449,1)),"",IF((AND(RIGHT(G1449,2)=RIGHT('112'!$M$9,2),B1449&lt;'112'!$K$9,$O1449='112'!$I$6)),"x",""))</f>
        <v>x</v>
      </c>
      <c r="W1449" s="84" t="str">
        <f>IF(AND('341-CT'!$H$9=H1449,OR(LEFT(N1449,3)=$W$7,LEFT(O1449,3)=$W$7)),"x","")</f>
        <v/>
      </c>
      <c r="X1449" s="84" t="str">
        <f>IF(OR(TH!N1449=TH!$X$7,O1449=TH!$X$7),"x","")</f>
        <v/>
      </c>
      <c r="Y1449" s="84" t="str">
        <f>IF(AND(OR(N1449="131",O1449="131"),H1449='131-CT'!$H$9),"x","")</f>
        <v/>
      </c>
      <c r="Z1449" s="84"/>
      <c r="AA1449" s="84" t="str">
        <f>IF(AND(MONTH(E1449)='IN-NX'!$J$5,'IN-NX'!$D$7=D1449),"x","")</f>
        <v/>
      </c>
      <c r="AB1449" s="84" t="str">
        <f>IF(AND(OR(LEFT(TH!N1449,2)="15",LEFT(TH!O1449,2)="15"),LEFT(TH!O1449,3)&lt;&gt;"111",'152-CT'!$J$8=TH!F1449),"x","")</f>
        <v/>
      </c>
      <c r="AC1449" s="84" t="str">
        <f>IF(AND(OR(LEFT(TH!N1449,2)="15",LEFT(TH!O1449,2)="15"),TK!$E$7=TH!F1449),"x","")</f>
        <v/>
      </c>
      <c r="AD1449" s="84" t="str">
        <f>IF(AND(N1449="1521",MONTH(C1449)='BK-NL'!$M$11),"x","")</f>
        <v/>
      </c>
    </row>
    <row r="1450" spans="1:31" ht="15.75" hidden="1" customHeight="1">
      <c r="A1450" s="336" t="str">
        <f>IF(B1450&lt;&gt;"",IF(AND(B1450='IN-TC'!$S$4,OR(TH!N1450="1111",TH!O1450="1111")),TH!D1450,""),"")</f>
        <v/>
      </c>
      <c r="B1450" s="63">
        <f t="shared" si="208"/>
        <v>5</v>
      </c>
      <c r="C1450" s="64">
        <f t="shared" si="211"/>
        <v>42500</v>
      </c>
      <c r="D1450" s="318" t="s">
        <v>705</v>
      </c>
      <c r="E1450" s="64">
        <v>42500</v>
      </c>
      <c r="F1450" s="73" t="s">
        <v>1192</v>
      </c>
      <c r="G1450" s="982" t="s">
        <v>919</v>
      </c>
      <c r="H1450" s="73"/>
      <c r="I1450" s="439"/>
      <c r="J1450" s="439"/>
      <c r="K1450" s="430"/>
      <c r="L1450" s="439"/>
      <c r="M1450" s="65">
        <v>333900</v>
      </c>
      <c r="N1450" s="66" t="s">
        <v>101</v>
      </c>
      <c r="O1450" s="66" t="s">
        <v>26</v>
      </c>
      <c r="P1450" s="84" t="str">
        <f>IF(AND('331-CT'!$E$7=TH!H1450,OR(N1450="331",O1450="331")),"x","")</f>
        <v/>
      </c>
      <c r="Q1450" s="84" t="str">
        <f>IF(AND(B1450='111'!$L$11,OR($N1450=$Q$7,$O1450=$Q$7)),"x","")</f>
        <v/>
      </c>
      <c r="R1450" s="84" t="str">
        <f>IF(AND($N1450=$Q$7,$B1450&lt;'111'!$L$11),"x","")</f>
        <v/>
      </c>
      <c r="S1450" s="84" t="str">
        <f>IF(AND($O1450=$Q$7,$B1450&lt;'111'!$L$11),"x","")</f>
        <v/>
      </c>
      <c r="T1450" s="84" t="str">
        <f>IF(ISERROR(FIND('112'!$M$9,G1450,1)),"",IF((AND(FIND('112'!$M$9,G1450,1)&gt;=1,B1450='112'!$K$9,OR($N1450='112'!$I$6,$O1450='112'!$I$6))),"x",""))</f>
        <v/>
      </c>
      <c r="U1450" s="84" t="str">
        <f>IF(ISERROR(FIND('112'!$M$9,G1450,1)),"",IF((AND(LEFT(G1450,2)=LEFT('112'!$M$9,2),B1450&lt;'112'!$K$9,$N1450='112'!$I$6)),"x",""))</f>
        <v/>
      </c>
      <c r="V1450" s="84" t="str">
        <f>IF(ISERROR(FIND('112'!$M$9,G1450,1)),"",IF((AND(RIGHT(G1450,2)=RIGHT('112'!$M$9,2),B1450&lt;'112'!$K$9,$O1450='112'!$I$6)),"x",""))</f>
        <v>x</v>
      </c>
      <c r="W1450" s="84" t="str">
        <f>IF(AND('341-CT'!$H$9=H1450,OR(LEFT(N1450,3)=$W$7,LEFT(O1450,3)=$W$7)),"x","")</f>
        <v/>
      </c>
      <c r="X1450" s="84" t="str">
        <f>IF(OR(TH!N1450=TH!$X$7,O1450=TH!$X$7),"x","")</f>
        <v/>
      </c>
      <c r="Y1450" s="84" t="str">
        <f>IF(AND(OR(N1450="131",O1450="131"),H1450='131-CT'!$H$9),"x","")</f>
        <v/>
      </c>
      <c r="Z1450" s="84"/>
      <c r="AA1450" s="84" t="str">
        <f>IF(AND(MONTH(E1450)='IN-NX'!$J$5,'IN-NX'!$D$7=D1450),"x","")</f>
        <v/>
      </c>
      <c r="AB1450" s="84" t="str">
        <f>IF(AND(OR(LEFT(TH!N1450,2)="15",LEFT(TH!O1450,2)="15"),LEFT(TH!O1450,3)&lt;&gt;"111",'152-CT'!$J$8=TH!F1450),"x","")</f>
        <v/>
      </c>
      <c r="AC1450" s="84" t="str">
        <f>IF(AND(OR(LEFT(TH!N1450,2)="15",LEFT(TH!O1450,2)="15"),TK!$E$7=TH!F1450),"x","")</f>
        <v/>
      </c>
      <c r="AD1450" s="84" t="str">
        <f>IF(AND(N1450="1521",MONTH(C1450)='BK-NL'!$M$11),"x","")</f>
        <v/>
      </c>
    </row>
    <row r="1451" spans="1:31" ht="15.75" hidden="1" customHeight="1">
      <c r="A1451" s="336" t="str">
        <f>IF(B1451&lt;&gt;"",IF(AND(B1451='IN-TC'!$S$4,OR(TH!N1451="1111",TH!O1451="1111")),TH!D1451,""),"")</f>
        <v/>
      </c>
      <c r="B1451" s="63">
        <f t="shared" si="208"/>
        <v>5</v>
      </c>
      <c r="C1451" s="64">
        <f t="shared" si="211"/>
        <v>42500</v>
      </c>
      <c r="D1451" s="318" t="s">
        <v>705</v>
      </c>
      <c r="E1451" s="64">
        <v>42500</v>
      </c>
      <c r="F1451" s="73" t="s">
        <v>1193</v>
      </c>
      <c r="G1451" s="982" t="s">
        <v>919</v>
      </c>
      <c r="H1451" s="73"/>
      <c r="I1451" s="439"/>
      <c r="J1451" s="439"/>
      <c r="K1451" s="430"/>
      <c r="L1451" s="439"/>
      <c r="M1451" s="65">
        <v>33390</v>
      </c>
      <c r="N1451" s="66" t="s">
        <v>9</v>
      </c>
      <c r="O1451" s="66" t="s">
        <v>26</v>
      </c>
      <c r="P1451" s="84" t="str">
        <f>IF(AND('331-CT'!$E$7=TH!H1451,OR(N1451="331",O1451="331")),"x","")</f>
        <v/>
      </c>
      <c r="Q1451" s="84" t="str">
        <f>IF(AND(B1451='111'!$L$11,OR($N1451=$Q$7,$O1451=$Q$7)),"x","")</f>
        <v/>
      </c>
      <c r="R1451" s="84" t="str">
        <f>IF(AND($N1451=$Q$7,$B1451&lt;'111'!$L$11),"x","")</f>
        <v/>
      </c>
      <c r="S1451" s="84" t="str">
        <f>IF(AND($O1451=$Q$7,$B1451&lt;'111'!$L$11),"x","")</f>
        <v/>
      </c>
      <c r="T1451" s="84" t="str">
        <f>IF(ISERROR(FIND('112'!$M$9,G1451,1)),"",IF((AND(FIND('112'!$M$9,G1451,1)&gt;=1,B1451='112'!$K$9,OR($N1451='112'!$I$6,$O1451='112'!$I$6))),"x",""))</f>
        <v/>
      </c>
      <c r="U1451" s="84" t="str">
        <f>IF(ISERROR(FIND('112'!$M$9,G1451,1)),"",IF((AND(LEFT(G1451,2)=LEFT('112'!$M$9,2),B1451&lt;'112'!$K$9,$N1451='112'!$I$6)),"x",""))</f>
        <v/>
      </c>
      <c r="V1451" s="84" t="str">
        <f>IF(ISERROR(FIND('112'!$M$9,G1451,1)),"",IF((AND(RIGHT(G1451,2)=RIGHT('112'!$M$9,2),B1451&lt;'112'!$K$9,$O1451='112'!$I$6)),"x",""))</f>
        <v>x</v>
      </c>
      <c r="W1451" s="84" t="str">
        <f>IF(AND('341-CT'!$H$9=H1451,OR(LEFT(N1451,3)=$W$7,LEFT(O1451,3)=$W$7)),"x","")</f>
        <v/>
      </c>
      <c r="X1451" s="84" t="str">
        <f>IF(OR(TH!N1451=TH!$X$7,O1451=TH!$X$7),"x","")</f>
        <v/>
      </c>
      <c r="Y1451" s="84" t="str">
        <f>IF(AND(OR(N1451="131",O1451="131"),H1451='131-CT'!$H$9),"x","")</f>
        <v/>
      </c>
      <c r="Z1451" s="84"/>
      <c r="AA1451" s="84" t="str">
        <f>IF(AND(MONTH(E1451)='IN-NX'!$J$5,'IN-NX'!$D$7=D1451),"x","")</f>
        <v/>
      </c>
      <c r="AB1451" s="84" t="str">
        <f>IF(AND(OR(LEFT(TH!N1451,2)="15",LEFT(TH!O1451,2)="15"),LEFT(TH!O1451,3)&lt;&gt;"111",'152-CT'!$J$8=TH!F1451),"x","")</f>
        <v/>
      </c>
      <c r="AC1451" s="84" t="str">
        <f>IF(AND(OR(LEFT(TH!N1451,2)="15",LEFT(TH!O1451,2)="15"),TK!$E$7=TH!F1451),"x","")</f>
        <v/>
      </c>
      <c r="AD1451" s="84" t="str">
        <f>IF(AND(N1451="1521",MONTH(C1451)='BK-NL'!$M$11),"x","")</f>
        <v/>
      </c>
    </row>
    <row r="1452" spans="1:31" ht="15.75" hidden="1" customHeight="1">
      <c r="A1452" s="336" t="str">
        <f>IF(B1452&lt;&gt;"",IF(AND(B1452='IN-TC'!$S$4,OR(TH!N1452="1111",TH!O1452="1111")),TH!D1452,""),"")</f>
        <v/>
      </c>
      <c r="B1452" s="63">
        <f t="shared" si="208"/>
        <v>5</v>
      </c>
      <c r="C1452" s="64">
        <f t="shared" si="211"/>
        <v>42501</v>
      </c>
      <c r="D1452" s="318" t="s">
        <v>874</v>
      </c>
      <c r="E1452" s="64">
        <v>42501</v>
      </c>
      <c r="F1452" s="73" t="s">
        <v>1146</v>
      </c>
      <c r="G1452" s="982" t="s">
        <v>919</v>
      </c>
      <c r="H1452" s="73" t="s">
        <v>763</v>
      </c>
      <c r="I1452" s="439"/>
      <c r="J1452" s="439"/>
      <c r="K1452" s="430"/>
      <c r="L1452" s="439"/>
      <c r="M1452" s="65">
        <v>1000000000</v>
      </c>
      <c r="N1452" s="66" t="s">
        <v>63</v>
      </c>
      <c r="O1452" s="66" t="s">
        <v>26</v>
      </c>
      <c r="P1452" s="84" t="str">
        <f>IF(AND('331-CT'!$E$7=TH!H1452,OR(N1452="331",O1452="331")),"x","")</f>
        <v/>
      </c>
      <c r="Q1452" s="84" t="str">
        <f>IF(AND(B1452='111'!$L$11,OR($N1452=$Q$7,$O1452=$Q$7)),"x","")</f>
        <v/>
      </c>
      <c r="R1452" s="84" t="str">
        <f>IF(AND($N1452=$Q$7,$B1452&lt;'111'!$L$11),"x","")</f>
        <v/>
      </c>
      <c r="S1452" s="84" t="str">
        <f>IF(AND($O1452=$Q$7,$B1452&lt;'111'!$L$11),"x","")</f>
        <v/>
      </c>
      <c r="T1452" s="84" t="str">
        <f>IF(ISERROR(FIND('112'!$M$9,G1452,1)),"",IF((AND(FIND('112'!$M$9,G1452,1)&gt;=1,B1452='112'!$K$9,OR($N1452='112'!$I$6,$O1452='112'!$I$6))),"x",""))</f>
        <v/>
      </c>
      <c r="U1452" s="84" t="str">
        <f>IF(ISERROR(FIND('112'!$M$9,G1452,1)),"",IF((AND(LEFT(G1452,2)=LEFT('112'!$M$9,2),B1452&lt;'112'!$K$9,$N1452='112'!$I$6)),"x",""))</f>
        <v/>
      </c>
      <c r="V1452" s="84" t="str">
        <f>IF(ISERROR(FIND('112'!$M$9,G1452,1)),"",IF((AND(RIGHT(G1452,2)=RIGHT('112'!$M$9,2),B1452&lt;'112'!$K$9,$O1452='112'!$I$6)),"x",""))</f>
        <v>x</v>
      </c>
      <c r="W1452" s="84" t="str">
        <f>IF(AND('341-CT'!$H$9=H1452,OR(LEFT(N1452,3)=$W$7,LEFT(O1452,3)=$W$7)),"x","")</f>
        <v/>
      </c>
      <c r="X1452" s="84" t="str">
        <f>IF(OR(TH!N1452=TH!$X$7,O1452=TH!$X$7),"x","")</f>
        <v/>
      </c>
      <c r="Y1452" s="84" t="str">
        <f>IF(AND(OR(N1452="131",O1452="131"),H1452='131-CT'!$H$9),"x","")</f>
        <v/>
      </c>
      <c r="Z1452" s="84"/>
      <c r="AA1452" s="84" t="str">
        <f>IF(AND(MONTH(E1452)='IN-NX'!$J$5,'IN-NX'!$D$7=D1452),"x","")</f>
        <v/>
      </c>
      <c r="AB1452" s="84" t="str">
        <f>IF(AND(OR(LEFT(TH!N1452,2)="15",LEFT(TH!O1452,2)="15"),LEFT(TH!O1452,3)&lt;&gt;"111",'152-CT'!$J$8=TH!F1452),"x","")</f>
        <v/>
      </c>
      <c r="AC1452" s="84" t="str">
        <f>IF(AND(OR(LEFT(TH!N1452,2)="15",LEFT(TH!O1452,2)="15"),TK!$E$7=TH!F1452),"x","")</f>
        <v/>
      </c>
      <c r="AD1452" s="84" t="str">
        <f>IF(AND(N1452="1521",MONTH(C1452)='BK-NL'!$M$11),"x","")</f>
        <v/>
      </c>
    </row>
    <row r="1453" spans="1:31" ht="15.75" hidden="1" customHeight="1">
      <c r="A1453" s="336" t="str">
        <f>IF(B1453&lt;&gt;"",IF(AND(B1453='IN-TC'!$S$4,OR(TH!N1453="1111",TH!O1453="1111")),TH!D1453,""),"")</f>
        <v/>
      </c>
      <c r="B1453" s="63">
        <f t="shared" si="208"/>
        <v>5</v>
      </c>
      <c r="C1453" s="64">
        <f t="shared" si="211"/>
        <v>42502</v>
      </c>
      <c r="D1453" s="318" t="s">
        <v>903</v>
      </c>
      <c r="E1453" s="64">
        <v>42502</v>
      </c>
      <c r="F1453" s="73" t="s">
        <v>1146</v>
      </c>
      <c r="G1453" s="982" t="s">
        <v>919</v>
      </c>
      <c r="H1453" s="73" t="s">
        <v>763</v>
      </c>
      <c r="I1453" s="439"/>
      <c r="J1453" s="439"/>
      <c r="K1453" s="430"/>
      <c r="L1453" s="439"/>
      <c r="M1453" s="65">
        <v>250000000</v>
      </c>
      <c r="N1453" s="66" t="s">
        <v>63</v>
      </c>
      <c r="O1453" s="66" t="s">
        <v>26</v>
      </c>
      <c r="P1453" s="84" t="str">
        <f>IF(AND('331-CT'!$E$7=TH!H1453,OR(N1453="331",O1453="331")),"x","")</f>
        <v/>
      </c>
      <c r="Q1453" s="84" t="str">
        <f>IF(AND(B1453='111'!$L$11,OR($N1453=$Q$7,$O1453=$Q$7)),"x","")</f>
        <v/>
      </c>
      <c r="R1453" s="84" t="str">
        <f>IF(AND($N1453=$Q$7,$B1453&lt;'111'!$L$11),"x","")</f>
        <v/>
      </c>
      <c r="S1453" s="84" t="str">
        <f>IF(AND($O1453=$Q$7,$B1453&lt;'111'!$L$11),"x","")</f>
        <v/>
      </c>
      <c r="T1453" s="84" t="str">
        <f>IF(ISERROR(FIND('112'!$M$9,G1453,1)),"",IF((AND(FIND('112'!$M$9,G1453,1)&gt;=1,B1453='112'!$K$9,OR($N1453='112'!$I$6,$O1453='112'!$I$6))),"x",""))</f>
        <v/>
      </c>
      <c r="U1453" s="84" t="str">
        <f>IF(ISERROR(FIND('112'!$M$9,G1453,1)),"",IF((AND(LEFT(G1453,2)=LEFT('112'!$M$9,2),B1453&lt;'112'!$K$9,$N1453='112'!$I$6)),"x",""))</f>
        <v/>
      </c>
      <c r="V1453" s="84" t="str">
        <f>IF(ISERROR(FIND('112'!$M$9,G1453,1)),"",IF((AND(RIGHT(G1453,2)=RIGHT('112'!$M$9,2),B1453&lt;'112'!$K$9,$O1453='112'!$I$6)),"x",""))</f>
        <v>x</v>
      </c>
      <c r="W1453" s="84" t="str">
        <f>IF(AND('341-CT'!$H$9=H1453,OR(LEFT(N1453,3)=$W$7,LEFT(O1453,3)=$W$7)),"x","")</f>
        <v/>
      </c>
      <c r="X1453" s="84" t="str">
        <f>IF(OR(TH!N1453=TH!$X$7,O1453=TH!$X$7),"x","")</f>
        <v/>
      </c>
      <c r="Y1453" s="84" t="str">
        <f>IF(AND(OR(N1453="131",O1453="131"),H1453='131-CT'!$H$9),"x","")</f>
        <v/>
      </c>
      <c r="Z1453" s="84"/>
      <c r="AA1453" s="84" t="str">
        <f>IF(AND(MONTH(E1453)='IN-NX'!$J$5,'IN-NX'!$D$7=D1453),"x","")</f>
        <v/>
      </c>
      <c r="AB1453" s="84" t="str">
        <f>IF(AND(OR(LEFT(TH!N1453,2)="15",LEFT(TH!O1453,2)="15"),LEFT(TH!O1453,3)&lt;&gt;"111",'152-CT'!$J$8=TH!F1453),"x","")</f>
        <v/>
      </c>
      <c r="AC1453" s="84" t="str">
        <f>IF(AND(OR(LEFT(TH!N1453,2)="15",LEFT(TH!O1453,2)="15"),TK!$E$7=TH!F1453),"x","")</f>
        <v/>
      </c>
      <c r="AD1453" s="84" t="str">
        <f>IF(AND(N1453="1521",MONTH(C1453)='BK-NL'!$M$11),"x","")</f>
        <v/>
      </c>
    </row>
    <row r="1454" spans="1:31" ht="15.75" hidden="1" customHeight="1">
      <c r="A1454" s="336" t="str">
        <f>IF(B1454&lt;&gt;"",IF(AND(B1454='IN-TC'!$S$4,OR(TH!N1454="1111",TH!O1454="1111")),TH!D1454,""),"")</f>
        <v/>
      </c>
      <c r="B1454" s="63">
        <f t="shared" si="208"/>
        <v>5</v>
      </c>
      <c r="C1454" s="64">
        <f t="shared" si="211"/>
        <v>42502</v>
      </c>
      <c r="D1454" s="318" t="s">
        <v>705</v>
      </c>
      <c r="E1454" s="64">
        <v>42502</v>
      </c>
      <c r="F1454" s="73" t="s">
        <v>1051</v>
      </c>
      <c r="G1454" s="982" t="s">
        <v>919</v>
      </c>
      <c r="H1454" s="344" t="s">
        <v>721</v>
      </c>
      <c r="I1454" s="439"/>
      <c r="J1454" s="439"/>
      <c r="K1454" s="430"/>
      <c r="L1454" s="439"/>
      <c r="M1454" s="65">
        <v>2408699</v>
      </c>
      <c r="N1454" s="66" t="s">
        <v>99</v>
      </c>
      <c r="O1454" s="66" t="s">
        <v>26</v>
      </c>
      <c r="P1454" s="84" t="str">
        <f>IF(AND('331-CT'!$E$7=TH!H1454,OR(N1454="331",O1454="331")),"x","")</f>
        <v/>
      </c>
      <c r="Q1454" s="84" t="str">
        <f>IF(AND(B1454='111'!$L$11,OR($N1454=$Q$7,$O1454=$Q$7)),"x","")</f>
        <v/>
      </c>
      <c r="R1454" s="84" t="str">
        <f>IF(AND($N1454=$Q$7,$B1454&lt;'111'!$L$11),"x","")</f>
        <v/>
      </c>
      <c r="S1454" s="84" t="str">
        <f>IF(AND($O1454=$Q$7,$B1454&lt;'111'!$L$11),"x","")</f>
        <v/>
      </c>
      <c r="T1454" s="84" t="str">
        <f>IF(ISERROR(FIND('112'!$M$9,G1454,1)),"",IF((AND(FIND('112'!$M$9,G1454,1)&gt;=1,B1454='112'!$K$9,OR($N1454='112'!$I$6,$O1454='112'!$I$6))),"x",""))</f>
        <v/>
      </c>
      <c r="U1454" s="84" t="str">
        <f>IF(ISERROR(FIND('112'!$M$9,G1454,1)),"",IF((AND(LEFT(G1454,2)=LEFT('112'!$M$9,2),B1454&lt;'112'!$K$9,$N1454='112'!$I$6)),"x",""))</f>
        <v/>
      </c>
      <c r="V1454" s="84" t="str">
        <f>IF(ISERROR(FIND('112'!$M$9,G1454,1)),"",IF((AND(RIGHT(G1454,2)=RIGHT('112'!$M$9,2),B1454&lt;'112'!$K$9,$O1454='112'!$I$6)),"x",""))</f>
        <v>x</v>
      </c>
      <c r="W1454" s="84" t="str">
        <f>IF(AND('341-CT'!$H$9=H1454,OR(LEFT(N1454,3)=$W$7,LEFT(O1454,3)=$W$7)),"x","")</f>
        <v/>
      </c>
      <c r="X1454" s="84" t="str">
        <f>IF(OR(TH!N1454=TH!$X$7,O1454=TH!$X$7),"x","")</f>
        <v/>
      </c>
      <c r="Y1454" s="84" t="str">
        <f>IF(AND(OR(N1454="131",O1454="131"),H1454='131-CT'!$H$9),"x","")</f>
        <v/>
      </c>
      <c r="Z1454" s="84"/>
      <c r="AA1454" s="84" t="str">
        <f>IF(AND(MONTH(E1454)='IN-NX'!$J$5,'IN-NX'!$D$7=D1454),"x","")</f>
        <v/>
      </c>
      <c r="AB1454" s="84" t="str">
        <f>IF(AND(OR(LEFT(TH!N1454,2)="15",LEFT(TH!O1454,2)="15"),LEFT(TH!O1454,3)&lt;&gt;"111",'152-CT'!$J$8=TH!F1454),"x","")</f>
        <v/>
      </c>
      <c r="AC1454" s="84" t="str">
        <f>IF(AND(OR(LEFT(TH!N1454,2)="15",LEFT(TH!O1454,2)="15"),TK!$E$7=TH!F1454),"x","")</f>
        <v/>
      </c>
      <c r="AD1454" s="84" t="str">
        <f>IF(AND(N1454="1521",MONTH(C1454)='BK-NL'!$M$11),"x","")</f>
        <v/>
      </c>
    </row>
    <row r="1455" spans="1:31" ht="15.75" hidden="1" customHeight="1">
      <c r="A1455" s="336" t="str">
        <f>IF(B1455&lt;&gt;"",IF(AND(B1455='IN-TC'!$S$4,OR(TH!N1455="1111",TH!O1455="1111")),TH!D1455,""),"")</f>
        <v/>
      </c>
      <c r="B1455" s="63">
        <f t="shared" si="208"/>
        <v>5</v>
      </c>
      <c r="C1455" s="64">
        <f t="shared" si="211"/>
        <v>42502</v>
      </c>
      <c r="D1455" s="318" t="s">
        <v>705</v>
      </c>
      <c r="E1455" s="64">
        <v>42502</v>
      </c>
      <c r="F1455" s="73" t="s">
        <v>1048</v>
      </c>
      <c r="G1455" s="982" t="s">
        <v>919</v>
      </c>
      <c r="H1455" s="344" t="s">
        <v>720</v>
      </c>
      <c r="I1455" s="439"/>
      <c r="J1455" s="439"/>
      <c r="K1455" s="430"/>
      <c r="L1455" s="439"/>
      <c r="M1455" s="65">
        <v>1167265</v>
      </c>
      <c r="N1455" s="66" t="s">
        <v>99</v>
      </c>
      <c r="O1455" s="66" t="s">
        <v>26</v>
      </c>
      <c r="P1455" s="84" t="str">
        <f>IF(AND('331-CT'!$E$7=TH!H1455,OR(N1455="331",O1455="331")),"x","")</f>
        <v/>
      </c>
      <c r="Q1455" s="84" t="str">
        <f>IF(AND(B1455='111'!$L$11,OR($N1455=$Q$7,$O1455=$Q$7)),"x","")</f>
        <v/>
      </c>
      <c r="R1455" s="84" t="str">
        <f>IF(AND($N1455=$Q$7,$B1455&lt;'111'!$L$11),"x","")</f>
        <v/>
      </c>
      <c r="S1455" s="84" t="str">
        <f>IF(AND($O1455=$Q$7,$B1455&lt;'111'!$L$11),"x","")</f>
        <v/>
      </c>
      <c r="T1455" s="84" t="str">
        <f>IF(ISERROR(FIND('112'!$M$9,G1455,1)),"",IF((AND(FIND('112'!$M$9,G1455,1)&gt;=1,B1455='112'!$K$9,OR($N1455='112'!$I$6,$O1455='112'!$I$6))),"x",""))</f>
        <v/>
      </c>
      <c r="U1455" s="84" t="str">
        <f>IF(ISERROR(FIND('112'!$M$9,G1455,1)),"",IF((AND(LEFT(G1455,2)=LEFT('112'!$M$9,2),B1455&lt;'112'!$K$9,$N1455='112'!$I$6)),"x",""))</f>
        <v/>
      </c>
      <c r="V1455" s="84" t="str">
        <f>IF(ISERROR(FIND('112'!$M$9,G1455,1)),"",IF((AND(RIGHT(G1455,2)=RIGHT('112'!$M$9,2),B1455&lt;'112'!$K$9,$O1455='112'!$I$6)),"x",""))</f>
        <v>x</v>
      </c>
      <c r="W1455" s="84" t="str">
        <f>IF(AND('341-CT'!$H$9=H1455,OR(LEFT(N1455,3)=$W$7,LEFT(O1455,3)=$W$7)),"x","")</f>
        <v/>
      </c>
      <c r="X1455" s="84" t="str">
        <f>IF(OR(TH!N1455=TH!$X$7,O1455=TH!$X$7),"x","")</f>
        <v/>
      </c>
      <c r="Y1455" s="84" t="str">
        <f>IF(AND(OR(N1455="131",O1455="131"),H1455='131-CT'!$H$9),"x","")</f>
        <v/>
      </c>
      <c r="Z1455" s="84"/>
      <c r="AA1455" s="84" t="str">
        <f>IF(AND(MONTH(E1455)='IN-NX'!$J$5,'IN-NX'!$D$7=D1455),"x","")</f>
        <v/>
      </c>
      <c r="AB1455" s="84" t="str">
        <f>IF(AND(OR(LEFT(TH!N1455,2)="15",LEFT(TH!O1455,2)="15"),LEFT(TH!O1455,3)&lt;&gt;"111",'152-CT'!$J$8=TH!F1455),"x","")</f>
        <v/>
      </c>
      <c r="AC1455" s="84" t="str">
        <f>IF(AND(OR(LEFT(TH!N1455,2)="15",LEFT(TH!O1455,2)="15"),TK!$E$7=TH!F1455),"x","")</f>
        <v/>
      </c>
      <c r="AD1455" s="84" t="str">
        <f>IF(AND(N1455="1521",MONTH(C1455)='BK-NL'!$M$11),"x","")</f>
        <v/>
      </c>
    </row>
    <row r="1456" spans="1:31" ht="15.75" hidden="1" customHeight="1">
      <c r="A1456" s="336" t="str">
        <f>IF(B1456&lt;&gt;"",IF(AND(B1456='IN-TC'!$S$4,OR(TH!N1456="1111",TH!O1456="1111")),TH!D1456,""),"")</f>
        <v/>
      </c>
      <c r="B1456" s="63">
        <f t="shared" si="208"/>
        <v>5</v>
      </c>
      <c r="C1456" s="64">
        <f t="shared" si="211"/>
        <v>42504</v>
      </c>
      <c r="D1456" s="318" t="s">
        <v>906</v>
      </c>
      <c r="E1456" s="64">
        <v>42504</v>
      </c>
      <c r="F1456" s="73" t="s">
        <v>1146</v>
      </c>
      <c r="G1456" s="982" t="s">
        <v>919</v>
      </c>
      <c r="H1456" s="73" t="s">
        <v>763</v>
      </c>
      <c r="I1456" s="439"/>
      <c r="J1456" s="439"/>
      <c r="K1456" s="430"/>
      <c r="L1456" s="439"/>
      <c r="M1456" s="65">
        <v>850000000</v>
      </c>
      <c r="N1456" s="66" t="s">
        <v>63</v>
      </c>
      <c r="O1456" s="66" t="s">
        <v>26</v>
      </c>
      <c r="P1456" s="84" t="str">
        <f>IF(AND('331-CT'!$E$7=TH!H1456,OR(N1456="331",O1456="331")),"x","")</f>
        <v/>
      </c>
      <c r="Q1456" s="84" t="str">
        <f>IF(AND(B1456='111'!$L$11,OR($N1456=$Q$7,$O1456=$Q$7)),"x","")</f>
        <v/>
      </c>
      <c r="R1456" s="84" t="str">
        <f>IF(AND($N1456=$Q$7,$B1456&lt;'111'!$L$11),"x","")</f>
        <v/>
      </c>
      <c r="S1456" s="84" t="str">
        <f>IF(AND($O1456=$Q$7,$B1456&lt;'111'!$L$11),"x","")</f>
        <v/>
      </c>
      <c r="T1456" s="84" t="str">
        <f>IF(ISERROR(FIND('112'!$M$9,G1456,1)),"",IF((AND(FIND('112'!$M$9,G1456,1)&gt;=1,B1456='112'!$K$9,OR($N1456='112'!$I$6,$O1456='112'!$I$6))),"x",""))</f>
        <v/>
      </c>
      <c r="U1456" s="84" t="str">
        <f>IF(ISERROR(FIND('112'!$M$9,G1456,1)),"",IF((AND(LEFT(G1456,2)=LEFT('112'!$M$9,2),B1456&lt;'112'!$K$9,$N1456='112'!$I$6)),"x",""))</f>
        <v/>
      </c>
      <c r="V1456" s="84" t="str">
        <f>IF(ISERROR(FIND('112'!$M$9,G1456,1)),"",IF((AND(RIGHT(G1456,2)=RIGHT('112'!$M$9,2),B1456&lt;'112'!$K$9,$O1456='112'!$I$6)),"x",""))</f>
        <v>x</v>
      </c>
      <c r="W1456" s="84" t="str">
        <f>IF(AND('341-CT'!$H$9=H1456,OR(LEFT(N1456,3)=$W$7,LEFT(O1456,3)=$W$7)),"x","")</f>
        <v/>
      </c>
      <c r="X1456" s="84" t="str">
        <f>IF(OR(TH!N1456=TH!$X$7,O1456=TH!$X$7),"x","")</f>
        <v/>
      </c>
      <c r="Y1456" s="84" t="str">
        <f>IF(AND(OR(N1456="131",O1456="131"),H1456='131-CT'!$H$9),"x","")</f>
        <v/>
      </c>
      <c r="Z1456" s="84"/>
      <c r="AA1456" s="84" t="str">
        <f>IF(AND(MONTH(E1456)='IN-NX'!$J$5,'IN-NX'!$D$7=D1456),"x","")</f>
        <v/>
      </c>
      <c r="AB1456" s="84" t="str">
        <f>IF(AND(OR(LEFT(TH!N1456,2)="15",LEFT(TH!O1456,2)="15"),LEFT(TH!O1456,3)&lt;&gt;"111",'152-CT'!$J$8=TH!F1456),"x","")</f>
        <v/>
      </c>
      <c r="AC1456" s="84" t="str">
        <f>IF(AND(OR(LEFT(TH!N1456,2)="15",LEFT(TH!O1456,2)="15"),TK!$E$7=TH!F1456),"x","")</f>
        <v/>
      </c>
      <c r="AD1456" s="84" t="str">
        <f>IF(AND(N1456="1521",MONTH(C1456)='BK-NL'!$M$11),"x","")</f>
        <v/>
      </c>
    </row>
    <row r="1457" spans="1:31" ht="15.75" hidden="1" customHeight="1">
      <c r="A1457" s="336" t="str">
        <f>IF(B1457&lt;&gt;"",IF(AND(B1457='IN-TC'!$S$4,OR(TH!N1457="1111",TH!O1457="1111")),TH!D1457,""),"")</f>
        <v/>
      </c>
      <c r="B1457" s="63">
        <f t="shared" ref="B1457:B1474" si="212">IF(C1457&lt;&gt;"",MONTH(C1457),"")</f>
        <v>5</v>
      </c>
      <c r="C1457" s="64">
        <f t="shared" si="211"/>
        <v>42506</v>
      </c>
      <c r="D1457" s="318" t="s">
        <v>705</v>
      </c>
      <c r="E1457" s="64">
        <v>42506</v>
      </c>
      <c r="F1457" s="73" t="s">
        <v>1553</v>
      </c>
      <c r="G1457" s="982" t="s">
        <v>919</v>
      </c>
      <c r="H1457" s="76" t="s">
        <v>624</v>
      </c>
      <c r="I1457" s="439"/>
      <c r="J1457" s="439"/>
      <c r="K1457" s="430"/>
      <c r="L1457" s="439"/>
      <c r="M1457" s="65">
        <v>37808100</v>
      </c>
      <c r="N1457" s="66" t="s">
        <v>8</v>
      </c>
      <c r="O1457" s="66" t="s">
        <v>26</v>
      </c>
      <c r="P1457" s="84" t="str">
        <f>IF(AND('331-CT'!$E$7=TH!H1457,OR(N1457="331",O1457="331")),"x","")</f>
        <v/>
      </c>
      <c r="Q1457" s="84" t="str">
        <f>IF(AND(B1457='111'!$L$11,OR($N1457=$Q$7,$O1457=$Q$7)),"x","")</f>
        <v/>
      </c>
      <c r="R1457" s="84" t="str">
        <f>IF(AND($N1457=$Q$7,$B1457&lt;'111'!$L$11),"x","")</f>
        <v/>
      </c>
      <c r="S1457" s="84" t="str">
        <f>IF(AND($O1457=$Q$7,$B1457&lt;'111'!$L$11),"x","")</f>
        <v/>
      </c>
      <c r="T1457" s="84" t="str">
        <f>IF(ISERROR(FIND('112'!$M$9,G1457,1)),"",IF((AND(FIND('112'!$M$9,G1457,1)&gt;=1,B1457='112'!$K$9,OR($N1457='112'!$I$6,$O1457='112'!$I$6))),"x",""))</f>
        <v/>
      </c>
      <c r="U1457" s="84" t="str">
        <f>IF(ISERROR(FIND('112'!$M$9,G1457,1)),"",IF((AND(LEFT(G1457,2)=LEFT('112'!$M$9,2),B1457&lt;'112'!$K$9,$N1457='112'!$I$6)),"x",""))</f>
        <v/>
      </c>
      <c r="V1457" s="84" t="str">
        <f>IF(ISERROR(FIND('112'!$M$9,G1457,1)),"",IF((AND(RIGHT(G1457,2)=RIGHT('112'!$M$9,2),B1457&lt;'112'!$K$9,$O1457='112'!$I$6)),"x",""))</f>
        <v>x</v>
      </c>
      <c r="W1457" s="84" t="str">
        <f>IF(AND('341-CT'!$H$9=H1457,OR(LEFT(N1457,3)=$W$7,LEFT(O1457,3)=$W$7)),"x","")</f>
        <v/>
      </c>
      <c r="X1457" s="84" t="str">
        <f>IF(OR(TH!N1457=TH!$X$7,O1457=TH!$X$7),"x","")</f>
        <v/>
      </c>
      <c r="Y1457" s="84" t="str">
        <f>IF(AND(OR(N1457="131",O1457="131"),H1457='131-CT'!$H$9),"x","")</f>
        <v/>
      </c>
      <c r="Z1457" s="84"/>
      <c r="AA1457" s="84" t="str">
        <f>IF(AND(MONTH(E1457)='IN-NX'!$J$5,'IN-NX'!$D$7=D1457),"x","")</f>
        <v/>
      </c>
      <c r="AB1457" s="84" t="str">
        <f>IF(AND(OR(LEFT(TH!N1457,2)="15",LEFT(TH!O1457,2)="15"),LEFT(TH!O1457,3)&lt;&gt;"111",'152-CT'!$J$8=TH!F1457),"x","")</f>
        <v/>
      </c>
      <c r="AC1457" s="84" t="str">
        <f>IF(AND(OR(LEFT(TH!N1457,2)="15",LEFT(TH!O1457,2)="15"),TK!$E$7=TH!F1457),"x","")</f>
        <v/>
      </c>
      <c r="AD1457" s="84" t="str">
        <f>IF(AND(N1457="1521",MONTH(C1457)='BK-NL'!$M$11),"x","")</f>
        <v/>
      </c>
      <c r="AE1457" s="1146" t="str">
        <f>IF(H1457&lt;&gt;VLOOKUP(H1457,DSKH,1,0),"","x")</f>
        <v>x</v>
      </c>
    </row>
    <row r="1458" spans="1:31" ht="15.75" hidden="1" customHeight="1">
      <c r="A1458" s="336" t="str">
        <f>IF(B1458&lt;&gt;"",IF(AND(B1458='IN-TC'!$S$4,OR(TH!N1458="1111",TH!O1458="1111")),TH!D1458,""),"")</f>
        <v/>
      </c>
      <c r="B1458" s="63">
        <f t="shared" si="212"/>
        <v>5</v>
      </c>
      <c r="C1458" s="64">
        <f t="shared" si="211"/>
        <v>42506</v>
      </c>
      <c r="D1458" s="318" t="s">
        <v>705</v>
      </c>
      <c r="E1458" s="64">
        <v>42506</v>
      </c>
      <c r="F1458" s="73" t="s">
        <v>1199</v>
      </c>
      <c r="G1458" s="982" t="s">
        <v>919</v>
      </c>
      <c r="H1458" s="73"/>
      <c r="I1458" s="439"/>
      <c r="J1458" s="439"/>
      <c r="K1458" s="430"/>
      <c r="L1458" s="439"/>
      <c r="M1458" s="65">
        <v>25000</v>
      </c>
      <c r="N1458" s="66" t="s">
        <v>101</v>
      </c>
      <c r="O1458" s="66" t="s">
        <v>26</v>
      </c>
      <c r="P1458" s="84" t="str">
        <f>IF(AND('331-CT'!$E$7=TH!H1458,OR(N1458="331",O1458="331")),"x","")</f>
        <v/>
      </c>
      <c r="Q1458" s="84" t="str">
        <f>IF(AND(B1458='111'!$L$11,OR($N1458=$Q$7,$O1458=$Q$7)),"x","")</f>
        <v/>
      </c>
      <c r="R1458" s="84" t="str">
        <f>IF(AND($N1458=$Q$7,$B1458&lt;'111'!$L$11),"x","")</f>
        <v/>
      </c>
      <c r="S1458" s="84" t="str">
        <f>IF(AND($O1458=$Q$7,$B1458&lt;'111'!$L$11),"x","")</f>
        <v/>
      </c>
      <c r="T1458" s="84" t="str">
        <f>IF(ISERROR(FIND('112'!$M$9,G1458,1)),"",IF((AND(FIND('112'!$M$9,G1458,1)&gt;=1,B1458='112'!$K$9,OR($N1458='112'!$I$6,$O1458='112'!$I$6))),"x",""))</f>
        <v/>
      </c>
      <c r="U1458" s="84" t="str">
        <f>IF(ISERROR(FIND('112'!$M$9,G1458,1)),"",IF((AND(LEFT(G1458,2)=LEFT('112'!$M$9,2),B1458&lt;'112'!$K$9,$N1458='112'!$I$6)),"x",""))</f>
        <v/>
      </c>
      <c r="V1458" s="84" t="str">
        <f>IF(ISERROR(FIND('112'!$M$9,G1458,1)),"",IF((AND(RIGHT(G1458,2)=RIGHT('112'!$M$9,2),B1458&lt;'112'!$K$9,$O1458='112'!$I$6)),"x",""))</f>
        <v>x</v>
      </c>
      <c r="W1458" s="84" t="str">
        <f>IF(AND('341-CT'!$H$9=H1458,OR(LEFT(N1458,3)=$W$7,LEFT(O1458,3)=$W$7)),"x","")</f>
        <v/>
      </c>
      <c r="X1458" s="84" t="str">
        <f>IF(OR(TH!N1458=TH!$X$7,O1458=TH!$X$7),"x","")</f>
        <v/>
      </c>
      <c r="Y1458" s="84" t="str">
        <f>IF(AND(OR(N1458="131",O1458="131"),H1458='131-CT'!$H$9),"x","")</f>
        <v/>
      </c>
      <c r="Z1458" s="84"/>
      <c r="AA1458" s="84" t="str">
        <f>IF(AND(MONTH(E1458)='IN-NX'!$J$5,'IN-NX'!$D$7=D1458),"x","")</f>
        <v/>
      </c>
      <c r="AB1458" s="84" t="str">
        <f>IF(AND(OR(LEFT(TH!N1458,2)="15",LEFT(TH!O1458,2)="15"),LEFT(TH!O1458,3)&lt;&gt;"111",'152-CT'!$J$8=TH!F1458),"x","")</f>
        <v/>
      </c>
      <c r="AC1458" s="84" t="str">
        <f>IF(AND(OR(LEFT(TH!N1458,2)="15",LEFT(TH!O1458,2)="15"),TK!$E$7=TH!F1458),"x","")</f>
        <v/>
      </c>
      <c r="AD1458" s="84" t="str">
        <f>IF(AND(N1458="1521",MONTH(C1458)='BK-NL'!$M$11),"x","")</f>
        <v/>
      </c>
    </row>
    <row r="1459" spans="1:31" ht="15.75" hidden="1" customHeight="1">
      <c r="A1459" s="336" t="str">
        <f>IF(B1459&lt;&gt;"",IF(AND(B1459='IN-TC'!$S$4,OR(TH!N1459="1111",TH!O1459="1111")),TH!D1459,""),"")</f>
        <v/>
      </c>
      <c r="B1459" s="63">
        <f t="shared" si="212"/>
        <v>5</v>
      </c>
      <c r="C1459" s="64">
        <f t="shared" si="211"/>
        <v>42506</v>
      </c>
      <c r="D1459" s="318" t="s">
        <v>705</v>
      </c>
      <c r="E1459" s="64">
        <v>42506</v>
      </c>
      <c r="F1459" s="73" t="s">
        <v>1200</v>
      </c>
      <c r="G1459" s="982" t="s">
        <v>919</v>
      </c>
      <c r="H1459" s="73"/>
      <c r="I1459" s="439"/>
      <c r="J1459" s="439"/>
      <c r="K1459" s="430"/>
      <c r="L1459" s="439"/>
      <c r="M1459" s="65">
        <v>2500</v>
      </c>
      <c r="N1459" s="66" t="s">
        <v>9</v>
      </c>
      <c r="O1459" s="66" t="s">
        <v>26</v>
      </c>
      <c r="P1459" s="84" t="str">
        <f>IF(AND('331-CT'!$E$7=TH!H1459,OR(N1459="331",O1459="331")),"x","")</f>
        <v/>
      </c>
      <c r="Q1459" s="84" t="str">
        <f>IF(AND(B1459='111'!$L$11,OR($N1459=$Q$7,$O1459=$Q$7)),"x","")</f>
        <v/>
      </c>
      <c r="R1459" s="84" t="str">
        <f>IF(AND($N1459=$Q$7,$B1459&lt;'111'!$L$11),"x","")</f>
        <v/>
      </c>
      <c r="S1459" s="84" t="str">
        <f>IF(AND($O1459=$Q$7,$B1459&lt;'111'!$L$11),"x","")</f>
        <v/>
      </c>
      <c r="T1459" s="84" t="str">
        <f>IF(ISERROR(FIND('112'!$M$9,G1459,1)),"",IF((AND(FIND('112'!$M$9,G1459,1)&gt;=1,B1459='112'!$K$9,OR($N1459='112'!$I$6,$O1459='112'!$I$6))),"x",""))</f>
        <v/>
      </c>
      <c r="U1459" s="84" t="str">
        <f>IF(ISERROR(FIND('112'!$M$9,G1459,1)),"",IF((AND(LEFT(G1459,2)=LEFT('112'!$M$9,2),B1459&lt;'112'!$K$9,$N1459='112'!$I$6)),"x",""))</f>
        <v/>
      </c>
      <c r="V1459" s="84" t="str">
        <f>IF(ISERROR(FIND('112'!$M$9,G1459,1)),"",IF((AND(RIGHT(G1459,2)=RIGHT('112'!$M$9,2),B1459&lt;'112'!$K$9,$O1459='112'!$I$6)),"x",""))</f>
        <v>x</v>
      </c>
      <c r="W1459" s="84" t="str">
        <f>IF(AND('341-CT'!$H$9=H1459,OR(LEFT(N1459,3)=$W$7,LEFT(O1459,3)=$W$7)),"x","")</f>
        <v/>
      </c>
      <c r="X1459" s="84" t="str">
        <f>IF(OR(TH!N1459=TH!$X$7,O1459=TH!$X$7),"x","")</f>
        <v/>
      </c>
      <c r="Y1459" s="84" t="str">
        <f>IF(AND(OR(N1459="131",O1459="131"),H1459='131-CT'!$H$9),"x","")</f>
        <v/>
      </c>
      <c r="Z1459" s="84"/>
      <c r="AA1459" s="84" t="str">
        <f>IF(AND(MONTH(E1459)='IN-NX'!$J$5,'IN-NX'!$D$7=D1459),"x","")</f>
        <v/>
      </c>
      <c r="AB1459" s="84" t="str">
        <f>IF(AND(OR(LEFT(TH!N1459,2)="15",LEFT(TH!O1459,2)="15"),LEFT(TH!O1459,3)&lt;&gt;"111",'152-CT'!$J$8=TH!F1459),"x","")</f>
        <v/>
      </c>
      <c r="AC1459" s="84" t="str">
        <f>IF(AND(OR(LEFT(TH!N1459,2)="15",LEFT(TH!O1459,2)="15"),TK!$E$7=TH!F1459),"x","")</f>
        <v/>
      </c>
      <c r="AD1459" s="84" t="str">
        <f>IF(AND(N1459="1521",MONTH(C1459)='BK-NL'!$M$11),"x","")</f>
        <v/>
      </c>
    </row>
    <row r="1460" spans="1:31" ht="15.75" hidden="1" customHeight="1">
      <c r="A1460" s="336" t="str">
        <f>IF(B1460&lt;&gt;"",IF(AND(B1460='IN-TC'!$S$4,OR(TH!N1460="1111",TH!O1460="1111")),TH!D1460,""),"")</f>
        <v/>
      </c>
      <c r="B1460" s="63">
        <f t="shared" si="212"/>
        <v>5</v>
      </c>
      <c r="C1460" s="64">
        <f t="shared" si="211"/>
        <v>42507</v>
      </c>
      <c r="D1460" s="318" t="s">
        <v>705</v>
      </c>
      <c r="E1460" s="64">
        <v>42507</v>
      </c>
      <c r="F1460" s="73" t="s">
        <v>1554</v>
      </c>
      <c r="G1460" s="982" t="s">
        <v>919</v>
      </c>
      <c r="H1460" s="73" t="s">
        <v>632</v>
      </c>
      <c r="I1460" s="439"/>
      <c r="J1460" s="439"/>
      <c r="K1460" s="430"/>
      <c r="L1460" s="439"/>
      <c r="M1460" s="65">
        <v>26783680</v>
      </c>
      <c r="N1460" s="66" t="s">
        <v>8</v>
      </c>
      <c r="O1460" s="66" t="s">
        <v>26</v>
      </c>
      <c r="P1460" s="84" t="str">
        <f>IF(AND('331-CT'!$E$7=TH!H1460,OR(N1460="331",O1460="331")),"x","")</f>
        <v/>
      </c>
      <c r="Q1460" s="84" t="str">
        <f>IF(AND(B1460='111'!$L$11,OR($N1460=$Q$7,$O1460=$Q$7)),"x","")</f>
        <v/>
      </c>
      <c r="R1460" s="84" t="str">
        <f>IF(AND($N1460=$Q$7,$B1460&lt;'111'!$L$11),"x","")</f>
        <v/>
      </c>
      <c r="S1460" s="84" t="str">
        <f>IF(AND($O1460=$Q$7,$B1460&lt;'111'!$L$11),"x","")</f>
        <v/>
      </c>
      <c r="T1460" s="84" t="str">
        <f>IF(ISERROR(FIND('112'!$M$9,G1460,1)),"",IF((AND(FIND('112'!$M$9,G1460,1)&gt;=1,B1460='112'!$K$9,OR($N1460='112'!$I$6,$O1460='112'!$I$6))),"x",""))</f>
        <v/>
      </c>
      <c r="U1460" s="84" t="str">
        <f>IF(ISERROR(FIND('112'!$M$9,G1460,1)),"",IF((AND(LEFT(G1460,2)=LEFT('112'!$M$9,2),B1460&lt;'112'!$K$9,$N1460='112'!$I$6)),"x",""))</f>
        <v/>
      </c>
      <c r="V1460" s="84" t="str">
        <f>IF(ISERROR(FIND('112'!$M$9,G1460,1)),"",IF((AND(RIGHT(G1460,2)=RIGHT('112'!$M$9,2),B1460&lt;'112'!$K$9,$O1460='112'!$I$6)),"x",""))</f>
        <v>x</v>
      </c>
      <c r="W1460" s="84" t="str">
        <f>IF(AND('341-CT'!$H$9=H1460,OR(LEFT(N1460,3)=$W$7,LEFT(O1460,3)=$W$7)),"x","")</f>
        <v/>
      </c>
      <c r="X1460" s="84" t="str">
        <f>IF(OR(TH!N1460=TH!$X$7,O1460=TH!$X$7),"x","")</f>
        <v/>
      </c>
      <c r="Y1460" s="84" t="str">
        <f>IF(AND(OR(N1460="131",O1460="131"),H1460='131-CT'!$H$9),"x","")</f>
        <v/>
      </c>
      <c r="Z1460" s="84"/>
      <c r="AA1460" s="84" t="str">
        <f>IF(AND(MONTH(E1460)='IN-NX'!$J$5,'IN-NX'!$D$7=D1460),"x","")</f>
        <v/>
      </c>
      <c r="AB1460" s="84" t="str">
        <f>IF(AND(OR(LEFT(TH!N1460,2)="15",LEFT(TH!O1460,2)="15"),LEFT(TH!O1460,3)&lt;&gt;"111",'152-CT'!$J$8=TH!F1460),"x","")</f>
        <v/>
      </c>
      <c r="AC1460" s="84" t="str">
        <f>IF(AND(OR(LEFT(TH!N1460,2)="15",LEFT(TH!O1460,2)="15"),TK!$E$7=TH!F1460),"x","")</f>
        <v/>
      </c>
      <c r="AD1460" s="84" t="str">
        <f>IF(AND(N1460="1521",MONTH(C1460)='BK-NL'!$M$11),"x","")</f>
        <v/>
      </c>
      <c r="AE1460" s="1146" t="str">
        <f>IF(H1460&lt;&gt;VLOOKUP(H1460,DSKH,1,0),"","x")</f>
        <v>x</v>
      </c>
    </row>
    <row r="1461" spans="1:31" ht="15.75" hidden="1" customHeight="1">
      <c r="A1461" s="336" t="str">
        <f>IF(B1461&lt;&gt;"",IF(AND(B1461='IN-TC'!$S$4,OR(TH!N1461="1111",TH!O1461="1111")),TH!D1461,""),"")</f>
        <v/>
      </c>
      <c r="B1461" s="63">
        <f t="shared" si="212"/>
        <v>5</v>
      </c>
      <c r="C1461" s="64">
        <f t="shared" si="211"/>
        <v>42507</v>
      </c>
      <c r="D1461" s="318" t="s">
        <v>705</v>
      </c>
      <c r="E1461" s="64">
        <v>42507</v>
      </c>
      <c r="F1461" s="73" t="s">
        <v>1199</v>
      </c>
      <c r="G1461" s="982" t="s">
        <v>919</v>
      </c>
      <c r="H1461" s="73"/>
      <c r="I1461" s="439"/>
      <c r="J1461" s="439"/>
      <c r="K1461" s="430"/>
      <c r="L1461" s="439"/>
      <c r="M1461" s="65">
        <v>25000</v>
      </c>
      <c r="N1461" s="66" t="s">
        <v>101</v>
      </c>
      <c r="O1461" s="66" t="s">
        <v>26</v>
      </c>
      <c r="P1461" s="84" t="str">
        <f>IF(AND('331-CT'!$E$7=TH!H1461,OR(N1461="331",O1461="331")),"x","")</f>
        <v/>
      </c>
      <c r="Q1461" s="84" t="str">
        <f>IF(AND(B1461='111'!$L$11,OR($N1461=$Q$7,$O1461=$Q$7)),"x","")</f>
        <v/>
      </c>
      <c r="R1461" s="84" t="str">
        <f>IF(AND($N1461=$Q$7,$B1461&lt;'111'!$L$11),"x","")</f>
        <v/>
      </c>
      <c r="S1461" s="84" t="str">
        <f>IF(AND($O1461=$Q$7,$B1461&lt;'111'!$L$11),"x","")</f>
        <v/>
      </c>
      <c r="T1461" s="84" t="str">
        <f>IF(ISERROR(FIND('112'!$M$9,G1461,1)),"",IF((AND(FIND('112'!$M$9,G1461,1)&gt;=1,B1461='112'!$K$9,OR($N1461='112'!$I$6,$O1461='112'!$I$6))),"x",""))</f>
        <v/>
      </c>
      <c r="U1461" s="84" t="str">
        <f>IF(ISERROR(FIND('112'!$M$9,G1461,1)),"",IF((AND(LEFT(G1461,2)=LEFT('112'!$M$9,2),B1461&lt;'112'!$K$9,$N1461='112'!$I$6)),"x",""))</f>
        <v/>
      </c>
      <c r="V1461" s="84" t="str">
        <f>IF(ISERROR(FIND('112'!$M$9,G1461,1)),"",IF((AND(RIGHT(G1461,2)=RIGHT('112'!$M$9,2),B1461&lt;'112'!$K$9,$O1461='112'!$I$6)),"x",""))</f>
        <v>x</v>
      </c>
      <c r="W1461" s="84" t="str">
        <f>IF(AND('341-CT'!$H$9=H1461,OR(LEFT(N1461,3)=$W$7,LEFT(O1461,3)=$W$7)),"x","")</f>
        <v/>
      </c>
      <c r="X1461" s="84" t="str">
        <f>IF(OR(TH!N1461=TH!$X$7,O1461=TH!$X$7),"x","")</f>
        <v/>
      </c>
      <c r="Y1461" s="84" t="str">
        <f>IF(AND(OR(N1461="131",O1461="131"),H1461='131-CT'!$H$9),"x","")</f>
        <v/>
      </c>
      <c r="Z1461" s="84"/>
      <c r="AA1461" s="84" t="str">
        <f>IF(AND(MONTH(E1461)='IN-NX'!$J$5,'IN-NX'!$D$7=D1461),"x","")</f>
        <v/>
      </c>
      <c r="AB1461" s="84" t="str">
        <f>IF(AND(OR(LEFT(TH!N1461,2)="15",LEFT(TH!O1461,2)="15"),LEFT(TH!O1461,3)&lt;&gt;"111",'152-CT'!$J$8=TH!F1461),"x","")</f>
        <v/>
      </c>
      <c r="AC1461" s="84" t="str">
        <f>IF(AND(OR(LEFT(TH!N1461,2)="15",LEFT(TH!O1461,2)="15"),TK!$E$7=TH!F1461),"x","")</f>
        <v/>
      </c>
      <c r="AD1461" s="84" t="str">
        <f>IF(AND(N1461="1521",MONTH(C1461)='BK-NL'!$M$11),"x","")</f>
        <v/>
      </c>
    </row>
    <row r="1462" spans="1:31" ht="15.75" hidden="1" customHeight="1">
      <c r="A1462" s="336" t="str">
        <f>IF(B1462&lt;&gt;"",IF(AND(B1462='IN-TC'!$S$4,OR(TH!N1462="1111",TH!O1462="1111")),TH!D1462,""),"")</f>
        <v/>
      </c>
      <c r="B1462" s="63">
        <f t="shared" si="212"/>
        <v>5</v>
      </c>
      <c r="C1462" s="64">
        <f t="shared" si="211"/>
        <v>42507</v>
      </c>
      <c r="D1462" s="318" t="s">
        <v>705</v>
      </c>
      <c r="E1462" s="64">
        <v>42507</v>
      </c>
      <c r="F1462" s="73" t="s">
        <v>1200</v>
      </c>
      <c r="G1462" s="982" t="s">
        <v>919</v>
      </c>
      <c r="H1462" s="73"/>
      <c r="I1462" s="439"/>
      <c r="J1462" s="439"/>
      <c r="K1462" s="430"/>
      <c r="L1462" s="439"/>
      <c r="M1462" s="65">
        <v>2500</v>
      </c>
      <c r="N1462" s="66" t="s">
        <v>9</v>
      </c>
      <c r="O1462" s="66" t="s">
        <v>26</v>
      </c>
      <c r="P1462" s="84" t="str">
        <f>IF(AND('331-CT'!$E$7=TH!H1462,OR(N1462="331",O1462="331")),"x","")</f>
        <v/>
      </c>
      <c r="Q1462" s="84" t="str">
        <f>IF(AND(B1462='111'!$L$11,OR($N1462=$Q$7,$O1462=$Q$7)),"x","")</f>
        <v/>
      </c>
      <c r="R1462" s="84" t="str">
        <f>IF(AND($N1462=$Q$7,$B1462&lt;'111'!$L$11),"x","")</f>
        <v/>
      </c>
      <c r="S1462" s="84" t="str">
        <f>IF(AND($O1462=$Q$7,$B1462&lt;'111'!$L$11),"x","")</f>
        <v/>
      </c>
      <c r="T1462" s="84" t="str">
        <f>IF(ISERROR(FIND('112'!$M$9,G1462,1)),"",IF((AND(FIND('112'!$M$9,G1462,1)&gt;=1,B1462='112'!$K$9,OR($N1462='112'!$I$6,$O1462='112'!$I$6))),"x",""))</f>
        <v/>
      </c>
      <c r="U1462" s="84" t="str">
        <f>IF(ISERROR(FIND('112'!$M$9,G1462,1)),"",IF((AND(LEFT(G1462,2)=LEFT('112'!$M$9,2),B1462&lt;'112'!$K$9,$N1462='112'!$I$6)),"x",""))</f>
        <v/>
      </c>
      <c r="V1462" s="84" t="str">
        <f>IF(ISERROR(FIND('112'!$M$9,G1462,1)),"",IF((AND(RIGHT(G1462,2)=RIGHT('112'!$M$9,2),B1462&lt;'112'!$K$9,$O1462='112'!$I$6)),"x",""))</f>
        <v>x</v>
      </c>
      <c r="W1462" s="84" t="str">
        <f>IF(AND('341-CT'!$H$9=H1462,OR(LEFT(N1462,3)=$W$7,LEFT(O1462,3)=$W$7)),"x","")</f>
        <v/>
      </c>
      <c r="X1462" s="84" t="str">
        <f>IF(OR(TH!N1462=TH!$X$7,O1462=TH!$X$7),"x","")</f>
        <v/>
      </c>
      <c r="Y1462" s="84" t="str">
        <f>IF(AND(OR(N1462="131",O1462="131"),H1462='131-CT'!$H$9),"x","")</f>
        <v/>
      </c>
      <c r="Z1462" s="84"/>
      <c r="AA1462" s="84" t="str">
        <f>IF(AND(MONTH(E1462)='IN-NX'!$J$5,'IN-NX'!$D$7=D1462),"x","")</f>
        <v/>
      </c>
      <c r="AB1462" s="84" t="str">
        <f>IF(AND(OR(LEFT(TH!N1462,2)="15",LEFT(TH!O1462,2)="15"),LEFT(TH!O1462,3)&lt;&gt;"111",'152-CT'!$J$8=TH!F1462),"x","")</f>
        <v/>
      </c>
      <c r="AC1462" s="84" t="str">
        <f>IF(AND(OR(LEFT(TH!N1462,2)="15",LEFT(TH!O1462,2)="15"),TK!$E$7=TH!F1462),"x","")</f>
        <v/>
      </c>
      <c r="AD1462" s="84" t="str">
        <f>IF(AND(N1462="1521",MONTH(C1462)='BK-NL'!$M$11),"x","")</f>
        <v/>
      </c>
    </row>
    <row r="1463" spans="1:31" ht="15.75" hidden="1" customHeight="1">
      <c r="A1463" s="336" t="str">
        <f>IF(B1463&lt;&gt;"",IF(AND(B1463='IN-TC'!$S$4,OR(TH!N1463="1111",TH!O1463="1111")),TH!D1463,""),"")</f>
        <v/>
      </c>
      <c r="B1463" s="63">
        <f t="shared" si="212"/>
        <v>5</v>
      </c>
      <c r="C1463" s="64">
        <f t="shared" si="211"/>
        <v>42508</v>
      </c>
      <c r="D1463" s="318" t="s">
        <v>705</v>
      </c>
      <c r="E1463" s="64">
        <v>42508</v>
      </c>
      <c r="F1463" s="73" t="s">
        <v>1057</v>
      </c>
      <c r="G1463" s="982" t="s">
        <v>919</v>
      </c>
      <c r="H1463" s="344" t="s">
        <v>725</v>
      </c>
      <c r="I1463" s="439"/>
      <c r="J1463" s="439"/>
      <c r="K1463" s="430"/>
      <c r="L1463" s="439"/>
      <c r="M1463" s="65">
        <v>6661709</v>
      </c>
      <c r="N1463" s="66" t="s">
        <v>99</v>
      </c>
      <c r="O1463" s="66" t="s">
        <v>26</v>
      </c>
      <c r="P1463" s="84" t="str">
        <f>IF(AND('331-CT'!$E$7=TH!H1463,OR(N1463="331",O1463="331")),"x","")</f>
        <v/>
      </c>
      <c r="Q1463" s="84" t="str">
        <f>IF(AND(B1463='111'!$L$11,OR($N1463=$Q$7,$O1463=$Q$7)),"x","")</f>
        <v/>
      </c>
      <c r="R1463" s="84" t="str">
        <f>IF(AND($N1463=$Q$7,$B1463&lt;'111'!$L$11),"x","")</f>
        <v/>
      </c>
      <c r="S1463" s="84" t="str">
        <f>IF(AND($O1463=$Q$7,$B1463&lt;'111'!$L$11),"x","")</f>
        <v/>
      </c>
      <c r="T1463" s="84" t="str">
        <f>IF(ISERROR(FIND('112'!$M$9,G1463,1)),"",IF((AND(FIND('112'!$M$9,G1463,1)&gt;=1,B1463='112'!$K$9,OR($N1463='112'!$I$6,$O1463='112'!$I$6))),"x",""))</f>
        <v/>
      </c>
      <c r="U1463" s="84" t="str">
        <f>IF(ISERROR(FIND('112'!$M$9,G1463,1)),"",IF((AND(LEFT(G1463,2)=LEFT('112'!$M$9,2),B1463&lt;'112'!$K$9,$N1463='112'!$I$6)),"x",""))</f>
        <v/>
      </c>
      <c r="V1463" s="84" t="str">
        <f>IF(ISERROR(FIND('112'!$M$9,G1463,1)),"",IF((AND(RIGHT(G1463,2)=RIGHT('112'!$M$9,2),B1463&lt;'112'!$K$9,$O1463='112'!$I$6)),"x",""))</f>
        <v>x</v>
      </c>
      <c r="W1463" s="84" t="str">
        <f>IF(AND('341-CT'!$H$9=H1463,OR(LEFT(N1463,3)=$W$7,LEFT(O1463,3)=$W$7)),"x","")</f>
        <v/>
      </c>
      <c r="X1463" s="84" t="str">
        <f>IF(OR(TH!N1463=TH!$X$7,O1463=TH!$X$7),"x","")</f>
        <v/>
      </c>
      <c r="Y1463" s="84" t="str">
        <f>IF(AND(OR(N1463="131",O1463="131"),H1463='131-CT'!$H$9),"x","")</f>
        <v/>
      </c>
      <c r="Z1463" s="84"/>
      <c r="AA1463" s="84" t="str">
        <f>IF(AND(MONTH(E1463)='IN-NX'!$J$5,'IN-NX'!$D$7=D1463),"x","")</f>
        <v/>
      </c>
      <c r="AB1463" s="84" t="str">
        <f>IF(AND(OR(LEFT(TH!N1463,2)="15",LEFT(TH!O1463,2)="15"),LEFT(TH!O1463,3)&lt;&gt;"111",'152-CT'!$J$8=TH!F1463),"x","")</f>
        <v/>
      </c>
      <c r="AC1463" s="84" t="str">
        <f>IF(AND(OR(LEFT(TH!N1463,2)="15",LEFT(TH!O1463,2)="15"),TK!$E$7=TH!F1463),"x","")</f>
        <v/>
      </c>
      <c r="AD1463" s="84" t="str">
        <f>IF(AND(N1463="1521",MONTH(C1463)='BK-NL'!$M$11),"x","")</f>
        <v/>
      </c>
    </row>
    <row r="1464" spans="1:31" ht="15.75" hidden="1" customHeight="1">
      <c r="A1464" s="336" t="str">
        <f>IF(B1464&lt;&gt;"",IF(AND(B1464='IN-TC'!$S$4,OR(TH!N1464="1111",TH!O1464="1111")),TH!D1464,""),"")</f>
        <v/>
      </c>
      <c r="B1464" s="63">
        <f t="shared" si="212"/>
        <v>5</v>
      </c>
      <c r="C1464" s="64">
        <f t="shared" si="211"/>
        <v>42508</v>
      </c>
      <c r="D1464" s="318" t="s">
        <v>705</v>
      </c>
      <c r="E1464" s="64">
        <v>42508</v>
      </c>
      <c r="F1464" s="73" t="s">
        <v>752</v>
      </c>
      <c r="G1464" s="982" t="s">
        <v>919</v>
      </c>
      <c r="H1464" s="344" t="s">
        <v>726</v>
      </c>
      <c r="I1464" s="439"/>
      <c r="J1464" s="439"/>
      <c r="K1464" s="430"/>
      <c r="L1464" s="439"/>
      <c r="M1464" s="65">
        <v>6624641</v>
      </c>
      <c r="N1464" s="66" t="s">
        <v>99</v>
      </c>
      <c r="O1464" s="66" t="s">
        <v>26</v>
      </c>
      <c r="P1464" s="84" t="str">
        <f>IF(AND('331-CT'!$E$7=TH!H1464,OR(N1464="331",O1464="331")),"x","")</f>
        <v/>
      </c>
      <c r="Q1464" s="84" t="str">
        <f>IF(AND(B1464='111'!$L$11,OR($N1464=$Q$7,$O1464=$Q$7)),"x","")</f>
        <v/>
      </c>
      <c r="R1464" s="84" t="str">
        <f>IF(AND($N1464=$Q$7,$B1464&lt;'111'!$L$11),"x","")</f>
        <v/>
      </c>
      <c r="S1464" s="84" t="str">
        <f>IF(AND($O1464=$Q$7,$B1464&lt;'111'!$L$11),"x","")</f>
        <v/>
      </c>
      <c r="T1464" s="84" t="str">
        <f>IF(ISERROR(FIND('112'!$M$9,G1464,1)),"",IF((AND(FIND('112'!$M$9,G1464,1)&gt;=1,B1464='112'!$K$9,OR($N1464='112'!$I$6,$O1464='112'!$I$6))),"x",""))</f>
        <v/>
      </c>
      <c r="U1464" s="84" t="str">
        <f>IF(ISERROR(FIND('112'!$M$9,G1464,1)),"",IF((AND(LEFT(G1464,2)=LEFT('112'!$M$9,2),B1464&lt;'112'!$K$9,$N1464='112'!$I$6)),"x",""))</f>
        <v/>
      </c>
      <c r="V1464" s="84" t="str">
        <f>IF(ISERROR(FIND('112'!$M$9,G1464,1)),"",IF((AND(RIGHT(G1464,2)=RIGHT('112'!$M$9,2),B1464&lt;'112'!$K$9,$O1464='112'!$I$6)),"x",""))</f>
        <v>x</v>
      </c>
      <c r="W1464" s="84" t="str">
        <f>IF(AND('341-CT'!$H$9=H1464,OR(LEFT(N1464,3)=$W$7,LEFT(O1464,3)=$W$7)),"x","")</f>
        <v/>
      </c>
      <c r="X1464" s="84" t="str">
        <f>IF(OR(TH!N1464=TH!$X$7,O1464=TH!$X$7),"x","")</f>
        <v/>
      </c>
      <c r="Y1464" s="84" t="str">
        <f>IF(AND(OR(N1464="131",O1464="131"),H1464='131-CT'!$H$9),"x","")</f>
        <v/>
      </c>
      <c r="Z1464" s="84"/>
      <c r="AA1464" s="84" t="str">
        <f>IF(AND(MONTH(E1464)='IN-NX'!$J$5,'IN-NX'!$D$7=D1464),"x","")</f>
        <v/>
      </c>
      <c r="AB1464" s="84" t="str">
        <f>IF(AND(OR(LEFT(TH!N1464,2)="15",LEFT(TH!O1464,2)="15"),LEFT(TH!O1464,3)&lt;&gt;"111",'152-CT'!$J$8=TH!F1464),"x","")</f>
        <v/>
      </c>
      <c r="AC1464" s="84" t="str">
        <f>IF(AND(OR(LEFT(TH!N1464,2)="15",LEFT(TH!O1464,2)="15"),TK!$E$7=TH!F1464),"x","")</f>
        <v/>
      </c>
      <c r="AD1464" s="84" t="str">
        <f>IF(AND(N1464="1521",MONTH(C1464)='BK-NL'!$M$11),"x","")</f>
        <v/>
      </c>
    </row>
    <row r="1465" spans="1:31" ht="15.75" hidden="1" customHeight="1">
      <c r="A1465" s="336" t="str">
        <f>IF(B1465&lt;&gt;"",IF(AND(B1465='IN-TC'!$S$4,OR(TH!N1465="1111",TH!O1465="1111")),TH!D1465,""),"")</f>
        <v/>
      </c>
      <c r="B1465" s="63">
        <f t="shared" si="212"/>
        <v>5</v>
      </c>
      <c r="C1465" s="64">
        <f t="shared" si="211"/>
        <v>42508</v>
      </c>
      <c r="D1465" s="318" t="s">
        <v>705</v>
      </c>
      <c r="E1465" s="64">
        <v>42508</v>
      </c>
      <c r="F1465" s="73" t="s">
        <v>1060</v>
      </c>
      <c r="G1465" s="982" t="s">
        <v>919</v>
      </c>
      <c r="H1465" s="344" t="s">
        <v>733</v>
      </c>
      <c r="I1465" s="439"/>
      <c r="J1465" s="439"/>
      <c r="K1465" s="430"/>
      <c r="L1465" s="439"/>
      <c r="M1465" s="65">
        <v>4540359</v>
      </c>
      <c r="N1465" s="66" t="s">
        <v>99</v>
      </c>
      <c r="O1465" s="66" t="s">
        <v>26</v>
      </c>
      <c r="P1465" s="84" t="str">
        <f>IF(AND('331-CT'!$E$7=TH!H1465,OR(N1465="331",O1465="331")),"x","")</f>
        <v/>
      </c>
      <c r="Q1465" s="84" t="str">
        <f>IF(AND(B1465='111'!$L$11,OR($N1465=$Q$7,$O1465=$Q$7)),"x","")</f>
        <v/>
      </c>
      <c r="R1465" s="84" t="str">
        <f>IF(AND($N1465=$Q$7,$B1465&lt;'111'!$L$11),"x","")</f>
        <v/>
      </c>
      <c r="S1465" s="84" t="str">
        <f>IF(AND($O1465=$Q$7,$B1465&lt;'111'!$L$11),"x","")</f>
        <v/>
      </c>
      <c r="T1465" s="84" t="str">
        <f>IF(ISERROR(FIND('112'!$M$9,G1465,1)),"",IF((AND(FIND('112'!$M$9,G1465,1)&gt;=1,B1465='112'!$K$9,OR($N1465='112'!$I$6,$O1465='112'!$I$6))),"x",""))</f>
        <v/>
      </c>
      <c r="U1465" s="84" t="str">
        <f>IF(ISERROR(FIND('112'!$M$9,G1465,1)),"",IF((AND(LEFT(G1465,2)=LEFT('112'!$M$9,2),B1465&lt;'112'!$K$9,$N1465='112'!$I$6)),"x",""))</f>
        <v/>
      </c>
      <c r="V1465" s="84" t="str">
        <f>IF(ISERROR(FIND('112'!$M$9,G1465,1)),"",IF((AND(RIGHT(G1465,2)=RIGHT('112'!$M$9,2),B1465&lt;'112'!$K$9,$O1465='112'!$I$6)),"x",""))</f>
        <v>x</v>
      </c>
      <c r="W1465" s="84" t="str">
        <f>IF(AND('341-CT'!$H$9=H1465,OR(LEFT(N1465,3)=$W$7,LEFT(O1465,3)=$W$7)),"x","")</f>
        <v/>
      </c>
      <c r="X1465" s="84" t="str">
        <f>IF(OR(TH!N1465=TH!$X$7,O1465=TH!$X$7),"x","")</f>
        <v/>
      </c>
      <c r="Y1465" s="84" t="str">
        <f>IF(AND(OR(N1465="131",O1465="131"),H1465='131-CT'!$H$9),"x","")</f>
        <v/>
      </c>
      <c r="Z1465" s="84"/>
      <c r="AA1465" s="84" t="str">
        <f>IF(AND(MONTH(E1465)='IN-NX'!$J$5,'IN-NX'!$D$7=D1465),"x","")</f>
        <v/>
      </c>
      <c r="AB1465" s="84" t="str">
        <f>IF(AND(OR(LEFT(TH!N1465,2)="15",LEFT(TH!O1465,2)="15"),LEFT(TH!O1465,3)&lt;&gt;"111",'152-CT'!$J$8=TH!F1465),"x","")</f>
        <v/>
      </c>
      <c r="AC1465" s="84" t="str">
        <f>IF(AND(OR(LEFT(TH!N1465,2)="15",LEFT(TH!O1465,2)="15"),TK!$E$7=TH!F1465),"x","")</f>
        <v/>
      </c>
      <c r="AD1465" s="84" t="str">
        <f>IF(AND(N1465="1521",MONTH(C1465)='BK-NL'!$M$11),"x","")</f>
        <v/>
      </c>
    </row>
    <row r="1466" spans="1:31" ht="15.75" hidden="1" customHeight="1">
      <c r="A1466" s="336" t="str">
        <f>IF(B1466&lt;&gt;"",IF(AND(B1466='IN-TC'!$S$4,OR(TH!N1466="1111",TH!O1466="1111")),TH!D1466,""),"")</f>
        <v/>
      </c>
      <c r="B1466" s="63">
        <f t="shared" si="212"/>
        <v>5</v>
      </c>
      <c r="C1466" s="64">
        <f t="shared" si="211"/>
        <v>42508</v>
      </c>
      <c r="D1466" s="318" t="s">
        <v>705</v>
      </c>
      <c r="E1466" s="64">
        <v>42508</v>
      </c>
      <c r="F1466" s="73" t="s">
        <v>754</v>
      </c>
      <c r="G1466" s="982" t="s">
        <v>919</v>
      </c>
      <c r="H1466" s="344" t="s">
        <v>727</v>
      </c>
      <c r="I1466" s="439"/>
      <c r="J1466" s="439"/>
      <c r="K1466" s="430"/>
      <c r="L1466" s="439"/>
      <c r="M1466" s="65">
        <v>6624641</v>
      </c>
      <c r="N1466" s="66" t="s">
        <v>99</v>
      </c>
      <c r="O1466" s="66" t="s">
        <v>26</v>
      </c>
      <c r="P1466" s="84" t="str">
        <f>IF(AND('331-CT'!$E$7=TH!H1466,OR(N1466="331",O1466="331")),"x","")</f>
        <v/>
      </c>
      <c r="Q1466" s="84" t="str">
        <f>IF(AND(B1466='111'!$L$11,OR($N1466=$Q$7,$O1466=$Q$7)),"x","")</f>
        <v/>
      </c>
      <c r="R1466" s="84" t="str">
        <f>IF(AND($N1466=$Q$7,$B1466&lt;'111'!$L$11),"x","")</f>
        <v/>
      </c>
      <c r="S1466" s="84" t="str">
        <f>IF(AND($O1466=$Q$7,$B1466&lt;'111'!$L$11),"x","")</f>
        <v/>
      </c>
      <c r="T1466" s="84" t="str">
        <f>IF(ISERROR(FIND('112'!$M$9,G1466,1)),"",IF((AND(FIND('112'!$M$9,G1466,1)&gt;=1,B1466='112'!$K$9,OR($N1466='112'!$I$6,$O1466='112'!$I$6))),"x",""))</f>
        <v/>
      </c>
      <c r="U1466" s="84" t="str">
        <f>IF(ISERROR(FIND('112'!$M$9,G1466,1)),"",IF((AND(LEFT(G1466,2)=LEFT('112'!$M$9,2),B1466&lt;'112'!$K$9,$N1466='112'!$I$6)),"x",""))</f>
        <v/>
      </c>
      <c r="V1466" s="84" t="str">
        <f>IF(ISERROR(FIND('112'!$M$9,G1466,1)),"",IF((AND(RIGHT(G1466,2)=RIGHT('112'!$M$9,2),B1466&lt;'112'!$K$9,$O1466='112'!$I$6)),"x",""))</f>
        <v>x</v>
      </c>
      <c r="W1466" s="84" t="str">
        <f>IF(AND('341-CT'!$H$9=H1466,OR(LEFT(N1466,3)=$W$7,LEFT(O1466,3)=$W$7)),"x","")</f>
        <v/>
      </c>
      <c r="X1466" s="84" t="str">
        <f>IF(OR(TH!N1466=TH!$X$7,O1466=TH!$X$7),"x","")</f>
        <v/>
      </c>
      <c r="Y1466" s="84" t="str">
        <f>IF(AND(OR(N1466="131",O1466="131"),H1466='131-CT'!$H$9),"x","")</f>
        <v/>
      </c>
      <c r="Z1466" s="84"/>
      <c r="AA1466" s="84" t="str">
        <f>IF(AND(MONTH(E1466)='IN-NX'!$J$5,'IN-NX'!$D$7=D1466),"x","")</f>
        <v/>
      </c>
      <c r="AB1466" s="84" t="str">
        <f>IF(AND(OR(LEFT(TH!N1466,2)="15",LEFT(TH!O1466,2)="15"),LEFT(TH!O1466,3)&lt;&gt;"111",'152-CT'!$J$8=TH!F1466),"x","")</f>
        <v/>
      </c>
      <c r="AC1466" s="84" t="str">
        <f>IF(AND(OR(LEFT(TH!N1466,2)="15",LEFT(TH!O1466,2)="15"),TK!$E$7=TH!F1466),"x","")</f>
        <v/>
      </c>
      <c r="AD1466" s="84" t="str">
        <f>IF(AND(N1466="1521",MONTH(C1466)='BK-NL'!$M$11),"x","")</f>
        <v/>
      </c>
    </row>
    <row r="1467" spans="1:31" ht="15.75" hidden="1" customHeight="1">
      <c r="A1467" s="336" t="str">
        <f>IF(B1467&lt;&gt;"",IF(AND(B1467='IN-TC'!$S$4,OR(TH!N1467="1111",TH!O1467="1111")),TH!D1467,""),"")</f>
        <v/>
      </c>
      <c r="B1467" s="63">
        <f t="shared" si="212"/>
        <v>5</v>
      </c>
      <c r="C1467" s="64">
        <f t="shared" si="211"/>
        <v>42508</v>
      </c>
      <c r="D1467" s="318" t="s">
        <v>705</v>
      </c>
      <c r="E1467" s="64">
        <v>42508</v>
      </c>
      <c r="F1467" s="73" t="s">
        <v>1061</v>
      </c>
      <c r="G1467" s="982" t="s">
        <v>919</v>
      </c>
      <c r="H1467" s="344" t="s">
        <v>728</v>
      </c>
      <c r="I1467" s="439"/>
      <c r="J1467" s="439"/>
      <c r="K1467" s="430"/>
      <c r="L1467" s="439"/>
      <c r="M1467" s="65">
        <v>6550059</v>
      </c>
      <c r="N1467" s="66" t="s">
        <v>99</v>
      </c>
      <c r="O1467" s="66" t="s">
        <v>26</v>
      </c>
      <c r="P1467" s="84" t="str">
        <f>IF(AND('331-CT'!$E$7=TH!H1467,OR(N1467="331",O1467="331")),"x","")</f>
        <v/>
      </c>
      <c r="Q1467" s="84" t="str">
        <f>IF(AND(B1467='111'!$L$11,OR($N1467=$Q$7,$O1467=$Q$7)),"x","")</f>
        <v/>
      </c>
      <c r="R1467" s="84" t="str">
        <f>IF(AND($N1467=$Q$7,$B1467&lt;'111'!$L$11),"x","")</f>
        <v/>
      </c>
      <c r="S1467" s="84" t="str">
        <f>IF(AND($O1467=$Q$7,$B1467&lt;'111'!$L$11),"x","")</f>
        <v/>
      </c>
      <c r="T1467" s="84" t="str">
        <f>IF(ISERROR(FIND('112'!$M$9,G1467,1)),"",IF((AND(FIND('112'!$M$9,G1467,1)&gt;=1,B1467='112'!$K$9,OR($N1467='112'!$I$6,$O1467='112'!$I$6))),"x",""))</f>
        <v/>
      </c>
      <c r="U1467" s="84" t="str">
        <f>IF(ISERROR(FIND('112'!$M$9,G1467,1)),"",IF((AND(LEFT(G1467,2)=LEFT('112'!$M$9,2),B1467&lt;'112'!$K$9,$N1467='112'!$I$6)),"x",""))</f>
        <v/>
      </c>
      <c r="V1467" s="84" t="str">
        <f>IF(ISERROR(FIND('112'!$M$9,G1467,1)),"",IF((AND(RIGHT(G1467,2)=RIGHT('112'!$M$9,2),B1467&lt;'112'!$K$9,$O1467='112'!$I$6)),"x",""))</f>
        <v>x</v>
      </c>
      <c r="W1467" s="84" t="str">
        <f>IF(AND('341-CT'!$H$9=H1467,OR(LEFT(N1467,3)=$W$7,LEFT(O1467,3)=$W$7)),"x","")</f>
        <v/>
      </c>
      <c r="X1467" s="84" t="str">
        <f>IF(OR(TH!N1467=TH!$X$7,O1467=TH!$X$7),"x","")</f>
        <v/>
      </c>
      <c r="Y1467" s="84" t="str">
        <f>IF(AND(OR(N1467="131",O1467="131"),H1467='131-CT'!$H$9),"x","")</f>
        <v/>
      </c>
      <c r="Z1467" s="84"/>
      <c r="AA1467" s="84" t="str">
        <f>IF(AND(MONTH(E1467)='IN-NX'!$J$5,'IN-NX'!$D$7=D1467),"x","")</f>
        <v/>
      </c>
      <c r="AB1467" s="84" t="str">
        <f>IF(AND(OR(LEFT(TH!N1467,2)="15",LEFT(TH!O1467,2)="15"),LEFT(TH!O1467,3)&lt;&gt;"111",'152-CT'!$J$8=TH!F1467),"x","")</f>
        <v/>
      </c>
      <c r="AC1467" s="84" t="str">
        <f>IF(AND(OR(LEFT(TH!N1467,2)="15",LEFT(TH!O1467,2)="15"),TK!$E$7=TH!F1467),"x","")</f>
        <v/>
      </c>
      <c r="AD1467" s="84" t="str">
        <f>IF(AND(N1467="1521",MONTH(C1467)='BK-NL'!$M$11),"x","")</f>
        <v/>
      </c>
    </row>
    <row r="1468" spans="1:31" ht="15.75" hidden="1" customHeight="1">
      <c r="A1468" s="336" t="str">
        <f>IF(B1468&lt;&gt;"",IF(AND(B1468='IN-TC'!$S$4,OR(TH!N1468="1111",TH!O1468="1111")),TH!D1468,""),"")</f>
        <v/>
      </c>
      <c r="B1468" s="63">
        <f t="shared" si="212"/>
        <v>5</v>
      </c>
      <c r="C1468" s="64">
        <f t="shared" si="211"/>
        <v>42508</v>
      </c>
      <c r="D1468" s="318" t="s">
        <v>705</v>
      </c>
      <c r="E1468" s="64">
        <v>42508</v>
      </c>
      <c r="F1468" s="73" t="s">
        <v>1066</v>
      </c>
      <c r="G1468" s="982" t="s">
        <v>919</v>
      </c>
      <c r="H1468" s="1174" t="s">
        <v>1547</v>
      </c>
      <c r="I1468" s="439"/>
      <c r="J1468" s="439"/>
      <c r="K1468" s="430"/>
      <c r="L1468" s="439"/>
      <c r="M1468" s="65">
        <v>968452</v>
      </c>
      <c r="N1468" s="66" t="s">
        <v>99</v>
      </c>
      <c r="O1468" s="66" t="s">
        <v>26</v>
      </c>
      <c r="P1468" s="84" t="str">
        <f>IF(AND('331-CT'!$E$7=TH!H1468,OR(N1468="331",O1468="331")),"x","")</f>
        <v/>
      </c>
      <c r="Q1468" s="84" t="str">
        <f>IF(AND(B1468='111'!$L$11,OR($N1468=$Q$7,$O1468=$Q$7)),"x","")</f>
        <v/>
      </c>
      <c r="R1468" s="84" t="str">
        <f>IF(AND($N1468=$Q$7,$B1468&lt;'111'!$L$11),"x","")</f>
        <v/>
      </c>
      <c r="S1468" s="84" t="str">
        <f>IF(AND($O1468=$Q$7,$B1468&lt;'111'!$L$11),"x","")</f>
        <v/>
      </c>
      <c r="T1468" s="84" t="str">
        <f>IF(ISERROR(FIND('112'!$M$9,G1468,1)),"",IF((AND(FIND('112'!$M$9,G1468,1)&gt;=1,B1468='112'!$K$9,OR($N1468='112'!$I$6,$O1468='112'!$I$6))),"x",""))</f>
        <v/>
      </c>
      <c r="U1468" s="84" t="str">
        <f>IF(ISERROR(FIND('112'!$M$9,G1468,1)),"",IF((AND(LEFT(G1468,2)=LEFT('112'!$M$9,2),B1468&lt;'112'!$K$9,$N1468='112'!$I$6)),"x",""))</f>
        <v/>
      </c>
      <c r="V1468" s="84" t="str">
        <f>IF(ISERROR(FIND('112'!$M$9,G1468,1)),"",IF((AND(RIGHT(G1468,2)=RIGHT('112'!$M$9,2),B1468&lt;'112'!$K$9,$O1468='112'!$I$6)),"x",""))</f>
        <v>x</v>
      </c>
      <c r="W1468" s="84" t="str">
        <f>IF(AND('341-CT'!$H$9=H1468,OR(LEFT(N1468,3)=$W$7,LEFT(O1468,3)=$W$7)),"x","")</f>
        <v/>
      </c>
      <c r="X1468" s="84" t="str">
        <f>IF(OR(TH!N1468=TH!$X$7,O1468=TH!$X$7),"x","")</f>
        <v/>
      </c>
      <c r="Y1468" s="84" t="str">
        <f>IF(AND(OR(N1468="131",O1468="131"),H1468='131-CT'!$H$9),"x","")</f>
        <v/>
      </c>
      <c r="Z1468" s="84"/>
      <c r="AA1468" s="84" t="str">
        <f>IF(AND(MONTH(E1468)='IN-NX'!$J$5,'IN-NX'!$D$7=D1468),"x","")</f>
        <v/>
      </c>
      <c r="AB1468" s="84" t="str">
        <f>IF(AND(OR(LEFT(TH!N1468,2)="15",LEFT(TH!O1468,2)="15"),LEFT(TH!O1468,3)&lt;&gt;"111",'152-CT'!$J$8=TH!F1468),"x","")</f>
        <v/>
      </c>
      <c r="AC1468" s="84" t="str">
        <f>IF(AND(OR(LEFT(TH!N1468,2)="15",LEFT(TH!O1468,2)="15"),TK!$E$7=TH!F1468),"x","")</f>
        <v/>
      </c>
      <c r="AD1468" s="84" t="str">
        <f>IF(AND(N1468="1521",MONTH(C1468)='BK-NL'!$M$11),"x","")</f>
        <v/>
      </c>
    </row>
    <row r="1469" spans="1:31" ht="15.75" hidden="1" customHeight="1">
      <c r="A1469" s="336" t="str">
        <f>IF(B1469&lt;&gt;"",IF(AND(B1469='IN-TC'!$S$4,OR(TH!N1469="1111",TH!O1469="1111")),TH!D1469,""),"")</f>
        <v/>
      </c>
      <c r="B1469" s="63">
        <f t="shared" si="212"/>
        <v>5</v>
      </c>
      <c r="C1469" s="64">
        <f t="shared" si="211"/>
        <v>42508</v>
      </c>
      <c r="D1469" s="318" t="s">
        <v>705</v>
      </c>
      <c r="E1469" s="64">
        <v>42508</v>
      </c>
      <c r="F1469" s="73" t="s">
        <v>1652</v>
      </c>
      <c r="G1469" s="982" t="s">
        <v>919</v>
      </c>
      <c r="H1469" s="344" t="s">
        <v>736</v>
      </c>
      <c r="I1469" s="439"/>
      <c r="J1469" s="439"/>
      <c r="K1469" s="430"/>
      <c r="L1469" s="439"/>
      <c r="M1469" s="65">
        <v>7219959</v>
      </c>
      <c r="N1469" s="66" t="s">
        <v>99</v>
      </c>
      <c r="O1469" s="66" t="s">
        <v>26</v>
      </c>
      <c r="P1469" s="84" t="str">
        <f>IF(AND('331-CT'!$E$7=TH!H1469,OR(N1469="331",O1469="331")),"x","")</f>
        <v/>
      </c>
      <c r="Q1469" s="84" t="str">
        <f>IF(AND(B1469='111'!$L$11,OR($N1469=$Q$7,$O1469=$Q$7)),"x","")</f>
        <v/>
      </c>
      <c r="R1469" s="84" t="str">
        <f>IF(AND($N1469=$Q$7,$B1469&lt;'111'!$L$11),"x","")</f>
        <v/>
      </c>
      <c r="S1469" s="84" t="str">
        <f>IF(AND($O1469=$Q$7,$B1469&lt;'111'!$L$11),"x","")</f>
        <v/>
      </c>
      <c r="T1469" s="84" t="str">
        <f>IF(ISERROR(FIND('112'!$M$9,G1469,1)),"",IF((AND(FIND('112'!$M$9,G1469,1)&gt;=1,B1469='112'!$K$9,OR($N1469='112'!$I$6,$O1469='112'!$I$6))),"x",""))</f>
        <v/>
      </c>
      <c r="U1469" s="84" t="str">
        <f>IF(ISERROR(FIND('112'!$M$9,G1469,1)),"",IF((AND(LEFT(G1469,2)=LEFT('112'!$M$9,2),B1469&lt;'112'!$K$9,$N1469='112'!$I$6)),"x",""))</f>
        <v/>
      </c>
      <c r="V1469" s="84" t="str">
        <f>IF(ISERROR(FIND('112'!$M$9,G1469,1)),"",IF((AND(RIGHT(G1469,2)=RIGHT('112'!$M$9,2),B1469&lt;'112'!$K$9,$O1469='112'!$I$6)),"x",""))</f>
        <v>x</v>
      </c>
      <c r="W1469" s="84" t="str">
        <f>IF(AND('341-CT'!$H$9=H1469,OR(LEFT(N1469,3)=$W$7,LEFT(O1469,3)=$W$7)),"x","")</f>
        <v/>
      </c>
      <c r="X1469" s="84" t="str">
        <f>IF(OR(TH!N1469=TH!$X$7,O1469=TH!$X$7),"x","")</f>
        <v/>
      </c>
      <c r="Y1469" s="84" t="str">
        <f>IF(AND(OR(N1469="131",O1469="131"),H1469='131-CT'!$H$9),"x","")</f>
        <v/>
      </c>
      <c r="Z1469" s="84"/>
      <c r="AA1469" s="84" t="str">
        <f>IF(AND(MONTH(E1469)='IN-NX'!$J$5,'IN-NX'!$D$7=D1469),"x","")</f>
        <v/>
      </c>
      <c r="AB1469" s="84" t="str">
        <f>IF(AND(OR(LEFT(TH!N1469,2)="15",LEFT(TH!O1469,2)="15"),LEFT(TH!O1469,3)&lt;&gt;"111",'152-CT'!$J$8=TH!F1469),"x","")</f>
        <v/>
      </c>
      <c r="AC1469" s="84" t="str">
        <f>IF(AND(OR(LEFT(TH!N1469,2)="15",LEFT(TH!O1469,2)="15"),TK!$E$7=TH!F1469),"x","")</f>
        <v/>
      </c>
      <c r="AD1469" s="84" t="str">
        <f>IF(AND(N1469="1521",MONTH(C1469)='BK-NL'!$M$11),"x","")</f>
        <v/>
      </c>
    </row>
    <row r="1470" spans="1:31" ht="15.75" hidden="1" customHeight="1">
      <c r="A1470" s="336" t="str">
        <f>IF(B1470&lt;&gt;"",IF(AND(B1470='IN-TC'!$S$4,OR(TH!N1470="1111",TH!O1470="1111")),TH!D1470,""),"")</f>
        <v/>
      </c>
      <c r="B1470" s="63">
        <f t="shared" si="212"/>
        <v>5</v>
      </c>
      <c r="C1470" s="64">
        <f t="shared" si="211"/>
        <v>42508</v>
      </c>
      <c r="D1470" s="318" t="s">
        <v>705</v>
      </c>
      <c r="E1470" s="64">
        <v>42508</v>
      </c>
      <c r="F1470" s="73" t="s">
        <v>1653</v>
      </c>
      <c r="G1470" s="982" t="s">
        <v>919</v>
      </c>
      <c r="H1470" s="73" t="s">
        <v>1188</v>
      </c>
      <c r="I1470" s="439"/>
      <c r="J1470" s="439"/>
      <c r="K1470" s="430"/>
      <c r="L1470" s="439"/>
      <c r="M1470" s="65">
        <v>6103459</v>
      </c>
      <c r="N1470" s="66" t="s">
        <v>99</v>
      </c>
      <c r="O1470" s="66" t="s">
        <v>26</v>
      </c>
      <c r="P1470" s="84" t="str">
        <f>IF(AND('331-CT'!$E$7=TH!H1470,OR(N1470="331",O1470="331")),"x","")</f>
        <v/>
      </c>
      <c r="Q1470" s="84" t="str">
        <f>IF(AND(B1470='111'!$L$11,OR($N1470=$Q$7,$O1470=$Q$7)),"x","")</f>
        <v/>
      </c>
      <c r="R1470" s="84" t="str">
        <f>IF(AND($N1470=$Q$7,$B1470&lt;'111'!$L$11),"x","")</f>
        <v/>
      </c>
      <c r="S1470" s="84" t="str">
        <f>IF(AND($O1470=$Q$7,$B1470&lt;'111'!$L$11),"x","")</f>
        <v/>
      </c>
      <c r="T1470" s="84" t="str">
        <f>IF(ISERROR(FIND('112'!$M$9,G1470,1)),"",IF((AND(FIND('112'!$M$9,G1470,1)&gt;=1,B1470='112'!$K$9,OR($N1470='112'!$I$6,$O1470='112'!$I$6))),"x",""))</f>
        <v/>
      </c>
      <c r="U1470" s="84" t="str">
        <f>IF(ISERROR(FIND('112'!$M$9,G1470,1)),"",IF((AND(LEFT(G1470,2)=LEFT('112'!$M$9,2),B1470&lt;'112'!$K$9,$N1470='112'!$I$6)),"x",""))</f>
        <v/>
      </c>
      <c r="V1470" s="84" t="str">
        <f>IF(ISERROR(FIND('112'!$M$9,G1470,1)),"",IF((AND(RIGHT(G1470,2)=RIGHT('112'!$M$9,2),B1470&lt;'112'!$K$9,$O1470='112'!$I$6)),"x",""))</f>
        <v>x</v>
      </c>
      <c r="W1470" s="84" t="str">
        <f>IF(AND('341-CT'!$H$9=H1470,OR(LEFT(N1470,3)=$W$7,LEFT(O1470,3)=$W$7)),"x","")</f>
        <v/>
      </c>
      <c r="X1470" s="84" t="str">
        <f>IF(OR(TH!N1470=TH!$X$7,O1470=TH!$X$7),"x","")</f>
        <v/>
      </c>
      <c r="Y1470" s="84" t="str">
        <f>IF(AND(OR(N1470="131",O1470="131"),H1470='131-CT'!$H$9),"x","")</f>
        <v/>
      </c>
      <c r="Z1470" s="84"/>
      <c r="AA1470" s="84" t="str">
        <f>IF(AND(MONTH(E1470)='IN-NX'!$J$5,'IN-NX'!$D$7=D1470),"x","")</f>
        <v/>
      </c>
      <c r="AB1470" s="84" t="str">
        <f>IF(AND(OR(LEFT(TH!N1470,2)="15",LEFT(TH!O1470,2)="15"),LEFT(TH!O1470,3)&lt;&gt;"111",'152-CT'!$J$8=TH!F1470),"x","")</f>
        <v/>
      </c>
      <c r="AC1470" s="84" t="str">
        <f>IF(AND(OR(LEFT(TH!N1470,2)="15",LEFT(TH!O1470,2)="15"),TK!$E$7=TH!F1470),"x","")</f>
        <v/>
      </c>
      <c r="AD1470" s="84" t="str">
        <f>IF(AND(N1470="1521",MONTH(C1470)='BK-NL'!$M$11),"x","")</f>
        <v/>
      </c>
    </row>
    <row r="1471" spans="1:31" ht="15.75" hidden="1" customHeight="1">
      <c r="A1471" s="336" t="str">
        <f>IF(B1471&lt;&gt;"",IF(AND(B1471='IN-TC'!$S$4,OR(TH!N1471="1111",TH!O1471="1111")),TH!D1471,""),"")</f>
        <v/>
      </c>
      <c r="B1471" s="63">
        <f t="shared" si="212"/>
        <v>5</v>
      </c>
      <c r="C1471" s="64">
        <f t="shared" si="211"/>
        <v>42508</v>
      </c>
      <c r="D1471" s="318" t="s">
        <v>705</v>
      </c>
      <c r="E1471" s="64">
        <v>42508</v>
      </c>
      <c r="F1471" s="73" t="s">
        <v>1654</v>
      </c>
      <c r="G1471" s="982" t="s">
        <v>919</v>
      </c>
      <c r="H1471" s="73" t="s">
        <v>1189</v>
      </c>
      <c r="I1471" s="439"/>
      <c r="J1471" s="439"/>
      <c r="K1471" s="430"/>
      <c r="L1471" s="439"/>
      <c r="M1471" s="65">
        <v>6699000</v>
      </c>
      <c r="N1471" s="66" t="s">
        <v>99</v>
      </c>
      <c r="O1471" s="66" t="s">
        <v>26</v>
      </c>
      <c r="P1471" s="84" t="str">
        <f>IF(AND('331-CT'!$E$7=TH!H1471,OR(N1471="331",O1471="331")),"x","")</f>
        <v/>
      </c>
      <c r="Q1471" s="84" t="str">
        <f>IF(AND(B1471='111'!$L$11,OR($N1471=$Q$7,$O1471=$Q$7)),"x","")</f>
        <v/>
      </c>
      <c r="R1471" s="84" t="str">
        <f>IF(AND($N1471=$Q$7,$B1471&lt;'111'!$L$11),"x","")</f>
        <v/>
      </c>
      <c r="S1471" s="84" t="str">
        <f>IF(AND($O1471=$Q$7,$B1471&lt;'111'!$L$11),"x","")</f>
        <v/>
      </c>
      <c r="T1471" s="84" t="str">
        <f>IF(ISERROR(FIND('112'!$M$9,G1471,1)),"",IF((AND(FIND('112'!$M$9,G1471,1)&gt;=1,B1471='112'!$K$9,OR($N1471='112'!$I$6,$O1471='112'!$I$6))),"x",""))</f>
        <v/>
      </c>
      <c r="U1471" s="84" t="str">
        <f>IF(ISERROR(FIND('112'!$M$9,G1471,1)),"",IF((AND(LEFT(G1471,2)=LEFT('112'!$M$9,2),B1471&lt;'112'!$K$9,$N1471='112'!$I$6)),"x",""))</f>
        <v/>
      </c>
      <c r="V1471" s="84" t="str">
        <f>IF(ISERROR(FIND('112'!$M$9,G1471,1)),"",IF((AND(RIGHT(G1471,2)=RIGHT('112'!$M$9,2),B1471&lt;'112'!$K$9,$O1471='112'!$I$6)),"x",""))</f>
        <v>x</v>
      </c>
      <c r="W1471" s="84" t="str">
        <f>IF(AND('341-CT'!$H$9=H1471,OR(LEFT(N1471,3)=$W$7,LEFT(O1471,3)=$W$7)),"x","")</f>
        <v/>
      </c>
      <c r="X1471" s="84" t="str">
        <f>IF(OR(TH!N1471=TH!$X$7,O1471=TH!$X$7),"x","")</f>
        <v/>
      </c>
      <c r="Y1471" s="84" t="str">
        <f>IF(AND(OR(N1471="131",O1471="131"),H1471='131-CT'!$H$9),"x","")</f>
        <v/>
      </c>
      <c r="Z1471" s="84"/>
      <c r="AA1471" s="84" t="str">
        <f>IF(AND(MONTH(E1471)='IN-NX'!$J$5,'IN-NX'!$D$7=D1471),"x","")</f>
        <v/>
      </c>
      <c r="AB1471" s="84" t="str">
        <f>IF(AND(OR(LEFT(TH!N1471,2)="15",LEFT(TH!O1471,2)="15"),LEFT(TH!O1471,3)&lt;&gt;"111",'152-CT'!$J$8=TH!F1471),"x","")</f>
        <v/>
      </c>
      <c r="AC1471" s="84" t="str">
        <f>IF(AND(OR(LEFT(TH!N1471,2)="15",LEFT(TH!O1471,2)="15"),TK!$E$7=TH!F1471),"x","")</f>
        <v/>
      </c>
      <c r="AD1471" s="84" t="str">
        <f>IF(AND(N1471="1521",MONTH(C1471)='BK-NL'!$M$11),"x","")</f>
        <v/>
      </c>
    </row>
    <row r="1472" spans="1:31" ht="15.75" hidden="1" customHeight="1">
      <c r="A1472" s="336" t="str">
        <f>IF(B1472&lt;&gt;"",IF(AND(B1472='IN-TC'!$S$4,OR(TH!N1472="1111",TH!O1472="1111")),TH!D1472,""),"")</f>
        <v/>
      </c>
      <c r="B1472" s="63">
        <f t="shared" si="212"/>
        <v>5</v>
      </c>
      <c r="C1472" s="64">
        <f t="shared" si="211"/>
        <v>42508</v>
      </c>
      <c r="D1472" s="318" t="s">
        <v>705</v>
      </c>
      <c r="E1472" s="64">
        <v>42508</v>
      </c>
      <c r="F1472" s="73" t="s">
        <v>1458</v>
      </c>
      <c r="G1472" s="982" t="s">
        <v>919</v>
      </c>
      <c r="H1472" s="1174" t="s">
        <v>1547</v>
      </c>
      <c r="I1472" s="439"/>
      <c r="J1472" s="439"/>
      <c r="K1472" s="430"/>
      <c r="L1472" s="439"/>
      <c r="M1472" s="65">
        <v>1418407200</v>
      </c>
      <c r="N1472" s="66" t="s">
        <v>260</v>
      </c>
      <c r="O1472" s="66" t="s">
        <v>26</v>
      </c>
      <c r="P1472" s="84" t="str">
        <f>IF(AND('331-CT'!$E$7=TH!H1472,OR(N1472="331",O1472="331")),"x","")</f>
        <v/>
      </c>
      <c r="Q1472" s="84" t="str">
        <f>IF(AND(B1472='111'!$L$11,OR($N1472=$Q$7,$O1472=$Q$7)),"x","")</f>
        <v/>
      </c>
      <c r="R1472" s="84" t="str">
        <f>IF(AND($N1472=$Q$7,$B1472&lt;'111'!$L$11),"x","")</f>
        <v/>
      </c>
      <c r="S1472" s="84" t="str">
        <f>IF(AND($O1472=$Q$7,$B1472&lt;'111'!$L$11),"x","")</f>
        <v/>
      </c>
      <c r="T1472" s="84" t="str">
        <f>IF(ISERROR(FIND('112'!$M$9,G1472,1)),"",IF((AND(FIND('112'!$M$9,G1472,1)&gt;=1,B1472='112'!$K$9,OR($N1472='112'!$I$6,$O1472='112'!$I$6))),"x",""))</f>
        <v/>
      </c>
      <c r="U1472" s="84" t="str">
        <f>IF(ISERROR(FIND('112'!$M$9,G1472,1)),"",IF((AND(LEFT(G1472,2)=LEFT('112'!$M$9,2),B1472&lt;'112'!$K$9,$N1472='112'!$I$6)),"x",""))</f>
        <v/>
      </c>
      <c r="V1472" s="84" t="str">
        <f>IF(ISERROR(FIND('112'!$M$9,G1472,1)),"",IF((AND(RIGHT(G1472,2)=RIGHT('112'!$M$9,2),B1472&lt;'112'!$K$9,$O1472='112'!$I$6)),"x",""))</f>
        <v>x</v>
      </c>
      <c r="W1472" s="84" t="str">
        <f>IF(AND('341-CT'!$H$9=H1472,OR(LEFT(N1472,3)=$W$7,LEFT(O1472,3)=$W$7)),"x","")</f>
        <v/>
      </c>
      <c r="X1472" s="84" t="str">
        <f>IF(OR(TH!N1472=TH!$X$7,O1472=TH!$X$7),"x","")</f>
        <v/>
      </c>
      <c r="Y1472" s="84" t="str">
        <f>IF(AND(OR(N1472="131",O1472="131"),H1472='131-CT'!$H$9),"x","")</f>
        <v/>
      </c>
      <c r="Z1472" s="84"/>
      <c r="AA1472" s="84" t="str">
        <f>IF(AND(MONTH(E1472)='IN-NX'!$J$5,'IN-NX'!$D$7=D1472),"x","")</f>
        <v/>
      </c>
      <c r="AB1472" s="84" t="str">
        <f>IF(AND(OR(LEFT(TH!N1472,2)="15",LEFT(TH!O1472,2)="15"),LEFT(TH!O1472,3)&lt;&gt;"111",'152-CT'!$J$8=TH!F1472),"x","")</f>
        <v/>
      </c>
      <c r="AC1472" s="84" t="str">
        <f>IF(AND(OR(LEFT(TH!N1472,2)="15",LEFT(TH!O1472,2)="15"),TK!$E$7=TH!F1472),"x","")</f>
        <v/>
      </c>
      <c r="AD1472" s="84" t="str">
        <f>IF(AND(N1472="1521",MONTH(C1472)='BK-NL'!$M$11),"x","")</f>
        <v/>
      </c>
    </row>
    <row r="1473" spans="1:31" ht="15.75" hidden="1" customHeight="1">
      <c r="A1473" s="336" t="str">
        <f>IF(B1473&lt;&gt;"",IF(AND(B1473='IN-TC'!$S$4,OR(TH!N1473="1111",TH!O1473="1111")),TH!D1473,""),"")</f>
        <v/>
      </c>
      <c r="B1473" s="63">
        <f t="shared" si="212"/>
        <v>5</v>
      </c>
      <c r="C1473" s="64">
        <f t="shared" ref="C1473:C1481" si="213">E1473</f>
        <v>42509</v>
      </c>
      <c r="D1473" s="318" t="s">
        <v>705</v>
      </c>
      <c r="E1473" s="64">
        <v>42509</v>
      </c>
      <c r="F1473" s="73" t="s">
        <v>1201</v>
      </c>
      <c r="G1473" s="982" t="s">
        <v>925</v>
      </c>
      <c r="H1473" s="73"/>
      <c r="I1473" s="439"/>
      <c r="J1473" s="439"/>
      <c r="K1473" s="430"/>
      <c r="L1473" s="439"/>
      <c r="M1473" s="65">
        <v>20000000</v>
      </c>
      <c r="N1473" s="66" t="s">
        <v>26</v>
      </c>
      <c r="O1473" s="66" t="s">
        <v>26</v>
      </c>
      <c r="P1473" s="84" t="str">
        <f>IF(AND('331-CT'!$E$7=TH!H1473,OR(N1473="331",O1473="331")),"x","")</f>
        <v/>
      </c>
      <c r="Q1473" s="84" t="str">
        <f>IF(AND(B1473='111'!$L$11,OR($N1473=$Q$7,$O1473=$Q$7)),"x","")</f>
        <v/>
      </c>
      <c r="R1473" s="84" t="str">
        <f>IF(AND($N1473=$Q$7,$B1473&lt;'111'!$L$11),"x","")</f>
        <v/>
      </c>
      <c r="S1473" s="84" t="str">
        <f>IF(AND($O1473=$Q$7,$B1473&lt;'111'!$L$11),"x","")</f>
        <v/>
      </c>
      <c r="T1473" s="84" t="str">
        <f>IF(ISERROR(FIND('112'!$M$9,G1473,1)),"",IF((AND(FIND('112'!$M$9,G1473,1)&gt;=1,B1473='112'!$K$9,OR($N1473='112'!$I$6,$O1473='112'!$I$6))),"x",""))</f>
        <v/>
      </c>
      <c r="U1473" s="84" t="str">
        <f>IF(ISERROR(FIND('112'!$M$9,G1473,1)),"",IF((AND(LEFT(G1473,2)=LEFT('112'!$M$9,2),B1473&lt;'112'!$K$9,$N1473='112'!$I$6)),"x",""))</f>
        <v/>
      </c>
      <c r="V1473" s="84" t="str">
        <f>IF(ISERROR(FIND('112'!$M$9,G1473,1)),"",IF((AND(RIGHT(G1473,2)=RIGHT('112'!$M$9,2),B1473&lt;'112'!$K$9,$O1473='112'!$I$6)),"x",""))</f>
        <v>x</v>
      </c>
      <c r="W1473" s="84" t="str">
        <f>IF(AND('341-CT'!$H$9=H1473,OR(LEFT(N1473,3)=$W$7,LEFT(O1473,3)=$W$7)),"x","")</f>
        <v/>
      </c>
      <c r="X1473" s="84" t="str">
        <f>IF(OR(TH!N1473=TH!$X$7,O1473=TH!$X$7),"x","")</f>
        <v/>
      </c>
      <c r="Y1473" s="84" t="str">
        <f>IF(AND(OR(N1473="131",O1473="131"),H1473='131-CT'!$H$9),"x","")</f>
        <v/>
      </c>
      <c r="Z1473" s="84"/>
      <c r="AA1473" s="84" t="str">
        <f>IF(AND(MONTH(E1473)='IN-NX'!$J$5,'IN-NX'!$D$7=D1473),"x","")</f>
        <v/>
      </c>
      <c r="AB1473" s="84" t="str">
        <f>IF(AND(OR(LEFT(TH!N1473,2)="15",LEFT(TH!O1473,2)="15"),LEFT(TH!O1473,3)&lt;&gt;"111",'152-CT'!$J$8=TH!F1473),"x","")</f>
        <v/>
      </c>
      <c r="AC1473" s="84" t="str">
        <f>IF(AND(OR(LEFT(TH!N1473,2)="15",LEFT(TH!O1473,2)="15"),TK!$E$7=TH!F1473),"x","")</f>
        <v/>
      </c>
      <c r="AD1473" s="84" t="str">
        <f>IF(AND(N1473="1521",MONTH(C1473)='BK-NL'!$M$11),"x","")</f>
        <v/>
      </c>
    </row>
    <row r="1474" spans="1:31" ht="15.75" hidden="1" customHeight="1">
      <c r="A1474" s="336" t="str">
        <f>IF(B1474&lt;&gt;"",IF(AND(B1474='IN-TC'!$S$4,OR(TH!N1474="1111",TH!O1474="1111")),TH!D1474,""),"")</f>
        <v/>
      </c>
      <c r="B1474" s="63">
        <f t="shared" si="212"/>
        <v>5</v>
      </c>
      <c r="C1474" s="64">
        <f t="shared" si="213"/>
        <v>42509</v>
      </c>
      <c r="D1474" s="318" t="s">
        <v>705</v>
      </c>
      <c r="E1474" s="64">
        <v>42509</v>
      </c>
      <c r="F1474" s="73" t="s">
        <v>1450</v>
      </c>
      <c r="G1474" s="982" t="s">
        <v>919</v>
      </c>
      <c r="H1474" s="73" t="s">
        <v>1218</v>
      </c>
      <c r="I1474" s="439"/>
      <c r="J1474" s="439"/>
      <c r="K1474" s="430"/>
      <c r="L1474" s="439"/>
      <c r="M1474" s="65">
        <v>14000000</v>
      </c>
      <c r="N1474" s="66" t="s">
        <v>72</v>
      </c>
      <c r="O1474" s="66" t="s">
        <v>26</v>
      </c>
      <c r="P1474" s="84" t="str">
        <f>IF(AND('331-CT'!$E$7=TH!H1474,OR(N1474="331",O1474="331")),"x","")</f>
        <v/>
      </c>
      <c r="Q1474" s="84" t="str">
        <f>IF(AND(B1474='111'!$L$11,OR($N1474=$Q$7,$O1474=$Q$7)),"x","")</f>
        <v/>
      </c>
      <c r="R1474" s="84" t="str">
        <f>IF(AND($N1474=$Q$7,$B1474&lt;'111'!$L$11),"x","")</f>
        <v/>
      </c>
      <c r="S1474" s="84" t="str">
        <f>IF(AND($O1474=$Q$7,$B1474&lt;'111'!$L$11),"x","")</f>
        <v/>
      </c>
      <c r="T1474" s="84" t="str">
        <f>IF(ISERROR(FIND('112'!$M$9,G1474,1)),"",IF((AND(FIND('112'!$M$9,G1474,1)&gt;=1,B1474='112'!$K$9,OR($N1474='112'!$I$6,$O1474='112'!$I$6))),"x",""))</f>
        <v/>
      </c>
      <c r="U1474" s="84" t="str">
        <f>IF(ISERROR(FIND('112'!$M$9,G1474,1)),"",IF((AND(LEFT(G1474,2)=LEFT('112'!$M$9,2),B1474&lt;'112'!$K$9,$N1474='112'!$I$6)),"x",""))</f>
        <v/>
      </c>
      <c r="V1474" s="84" t="str">
        <f>IF(ISERROR(FIND('112'!$M$9,G1474,1)),"",IF((AND(RIGHT(G1474,2)=RIGHT('112'!$M$9,2),B1474&lt;'112'!$K$9,$O1474='112'!$I$6)),"x",""))</f>
        <v>x</v>
      </c>
      <c r="W1474" s="84" t="str">
        <f>IF(AND('341-CT'!$H$9=H1474,OR(LEFT(N1474,3)=$W$7,LEFT(O1474,3)=$W$7)),"x","")</f>
        <v/>
      </c>
      <c r="X1474" s="84" t="str">
        <f>IF(OR(TH!N1474=TH!$X$7,O1474=TH!$X$7),"x","")</f>
        <v>x</v>
      </c>
      <c r="Y1474" s="84" t="str">
        <f>IF(AND(OR(N1474="131",O1474="131"),H1474='131-CT'!$H$9),"x","")</f>
        <v/>
      </c>
      <c r="Z1474" s="84"/>
      <c r="AA1474" s="84" t="str">
        <f>IF(AND(MONTH(E1474)='IN-NX'!$J$5,'IN-NX'!$D$7=D1474),"x","")</f>
        <v/>
      </c>
      <c r="AB1474" s="84" t="str">
        <f>IF(AND(OR(LEFT(TH!N1474,2)="15",LEFT(TH!O1474,2)="15"),LEFT(TH!O1474,3)&lt;&gt;"111",'152-CT'!$J$8=TH!F1474),"x","")</f>
        <v/>
      </c>
      <c r="AC1474" s="84" t="str">
        <f>IF(AND(OR(LEFT(TH!N1474,2)="15",LEFT(TH!O1474,2)="15"),TK!$E$7=TH!F1474),"x","")</f>
        <v/>
      </c>
      <c r="AD1474" s="84" t="str">
        <f>IF(AND(N1474="1521",MONTH(C1474)='BK-NL'!$M$11),"x","")</f>
        <v/>
      </c>
    </row>
    <row r="1475" spans="1:31" ht="15.75" hidden="1" customHeight="1">
      <c r="A1475" s="336" t="str">
        <f>IF(B1475&lt;&gt;"",IF(AND(B1475='IN-TC'!$S$4,OR(TH!N1475="1111",TH!O1475="1111")),TH!D1475,""),"")</f>
        <v/>
      </c>
      <c r="B1475" s="63">
        <f t="shared" ref="B1475:B1492" si="214">IF(C1475&lt;&gt;"",MONTH(C1475),"")</f>
        <v>5</v>
      </c>
      <c r="C1475" s="64">
        <f t="shared" si="213"/>
        <v>42510</v>
      </c>
      <c r="D1475" s="318" t="s">
        <v>909</v>
      </c>
      <c r="E1475" s="64">
        <v>42510</v>
      </c>
      <c r="F1475" s="73" t="s">
        <v>1146</v>
      </c>
      <c r="G1475" s="982" t="s">
        <v>919</v>
      </c>
      <c r="H1475" s="73" t="s">
        <v>763</v>
      </c>
      <c r="I1475" s="439"/>
      <c r="J1475" s="439"/>
      <c r="K1475" s="430"/>
      <c r="L1475" s="439"/>
      <c r="M1475" s="65">
        <v>150000000</v>
      </c>
      <c r="N1475" s="66" t="s">
        <v>63</v>
      </c>
      <c r="O1475" s="66" t="s">
        <v>26</v>
      </c>
      <c r="P1475" s="84" t="str">
        <f>IF(AND('331-CT'!$E$7=TH!H1475,OR(N1475="331",O1475="331")),"x","")</f>
        <v/>
      </c>
      <c r="Q1475" s="84" t="str">
        <f>IF(AND(B1475='111'!$L$11,OR($N1475=$Q$7,$O1475=$Q$7)),"x","")</f>
        <v/>
      </c>
      <c r="R1475" s="84" t="str">
        <f>IF(AND($N1475=$Q$7,$B1475&lt;'111'!$L$11),"x","")</f>
        <v/>
      </c>
      <c r="S1475" s="84" t="str">
        <f>IF(AND($O1475=$Q$7,$B1475&lt;'111'!$L$11),"x","")</f>
        <v/>
      </c>
      <c r="T1475" s="84" t="str">
        <f>IF(ISERROR(FIND('112'!$M$9,G1475,1)),"",IF((AND(FIND('112'!$M$9,G1475,1)&gt;=1,B1475='112'!$K$9,OR($N1475='112'!$I$6,$O1475='112'!$I$6))),"x",""))</f>
        <v/>
      </c>
      <c r="U1475" s="84" t="str">
        <f>IF(ISERROR(FIND('112'!$M$9,G1475,1)),"",IF((AND(LEFT(G1475,2)=LEFT('112'!$M$9,2),B1475&lt;'112'!$K$9,$N1475='112'!$I$6)),"x",""))</f>
        <v/>
      </c>
      <c r="V1475" s="84" t="str">
        <f>IF(ISERROR(FIND('112'!$M$9,G1475,1)),"",IF((AND(RIGHT(G1475,2)=RIGHT('112'!$M$9,2),B1475&lt;'112'!$K$9,$O1475='112'!$I$6)),"x",""))</f>
        <v>x</v>
      </c>
      <c r="W1475" s="84" t="str">
        <f>IF(AND('341-CT'!$H$9=H1475,OR(LEFT(N1475,3)=$W$7,LEFT(O1475,3)=$W$7)),"x","")</f>
        <v/>
      </c>
      <c r="X1475" s="84" t="str">
        <f>IF(OR(TH!N1475=TH!$X$7,O1475=TH!$X$7),"x","")</f>
        <v/>
      </c>
      <c r="Y1475" s="84" t="str">
        <f>IF(AND(OR(N1475="131",O1475="131"),H1475='131-CT'!$H$9),"x","")</f>
        <v/>
      </c>
      <c r="Z1475" s="84"/>
      <c r="AA1475" s="84" t="str">
        <f>IF(AND(MONTH(E1475)='IN-NX'!$J$5,'IN-NX'!$D$7=D1475),"x","")</f>
        <v/>
      </c>
      <c r="AB1475" s="84" t="str">
        <f>IF(AND(OR(LEFT(TH!N1475,2)="15",LEFT(TH!O1475,2)="15"),LEFT(TH!O1475,3)&lt;&gt;"111",'152-CT'!$J$8=TH!F1475),"x","")</f>
        <v/>
      </c>
      <c r="AC1475" s="84" t="str">
        <f>IF(AND(OR(LEFT(TH!N1475,2)="15",LEFT(TH!O1475,2)="15"),TK!$E$7=TH!F1475),"x","")</f>
        <v/>
      </c>
      <c r="AD1475" s="84" t="str">
        <f>IF(AND(N1475="1521",MONTH(C1475)='BK-NL'!$M$11),"x","")</f>
        <v/>
      </c>
    </row>
    <row r="1476" spans="1:31" ht="15.75" hidden="1" customHeight="1">
      <c r="A1476" s="336" t="str">
        <f>IF(B1476&lt;&gt;"",IF(AND(B1476='IN-TC'!$S$4,OR(TH!N1476="1111",TH!O1476="1111")),TH!D1476,""),"")</f>
        <v/>
      </c>
      <c r="B1476" s="63">
        <f t="shared" si="214"/>
        <v>5</v>
      </c>
      <c r="C1476" s="64">
        <f t="shared" si="213"/>
        <v>42514</v>
      </c>
      <c r="D1476" s="318" t="s">
        <v>705</v>
      </c>
      <c r="E1476" s="64">
        <v>42514</v>
      </c>
      <c r="F1476" s="73" t="s">
        <v>1555</v>
      </c>
      <c r="G1476" s="982" t="s">
        <v>919</v>
      </c>
      <c r="H1476" s="73" t="s">
        <v>632</v>
      </c>
      <c r="I1476" s="439"/>
      <c r="J1476" s="439"/>
      <c r="K1476" s="430"/>
      <c r="L1476" s="439"/>
      <c r="M1476" s="65">
        <v>28393970</v>
      </c>
      <c r="N1476" s="66" t="s">
        <v>8</v>
      </c>
      <c r="O1476" s="66" t="s">
        <v>26</v>
      </c>
      <c r="P1476" s="84" t="str">
        <f>IF(AND('331-CT'!$E$7=TH!H1476,OR(N1476="331",O1476="331")),"x","")</f>
        <v/>
      </c>
      <c r="Q1476" s="84" t="str">
        <f>IF(AND(B1476='111'!$L$11,OR($N1476=$Q$7,$O1476=$Q$7)),"x","")</f>
        <v/>
      </c>
      <c r="R1476" s="84" t="str">
        <f>IF(AND($N1476=$Q$7,$B1476&lt;'111'!$L$11),"x","")</f>
        <v/>
      </c>
      <c r="S1476" s="84" t="str">
        <f>IF(AND($O1476=$Q$7,$B1476&lt;'111'!$L$11),"x","")</f>
        <v/>
      </c>
      <c r="T1476" s="84" t="str">
        <f>IF(ISERROR(FIND('112'!$M$9,G1476,1)),"",IF((AND(FIND('112'!$M$9,G1476,1)&gt;=1,B1476='112'!$K$9,OR($N1476='112'!$I$6,$O1476='112'!$I$6))),"x",""))</f>
        <v/>
      </c>
      <c r="U1476" s="84" t="str">
        <f>IF(ISERROR(FIND('112'!$M$9,G1476,1)),"",IF((AND(LEFT(G1476,2)=LEFT('112'!$M$9,2),B1476&lt;'112'!$K$9,$N1476='112'!$I$6)),"x",""))</f>
        <v/>
      </c>
      <c r="V1476" s="84" t="str">
        <f>IF(ISERROR(FIND('112'!$M$9,G1476,1)),"",IF((AND(RIGHT(G1476,2)=RIGHT('112'!$M$9,2),B1476&lt;'112'!$K$9,$O1476='112'!$I$6)),"x",""))</f>
        <v>x</v>
      </c>
      <c r="W1476" s="84" t="str">
        <f>IF(AND('341-CT'!$H$9=H1476,OR(LEFT(N1476,3)=$W$7,LEFT(O1476,3)=$W$7)),"x","")</f>
        <v/>
      </c>
      <c r="X1476" s="84" t="str">
        <f>IF(OR(TH!N1476=TH!$X$7,O1476=TH!$X$7),"x","")</f>
        <v/>
      </c>
      <c r="Y1476" s="84" t="str">
        <f>IF(AND(OR(N1476="131",O1476="131"),H1476='131-CT'!$H$9),"x","")</f>
        <v/>
      </c>
      <c r="Z1476" s="84"/>
      <c r="AA1476" s="84" t="str">
        <f>IF(AND(MONTH(E1476)='IN-NX'!$J$5,'IN-NX'!$D$7=D1476),"x","")</f>
        <v/>
      </c>
      <c r="AB1476" s="84" t="str">
        <f>IF(AND(OR(LEFT(TH!N1476,2)="15",LEFT(TH!O1476,2)="15"),LEFT(TH!O1476,3)&lt;&gt;"111",'152-CT'!$J$8=TH!F1476),"x","")</f>
        <v/>
      </c>
      <c r="AC1476" s="84" t="str">
        <f>IF(AND(OR(LEFT(TH!N1476,2)="15",LEFT(TH!O1476,2)="15"),TK!$E$7=TH!F1476),"x","")</f>
        <v/>
      </c>
      <c r="AD1476" s="84" t="str">
        <f>IF(AND(N1476="1521",MONTH(C1476)='BK-NL'!$M$11),"x","")</f>
        <v/>
      </c>
      <c r="AE1476" s="1146" t="str">
        <f>IF(H1476&lt;&gt;VLOOKUP(H1476,DSKH,1,0),"","x")</f>
        <v>x</v>
      </c>
    </row>
    <row r="1477" spans="1:31" ht="15.75" hidden="1" customHeight="1">
      <c r="A1477" s="336" t="str">
        <f>IF(B1477&lt;&gt;"",IF(AND(B1477='IN-TC'!$S$4,OR(TH!N1477="1111",TH!O1477="1111")),TH!D1477,""),"")</f>
        <v/>
      </c>
      <c r="B1477" s="63">
        <f t="shared" si="214"/>
        <v>5</v>
      </c>
      <c r="C1477" s="64">
        <f t="shared" si="213"/>
        <v>42514</v>
      </c>
      <c r="D1477" s="318" t="s">
        <v>705</v>
      </c>
      <c r="E1477" s="64">
        <v>42514</v>
      </c>
      <c r="F1477" s="73" t="s">
        <v>1199</v>
      </c>
      <c r="G1477" s="982" t="s">
        <v>919</v>
      </c>
      <c r="H1477" s="73"/>
      <c r="I1477" s="439"/>
      <c r="J1477" s="439"/>
      <c r="K1477" s="430"/>
      <c r="L1477" s="439"/>
      <c r="M1477" s="65">
        <v>25000</v>
      </c>
      <c r="N1477" s="66" t="s">
        <v>101</v>
      </c>
      <c r="O1477" s="66" t="s">
        <v>26</v>
      </c>
      <c r="P1477" s="84" t="str">
        <f>IF(AND('331-CT'!$E$7=TH!H1477,OR(N1477="331",O1477="331")),"x","")</f>
        <v/>
      </c>
      <c r="Q1477" s="84" t="str">
        <f>IF(AND(B1477='111'!$L$11,OR($N1477=$Q$7,$O1477=$Q$7)),"x","")</f>
        <v/>
      </c>
      <c r="R1477" s="84" t="str">
        <f>IF(AND($N1477=$Q$7,$B1477&lt;'111'!$L$11),"x","")</f>
        <v/>
      </c>
      <c r="S1477" s="84" t="str">
        <f>IF(AND($O1477=$Q$7,$B1477&lt;'111'!$L$11),"x","")</f>
        <v/>
      </c>
      <c r="T1477" s="84" t="str">
        <f>IF(ISERROR(FIND('112'!$M$9,G1477,1)),"",IF((AND(FIND('112'!$M$9,G1477,1)&gt;=1,B1477='112'!$K$9,OR($N1477='112'!$I$6,$O1477='112'!$I$6))),"x",""))</f>
        <v/>
      </c>
      <c r="U1477" s="84" t="str">
        <f>IF(ISERROR(FIND('112'!$M$9,G1477,1)),"",IF((AND(LEFT(G1477,2)=LEFT('112'!$M$9,2),B1477&lt;'112'!$K$9,$N1477='112'!$I$6)),"x",""))</f>
        <v/>
      </c>
      <c r="V1477" s="84" t="str">
        <f>IF(ISERROR(FIND('112'!$M$9,G1477,1)),"",IF((AND(RIGHT(G1477,2)=RIGHT('112'!$M$9,2),B1477&lt;'112'!$K$9,$O1477='112'!$I$6)),"x",""))</f>
        <v>x</v>
      </c>
      <c r="W1477" s="84" t="str">
        <f>IF(AND('341-CT'!$H$9=H1477,OR(LEFT(N1477,3)=$W$7,LEFT(O1477,3)=$W$7)),"x","")</f>
        <v/>
      </c>
      <c r="X1477" s="84" t="str">
        <f>IF(OR(TH!N1477=TH!$X$7,O1477=TH!$X$7),"x","")</f>
        <v/>
      </c>
      <c r="Y1477" s="84" t="str">
        <f>IF(AND(OR(N1477="131",O1477="131"),H1477='131-CT'!$H$9),"x","")</f>
        <v/>
      </c>
      <c r="Z1477" s="84"/>
      <c r="AA1477" s="84" t="str">
        <f>IF(AND(MONTH(E1477)='IN-NX'!$J$5,'IN-NX'!$D$7=D1477),"x","")</f>
        <v/>
      </c>
      <c r="AB1477" s="84" t="str">
        <f>IF(AND(OR(LEFT(TH!N1477,2)="15",LEFT(TH!O1477,2)="15"),LEFT(TH!O1477,3)&lt;&gt;"111",'152-CT'!$J$8=TH!F1477),"x","")</f>
        <v/>
      </c>
      <c r="AC1477" s="84" t="str">
        <f>IF(AND(OR(LEFT(TH!N1477,2)="15",LEFT(TH!O1477,2)="15"),TK!$E$7=TH!F1477),"x","")</f>
        <v/>
      </c>
      <c r="AD1477" s="84" t="str">
        <f>IF(AND(N1477="1521",MONTH(C1477)='BK-NL'!$M$11),"x","")</f>
        <v/>
      </c>
    </row>
    <row r="1478" spans="1:31" ht="15.75" hidden="1" customHeight="1">
      <c r="A1478" s="336" t="str">
        <f>IF(B1478&lt;&gt;"",IF(AND(B1478='IN-TC'!$S$4,OR(TH!N1478="1111",TH!O1478="1111")),TH!D1478,""),"")</f>
        <v/>
      </c>
      <c r="B1478" s="63">
        <f t="shared" si="214"/>
        <v>5</v>
      </c>
      <c r="C1478" s="64">
        <f t="shared" si="213"/>
        <v>42514</v>
      </c>
      <c r="D1478" s="318" t="s">
        <v>705</v>
      </c>
      <c r="E1478" s="64">
        <v>42514</v>
      </c>
      <c r="F1478" s="73" t="s">
        <v>1200</v>
      </c>
      <c r="G1478" s="982" t="s">
        <v>919</v>
      </c>
      <c r="H1478" s="73"/>
      <c r="I1478" s="439"/>
      <c r="J1478" s="439"/>
      <c r="K1478" s="430"/>
      <c r="L1478" s="439"/>
      <c r="M1478" s="65">
        <v>2500</v>
      </c>
      <c r="N1478" s="66" t="s">
        <v>9</v>
      </c>
      <c r="O1478" s="66" t="s">
        <v>26</v>
      </c>
      <c r="P1478" s="84" t="str">
        <f>IF(AND('331-CT'!$E$7=TH!H1478,OR(N1478="331",O1478="331")),"x","")</f>
        <v/>
      </c>
      <c r="Q1478" s="84" t="str">
        <f>IF(AND(B1478='111'!$L$11,OR($N1478=$Q$7,$O1478=$Q$7)),"x","")</f>
        <v/>
      </c>
      <c r="R1478" s="84" t="str">
        <f>IF(AND($N1478=$Q$7,$B1478&lt;'111'!$L$11),"x","")</f>
        <v/>
      </c>
      <c r="S1478" s="84" t="str">
        <f>IF(AND($O1478=$Q$7,$B1478&lt;'111'!$L$11),"x","")</f>
        <v/>
      </c>
      <c r="T1478" s="84" t="str">
        <f>IF(ISERROR(FIND('112'!$M$9,G1478,1)),"",IF((AND(FIND('112'!$M$9,G1478,1)&gt;=1,B1478='112'!$K$9,OR($N1478='112'!$I$6,$O1478='112'!$I$6))),"x",""))</f>
        <v/>
      </c>
      <c r="U1478" s="84" t="str">
        <f>IF(ISERROR(FIND('112'!$M$9,G1478,1)),"",IF((AND(LEFT(G1478,2)=LEFT('112'!$M$9,2),B1478&lt;'112'!$K$9,$N1478='112'!$I$6)),"x",""))</f>
        <v/>
      </c>
      <c r="V1478" s="84" t="str">
        <f>IF(ISERROR(FIND('112'!$M$9,G1478,1)),"",IF((AND(RIGHT(G1478,2)=RIGHT('112'!$M$9,2),B1478&lt;'112'!$K$9,$O1478='112'!$I$6)),"x",""))</f>
        <v>x</v>
      </c>
      <c r="W1478" s="84" t="str">
        <f>IF(AND('341-CT'!$H$9=H1478,OR(LEFT(N1478,3)=$W$7,LEFT(O1478,3)=$W$7)),"x","")</f>
        <v/>
      </c>
      <c r="X1478" s="84" t="str">
        <f>IF(OR(TH!N1478=TH!$X$7,O1478=TH!$X$7),"x","")</f>
        <v/>
      </c>
      <c r="Y1478" s="84" t="str">
        <f>IF(AND(OR(N1478="131",O1478="131"),H1478='131-CT'!$H$9),"x","")</f>
        <v/>
      </c>
      <c r="Z1478" s="84"/>
      <c r="AA1478" s="84" t="str">
        <f>IF(AND(MONTH(E1478)='IN-NX'!$J$5,'IN-NX'!$D$7=D1478),"x","")</f>
        <v/>
      </c>
      <c r="AB1478" s="84" t="str">
        <f>IF(AND(OR(LEFT(TH!N1478,2)="15",LEFT(TH!O1478,2)="15"),LEFT(TH!O1478,3)&lt;&gt;"111",'152-CT'!$J$8=TH!F1478),"x","")</f>
        <v/>
      </c>
      <c r="AC1478" s="84" t="str">
        <f>IF(AND(OR(LEFT(TH!N1478,2)="15",LEFT(TH!O1478,2)="15"),TK!$E$7=TH!F1478),"x","")</f>
        <v/>
      </c>
      <c r="AD1478" s="84" t="str">
        <f>IF(AND(N1478="1521",MONTH(C1478)='BK-NL'!$M$11),"x","")</f>
        <v/>
      </c>
    </row>
    <row r="1479" spans="1:31" ht="15.75" hidden="1" customHeight="1">
      <c r="A1479" s="336" t="str">
        <f>IF(B1479&lt;&gt;"",IF(AND(B1479='IN-TC'!$S$4,OR(TH!N1479="1111",TH!O1479="1111")),TH!D1479,""),"")</f>
        <v/>
      </c>
      <c r="B1479" s="63">
        <f t="shared" si="214"/>
        <v>5</v>
      </c>
      <c r="C1479" s="64">
        <f t="shared" si="213"/>
        <v>42515</v>
      </c>
      <c r="D1479" s="318" t="s">
        <v>705</v>
      </c>
      <c r="E1479" s="64">
        <v>42515</v>
      </c>
      <c r="F1479" s="73" t="s">
        <v>1450</v>
      </c>
      <c r="G1479" s="982" t="s">
        <v>919</v>
      </c>
      <c r="H1479" s="73" t="s">
        <v>1218</v>
      </c>
      <c r="I1479" s="439"/>
      <c r="J1479" s="439"/>
      <c r="K1479" s="430"/>
      <c r="L1479" s="439"/>
      <c r="M1479" s="65">
        <v>85000000</v>
      </c>
      <c r="N1479" s="66" t="s">
        <v>72</v>
      </c>
      <c r="O1479" s="66" t="s">
        <v>26</v>
      </c>
      <c r="P1479" s="84" t="str">
        <f>IF(AND('331-CT'!$E$7=TH!H1479,OR(N1479="331",O1479="331")),"x","")</f>
        <v/>
      </c>
      <c r="Q1479" s="84" t="str">
        <f>IF(AND(B1479='111'!$L$11,OR($N1479=$Q$7,$O1479=$Q$7)),"x","")</f>
        <v/>
      </c>
      <c r="R1479" s="84" t="str">
        <f>IF(AND($N1479=$Q$7,$B1479&lt;'111'!$L$11),"x","")</f>
        <v/>
      </c>
      <c r="S1479" s="84" t="str">
        <f>IF(AND($O1479=$Q$7,$B1479&lt;'111'!$L$11),"x","")</f>
        <v/>
      </c>
      <c r="T1479" s="84" t="str">
        <f>IF(ISERROR(FIND('112'!$M$9,G1479,1)),"",IF((AND(FIND('112'!$M$9,G1479,1)&gt;=1,B1479='112'!$K$9,OR($N1479='112'!$I$6,$O1479='112'!$I$6))),"x",""))</f>
        <v/>
      </c>
      <c r="U1479" s="84" t="str">
        <f>IF(ISERROR(FIND('112'!$M$9,G1479,1)),"",IF((AND(LEFT(G1479,2)=LEFT('112'!$M$9,2),B1479&lt;'112'!$K$9,$N1479='112'!$I$6)),"x",""))</f>
        <v/>
      </c>
      <c r="V1479" s="84" t="str">
        <f>IF(ISERROR(FIND('112'!$M$9,G1479,1)),"",IF((AND(RIGHT(G1479,2)=RIGHT('112'!$M$9,2),B1479&lt;'112'!$K$9,$O1479='112'!$I$6)),"x",""))</f>
        <v>x</v>
      </c>
      <c r="W1479" s="84" t="str">
        <f>IF(AND('341-CT'!$H$9=H1479,OR(LEFT(N1479,3)=$W$7,LEFT(O1479,3)=$W$7)),"x","")</f>
        <v/>
      </c>
      <c r="X1479" s="84" t="str">
        <f>IF(OR(TH!N1479=TH!$X$7,O1479=TH!$X$7),"x","")</f>
        <v>x</v>
      </c>
      <c r="Y1479" s="84" t="str">
        <f>IF(AND(OR(N1479="131",O1479="131"),H1479='131-CT'!$H$9),"x","")</f>
        <v/>
      </c>
      <c r="Z1479" s="84"/>
      <c r="AA1479" s="84" t="str">
        <f>IF(AND(MONTH(E1479)='IN-NX'!$J$5,'IN-NX'!$D$7=D1479),"x","")</f>
        <v/>
      </c>
      <c r="AB1479" s="84" t="str">
        <f>IF(AND(OR(LEFT(TH!N1479,2)="15",LEFT(TH!O1479,2)="15"),LEFT(TH!O1479,3)&lt;&gt;"111",'152-CT'!$J$8=TH!F1479),"x","")</f>
        <v/>
      </c>
      <c r="AC1479" s="84" t="str">
        <f>IF(AND(OR(LEFT(TH!N1479,2)="15",LEFT(TH!O1479,2)="15"),TK!$E$7=TH!F1479),"x","")</f>
        <v/>
      </c>
      <c r="AD1479" s="84" t="str">
        <f>IF(AND(N1479="1521",MONTH(C1479)='BK-NL'!$M$11),"x","")</f>
        <v/>
      </c>
    </row>
    <row r="1480" spans="1:31" ht="15.75" hidden="1" customHeight="1">
      <c r="A1480" s="336" t="str">
        <f>IF(B1480&lt;&gt;"",IF(AND(B1480='IN-TC'!$S$4,OR(TH!N1480="1111",TH!O1480="1111")),TH!D1480,""),"")</f>
        <v/>
      </c>
      <c r="B1480" s="63">
        <f t="shared" si="214"/>
        <v>5</v>
      </c>
      <c r="C1480" s="64">
        <f t="shared" si="213"/>
        <v>42517</v>
      </c>
      <c r="D1480" s="318" t="s">
        <v>705</v>
      </c>
      <c r="E1480" s="64">
        <v>42517</v>
      </c>
      <c r="F1480" s="73" t="s">
        <v>1458</v>
      </c>
      <c r="G1480" s="982" t="s">
        <v>919</v>
      </c>
      <c r="H1480" s="1174" t="s">
        <v>1548</v>
      </c>
      <c r="I1480" s="439"/>
      <c r="J1480" s="439"/>
      <c r="K1480" s="430"/>
      <c r="L1480" s="439"/>
      <c r="M1480" s="65">
        <v>837658200</v>
      </c>
      <c r="N1480" s="66" t="s">
        <v>260</v>
      </c>
      <c r="O1480" s="66" t="s">
        <v>26</v>
      </c>
      <c r="P1480" s="84" t="str">
        <f>IF(AND('331-CT'!$E$7=TH!H1480,OR(N1480="331",O1480="331")),"x","")</f>
        <v/>
      </c>
      <c r="Q1480" s="84" t="str">
        <f>IF(AND(B1480='111'!$L$11,OR($N1480=$Q$7,$O1480=$Q$7)),"x","")</f>
        <v/>
      </c>
      <c r="R1480" s="84" t="str">
        <f>IF(AND($N1480=$Q$7,$B1480&lt;'111'!$L$11),"x","")</f>
        <v/>
      </c>
      <c r="S1480" s="84" t="str">
        <f>IF(AND($O1480=$Q$7,$B1480&lt;'111'!$L$11),"x","")</f>
        <v/>
      </c>
      <c r="T1480" s="84" t="str">
        <f>IF(ISERROR(FIND('112'!$M$9,G1480,1)),"",IF((AND(FIND('112'!$M$9,G1480,1)&gt;=1,B1480='112'!$K$9,OR($N1480='112'!$I$6,$O1480='112'!$I$6))),"x",""))</f>
        <v/>
      </c>
      <c r="U1480" s="84" t="str">
        <f>IF(ISERROR(FIND('112'!$M$9,G1480,1)),"",IF((AND(LEFT(G1480,2)=LEFT('112'!$M$9,2),B1480&lt;'112'!$K$9,$N1480='112'!$I$6)),"x",""))</f>
        <v/>
      </c>
      <c r="V1480" s="84" t="str">
        <f>IF(ISERROR(FIND('112'!$M$9,G1480,1)),"",IF((AND(RIGHT(G1480,2)=RIGHT('112'!$M$9,2),B1480&lt;'112'!$K$9,$O1480='112'!$I$6)),"x",""))</f>
        <v>x</v>
      </c>
      <c r="W1480" s="84" t="str">
        <f>IF(AND('341-CT'!$H$9=H1480,OR(LEFT(N1480,3)=$W$7,LEFT(O1480,3)=$W$7)),"x","")</f>
        <v/>
      </c>
      <c r="X1480" s="84" t="str">
        <f>IF(OR(TH!N1480=TH!$X$7,O1480=TH!$X$7),"x","")</f>
        <v/>
      </c>
      <c r="Y1480" s="84" t="str">
        <f>IF(AND(OR(N1480="131",O1480="131"),H1480='131-CT'!$H$9),"x","")</f>
        <v/>
      </c>
      <c r="Z1480" s="84"/>
      <c r="AA1480" s="84" t="str">
        <f>IF(AND(MONTH(E1480)='IN-NX'!$J$5,'IN-NX'!$D$7=D1480),"x","")</f>
        <v/>
      </c>
      <c r="AB1480" s="84" t="str">
        <f>IF(AND(OR(LEFT(TH!N1480,2)="15",LEFT(TH!O1480,2)="15"),LEFT(TH!O1480,3)&lt;&gt;"111",'152-CT'!$J$8=TH!F1480),"x","")</f>
        <v/>
      </c>
      <c r="AC1480" s="84" t="str">
        <f>IF(AND(OR(LEFT(TH!N1480,2)="15",LEFT(TH!O1480,2)="15"),TK!$E$7=TH!F1480),"x","")</f>
        <v/>
      </c>
      <c r="AD1480" s="84" t="str">
        <f>IF(AND(N1480="1521",MONTH(C1480)='BK-NL'!$M$11),"x","")</f>
        <v/>
      </c>
    </row>
    <row r="1481" spans="1:31" ht="15.75" hidden="1" customHeight="1">
      <c r="A1481" s="336" t="str">
        <f>IF(B1481&lt;&gt;"",IF(AND(B1481='IN-TC'!$S$4,OR(TH!N1481="1111",TH!O1481="1111")),TH!D1481,""),"")</f>
        <v/>
      </c>
      <c r="B1481" s="63">
        <f t="shared" si="214"/>
        <v>5</v>
      </c>
      <c r="C1481" s="64">
        <f t="shared" si="213"/>
        <v>42518</v>
      </c>
      <c r="D1481" s="318" t="s">
        <v>910</v>
      </c>
      <c r="E1481" s="64">
        <v>42518</v>
      </c>
      <c r="F1481" s="73" t="s">
        <v>1146</v>
      </c>
      <c r="G1481" s="982" t="s">
        <v>919</v>
      </c>
      <c r="H1481" s="73" t="s">
        <v>763</v>
      </c>
      <c r="I1481" s="439"/>
      <c r="J1481" s="439"/>
      <c r="K1481" s="430"/>
      <c r="L1481" s="439"/>
      <c r="M1481" s="65">
        <v>80000000</v>
      </c>
      <c r="N1481" s="66" t="s">
        <v>63</v>
      </c>
      <c r="O1481" s="66" t="s">
        <v>26</v>
      </c>
      <c r="P1481" s="84" t="str">
        <f>IF(AND('331-CT'!$E$7=TH!H1481,OR(N1481="331",O1481="331")),"x","")</f>
        <v/>
      </c>
      <c r="Q1481" s="84" t="str">
        <f>IF(AND(B1481='111'!$L$11,OR($N1481=$Q$7,$O1481=$Q$7)),"x","")</f>
        <v/>
      </c>
      <c r="R1481" s="84" t="str">
        <f>IF(AND($N1481=$Q$7,$B1481&lt;'111'!$L$11),"x","")</f>
        <v/>
      </c>
      <c r="S1481" s="84" t="str">
        <f>IF(AND($O1481=$Q$7,$B1481&lt;'111'!$L$11),"x","")</f>
        <v/>
      </c>
      <c r="T1481" s="84" t="str">
        <f>IF(ISERROR(FIND('112'!$M$9,G1481,1)),"",IF((AND(FIND('112'!$M$9,G1481,1)&gt;=1,B1481='112'!$K$9,OR($N1481='112'!$I$6,$O1481='112'!$I$6))),"x",""))</f>
        <v/>
      </c>
      <c r="U1481" s="84" t="str">
        <f>IF(ISERROR(FIND('112'!$M$9,G1481,1)),"",IF((AND(LEFT(G1481,2)=LEFT('112'!$M$9,2),B1481&lt;'112'!$K$9,$N1481='112'!$I$6)),"x",""))</f>
        <v/>
      </c>
      <c r="V1481" s="84" t="str">
        <f>IF(ISERROR(FIND('112'!$M$9,G1481,1)),"",IF((AND(RIGHT(G1481,2)=RIGHT('112'!$M$9,2),B1481&lt;'112'!$K$9,$O1481='112'!$I$6)),"x",""))</f>
        <v>x</v>
      </c>
      <c r="W1481" s="84" t="str">
        <f>IF(AND('341-CT'!$H$9=H1481,OR(LEFT(N1481,3)=$W$7,LEFT(O1481,3)=$W$7)),"x","")</f>
        <v/>
      </c>
      <c r="X1481" s="84" t="str">
        <f>IF(OR(TH!N1481=TH!$X$7,O1481=TH!$X$7),"x","")</f>
        <v/>
      </c>
      <c r="Y1481" s="84" t="str">
        <f>IF(AND(OR(N1481="131",O1481="131"),H1481='131-CT'!$H$9),"x","")</f>
        <v/>
      </c>
      <c r="Z1481" s="84"/>
      <c r="AA1481" s="84" t="str">
        <f>IF(AND(MONTH(E1481)='IN-NX'!$J$5,'IN-NX'!$D$7=D1481),"x","")</f>
        <v/>
      </c>
      <c r="AB1481" s="84" t="str">
        <f>IF(AND(OR(LEFT(TH!N1481,2)="15",LEFT(TH!O1481,2)="15"),LEFT(TH!O1481,3)&lt;&gt;"111",'152-CT'!$J$8=TH!F1481),"x","")</f>
        <v/>
      </c>
      <c r="AC1481" s="84" t="str">
        <f>IF(AND(OR(LEFT(TH!N1481,2)="15",LEFT(TH!O1481,2)="15"),TK!$E$7=TH!F1481),"x","")</f>
        <v/>
      </c>
      <c r="AD1481" s="84" t="str">
        <f>IF(AND(N1481="1521",MONTH(C1481)='BK-NL'!$M$11),"x","")</f>
        <v/>
      </c>
    </row>
    <row r="1482" spans="1:31" ht="15.75" hidden="1" customHeight="1">
      <c r="A1482" s="336" t="str">
        <f>IF(B1482&lt;&gt;"",IF(AND(B1482='IN-TC'!$S$4,OR(TH!N1482="1111",TH!O1482="1111")),TH!D1482,""),"")</f>
        <v/>
      </c>
      <c r="B1482" s="63">
        <f t="shared" si="214"/>
        <v>5</v>
      </c>
      <c r="C1482" s="64">
        <f t="shared" ref="C1482:C1492" si="215">E1482</f>
        <v>42518</v>
      </c>
      <c r="D1482" s="318" t="s">
        <v>705</v>
      </c>
      <c r="E1482" s="64">
        <v>42518</v>
      </c>
      <c r="F1482" s="73" t="s">
        <v>1066</v>
      </c>
      <c r="G1482" s="982" t="s">
        <v>919</v>
      </c>
      <c r="H1482" s="1174" t="s">
        <v>1548</v>
      </c>
      <c r="I1482" s="439"/>
      <c r="J1482" s="439"/>
      <c r="K1482" s="430"/>
      <c r="L1482" s="439"/>
      <c r="M1482" s="65">
        <v>1146783</v>
      </c>
      <c r="N1482" s="66" t="s">
        <v>99</v>
      </c>
      <c r="O1482" s="66" t="s">
        <v>26</v>
      </c>
      <c r="P1482" s="84" t="str">
        <f>IF(AND('331-CT'!$E$7=TH!H1482,OR(N1482="331",O1482="331")),"x","")</f>
        <v/>
      </c>
      <c r="Q1482" s="84" t="str">
        <f>IF(AND(B1482='111'!$L$11,OR($N1482=$Q$7,$O1482=$Q$7)),"x","")</f>
        <v/>
      </c>
      <c r="R1482" s="84" t="str">
        <f>IF(AND($N1482=$Q$7,$B1482&lt;'111'!$L$11),"x","")</f>
        <v/>
      </c>
      <c r="S1482" s="84" t="str">
        <f>IF(AND($O1482=$Q$7,$B1482&lt;'111'!$L$11),"x","")</f>
        <v/>
      </c>
      <c r="T1482" s="84" t="str">
        <f>IF(ISERROR(FIND('112'!$M$9,G1482,1)),"",IF((AND(FIND('112'!$M$9,G1482,1)&gt;=1,B1482='112'!$K$9,OR($N1482='112'!$I$6,$O1482='112'!$I$6))),"x",""))</f>
        <v/>
      </c>
      <c r="U1482" s="84" t="str">
        <f>IF(ISERROR(FIND('112'!$M$9,G1482,1)),"",IF((AND(LEFT(G1482,2)=LEFT('112'!$M$9,2),B1482&lt;'112'!$K$9,$N1482='112'!$I$6)),"x",""))</f>
        <v/>
      </c>
      <c r="V1482" s="84" t="str">
        <f>IF(ISERROR(FIND('112'!$M$9,G1482,1)),"",IF((AND(RIGHT(G1482,2)=RIGHT('112'!$M$9,2),B1482&lt;'112'!$K$9,$O1482='112'!$I$6)),"x",""))</f>
        <v>x</v>
      </c>
      <c r="W1482" s="84" t="str">
        <f>IF(AND('341-CT'!$H$9=H1482,OR(LEFT(N1482,3)=$W$7,LEFT(O1482,3)=$W$7)),"x","")</f>
        <v/>
      </c>
      <c r="X1482" s="84" t="str">
        <f>IF(OR(TH!N1482=TH!$X$7,O1482=TH!$X$7),"x","")</f>
        <v/>
      </c>
      <c r="Y1482" s="84" t="str">
        <f>IF(AND(OR(N1482="131",O1482="131"),H1482='131-CT'!$H$9),"x","")</f>
        <v/>
      </c>
      <c r="Z1482" s="84"/>
      <c r="AA1482" s="84" t="str">
        <f>IF(AND(MONTH(E1482)='IN-NX'!$J$5,'IN-NX'!$D$7=D1482),"x","")</f>
        <v/>
      </c>
      <c r="AB1482" s="84" t="str">
        <f>IF(AND(OR(LEFT(TH!N1482,2)="15",LEFT(TH!O1482,2)="15"),LEFT(TH!O1482,3)&lt;&gt;"111",'152-CT'!$J$8=TH!F1482),"x","")</f>
        <v/>
      </c>
      <c r="AC1482" s="84" t="str">
        <f>IF(AND(OR(LEFT(TH!N1482,2)="15",LEFT(TH!O1482,2)="15"),TK!$E$7=TH!F1482),"x","")</f>
        <v/>
      </c>
      <c r="AD1482" s="84" t="str">
        <f>IF(AND(N1482="1521",MONTH(C1482)='BK-NL'!$M$11),"x","")</f>
        <v/>
      </c>
    </row>
    <row r="1483" spans="1:31" ht="15.75" hidden="1" customHeight="1">
      <c r="A1483" s="336" t="str">
        <f>IF(B1483&lt;&gt;"",IF(AND(B1483='IN-TC'!$S$4,OR(TH!N1483="1111",TH!O1483="1111")),TH!D1483,""),"")</f>
        <v/>
      </c>
      <c r="B1483" s="63">
        <f t="shared" si="214"/>
        <v>5</v>
      </c>
      <c r="C1483" s="64">
        <f t="shared" si="215"/>
        <v>42506</v>
      </c>
      <c r="D1483" s="318" t="s">
        <v>705</v>
      </c>
      <c r="E1483" s="64">
        <v>42506</v>
      </c>
      <c r="F1483" s="73" t="s">
        <v>1221</v>
      </c>
      <c r="G1483" s="982" t="s">
        <v>918</v>
      </c>
      <c r="H1483" s="73"/>
      <c r="I1483" s="439"/>
      <c r="J1483" s="439"/>
      <c r="K1483" s="430"/>
      <c r="L1483" s="439"/>
      <c r="M1483" s="65">
        <v>50000</v>
      </c>
      <c r="N1483" s="66" t="s">
        <v>101</v>
      </c>
      <c r="O1483" s="66" t="s">
        <v>26</v>
      </c>
      <c r="P1483" s="84" t="str">
        <f>IF(AND('331-CT'!$E$7=TH!H1483,OR(N1483="331",O1483="331")),"x","")</f>
        <v/>
      </c>
      <c r="Q1483" s="84" t="str">
        <f>IF(AND(B1483='111'!$L$11,OR($N1483=$Q$7,$O1483=$Q$7)),"x","")</f>
        <v/>
      </c>
      <c r="R1483" s="84" t="str">
        <f>IF(AND($N1483=$Q$7,$B1483&lt;'111'!$L$11),"x","")</f>
        <v/>
      </c>
      <c r="S1483" s="84" t="str">
        <f>IF(AND($O1483=$Q$7,$B1483&lt;'111'!$L$11),"x","")</f>
        <v/>
      </c>
      <c r="T1483" s="84" t="str">
        <f>IF(ISERROR(FIND('112'!$M$9,G1483,1)),"",IF((AND(FIND('112'!$M$9,G1483,1)&gt;=1,B1483='112'!$K$9,OR($N1483='112'!$I$6,$O1483='112'!$I$6))),"x",""))</f>
        <v/>
      </c>
      <c r="U1483" s="84" t="str">
        <f>IF(ISERROR(FIND('112'!$M$9,G1483,1)),"",IF((AND(LEFT(G1483,2)=LEFT('112'!$M$9,2),B1483&lt;'112'!$K$9,$N1483='112'!$I$6)),"x",""))</f>
        <v/>
      </c>
      <c r="V1483" s="84" t="str">
        <f>IF(ISERROR(FIND('112'!$M$9,G1483,1)),"",IF((AND(RIGHT(G1483,2)=RIGHT('112'!$M$9,2),B1483&lt;'112'!$K$9,$O1483='112'!$I$6)),"x",""))</f>
        <v/>
      </c>
      <c r="W1483" s="84" t="str">
        <f>IF(AND('341-CT'!$H$9=H1483,OR(LEFT(N1483,3)=$W$7,LEFT(O1483,3)=$W$7)),"x","")</f>
        <v/>
      </c>
      <c r="X1483" s="84" t="str">
        <f>IF(OR(TH!N1483=TH!$X$7,O1483=TH!$X$7),"x","")</f>
        <v/>
      </c>
      <c r="Y1483" s="84" t="str">
        <f>IF(AND(OR(N1483="131",O1483="131"),H1483='131-CT'!$H$9),"x","")</f>
        <v/>
      </c>
      <c r="Z1483" s="84"/>
      <c r="AA1483" s="84" t="str">
        <f>IF(AND(MONTH(E1483)='IN-NX'!$J$5,'IN-NX'!$D$7=D1483),"x","")</f>
        <v/>
      </c>
      <c r="AB1483" s="84" t="str">
        <f>IF(AND(OR(LEFT(TH!N1483,2)="15",LEFT(TH!O1483,2)="15"),LEFT(TH!O1483,3)&lt;&gt;"111",'152-CT'!$J$8=TH!F1483),"x","")</f>
        <v/>
      </c>
      <c r="AC1483" s="84" t="str">
        <f>IF(AND(OR(LEFT(TH!N1483,2)="15",LEFT(TH!O1483,2)="15"),TK!$E$7=TH!F1483),"x","")</f>
        <v/>
      </c>
      <c r="AD1483" s="84" t="str">
        <f>IF(AND(N1483="1521",MONTH(C1483)='BK-NL'!$M$11),"x","")</f>
        <v/>
      </c>
    </row>
    <row r="1484" spans="1:31" ht="15.75" hidden="1" customHeight="1">
      <c r="A1484" s="336" t="str">
        <f>IF(B1484&lt;&gt;"",IF(AND(B1484='IN-TC'!$S$4,OR(TH!N1484="1111",TH!O1484="1111")),TH!D1484,""),"")</f>
        <v/>
      </c>
      <c r="B1484" s="63">
        <f t="shared" si="214"/>
        <v>5</v>
      </c>
      <c r="C1484" s="64">
        <f t="shared" si="215"/>
        <v>42506</v>
      </c>
      <c r="D1484" s="318" t="s">
        <v>705</v>
      </c>
      <c r="E1484" s="64">
        <v>42506</v>
      </c>
      <c r="F1484" s="73" t="s">
        <v>1204</v>
      </c>
      <c r="G1484" s="982" t="s">
        <v>918</v>
      </c>
      <c r="H1484" s="73"/>
      <c r="I1484" s="439"/>
      <c r="J1484" s="439"/>
      <c r="K1484" s="430"/>
      <c r="L1484" s="439"/>
      <c r="M1484" s="65">
        <v>5000</v>
      </c>
      <c r="N1484" s="66" t="s">
        <v>9</v>
      </c>
      <c r="O1484" s="66" t="s">
        <v>26</v>
      </c>
      <c r="P1484" s="84" t="str">
        <f>IF(AND('331-CT'!$E$7=TH!H1484,OR(N1484="331",O1484="331")),"x","")</f>
        <v/>
      </c>
      <c r="Q1484" s="84" t="str">
        <f>IF(AND(B1484='111'!$L$11,OR($N1484=$Q$7,$O1484=$Q$7)),"x","")</f>
        <v/>
      </c>
      <c r="R1484" s="84" t="str">
        <f>IF(AND($N1484=$Q$7,$B1484&lt;'111'!$L$11),"x","")</f>
        <v/>
      </c>
      <c r="S1484" s="84" t="str">
        <f>IF(AND($O1484=$Q$7,$B1484&lt;'111'!$L$11),"x","")</f>
        <v/>
      </c>
      <c r="T1484" s="84" t="str">
        <f>IF(ISERROR(FIND('112'!$M$9,G1484,1)),"",IF((AND(FIND('112'!$M$9,G1484,1)&gt;=1,B1484='112'!$K$9,OR($N1484='112'!$I$6,$O1484='112'!$I$6))),"x",""))</f>
        <v/>
      </c>
      <c r="U1484" s="84" t="str">
        <f>IF(ISERROR(FIND('112'!$M$9,G1484,1)),"",IF((AND(LEFT(G1484,2)=LEFT('112'!$M$9,2),B1484&lt;'112'!$K$9,$N1484='112'!$I$6)),"x",""))</f>
        <v/>
      </c>
      <c r="V1484" s="84" t="str">
        <f>IF(ISERROR(FIND('112'!$M$9,G1484,1)),"",IF((AND(RIGHT(G1484,2)=RIGHT('112'!$M$9,2),B1484&lt;'112'!$K$9,$O1484='112'!$I$6)),"x",""))</f>
        <v/>
      </c>
      <c r="W1484" s="84" t="str">
        <f>IF(AND('341-CT'!$H$9=H1484,OR(LEFT(N1484,3)=$W$7,LEFT(O1484,3)=$W$7)),"x","")</f>
        <v/>
      </c>
      <c r="X1484" s="84" t="str">
        <f>IF(OR(TH!N1484=TH!$X$7,O1484=TH!$X$7),"x","")</f>
        <v/>
      </c>
      <c r="Y1484" s="84" t="str">
        <f>IF(AND(OR(N1484="131",O1484="131"),H1484='131-CT'!$H$9),"x","")</f>
        <v/>
      </c>
      <c r="Z1484" s="84"/>
      <c r="AA1484" s="84" t="str">
        <f>IF(AND(MONTH(E1484)='IN-NX'!$J$5,'IN-NX'!$D$7=D1484),"x","")</f>
        <v/>
      </c>
      <c r="AB1484" s="84" t="str">
        <f>IF(AND(OR(LEFT(TH!N1484,2)="15",LEFT(TH!O1484,2)="15"),LEFT(TH!O1484,3)&lt;&gt;"111",'152-CT'!$J$8=TH!F1484),"x","")</f>
        <v/>
      </c>
      <c r="AC1484" s="84" t="str">
        <f>IF(AND(OR(LEFT(TH!N1484,2)="15",LEFT(TH!O1484,2)="15"),TK!$E$7=TH!F1484),"x","")</f>
        <v/>
      </c>
      <c r="AD1484" s="84" t="str">
        <f>IF(AND(N1484="1521",MONTH(C1484)='BK-NL'!$M$11),"x","")</f>
        <v/>
      </c>
    </row>
    <row r="1485" spans="1:31" ht="15.75" hidden="1" customHeight="1">
      <c r="A1485" s="336" t="str">
        <f>IF(B1485&lt;&gt;"",IF(AND(B1485='IN-TC'!$S$4,OR(TH!N1485="1111",TH!O1485="1111")),TH!D1485,""),"")</f>
        <v/>
      </c>
      <c r="B1485" s="63">
        <f t="shared" si="214"/>
        <v>5</v>
      </c>
      <c r="C1485" s="64">
        <f t="shared" si="215"/>
        <v>42506</v>
      </c>
      <c r="D1485" s="318" t="s">
        <v>705</v>
      </c>
      <c r="E1485" s="64">
        <v>42506</v>
      </c>
      <c r="F1485" s="73" t="s">
        <v>1222</v>
      </c>
      <c r="G1485" s="982" t="s">
        <v>918</v>
      </c>
      <c r="H1485" s="73"/>
      <c r="I1485" s="439"/>
      <c r="J1485" s="439"/>
      <c r="K1485" s="430"/>
      <c r="L1485" s="439"/>
      <c r="M1485" s="65">
        <v>50000</v>
      </c>
      <c r="N1485" s="66" t="s">
        <v>101</v>
      </c>
      <c r="O1485" s="66" t="s">
        <v>26</v>
      </c>
      <c r="P1485" s="84" t="str">
        <f>IF(AND('331-CT'!$E$7=TH!H1485,OR(N1485="331",O1485="331")),"x","")</f>
        <v/>
      </c>
      <c r="Q1485" s="84" t="str">
        <f>IF(AND(B1485='111'!$L$11,OR($N1485=$Q$7,$O1485=$Q$7)),"x","")</f>
        <v/>
      </c>
      <c r="R1485" s="84" t="str">
        <f>IF(AND($N1485=$Q$7,$B1485&lt;'111'!$L$11),"x","")</f>
        <v/>
      </c>
      <c r="S1485" s="84" t="str">
        <f>IF(AND($O1485=$Q$7,$B1485&lt;'111'!$L$11),"x","")</f>
        <v/>
      </c>
      <c r="T1485" s="84" t="str">
        <f>IF(ISERROR(FIND('112'!$M$9,G1485,1)),"",IF((AND(FIND('112'!$M$9,G1485,1)&gt;=1,B1485='112'!$K$9,OR($N1485='112'!$I$6,$O1485='112'!$I$6))),"x",""))</f>
        <v/>
      </c>
      <c r="U1485" s="84" t="str">
        <f>IF(ISERROR(FIND('112'!$M$9,G1485,1)),"",IF((AND(LEFT(G1485,2)=LEFT('112'!$M$9,2),B1485&lt;'112'!$K$9,$N1485='112'!$I$6)),"x",""))</f>
        <v/>
      </c>
      <c r="V1485" s="84" t="str">
        <f>IF(ISERROR(FIND('112'!$M$9,G1485,1)),"",IF((AND(RIGHT(G1485,2)=RIGHT('112'!$M$9,2),B1485&lt;'112'!$K$9,$O1485='112'!$I$6)),"x",""))</f>
        <v/>
      </c>
      <c r="W1485" s="84" t="str">
        <f>IF(AND('341-CT'!$H$9=H1485,OR(LEFT(N1485,3)=$W$7,LEFT(O1485,3)=$W$7)),"x","")</f>
        <v/>
      </c>
      <c r="X1485" s="84" t="str">
        <f>IF(OR(TH!N1485=TH!$X$7,O1485=TH!$X$7),"x","")</f>
        <v/>
      </c>
      <c r="Y1485" s="84" t="str">
        <f>IF(AND(OR(N1485="131",O1485="131"),H1485='131-CT'!$H$9),"x","")</f>
        <v/>
      </c>
      <c r="Z1485" s="84"/>
      <c r="AA1485" s="84" t="str">
        <f>IF(AND(MONTH(E1485)='IN-NX'!$J$5,'IN-NX'!$D$7=D1485),"x","")</f>
        <v/>
      </c>
      <c r="AB1485" s="84" t="str">
        <f>IF(AND(OR(LEFT(TH!N1485,2)="15",LEFT(TH!O1485,2)="15"),LEFT(TH!O1485,3)&lt;&gt;"111",'152-CT'!$J$8=TH!F1485),"x","")</f>
        <v/>
      </c>
      <c r="AC1485" s="84" t="str">
        <f>IF(AND(OR(LEFT(TH!N1485,2)="15",LEFT(TH!O1485,2)="15"),TK!$E$7=TH!F1485),"x","")</f>
        <v/>
      </c>
      <c r="AD1485" s="84" t="str">
        <f>IF(AND(N1485="1521",MONTH(C1485)='BK-NL'!$M$11),"x","")</f>
        <v/>
      </c>
    </row>
    <row r="1486" spans="1:31" ht="15.75" hidden="1" customHeight="1">
      <c r="A1486" s="336" t="str">
        <f>IF(B1486&lt;&gt;"",IF(AND(B1486='IN-TC'!$S$4,OR(TH!N1486="1111",TH!O1486="1111")),TH!D1486,""),"")</f>
        <v/>
      </c>
      <c r="B1486" s="63">
        <f t="shared" si="214"/>
        <v>5</v>
      </c>
      <c r="C1486" s="64">
        <f t="shared" si="215"/>
        <v>42506</v>
      </c>
      <c r="D1486" s="318" t="s">
        <v>705</v>
      </c>
      <c r="E1486" s="64">
        <v>42506</v>
      </c>
      <c r="F1486" s="73" t="s">
        <v>1204</v>
      </c>
      <c r="G1486" s="982" t="s">
        <v>918</v>
      </c>
      <c r="H1486" s="73"/>
      <c r="I1486" s="439"/>
      <c r="J1486" s="439"/>
      <c r="K1486" s="430"/>
      <c r="L1486" s="439"/>
      <c r="M1486" s="65">
        <v>5000</v>
      </c>
      <c r="N1486" s="66" t="s">
        <v>9</v>
      </c>
      <c r="O1486" s="66" t="s">
        <v>26</v>
      </c>
      <c r="P1486" s="84" t="str">
        <f>IF(AND('331-CT'!$E$7=TH!H1486,OR(N1486="331",O1486="331")),"x","")</f>
        <v/>
      </c>
      <c r="Q1486" s="84" t="str">
        <f>IF(AND(B1486='111'!$L$11,OR($N1486=$Q$7,$O1486=$Q$7)),"x","")</f>
        <v/>
      </c>
      <c r="R1486" s="84" t="str">
        <f>IF(AND($N1486=$Q$7,$B1486&lt;'111'!$L$11),"x","")</f>
        <v/>
      </c>
      <c r="S1486" s="84" t="str">
        <f>IF(AND($O1486=$Q$7,$B1486&lt;'111'!$L$11),"x","")</f>
        <v/>
      </c>
      <c r="T1486" s="84" t="str">
        <f>IF(ISERROR(FIND('112'!$M$9,G1486,1)),"",IF((AND(FIND('112'!$M$9,G1486,1)&gt;=1,B1486='112'!$K$9,OR($N1486='112'!$I$6,$O1486='112'!$I$6))),"x",""))</f>
        <v/>
      </c>
      <c r="U1486" s="84" t="str">
        <f>IF(ISERROR(FIND('112'!$M$9,G1486,1)),"",IF((AND(LEFT(G1486,2)=LEFT('112'!$M$9,2),B1486&lt;'112'!$K$9,$N1486='112'!$I$6)),"x",""))</f>
        <v/>
      </c>
      <c r="V1486" s="84" t="str">
        <f>IF(ISERROR(FIND('112'!$M$9,G1486,1)),"",IF((AND(RIGHT(G1486,2)=RIGHT('112'!$M$9,2),B1486&lt;'112'!$K$9,$O1486='112'!$I$6)),"x",""))</f>
        <v/>
      </c>
      <c r="W1486" s="84" t="str">
        <f>IF(AND('341-CT'!$H$9=H1486,OR(LEFT(N1486,3)=$W$7,LEFT(O1486,3)=$W$7)),"x","")</f>
        <v/>
      </c>
      <c r="X1486" s="84" t="str">
        <f>IF(OR(TH!N1486=TH!$X$7,O1486=TH!$X$7),"x","")</f>
        <v/>
      </c>
      <c r="Y1486" s="84" t="str">
        <f>IF(AND(OR(N1486="131",O1486="131"),H1486='131-CT'!$H$9),"x","")</f>
        <v/>
      </c>
      <c r="Z1486" s="84"/>
      <c r="AA1486" s="84" t="str">
        <f>IF(AND(MONTH(E1486)='IN-NX'!$J$5,'IN-NX'!$D$7=D1486),"x","")</f>
        <v/>
      </c>
      <c r="AB1486" s="84" t="str">
        <f>IF(AND(OR(LEFT(TH!N1486,2)="15",LEFT(TH!O1486,2)="15"),LEFT(TH!O1486,3)&lt;&gt;"111",'152-CT'!$J$8=TH!F1486),"x","")</f>
        <v/>
      </c>
      <c r="AC1486" s="84" t="str">
        <f>IF(AND(OR(LEFT(TH!N1486,2)="15",LEFT(TH!O1486,2)="15"),TK!$E$7=TH!F1486),"x","")</f>
        <v/>
      </c>
      <c r="AD1486" s="84" t="str">
        <f>IF(AND(N1486="1521",MONTH(C1486)='BK-NL'!$M$11),"x","")</f>
        <v/>
      </c>
    </row>
    <row r="1487" spans="1:31" ht="15.75" hidden="1" customHeight="1">
      <c r="A1487" s="336" t="str">
        <f>IF(B1487&lt;&gt;"",IF(AND(B1487='IN-TC'!$S$4,OR(TH!N1487="1111",TH!O1487="1111")),TH!D1487,""),"")</f>
        <v/>
      </c>
      <c r="B1487" s="63">
        <f t="shared" si="214"/>
        <v>5</v>
      </c>
      <c r="C1487" s="64">
        <f t="shared" si="215"/>
        <v>42509</v>
      </c>
      <c r="D1487" s="318" t="s">
        <v>705</v>
      </c>
      <c r="E1487" s="64">
        <v>42509</v>
      </c>
      <c r="F1487" s="345" t="s">
        <v>757</v>
      </c>
      <c r="G1487" s="982" t="s">
        <v>918</v>
      </c>
      <c r="H1487" s="344" t="s">
        <v>729</v>
      </c>
      <c r="I1487" s="439"/>
      <c r="J1487" s="439"/>
      <c r="K1487" s="430"/>
      <c r="L1487" s="439"/>
      <c r="M1487" s="65">
        <v>5278457</v>
      </c>
      <c r="N1487" s="66" t="s">
        <v>99</v>
      </c>
      <c r="O1487" s="66" t="s">
        <v>26</v>
      </c>
      <c r="P1487" s="84" t="str">
        <f>IF(AND('331-CT'!$E$7=TH!H1487,OR(N1487="331",O1487="331")),"x","")</f>
        <v/>
      </c>
      <c r="Q1487" s="84" t="str">
        <f>IF(AND(B1487='111'!$L$11,OR($N1487=$Q$7,$O1487=$Q$7)),"x","")</f>
        <v/>
      </c>
      <c r="R1487" s="84" t="str">
        <f>IF(AND($N1487=$Q$7,$B1487&lt;'111'!$L$11),"x","")</f>
        <v/>
      </c>
      <c r="S1487" s="84" t="str">
        <f>IF(AND($O1487=$Q$7,$B1487&lt;'111'!$L$11),"x","")</f>
        <v/>
      </c>
      <c r="T1487" s="84" t="str">
        <f>IF(ISERROR(FIND('112'!$M$9,G1487,1)),"",IF((AND(FIND('112'!$M$9,G1487,1)&gt;=1,B1487='112'!$K$9,OR($N1487='112'!$I$6,$O1487='112'!$I$6))),"x",""))</f>
        <v/>
      </c>
      <c r="U1487" s="84" t="str">
        <f>IF(ISERROR(FIND('112'!$M$9,G1487,1)),"",IF((AND(LEFT(G1487,2)=LEFT('112'!$M$9,2),B1487&lt;'112'!$K$9,$N1487='112'!$I$6)),"x",""))</f>
        <v/>
      </c>
      <c r="V1487" s="84" t="str">
        <f>IF(ISERROR(FIND('112'!$M$9,G1487,1)),"",IF((AND(RIGHT(G1487,2)=RIGHT('112'!$M$9,2),B1487&lt;'112'!$K$9,$O1487='112'!$I$6)),"x",""))</f>
        <v/>
      </c>
      <c r="W1487" s="84" t="str">
        <f>IF(AND('341-CT'!$H$9=H1487,OR(LEFT(N1487,3)=$W$7,LEFT(O1487,3)=$W$7)),"x","")</f>
        <v/>
      </c>
      <c r="X1487" s="84" t="str">
        <f>IF(OR(TH!N1487=TH!$X$7,O1487=TH!$X$7),"x","")</f>
        <v/>
      </c>
      <c r="Y1487" s="84" t="str">
        <f>IF(AND(OR(N1487="131",O1487="131"),H1487='131-CT'!$H$9),"x","")</f>
        <v/>
      </c>
      <c r="Z1487" s="84"/>
      <c r="AA1487" s="84" t="str">
        <f>IF(AND(MONTH(E1487)='IN-NX'!$J$5,'IN-NX'!$D$7=D1487),"x","")</f>
        <v/>
      </c>
      <c r="AB1487" s="84" t="str">
        <f>IF(AND(OR(LEFT(TH!N1487,2)="15",LEFT(TH!O1487,2)="15"),LEFT(TH!O1487,3)&lt;&gt;"111",'152-CT'!$J$8=TH!F1487),"x","")</f>
        <v/>
      </c>
      <c r="AC1487" s="84" t="str">
        <f>IF(AND(OR(LEFT(TH!N1487,2)="15",LEFT(TH!O1487,2)="15"),TK!$E$7=TH!F1487),"x","")</f>
        <v/>
      </c>
      <c r="AD1487" s="84" t="str">
        <f>IF(AND(N1487="1521",MONTH(C1487)='BK-NL'!$M$11),"x","")</f>
        <v/>
      </c>
    </row>
    <row r="1488" spans="1:31" ht="15.75" hidden="1" customHeight="1">
      <c r="A1488" s="336" t="str">
        <f>IF(B1488&lt;&gt;"",IF(AND(B1488='IN-TC'!$S$4,OR(TH!N1488="1111",TH!O1488="1111")),TH!D1488,""),"")</f>
        <v/>
      </c>
      <c r="B1488" s="63">
        <f t="shared" si="214"/>
        <v>5</v>
      </c>
      <c r="C1488" s="64">
        <f t="shared" si="215"/>
        <v>42509</v>
      </c>
      <c r="D1488" s="318" t="s">
        <v>705</v>
      </c>
      <c r="E1488" s="64">
        <v>42509</v>
      </c>
      <c r="F1488" s="514" t="s">
        <v>758</v>
      </c>
      <c r="G1488" s="982" t="s">
        <v>918</v>
      </c>
      <c r="H1488" s="344" t="s">
        <v>730</v>
      </c>
      <c r="I1488" s="439"/>
      <c r="J1488" s="439"/>
      <c r="K1488" s="430"/>
      <c r="L1488" s="439"/>
      <c r="M1488" s="65">
        <v>4615999</v>
      </c>
      <c r="N1488" s="66" t="s">
        <v>99</v>
      </c>
      <c r="O1488" s="66" t="s">
        <v>26</v>
      </c>
      <c r="P1488" s="84" t="str">
        <f>IF(AND('331-CT'!$E$7=TH!H1488,OR(N1488="331",O1488="331")),"x","")</f>
        <v/>
      </c>
      <c r="Q1488" s="84" t="str">
        <f>IF(AND(B1488='111'!$L$11,OR($N1488=$Q$7,$O1488=$Q$7)),"x","")</f>
        <v/>
      </c>
      <c r="R1488" s="84" t="str">
        <f>IF(AND($N1488=$Q$7,$B1488&lt;'111'!$L$11),"x","")</f>
        <v/>
      </c>
      <c r="S1488" s="84" t="str">
        <f>IF(AND($O1488=$Q$7,$B1488&lt;'111'!$L$11),"x","")</f>
        <v/>
      </c>
      <c r="T1488" s="84" t="str">
        <f>IF(ISERROR(FIND('112'!$M$9,G1488,1)),"",IF((AND(FIND('112'!$M$9,G1488,1)&gt;=1,B1488='112'!$K$9,OR($N1488='112'!$I$6,$O1488='112'!$I$6))),"x",""))</f>
        <v/>
      </c>
      <c r="U1488" s="84" t="str">
        <f>IF(ISERROR(FIND('112'!$M$9,G1488,1)),"",IF((AND(LEFT(G1488,2)=LEFT('112'!$M$9,2),B1488&lt;'112'!$K$9,$N1488='112'!$I$6)),"x",""))</f>
        <v/>
      </c>
      <c r="V1488" s="84" t="str">
        <f>IF(ISERROR(FIND('112'!$M$9,G1488,1)),"",IF((AND(RIGHT(G1488,2)=RIGHT('112'!$M$9,2),B1488&lt;'112'!$K$9,$O1488='112'!$I$6)),"x",""))</f>
        <v/>
      </c>
      <c r="W1488" s="84" t="str">
        <f>IF(AND('341-CT'!$H$9=H1488,OR(LEFT(N1488,3)=$W$7,LEFT(O1488,3)=$W$7)),"x","")</f>
        <v/>
      </c>
      <c r="X1488" s="84" t="str">
        <f>IF(OR(TH!N1488=TH!$X$7,O1488=TH!$X$7),"x","")</f>
        <v/>
      </c>
      <c r="Y1488" s="84" t="str">
        <f>IF(AND(OR(N1488="131",O1488="131"),H1488='131-CT'!$H$9),"x","")</f>
        <v/>
      </c>
      <c r="Z1488" s="84"/>
      <c r="AA1488" s="84" t="str">
        <f>IF(AND(MONTH(E1488)='IN-NX'!$J$5,'IN-NX'!$D$7=D1488),"x","")</f>
        <v/>
      </c>
      <c r="AB1488" s="84" t="str">
        <f>IF(AND(OR(LEFT(TH!N1488,2)="15",LEFT(TH!O1488,2)="15"),LEFT(TH!O1488,3)&lt;&gt;"111",'152-CT'!$J$8=TH!F1488),"x","")</f>
        <v/>
      </c>
      <c r="AC1488" s="84" t="str">
        <f>IF(AND(OR(LEFT(TH!N1488,2)="15",LEFT(TH!O1488,2)="15"),TK!$E$7=TH!F1488),"x","")</f>
        <v/>
      </c>
      <c r="AD1488" s="84" t="str">
        <f>IF(AND(N1488="1521",MONTH(C1488)='BK-NL'!$M$11),"x","")</f>
        <v/>
      </c>
    </row>
    <row r="1489" spans="1:32" ht="15.75" hidden="1" customHeight="1">
      <c r="A1489" s="336" t="str">
        <f>IF(B1489&lt;&gt;"",IF(AND(B1489='IN-TC'!$S$4,OR(TH!N1489="1111",TH!O1489="1111")),TH!D1489,""),"")</f>
        <v/>
      </c>
      <c r="B1489" s="63">
        <f t="shared" si="214"/>
        <v>5</v>
      </c>
      <c r="C1489" s="64">
        <f t="shared" si="215"/>
        <v>42509</v>
      </c>
      <c r="D1489" s="318" t="s">
        <v>705</v>
      </c>
      <c r="E1489" s="64">
        <v>42509</v>
      </c>
      <c r="F1489" s="514" t="s">
        <v>759</v>
      </c>
      <c r="G1489" s="982" t="s">
        <v>918</v>
      </c>
      <c r="H1489" s="344" t="s">
        <v>731</v>
      </c>
      <c r="I1489" s="439"/>
      <c r="J1489" s="439"/>
      <c r="K1489" s="430"/>
      <c r="L1489" s="439"/>
      <c r="M1489" s="65">
        <v>2458964</v>
      </c>
      <c r="N1489" s="66" t="s">
        <v>99</v>
      </c>
      <c r="O1489" s="66" t="s">
        <v>26</v>
      </c>
      <c r="P1489" s="84" t="str">
        <f>IF(AND('331-CT'!$E$7=TH!H1489,OR(N1489="331",O1489="331")),"x","")</f>
        <v/>
      </c>
      <c r="Q1489" s="84" t="str">
        <f>IF(AND(B1489='111'!$L$11,OR($N1489=$Q$7,$O1489=$Q$7)),"x","")</f>
        <v/>
      </c>
      <c r="R1489" s="84" t="str">
        <f>IF(AND($N1489=$Q$7,$B1489&lt;'111'!$L$11),"x","")</f>
        <v/>
      </c>
      <c r="S1489" s="84" t="str">
        <f>IF(AND($O1489=$Q$7,$B1489&lt;'111'!$L$11),"x","")</f>
        <v/>
      </c>
      <c r="T1489" s="84" t="str">
        <f>IF(ISERROR(FIND('112'!$M$9,G1489,1)),"",IF((AND(FIND('112'!$M$9,G1489,1)&gt;=1,B1489='112'!$K$9,OR($N1489='112'!$I$6,$O1489='112'!$I$6))),"x",""))</f>
        <v/>
      </c>
      <c r="U1489" s="84" t="str">
        <f>IF(ISERROR(FIND('112'!$M$9,G1489,1)),"",IF((AND(LEFT(G1489,2)=LEFT('112'!$M$9,2),B1489&lt;'112'!$K$9,$N1489='112'!$I$6)),"x",""))</f>
        <v/>
      </c>
      <c r="V1489" s="84" t="str">
        <f>IF(ISERROR(FIND('112'!$M$9,G1489,1)),"",IF((AND(RIGHT(G1489,2)=RIGHT('112'!$M$9,2),B1489&lt;'112'!$K$9,$O1489='112'!$I$6)),"x",""))</f>
        <v/>
      </c>
      <c r="W1489" s="84" t="str">
        <f>IF(AND('341-CT'!$H$9=H1489,OR(LEFT(N1489,3)=$W$7,LEFT(O1489,3)=$W$7)),"x","")</f>
        <v/>
      </c>
      <c r="X1489" s="84" t="str">
        <f>IF(OR(TH!N1489=TH!$X$7,O1489=TH!$X$7),"x","")</f>
        <v/>
      </c>
      <c r="Y1489" s="84" t="str">
        <f>IF(AND(OR(N1489="131",O1489="131"),H1489='131-CT'!$H$9),"x","")</f>
        <v/>
      </c>
      <c r="Z1489" s="84"/>
      <c r="AA1489" s="84" t="str">
        <f>IF(AND(MONTH(E1489)='IN-NX'!$J$5,'IN-NX'!$D$7=D1489),"x","")</f>
        <v/>
      </c>
      <c r="AB1489" s="84" t="str">
        <f>IF(AND(OR(LEFT(TH!N1489,2)="15",LEFT(TH!O1489,2)="15"),LEFT(TH!O1489,3)&lt;&gt;"111",'152-CT'!$J$8=TH!F1489),"x","")</f>
        <v/>
      </c>
      <c r="AC1489" s="84" t="str">
        <f>IF(AND(OR(LEFT(TH!N1489,2)="15",LEFT(TH!O1489,2)="15"),TK!$E$7=TH!F1489),"x","")</f>
        <v/>
      </c>
      <c r="AD1489" s="84" t="str">
        <f>IF(AND(N1489="1521",MONTH(C1489)='BK-NL'!$M$11),"x","")</f>
        <v/>
      </c>
    </row>
    <row r="1490" spans="1:32" ht="15.75" hidden="1" customHeight="1">
      <c r="A1490" s="336" t="str">
        <f>IF(B1490&lt;&gt;"",IF(AND(B1490='IN-TC'!$S$4,OR(TH!N1490="1111",TH!O1490="1111")),TH!D1490,""),"")</f>
        <v/>
      </c>
      <c r="B1490" s="63">
        <f t="shared" si="214"/>
        <v>5</v>
      </c>
      <c r="C1490" s="64">
        <f t="shared" si="215"/>
        <v>42509</v>
      </c>
      <c r="D1490" s="318" t="s">
        <v>705</v>
      </c>
      <c r="E1490" s="64">
        <v>42509</v>
      </c>
      <c r="F1490" s="514" t="s">
        <v>1063</v>
      </c>
      <c r="G1490" s="982" t="s">
        <v>918</v>
      </c>
      <c r="H1490" s="344" t="s">
        <v>732</v>
      </c>
      <c r="I1490" s="439"/>
      <c r="J1490" s="439"/>
      <c r="K1490" s="430"/>
      <c r="L1490" s="439"/>
      <c r="M1490" s="65">
        <v>3204226</v>
      </c>
      <c r="N1490" s="66" t="s">
        <v>99</v>
      </c>
      <c r="O1490" s="66" t="s">
        <v>26</v>
      </c>
      <c r="P1490" s="84" t="str">
        <f>IF(AND('331-CT'!$E$7=TH!H1490,OR(N1490="331",O1490="331")),"x","")</f>
        <v/>
      </c>
      <c r="Q1490" s="84" t="str">
        <f>IF(AND(B1490='111'!$L$11,OR($N1490=$Q$7,$O1490=$Q$7)),"x","")</f>
        <v/>
      </c>
      <c r="R1490" s="84" t="str">
        <f>IF(AND($N1490=$Q$7,$B1490&lt;'111'!$L$11),"x","")</f>
        <v/>
      </c>
      <c r="S1490" s="84" t="str">
        <f>IF(AND($O1490=$Q$7,$B1490&lt;'111'!$L$11),"x","")</f>
        <v/>
      </c>
      <c r="T1490" s="84" t="str">
        <f>IF(ISERROR(FIND('112'!$M$9,G1490,1)),"",IF((AND(FIND('112'!$M$9,G1490,1)&gt;=1,B1490='112'!$K$9,OR($N1490='112'!$I$6,$O1490='112'!$I$6))),"x",""))</f>
        <v/>
      </c>
      <c r="U1490" s="84" t="str">
        <f>IF(ISERROR(FIND('112'!$M$9,G1490,1)),"",IF((AND(LEFT(G1490,2)=LEFT('112'!$M$9,2),B1490&lt;'112'!$K$9,$N1490='112'!$I$6)),"x",""))</f>
        <v/>
      </c>
      <c r="V1490" s="84" t="str">
        <f>IF(ISERROR(FIND('112'!$M$9,G1490,1)),"",IF((AND(RIGHT(G1490,2)=RIGHT('112'!$M$9,2),B1490&lt;'112'!$K$9,$O1490='112'!$I$6)),"x",""))</f>
        <v/>
      </c>
      <c r="W1490" s="84" t="str">
        <f>IF(AND('341-CT'!$H$9=H1490,OR(LEFT(N1490,3)=$W$7,LEFT(O1490,3)=$W$7)),"x","")</f>
        <v/>
      </c>
      <c r="X1490" s="84" t="str">
        <f>IF(OR(TH!N1490=TH!$X$7,O1490=TH!$X$7),"x","")</f>
        <v/>
      </c>
      <c r="Y1490" s="84" t="str">
        <f>IF(AND(OR(N1490="131",O1490="131"),H1490='131-CT'!$H$9),"x","")</f>
        <v/>
      </c>
      <c r="Z1490" s="84"/>
      <c r="AA1490" s="84" t="str">
        <f>IF(AND(MONTH(E1490)='IN-NX'!$J$5,'IN-NX'!$D$7=D1490),"x","")</f>
        <v/>
      </c>
      <c r="AB1490" s="84" t="str">
        <f>IF(AND(OR(LEFT(TH!N1490,2)="15",LEFT(TH!O1490,2)="15"),LEFT(TH!O1490,3)&lt;&gt;"111",'152-CT'!$J$8=TH!F1490),"x","")</f>
        <v/>
      </c>
      <c r="AC1490" s="84" t="str">
        <f>IF(AND(OR(LEFT(TH!N1490,2)="15",LEFT(TH!O1490,2)="15"),TK!$E$7=TH!F1490),"x","")</f>
        <v/>
      </c>
      <c r="AD1490" s="84" t="str">
        <f>IF(AND(N1490="1521",MONTH(C1490)='BK-NL'!$M$11),"x","")</f>
        <v/>
      </c>
    </row>
    <row r="1491" spans="1:32" ht="15.75" hidden="1" customHeight="1">
      <c r="A1491" s="336" t="str">
        <f>IF(B1491&lt;&gt;"",IF(AND(B1491='IN-TC'!$S$4,OR(TH!N1491="1111",TH!O1491="1111")),TH!D1491,""),"")</f>
        <v/>
      </c>
      <c r="B1491" s="63">
        <f t="shared" si="214"/>
        <v>5</v>
      </c>
      <c r="C1491" s="64">
        <f t="shared" si="215"/>
        <v>42509</v>
      </c>
      <c r="D1491" s="318" t="s">
        <v>705</v>
      </c>
      <c r="E1491" s="64">
        <v>42509</v>
      </c>
      <c r="F1491" s="514" t="s">
        <v>1705</v>
      </c>
      <c r="G1491" s="982" t="s">
        <v>918</v>
      </c>
      <c r="H1491" s="344" t="s">
        <v>742</v>
      </c>
      <c r="I1491" s="439"/>
      <c r="J1491" s="439"/>
      <c r="K1491" s="430"/>
      <c r="L1491" s="439"/>
      <c r="M1491" s="65">
        <v>3897213</v>
      </c>
      <c r="N1491" s="66" t="s">
        <v>99</v>
      </c>
      <c r="O1491" s="66" t="s">
        <v>26</v>
      </c>
      <c r="P1491" s="84" t="str">
        <f>IF(AND('331-CT'!$E$7=TH!H1491,OR(N1491="331",O1491="331")),"x","")</f>
        <v/>
      </c>
      <c r="Q1491" s="84" t="str">
        <f>IF(AND(B1491='111'!$L$11,OR($N1491=$Q$7,$O1491=$Q$7)),"x","")</f>
        <v/>
      </c>
      <c r="R1491" s="84" t="str">
        <f>IF(AND($N1491=$Q$7,$B1491&lt;'111'!$L$11),"x","")</f>
        <v/>
      </c>
      <c r="S1491" s="84" t="str">
        <f>IF(AND($O1491=$Q$7,$B1491&lt;'111'!$L$11),"x","")</f>
        <v/>
      </c>
      <c r="T1491" s="84" t="str">
        <f>IF(ISERROR(FIND('112'!$M$9,G1491,1)),"",IF((AND(FIND('112'!$M$9,G1491,1)&gt;=1,B1491='112'!$K$9,OR($N1491='112'!$I$6,$O1491='112'!$I$6))),"x",""))</f>
        <v/>
      </c>
      <c r="U1491" s="84" t="str">
        <f>IF(ISERROR(FIND('112'!$M$9,G1491,1)),"",IF((AND(LEFT(G1491,2)=LEFT('112'!$M$9,2),B1491&lt;'112'!$K$9,$N1491='112'!$I$6)),"x",""))</f>
        <v/>
      </c>
      <c r="V1491" s="84" t="str">
        <f>IF(ISERROR(FIND('112'!$M$9,G1491,1)),"",IF((AND(RIGHT(G1491,2)=RIGHT('112'!$M$9,2),B1491&lt;'112'!$K$9,$O1491='112'!$I$6)),"x",""))</f>
        <v/>
      </c>
      <c r="W1491" s="84" t="str">
        <f>IF(AND('341-CT'!$H$9=H1491,OR(LEFT(N1491,3)=$W$7,LEFT(O1491,3)=$W$7)),"x","")</f>
        <v/>
      </c>
      <c r="X1491" s="84" t="str">
        <f>IF(OR(TH!N1491=TH!$X$7,O1491=TH!$X$7),"x","")</f>
        <v/>
      </c>
      <c r="Y1491" s="84" t="str">
        <f>IF(AND(OR(N1491="131",O1491="131"),H1491='131-CT'!$H$9),"x","")</f>
        <v/>
      </c>
      <c r="Z1491" s="84"/>
      <c r="AA1491" s="84" t="str">
        <f>IF(AND(MONTH(E1491)='IN-NX'!$J$5,'IN-NX'!$D$7=D1491),"x","")</f>
        <v/>
      </c>
      <c r="AB1491" s="84" t="str">
        <f>IF(AND(OR(LEFT(TH!N1491,2)="15",LEFT(TH!O1491,2)="15"),LEFT(TH!O1491,3)&lt;&gt;"111",'152-CT'!$J$8=TH!F1491),"x","")</f>
        <v/>
      </c>
      <c r="AC1491" s="84" t="str">
        <f>IF(AND(OR(LEFT(TH!N1491,2)="15",LEFT(TH!O1491,2)="15"),TK!$E$7=TH!F1491),"x","")</f>
        <v/>
      </c>
      <c r="AD1491" s="84" t="str">
        <f>IF(AND(N1491="1521",MONTH(C1491)='BK-NL'!$M$11),"x","")</f>
        <v/>
      </c>
    </row>
    <row r="1492" spans="1:32" s="347" customFormat="1" ht="15.75" hidden="1" customHeight="1">
      <c r="A1492" s="336" t="str">
        <f>IF(B1492&lt;&gt;"",IF(AND(B1492='IN-TC'!$S$4,OR(TH!N1492="1111",TH!O1492="1111")),TH!D1492,""),"")</f>
        <v/>
      </c>
      <c r="B1492" s="1003">
        <f t="shared" si="214"/>
        <v>5</v>
      </c>
      <c r="C1492" s="80">
        <f t="shared" si="215"/>
        <v>42521</v>
      </c>
      <c r="D1492" s="80" t="s">
        <v>582</v>
      </c>
      <c r="E1492" s="80">
        <v>42521</v>
      </c>
      <c r="F1492" s="73" t="s">
        <v>1556</v>
      </c>
      <c r="G1492" s="81"/>
      <c r="H1492" s="82" t="s">
        <v>1360</v>
      </c>
      <c r="I1492" s="437"/>
      <c r="J1492" s="437"/>
      <c r="K1492" s="428"/>
      <c r="L1492" s="437"/>
      <c r="M1492" s="83">
        <v>321158412</v>
      </c>
      <c r="N1492" s="84" t="s">
        <v>72</v>
      </c>
      <c r="O1492" s="84" t="s">
        <v>9</v>
      </c>
      <c r="P1492" s="84" t="str">
        <f>IF(AND('331-CT'!$E$7=TH!H1492,OR(N1492="331",O1492="331")),"x","")</f>
        <v/>
      </c>
      <c r="Q1492" s="84" t="str">
        <f>IF(AND(B1492='111'!$L$11,OR($N1492=$Q$7,$O1492=$Q$7)),"x","")</f>
        <v/>
      </c>
      <c r="R1492" s="84" t="str">
        <f>IF(AND($N1492=$Q$7,$B1492&lt;'111'!$L$11),"x","")</f>
        <v/>
      </c>
      <c r="S1492" s="84" t="str">
        <f>IF(AND($O1492=$Q$7,$B1492&lt;'111'!$L$11),"x","")</f>
        <v/>
      </c>
      <c r="T1492" s="84" t="str">
        <f>IF(ISERROR(FIND('112'!$M$9,G1492,1)),"",IF((AND(FIND('112'!$M$9,G1492,1)&gt;=1,B1492='112'!$K$9,OR($N1492='112'!$I$6,$O1492='112'!$I$6))),"x",""))</f>
        <v/>
      </c>
      <c r="U1492" s="84" t="str">
        <f>IF(ISERROR(FIND('112'!$M$9,G1492,1)),"",IF((AND(LEFT(G1492,2)=LEFT('112'!$M$9,2),B1492&lt;'112'!$K$9,$N1492='112'!$I$6)),"x",""))</f>
        <v/>
      </c>
      <c r="V1492" s="84" t="str">
        <f>IF(ISERROR(FIND('112'!$M$9,G1492,1)),"",IF((AND(RIGHT(G1492,2)=RIGHT('112'!$M$9,2),B1492&lt;'112'!$K$9,$O1492='112'!$I$6)),"x",""))</f>
        <v/>
      </c>
      <c r="W1492" s="84" t="str">
        <f>IF(AND('341-CT'!$H$9=H1492,OR(LEFT(N1492,3)=$W$7,LEFT(O1492,3)=$W$7)),"x","")</f>
        <v/>
      </c>
      <c r="X1492" s="84" t="str">
        <f>IF(OR(TH!N1492=TH!$X$7,O1492=TH!$X$7),"x","")</f>
        <v>x</v>
      </c>
      <c r="Y1492" s="84" t="str">
        <f>IF(AND(OR(N1492="131",O1492="131"),H1492='131-CT'!$H$9),"x","")</f>
        <v/>
      </c>
      <c r="Z1492" s="84"/>
      <c r="AA1492" s="84" t="str">
        <f>IF(AND(MONTH(E1492)='IN-NX'!$J$5,'IN-NX'!$D$7=D1492),"x","")</f>
        <v/>
      </c>
      <c r="AB1492" s="84" t="str">
        <f>IF(AND(OR(LEFT(TH!N1492,2)="15",LEFT(TH!O1492,2)="15"),LEFT(TH!O1492,3)&lt;&gt;"111",'152-CT'!$J$8=TH!F1492),"x","")</f>
        <v/>
      </c>
      <c r="AC1492" s="84" t="str">
        <f>IF(AND(OR(LEFT(TH!N1492,2)="15",LEFT(TH!O1492,2)="15"),TK!$E$7=TH!F1492),"x","")</f>
        <v/>
      </c>
      <c r="AD1492" s="84" t="str">
        <f>IF(AND(N1492="1521",MONTH(C1492)='BK-NL'!$M$11),"x","")</f>
        <v/>
      </c>
    </row>
    <row r="1493" spans="1:32" ht="15.75" hidden="1" customHeight="1">
      <c r="A1493" s="336" t="str">
        <f>IF(B1493&lt;&gt;"",IF(AND(B1493='IN-TC'!$S$4,OR(TH!N1493="1111",TH!O1493="1111")),TH!D1493,""),"")</f>
        <v/>
      </c>
      <c r="B1493" s="63">
        <f t="shared" ref="B1493:B1524" si="216">IF(C1493&lt;&gt;"",MONTH(C1493),"")</f>
        <v>6</v>
      </c>
      <c r="C1493" s="64">
        <v>42522</v>
      </c>
      <c r="D1493" s="64" t="s">
        <v>868</v>
      </c>
      <c r="E1493" s="64">
        <v>42479</v>
      </c>
      <c r="F1493" s="73" t="s">
        <v>1701</v>
      </c>
      <c r="G1493" s="982" t="s">
        <v>1566</v>
      </c>
      <c r="H1493" s="73" t="s">
        <v>831</v>
      </c>
      <c r="I1493" s="439"/>
      <c r="J1493" s="439"/>
      <c r="K1493" s="430"/>
      <c r="L1493" s="439"/>
      <c r="M1493" s="65">
        <v>400000</v>
      </c>
      <c r="N1493" s="66" t="s">
        <v>101</v>
      </c>
      <c r="O1493" s="66" t="s">
        <v>63</v>
      </c>
      <c r="P1493" s="84" t="str">
        <f>IF(AND('331-CT'!$E$7=TH!H1493,OR(N1493="331",O1493="331")),"x","")</f>
        <v/>
      </c>
      <c r="Q1493" s="84" t="str">
        <f>IF(AND(B1493='111'!$L$11,OR($N1493=$Q$7,$O1493=$Q$7)),"x","")</f>
        <v/>
      </c>
      <c r="R1493" s="84" t="str">
        <f>IF(AND($N1493=$Q$7,$B1493&lt;'111'!$L$11),"x","")</f>
        <v/>
      </c>
      <c r="S1493" s="84" t="str">
        <f>IF(AND($O1493=$Q$7,$B1493&lt;'111'!$L$11),"x","")</f>
        <v/>
      </c>
      <c r="T1493" s="84" t="str">
        <f>IF(ISERROR(FIND('112'!$M$9,G1493,1)),"",IF((AND(FIND('112'!$M$9,G1493,1)&gt;=1,B1493='112'!$K$9,OR($N1493='112'!$I$6,$O1493='112'!$I$6))),"x",""))</f>
        <v/>
      </c>
      <c r="U1493" s="84" t="str">
        <f>IF(ISERROR(FIND('112'!$M$9,G1493,1)),"",IF((AND(LEFT(G1493,2)=LEFT('112'!$M$9,2),B1493&lt;'112'!$K$9,$N1493='112'!$I$6)),"x",""))</f>
        <v/>
      </c>
      <c r="V1493" s="84" t="str">
        <f>IF(ISERROR(FIND('112'!$M$9,G1493,1)),"",IF((AND(RIGHT(G1493,2)=RIGHT('112'!$M$9,2),B1493&lt;'112'!$K$9,$O1493='112'!$I$6)),"x",""))</f>
        <v/>
      </c>
      <c r="W1493" s="84" t="str">
        <f>IF(AND('341-CT'!$H$9=H1493,OR(LEFT(N1493,3)=$W$7,LEFT(O1493,3)=$W$7)),"x","")</f>
        <v/>
      </c>
      <c r="X1493" s="84" t="str">
        <f>IF(OR(TH!N1493=TH!$X$7,O1493=TH!$X$7),"x","")</f>
        <v/>
      </c>
      <c r="Y1493" s="84" t="str">
        <f>IF(AND(OR(N1493="131",O1493="131"),H1493='131-CT'!$H$9),"x","")</f>
        <v/>
      </c>
      <c r="Z1493" s="84"/>
      <c r="AA1493" s="84" t="str">
        <f>IF(AND(MONTH(E1493)='IN-NX'!$J$5,'IN-NX'!$D$7=D1493),"x","")</f>
        <v/>
      </c>
      <c r="AB1493" s="84" t="str">
        <f>IF(AND(OR(LEFT(TH!N1493,2)="15",LEFT(TH!O1493,2)="15"),LEFT(TH!O1493,3)&lt;&gt;"111",'152-CT'!$J$8=TH!F1493),"x","")</f>
        <v/>
      </c>
      <c r="AC1493" s="84" t="str">
        <f>IF(AND(OR(LEFT(TH!N1493,2)="15",LEFT(TH!O1493,2)="15"),TK!$E$7=TH!F1493),"x","")</f>
        <v/>
      </c>
      <c r="AD1493" s="84" t="str">
        <f>IF(AND(N1493="1521",MONTH(C1493)='BK-NL'!$M$11),"x","")</f>
        <v/>
      </c>
      <c r="AF1493" s="330">
        <v>1</v>
      </c>
    </row>
    <row r="1494" spans="1:32" ht="15.75" hidden="1" customHeight="1">
      <c r="A1494" s="336" t="str">
        <f>IF(B1494&lt;&gt;"",IF(AND(B1494='IN-TC'!$S$4,OR(TH!N1494="1111",TH!O1494="1111")),TH!D1494,""),"")</f>
        <v/>
      </c>
      <c r="B1494" s="63">
        <f t="shared" si="216"/>
        <v>6</v>
      </c>
      <c r="C1494" s="64">
        <v>42522</v>
      </c>
      <c r="D1494" s="64" t="s">
        <v>868</v>
      </c>
      <c r="E1494" s="64">
        <v>42479</v>
      </c>
      <c r="F1494" s="73" t="s">
        <v>1536</v>
      </c>
      <c r="G1494" s="982" t="s">
        <v>1566</v>
      </c>
      <c r="H1494" s="73" t="s">
        <v>831</v>
      </c>
      <c r="I1494" s="439"/>
      <c r="J1494" s="439"/>
      <c r="K1494" s="430"/>
      <c r="L1494" s="439"/>
      <c r="M1494" s="65">
        <v>20000</v>
      </c>
      <c r="N1494" s="66" t="s">
        <v>9</v>
      </c>
      <c r="O1494" s="66" t="s">
        <v>63</v>
      </c>
      <c r="P1494" s="84" t="str">
        <f>IF(AND('331-CT'!$E$7=TH!H1494,OR(N1494="331",O1494="331")),"x","")</f>
        <v/>
      </c>
      <c r="Q1494" s="84" t="str">
        <f>IF(AND(B1494='111'!$L$11,OR($N1494=$Q$7,$O1494=$Q$7)),"x","")</f>
        <v/>
      </c>
      <c r="R1494" s="84" t="str">
        <f>IF(AND($N1494=$Q$7,$B1494&lt;'111'!$L$11),"x","")</f>
        <v/>
      </c>
      <c r="S1494" s="84" t="str">
        <f>IF(AND($O1494=$Q$7,$B1494&lt;'111'!$L$11),"x","")</f>
        <v/>
      </c>
      <c r="T1494" s="84" t="str">
        <f>IF(ISERROR(FIND('112'!$M$9,G1494,1)),"",IF((AND(FIND('112'!$M$9,G1494,1)&gt;=1,B1494='112'!$K$9,OR($N1494='112'!$I$6,$O1494='112'!$I$6))),"x",""))</f>
        <v/>
      </c>
      <c r="U1494" s="84" t="str">
        <f>IF(ISERROR(FIND('112'!$M$9,G1494,1)),"",IF((AND(LEFT(G1494,2)=LEFT('112'!$M$9,2),B1494&lt;'112'!$K$9,$N1494='112'!$I$6)),"x",""))</f>
        <v/>
      </c>
      <c r="V1494" s="84" t="str">
        <f>IF(ISERROR(FIND('112'!$M$9,G1494,1)),"",IF((AND(RIGHT(G1494,2)=RIGHT('112'!$M$9,2),B1494&lt;'112'!$K$9,$O1494='112'!$I$6)),"x",""))</f>
        <v/>
      </c>
      <c r="W1494" s="84" t="str">
        <f>IF(AND('341-CT'!$H$9=H1494,OR(LEFT(N1494,3)=$W$7,LEFT(O1494,3)=$W$7)),"x","")</f>
        <v/>
      </c>
      <c r="X1494" s="84" t="str">
        <f>IF(OR(TH!N1494=TH!$X$7,O1494=TH!$X$7),"x","")</f>
        <v/>
      </c>
      <c r="Y1494" s="84" t="str">
        <f>IF(AND(OR(N1494="131",O1494="131"),H1494='131-CT'!$H$9),"x","")</f>
        <v/>
      </c>
      <c r="Z1494" s="84"/>
      <c r="AA1494" s="84" t="str">
        <f>IF(AND(MONTH(E1494)='IN-NX'!$J$5,'IN-NX'!$D$7=D1494),"x","")</f>
        <v/>
      </c>
      <c r="AB1494" s="84" t="str">
        <f>IF(AND(OR(LEFT(TH!N1494,2)="15",LEFT(TH!O1494,2)="15"),LEFT(TH!O1494,3)&lt;&gt;"111",'152-CT'!$J$8=TH!F1494),"x","")</f>
        <v/>
      </c>
      <c r="AC1494" s="84" t="str">
        <f>IF(AND(OR(LEFT(TH!N1494,2)="15",LEFT(TH!O1494,2)="15"),TK!$E$7=TH!F1494),"x","")</f>
        <v/>
      </c>
      <c r="AD1494" s="84" t="str">
        <f>IF(AND(N1494="1521",MONTH(C1494)='BK-NL'!$M$11),"x","")</f>
        <v/>
      </c>
    </row>
    <row r="1495" spans="1:32" ht="15.75" hidden="1" customHeight="1">
      <c r="A1495" s="336" t="str">
        <f>IF(B1495&lt;&gt;"",IF(AND(B1495='IN-TC'!$S$4,OR(TH!N1495="1111",TH!O1495="1111")),TH!D1495,""),"")</f>
        <v/>
      </c>
      <c r="B1495" s="63">
        <f t="shared" si="216"/>
        <v>6</v>
      </c>
      <c r="C1495" s="64">
        <v>42522</v>
      </c>
      <c r="D1495" s="64" t="s">
        <v>869</v>
      </c>
      <c r="E1495" s="64">
        <v>42521</v>
      </c>
      <c r="F1495" s="73" t="s">
        <v>1567</v>
      </c>
      <c r="G1495" s="982" t="s">
        <v>1569</v>
      </c>
      <c r="H1495" s="73" t="s">
        <v>802</v>
      </c>
      <c r="I1495" s="439"/>
      <c r="J1495" s="439"/>
      <c r="K1495" s="430"/>
      <c r="L1495" s="439"/>
      <c r="M1495" s="65">
        <v>46000</v>
      </c>
      <c r="N1495" s="66" t="s">
        <v>101</v>
      </c>
      <c r="O1495" s="66" t="s">
        <v>63</v>
      </c>
      <c r="P1495" s="84" t="str">
        <f>IF(AND('331-CT'!$E$7=TH!H1495,OR(N1495="331",O1495="331")),"x","")</f>
        <v/>
      </c>
      <c r="Q1495" s="84" t="str">
        <f>IF(AND(B1495='111'!$L$11,OR($N1495=$Q$7,$O1495=$Q$7)),"x","")</f>
        <v/>
      </c>
      <c r="R1495" s="84" t="str">
        <f>IF(AND($N1495=$Q$7,$B1495&lt;'111'!$L$11),"x","")</f>
        <v/>
      </c>
      <c r="S1495" s="84" t="str">
        <f>IF(AND($O1495=$Q$7,$B1495&lt;'111'!$L$11),"x","")</f>
        <v/>
      </c>
      <c r="T1495" s="84" t="str">
        <f>IF(ISERROR(FIND('112'!$M$9,G1495,1)),"",IF((AND(FIND('112'!$M$9,G1495,1)&gt;=1,B1495='112'!$K$9,OR($N1495='112'!$I$6,$O1495='112'!$I$6))),"x",""))</f>
        <v/>
      </c>
      <c r="U1495" s="84" t="str">
        <f>IF(ISERROR(FIND('112'!$M$9,G1495,1)),"",IF((AND(LEFT(G1495,2)=LEFT('112'!$M$9,2),B1495&lt;'112'!$K$9,$N1495='112'!$I$6)),"x",""))</f>
        <v/>
      </c>
      <c r="V1495" s="84" t="str">
        <f>IF(ISERROR(FIND('112'!$M$9,G1495,1)),"",IF((AND(RIGHT(G1495,2)=RIGHT('112'!$M$9,2),B1495&lt;'112'!$K$9,$O1495='112'!$I$6)),"x",""))</f>
        <v/>
      </c>
      <c r="W1495" s="84" t="str">
        <f>IF(AND('341-CT'!$H$9=H1495,OR(LEFT(N1495,3)=$W$7,LEFT(O1495,3)=$W$7)),"x","")</f>
        <v/>
      </c>
      <c r="X1495" s="84" t="str">
        <f>IF(OR(TH!N1495=TH!$X$7,O1495=TH!$X$7),"x","")</f>
        <v/>
      </c>
      <c r="Y1495" s="84" t="str">
        <f>IF(AND(OR(N1495="131",O1495="131"),H1495='131-CT'!$H$9),"x","")</f>
        <v/>
      </c>
      <c r="Z1495" s="84"/>
      <c r="AA1495" s="84" t="str">
        <f>IF(AND(MONTH(E1495)='IN-NX'!$J$5,'IN-NX'!$D$7=D1495),"x","")</f>
        <v/>
      </c>
      <c r="AB1495" s="84" t="str">
        <f>IF(AND(OR(LEFT(TH!N1495,2)="15",LEFT(TH!O1495,2)="15"),LEFT(TH!O1495,3)&lt;&gt;"111",'152-CT'!$J$8=TH!F1495),"x","")</f>
        <v/>
      </c>
      <c r="AC1495" s="84" t="str">
        <f>IF(AND(OR(LEFT(TH!N1495,2)="15",LEFT(TH!O1495,2)="15"),TK!$E$7=TH!F1495),"x","")</f>
        <v/>
      </c>
      <c r="AD1495" s="84" t="str">
        <f>IF(AND(N1495="1521",MONTH(C1495)='BK-NL'!$M$11),"x","")</f>
        <v/>
      </c>
      <c r="AF1495" s="330">
        <v>1</v>
      </c>
    </row>
    <row r="1496" spans="1:32" ht="15.75" hidden="1" customHeight="1">
      <c r="A1496" s="336" t="str">
        <f>IF(B1496&lt;&gt;"",IF(AND(B1496='IN-TC'!$S$4,OR(TH!N1496="1111",TH!O1496="1111")),TH!D1496,""),"")</f>
        <v/>
      </c>
      <c r="B1496" s="63">
        <f t="shared" si="216"/>
        <v>6</v>
      </c>
      <c r="C1496" s="64">
        <v>42522</v>
      </c>
      <c r="D1496" s="64" t="s">
        <v>869</v>
      </c>
      <c r="E1496" s="64">
        <v>42521</v>
      </c>
      <c r="F1496" s="73" t="s">
        <v>1568</v>
      </c>
      <c r="G1496" s="982" t="s">
        <v>1569</v>
      </c>
      <c r="H1496" s="73" t="s">
        <v>802</v>
      </c>
      <c r="I1496" s="439"/>
      <c r="J1496" s="439"/>
      <c r="K1496" s="430"/>
      <c r="L1496" s="439"/>
      <c r="M1496" s="65">
        <v>4600</v>
      </c>
      <c r="N1496" s="66" t="s">
        <v>9</v>
      </c>
      <c r="O1496" s="66" t="s">
        <v>63</v>
      </c>
      <c r="P1496" s="84" t="str">
        <f>IF(AND('331-CT'!$E$7=TH!H1496,OR(N1496="331",O1496="331")),"x","")</f>
        <v/>
      </c>
      <c r="Q1496" s="84" t="str">
        <f>IF(AND(B1496='111'!$L$11,OR($N1496=$Q$7,$O1496=$Q$7)),"x","")</f>
        <v/>
      </c>
      <c r="R1496" s="84" t="str">
        <f>IF(AND($N1496=$Q$7,$B1496&lt;'111'!$L$11),"x","")</f>
        <v/>
      </c>
      <c r="S1496" s="84" t="str">
        <f>IF(AND($O1496=$Q$7,$B1496&lt;'111'!$L$11),"x","")</f>
        <v/>
      </c>
      <c r="T1496" s="84" t="str">
        <f>IF(ISERROR(FIND('112'!$M$9,G1496,1)),"",IF((AND(FIND('112'!$M$9,G1496,1)&gt;=1,B1496='112'!$K$9,OR($N1496='112'!$I$6,$O1496='112'!$I$6))),"x",""))</f>
        <v/>
      </c>
      <c r="U1496" s="84" t="str">
        <f>IF(ISERROR(FIND('112'!$M$9,G1496,1)),"",IF((AND(LEFT(G1496,2)=LEFT('112'!$M$9,2),B1496&lt;'112'!$K$9,$N1496='112'!$I$6)),"x",""))</f>
        <v/>
      </c>
      <c r="V1496" s="84" t="str">
        <f>IF(ISERROR(FIND('112'!$M$9,G1496,1)),"",IF((AND(RIGHT(G1496,2)=RIGHT('112'!$M$9,2),B1496&lt;'112'!$K$9,$O1496='112'!$I$6)),"x",""))</f>
        <v/>
      </c>
      <c r="W1496" s="84" t="str">
        <f>IF(AND('341-CT'!$H$9=H1496,OR(LEFT(N1496,3)=$W$7,LEFT(O1496,3)=$W$7)),"x","")</f>
        <v/>
      </c>
      <c r="X1496" s="84" t="str">
        <f>IF(OR(TH!N1496=TH!$X$7,O1496=TH!$X$7),"x","")</f>
        <v/>
      </c>
      <c r="Y1496" s="84" t="str">
        <f>IF(AND(OR(N1496="131",O1496="131"),H1496='131-CT'!$H$9),"x","")</f>
        <v/>
      </c>
      <c r="Z1496" s="84"/>
      <c r="AA1496" s="84" t="str">
        <f>IF(AND(MONTH(E1496)='IN-NX'!$J$5,'IN-NX'!$D$7=D1496),"x","")</f>
        <v/>
      </c>
      <c r="AB1496" s="84" t="str">
        <f>IF(AND(OR(LEFT(TH!N1496,2)="15",LEFT(TH!O1496,2)="15"),LEFT(TH!O1496,3)&lt;&gt;"111",'152-CT'!$J$8=TH!F1496),"x","")</f>
        <v/>
      </c>
      <c r="AC1496" s="84" t="str">
        <f>IF(AND(OR(LEFT(TH!N1496,2)="15",LEFT(TH!O1496,2)="15"),TK!$E$7=TH!F1496),"x","")</f>
        <v/>
      </c>
      <c r="AD1496" s="84" t="str">
        <f>IF(AND(N1496="1521",MONTH(C1496)='BK-NL'!$M$11),"x","")</f>
        <v/>
      </c>
    </row>
    <row r="1497" spans="1:32" ht="15.75" hidden="1" customHeight="1">
      <c r="A1497" s="336" t="str">
        <f>IF(B1497&lt;&gt;"",IF(AND(B1497='IN-TC'!$S$4,OR(TH!N1497="1111",TH!O1497="1111")),TH!D1497,""),"")</f>
        <v/>
      </c>
      <c r="B1497" s="63">
        <f t="shared" si="216"/>
        <v>6</v>
      </c>
      <c r="C1497" s="64">
        <v>42523</v>
      </c>
      <c r="D1497" s="64" t="s">
        <v>870</v>
      </c>
      <c r="E1497" s="64">
        <v>42523</v>
      </c>
      <c r="F1497" s="73" t="s">
        <v>1107</v>
      </c>
      <c r="G1497" s="67" t="s">
        <v>919</v>
      </c>
      <c r="H1497" s="73" t="s">
        <v>763</v>
      </c>
      <c r="I1497" s="439"/>
      <c r="J1497" s="439"/>
      <c r="K1497" s="430"/>
      <c r="L1497" s="439"/>
      <c r="M1497" s="65">
        <v>35000000</v>
      </c>
      <c r="N1497" s="66" t="s">
        <v>26</v>
      </c>
      <c r="O1497" s="66" t="s">
        <v>63</v>
      </c>
      <c r="P1497" s="84" t="str">
        <f>IF(AND('331-CT'!$E$7=TH!H1497,OR(N1497="331",O1497="331")),"x","")</f>
        <v/>
      </c>
      <c r="Q1497" s="84" t="str">
        <f>IF(AND(B1497='111'!$L$11,OR($N1497=$Q$7,$O1497=$Q$7)),"x","")</f>
        <v/>
      </c>
      <c r="R1497" s="84" t="str">
        <f>IF(AND($N1497=$Q$7,$B1497&lt;'111'!$L$11),"x","")</f>
        <v/>
      </c>
      <c r="S1497" s="84" t="str">
        <f>IF(AND($O1497=$Q$7,$B1497&lt;'111'!$L$11),"x","")</f>
        <v/>
      </c>
      <c r="T1497" s="84" t="str">
        <f>IF(ISERROR(FIND('112'!$M$9,G1497,1)),"",IF((AND(FIND('112'!$M$9,G1497,1)&gt;=1,B1497='112'!$K$9,OR($N1497='112'!$I$6,$O1497='112'!$I$6))),"x",""))</f>
        <v>x</v>
      </c>
      <c r="U1497" s="84" t="str">
        <f>IF(ISERROR(FIND('112'!$M$9,G1497,1)),"",IF((AND(LEFT(G1497,2)=LEFT('112'!$M$9,2),B1497&lt;'112'!$K$9,$N1497='112'!$I$6)),"x",""))</f>
        <v/>
      </c>
      <c r="V1497" s="84" t="str">
        <f>IF(ISERROR(FIND('112'!$M$9,G1497,1)),"",IF((AND(RIGHT(G1497,2)=RIGHT('112'!$M$9,2),B1497&lt;'112'!$K$9,$O1497='112'!$I$6)),"x",""))</f>
        <v/>
      </c>
      <c r="W1497" s="84" t="str">
        <f>IF(AND('341-CT'!$H$9=H1497,OR(LEFT(N1497,3)=$W$7,LEFT(O1497,3)=$W$7)),"x","")</f>
        <v/>
      </c>
      <c r="X1497" s="84" t="str">
        <f>IF(OR(TH!N1497=TH!$X$7,O1497=TH!$X$7),"x","")</f>
        <v/>
      </c>
      <c r="Y1497" s="84" t="str">
        <f>IF(AND(OR(N1497="131",O1497="131"),H1497='131-CT'!$H$9),"x","")</f>
        <v/>
      </c>
      <c r="Z1497" s="84"/>
      <c r="AA1497" s="84" t="str">
        <f>IF(AND(MONTH(E1497)='IN-NX'!$J$5,'IN-NX'!$D$7=D1497),"x","")</f>
        <v/>
      </c>
      <c r="AB1497" s="84" t="str">
        <f>IF(AND(OR(LEFT(TH!N1497,2)="15",LEFT(TH!O1497,2)="15"),LEFT(TH!O1497,3)&lt;&gt;"111",'152-CT'!$J$8=TH!F1497),"x","")</f>
        <v/>
      </c>
      <c r="AC1497" s="84" t="str">
        <f>IF(AND(OR(LEFT(TH!N1497,2)="15",LEFT(TH!O1497,2)="15"),TK!$E$7=TH!F1497),"x","")</f>
        <v/>
      </c>
      <c r="AD1497" s="84" t="str">
        <f>IF(AND(N1497="1521",MONTH(C1497)='BK-NL'!$M$11),"x","")</f>
        <v/>
      </c>
    </row>
    <row r="1498" spans="1:32" ht="15.75" hidden="1" customHeight="1">
      <c r="A1498" s="336" t="str">
        <f>IF(B1498&lt;&gt;"",IF(AND(B1498='IN-TC'!$S$4,OR(TH!N1498="1111",TH!O1498="1111")),TH!D1498,""),"")</f>
        <v/>
      </c>
      <c r="B1498" s="63">
        <f t="shared" si="216"/>
        <v>6</v>
      </c>
      <c r="C1498" s="64">
        <v>42523</v>
      </c>
      <c r="D1498" s="64" t="s">
        <v>705</v>
      </c>
      <c r="E1498" s="64">
        <f>C1498</f>
        <v>42523</v>
      </c>
      <c r="F1498" s="73" t="s">
        <v>1637</v>
      </c>
      <c r="G1498" s="67" t="s">
        <v>919</v>
      </c>
      <c r="H1498" s="73" t="s">
        <v>632</v>
      </c>
      <c r="I1498" s="439"/>
      <c r="J1498" s="439"/>
      <c r="K1498" s="430"/>
      <c r="L1498" s="439"/>
      <c r="M1498" s="65">
        <v>35415270</v>
      </c>
      <c r="N1498" s="66" t="s">
        <v>8</v>
      </c>
      <c r="O1498" s="66" t="s">
        <v>26</v>
      </c>
      <c r="P1498" s="84" t="str">
        <f>IF(AND('331-CT'!$E$7=TH!H1498,OR(N1498="331",O1498="331")),"x","")</f>
        <v/>
      </c>
      <c r="Q1498" s="84" t="str">
        <f>IF(AND(B1498='111'!$L$11,OR($N1498=$Q$7,$O1498=$Q$7)),"x","")</f>
        <v/>
      </c>
      <c r="R1498" s="84" t="str">
        <f>IF(AND($N1498=$Q$7,$B1498&lt;'111'!$L$11),"x","")</f>
        <v/>
      </c>
      <c r="S1498" s="84" t="str">
        <f>IF(AND($O1498=$Q$7,$B1498&lt;'111'!$L$11),"x","")</f>
        <v/>
      </c>
      <c r="T1498" s="84" t="str">
        <f>IF(ISERROR(FIND('112'!$M$9,G1498,1)),"",IF((AND(FIND('112'!$M$9,G1498,1)&gt;=1,B1498='112'!$K$9,OR($N1498='112'!$I$6,$O1498='112'!$I$6))),"x",""))</f>
        <v>x</v>
      </c>
      <c r="U1498" s="84" t="str">
        <f>IF(ISERROR(FIND('112'!$M$9,G1498,1)),"",IF((AND(LEFT(G1498,2)=LEFT('112'!$M$9,2),B1498&lt;'112'!$K$9,$N1498='112'!$I$6)),"x",""))</f>
        <v/>
      </c>
      <c r="V1498" s="84" t="str">
        <f>IF(ISERROR(FIND('112'!$M$9,G1498,1)),"",IF((AND(RIGHT(G1498,2)=RIGHT('112'!$M$9,2),B1498&lt;'112'!$K$9,$O1498='112'!$I$6)),"x",""))</f>
        <v/>
      </c>
      <c r="W1498" s="84" t="str">
        <f>IF(AND('341-CT'!$H$9=H1498,OR(LEFT(N1498,3)=$W$7,LEFT(O1498,3)=$W$7)),"x","")</f>
        <v/>
      </c>
      <c r="X1498" s="84" t="str">
        <f>IF(OR(TH!N1498=TH!$X$7,O1498=TH!$X$7),"x","")</f>
        <v/>
      </c>
      <c r="Y1498" s="84" t="str">
        <f>IF(AND(OR(N1498="131",O1498="131"),H1498='131-CT'!$H$9),"x","")</f>
        <v/>
      </c>
      <c r="Z1498" s="84"/>
      <c r="AA1498" s="84" t="str">
        <f>IF(AND(MONTH(E1498)='IN-NX'!$J$5,'IN-NX'!$D$7=D1498),"x","")</f>
        <v/>
      </c>
      <c r="AB1498" s="84" t="str">
        <f>IF(AND(OR(LEFT(TH!N1498,2)="15",LEFT(TH!O1498,2)="15"),LEFT(TH!O1498,3)&lt;&gt;"111",'152-CT'!$J$8=TH!F1498),"x","")</f>
        <v/>
      </c>
      <c r="AC1498" s="84" t="str">
        <f>IF(AND(OR(LEFT(TH!N1498,2)="15",LEFT(TH!O1498,2)="15"),TK!$E$7=TH!F1498),"x","")</f>
        <v/>
      </c>
      <c r="AD1498" s="84" t="str">
        <f>IF(AND(N1498="1521",MONTH(C1498)='BK-NL'!$M$11),"x","")</f>
        <v/>
      </c>
      <c r="AE1498" s="1146" t="str">
        <f>IF(H1498&lt;&gt;VLOOKUP(H1498,DSKH,1,0),"","x")</f>
        <v>x</v>
      </c>
    </row>
    <row r="1499" spans="1:32" ht="15.75" hidden="1" customHeight="1">
      <c r="A1499" s="336" t="str">
        <f>IF(B1499&lt;&gt;"",IF(AND(B1499='IN-TC'!$S$4,OR(TH!N1499="1111",TH!O1499="1111")),TH!D1499,""),"")</f>
        <v/>
      </c>
      <c r="B1499" s="63">
        <f t="shared" si="216"/>
        <v>6</v>
      </c>
      <c r="C1499" s="64">
        <v>42523</v>
      </c>
      <c r="D1499" s="64" t="s">
        <v>705</v>
      </c>
      <c r="E1499" s="64">
        <f>C1499</f>
        <v>42523</v>
      </c>
      <c r="F1499" s="73" t="s">
        <v>1176</v>
      </c>
      <c r="G1499" s="67" t="s">
        <v>919</v>
      </c>
      <c r="H1499" s="73" t="s">
        <v>632</v>
      </c>
      <c r="I1499" s="439"/>
      <c r="J1499" s="439"/>
      <c r="K1499" s="430"/>
      <c r="L1499" s="439"/>
      <c r="M1499" s="65">
        <v>45000</v>
      </c>
      <c r="N1499" s="66" t="s">
        <v>101</v>
      </c>
      <c r="O1499" s="66" t="s">
        <v>26</v>
      </c>
      <c r="P1499" s="84" t="str">
        <f>IF(AND('331-CT'!$E$7=TH!H1499,OR(N1499="331",O1499="331")),"x","")</f>
        <v/>
      </c>
      <c r="Q1499" s="84" t="str">
        <f>IF(AND(B1499='111'!$L$11,OR($N1499=$Q$7,$O1499=$Q$7)),"x","")</f>
        <v/>
      </c>
      <c r="R1499" s="84" t="str">
        <f>IF(AND($N1499=$Q$7,$B1499&lt;'111'!$L$11),"x","")</f>
        <v/>
      </c>
      <c r="S1499" s="84" t="str">
        <f>IF(AND($O1499=$Q$7,$B1499&lt;'111'!$L$11),"x","")</f>
        <v/>
      </c>
      <c r="T1499" s="84" t="str">
        <f>IF(ISERROR(FIND('112'!$M$9,G1499,1)),"",IF((AND(FIND('112'!$M$9,G1499,1)&gt;=1,B1499='112'!$K$9,OR($N1499='112'!$I$6,$O1499='112'!$I$6))),"x",""))</f>
        <v>x</v>
      </c>
      <c r="U1499" s="84" t="str">
        <f>IF(ISERROR(FIND('112'!$M$9,G1499,1)),"",IF((AND(LEFT(G1499,2)=LEFT('112'!$M$9,2),B1499&lt;'112'!$K$9,$N1499='112'!$I$6)),"x",""))</f>
        <v/>
      </c>
      <c r="V1499" s="84" t="str">
        <f>IF(ISERROR(FIND('112'!$M$9,G1499,1)),"",IF((AND(RIGHT(G1499,2)=RIGHT('112'!$M$9,2),B1499&lt;'112'!$K$9,$O1499='112'!$I$6)),"x",""))</f>
        <v/>
      </c>
      <c r="W1499" s="84" t="str">
        <f>IF(AND('341-CT'!$H$9=H1499,OR(LEFT(N1499,3)=$W$7,LEFT(O1499,3)=$W$7)),"x","")</f>
        <v/>
      </c>
      <c r="X1499" s="84" t="str">
        <f>IF(OR(TH!N1499=TH!$X$7,O1499=TH!$X$7),"x","")</f>
        <v/>
      </c>
      <c r="Y1499" s="84" t="str">
        <f>IF(AND(OR(N1499="131",O1499="131"),H1499='131-CT'!$H$9),"x","")</f>
        <v/>
      </c>
      <c r="Z1499" s="84"/>
      <c r="AA1499" s="84" t="str">
        <f>IF(AND(MONTH(E1499)='IN-NX'!$J$5,'IN-NX'!$D$7=D1499),"x","")</f>
        <v/>
      </c>
      <c r="AB1499" s="84" t="str">
        <f>IF(AND(OR(LEFT(TH!N1499,2)="15",LEFT(TH!O1499,2)="15"),LEFT(TH!O1499,3)&lt;&gt;"111",'152-CT'!$J$8=TH!F1499),"x","")</f>
        <v/>
      </c>
      <c r="AC1499" s="84" t="str">
        <f>IF(AND(OR(LEFT(TH!N1499,2)="15",LEFT(TH!O1499,2)="15"),TK!$E$7=TH!F1499),"x","")</f>
        <v/>
      </c>
      <c r="AD1499" s="84" t="str">
        <f>IF(AND(N1499="1521",MONTH(C1499)='BK-NL'!$M$11),"x","")</f>
        <v/>
      </c>
      <c r="AF1499" s="330">
        <v>1</v>
      </c>
    </row>
    <row r="1500" spans="1:32" ht="15.75" hidden="1" customHeight="1">
      <c r="A1500" s="336" t="str">
        <f>IF(B1500&lt;&gt;"",IF(AND(B1500='IN-TC'!$S$4,OR(TH!N1500="1111",TH!O1500="1111")),TH!D1500,""),"")</f>
        <v/>
      </c>
      <c r="B1500" s="63">
        <f t="shared" si="216"/>
        <v>6</v>
      </c>
      <c r="C1500" s="64">
        <v>42523</v>
      </c>
      <c r="D1500" s="64" t="s">
        <v>705</v>
      </c>
      <c r="E1500" s="64">
        <f>C1500</f>
        <v>42523</v>
      </c>
      <c r="F1500" s="73" t="s">
        <v>1638</v>
      </c>
      <c r="G1500" s="67" t="s">
        <v>919</v>
      </c>
      <c r="H1500" s="73" t="s">
        <v>632</v>
      </c>
      <c r="I1500" s="439"/>
      <c r="J1500" s="439"/>
      <c r="K1500" s="430"/>
      <c r="L1500" s="439"/>
      <c r="M1500" s="65">
        <v>4500</v>
      </c>
      <c r="N1500" s="66" t="s">
        <v>9</v>
      </c>
      <c r="O1500" s="66" t="s">
        <v>26</v>
      </c>
      <c r="P1500" s="84" t="str">
        <f>IF(AND('331-CT'!$E$7=TH!H1500,OR(N1500="331",O1500="331")),"x","")</f>
        <v/>
      </c>
      <c r="Q1500" s="84" t="str">
        <f>IF(AND(B1500='111'!$L$11,OR($N1500=$Q$7,$O1500=$Q$7)),"x","")</f>
        <v/>
      </c>
      <c r="R1500" s="84" t="str">
        <f>IF(AND($N1500=$Q$7,$B1500&lt;'111'!$L$11),"x","")</f>
        <v/>
      </c>
      <c r="S1500" s="84" t="str">
        <f>IF(AND($O1500=$Q$7,$B1500&lt;'111'!$L$11),"x","")</f>
        <v/>
      </c>
      <c r="T1500" s="84" t="str">
        <f>IF(ISERROR(FIND('112'!$M$9,G1500,1)),"",IF((AND(FIND('112'!$M$9,G1500,1)&gt;=1,B1500='112'!$K$9,OR($N1500='112'!$I$6,$O1500='112'!$I$6))),"x",""))</f>
        <v>x</v>
      </c>
      <c r="U1500" s="84" t="str">
        <f>IF(ISERROR(FIND('112'!$M$9,G1500,1)),"",IF((AND(LEFT(G1500,2)=LEFT('112'!$M$9,2),B1500&lt;'112'!$K$9,$N1500='112'!$I$6)),"x",""))</f>
        <v/>
      </c>
      <c r="V1500" s="84" t="str">
        <f>IF(ISERROR(FIND('112'!$M$9,G1500,1)),"",IF((AND(RIGHT(G1500,2)=RIGHT('112'!$M$9,2),B1500&lt;'112'!$K$9,$O1500='112'!$I$6)),"x",""))</f>
        <v/>
      </c>
      <c r="W1500" s="84" t="str">
        <f>IF(AND('341-CT'!$H$9=H1500,OR(LEFT(N1500,3)=$W$7,LEFT(O1500,3)=$W$7)),"x","")</f>
        <v/>
      </c>
      <c r="X1500" s="84" t="str">
        <f>IF(OR(TH!N1500=TH!$X$7,O1500=TH!$X$7),"x","")</f>
        <v/>
      </c>
      <c r="Y1500" s="84" t="str">
        <f>IF(AND(OR(N1500="131",O1500="131"),H1500='131-CT'!$H$9),"x","")</f>
        <v/>
      </c>
      <c r="Z1500" s="84"/>
      <c r="AA1500" s="84" t="str">
        <f>IF(AND(MONTH(E1500)='IN-NX'!$J$5,'IN-NX'!$D$7=D1500),"x","")</f>
        <v/>
      </c>
      <c r="AB1500" s="84" t="str">
        <f>IF(AND(OR(LEFT(TH!N1500,2)="15",LEFT(TH!O1500,2)="15"),LEFT(TH!O1500,3)&lt;&gt;"111",'152-CT'!$J$8=TH!F1500),"x","")</f>
        <v/>
      </c>
      <c r="AC1500" s="84" t="str">
        <f>IF(AND(OR(LEFT(TH!N1500,2)="15",LEFT(TH!O1500,2)="15"),TK!$E$7=TH!F1500),"x","")</f>
        <v/>
      </c>
      <c r="AD1500" s="84" t="str">
        <f>IF(AND(N1500="1521",MONTH(C1500)='BK-NL'!$M$11),"x","")</f>
        <v/>
      </c>
    </row>
    <row r="1501" spans="1:32" ht="15.75" hidden="1" customHeight="1">
      <c r="A1501" s="336" t="str">
        <f>IF(B1501&lt;&gt;"",IF(AND(B1501='IN-TC'!$S$4,OR(TH!N1501="1111",TH!O1501="1111")),TH!D1501,""),"")</f>
        <v/>
      </c>
      <c r="B1501" s="63">
        <f t="shared" si="216"/>
        <v>6</v>
      </c>
      <c r="C1501" s="64">
        <v>42523</v>
      </c>
      <c r="D1501" s="64" t="s">
        <v>705</v>
      </c>
      <c r="E1501" s="64">
        <f>C1501</f>
        <v>42523</v>
      </c>
      <c r="F1501" s="73" t="s">
        <v>1639</v>
      </c>
      <c r="G1501" s="67" t="s">
        <v>919</v>
      </c>
      <c r="H1501" s="73"/>
      <c r="I1501" s="439"/>
      <c r="J1501" s="439"/>
      <c r="K1501" s="430"/>
      <c r="L1501" s="439"/>
      <c r="M1501" s="65">
        <v>112450</v>
      </c>
      <c r="N1501" s="66" t="s">
        <v>101</v>
      </c>
      <c r="O1501" s="66" t="s">
        <v>26</v>
      </c>
      <c r="P1501" s="84" t="str">
        <f>IF(AND('331-CT'!$E$7=TH!H1501,OR(N1501="331",O1501="331")),"x","")</f>
        <v/>
      </c>
      <c r="Q1501" s="84" t="str">
        <f>IF(AND(B1501='111'!$L$11,OR($N1501=$Q$7,$O1501=$Q$7)),"x","")</f>
        <v/>
      </c>
      <c r="R1501" s="84" t="str">
        <f>IF(AND($N1501=$Q$7,$B1501&lt;'111'!$L$11),"x","")</f>
        <v/>
      </c>
      <c r="S1501" s="84" t="str">
        <f>IF(AND($O1501=$Q$7,$B1501&lt;'111'!$L$11),"x","")</f>
        <v/>
      </c>
      <c r="T1501" s="84" t="str">
        <f>IF(ISERROR(FIND('112'!$M$9,G1501,1)),"",IF((AND(FIND('112'!$M$9,G1501,1)&gt;=1,B1501='112'!$K$9,OR($N1501='112'!$I$6,$O1501='112'!$I$6))),"x",""))</f>
        <v>x</v>
      </c>
      <c r="U1501" s="84" t="str">
        <f>IF(ISERROR(FIND('112'!$M$9,G1501,1)),"",IF((AND(LEFT(G1501,2)=LEFT('112'!$M$9,2),B1501&lt;'112'!$K$9,$N1501='112'!$I$6)),"x",""))</f>
        <v/>
      </c>
      <c r="V1501" s="84" t="str">
        <f>IF(ISERROR(FIND('112'!$M$9,G1501,1)),"",IF((AND(RIGHT(G1501,2)=RIGHT('112'!$M$9,2),B1501&lt;'112'!$K$9,$O1501='112'!$I$6)),"x",""))</f>
        <v/>
      </c>
      <c r="W1501" s="84" t="str">
        <f>IF(AND('341-CT'!$H$9=H1501,OR(LEFT(N1501,3)=$W$7,LEFT(O1501,3)=$W$7)),"x","")</f>
        <v/>
      </c>
      <c r="X1501" s="84" t="str">
        <f>IF(OR(TH!N1501=TH!$X$7,O1501=TH!$X$7),"x","")</f>
        <v/>
      </c>
      <c r="Y1501" s="84" t="str">
        <f>IF(AND(OR(N1501="131",O1501="131"),H1501='131-CT'!$H$9),"x","")</f>
        <v/>
      </c>
      <c r="Z1501" s="84"/>
      <c r="AA1501" s="84" t="str">
        <f>IF(AND(MONTH(E1501)='IN-NX'!$J$5,'IN-NX'!$D$7=D1501),"x","")</f>
        <v/>
      </c>
      <c r="AB1501" s="84" t="str">
        <f>IF(AND(OR(LEFT(TH!N1501,2)="15",LEFT(TH!O1501,2)="15"),LEFT(TH!O1501,3)&lt;&gt;"111",'152-CT'!$J$8=TH!F1501),"x","")</f>
        <v/>
      </c>
      <c r="AC1501" s="84" t="str">
        <f>IF(AND(OR(LEFT(TH!N1501,2)="15",LEFT(TH!O1501,2)="15"),TK!$E$7=TH!F1501),"x","")</f>
        <v/>
      </c>
      <c r="AD1501" s="84" t="str">
        <f>IF(AND(N1501="1521",MONTH(C1501)='BK-NL'!$M$11),"x","")</f>
        <v/>
      </c>
      <c r="AF1501" s="330">
        <v>1</v>
      </c>
    </row>
    <row r="1502" spans="1:32" ht="15.75" hidden="1" customHeight="1">
      <c r="A1502" s="336" t="str">
        <f>IF(B1502&lt;&gt;"",IF(AND(B1502='IN-TC'!$S$4,OR(TH!N1502="1111",TH!O1502="1111")),TH!D1502,""),"")</f>
        <v/>
      </c>
      <c r="B1502" s="63">
        <f t="shared" si="216"/>
        <v>6</v>
      </c>
      <c r="C1502" s="64">
        <v>42523</v>
      </c>
      <c r="D1502" s="64" t="s">
        <v>705</v>
      </c>
      <c r="E1502" s="64">
        <f>C1502</f>
        <v>42523</v>
      </c>
      <c r="F1502" s="73" t="s">
        <v>1640</v>
      </c>
      <c r="G1502" s="67" t="s">
        <v>919</v>
      </c>
      <c r="H1502" s="73"/>
      <c r="I1502" s="439"/>
      <c r="J1502" s="439"/>
      <c r="K1502" s="430"/>
      <c r="L1502" s="439"/>
      <c r="M1502" s="65">
        <v>11245</v>
      </c>
      <c r="N1502" s="66" t="s">
        <v>9</v>
      </c>
      <c r="O1502" s="66" t="s">
        <v>26</v>
      </c>
      <c r="P1502" s="84" t="str">
        <f>IF(AND('331-CT'!$E$7=TH!H1502,OR(N1502="331",O1502="331")),"x","")</f>
        <v/>
      </c>
      <c r="Q1502" s="84" t="str">
        <f>IF(AND(B1502='111'!$L$11,OR($N1502=$Q$7,$O1502=$Q$7)),"x","")</f>
        <v/>
      </c>
      <c r="R1502" s="84" t="str">
        <f>IF(AND($N1502=$Q$7,$B1502&lt;'111'!$L$11),"x","")</f>
        <v/>
      </c>
      <c r="S1502" s="84" t="str">
        <f>IF(AND($O1502=$Q$7,$B1502&lt;'111'!$L$11),"x","")</f>
        <v/>
      </c>
      <c r="T1502" s="84" t="str">
        <f>IF(ISERROR(FIND('112'!$M$9,G1502,1)),"",IF((AND(FIND('112'!$M$9,G1502,1)&gt;=1,B1502='112'!$K$9,OR($N1502='112'!$I$6,$O1502='112'!$I$6))),"x",""))</f>
        <v>x</v>
      </c>
      <c r="U1502" s="84" t="str">
        <f>IF(ISERROR(FIND('112'!$M$9,G1502,1)),"",IF((AND(LEFT(G1502,2)=LEFT('112'!$M$9,2),B1502&lt;'112'!$K$9,$N1502='112'!$I$6)),"x",""))</f>
        <v/>
      </c>
      <c r="V1502" s="84" t="str">
        <f>IF(ISERROR(FIND('112'!$M$9,G1502,1)),"",IF((AND(RIGHT(G1502,2)=RIGHT('112'!$M$9,2),B1502&lt;'112'!$K$9,$O1502='112'!$I$6)),"x",""))</f>
        <v/>
      </c>
      <c r="W1502" s="84" t="str">
        <f>IF(AND('341-CT'!$H$9=H1502,OR(LEFT(N1502,3)=$W$7,LEFT(O1502,3)=$W$7)),"x","")</f>
        <v/>
      </c>
      <c r="X1502" s="84" t="str">
        <f>IF(OR(TH!N1502=TH!$X$7,O1502=TH!$X$7),"x","")</f>
        <v/>
      </c>
      <c r="Y1502" s="84" t="str">
        <f>IF(AND(OR(N1502="131",O1502="131"),H1502='131-CT'!$H$9),"x","")</f>
        <v/>
      </c>
      <c r="Z1502" s="84"/>
      <c r="AA1502" s="84" t="str">
        <f>IF(AND(MONTH(E1502)='IN-NX'!$J$5,'IN-NX'!$D$7=D1502),"x","")</f>
        <v/>
      </c>
      <c r="AB1502" s="84" t="str">
        <f>IF(AND(OR(LEFT(TH!N1502,2)="15",LEFT(TH!O1502,2)="15"),LEFT(TH!O1502,3)&lt;&gt;"111",'152-CT'!$J$8=TH!F1502),"x","")</f>
        <v/>
      </c>
      <c r="AC1502" s="84" t="str">
        <f>IF(AND(OR(LEFT(TH!N1502,2)="15",LEFT(TH!O1502,2)="15"),TK!$E$7=TH!F1502),"x","")</f>
        <v/>
      </c>
      <c r="AD1502" s="84" t="str">
        <f>IF(AND(N1502="1521",MONTH(C1502)='BK-NL'!$M$11),"x","")</f>
        <v/>
      </c>
    </row>
    <row r="1503" spans="1:32" ht="15.75" hidden="1" customHeight="1">
      <c r="A1503" s="336" t="str">
        <f>IF(B1503&lt;&gt;"",IF(AND(B1503='IN-TC'!$S$4,OR(TH!N1503="1111",TH!O1503="1111")),TH!D1503,""),"")</f>
        <v/>
      </c>
      <c r="B1503" s="63">
        <f t="shared" si="216"/>
        <v>6</v>
      </c>
      <c r="C1503" s="64">
        <v>42524</v>
      </c>
      <c r="D1503" s="64" t="s">
        <v>871</v>
      </c>
      <c r="E1503" s="64">
        <v>42524</v>
      </c>
      <c r="F1503" s="73" t="s">
        <v>1114</v>
      </c>
      <c r="G1503" s="982" t="s">
        <v>1570</v>
      </c>
      <c r="H1503" s="73" t="s">
        <v>808</v>
      </c>
      <c r="I1503" s="439"/>
      <c r="J1503" s="439"/>
      <c r="K1503" s="430"/>
      <c r="L1503" s="439"/>
      <c r="M1503" s="65">
        <v>675818</v>
      </c>
      <c r="N1503" s="66" t="s">
        <v>101</v>
      </c>
      <c r="O1503" s="66" t="s">
        <v>63</v>
      </c>
      <c r="P1503" s="84" t="str">
        <f>IF(AND('331-CT'!$E$7=TH!H1503,OR(N1503="331",O1503="331")),"x","")</f>
        <v/>
      </c>
      <c r="Q1503" s="84" t="str">
        <f>IF(AND(B1503='111'!$L$11,OR($N1503=$Q$7,$O1503=$Q$7)),"x","")</f>
        <v/>
      </c>
      <c r="R1503" s="84" t="str">
        <f>IF(AND($N1503=$Q$7,$B1503&lt;'111'!$L$11),"x","")</f>
        <v/>
      </c>
      <c r="S1503" s="84" t="str">
        <f>IF(AND($O1503=$Q$7,$B1503&lt;'111'!$L$11),"x","")</f>
        <v/>
      </c>
      <c r="T1503" s="84" t="str">
        <f>IF(ISERROR(FIND('112'!$M$9,G1503,1)),"",IF((AND(FIND('112'!$M$9,G1503,1)&gt;=1,B1503='112'!$K$9,OR($N1503='112'!$I$6,$O1503='112'!$I$6))),"x",""))</f>
        <v/>
      </c>
      <c r="U1503" s="84" t="str">
        <f>IF(ISERROR(FIND('112'!$M$9,G1503,1)),"",IF((AND(LEFT(G1503,2)=LEFT('112'!$M$9,2),B1503&lt;'112'!$K$9,$N1503='112'!$I$6)),"x",""))</f>
        <v/>
      </c>
      <c r="V1503" s="84" t="str">
        <f>IF(ISERROR(FIND('112'!$M$9,G1503,1)),"",IF((AND(RIGHT(G1503,2)=RIGHT('112'!$M$9,2),B1503&lt;'112'!$K$9,$O1503='112'!$I$6)),"x",""))</f>
        <v/>
      </c>
      <c r="W1503" s="84" t="str">
        <f>IF(AND('341-CT'!$H$9=H1503,OR(LEFT(N1503,3)=$W$7,LEFT(O1503,3)=$W$7)),"x","")</f>
        <v/>
      </c>
      <c r="X1503" s="84" t="str">
        <f>IF(OR(TH!N1503=TH!$X$7,O1503=TH!$X$7),"x","")</f>
        <v/>
      </c>
      <c r="Y1503" s="84" t="str">
        <f>IF(AND(OR(N1503="131",O1503="131"),H1503='131-CT'!$H$9),"x","")</f>
        <v/>
      </c>
      <c r="Z1503" s="84"/>
      <c r="AA1503" s="84" t="str">
        <f>IF(AND(MONTH(E1503)='IN-NX'!$J$5,'IN-NX'!$D$7=D1503),"x","")</f>
        <v/>
      </c>
      <c r="AB1503" s="84" t="str">
        <f>IF(AND(OR(LEFT(TH!N1503,2)="15",LEFT(TH!O1503,2)="15"),LEFT(TH!O1503,3)&lt;&gt;"111",'152-CT'!$J$8=TH!F1503),"x","")</f>
        <v/>
      </c>
      <c r="AC1503" s="84" t="str">
        <f>IF(AND(OR(LEFT(TH!N1503,2)="15",LEFT(TH!O1503,2)="15"),TK!$E$7=TH!F1503),"x","")</f>
        <v/>
      </c>
      <c r="AD1503" s="84" t="str">
        <f>IF(AND(N1503="1521",MONTH(C1503)='BK-NL'!$M$11),"x","")</f>
        <v/>
      </c>
      <c r="AF1503" s="330">
        <v>1</v>
      </c>
    </row>
    <row r="1504" spans="1:32" ht="15.75" hidden="1" customHeight="1">
      <c r="A1504" s="336" t="str">
        <f>IF(B1504&lt;&gt;"",IF(AND(B1504='IN-TC'!$S$4,OR(TH!N1504="1111",TH!O1504="1111")),TH!D1504,""),"")</f>
        <v/>
      </c>
      <c r="B1504" s="63">
        <f t="shared" si="216"/>
        <v>6</v>
      </c>
      <c r="C1504" s="64">
        <v>42524</v>
      </c>
      <c r="D1504" s="64" t="s">
        <v>871</v>
      </c>
      <c r="E1504" s="64">
        <v>42524</v>
      </c>
      <c r="F1504" s="73" t="s">
        <v>1344</v>
      </c>
      <c r="G1504" s="982" t="s">
        <v>1570</v>
      </c>
      <c r="H1504" s="73" t="s">
        <v>808</v>
      </c>
      <c r="I1504" s="439"/>
      <c r="J1504" s="439"/>
      <c r="K1504" s="430"/>
      <c r="L1504" s="439"/>
      <c r="M1504" s="65">
        <v>67582</v>
      </c>
      <c r="N1504" s="66" t="s">
        <v>9</v>
      </c>
      <c r="O1504" s="66" t="s">
        <v>63</v>
      </c>
      <c r="P1504" s="84" t="str">
        <f>IF(AND('331-CT'!$E$7=TH!H1504,OR(N1504="331",O1504="331")),"x","")</f>
        <v/>
      </c>
      <c r="Q1504" s="84" t="str">
        <f>IF(AND(B1504='111'!$L$11,OR($N1504=$Q$7,$O1504=$Q$7)),"x","")</f>
        <v/>
      </c>
      <c r="R1504" s="84" t="str">
        <f>IF(AND($N1504=$Q$7,$B1504&lt;'111'!$L$11),"x","")</f>
        <v/>
      </c>
      <c r="S1504" s="84" t="str">
        <f>IF(AND($O1504=$Q$7,$B1504&lt;'111'!$L$11),"x","")</f>
        <v/>
      </c>
      <c r="T1504" s="84" t="str">
        <f>IF(ISERROR(FIND('112'!$M$9,G1504,1)),"",IF((AND(FIND('112'!$M$9,G1504,1)&gt;=1,B1504='112'!$K$9,OR($N1504='112'!$I$6,$O1504='112'!$I$6))),"x",""))</f>
        <v/>
      </c>
      <c r="U1504" s="84" t="str">
        <f>IF(ISERROR(FIND('112'!$M$9,G1504,1)),"",IF((AND(LEFT(G1504,2)=LEFT('112'!$M$9,2),B1504&lt;'112'!$K$9,$N1504='112'!$I$6)),"x",""))</f>
        <v/>
      </c>
      <c r="V1504" s="84" t="str">
        <f>IF(ISERROR(FIND('112'!$M$9,G1504,1)),"",IF((AND(RIGHT(G1504,2)=RIGHT('112'!$M$9,2),B1504&lt;'112'!$K$9,$O1504='112'!$I$6)),"x",""))</f>
        <v/>
      </c>
      <c r="W1504" s="84" t="str">
        <f>IF(AND('341-CT'!$H$9=H1504,OR(LEFT(N1504,3)=$W$7,LEFT(O1504,3)=$W$7)),"x","")</f>
        <v/>
      </c>
      <c r="X1504" s="84" t="str">
        <f>IF(OR(TH!N1504=TH!$X$7,O1504=TH!$X$7),"x","")</f>
        <v/>
      </c>
      <c r="Y1504" s="84" t="str">
        <f>IF(AND(OR(N1504="131",O1504="131"),H1504='131-CT'!$H$9),"x","")</f>
        <v/>
      </c>
      <c r="Z1504" s="84"/>
      <c r="AA1504" s="84" t="str">
        <f>IF(AND(MONTH(E1504)='IN-NX'!$J$5,'IN-NX'!$D$7=D1504),"x","")</f>
        <v/>
      </c>
      <c r="AB1504" s="84" t="str">
        <f>IF(AND(OR(LEFT(TH!N1504,2)="15",LEFT(TH!O1504,2)="15"),LEFT(TH!O1504,3)&lt;&gt;"111",'152-CT'!$J$8=TH!F1504),"x","")</f>
        <v/>
      </c>
      <c r="AC1504" s="84" t="str">
        <f>IF(AND(OR(LEFT(TH!N1504,2)="15",LEFT(TH!O1504,2)="15"),TK!$E$7=TH!F1504),"x","")</f>
        <v/>
      </c>
      <c r="AD1504" s="84" t="str">
        <f>IF(AND(N1504="1521",MONTH(C1504)='BK-NL'!$M$11),"x","")</f>
        <v/>
      </c>
    </row>
    <row r="1505" spans="1:32" ht="15.75" hidden="1" customHeight="1">
      <c r="A1505" s="336" t="str">
        <f>IF(B1505&lt;&gt;"",IF(AND(B1505='IN-TC'!$S$4,OR(TH!N1505="1111",TH!O1505="1111")),TH!D1505,""),"")</f>
        <v/>
      </c>
      <c r="B1505" s="63">
        <f t="shared" si="216"/>
        <v>6</v>
      </c>
      <c r="C1505" s="64">
        <v>42525</v>
      </c>
      <c r="D1505" s="64" t="s">
        <v>872</v>
      </c>
      <c r="E1505" s="64">
        <v>42525</v>
      </c>
      <c r="F1505" s="73" t="s">
        <v>1571</v>
      </c>
      <c r="G1505" s="982" t="s">
        <v>1572</v>
      </c>
      <c r="H1505" s="73" t="s">
        <v>1032</v>
      </c>
      <c r="I1505" s="439"/>
      <c r="J1505" s="439"/>
      <c r="K1505" s="430"/>
      <c r="L1505" s="439"/>
      <c r="M1505" s="65">
        <v>155000</v>
      </c>
      <c r="N1505" s="66" t="s">
        <v>101</v>
      </c>
      <c r="O1505" s="66" t="s">
        <v>63</v>
      </c>
      <c r="P1505" s="84" t="str">
        <f>IF(AND('331-CT'!$E$7=TH!H1505,OR(N1505="331",O1505="331")),"x","")</f>
        <v/>
      </c>
      <c r="Q1505" s="84" t="str">
        <f>IF(AND(B1505='111'!$L$11,OR($N1505=$Q$7,$O1505=$Q$7)),"x","")</f>
        <v/>
      </c>
      <c r="R1505" s="84" t="str">
        <f>IF(AND($N1505=$Q$7,$B1505&lt;'111'!$L$11),"x","")</f>
        <v/>
      </c>
      <c r="S1505" s="84" t="str">
        <f>IF(AND($O1505=$Q$7,$B1505&lt;'111'!$L$11),"x","")</f>
        <v/>
      </c>
      <c r="T1505" s="84" t="str">
        <f>IF(ISERROR(FIND('112'!$M$9,G1505,1)),"",IF((AND(FIND('112'!$M$9,G1505,1)&gt;=1,B1505='112'!$K$9,OR($N1505='112'!$I$6,$O1505='112'!$I$6))),"x",""))</f>
        <v/>
      </c>
      <c r="U1505" s="84" t="str">
        <f>IF(ISERROR(FIND('112'!$M$9,G1505,1)),"",IF((AND(LEFT(G1505,2)=LEFT('112'!$M$9,2),B1505&lt;'112'!$K$9,$N1505='112'!$I$6)),"x",""))</f>
        <v/>
      </c>
      <c r="V1505" s="84" t="str">
        <f>IF(ISERROR(FIND('112'!$M$9,G1505,1)),"",IF((AND(RIGHT(G1505,2)=RIGHT('112'!$M$9,2),B1505&lt;'112'!$K$9,$O1505='112'!$I$6)),"x",""))</f>
        <v/>
      </c>
      <c r="W1505" s="84" t="str">
        <f>IF(AND('341-CT'!$H$9=H1505,OR(LEFT(N1505,3)=$W$7,LEFT(O1505,3)=$W$7)),"x","")</f>
        <v/>
      </c>
      <c r="X1505" s="84" t="str">
        <f>IF(OR(TH!N1505=TH!$X$7,O1505=TH!$X$7),"x","")</f>
        <v/>
      </c>
      <c r="Y1505" s="84" t="str">
        <f>IF(AND(OR(N1505="131",O1505="131"),H1505='131-CT'!$H$9),"x","")</f>
        <v/>
      </c>
      <c r="Z1505" s="84"/>
      <c r="AA1505" s="84" t="str">
        <f>IF(AND(MONTH(E1505)='IN-NX'!$J$5,'IN-NX'!$D$7=D1505),"x","")</f>
        <v/>
      </c>
      <c r="AB1505" s="84" t="str">
        <f>IF(AND(OR(LEFT(TH!N1505,2)="15",LEFT(TH!O1505,2)="15"),LEFT(TH!O1505,3)&lt;&gt;"111",'152-CT'!$J$8=TH!F1505),"x","")</f>
        <v/>
      </c>
      <c r="AC1505" s="84" t="str">
        <f>IF(AND(OR(LEFT(TH!N1505,2)="15",LEFT(TH!O1505,2)="15"),TK!$E$7=TH!F1505),"x","")</f>
        <v/>
      </c>
      <c r="AD1505" s="84" t="str">
        <f>IF(AND(N1505="1521",MONTH(C1505)='BK-NL'!$M$11),"x","")</f>
        <v/>
      </c>
    </row>
    <row r="1506" spans="1:32" ht="15.75" hidden="1" customHeight="1">
      <c r="A1506" s="336" t="str">
        <f>IF(B1506&lt;&gt;"",IF(AND(B1506='IN-TC'!$S$4,OR(TH!N1506="1111",TH!O1506="1111")),TH!D1506,""),"")</f>
        <v/>
      </c>
      <c r="B1506" s="63">
        <f t="shared" si="216"/>
        <v>6</v>
      </c>
      <c r="C1506" s="64">
        <v>42525</v>
      </c>
      <c r="D1506" s="64" t="s">
        <v>873</v>
      </c>
      <c r="E1506" s="64">
        <v>42525</v>
      </c>
      <c r="F1506" s="73" t="s">
        <v>771</v>
      </c>
      <c r="G1506" s="982" t="s">
        <v>1573</v>
      </c>
      <c r="H1506" s="73" t="s">
        <v>808</v>
      </c>
      <c r="I1506" s="439"/>
      <c r="J1506" s="439"/>
      <c r="K1506" s="430"/>
      <c r="L1506" s="439"/>
      <c r="M1506" s="65">
        <v>565000</v>
      </c>
      <c r="N1506" s="66" t="s">
        <v>101</v>
      </c>
      <c r="O1506" s="66" t="s">
        <v>63</v>
      </c>
      <c r="P1506" s="84" t="str">
        <f>IF(AND('331-CT'!$E$7=TH!H1506,OR(N1506="331",O1506="331")),"x","")</f>
        <v/>
      </c>
      <c r="Q1506" s="84" t="str">
        <f>IF(AND(B1506='111'!$L$11,OR($N1506=$Q$7,$O1506=$Q$7)),"x","")</f>
        <v/>
      </c>
      <c r="R1506" s="84" t="str">
        <f>IF(AND($N1506=$Q$7,$B1506&lt;'111'!$L$11),"x","")</f>
        <v/>
      </c>
      <c r="S1506" s="84" t="str">
        <f>IF(AND($O1506=$Q$7,$B1506&lt;'111'!$L$11),"x","")</f>
        <v/>
      </c>
      <c r="T1506" s="84" t="str">
        <f>IF(ISERROR(FIND('112'!$M$9,G1506,1)),"",IF((AND(FIND('112'!$M$9,G1506,1)&gt;=1,B1506='112'!$K$9,OR($N1506='112'!$I$6,$O1506='112'!$I$6))),"x",""))</f>
        <v/>
      </c>
      <c r="U1506" s="84" t="str">
        <f>IF(ISERROR(FIND('112'!$M$9,G1506,1)),"",IF((AND(LEFT(G1506,2)=LEFT('112'!$M$9,2),B1506&lt;'112'!$K$9,$N1506='112'!$I$6)),"x",""))</f>
        <v/>
      </c>
      <c r="V1506" s="84" t="str">
        <f>IF(ISERROR(FIND('112'!$M$9,G1506,1)),"",IF((AND(RIGHT(G1506,2)=RIGHT('112'!$M$9,2),B1506&lt;'112'!$K$9,$O1506='112'!$I$6)),"x",""))</f>
        <v/>
      </c>
      <c r="W1506" s="84" t="str">
        <f>IF(AND('341-CT'!$H$9=H1506,OR(LEFT(N1506,3)=$W$7,LEFT(O1506,3)=$W$7)),"x","")</f>
        <v/>
      </c>
      <c r="X1506" s="84" t="str">
        <f>IF(OR(TH!N1506=TH!$X$7,O1506=TH!$X$7),"x","")</f>
        <v/>
      </c>
      <c r="Y1506" s="84" t="str">
        <f>IF(AND(OR(N1506="131",O1506="131"),H1506='131-CT'!$H$9),"x","")</f>
        <v/>
      </c>
      <c r="Z1506" s="84"/>
      <c r="AA1506" s="84" t="str">
        <f>IF(AND(MONTH(E1506)='IN-NX'!$J$5,'IN-NX'!$D$7=D1506),"x","")</f>
        <v/>
      </c>
      <c r="AB1506" s="84" t="str">
        <f>IF(AND(OR(LEFT(TH!N1506,2)="15",LEFT(TH!O1506,2)="15"),LEFT(TH!O1506,3)&lt;&gt;"111",'152-CT'!$J$8=TH!F1506),"x","")</f>
        <v/>
      </c>
      <c r="AC1506" s="84" t="str">
        <f>IF(AND(OR(LEFT(TH!N1506,2)="15",LEFT(TH!O1506,2)="15"),TK!$E$7=TH!F1506),"x","")</f>
        <v/>
      </c>
      <c r="AD1506" s="84" t="str">
        <f>IF(AND(N1506="1521",MONTH(C1506)='BK-NL'!$M$11),"x","")</f>
        <v/>
      </c>
      <c r="AF1506" s="330">
        <v>1</v>
      </c>
    </row>
    <row r="1507" spans="1:32" ht="15.75" hidden="1" customHeight="1">
      <c r="A1507" s="336" t="str">
        <f>IF(B1507&lt;&gt;"",IF(AND(B1507='IN-TC'!$S$4,OR(TH!N1507="1111",TH!O1507="1111")),TH!D1507,""),"")</f>
        <v/>
      </c>
      <c r="B1507" s="63">
        <f t="shared" si="216"/>
        <v>6</v>
      </c>
      <c r="C1507" s="64">
        <v>42525</v>
      </c>
      <c r="D1507" s="64" t="s">
        <v>873</v>
      </c>
      <c r="E1507" s="64">
        <v>42525</v>
      </c>
      <c r="F1507" s="73" t="s">
        <v>772</v>
      </c>
      <c r="G1507" s="982" t="s">
        <v>1573</v>
      </c>
      <c r="H1507" s="73" t="s">
        <v>808</v>
      </c>
      <c r="I1507" s="439"/>
      <c r="J1507" s="439"/>
      <c r="K1507" s="430"/>
      <c r="L1507" s="439"/>
      <c r="M1507" s="65">
        <v>56500</v>
      </c>
      <c r="N1507" s="66" t="s">
        <v>9</v>
      </c>
      <c r="O1507" s="66" t="s">
        <v>63</v>
      </c>
      <c r="P1507" s="84" t="str">
        <f>IF(AND('331-CT'!$E$7=TH!H1507,OR(N1507="331",O1507="331")),"x","")</f>
        <v/>
      </c>
      <c r="Q1507" s="84" t="str">
        <f>IF(AND(B1507='111'!$L$11,OR($N1507=$Q$7,$O1507=$Q$7)),"x","")</f>
        <v/>
      </c>
      <c r="R1507" s="84" t="str">
        <f>IF(AND($N1507=$Q$7,$B1507&lt;'111'!$L$11),"x","")</f>
        <v/>
      </c>
      <c r="S1507" s="84" t="str">
        <f>IF(AND($O1507=$Q$7,$B1507&lt;'111'!$L$11),"x","")</f>
        <v/>
      </c>
      <c r="T1507" s="84" t="str">
        <f>IF(ISERROR(FIND('112'!$M$9,G1507,1)),"",IF((AND(FIND('112'!$M$9,G1507,1)&gt;=1,B1507='112'!$K$9,OR($N1507='112'!$I$6,$O1507='112'!$I$6))),"x",""))</f>
        <v/>
      </c>
      <c r="U1507" s="84" t="str">
        <f>IF(ISERROR(FIND('112'!$M$9,G1507,1)),"",IF((AND(LEFT(G1507,2)=LEFT('112'!$M$9,2),B1507&lt;'112'!$K$9,$N1507='112'!$I$6)),"x",""))</f>
        <v/>
      </c>
      <c r="V1507" s="84" t="str">
        <f>IF(ISERROR(FIND('112'!$M$9,G1507,1)),"",IF((AND(RIGHT(G1507,2)=RIGHT('112'!$M$9,2),B1507&lt;'112'!$K$9,$O1507='112'!$I$6)),"x",""))</f>
        <v/>
      </c>
      <c r="W1507" s="84" t="str">
        <f>IF(AND('341-CT'!$H$9=H1507,OR(LEFT(N1507,3)=$W$7,LEFT(O1507,3)=$W$7)),"x","")</f>
        <v/>
      </c>
      <c r="X1507" s="84" t="str">
        <f>IF(OR(TH!N1507=TH!$X$7,O1507=TH!$X$7),"x","")</f>
        <v/>
      </c>
      <c r="Y1507" s="84" t="str">
        <f>IF(AND(OR(N1507="131",O1507="131"),H1507='131-CT'!$H$9),"x","")</f>
        <v/>
      </c>
      <c r="Z1507" s="84"/>
      <c r="AA1507" s="84" t="str">
        <f>IF(AND(MONTH(E1507)='IN-NX'!$J$5,'IN-NX'!$D$7=D1507),"x","")</f>
        <v/>
      </c>
      <c r="AB1507" s="84" t="str">
        <f>IF(AND(OR(LEFT(TH!N1507,2)="15",LEFT(TH!O1507,2)="15"),LEFT(TH!O1507,3)&lt;&gt;"111",'152-CT'!$J$8=TH!F1507),"x","")</f>
        <v/>
      </c>
      <c r="AC1507" s="84" t="str">
        <f>IF(AND(OR(LEFT(TH!N1507,2)="15",LEFT(TH!O1507,2)="15"),TK!$E$7=TH!F1507),"x","")</f>
        <v/>
      </c>
      <c r="AD1507" s="84" t="str">
        <f>IF(AND(N1507="1521",MONTH(C1507)='BK-NL'!$M$11),"x","")</f>
        <v/>
      </c>
    </row>
    <row r="1508" spans="1:32" ht="15.75" hidden="1" customHeight="1">
      <c r="A1508" s="336" t="str">
        <f>IF(B1508&lt;&gt;"",IF(AND(B1508='IN-TC'!$S$4,OR(TH!N1508="1111",TH!O1508="1111")),TH!D1508,""),"")</f>
        <v/>
      </c>
      <c r="B1508" s="63">
        <f t="shared" si="216"/>
        <v>6</v>
      </c>
      <c r="C1508" s="64">
        <v>42527</v>
      </c>
      <c r="D1508" s="64" t="s">
        <v>875</v>
      </c>
      <c r="E1508" s="64">
        <v>42527</v>
      </c>
      <c r="F1508" s="73" t="s">
        <v>1575</v>
      </c>
      <c r="G1508" s="982" t="s">
        <v>1574</v>
      </c>
      <c r="H1508" s="73" t="s">
        <v>846</v>
      </c>
      <c r="I1508" s="439"/>
      <c r="J1508" s="439"/>
      <c r="K1508" s="430"/>
      <c r="L1508" s="439"/>
      <c r="M1508" s="65">
        <v>1965005</v>
      </c>
      <c r="N1508" s="66" t="s">
        <v>101</v>
      </c>
      <c r="O1508" s="66" t="s">
        <v>63</v>
      </c>
      <c r="P1508" s="84" t="str">
        <f>IF(AND('331-CT'!$E$7=TH!H1508,OR(N1508="331",O1508="331")),"x","")</f>
        <v/>
      </c>
      <c r="Q1508" s="84" t="str">
        <f>IF(AND(B1508='111'!$L$11,OR($N1508=$Q$7,$O1508=$Q$7)),"x","")</f>
        <v/>
      </c>
      <c r="R1508" s="84" t="str">
        <f>IF(AND($N1508=$Q$7,$B1508&lt;'111'!$L$11),"x","")</f>
        <v/>
      </c>
      <c r="S1508" s="84" t="str">
        <f>IF(AND($O1508=$Q$7,$B1508&lt;'111'!$L$11),"x","")</f>
        <v/>
      </c>
      <c r="T1508" s="84" t="str">
        <f>IF(ISERROR(FIND('112'!$M$9,G1508,1)),"",IF((AND(FIND('112'!$M$9,G1508,1)&gt;=1,B1508='112'!$K$9,OR($N1508='112'!$I$6,$O1508='112'!$I$6))),"x",""))</f>
        <v/>
      </c>
      <c r="U1508" s="84" t="str">
        <f>IF(ISERROR(FIND('112'!$M$9,G1508,1)),"",IF((AND(LEFT(G1508,2)=LEFT('112'!$M$9,2),B1508&lt;'112'!$K$9,$N1508='112'!$I$6)),"x",""))</f>
        <v/>
      </c>
      <c r="V1508" s="84" t="str">
        <f>IF(ISERROR(FIND('112'!$M$9,G1508,1)),"",IF((AND(RIGHT(G1508,2)=RIGHT('112'!$M$9,2),B1508&lt;'112'!$K$9,$O1508='112'!$I$6)),"x",""))</f>
        <v/>
      </c>
      <c r="W1508" s="84" t="str">
        <f>IF(AND('341-CT'!$H$9=H1508,OR(LEFT(N1508,3)=$W$7,LEFT(O1508,3)=$W$7)),"x","")</f>
        <v/>
      </c>
      <c r="X1508" s="84" t="str">
        <f>IF(OR(TH!N1508=TH!$X$7,O1508=TH!$X$7),"x","")</f>
        <v/>
      </c>
      <c r="Y1508" s="84" t="str">
        <f>IF(AND(OR(N1508="131",O1508="131"),H1508='131-CT'!$H$9),"x","")</f>
        <v/>
      </c>
      <c r="Z1508" s="84"/>
      <c r="AA1508" s="84" t="str">
        <f>IF(AND(MONTH(E1508)='IN-NX'!$J$5,'IN-NX'!$D$7=D1508),"x","")</f>
        <v/>
      </c>
      <c r="AB1508" s="84" t="str">
        <f>IF(AND(OR(LEFT(TH!N1508,2)="15",LEFT(TH!O1508,2)="15"),LEFT(TH!O1508,3)&lt;&gt;"111",'152-CT'!$J$8=TH!F1508),"x","")</f>
        <v/>
      </c>
      <c r="AC1508" s="84" t="str">
        <f>IF(AND(OR(LEFT(TH!N1508,2)="15",LEFT(TH!O1508,2)="15"),TK!$E$7=TH!F1508),"x","")</f>
        <v/>
      </c>
      <c r="AD1508" s="84" t="str">
        <f>IF(AND(N1508="1521",MONTH(C1508)='BK-NL'!$M$11),"x","")</f>
        <v/>
      </c>
      <c r="AF1508" s="330">
        <v>1</v>
      </c>
    </row>
    <row r="1509" spans="1:32" ht="15.75" hidden="1" customHeight="1">
      <c r="A1509" s="336" t="str">
        <f>IF(B1509&lt;&gt;"",IF(AND(B1509='IN-TC'!$S$4,OR(TH!N1509="1111",TH!O1509="1111")),TH!D1509,""),"")</f>
        <v/>
      </c>
      <c r="B1509" s="63">
        <f t="shared" si="216"/>
        <v>6</v>
      </c>
      <c r="C1509" s="64">
        <v>42527</v>
      </c>
      <c r="D1509" s="64" t="s">
        <v>875</v>
      </c>
      <c r="E1509" s="64">
        <v>42527</v>
      </c>
      <c r="F1509" s="73" t="s">
        <v>1576</v>
      </c>
      <c r="G1509" s="982" t="s">
        <v>1574</v>
      </c>
      <c r="H1509" s="73" t="s">
        <v>846</v>
      </c>
      <c r="I1509" s="439"/>
      <c r="J1509" s="439"/>
      <c r="K1509" s="430"/>
      <c r="L1509" s="439"/>
      <c r="M1509" s="65">
        <v>196501</v>
      </c>
      <c r="N1509" s="66" t="s">
        <v>9</v>
      </c>
      <c r="O1509" s="66" t="s">
        <v>63</v>
      </c>
      <c r="P1509" s="84" t="str">
        <f>IF(AND('331-CT'!$E$7=TH!H1509,OR(N1509="331",O1509="331")),"x","")</f>
        <v/>
      </c>
      <c r="Q1509" s="84" t="str">
        <f>IF(AND(B1509='111'!$L$11,OR($N1509=$Q$7,$O1509=$Q$7)),"x","")</f>
        <v/>
      </c>
      <c r="R1509" s="84" t="str">
        <f>IF(AND($N1509=$Q$7,$B1509&lt;'111'!$L$11),"x","")</f>
        <v/>
      </c>
      <c r="S1509" s="84" t="str">
        <f>IF(AND($O1509=$Q$7,$B1509&lt;'111'!$L$11),"x","")</f>
        <v/>
      </c>
      <c r="T1509" s="84" t="str">
        <f>IF(ISERROR(FIND('112'!$M$9,G1509,1)),"",IF((AND(FIND('112'!$M$9,G1509,1)&gt;=1,B1509='112'!$K$9,OR($N1509='112'!$I$6,$O1509='112'!$I$6))),"x",""))</f>
        <v/>
      </c>
      <c r="U1509" s="84" t="str">
        <f>IF(ISERROR(FIND('112'!$M$9,G1509,1)),"",IF((AND(LEFT(G1509,2)=LEFT('112'!$M$9,2),B1509&lt;'112'!$K$9,$N1509='112'!$I$6)),"x",""))</f>
        <v/>
      </c>
      <c r="V1509" s="84" t="str">
        <f>IF(ISERROR(FIND('112'!$M$9,G1509,1)),"",IF((AND(RIGHT(G1509,2)=RIGHT('112'!$M$9,2),B1509&lt;'112'!$K$9,$O1509='112'!$I$6)),"x",""))</f>
        <v/>
      </c>
      <c r="W1509" s="84" t="str">
        <f>IF(AND('341-CT'!$H$9=H1509,OR(LEFT(N1509,3)=$W$7,LEFT(O1509,3)=$W$7)),"x","")</f>
        <v/>
      </c>
      <c r="X1509" s="84" t="str">
        <f>IF(OR(TH!N1509=TH!$X$7,O1509=TH!$X$7),"x","")</f>
        <v/>
      </c>
      <c r="Y1509" s="84" t="str">
        <f>IF(AND(OR(N1509="131",O1509="131"),H1509='131-CT'!$H$9),"x","")</f>
        <v/>
      </c>
      <c r="Z1509" s="84"/>
      <c r="AA1509" s="84" t="str">
        <f>IF(AND(MONTH(E1509)='IN-NX'!$J$5,'IN-NX'!$D$7=D1509),"x","")</f>
        <v/>
      </c>
      <c r="AB1509" s="84" t="str">
        <f>IF(AND(OR(LEFT(TH!N1509,2)="15",LEFT(TH!O1509,2)="15"),LEFT(TH!O1509,3)&lt;&gt;"111",'152-CT'!$J$8=TH!F1509),"x","")</f>
        <v/>
      </c>
      <c r="AC1509" s="84" t="str">
        <f>IF(AND(OR(LEFT(TH!N1509,2)="15",LEFT(TH!O1509,2)="15"),TK!$E$7=TH!F1509),"x","")</f>
        <v/>
      </c>
      <c r="AD1509" s="84" t="str">
        <f>IF(AND(N1509="1521",MONTH(C1509)='BK-NL'!$M$11),"x","")</f>
        <v/>
      </c>
    </row>
    <row r="1510" spans="1:32" ht="15.75" hidden="1" customHeight="1">
      <c r="A1510" s="336" t="str">
        <f>IF(B1510&lt;&gt;"",IF(AND(B1510='IN-TC'!$S$4,OR(TH!N1510="1111",TH!O1510="1111")),TH!D1510,""),"")</f>
        <v/>
      </c>
      <c r="B1510" s="63">
        <f t="shared" si="216"/>
        <v>6</v>
      </c>
      <c r="C1510" s="64">
        <v>42527</v>
      </c>
      <c r="D1510" s="64" t="s">
        <v>876</v>
      </c>
      <c r="E1510" s="64">
        <v>42527</v>
      </c>
      <c r="F1510" s="73" t="s">
        <v>638</v>
      </c>
      <c r="G1510" s="982" t="s">
        <v>1577</v>
      </c>
      <c r="H1510" s="73" t="s">
        <v>831</v>
      </c>
      <c r="I1510" s="439"/>
      <c r="J1510" s="439"/>
      <c r="K1510" s="430"/>
      <c r="L1510" s="439"/>
      <c r="M1510" s="65">
        <v>1440000</v>
      </c>
      <c r="N1510" s="66" t="s">
        <v>101</v>
      </c>
      <c r="O1510" s="66" t="s">
        <v>63</v>
      </c>
      <c r="P1510" s="84" t="str">
        <f>IF(AND('331-CT'!$E$7=TH!H1510,OR(N1510="331",O1510="331")),"x","")</f>
        <v/>
      </c>
      <c r="Q1510" s="84" t="str">
        <f>IF(AND(B1510='111'!$L$11,OR($N1510=$Q$7,$O1510=$Q$7)),"x","")</f>
        <v/>
      </c>
      <c r="R1510" s="84" t="str">
        <f>IF(AND($N1510=$Q$7,$B1510&lt;'111'!$L$11),"x","")</f>
        <v/>
      </c>
      <c r="S1510" s="84" t="str">
        <f>IF(AND($O1510=$Q$7,$B1510&lt;'111'!$L$11),"x","")</f>
        <v/>
      </c>
      <c r="T1510" s="84" t="str">
        <f>IF(ISERROR(FIND('112'!$M$9,G1510,1)),"",IF((AND(FIND('112'!$M$9,G1510,1)&gt;=1,B1510='112'!$K$9,OR($N1510='112'!$I$6,$O1510='112'!$I$6))),"x",""))</f>
        <v/>
      </c>
      <c r="U1510" s="84" t="str">
        <f>IF(ISERROR(FIND('112'!$M$9,G1510,1)),"",IF((AND(LEFT(G1510,2)=LEFT('112'!$M$9,2),B1510&lt;'112'!$K$9,$N1510='112'!$I$6)),"x",""))</f>
        <v/>
      </c>
      <c r="V1510" s="84" t="str">
        <f>IF(ISERROR(FIND('112'!$M$9,G1510,1)),"",IF((AND(RIGHT(G1510,2)=RIGHT('112'!$M$9,2),B1510&lt;'112'!$K$9,$O1510='112'!$I$6)),"x",""))</f>
        <v/>
      </c>
      <c r="W1510" s="84" t="str">
        <f>IF(AND('341-CT'!$H$9=H1510,OR(LEFT(N1510,3)=$W$7,LEFT(O1510,3)=$W$7)),"x","")</f>
        <v/>
      </c>
      <c r="X1510" s="84" t="str">
        <f>IF(OR(TH!N1510=TH!$X$7,O1510=TH!$X$7),"x","")</f>
        <v/>
      </c>
      <c r="Y1510" s="84" t="str">
        <f>IF(AND(OR(N1510="131",O1510="131"),H1510='131-CT'!$H$9),"x","")</f>
        <v/>
      </c>
      <c r="Z1510" s="84"/>
      <c r="AA1510" s="84" t="str">
        <f>IF(AND(MONTH(E1510)='IN-NX'!$J$5,'IN-NX'!$D$7=D1510),"x","")</f>
        <v/>
      </c>
      <c r="AB1510" s="84" t="str">
        <f>IF(AND(OR(LEFT(TH!N1510,2)="15",LEFT(TH!O1510,2)="15"),LEFT(TH!O1510,3)&lt;&gt;"111",'152-CT'!$J$8=TH!F1510),"x","")</f>
        <v/>
      </c>
      <c r="AC1510" s="84" t="str">
        <f>IF(AND(OR(LEFT(TH!N1510,2)="15",LEFT(TH!O1510,2)="15"),TK!$E$7=TH!F1510),"x","")</f>
        <v/>
      </c>
      <c r="AD1510" s="84" t="str">
        <f>IF(AND(N1510="1521",MONTH(C1510)='BK-NL'!$M$11),"x","")</f>
        <v/>
      </c>
      <c r="AF1510" s="330">
        <v>1</v>
      </c>
    </row>
    <row r="1511" spans="1:32" ht="15.75" hidden="1" customHeight="1">
      <c r="A1511" s="336" t="str">
        <f>IF(B1511&lt;&gt;"",IF(AND(B1511='IN-TC'!$S$4,OR(TH!N1511="1111",TH!O1511="1111")),TH!D1511,""),"")</f>
        <v/>
      </c>
      <c r="B1511" s="63">
        <f t="shared" si="216"/>
        <v>6</v>
      </c>
      <c r="C1511" s="64">
        <v>42527</v>
      </c>
      <c r="D1511" s="64" t="s">
        <v>876</v>
      </c>
      <c r="E1511" s="64">
        <v>42527</v>
      </c>
      <c r="F1511" s="73" t="s">
        <v>1536</v>
      </c>
      <c r="G1511" s="982" t="s">
        <v>1577</v>
      </c>
      <c r="H1511" s="73" t="s">
        <v>831</v>
      </c>
      <c r="I1511" s="439"/>
      <c r="J1511" s="439"/>
      <c r="K1511" s="430"/>
      <c r="L1511" s="439"/>
      <c r="M1511" s="65">
        <v>72000</v>
      </c>
      <c r="N1511" s="66" t="s">
        <v>9</v>
      </c>
      <c r="O1511" s="66" t="s">
        <v>63</v>
      </c>
      <c r="P1511" s="84" t="str">
        <f>IF(AND('331-CT'!$E$7=TH!H1511,OR(N1511="331",O1511="331")),"x","")</f>
        <v/>
      </c>
      <c r="Q1511" s="84" t="str">
        <f>IF(AND(B1511='111'!$L$11,OR($N1511=$Q$7,$O1511=$Q$7)),"x","")</f>
        <v/>
      </c>
      <c r="R1511" s="84" t="str">
        <f>IF(AND($N1511=$Q$7,$B1511&lt;'111'!$L$11),"x","")</f>
        <v/>
      </c>
      <c r="S1511" s="84" t="str">
        <f>IF(AND($O1511=$Q$7,$B1511&lt;'111'!$L$11),"x","")</f>
        <v/>
      </c>
      <c r="T1511" s="84" t="str">
        <f>IF(ISERROR(FIND('112'!$M$9,G1511,1)),"",IF((AND(FIND('112'!$M$9,G1511,1)&gt;=1,B1511='112'!$K$9,OR($N1511='112'!$I$6,$O1511='112'!$I$6))),"x",""))</f>
        <v/>
      </c>
      <c r="U1511" s="84" t="str">
        <f>IF(ISERROR(FIND('112'!$M$9,G1511,1)),"",IF((AND(LEFT(G1511,2)=LEFT('112'!$M$9,2),B1511&lt;'112'!$K$9,$N1511='112'!$I$6)),"x",""))</f>
        <v/>
      </c>
      <c r="V1511" s="84" t="str">
        <f>IF(ISERROR(FIND('112'!$M$9,G1511,1)),"",IF((AND(RIGHT(G1511,2)=RIGHT('112'!$M$9,2),B1511&lt;'112'!$K$9,$O1511='112'!$I$6)),"x",""))</f>
        <v/>
      </c>
      <c r="W1511" s="84" t="str">
        <f>IF(AND('341-CT'!$H$9=H1511,OR(LEFT(N1511,3)=$W$7,LEFT(O1511,3)=$W$7)),"x","")</f>
        <v/>
      </c>
      <c r="X1511" s="84" t="str">
        <f>IF(OR(TH!N1511=TH!$X$7,O1511=TH!$X$7),"x","")</f>
        <v/>
      </c>
      <c r="Y1511" s="84" t="str">
        <f>IF(AND(OR(N1511="131",O1511="131"),H1511='131-CT'!$H$9),"x","")</f>
        <v/>
      </c>
      <c r="Z1511" s="84"/>
      <c r="AA1511" s="84" t="str">
        <f>IF(AND(MONTH(E1511)='IN-NX'!$J$5,'IN-NX'!$D$7=D1511),"x","")</f>
        <v/>
      </c>
      <c r="AB1511" s="84" t="str">
        <f>IF(AND(OR(LEFT(TH!N1511,2)="15",LEFT(TH!O1511,2)="15"),LEFT(TH!O1511,3)&lt;&gt;"111",'152-CT'!$J$8=TH!F1511),"x","")</f>
        <v/>
      </c>
      <c r="AC1511" s="84" t="str">
        <f>IF(AND(OR(LEFT(TH!N1511,2)="15",LEFT(TH!O1511,2)="15"),TK!$E$7=TH!F1511),"x","")</f>
        <v/>
      </c>
      <c r="AD1511" s="84" t="str">
        <f>IF(AND(N1511="1521",MONTH(C1511)='BK-NL'!$M$11),"x","")</f>
        <v/>
      </c>
    </row>
    <row r="1512" spans="1:32" ht="15.75" hidden="1" customHeight="1">
      <c r="A1512" s="336" t="str">
        <f>IF(B1512&lt;&gt;"",IF(AND(B1512='IN-TC'!$S$4,OR(TH!N1512="1111",TH!O1512="1111")),TH!D1512,""),"")</f>
        <v/>
      </c>
      <c r="B1512" s="63">
        <f t="shared" si="216"/>
        <v>6</v>
      </c>
      <c r="C1512" s="64">
        <v>42527</v>
      </c>
      <c r="D1512" s="64" t="s">
        <v>705</v>
      </c>
      <c r="E1512" s="64">
        <f t="shared" ref="E1512:E1533" si="217">C1512</f>
        <v>42527</v>
      </c>
      <c r="F1512" s="73" t="s">
        <v>1641</v>
      </c>
      <c r="G1512" s="67" t="s">
        <v>919</v>
      </c>
      <c r="H1512" s="73"/>
      <c r="I1512" s="439"/>
      <c r="J1512" s="439"/>
      <c r="K1512" s="430"/>
      <c r="L1512" s="439"/>
      <c r="M1512" s="65">
        <v>20000</v>
      </c>
      <c r="N1512" s="66" t="s">
        <v>101</v>
      </c>
      <c r="O1512" s="66" t="s">
        <v>26</v>
      </c>
      <c r="P1512" s="84" t="str">
        <f>IF(AND('331-CT'!$E$7=TH!H1512,OR(N1512="331",O1512="331")),"x","")</f>
        <v/>
      </c>
      <c r="Q1512" s="84" t="str">
        <f>IF(AND(B1512='111'!$L$11,OR($N1512=$Q$7,$O1512=$Q$7)),"x","")</f>
        <v/>
      </c>
      <c r="R1512" s="84" t="str">
        <f>IF(AND($N1512=$Q$7,$B1512&lt;'111'!$L$11),"x","")</f>
        <v/>
      </c>
      <c r="S1512" s="84" t="str">
        <f>IF(AND($O1512=$Q$7,$B1512&lt;'111'!$L$11),"x","")</f>
        <v/>
      </c>
      <c r="T1512" s="84" t="str">
        <f>IF(ISERROR(FIND('112'!$M$9,G1512,1)),"",IF((AND(FIND('112'!$M$9,G1512,1)&gt;=1,B1512='112'!$K$9,OR($N1512='112'!$I$6,$O1512='112'!$I$6))),"x",""))</f>
        <v>x</v>
      </c>
      <c r="U1512" s="84" t="str">
        <f>IF(ISERROR(FIND('112'!$M$9,G1512,1)),"",IF((AND(LEFT(G1512,2)=LEFT('112'!$M$9,2),B1512&lt;'112'!$K$9,$N1512='112'!$I$6)),"x",""))</f>
        <v/>
      </c>
      <c r="V1512" s="84" t="str">
        <f>IF(ISERROR(FIND('112'!$M$9,G1512,1)),"",IF((AND(RIGHT(G1512,2)=RIGHT('112'!$M$9,2),B1512&lt;'112'!$K$9,$O1512='112'!$I$6)),"x",""))</f>
        <v/>
      </c>
      <c r="W1512" s="84" t="str">
        <f>IF(AND('341-CT'!$H$9=H1512,OR(LEFT(N1512,3)=$W$7,LEFT(O1512,3)=$W$7)),"x","")</f>
        <v/>
      </c>
      <c r="X1512" s="84" t="str">
        <f>IF(OR(TH!N1512=TH!$X$7,O1512=TH!$X$7),"x","")</f>
        <v/>
      </c>
      <c r="Y1512" s="84" t="str">
        <f>IF(AND(OR(N1512="131",O1512="131"),H1512='131-CT'!$H$9),"x","")</f>
        <v/>
      </c>
      <c r="Z1512" s="84"/>
      <c r="AA1512" s="84" t="str">
        <f>IF(AND(MONTH(E1512)='IN-NX'!$J$5,'IN-NX'!$D$7=D1512),"x","")</f>
        <v/>
      </c>
      <c r="AB1512" s="84" t="str">
        <f>IF(AND(OR(LEFT(TH!N1512,2)="15",LEFT(TH!O1512,2)="15"),LEFT(TH!O1512,3)&lt;&gt;"111",'152-CT'!$J$8=TH!F1512),"x","")</f>
        <v/>
      </c>
      <c r="AC1512" s="84" t="str">
        <f>IF(AND(OR(LEFT(TH!N1512,2)="15",LEFT(TH!O1512,2)="15"),TK!$E$7=TH!F1512),"x","")</f>
        <v/>
      </c>
      <c r="AD1512" s="84" t="str">
        <f>IF(AND(N1512="1521",MONTH(C1512)='BK-NL'!$M$11),"x","")</f>
        <v/>
      </c>
    </row>
    <row r="1513" spans="1:32" ht="15.75" hidden="1" customHeight="1">
      <c r="A1513" s="336" t="str">
        <f>IF(B1513&lt;&gt;"",IF(AND(B1513='IN-TC'!$S$4,OR(TH!N1513="1111",TH!O1513="1111")),TH!D1513,""),"")</f>
        <v/>
      </c>
      <c r="B1513" s="63">
        <f t="shared" si="216"/>
        <v>6</v>
      </c>
      <c r="C1513" s="64">
        <v>42527</v>
      </c>
      <c r="D1513" s="64" t="s">
        <v>705</v>
      </c>
      <c r="E1513" s="64">
        <f t="shared" si="217"/>
        <v>42527</v>
      </c>
      <c r="F1513" s="73" t="s">
        <v>1176</v>
      </c>
      <c r="G1513" s="67" t="s">
        <v>919</v>
      </c>
      <c r="H1513" s="73"/>
      <c r="I1513" s="439"/>
      <c r="J1513" s="439"/>
      <c r="K1513" s="430"/>
      <c r="L1513" s="439"/>
      <c r="M1513" s="65">
        <v>20000</v>
      </c>
      <c r="N1513" s="66" t="s">
        <v>101</v>
      </c>
      <c r="O1513" s="66" t="s">
        <v>26</v>
      </c>
      <c r="P1513" s="84" t="str">
        <f>IF(AND('331-CT'!$E$7=TH!H1513,OR(N1513="331",O1513="331")),"x","")</f>
        <v/>
      </c>
      <c r="Q1513" s="84" t="str">
        <f>IF(AND(B1513='111'!$L$11,OR($N1513=$Q$7,$O1513=$Q$7)),"x","")</f>
        <v/>
      </c>
      <c r="R1513" s="84" t="str">
        <f>IF(AND($N1513=$Q$7,$B1513&lt;'111'!$L$11),"x","")</f>
        <v/>
      </c>
      <c r="S1513" s="84" t="str">
        <f>IF(AND($O1513=$Q$7,$B1513&lt;'111'!$L$11),"x","")</f>
        <v/>
      </c>
      <c r="T1513" s="84" t="str">
        <f>IF(ISERROR(FIND('112'!$M$9,G1513,1)),"",IF((AND(FIND('112'!$M$9,G1513,1)&gt;=1,B1513='112'!$K$9,OR($N1513='112'!$I$6,$O1513='112'!$I$6))),"x",""))</f>
        <v>x</v>
      </c>
      <c r="U1513" s="84" t="str">
        <f>IF(ISERROR(FIND('112'!$M$9,G1513,1)),"",IF((AND(LEFT(G1513,2)=LEFT('112'!$M$9,2),B1513&lt;'112'!$K$9,$N1513='112'!$I$6)),"x",""))</f>
        <v/>
      </c>
      <c r="V1513" s="84" t="str">
        <f>IF(ISERROR(FIND('112'!$M$9,G1513,1)),"",IF((AND(RIGHT(G1513,2)=RIGHT('112'!$M$9,2),B1513&lt;'112'!$K$9,$O1513='112'!$I$6)),"x",""))</f>
        <v/>
      </c>
      <c r="W1513" s="84" t="str">
        <f>IF(AND('341-CT'!$H$9=H1513,OR(LEFT(N1513,3)=$W$7,LEFT(O1513,3)=$W$7)),"x","")</f>
        <v/>
      </c>
      <c r="X1513" s="84" t="str">
        <f>IF(OR(TH!N1513=TH!$X$7,O1513=TH!$X$7),"x","")</f>
        <v/>
      </c>
      <c r="Y1513" s="84" t="str">
        <f>IF(AND(OR(N1513="131",O1513="131"),H1513='131-CT'!$H$9),"x","")</f>
        <v/>
      </c>
      <c r="Z1513" s="84"/>
      <c r="AA1513" s="84" t="str">
        <f>IF(AND(MONTH(E1513)='IN-NX'!$J$5,'IN-NX'!$D$7=D1513),"x","")</f>
        <v/>
      </c>
      <c r="AB1513" s="84" t="str">
        <f>IF(AND(OR(LEFT(TH!N1513,2)="15",LEFT(TH!O1513,2)="15"),LEFT(TH!O1513,3)&lt;&gt;"111",'152-CT'!$J$8=TH!F1513),"x","")</f>
        <v/>
      </c>
      <c r="AC1513" s="84" t="str">
        <f>IF(AND(OR(LEFT(TH!N1513,2)="15",LEFT(TH!O1513,2)="15"),TK!$E$7=TH!F1513),"x","")</f>
        <v/>
      </c>
      <c r="AD1513" s="84" t="str">
        <f>IF(AND(N1513="1521",MONTH(C1513)='BK-NL'!$M$11),"x","")</f>
        <v/>
      </c>
      <c r="AF1513" s="330">
        <v>1</v>
      </c>
    </row>
    <row r="1514" spans="1:32" ht="15.75" hidden="1" customHeight="1">
      <c r="A1514" s="336" t="str">
        <f>IF(B1514&lt;&gt;"",IF(AND(B1514='IN-TC'!$S$4,OR(TH!N1514="1111",TH!O1514="1111")),TH!D1514,""),"")</f>
        <v/>
      </c>
      <c r="B1514" s="63">
        <f t="shared" si="216"/>
        <v>6</v>
      </c>
      <c r="C1514" s="64">
        <v>42527</v>
      </c>
      <c r="D1514" s="64" t="s">
        <v>705</v>
      </c>
      <c r="E1514" s="64">
        <f t="shared" si="217"/>
        <v>42527</v>
      </c>
      <c r="F1514" s="73" t="s">
        <v>1638</v>
      </c>
      <c r="G1514" s="67" t="s">
        <v>919</v>
      </c>
      <c r="H1514" s="73"/>
      <c r="I1514" s="439"/>
      <c r="J1514" s="439"/>
      <c r="K1514" s="430"/>
      <c r="L1514" s="439"/>
      <c r="M1514" s="65">
        <v>2000</v>
      </c>
      <c r="N1514" s="66" t="s">
        <v>9</v>
      </c>
      <c r="O1514" s="66" t="s">
        <v>26</v>
      </c>
      <c r="P1514" s="84" t="str">
        <f>IF(AND('331-CT'!$E$7=TH!H1514,OR(N1514="331",O1514="331")),"x","")</f>
        <v/>
      </c>
      <c r="Q1514" s="84" t="str">
        <f>IF(AND(B1514='111'!$L$11,OR($N1514=$Q$7,$O1514=$Q$7)),"x","")</f>
        <v/>
      </c>
      <c r="R1514" s="84" t="str">
        <f>IF(AND($N1514=$Q$7,$B1514&lt;'111'!$L$11),"x","")</f>
        <v/>
      </c>
      <c r="S1514" s="84" t="str">
        <f>IF(AND($O1514=$Q$7,$B1514&lt;'111'!$L$11),"x","")</f>
        <v/>
      </c>
      <c r="T1514" s="84" t="str">
        <f>IF(ISERROR(FIND('112'!$M$9,G1514,1)),"",IF((AND(FIND('112'!$M$9,G1514,1)&gt;=1,B1514='112'!$K$9,OR($N1514='112'!$I$6,$O1514='112'!$I$6))),"x",""))</f>
        <v>x</v>
      </c>
      <c r="U1514" s="84" t="str">
        <f>IF(ISERROR(FIND('112'!$M$9,G1514,1)),"",IF((AND(LEFT(G1514,2)=LEFT('112'!$M$9,2),B1514&lt;'112'!$K$9,$N1514='112'!$I$6)),"x",""))</f>
        <v/>
      </c>
      <c r="V1514" s="84" t="str">
        <f>IF(ISERROR(FIND('112'!$M$9,G1514,1)),"",IF((AND(RIGHT(G1514,2)=RIGHT('112'!$M$9,2),B1514&lt;'112'!$K$9,$O1514='112'!$I$6)),"x",""))</f>
        <v/>
      </c>
      <c r="W1514" s="84" t="str">
        <f>IF(AND('341-CT'!$H$9=H1514,OR(LEFT(N1514,3)=$W$7,LEFT(O1514,3)=$W$7)),"x","")</f>
        <v/>
      </c>
      <c r="X1514" s="84" t="str">
        <f>IF(OR(TH!N1514=TH!$X$7,O1514=TH!$X$7),"x","")</f>
        <v/>
      </c>
      <c r="Y1514" s="84" t="str">
        <f>IF(AND(OR(N1514="131",O1514="131"),H1514='131-CT'!$H$9),"x","")</f>
        <v/>
      </c>
      <c r="Z1514" s="84"/>
      <c r="AA1514" s="84" t="str">
        <f>IF(AND(MONTH(E1514)='IN-NX'!$J$5,'IN-NX'!$D$7=D1514),"x","")</f>
        <v/>
      </c>
      <c r="AB1514" s="84" t="str">
        <f>IF(AND(OR(LEFT(TH!N1514,2)="15",LEFT(TH!O1514,2)="15"),LEFT(TH!O1514,3)&lt;&gt;"111",'152-CT'!$J$8=TH!F1514),"x","")</f>
        <v/>
      </c>
      <c r="AC1514" s="84" t="str">
        <f>IF(AND(OR(LEFT(TH!N1514,2)="15",LEFT(TH!O1514,2)="15"),TK!$E$7=TH!F1514),"x","")</f>
        <v/>
      </c>
      <c r="AD1514" s="84" t="str">
        <f>IF(AND(N1514="1521",MONTH(C1514)='BK-NL'!$M$11),"x","")</f>
        <v/>
      </c>
    </row>
    <row r="1515" spans="1:32" ht="15.75" hidden="1" customHeight="1">
      <c r="A1515" s="336" t="str">
        <f>IF(B1515&lt;&gt;"",IF(AND(B1515='IN-TC'!$S$4,OR(TH!N1515="1111",TH!O1515="1111")),TH!D1515,""),"")</f>
        <v/>
      </c>
      <c r="B1515" s="63">
        <f t="shared" si="216"/>
        <v>6</v>
      </c>
      <c r="C1515" s="64">
        <v>42527</v>
      </c>
      <c r="D1515" s="64" t="s">
        <v>705</v>
      </c>
      <c r="E1515" s="64">
        <f t="shared" si="217"/>
        <v>42527</v>
      </c>
      <c r="F1515" s="73" t="s">
        <v>1641</v>
      </c>
      <c r="G1515" s="67" t="s">
        <v>919</v>
      </c>
      <c r="H1515" s="73"/>
      <c r="I1515" s="439"/>
      <c r="J1515" s="439"/>
      <c r="K1515" s="430"/>
      <c r="L1515" s="439"/>
      <c r="M1515" s="65">
        <v>40000</v>
      </c>
      <c r="N1515" s="66" t="s">
        <v>101</v>
      </c>
      <c r="O1515" s="66" t="s">
        <v>26</v>
      </c>
      <c r="P1515" s="84" t="str">
        <f>IF(AND('331-CT'!$E$7=TH!H1515,OR(N1515="331",O1515="331")),"x","")</f>
        <v/>
      </c>
      <c r="Q1515" s="84" t="str">
        <f>IF(AND(B1515='111'!$L$11,OR($N1515=$Q$7,$O1515=$Q$7)),"x","")</f>
        <v/>
      </c>
      <c r="R1515" s="84" t="str">
        <f>IF(AND($N1515=$Q$7,$B1515&lt;'111'!$L$11),"x","")</f>
        <v/>
      </c>
      <c r="S1515" s="84" t="str">
        <f>IF(AND($O1515=$Q$7,$B1515&lt;'111'!$L$11),"x","")</f>
        <v/>
      </c>
      <c r="T1515" s="84" t="str">
        <f>IF(ISERROR(FIND('112'!$M$9,G1515,1)),"",IF((AND(FIND('112'!$M$9,G1515,1)&gt;=1,B1515='112'!$K$9,OR($N1515='112'!$I$6,$O1515='112'!$I$6))),"x",""))</f>
        <v>x</v>
      </c>
      <c r="U1515" s="84" t="str">
        <f>IF(ISERROR(FIND('112'!$M$9,G1515,1)),"",IF((AND(LEFT(G1515,2)=LEFT('112'!$M$9,2),B1515&lt;'112'!$K$9,$N1515='112'!$I$6)),"x",""))</f>
        <v/>
      </c>
      <c r="V1515" s="84" t="str">
        <f>IF(ISERROR(FIND('112'!$M$9,G1515,1)),"",IF((AND(RIGHT(G1515,2)=RIGHT('112'!$M$9,2),B1515&lt;'112'!$K$9,$O1515='112'!$I$6)),"x",""))</f>
        <v/>
      </c>
      <c r="W1515" s="84" t="str">
        <f>IF(AND('341-CT'!$H$9=H1515,OR(LEFT(N1515,3)=$W$7,LEFT(O1515,3)=$W$7)),"x","")</f>
        <v/>
      </c>
      <c r="X1515" s="84" t="str">
        <f>IF(OR(TH!N1515=TH!$X$7,O1515=TH!$X$7),"x","")</f>
        <v/>
      </c>
      <c r="Y1515" s="84" t="str">
        <f>IF(AND(OR(N1515="131",O1515="131"),H1515='131-CT'!$H$9),"x","")</f>
        <v/>
      </c>
      <c r="Z1515" s="84"/>
      <c r="AA1515" s="84" t="str">
        <f>IF(AND(MONTH(E1515)='IN-NX'!$J$5,'IN-NX'!$D$7=D1515),"x","")</f>
        <v/>
      </c>
      <c r="AB1515" s="84" t="str">
        <f>IF(AND(OR(LEFT(TH!N1515,2)="15",LEFT(TH!O1515,2)="15"),LEFT(TH!O1515,3)&lt;&gt;"111",'152-CT'!$J$8=TH!F1515),"x","")</f>
        <v/>
      </c>
      <c r="AC1515" s="84" t="str">
        <f>IF(AND(OR(LEFT(TH!N1515,2)="15",LEFT(TH!O1515,2)="15"),TK!$E$7=TH!F1515),"x","")</f>
        <v/>
      </c>
      <c r="AD1515" s="84" t="str">
        <f>IF(AND(N1515="1521",MONTH(C1515)='BK-NL'!$M$11),"x","")</f>
        <v/>
      </c>
    </row>
    <row r="1516" spans="1:32" ht="15.75" hidden="1" customHeight="1">
      <c r="A1516" s="336" t="str">
        <f>IF(B1516&lt;&gt;"",IF(AND(B1516='IN-TC'!$S$4,OR(TH!N1516="1111",TH!O1516="1111")),TH!D1516,""),"")</f>
        <v/>
      </c>
      <c r="B1516" s="63">
        <f t="shared" si="216"/>
        <v>6</v>
      </c>
      <c r="C1516" s="64">
        <v>42527</v>
      </c>
      <c r="D1516" s="64" t="s">
        <v>705</v>
      </c>
      <c r="E1516" s="64">
        <f t="shared" si="217"/>
        <v>42527</v>
      </c>
      <c r="F1516" s="73" t="s">
        <v>1176</v>
      </c>
      <c r="G1516" s="67" t="s">
        <v>919</v>
      </c>
      <c r="H1516" s="73"/>
      <c r="I1516" s="439"/>
      <c r="J1516" s="439"/>
      <c r="K1516" s="430"/>
      <c r="L1516" s="439"/>
      <c r="M1516" s="65">
        <v>20000</v>
      </c>
      <c r="N1516" s="66" t="s">
        <v>101</v>
      </c>
      <c r="O1516" s="66" t="s">
        <v>26</v>
      </c>
      <c r="P1516" s="84" t="str">
        <f>IF(AND('331-CT'!$E$7=TH!H1516,OR(N1516="331",O1516="331")),"x","")</f>
        <v/>
      </c>
      <c r="Q1516" s="84" t="str">
        <f>IF(AND(B1516='111'!$L$11,OR($N1516=$Q$7,$O1516=$Q$7)),"x","")</f>
        <v/>
      </c>
      <c r="R1516" s="84" t="str">
        <f>IF(AND($N1516=$Q$7,$B1516&lt;'111'!$L$11),"x","")</f>
        <v/>
      </c>
      <c r="S1516" s="84" t="str">
        <f>IF(AND($O1516=$Q$7,$B1516&lt;'111'!$L$11),"x","")</f>
        <v/>
      </c>
      <c r="T1516" s="84" t="str">
        <f>IF(ISERROR(FIND('112'!$M$9,G1516,1)),"",IF((AND(FIND('112'!$M$9,G1516,1)&gt;=1,B1516='112'!$K$9,OR($N1516='112'!$I$6,$O1516='112'!$I$6))),"x",""))</f>
        <v>x</v>
      </c>
      <c r="U1516" s="84" t="str">
        <f>IF(ISERROR(FIND('112'!$M$9,G1516,1)),"",IF((AND(LEFT(G1516,2)=LEFT('112'!$M$9,2),B1516&lt;'112'!$K$9,$N1516='112'!$I$6)),"x",""))</f>
        <v/>
      </c>
      <c r="V1516" s="84" t="str">
        <f>IF(ISERROR(FIND('112'!$M$9,G1516,1)),"",IF((AND(RIGHT(G1516,2)=RIGHT('112'!$M$9,2),B1516&lt;'112'!$K$9,$O1516='112'!$I$6)),"x",""))</f>
        <v/>
      </c>
      <c r="W1516" s="84" t="str">
        <f>IF(AND('341-CT'!$H$9=H1516,OR(LEFT(N1516,3)=$W$7,LEFT(O1516,3)=$W$7)),"x","")</f>
        <v/>
      </c>
      <c r="X1516" s="84" t="str">
        <f>IF(OR(TH!N1516=TH!$X$7,O1516=TH!$X$7),"x","")</f>
        <v/>
      </c>
      <c r="Y1516" s="84" t="str">
        <f>IF(AND(OR(N1516="131",O1516="131"),H1516='131-CT'!$H$9),"x","")</f>
        <v/>
      </c>
      <c r="Z1516" s="84"/>
      <c r="AA1516" s="84" t="str">
        <f>IF(AND(MONTH(E1516)='IN-NX'!$J$5,'IN-NX'!$D$7=D1516),"x","")</f>
        <v/>
      </c>
      <c r="AB1516" s="84" t="str">
        <f>IF(AND(OR(LEFT(TH!N1516,2)="15",LEFT(TH!O1516,2)="15"),LEFT(TH!O1516,3)&lt;&gt;"111",'152-CT'!$J$8=TH!F1516),"x","")</f>
        <v/>
      </c>
      <c r="AC1516" s="84" t="str">
        <f>IF(AND(OR(LEFT(TH!N1516,2)="15",LEFT(TH!O1516,2)="15"),TK!$E$7=TH!F1516),"x","")</f>
        <v/>
      </c>
      <c r="AD1516" s="84" t="str">
        <f>IF(AND(N1516="1521",MONTH(C1516)='BK-NL'!$M$11),"x","")</f>
        <v/>
      </c>
      <c r="AF1516" s="330">
        <v>1</v>
      </c>
    </row>
    <row r="1517" spans="1:32" ht="15.75" hidden="1" customHeight="1">
      <c r="A1517" s="336" t="str">
        <f>IF(B1517&lt;&gt;"",IF(AND(B1517='IN-TC'!$S$4,OR(TH!N1517="1111",TH!O1517="1111")),TH!D1517,""),"")</f>
        <v/>
      </c>
      <c r="B1517" s="63">
        <f t="shared" si="216"/>
        <v>6</v>
      </c>
      <c r="C1517" s="64">
        <v>42527</v>
      </c>
      <c r="D1517" s="64" t="s">
        <v>705</v>
      </c>
      <c r="E1517" s="64">
        <f t="shared" si="217"/>
        <v>42527</v>
      </c>
      <c r="F1517" s="73" t="s">
        <v>1638</v>
      </c>
      <c r="G1517" s="67" t="s">
        <v>919</v>
      </c>
      <c r="H1517" s="73"/>
      <c r="I1517" s="439"/>
      <c r="J1517" s="439"/>
      <c r="K1517" s="430"/>
      <c r="L1517" s="439"/>
      <c r="M1517" s="65">
        <v>2000</v>
      </c>
      <c r="N1517" s="66" t="s">
        <v>9</v>
      </c>
      <c r="O1517" s="66" t="s">
        <v>26</v>
      </c>
      <c r="P1517" s="84" t="str">
        <f>IF(AND('331-CT'!$E$7=TH!H1517,OR(N1517="331",O1517="331")),"x","")</f>
        <v/>
      </c>
      <c r="Q1517" s="84" t="str">
        <f>IF(AND(B1517='111'!$L$11,OR($N1517=$Q$7,$O1517=$Q$7)),"x","")</f>
        <v/>
      </c>
      <c r="R1517" s="84" t="str">
        <f>IF(AND($N1517=$Q$7,$B1517&lt;'111'!$L$11),"x","")</f>
        <v/>
      </c>
      <c r="S1517" s="84" t="str">
        <f>IF(AND($O1517=$Q$7,$B1517&lt;'111'!$L$11),"x","")</f>
        <v/>
      </c>
      <c r="T1517" s="84" t="str">
        <f>IF(ISERROR(FIND('112'!$M$9,G1517,1)),"",IF((AND(FIND('112'!$M$9,G1517,1)&gt;=1,B1517='112'!$K$9,OR($N1517='112'!$I$6,$O1517='112'!$I$6))),"x",""))</f>
        <v>x</v>
      </c>
      <c r="U1517" s="84" t="str">
        <f>IF(ISERROR(FIND('112'!$M$9,G1517,1)),"",IF((AND(LEFT(G1517,2)=LEFT('112'!$M$9,2),B1517&lt;'112'!$K$9,$N1517='112'!$I$6)),"x",""))</f>
        <v/>
      </c>
      <c r="V1517" s="84" t="str">
        <f>IF(ISERROR(FIND('112'!$M$9,G1517,1)),"",IF((AND(RIGHT(G1517,2)=RIGHT('112'!$M$9,2),B1517&lt;'112'!$K$9,$O1517='112'!$I$6)),"x",""))</f>
        <v/>
      </c>
      <c r="W1517" s="84" t="str">
        <f>IF(AND('341-CT'!$H$9=H1517,OR(LEFT(N1517,3)=$W$7,LEFT(O1517,3)=$W$7)),"x","")</f>
        <v/>
      </c>
      <c r="X1517" s="84" t="str">
        <f>IF(OR(TH!N1517=TH!$X$7,O1517=TH!$X$7),"x","")</f>
        <v/>
      </c>
      <c r="Y1517" s="84" t="str">
        <f>IF(AND(OR(N1517="131",O1517="131"),H1517='131-CT'!$H$9),"x","")</f>
        <v/>
      </c>
      <c r="Z1517" s="84"/>
      <c r="AA1517" s="84" t="str">
        <f>IF(AND(MONTH(E1517)='IN-NX'!$J$5,'IN-NX'!$D$7=D1517),"x","")</f>
        <v/>
      </c>
      <c r="AB1517" s="84" t="str">
        <f>IF(AND(OR(LEFT(TH!N1517,2)="15",LEFT(TH!O1517,2)="15"),LEFT(TH!O1517,3)&lt;&gt;"111",'152-CT'!$J$8=TH!F1517),"x","")</f>
        <v/>
      </c>
      <c r="AC1517" s="84" t="str">
        <f>IF(AND(OR(LEFT(TH!N1517,2)="15",LEFT(TH!O1517,2)="15"),TK!$E$7=TH!F1517),"x","")</f>
        <v/>
      </c>
      <c r="AD1517" s="84" t="str">
        <f>IF(AND(N1517="1521",MONTH(C1517)='BK-NL'!$M$11),"x","")</f>
        <v/>
      </c>
    </row>
    <row r="1518" spans="1:32" ht="15.75" hidden="1" customHeight="1">
      <c r="A1518" s="336" t="str">
        <f>IF(B1518&lt;&gt;"",IF(AND(B1518='IN-TC'!$S$4,OR(TH!N1518="1111",TH!O1518="1111")),TH!D1518,""),"")</f>
        <v/>
      </c>
      <c r="B1518" s="63">
        <f t="shared" si="216"/>
        <v>6</v>
      </c>
      <c r="C1518" s="64">
        <v>42527</v>
      </c>
      <c r="D1518" s="64" t="s">
        <v>705</v>
      </c>
      <c r="E1518" s="64">
        <f t="shared" si="217"/>
        <v>42527</v>
      </c>
      <c r="F1518" s="73" t="s">
        <v>1641</v>
      </c>
      <c r="G1518" s="67" t="s">
        <v>919</v>
      </c>
      <c r="H1518" s="73"/>
      <c r="I1518" s="439"/>
      <c r="J1518" s="439"/>
      <c r="K1518" s="430"/>
      <c r="L1518" s="439"/>
      <c r="M1518" s="65">
        <v>300000</v>
      </c>
      <c r="N1518" s="66" t="s">
        <v>101</v>
      </c>
      <c r="O1518" s="66" t="s">
        <v>26</v>
      </c>
      <c r="P1518" s="84" t="str">
        <f>IF(AND('331-CT'!$E$7=TH!H1518,OR(N1518="331",O1518="331")),"x","")</f>
        <v/>
      </c>
      <c r="Q1518" s="84" t="str">
        <f>IF(AND(B1518='111'!$L$11,OR($N1518=$Q$7,$O1518=$Q$7)),"x","")</f>
        <v/>
      </c>
      <c r="R1518" s="84" t="str">
        <f>IF(AND($N1518=$Q$7,$B1518&lt;'111'!$L$11),"x","")</f>
        <v/>
      </c>
      <c r="S1518" s="84" t="str">
        <f>IF(AND($O1518=$Q$7,$B1518&lt;'111'!$L$11),"x","")</f>
        <v/>
      </c>
      <c r="T1518" s="84" t="str">
        <f>IF(ISERROR(FIND('112'!$M$9,G1518,1)),"",IF((AND(FIND('112'!$M$9,G1518,1)&gt;=1,B1518='112'!$K$9,OR($N1518='112'!$I$6,$O1518='112'!$I$6))),"x",""))</f>
        <v>x</v>
      </c>
      <c r="U1518" s="84" t="str">
        <f>IF(ISERROR(FIND('112'!$M$9,G1518,1)),"",IF((AND(LEFT(G1518,2)=LEFT('112'!$M$9,2),B1518&lt;'112'!$K$9,$N1518='112'!$I$6)),"x",""))</f>
        <v/>
      </c>
      <c r="V1518" s="84" t="str">
        <f>IF(ISERROR(FIND('112'!$M$9,G1518,1)),"",IF((AND(RIGHT(G1518,2)=RIGHT('112'!$M$9,2),B1518&lt;'112'!$K$9,$O1518='112'!$I$6)),"x",""))</f>
        <v/>
      </c>
      <c r="W1518" s="84" t="str">
        <f>IF(AND('341-CT'!$H$9=H1518,OR(LEFT(N1518,3)=$W$7,LEFT(O1518,3)=$W$7)),"x","")</f>
        <v/>
      </c>
      <c r="X1518" s="84" t="str">
        <f>IF(OR(TH!N1518=TH!$X$7,O1518=TH!$X$7),"x","")</f>
        <v/>
      </c>
      <c r="Y1518" s="84" t="str">
        <f>IF(AND(OR(N1518="131",O1518="131"),H1518='131-CT'!$H$9),"x","")</f>
        <v/>
      </c>
      <c r="Z1518" s="84"/>
      <c r="AA1518" s="84" t="str">
        <f>IF(AND(MONTH(E1518)='IN-NX'!$J$5,'IN-NX'!$D$7=D1518),"x","")</f>
        <v/>
      </c>
      <c r="AB1518" s="84" t="str">
        <f>IF(AND(OR(LEFT(TH!N1518,2)="15",LEFT(TH!O1518,2)="15"),LEFT(TH!O1518,3)&lt;&gt;"111",'152-CT'!$J$8=TH!F1518),"x","")</f>
        <v/>
      </c>
      <c r="AC1518" s="84" t="str">
        <f>IF(AND(OR(LEFT(TH!N1518,2)="15",LEFT(TH!O1518,2)="15"),TK!$E$7=TH!F1518),"x","")</f>
        <v/>
      </c>
      <c r="AD1518" s="84" t="str">
        <f>IF(AND(N1518="1521",MONTH(C1518)='BK-NL'!$M$11),"x","")</f>
        <v/>
      </c>
    </row>
    <row r="1519" spans="1:32" ht="15.75" hidden="1" customHeight="1">
      <c r="A1519" s="336" t="str">
        <f>IF(B1519&lt;&gt;"",IF(AND(B1519='IN-TC'!$S$4,OR(TH!N1519="1111",TH!O1519="1111")),TH!D1519,""),"")</f>
        <v/>
      </c>
      <c r="B1519" s="63">
        <f t="shared" si="216"/>
        <v>6</v>
      </c>
      <c r="C1519" s="64">
        <v>42527</v>
      </c>
      <c r="D1519" s="64" t="s">
        <v>705</v>
      </c>
      <c r="E1519" s="64">
        <f t="shared" si="217"/>
        <v>42527</v>
      </c>
      <c r="F1519" s="73" t="s">
        <v>1176</v>
      </c>
      <c r="G1519" s="67" t="s">
        <v>919</v>
      </c>
      <c r="H1519" s="73"/>
      <c r="I1519" s="439"/>
      <c r="J1519" s="439"/>
      <c r="K1519" s="430"/>
      <c r="L1519" s="439"/>
      <c r="M1519" s="65">
        <v>20000</v>
      </c>
      <c r="N1519" s="66" t="s">
        <v>101</v>
      </c>
      <c r="O1519" s="66" t="s">
        <v>26</v>
      </c>
      <c r="P1519" s="84" t="str">
        <f>IF(AND('331-CT'!$E$7=TH!H1519,OR(N1519="331",O1519="331")),"x","")</f>
        <v/>
      </c>
      <c r="Q1519" s="84" t="str">
        <f>IF(AND(B1519='111'!$L$11,OR($N1519=$Q$7,$O1519=$Q$7)),"x","")</f>
        <v/>
      </c>
      <c r="R1519" s="84" t="str">
        <f>IF(AND($N1519=$Q$7,$B1519&lt;'111'!$L$11),"x","")</f>
        <v/>
      </c>
      <c r="S1519" s="84" t="str">
        <f>IF(AND($O1519=$Q$7,$B1519&lt;'111'!$L$11),"x","")</f>
        <v/>
      </c>
      <c r="T1519" s="84" t="str">
        <f>IF(ISERROR(FIND('112'!$M$9,G1519,1)),"",IF((AND(FIND('112'!$M$9,G1519,1)&gt;=1,B1519='112'!$K$9,OR($N1519='112'!$I$6,$O1519='112'!$I$6))),"x",""))</f>
        <v>x</v>
      </c>
      <c r="U1519" s="84" t="str">
        <f>IF(ISERROR(FIND('112'!$M$9,G1519,1)),"",IF((AND(LEFT(G1519,2)=LEFT('112'!$M$9,2),B1519&lt;'112'!$K$9,$N1519='112'!$I$6)),"x",""))</f>
        <v/>
      </c>
      <c r="V1519" s="84" t="str">
        <f>IF(ISERROR(FIND('112'!$M$9,G1519,1)),"",IF((AND(RIGHT(G1519,2)=RIGHT('112'!$M$9,2),B1519&lt;'112'!$K$9,$O1519='112'!$I$6)),"x",""))</f>
        <v/>
      </c>
      <c r="W1519" s="84" t="str">
        <f>IF(AND('341-CT'!$H$9=H1519,OR(LEFT(N1519,3)=$W$7,LEFT(O1519,3)=$W$7)),"x","")</f>
        <v/>
      </c>
      <c r="X1519" s="84" t="str">
        <f>IF(OR(TH!N1519=TH!$X$7,O1519=TH!$X$7),"x","")</f>
        <v/>
      </c>
      <c r="Y1519" s="84" t="str">
        <f>IF(AND(OR(N1519="131",O1519="131"),H1519='131-CT'!$H$9),"x","")</f>
        <v/>
      </c>
      <c r="Z1519" s="84"/>
      <c r="AA1519" s="84" t="str">
        <f>IF(AND(MONTH(E1519)='IN-NX'!$J$5,'IN-NX'!$D$7=D1519),"x","")</f>
        <v/>
      </c>
      <c r="AB1519" s="84" t="str">
        <f>IF(AND(OR(LEFT(TH!N1519,2)="15",LEFT(TH!O1519,2)="15"),LEFT(TH!O1519,3)&lt;&gt;"111",'152-CT'!$J$8=TH!F1519),"x","")</f>
        <v/>
      </c>
      <c r="AC1519" s="84" t="str">
        <f>IF(AND(OR(LEFT(TH!N1519,2)="15",LEFT(TH!O1519,2)="15"),TK!$E$7=TH!F1519),"x","")</f>
        <v/>
      </c>
      <c r="AD1519" s="84" t="str">
        <f>IF(AND(N1519="1521",MONTH(C1519)='BK-NL'!$M$11),"x","")</f>
        <v/>
      </c>
      <c r="AF1519" s="330">
        <v>1</v>
      </c>
    </row>
    <row r="1520" spans="1:32" ht="15.75" hidden="1" customHeight="1">
      <c r="A1520" s="336" t="str">
        <f>IF(B1520&lt;&gt;"",IF(AND(B1520='IN-TC'!$S$4,OR(TH!N1520="1111",TH!O1520="1111")),TH!D1520,""),"")</f>
        <v/>
      </c>
      <c r="B1520" s="63">
        <f t="shared" si="216"/>
        <v>6</v>
      </c>
      <c r="C1520" s="64">
        <v>42527</v>
      </c>
      <c r="D1520" s="64" t="s">
        <v>705</v>
      </c>
      <c r="E1520" s="64">
        <f t="shared" si="217"/>
        <v>42527</v>
      </c>
      <c r="F1520" s="73" t="s">
        <v>1638</v>
      </c>
      <c r="G1520" s="67" t="s">
        <v>919</v>
      </c>
      <c r="H1520" s="73"/>
      <c r="I1520" s="439"/>
      <c r="J1520" s="439"/>
      <c r="K1520" s="430"/>
      <c r="L1520" s="439"/>
      <c r="M1520" s="65">
        <v>2000</v>
      </c>
      <c r="N1520" s="66" t="s">
        <v>9</v>
      </c>
      <c r="O1520" s="66" t="s">
        <v>26</v>
      </c>
      <c r="P1520" s="84" t="str">
        <f>IF(AND('331-CT'!$E$7=TH!H1520,OR(N1520="331",O1520="331")),"x","")</f>
        <v/>
      </c>
      <c r="Q1520" s="84" t="str">
        <f>IF(AND(B1520='111'!$L$11,OR($N1520=$Q$7,$O1520=$Q$7)),"x","")</f>
        <v/>
      </c>
      <c r="R1520" s="84" t="str">
        <f>IF(AND($N1520=$Q$7,$B1520&lt;'111'!$L$11),"x","")</f>
        <v/>
      </c>
      <c r="S1520" s="84" t="str">
        <f>IF(AND($O1520=$Q$7,$B1520&lt;'111'!$L$11),"x","")</f>
        <v/>
      </c>
      <c r="T1520" s="84" t="str">
        <f>IF(ISERROR(FIND('112'!$M$9,G1520,1)),"",IF((AND(FIND('112'!$M$9,G1520,1)&gt;=1,B1520='112'!$K$9,OR($N1520='112'!$I$6,$O1520='112'!$I$6))),"x",""))</f>
        <v>x</v>
      </c>
      <c r="U1520" s="84" t="str">
        <f>IF(ISERROR(FIND('112'!$M$9,G1520,1)),"",IF((AND(LEFT(G1520,2)=LEFT('112'!$M$9,2),B1520&lt;'112'!$K$9,$N1520='112'!$I$6)),"x",""))</f>
        <v/>
      </c>
      <c r="V1520" s="84" t="str">
        <f>IF(ISERROR(FIND('112'!$M$9,G1520,1)),"",IF((AND(RIGHT(G1520,2)=RIGHT('112'!$M$9,2),B1520&lt;'112'!$K$9,$O1520='112'!$I$6)),"x",""))</f>
        <v/>
      </c>
      <c r="W1520" s="84" t="str">
        <f>IF(AND('341-CT'!$H$9=H1520,OR(LEFT(N1520,3)=$W$7,LEFT(O1520,3)=$W$7)),"x","")</f>
        <v/>
      </c>
      <c r="X1520" s="84" t="str">
        <f>IF(OR(TH!N1520=TH!$X$7,O1520=TH!$X$7),"x","")</f>
        <v/>
      </c>
      <c r="Y1520" s="84" t="str">
        <f>IF(AND(OR(N1520="131",O1520="131"),H1520='131-CT'!$H$9),"x","")</f>
        <v/>
      </c>
      <c r="Z1520" s="84"/>
      <c r="AA1520" s="84" t="str">
        <f>IF(AND(MONTH(E1520)='IN-NX'!$J$5,'IN-NX'!$D$7=D1520),"x","")</f>
        <v/>
      </c>
      <c r="AB1520" s="84" t="str">
        <f>IF(AND(OR(LEFT(TH!N1520,2)="15",LEFT(TH!O1520,2)="15"),LEFT(TH!O1520,3)&lt;&gt;"111",'152-CT'!$J$8=TH!F1520),"x","")</f>
        <v/>
      </c>
      <c r="AC1520" s="84" t="str">
        <f>IF(AND(OR(LEFT(TH!N1520,2)="15",LEFT(TH!O1520,2)="15"),TK!$E$7=TH!F1520),"x","")</f>
        <v/>
      </c>
      <c r="AD1520" s="84" t="str">
        <f>IF(AND(N1520="1521",MONTH(C1520)='BK-NL'!$M$11),"x","")</f>
        <v/>
      </c>
    </row>
    <row r="1521" spans="1:32" ht="15.75" hidden="1" customHeight="1">
      <c r="A1521" s="336" t="str">
        <f>IF(B1521&lt;&gt;"",IF(AND(B1521='IN-TC'!$S$4,OR(TH!N1521="1111",TH!O1521="1111")),TH!D1521,""),"")</f>
        <v/>
      </c>
      <c r="B1521" s="63">
        <f t="shared" si="216"/>
        <v>6</v>
      </c>
      <c r="C1521" s="64">
        <v>42527</v>
      </c>
      <c r="D1521" s="64" t="s">
        <v>705</v>
      </c>
      <c r="E1521" s="64">
        <f t="shared" si="217"/>
        <v>42527</v>
      </c>
      <c r="F1521" s="73" t="s">
        <v>1049</v>
      </c>
      <c r="G1521" s="67" t="s">
        <v>919</v>
      </c>
      <c r="H1521" s="73" t="s">
        <v>713</v>
      </c>
      <c r="I1521" s="439"/>
      <c r="J1521" s="439"/>
      <c r="K1521" s="430"/>
      <c r="L1521" s="439"/>
      <c r="M1521" s="65">
        <v>2893355</v>
      </c>
      <c r="N1521" s="66" t="s">
        <v>99</v>
      </c>
      <c r="O1521" s="66" t="s">
        <v>26</v>
      </c>
      <c r="P1521" s="84" t="str">
        <f>IF(AND('331-CT'!$E$7=TH!H1521,OR(N1521="331",O1521="331")),"x","")</f>
        <v/>
      </c>
      <c r="Q1521" s="84" t="str">
        <f>IF(AND(B1521='111'!$L$11,OR($N1521=$Q$7,$O1521=$Q$7)),"x","")</f>
        <v/>
      </c>
      <c r="R1521" s="84" t="str">
        <f>IF(AND($N1521=$Q$7,$B1521&lt;'111'!$L$11),"x","")</f>
        <v/>
      </c>
      <c r="S1521" s="84" t="str">
        <f>IF(AND($O1521=$Q$7,$B1521&lt;'111'!$L$11),"x","")</f>
        <v/>
      </c>
      <c r="T1521" s="84" t="str">
        <f>IF(ISERROR(FIND('112'!$M$9,G1521,1)),"",IF((AND(FIND('112'!$M$9,G1521,1)&gt;=1,B1521='112'!$K$9,OR($N1521='112'!$I$6,$O1521='112'!$I$6))),"x",""))</f>
        <v>x</v>
      </c>
      <c r="U1521" s="84" t="str">
        <f>IF(ISERROR(FIND('112'!$M$9,G1521,1)),"",IF((AND(LEFT(G1521,2)=LEFT('112'!$M$9,2),B1521&lt;'112'!$K$9,$N1521='112'!$I$6)),"x",""))</f>
        <v/>
      </c>
      <c r="V1521" s="84" t="str">
        <f>IF(ISERROR(FIND('112'!$M$9,G1521,1)),"",IF((AND(RIGHT(G1521,2)=RIGHT('112'!$M$9,2),B1521&lt;'112'!$K$9,$O1521='112'!$I$6)),"x",""))</f>
        <v/>
      </c>
      <c r="W1521" s="84" t="str">
        <f>IF(AND('341-CT'!$H$9=H1521,OR(LEFT(N1521,3)=$W$7,LEFT(O1521,3)=$W$7)),"x","")</f>
        <v/>
      </c>
      <c r="X1521" s="84" t="str">
        <f>IF(OR(TH!N1521=TH!$X$7,O1521=TH!$X$7),"x","")</f>
        <v/>
      </c>
      <c r="Y1521" s="84" t="str">
        <f>IF(AND(OR(N1521="131",O1521="131"),H1521='131-CT'!$H$9),"x","")</f>
        <v/>
      </c>
      <c r="Z1521" s="84"/>
      <c r="AA1521" s="84" t="str">
        <f>IF(AND(MONTH(E1521)='IN-NX'!$J$5,'IN-NX'!$D$7=D1521),"x","")</f>
        <v/>
      </c>
      <c r="AB1521" s="84" t="str">
        <f>IF(AND(OR(LEFT(TH!N1521,2)="15",LEFT(TH!O1521,2)="15"),LEFT(TH!O1521,3)&lt;&gt;"111",'152-CT'!$J$8=TH!F1521),"x","")</f>
        <v/>
      </c>
      <c r="AC1521" s="84" t="str">
        <f>IF(AND(OR(LEFT(TH!N1521,2)="15",LEFT(TH!O1521,2)="15"),TK!$E$7=TH!F1521),"x","")</f>
        <v/>
      </c>
      <c r="AD1521" s="84" t="str">
        <f>IF(AND(N1521="1521",MONTH(C1521)='BK-NL'!$M$11),"x","")</f>
        <v/>
      </c>
    </row>
    <row r="1522" spans="1:32" ht="15.75" hidden="1" customHeight="1">
      <c r="A1522" s="336" t="str">
        <f>IF(B1522&lt;&gt;"",IF(AND(B1522='IN-TC'!$S$4,OR(TH!N1522="1111",TH!O1522="1111")),TH!D1522,""),"")</f>
        <v/>
      </c>
      <c r="B1522" s="63">
        <f t="shared" si="216"/>
        <v>6</v>
      </c>
      <c r="C1522" s="64">
        <v>42527</v>
      </c>
      <c r="D1522" s="64" t="s">
        <v>705</v>
      </c>
      <c r="E1522" s="64">
        <f t="shared" si="217"/>
        <v>42527</v>
      </c>
      <c r="F1522" s="73" t="s">
        <v>1050</v>
      </c>
      <c r="G1522" s="67" t="s">
        <v>919</v>
      </c>
      <c r="H1522" s="73" t="s">
        <v>714</v>
      </c>
      <c r="I1522" s="439"/>
      <c r="J1522" s="439"/>
      <c r="K1522" s="430"/>
      <c r="L1522" s="439"/>
      <c r="M1522" s="65">
        <v>1781595</v>
      </c>
      <c r="N1522" s="66" t="s">
        <v>99</v>
      </c>
      <c r="O1522" s="66" t="s">
        <v>26</v>
      </c>
      <c r="P1522" s="84" t="str">
        <f>IF(AND('331-CT'!$E$7=TH!H1522,OR(N1522="331",O1522="331")),"x","")</f>
        <v/>
      </c>
      <c r="Q1522" s="84" t="str">
        <f>IF(AND(B1522='111'!$L$11,OR($N1522=$Q$7,$O1522=$Q$7)),"x","")</f>
        <v/>
      </c>
      <c r="R1522" s="84" t="str">
        <f>IF(AND($N1522=$Q$7,$B1522&lt;'111'!$L$11),"x","")</f>
        <v/>
      </c>
      <c r="S1522" s="84" t="str">
        <f>IF(AND($O1522=$Q$7,$B1522&lt;'111'!$L$11),"x","")</f>
        <v/>
      </c>
      <c r="T1522" s="84" t="str">
        <f>IF(ISERROR(FIND('112'!$M$9,G1522,1)),"",IF((AND(FIND('112'!$M$9,G1522,1)&gt;=1,B1522='112'!$K$9,OR($N1522='112'!$I$6,$O1522='112'!$I$6))),"x",""))</f>
        <v>x</v>
      </c>
      <c r="U1522" s="84" t="str">
        <f>IF(ISERROR(FIND('112'!$M$9,G1522,1)),"",IF((AND(LEFT(G1522,2)=LEFT('112'!$M$9,2),B1522&lt;'112'!$K$9,$N1522='112'!$I$6)),"x",""))</f>
        <v/>
      </c>
      <c r="V1522" s="84" t="str">
        <f>IF(ISERROR(FIND('112'!$M$9,G1522,1)),"",IF((AND(RIGHT(G1522,2)=RIGHT('112'!$M$9,2),B1522&lt;'112'!$K$9,$O1522='112'!$I$6)),"x",""))</f>
        <v/>
      </c>
      <c r="W1522" s="84" t="str">
        <f>IF(AND('341-CT'!$H$9=H1522,OR(LEFT(N1522,3)=$W$7,LEFT(O1522,3)=$W$7)),"x","")</f>
        <v/>
      </c>
      <c r="X1522" s="84" t="str">
        <f>IF(OR(TH!N1522=TH!$X$7,O1522=TH!$X$7),"x","")</f>
        <v/>
      </c>
      <c r="Y1522" s="84" t="str">
        <f>IF(AND(OR(N1522="131",O1522="131"),H1522='131-CT'!$H$9),"x","")</f>
        <v/>
      </c>
      <c r="Z1522" s="84"/>
      <c r="AA1522" s="84" t="str">
        <f>IF(AND(MONTH(E1522)='IN-NX'!$J$5,'IN-NX'!$D$7=D1522),"x","")</f>
        <v/>
      </c>
      <c r="AB1522" s="84" t="str">
        <f>IF(AND(OR(LEFT(TH!N1522,2)="15",LEFT(TH!O1522,2)="15"),LEFT(TH!O1522,3)&lt;&gt;"111",'152-CT'!$J$8=TH!F1522),"x","")</f>
        <v/>
      </c>
      <c r="AC1522" s="84" t="str">
        <f>IF(AND(OR(LEFT(TH!N1522,2)="15",LEFT(TH!O1522,2)="15"),TK!$E$7=TH!F1522),"x","")</f>
        <v/>
      </c>
      <c r="AD1522" s="84" t="str">
        <f>IF(AND(N1522="1521",MONTH(C1522)='BK-NL'!$M$11),"x","")</f>
        <v/>
      </c>
    </row>
    <row r="1523" spans="1:32" s="351" customFormat="1" ht="15.75" hidden="1" customHeight="1">
      <c r="A1523" s="336" t="str">
        <f>IF(B1523&lt;&gt;"",IF(AND(B1523='IN-TC'!$S$4,OR(TH!N1523="1111",TH!O1523="1111")),TH!D1523,""),"")</f>
        <v/>
      </c>
      <c r="B1523" s="63">
        <f t="shared" si="216"/>
        <v>6</v>
      </c>
      <c r="C1523" s="64">
        <v>42528</v>
      </c>
      <c r="D1523" s="64" t="s">
        <v>702</v>
      </c>
      <c r="E1523" s="64">
        <f t="shared" si="217"/>
        <v>42528</v>
      </c>
      <c r="F1523" s="73" t="s">
        <v>1107</v>
      </c>
      <c r="G1523" s="67" t="s">
        <v>918</v>
      </c>
      <c r="H1523" s="1174" t="s">
        <v>763</v>
      </c>
      <c r="I1523" s="439"/>
      <c r="J1523" s="439"/>
      <c r="K1523" s="430"/>
      <c r="L1523" s="439"/>
      <c r="M1523" s="65">
        <v>440000000</v>
      </c>
      <c r="N1523" s="66" t="s">
        <v>26</v>
      </c>
      <c r="O1523" s="66" t="s">
        <v>63</v>
      </c>
      <c r="P1523" s="84" t="str">
        <f>IF(AND('331-CT'!$E$7=TH!H1523,OR(N1523="331",O1523="331")),"x","")</f>
        <v/>
      </c>
      <c r="Q1523" s="84" t="str">
        <f>IF(AND(B1523='111'!$L$11,OR($N1523=$Q$7,$O1523=$Q$7)),"x","")</f>
        <v/>
      </c>
      <c r="R1523" s="84" t="str">
        <f>IF(AND($N1523=$Q$7,$B1523&lt;'111'!$L$11),"x","")</f>
        <v/>
      </c>
      <c r="S1523" s="84" t="str">
        <f>IF(AND($O1523=$Q$7,$B1523&lt;'111'!$L$11),"x","")</f>
        <v/>
      </c>
      <c r="T1523" s="84" t="str">
        <f>IF(ISERROR(FIND('112'!$M$9,G1523,1)),"",IF((AND(FIND('112'!$M$9,G1523,1)&gt;=1,B1523='112'!$K$9,OR($N1523='112'!$I$6,$O1523='112'!$I$6))),"x",""))</f>
        <v/>
      </c>
      <c r="U1523" s="84" t="str">
        <f>IF(ISERROR(FIND('112'!$M$9,G1523,1)),"",IF((AND(LEFT(G1523,2)=LEFT('112'!$M$9,2),B1523&lt;'112'!$K$9,$N1523='112'!$I$6)),"x",""))</f>
        <v/>
      </c>
      <c r="V1523" s="84" t="str">
        <f>IF(ISERROR(FIND('112'!$M$9,G1523,1)),"",IF((AND(RIGHT(G1523,2)=RIGHT('112'!$M$9,2),B1523&lt;'112'!$K$9,$O1523='112'!$I$6)),"x",""))</f>
        <v/>
      </c>
      <c r="W1523" s="84" t="str">
        <f>IF(AND('341-CT'!$H$9=H1523,OR(LEFT(N1523,3)=$W$7,LEFT(O1523,3)=$W$7)),"x","")</f>
        <v/>
      </c>
      <c r="X1523" s="84" t="str">
        <f>IF(OR(TH!N1523=TH!$X$7,O1523=TH!$X$7),"x","")</f>
        <v/>
      </c>
      <c r="Y1523" s="84" t="str">
        <f>IF(AND(OR(N1523="131",O1523="131"),H1523='131-CT'!$H$9),"x","")</f>
        <v/>
      </c>
      <c r="Z1523" s="84"/>
      <c r="AA1523" s="84" t="str">
        <f>IF(AND(MONTH(E1523)='IN-NX'!$J$5,'IN-NX'!$D$7=D1523),"x","")</f>
        <v/>
      </c>
      <c r="AB1523" s="84" t="str">
        <f>IF(AND(OR(LEFT(TH!N1523,2)="15",LEFT(TH!O1523,2)="15"),LEFT(TH!O1523,3)&lt;&gt;"111",'152-CT'!$J$8=TH!F1523),"x","")</f>
        <v/>
      </c>
      <c r="AC1523" s="84" t="str">
        <f>IF(AND(OR(LEFT(TH!N1523,2)="15",LEFT(TH!O1523,2)="15"),TK!$E$7=TH!F1523),"x","")</f>
        <v/>
      </c>
      <c r="AD1523" s="84" t="str">
        <f>IF(AND(N1523="1521",MONTH(C1523)='BK-NL'!$M$11),"x","")</f>
        <v/>
      </c>
      <c r="AE1523" s="330"/>
      <c r="AF1523" s="330"/>
    </row>
    <row r="1524" spans="1:32" s="351" customFormat="1" ht="15.75" hidden="1" customHeight="1">
      <c r="A1524" s="336" t="str">
        <f>IF(B1524&lt;&gt;"",IF(AND(B1524='IN-TC'!$S$4,OR(TH!N1524="1111",TH!O1524="1111")),TH!D1524,""),"")</f>
        <v/>
      </c>
      <c r="B1524" s="63">
        <f t="shared" si="216"/>
        <v>6</v>
      </c>
      <c r="C1524" s="64">
        <v>42528</v>
      </c>
      <c r="D1524" s="64" t="s">
        <v>702</v>
      </c>
      <c r="E1524" s="64">
        <f t="shared" si="217"/>
        <v>42528</v>
      </c>
      <c r="F1524" s="73" t="s">
        <v>1191</v>
      </c>
      <c r="G1524" s="67" t="s">
        <v>919</v>
      </c>
      <c r="H1524" s="1174" t="s">
        <v>1897</v>
      </c>
      <c r="I1524" s="439"/>
      <c r="J1524" s="439"/>
      <c r="K1524" s="430">
        <v>76050</v>
      </c>
      <c r="L1524" s="439">
        <v>22320</v>
      </c>
      <c r="M1524" s="65">
        <v>1697436000</v>
      </c>
      <c r="N1524" s="66" t="s">
        <v>26</v>
      </c>
      <c r="O1524" s="66" t="s">
        <v>260</v>
      </c>
      <c r="P1524" s="84" t="str">
        <f>IF(AND('331-CT'!$E$7=TH!H1524,OR(N1524="331",O1524="331")),"x","")</f>
        <v/>
      </c>
      <c r="Q1524" s="84" t="str">
        <f>IF(AND(B1524='111'!$L$11,OR($N1524=$Q$7,$O1524=$Q$7)),"x","")</f>
        <v/>
      </c>
      <c r="R1524" s="84" t="str">
        <f>IF(AND($N1524=$Q$7,$B1524&lt;'111'!$L$11),"x","")</f>
        <v/>
      </c>
      <c r="S1524" s="84" t="str">
        <f>IF(AND($O1524=$Q$7,$B1524&lt;'111'!$L$11),"x","")</f>
        <v/>
      </c>
      <c r="T1524" s="84" t="str">
        <f>IF(ISERROR(FIND('112'!$M$9,G1524,1)),"",IF((AND(FIND('112'!$M$9,G1524,1)&gt;=1,B1524='112'!$K$9,OR($N1524='112'!$I$6,$O1524='112'!$I$6))),"x",""))</f>
        <v>x</v>
      </c>
      <c r="U1524" s="84" t="str">
        <f>IF(ISERROR(FIND('112'!$M$9,G1524,1)),"",IF((AND(LEFT(G1524,2)=LEFT('112'!$M$9,2),B1524&lt;'112'!$K$9,$N1524='112'!$I$6)),"x",""))</f>
        <v/>
      </c>
      <c r="V1524" s="84" t="str">
        <f>IF(ISERROR(FIND('112'!$M$9,G1524,1)),"",IF((AND(RIGHT(G1524,2)=RIGHT('112'!$M$9,2),B1524&lt;'112'!$K$9,$O1524='112'!$I$6)),"x",""))</f>
        <v/>
      </c>
      <c r="W1524" s="84" t="str">
        <f>IF(AND('341-CT'!$H$9=H1524,OR(LEFT(N1524,3)=$W$7,LEFT(O1524,3)=$W$7)),"x","")</f>
        <v/>
      </c>
      <c r="X1524" s="84" t="str">
        <f>IF(OR(TH!N1524=TH!$X$7,O1524=TH!$X$7),"x","")</f>
        <v/>
      </c>
      <c r="Y1524" s="84" t="str">
        <f>IF(AND(OR(N1524="131",O1524="131"),H1524='131-CT'!$H$9),"x","")</f>
        <v/>
      </c>
      <c r="Z1524" s="84"/>
      <c r="AA1524" s="84" t="str">
        <f>IF(AND(MONTH(E1524)='IN-NX'!$J$5,'IN-NX'!$D$7=D1524),"x","")</f>
        <v/>
      </c>
      <c r="AB1524" s="84" t="str">
        <f>IF(AND(OR(LEFT(TH!N1524,2)="15",LEFT(TH!O1524,2)="15"),LEFT(TH!O1524,3)&lt;&gt;"111",'152-CT'!$J$8=TH!F1524),"x","")</f>
        <v/>
      </c>
      <c r="AC1524" s="84" t="str">
        <f>IF(AND(OR(LEFT(TH!N1524,2)="15",LEFT(TH!O1524,2)="15"),TK!$E$7=TH!F1524),"x","")</f>
        <v/>
      </c>
      <c r="AD1524" s="84" t="str">
        <f>IF(AND(N1524="1521",MONTH(C1524)='BK-NL'!$M$11),"x","")</f>
        <v/>
      </c>
      <c r="AE1524" s="330"/>
      <c r="AF1524" s="330"/>
    </row>
    <row r="1525" spans="1:32" s="351" customFormat="1" ht="15.75" hidden="1" customHeight="1">
      <c r="A1525" s="336" t="str">
        <f>IF(B1525&lt;&gt;"",IF(AND(B1525='IN-TC'!$S$4,OR(TH!N1525="1111",TH!O1525="1111")),TH!D1525,""),"")</f>
        <v/>
      </c>
      <c r="B1525" s="63">
        <f t="shared" ref="B1525:B1556" si="218">IF(C1525&lt;&gt;"",MONTH(C1525),"")</f>
        <v>6</v>
      </c>
      <c r="C1525" s="64">
        <v>42528</v>
      </c>
      <c r="D1525" s="64" t="s">
        <v>705</v>
      </c>
      <c r="E1525" s="64">
        <f t="shared" si="217"/>
        <v>42528</v>
      </c>
      <c r="F1525" s="73" t="s">
        <v>614</v>
      </c>
      <c r="G1525" s="67" t="s">
        <v>919</v>
      </c>
      <c r="H1525" s="344" t="s">
        <v>1559</v>
      </c>
      <c r="I1525" s="439"/>
      <c r="J1525" s="439"/>
      <c r="K1525" s="430">
        <v>10</v>
      </c>
      <c r="L1525" s="439">
        <v>22380</v>
      </c>
      <c r="M1525" s="65">
        <f>ROUND(K1525*L1525,0)</f>
        <v>223800</v>
      </c>
      <c r="N1525" s="66" t="s">
        <v>101</v>
      </c>
      <c r="O1525" s="66" t="s">
        <v>266</v>
      </c>
      <c r="P1525" s="84" t="str">
        <f>IF(AND('331-CT'!$E$7=TH!H1525,OR(N1525="331",O1525="331")),"x","")</f>
        <v/>
      </c>
      <c r="Q1525" s="84" t="str">
        <f>IF(AND(B1525='111'!$L$11,OR($N1525=$Q$7,$O1525=$Q$7)),"x","")</f>
        <v/>
      </c>
      <c r="R1525" s="84" t="str">
        <f>IF(AND($N1525=$Q$7,$B1525&lt;'111'!$L$11),"x","")</f>
        <v/>
      </c>
      <c r="S1525" s="84" t="str">
        <f>IF(AND($O1525=$Q$7,$B1525&lt;'111'!$L$11),"x","")</f>
        <v/>
      </c>
      <c r="T1525" s="84" t="str">
        <f>IF(ISERROR(FIND('112'!$M$9,G1525,1)),"",IF((AND(FIND('112'!$M$9,G1525,1)&gt;=1,B1525='112'!$K$9,OR($N1525='112'!$I$6,$O1525='112'!$I$6))),"x",""))</f>
        <v/>
      </c>
      <c r="U1525" s="84" t="str">
        <f>IF(ISERROR(FIND('112'!$M$9,G1525,1)),"",IF((AND(LEFT(G1525,2)=LEFT('112'!$M$9,2),B1525&lt;'112'!$K$9,$N1525='112'!$I$6)),"x",""))</f>
        <v/>
      </c>
      <c r="V1525" s="84" t="str">
        <f>IF(ISERROR(FIND('112'!$M$9,G1525,1)),"",IF((AND(RIGHT(G1525,2)=RIGHT('112'!$M$9,2),B1525&lt;'112'!$K$9,$O1525='112'!$I$6)),"x",""))</f>
        <v/>
      </c>
      <c r="W1525" s="84" t="str">
        <f>IF(AND('341-CT'!$H$9=H1525,OR(LEFT(N1525,3)=$W$7,LEFT(O1525,3)=$W$7)),"x","")</f>
        <v/>
      </c>
      <c r="X1525" s="84" t="str">
        <f>IF(OR(TH!N1525=TH!$X$7,O1525=TH!$X$7),"x","")</f>
        <v/>
      </c>
      <c r="Y1525" s="84" t="str">
        <f>IF(AND(OR(N1525="131",O1525="131"),H1525='131-CT'!$H$9),"x","")</f>
        <v/>
      </c>
      <c r="Z1525" s="84"/>
      <c r="AA1525" s="84" t="str">
        <f>IF(AND(MONTH(E1525)='IN-NX'!$J$5,'IN-NX'!$D$7=D1525),"x","")</f>
        <v/>
      </c>
      <c r="AB1525" s="84" t="str">
        <f>IF(AND(OR(LEFT(TH!N1525,2)="15",LEFT(TH!O1525,2)="15"),LEFT(TH!O1525,3)&lt;&gt;"111",'152-CT'!$J$8=TH!F1525),"x","")</f>
        <v/>
      </c>
      <c r="AC1525" s="84" t="str">
        <f>IF(AND(OR(LEFT(TH!N1525,2)="15",LEFT(TH!O1525,2)="15"),TK!$E$7=TH!F1525),"x","")</f>
        <v/>
      </c>
      <c r="AD1525" s="84" t="str">
        <f>IF(AND(N1525="1521",MONTH(C1525)='BK-NL'!$M$11),"x","")</f>
        <v/>
      </c>
      <c r="AE1525" s="330"/>
      <c r="AF1525" s="330">
        <v>1</v>
      </c>
    </row>
    <row r="1526" spans="1:32" ht="15.75" hidden="1" customHeight="1">
      <c r="A1526" s="336" t="str">
        <f>IF(B1526&lt;&gt;"",IF(AND(B1526='IN-TC'!$S$4,OR(TH!N1526="1111",TH!O1526="1111")),TH!D1526,""),"")</f>
        <v/>
      </c>
      <c r="B1526" s="63">
        <f t="shared" si="218"/>
        <v>6</v>
      </c>
      <c r="C1526" s="64">
        <v>42528</v>
      </c>
      <c r="D1526" s="64" t="s">
        <v>705</v>
      </c>
      <c r="E1526" s="64">
        <f t="shared" si="217"/>
        <v>42528</v>
      </c>
      <c r="F1526" s="73" t="s">
        <v>1194</v>
      </c>
      <c r="G1526" s="67" t="s">
        <v>919</v>
      </c>
      <c r="H1526" s="344" t="s">
        <v>1559</v>
      </c>
      <c r="I1526" s="439"/>
      <c r="J1526" s="439"/>
      <c r="K1526" s="430">
        <v>1</v>
      </c>
      <c r="L1526" s="439">
        <v>22380</v>
      </c>
      <c r="M1526" s="65">
        <f>ROUND(K1526*L1526,0)</f>
        <v>22380</v>
      </c>
      <c r="N1526" s="66" t="s">
        <v>9</v>
      </c>
      <c r="O1526" s="66" t="s">
        <v>266</v>
      </c>
      <c r="P1526" s="84" t="str">
        <f>IF(AND('331-CT'!$E$7=TH!H1526,OR(N1526="331",O1526="331")),"x","")</f>
        <v/>
      </c>
      <c r="Q1526" s="84" t="str">
        <f>IF(AND(B1526='111'!$L$11,OR($N1526=$Q$7,$O1526=$Q$7)),"x","")</f>
        <v/>
      </c>
      <c r="R1526" s="84" t="str">
        <f>IF(AND($N1526=$Q$7,$B1526&lt;'111'!$L$11),"x","")</f>
        <v/>
      </c>
      <c r="S1526" s="84" t="str">
        <f>IF(AND($O1526=$Q$7,$B1526&lt;'111'!$L$11),"x","")</f>
        <v/>
      </c>
      <c r="T1526" s="84" t="str">
        <f>IF(ISERROR(FIND('112'!$M$9,G1526,1)),"",IF((AND(FIND('112'!$M$9,G1526,1)&gt;=1,B1526='112'!$K$9,OR($N1526='112'!$I$6,$O1526='112'!$I$6))),"x",""))</f>
        <v/>
      </c>
      <c r="U1526" s="84" t="str">
        <f>IF(ISERROR(FIND('112'!$M$9,G1526,1)),"",IF((AND(LEFT(G1526,2)=LEFT('112'!$M$9,2),B1526&lt;'112'!$K$9,$N1526='112'!$I$6)),"x",""))</f>
        <v/>
      </c>
      <c r="V1526" s="84" t="str">
        <f>IF(ISERROR(FIND('112'!$M$9,G1526,1)),"",IF((AND(RIGHT(G1526,2)=RIGHT('112'!$M$9,2),B1526&lt;'112'!$K$9,$O1526='112'!$I$6)),"x",""))</f>
        <v/>
      </c>
      <c r="W1526" s="84" t="str">
        <f>IF(AND('341-CT'!$H$9=H1526,OR(LEFT(N1526,3)=$W$7,LEFT(O1526,3)=$W$7)),"x","")</f>
        <v/>
      </c>
      <c r="X1526" s="84" t="str">
        <f>IF(OR(TH!N1526=TH!$X$7,O1526=TH!$X$7),"x","")</f>
        <v/>
      </c>
      <c r="Y1526" s="84" t="str">
        <f>IF(AND(OR(N1526="131",O1526="131"),H1526='131-CT'!$H$9),"x","")</f>
        <v/>
      </c>
      <c r="Z1526" s="84"/>
      <c r="AA1526" s="84" t="str">
        <f>IF(AND(MONTH(E1526)='IN-NX'!$J$5,'IN-NX'!$D$7=D1526),"x","")</f>
        <v/>
      </c>
      <c r="AB1526" s="84" t="str">
        <f>IF(AND(OR(LEFT(TH!N1526,2)="15",LEFT(TH!O1526,2)="15"),LEFT(TH!O1526,3)&lt;&gt;"111",'152-CT'!$J$8=TH!F1526),"x","")</f>
        <v/>
      </c>
      <c r="AC1526" s="84" t="str">
        <f>IF(AND(OR(LEFT(TH!N1526,2)="15",LEFT(TH!O1526,2)="15"),TK!$E$7=TH!F1526),"x","")</f>
        <v/>
      </c>
      <c r="AD1526" s="84" t="str">
        <f>IF(AND(N1526="1521",MONTH(C1526)='BK-NL'!$M$11),"x","")</f>
        <v/>
      </c>
    </row>
    <row r="1527" spans="1:32" ht="15.75" hidden="1" customHeight="1">
      <c r="A1527" s="336" t="str">
        <f>IF(B1527&lt;&gt;"",IF(AND(B1527='IN-TC'!$S$4,OR(TH!N1527="1111",TH!O1527="1111")),TH!D1527,""),"")</f>
        <v/>
      </c>
      <c r="B1527" s="63">
        <f t="shared" si="218"/>
        <v>6</v>
      </c>
      <c r="C1527" s="64">
        <v>42528</v>
      </c>
      <c r="D1527" s="64" t="s">
        <v>705</v>
      </c>
      <c r="E1527" s="64">
        <f t="shared" si="217"/>
        <v>42528</v>
      </c>
      <c r="F1527" s="73" t="s">
        <v>615</v>
      </c>
      <c r="G1527" s="67" t="s">
        <v>919</v>
      </c>
      <c r="H1527" s="344" t="s">
        <v>1559</v>
      </c>
      <c r="I1527" s="439"/>
      <c r="J1527" s="439"/>
      <c r="K1527" s="430">
        <v>27.62</v>
      </c>
      <c r="L1527" s="439">
        <v>22380</v>
      </c>
      <c r="M1527" s="65">
        <f>ROUND(K1527*L1527,0)</f>
        <v>618136</v>
      </c>
      <c r="N1527" s="66" t="s">
        <v>101</v>
      </c>
      <c r="O1527" s="66" t="s">
        <v>266</v>
      </c>
      <c r="P1527" s="84" t="str">
        <f>IF(AND('331-CT'!$E$7=TH!H1527,OR(N1527="331",O1527="331")),"x","")</f>
        <v/>
      </c>
      <c r="Q1527" s="84" t="str">
        <f>IF(AND(B1527='111'!$L$11,OR($N1527=$Q$7,$O1527=$Q$7)),"x","")</f>
        <v/>
      </c>
      <c r="R1527" s="84" t="str">
        <f>IF(AND($N1527=$Q$7,$B1527&lt;'111'!$L$11),"x","")</f>
        <v/>
      </c>
      <c r="S1527" s="84" t="str">
        <f>IF(AND($O1527=$Q$7,$B1527&lt;'111'!$L$11),"x","")</f>
        <v/>
      </c>
      <c r="T1527" s="84" t="str">
        <f>IF(ISERROR(FIND('112'!$M$9,G1527,1)),"",IF((AND(FIND('112'!$M$9,G1527,1)&gt;=1,B1527='112'!$K$9,OR($N1527='112'!$I$6,$O1527='112'!$I$6))),"x",""))</f>
        <v/>
      </c>
      <c r="U1527" s="84" t="str">
        <f>IF(ISERROR(FIND('112'!$M$9,G1527,1)),"",IF((AND(LEFT(G1527,2)=LEFT('112'!$M$9,2),B1527&lt;'112'!$K$9,$N1527='112'!$I$6)),"x",""))</f>
        <v/>
      </c>
      <c r="V1527" s="84" t="str">
        <f>IF(ISERROR(FIND('112'!$M$9,G1527,1)),"",IF((AND(RIGHT(G1527,2)=RIGHT('112'!$M$9,2),B1527&lt;'112'!$K$9,$O1527='112'!$I$6)),"x",""))</f>
        <v/>
      </c>
      <c r="W1527" s="84" t="str">
        <f>IF(AND('341-CT'!$H$9=H1527,OR(LEFT(N1527,3)=$W$7,LEFT(O1527,3)=$W$7)),"x","")</f>
        <v/>
      </c>
      <c r="X1527" s="84" t="str">
        <f>IF(OR(TH!N1527=TH!$X$7,O1527=TH!$X$7),"x","")</f>
        <v/>
      </c>
      <c r="Y1527" s="84" t="str">
        <f>IF(AND(OR(N1527="131",O1527="131"),H1527='131-CT'!$H$9),"x","")</f>
        <v/>
      </c>
      <c r="Z1527" s="84"/>
      <c r="AA1527" s="84" t="str">
        <f>IF(AND(MONTH(E1527)='IN-NX'!$J$5,'IN-NX'!$D$7=D1527),"x","")</f>
        <v/>
      </c>
      <c r="AB1527" s="84" t="str">
        <f>IF(AND(OR(LEFT(TH!N1527,2)="15",LEFT(TH!O1527,2)="15"),LEFT(TH!O1527,3)&lt;&gt;"111",'152-CT'!$J$8=TH!F1527),"x","")</f>
        <v/>
      </c>
      <c r="AC1527" s="84" t="str">
        <f>IF(AND(OR(LEFT(TH!N1527,2)="15",LEFT(TH!O1527,2)="15"),TK!$E$7=TH!F1527),"x","")</f>
        <v/>
      </c>
      <c r="AD1527" s="84" t="str">
        <f>IF(AND(N1527="1521",MONTH(C1527)='BK-NL'!$M$11),"x","")</f>
        <v/>
      </c>
      <c r="AF1527" s="330">
        <v>1</v>
      </c>
    </row>
    <row r="1528" spans="1:32" s="1166" customFormat="1" ht="15.75" hidden="1" customHeight="1">
      <c r="A1528" s="336" t="str">
        <f>IF(B1528&lt;&gt;"",IF(AND(B1528='IN-TC'!$S$4,OR(TH!N1528="1111",TH!O1528="1111")),TH!D1528,""),"")</f>
        <v/>
      </c>
      <c r="B1528" s="63">
        <f t="shared" si="218"/>
        <v>6</v>
      </c>
      <c r="C1528" s="64">
        <v>42528</v>
      </c>
      <c r="D1528" s="64" t="s">
        <v>705</v>
      </c>
      <c r="E1528" s="64">
        <f t="shared" si="217"/>
        <v>42528</v>
      </c>
      <c r="F1528" s="73" t="s">
        <v>1318</v>
      </c>
      <c r="G1528" s="67" t="s">
        <v>919</v>
      </c>
      <c r="H1528" s="344" t="s">
        <v>1559</v>
      </c>
      <c r="I1528" s="439"/>
      <c r="J1528" s="439"/>
      <c r="K1528" s="430">
        <v>2.76</v>
      </c>
      <c r="L1528" s="439">
        <v>22380</v>
      </c>
      <c r="M1528" s="65">
        <f>ROUND(K1528*L1528,0)</f>
        <v>61769</v>
      </c>
      <c r="N1528" s="66" t="s">
        <v>9</v>
      </c>
      <c r="O1528" s="66" t="s">
        <v>266</v>
      </c>
      <c r="P1528" s="84" t="str">
        <f>IF(AND('331-CT'!$E$7=TH!H1528,OR(N1528="331",O1528="331")),"x","")</f>
        <v/>
      </c>
      <c r="Q1528" s="84" t="str">
        <f>IF(AND(B1528='111'!$L$11,OR($N1528=$Q$7,$O1528=$Q$7)),"x","")</f>
        <v/>
      </c>
      <c r="R1528" s="84" t="str">
        <f>IF(AND($N1528=$Q$7,$B1528&lt;'111'!$L$11),"x","")</f>
        <v/>
      </c>
      <c r="S1528" s="84" t="str">
        <f>IF(AND($O1528=$Q$7,$B1528&lt;'111'!$L$11),"x","")</f>
        <v/>
      </c>
      <c r="T1528" s="84" t="str">
        <f>IF(ISERROR(FIND('112'!$M$9,G1528,1)),"",IF((AND(FIND('112'!$M$9,G1528,1)&gt;=1,B1528='112'!$K$9,OR($N1528='112'!$I$6,$O1528='112'!$I$6))),"x",""))</f>
        <v/>
      </c>
      <c r="U1528" s="84" t="str">
        <f>IF(ISERROR(FIND('112'!$M$9,G1528,1)),"",IF((AND(LEFT(G1528,2)=LEFT('112'!$M$9,2),B1528&lt;'112'!$K$9,$N1528='112'!$I$6)),"x",""))</f>
        <v/>
      </c>
      <c r="V1528" s="84" t="str">
        <f>IF(ISERROR(FIND('112'!$M$9,G1528,1)),"",IF((AND(RIGHT(G1528,2)=RIGHT('112'!$M$9,2),B1528&lt;'112'!$K$9,$O1528='112'!$I$6)),"x",""))</f>
        <v/>
      </c>
      <c r="W1528" s="84" t="str">
        <f>IF(AND('341-CT'!$H$9=H1528,OR(LEFT(N1528,3)=$W$7,LEFT(O1528,3)=$W$7)),"x","")</f>
        <v/>
      </c>
      <c r="X1528" s="84" t="str">
        <f>IF(OR(TH!N1528=TH!$X$7,O1528=TH!$X$7),"x","")</f>
        <v/>
      </c>
      <c r="Y1528" s="84" t="str">
        <f>IF(AND(OR(N1528="131",O1528="131"),H1528='131-CT'!$H$9),"x","")</f>
        <v/>
      </c>
      <c r="Z1528" s="84"/>
      <c r="AA1528" s="84" t="str">
        <f>IF(AND(MONTH(E1528)='IN-NX'!$J$5,'IN-NX'!$D$7=D1528),"x","")</f>
        <v/>
      </c>
      <c r="AB1528" s="84" t="str">
        <f>IF(AND(OR(LEFT(TH!N1528,2)="15",LEFT(TH!O1528,2)="15"),LEFT(TH!O1528,3)&lt;&gt;"111",'152-CT'!$J$8=TH!F1528),"x","")</f>
        <v/>
      </c>
      <c r="AC1528" s="84" t="str">
        <f>IF(AND(OR(LEFT(TH!N1528,2)="15",LEFT(TH!O1528,2)="15"),TK!$E$7=TH!F1528),"x","")</f>
        <v/>
      </c>
      <c r="AD1528" s="84" t="str">
        <f>IF(AND(N1528="1521",MONTH(C1528)='BK-NL'!$M$11),"x","")</f>
        <v/>
      </c>
      <c r="AE1528" s="330"/>
      <c r="AF1528" s="330"/>
    </row>
    <row r="1529" spans="1:32" ht="15.75" hidden="1" customHeight="1">
      <c r="A1529" s="336" t="str">
        <f>IF(B1529&lt;&gt;"",IF(AND(B1529='IN-TC'!$S$4,OR(TH!N1529="1111",TH!O1529="1111")),TH!D1529,""),"")</f>
        <v/>
      </c>
      <c r="B1529" s="63">
        <f t="shared" si="218"/>
        <v>6</v>
      </c>
      <c r="C1529" s="64">
        <v>42528</v>
      </c>
      <c r="D1529" s="64" t="s">
        <v>705</v>
      </c>
      <c r="E1529" s="64">
        <f t="shared" si="217"/>
        <v>42528</v>
      </c>
      <c r="F1529" s="73" t="s">
        <v>1201</v>
      </c>
      <c r="G1529" s="67" t="s">
        <v>925</v>
      </c>
      <c r="H1529" s="73"/>
      <c r="I1529" s="439"/>
      <c r="J1529" s="439"/>
      <c r="K1529" s="430"/>
      <c r="L1529" s="439"/>
      <c r="M1529" s="65">
        <v>1690000000</v>
      </c>
      <c r="N1529" s="66" t="s">
        <v>26</v>
      </c>
      <c r="O1529" s="66" t="s">
        <v>26</v>
      </c>
      <c r="P1529" s="84" t="str">
        <f>IF(AND('331-CT'!$E$7=TH!H1529,OR(N1529="331",O1529="331")),"x","")</f>
        <v/>
      </c>
      <c r="Q1529" s="84" t="str">
        <f>IF(AND(B1529='111'!$L$11,OR($N1529=$Q$7,$O1529=$Q$7)),"x","")</f>
        <v/>
      </c>
      <c r="R1529" s="84" t="str">
        <f>IF(AND($N1529=$Q$7,$B1529&lt;'111'!$L$11),"x","")</f>
        <v/>
      </c>
      <c r="S1529" s="84" t="str">
        <f>IF(AND($O1529=$Q$7,$B1529&lt;'111'!$L$11),"x","")</f>
        <v/>
      </c>
      <c r="T1529" s="84" t="str">
        <f>IF(ISERROR(FIND('112'!$M$9,G1529,1)),"",IF((AND(FIND('112'!$M$9,G1529,1)&gt;=1,B1529='112'!$K$9,OR($N1529='112'!$I$6,$O1529='112'!$I$6))),"x",""))</f>
        <v>x</v>
      </c>
      <c r="U1529" s="84" t="str">
        <f>IF(ISERROR(FIND('112'!$M$9,G1529,1)),"",IF((AND(LEFT(G1529,2)=LEFT('112'!$M$9,2),B1529&lt;'112'!$K$9,$N1529='112'!$I$6)),"x",""))</f>
        <v/>
      </c>
      <c r="V1529" s="84" t="str">
        <f>IF(ISERROR(FIND('112'!$M$9,G1529,1)),"",IF((AND(RIGHT(G1529,2)=RIGHT('112'!$M$9,2),B1529&lt;'112'!$K$9,$O1529='112'!$I$6)),"x",""))</f>
        <v/>
      </c>
      <c r="W1529" s="84" t="str">
        <f>IF(AND('341-CT'!$H$9=H1529,OR(LEFT(N1529,3)=$W$7,LEFT(O1529,3)=$W$7)),"x","")</f>
        <v/>
      </c>
      <c r="X1529" s="84" t="str">
        <f>IF(OR(TH!N1529=TH!$X$7,O1529=TH!$X$7),"x","")</f>
        <v/>
      </c>
      <c r="Y1529" s="84" t="str">
        <f>IF(AND(OR(N1529="131",O1529="131"),H1529='131-CT'!$H$9),"x","")</f>
        <v/>
      </c>
      <c r="Z1529" s="84"/>
      <c r="AA1529" s="84" t="str">
        <f>IF(AND(MONTH(E1529)='IN-NX'!$J$5,'IN-NX'!$D$7=D1529),"x","")</f>
        <v/>
      </c>
      <c r="AB1529" s="84" t="str">
        <f>IF(AND(OR(LEFT(TH!N1529,2)="15",LEFT(TH!O1529,2)="15"),LEFT(TH!O1529,3)&lt;&gt;"111",'152-CT'!$J$8=TH!F1529),"x","")</f>
        <v/>
      </c>
      <c r="AC1529" s="84" t="str">
        <f>IF(AND(OR(LEFT(TH!N1529,2)="15",LEFT(TH!O1529,2)="15"),TK!$E$7=TH!F1529),"x","")</f>
        <v/>
      </c>
      <c r="AD1529" s="84" t="str">
        <f>IF(AND(N1529="1521",MONTH(C1529)='BK-NL'!$M$11),"x","")</f>
        <v/>
      </c>
    </row>
    <row r="1530" spans="1:32" ht="15.75" hidden="1" customHeight="1">
      <c r="A1530" s="336" t="str">
        <f>IF(B1530&lt;&gt;"",IF(AND(B1530='IN-TC'!$S$4,OR(TH!N1530="1111",TH!O1530="1111")),TH!D1530,""),"")</f>
        <v/>
      </c>
      <c r="B1530" s="63">
        <f t="shared" si="218"/>
        <v>6</v>
      </c>
      <c r="C1530" s="64">
        <v>42528</v>
      </c>
      <c r="D1530" s="64" t="s">
        <v>702</v>
      </c>
      <c r="E1530" s="64">
        <f t="shared" si="217"/>
        <v>42528</v>
      </c>
      <c r="F1530" s="73" t="s">
        <v>1187</v>
      </c>
      <c r="G1530" s="67" t="s">
        <v>918</v>
      </c>
      <c r="H1530" s="73"/>
      <c r="I1530" s="439"/>
      <c r="J1530" s="439"/>
      <c r="K1530" s="430">
        <v>70900</v>
      </c>
      <c r="L1530" s="439">
        <v>22350</v>
      </c>
      <c r="M1530" s="65">
        <f>ROUND(K1530*L1530,0)</f>
        <v>1584615000</v>
      </c>
      <c r="N1530" s="66" t="s">
        <v>266</v>
      </c>
      <c r="O1530" s="66" t="s">
        <v>26</v>
      </c>
      <c r="P1530" s="84" t="str">
        <f>IF(AND('331-CT'!$E$7=TH!H1530,OR(N1530="331",O1530="331")),"x","")</f>
        <v/>
      </c>
      <c r="Q1530" s="84" t="str">
        <f>IF(AND(B1530='111'!$L$11,OR($N1530=$Q$7,$O1530=$Q$7)),"x","")</f>
        <v/>
      </c>
      <c r="R1530" s="84" t="str">
        <f>IF(AND($N1530=$Q$7,$B1530&lt;'111'!$L$11),"x","")</f>
        <v/>
      </c>
      <c r="S1530" s="84" t="str">
        <f>IF(AND($O1530=$Q$7,$B1530&lt;'111'!$L$11),"x","")</f>
        <v/>
      </c>
      <c r="T1530" s="84" t="str">
        <f>IF(ISERROR(FIND('112'!$M$9,G1530,1)),"",IF((AND(FIND('112'!$M$9,G1530,1)&gt;=1,B1530='112'!$K$9,OR($N1530='112'!$I$6,$O1530='112'!$I$6))),"x",""))</f>
        <v/>
      </c>
      <c r="U1530" s="84" t="str">
        <f>IF(ISERROR(FIND('112'!$M$9,G1530,1)),"",IF((AND(LEFT(G1530,2)=LEFT('112'!$M$9,2),B1530&lt;'112'!$K$9,$N1530='112'!$I$6)),"x",""))</f>
        <v/>
      </c>
      <c r="V1530" s="84" t="str">
        <f>IF(ISERROR(FIND('112'!$M$9,G1530,1)),"",IF((AND(RIGHT(G1530,2)=RIGHT('112'!$M$9,2),B1530&lt;'112'!$K$9,$O1530='112'!$I$6)),"x",""))</f>
        <v/>
      </c>
      <c r="W1530" s="84" t="str">
        <f>IF(AND('341-CT'!$H$9=H1530,OR(LEFT(N1530,3)=$W$7,LEFT(O1530,3)=$W$7)),"x","")</f>
        <v/>
      </c>
      <c r="X1530" s="84" t="str">
        <f>IF(OR(TH!N1530=TH!$X$7,O1530=TH!$X$7),"x","")</f>
        <v/>
      </c>
      <c r="Y1530" s="84" t="str">
        <f>IF(AND(OR(N1530="131",O1530="131"),H1530='131-CT'!$H$9),"x","")</f>
        <v/>
      </c>
      <c r="Z1530" s="84"/>
      <c r="AA1530" s="84" t="str">
        <f>IF(AND(MONTH(E1530)='IN-NX'!$J$5,'IN-NX'!$D$7=D1530),"x","")</f>
        <v/>
      </c>
      <c r="AB1530" s="84" t="str">
        <f>IF(AND(OR(LEFT(TH!N1530,2)="15",LEFT(TH!O1530,2)="15"),LEFT(TH!O1530,3)&lt;&gt;"111",'152-CT'!$J$8=TH!F1530),"x","")</f>
        <v/>
      </c>
      <c r="AC1530" s="84" t="str">
        <f>IF(AND(OR(LEFT(TH!N1530,2)="15",LEFT(TH!O1530,2)="15"),TK!$E$7=TH!F1530),"x","")</f>
        <v/>
      </c>
      <c r="AD1530" s="84" t="str">
        <f>IF(AND(N1530="1521",MONTH(C1530)='BK-NL'!$M$11),"x","")</f>
        <v/>
      </c>
    </row>
    <row r="1531" spans="1:32" ht="15.75" hidden="1" customHeight="1">
      <c r="A1531" s="336" t="str">
        <f>IF(B1531&lt;&gt;"",IF(AND(B1531='IN-TC'!$S$4,OR(TH!N1531="1111",TH!O1531="1111")),TH!D1531,""),"")</f>
        <v/>
      </c>
      <c r="B1531" s="63">
        <f t="shared" si="218"/>
        <v>6</v>
      </c>
      <c r="C1531" s="64">
        <v>42528</v>
      </c>
      <c r="D1531" s="64" t="s">
        <v>705</v>
      </c>
      <c r="E1531" s="64">
        <f t="shared" si="217"/>
        <v>42528</v>
      </c>
      <c r="F1531" s="345" t="s">
        <v>757</v>
      </c>
      <c r="G1531" s="67" t="s">
        <v>918</v>
      </c>
      <c r="H1531" s="344" t="s">
        <v>729</v>
      </c>
      <c r="I1531" s="439"/>
      <c r="J1531" s="439"/>
      <c r="K1531" s="430"/>
      <c r="L1531" s="439"/>
      <c r="M1531" s="65">
        <v>4407741</v>
      </c>
      <c r="N1531" s="66" t="s">
        <v>99</v>
      </c>
      <c r="O1531" s="66" t="s">
        <v>26</v>
      </c>
      <c r="P1531" s="84" t="str">
        <f>IF(AND('331-CT'!$E$7=TH!H1531,OR(N1531="331",O1531="331")),"x","")</f>
        <v/>
      </c>
      <c r="Q1531" s="84" t="str">
        <f>IF(AND(B1531='111'!$L$11,OR($N1531=$Q$7,$O1531=$Q$7)),"x","")</f>
        <v/>
      </c>
      <c r="R1531" s="84" t="str">
        <f>IF(AND($N1531=$Q$7,$B1531&lt;'111'!$L$11),"x","")</f>
        <v/>
      </c>
      <c r="S1531" s="84" t="str">
        <f>IF(AND($O1531=$Q$7,$B1531&lt;'111'!$L$11),"x","")</f>
        <v/>
      </c>
      <c r="T1531" s="84" t="str">
        <f>IF(ISERROR(FIND('112'!$M$9,G1531,1)),"",IF((AND(FIND('112'!$M$9,G1531,1)&gt;=1,B1531='112'!$K$9,OR($N1531='112'!$I$6,$O1531='112'!$I$6))),"x",""))</f>
        <v/>
      </c>
      <c r="U1531" s="84" t="str">
        <f>IF(ISERROR(FIND('112'!$M$9,G1531,1)),"",IF((AND(LEFT(G1531,2)=LEFT('112'!$M$9,2),B1531&lt;'112'!$K$9,$N1531='112'!$I$6)),"x",""))</f>
        <v/>
      </c>
      <c r="V1531" s="84" t="str">
        <f>IF(ISERROR(FIND('112'!$M$9,G1531,1)),"",IF((AND(RIGHT(G1531,2)=RIGHT('112'!$M$9,2),B1531&lt;'112'!$K$9,$O1531='112'!$I$6)),"x",""))</f>
        <v/>
      </c>
      <c r="W1531" s="84" t="str">
        <f>IF(AND('341-CT'!$H$9=H1531,OR(LEFT(N1531,3)=$W$7,LEFT(O1531,3)=$W$7)),"x","")</f>
        <v/>
      </c>
      <c r="X1531" s="84" t="str">
        <f>IF(OR(TH!N1531=TH!$X$7,O1531=TH!$X$7),"x","")</f>
        <v/>
      </c>
      <c r="Y1531" s="84" t="str">
        <f>IF(AND(OR(N1531="131",O1531="131"),H1531='131-CT'!$H$9),"x","")</f>
        <v/>
      </c>
      <c r="Z1531" s="84"/>
      <c r="AA1531" s="84" t="str">
        <f>IF(AND(MONTH(E1531)='IN-NX'!$J$5,'IN-NX'!$D$7=D1531),"x","")</f>
        <v/>
      </c>
      <c r="AB1531" s="84" t="str">
        <f>IF(AND(OR(LEFT(TH!N1531,2)="15",LEFT(TH!O1531,2)="15"),LEFT(TH!O1531,3)&lt;&gt;"111",'152-CT'!$J$8=TH!F1531),"x","")</f>
        <v/>
      </c>
      <c r="AC1531" s="84" t="str">
        <f>IF(AND(OR(LEFT(TH!N1531,2)="15",LEFT(TH!O1531,2)="15"),TK!$E$7=TH!F1531),"x","")</f>
        <v/>
      </c>
      <c r="AD1531" s="84" t="str">
        <f>IF(AND(N1531="1521",MONTH(C1531)='BK-NL'!$M$11),"x","")</f>
        <v/>
      </c>
    </row>
    <row r="1532" spans="1:32" ht="15.75" hidden="1" customHeight="1">
      <c r="A1532" s="336" t="str">
        <f>IF(B1532&lt;&gt;"",IF(AND(B1532='IN-TC'!$S$4,OR(TH!N1532="1111",TH!O1532="1111")),TH!D1532,""),"")</f>
        <v/>
      </c>
      <c r="B1532" s="63">
        <f t="shared" si="218"/>
        <v>6</v>
      </c>
      <c r="C1532" s="64">
        <v>42528</v>
      </c>
      <c r="D1532" s="64" t="s">
        <v>705</v>
      </c>
      <c r="E1532" s="64">
        <f t="shared" si="217"/>
        <v>42528</v>
      </c>
      <c r="F1532" s="73" t="s">
        <v>1190</v>
      </c>
      <c r="G1532" s="67" t="s">
        <v>918</v>
      </c>
      <c r="H1532" s="73" t="s">
        <v>729</v>
      </c>
      <c r="I1532" s="439"/>
      <c r="J1532" s="439"/>
      <c r="K1532" s="430">
        <v>70900</v>
      </c>
      <c r="L1532" s="439">
        <v>22350</v>
      </c>
      <c r="M1532" s="65">
        <f>ROUND(K1532*L1532,0)</f>
        <v>1584615000</v>
      </c>
      <c r="N1532" s="66" t="s">
        <v>260</v>
      </c>
      <c r="O1532" s="66" t="s">
        <v>266</v>
      </c>
      <c r="P1532" s="84" t="str">
        <f>IF(AND('331-CT'!$E$7=TH!H1532,OR(N1532="331",O1532="331")),"x","")</f>
        <v/>
      </c>
      <c r="Q1532" s="84" t="str">
        <f>IF(AND(B1532='111'!$L$11,OR($N1532=$Q$7,$O1532=$Q$7)),"x","")</f>
        <v/>
      </c>
      <c r="R1532" s="84" t="str">
        <f>IF(AND($N1532=$Q$7,$B1532&lt;'111'!$L$11),"x","")</f>
        <v/>
      </c>
      <c r="S1532" s="84" t="str">
        <f>IF(AND($O1532=$Q$7,$B1532&lt;'111'!$L$11),"x","")</f>
        <v/>
      </c>
      <c r="T1532" s="84" t="str">
        <f>IF(ISERROR(FIND('112'!$M$9,G1532,1)),"",IF((AND(FIND('112'!$M$9,G1532,1)&gt;=1,B1532='112'!$K$9,OR($N1532='112'!$I$6,$O1532='112'!$I$6))),"x",""))</f>
        <v/>
      </c>
      <c r="U1532" s="84" t="str">
        <f>IF(ISERROR(FIND('112'!$M$9,G1532,1)),"",IF((AND(LEFT(G1532,2)=LEFT('112'!$M$9,2),B1532&lt;'112'!$K$9,$N1532='112'!$I$6)),"x",""))</f>
        <v/>
      </c>
      <c r="V1532" s="84" t="str">
        <f>IF(ISERROR(FIND('112'!$M$9,G1532,1)),"",IF((AND(RIGHT(G1532,2)=RIGHT('112'!$M$9,2),B1532&lt;'112'!$K$9,$O1532='112'!$I$6)),"x",""))</f>
        <v/>
      </c>
      <c r="W1532" s="84" t="str">
        <f>IF(AND('341-CT'!$H$9=H1532,OR(LEFT(N1532,3)=$W$7,LEFT(O1532,3)=$W$7)),"x","")</f>
        <v/>
      </c>
      <c r="X1532" s="84" t="str">
        <f>IF(OR(TH!N1532=TH!$X$7,O1532=TH!$X$7),"x","")</f>
        <v/>
      </c>
      <c r="Y1532" s="84" t="str">
        <f>IF(AND(OR(N1532="131",O1532="131"),H1532='131-CT'!$H$9),"x","")</f>
        <v/>
      </c>
      <c r="Z1532" s="84"/>
      <c r="AA1532" s="84" t="str">
        <f>IF(AND(MONTH(E1532)='IN-NX'!$J$5,'IN-NX'!$D$7=D1532),"x","")</f>
        <v/>
      </c>
      <c r="AB1532" s="84" t="str">
        <f>IF(AND(OR(LEFT(TH!N1532,2)="15",LEFT(TH!O1532,2)="15"),LEFT(TH!O1532,3)&lt;&gt;"111",'152-CT'!$J$8=TH!F1532),"x","")</f>
        <v/>
      </c>
      <c r="AC1532" s="84" t="str">
        <f>IF(AND(OR(LEFT(TH!N1532,2)="15",LEFT(TH!O1532,2)="15"),TK!$E$7=TH!F1532),"x","")</f>
        <v/>
      </c>
      <c r="AD1532" s="84" t="str">
        <f>IF(AND(N1532="1521",MONTH(C1532)='BK-NL'!$M$11),"x","")</f>
        <v/>
      </c>
    </row>
    <row r="1533" spans="1:32" ht="15.75" hidden="1" customHeight="1">
      <c r="A1533" s="336" t="str">
        <f>IF(B1533&lt;&gt;"",IF(AND(B1533='IN-TC'!$S$4,OR(TH!N1533="1111",TH!O1533="1111")),TH!D1533,""),"")</f>
        <v/>
      </c>
      <c r="B1533" s="63">
        <f t="shared" si="218"/>
        <v>6</v>
      </c>
      <c r="C1533" s="64">
        <v>42528</v>
      </c>
      <c r="D1533" s="64" t="s">
        <v>582</v>
      </c>
      <c r="E1533" s="64">
        <f t="shared" si="217"/>
        <v>42528</v>
      </c>
      <c r="F1533" s="73" t="s">
        <v>1068</v>
      </c>
      <c r="G1533" s="67" t="s">
        <v>918</v>
      </c>
      <c r="H1533" s="73" t="s">
        <v>729</v>
      </c>
      <c r="I1533" s="439"/>
      <c r="J1533" s="439"/>
      <c r="K1533" s="430"/>
      <c r="L1533" s="439"/>
      <c r="M1533" s="65">
        <v>10989500</v>
      </c>
      <c r="N1533" s="66" t="s">
        <v>260</v>
      </c>
      <c r="O1533" s="66" t="s">
        <v>43</v>
      </c>
      <c r="P1533" s="84" t="str">
        <f>IF(AND('331-CT'!$E$7=TH!H1533,OR(N1533="331",O1533="331")),"x","")</f>
        <v/>
      </c>
      <c r="Q1533" s="84" t="str">
        <f>IF(AND(B1533='111'!$L$11,OR($N1533=$Q$7,$O1533=$Q$7)),"x","")</f>
        <v/>
      </c>
      <c r="R1533" s="84" t="str">
        <f>IF(AND($N1533=$Q$7,$B1533&lt;'111'!$L$11),"x","")</f>
        <v/>
      </c>
      <c r="S1533" s="84" t="str">
        <f>IF(AND($O1533=$Q$7,$B1533&lt;'111'!$L$11),"x","")</f>
        <v/>
      </c>
      <c r="T1533" s="84" t="str">
        <f>IF(ISERROR(FIND('112'!$M$9,G1533,1)),"",IF((AND(FIND('112'!$M$9,G1533,1)&gt;=1,B1533='112'!$K$9,OR($N1533='112'!$I$6,$O1533='112'!$I$6))),"x",""))</f>
        <v/>
      </c>
      <c r="U1533" s="84" t="str">
        <f>IF(ISERROR(FIND('112'!$M$9,G1533,1)),"",IF((AND(LEFT(G1533,2)=LEFT('112'!$M$9,2),B1533&lt;'112'!$K$9,$N1533='112'!$I$6)),"x",""))</f>
        <v/>
      </c>
      <c r="V1533" s="84" t="str">
        <f>IF(ISERROR(FIND('112'!$M$9,G1533,1)),"",IF((AND(RIGHT(G1533,2)=RIGHT('112'!$M$9,2),B1533&lt;'112'!$K$9,$O1533='112'!$I$6)),"x",""))</f>
        <v/>
      </c>
      <c r="W1533" s="84" t="str">
        <f>IF(AND('341-CT'!$H$9=H1533,OR(LEFT(N1533,3)=$W$7,LEFT(O1533,3)=$W$7)),"x","")</f>
        <v/>
      </c>
      <c r="X1533" s="84" t="str">
        <f>IF(OR(TH!N1533=TH!$X$7,O1533=TH!$X$7),"x","")</f>
        <v/>
      </c>
      <c r="Y1533" s="84" t="str">
        <f>IF(AND(OR(N1533="131",O1533="131"),H1533='131-CT'!$H$9),"x","")</f>
        <v/>
      </c>
      <c r="Z1533" s="84"/>
      <c r="AA1533" s="84" t="str">
        <f>IF(AND(MONTH(E1533)='IN-NX'!$J$5,'IN-NX'!$D$7=D1533),"x","")</f>
        <v/>
      </c>
      <c r="AB1533" s="84" t="str">
        <f>IF(AND(OR(LEFT(TH!N1533,2)="15",LEFT(TH!O1533,2)="15"),LEFT(TH!O1533,3)&lt;&gt;"111",'152-CT'!$J$8=TH!F1533),"x","")</f>
        <v/>
      </c>
      <c r="AC1533" s="84" t="str">
        <f>IF(AND(OR(LEFT(TH!N1533,2)="15",LEFT(TH!O1533,2)="15"),TK!$E$7=TH!F1533),"x","")</f>
        <v/>
      </c>
      <c r="AD1533" s="84" t="str">
        <f>IF(AND(N1533="1521",MONTH(C1533)='BK-NL'!$M$11),"x","")</f>
        <v/>
      </c>
    </row>
    <row r="1534" spans="1:32" ht="15.75" hidden="1" customHeight="1">
      <c r="A1534" s="336" t="str">
        <f>IF(B1534&lt;&gt;"",IF(AND(B1534='IN-TC'!$S$4,OR(TH!N1534="1111",TH!O1534="1111")),TH!D1534,""),"")</f>
        <v/>
      </c>
      <c r="B1534" s="63">
        <f t="shared" si="218"/>
        <v>6</v>
      </c>
      <c r="C1534" s="64">
        <v>42529</v>
      </c>
      <c r="D1534" s="64" t="s">
        <v>877</v>
      </c>
      <c r="E1534" s="64">
        <v>42529</v>
      </c>
      <c r="F1534" s="73" t="s">
        <v>1107</v>
      </c>
      <c r="G1534" s="67" t="s">
        <v>919</v>
      </c>
      <c r="H1534" s="73" t="s">
        <v>763</v>
      </c>
      <c r="I1534" s="439"/>
      <c r="J1534" s="439"/>
      <c r="K1534" s="430"/>
      <c r="L1534" s="439"/>
      <c r="M1534" s="65">
        <v>300000000</v>
      </c>
      <c r="N1534" s="66" t="s">
        <v>26</v>
      </c>
      <c r="O1534" s="66" t="s">
        <v>63</v>
      </c>
      <c r="P1534" s="84" t="str">
        <f>IF(AND('331-CT'!$E$7=TH!H1534,OR(N1534="331",O1534="331")),"x","")</f>
        <v/>
      </c>
      <c r="Q1534" s="84" t="str">
        <f>IF(AND(B1534='111'!$L$11,OR($N1534=$Q$7,$O1534=$Q$7)),"x","")</f>
        <v/>
      </c>
      <c r="R1534" s="84" t="str">
        <f>IF(AND($N1534=$Q$7,$B1534&lt;'111'!$L$11),"x","")</f>
        <v/>
      </c>
      <c r="S1534" s="84" t="str">
        <f>IF(AND($O1534=$Q$7,$B1534&lt;'111'!$L$11),"x","")</f>
        <v/>
      </c>
      <c r="T1534" s="84" t="str">
        <f>IF(ISERROR(FIND('112'!$M$9,G1534,1)),"",IF((AND(FIND('112'!$M$9,G1534,1)&gt;=1,B1534='112'!$K$9,OR($N1534='112'!$I$6,$O1534='112'!$I$6))),"x",""))</f>
        <v>x</v>
      </c>
      <c r="U1534" s="84" t="str">
        <f>IF(ISERROR(FIND('112'!$M$9,G1534,1)),"",IF((AND(LEFT(G1534,2)=LEFT('112'!$M$9,2),B1534&lt;'112'!$K$9,$N1534='112'!$I$6)),"x",""))</f>
        <v/>
      </c>
      <c r="V1534" s="84" t="str">
        <f>IF(ISERROR(FIND('112'!$M$9,G1534,1)),"",IF((AND(RIGHT(G1534,2)=RIGHT('112'!$M$9,2),B1534&lt;'112'!$K$9,$O1534='112'!$I$6)),"x",""))</f>
        <v/>
      </c>
      <c r="W1534" s="84" t="str">
        <f>IF(AND('341-CT'!$H$9=H1534,OR(LEFT(N1534,3)=$W$7,LEFT(O1534,3)=$W$7)),"x","")</f>
        <v/>
      </c>
      <c r="X1534" s="84" t="str">
        <f>IF(OR(TH!N1534=TH!$X$7,O1534=TH!$X$7),"x","")</f>
        <v/>
      </c>
      <c r="Y1534" s="84" t="str">
        <f>IF(AND(OR(N1534="131",O1534="131"),H1534='131-CT'!$H$9),"x","")</f>
        <v/>
      </c>
      <c r="Z1534" s="84"/>
      <c r="AA1534" s="84" t="str">
        <f>IF(AND(MONTH(E1534)='IN-NX'!$J$5,'IN-NX'!$D$7=D1534),"x","")</f>
        <v/>
      </c>
      <c r="AB1534" s="84" t="str">
        <f>IF(AND(OR(LEFT(TH!N1534,2)="15",LEFT(TH!O1534,2)="15"),LEFT(TH!O1534,3)&lt;&gt;"111",'152-CT'!$J$8=TH!F1534),"x","")</f>
        <v/>
      </c>
      <c r="AC1534" s="84" t="str">
        <f>IF(AND(OR(LEFT(TH!N1534,2)="15",LEFT(TH!O1534,2)="15"),TK!$E$7=TH!F1534),"x","")</f>
        <v/>
      </c>
      <c r="AD1534" s="84" t="str">
        <f>IF(AND(N1534="1521",MONTH(C1534)='BK-NL'!$M$11),"x","")</f>
        <v/>
      </c>
    </row>
    <row r="1535" spans="1:32" ht="15.75" hidden="1" customHeight="1">
      <c r="A1535" s="336" t="str">
        <f>IF(B1535&lt;&gt;"",IF(AND(B1535='IN-TC'!$S$4,OR(TH!N1535="1111",TH!O1535="1111")),TH!D1535,""),"")</f>
        <v/>
      </c>
      <c r="B1535" s="63">
        <f t="shared" si="218"/>
        <v>6</v>
      </c>
      <c r="C1535" s="64">
        <v>42529</v>
      </c>
      <c r="D1535" s="64" t="s">
        <v>878</v>
      </c>
      <c r="E1535" s="64">
        <v>42529</v>
      </c>
      <c r="F1535" s="73" t="s">
        <v>1107</v>
      </c>
      <c r="G1535" s="67" t="s">
        <v>919</v>
      </c>
      <c r="H1535" s="73" t="s">
        <v>763</v>
      </c>
      <c r="I1535" s="439"/>
      <c r="J1535" s="439"/>
      <c r="K1535" s="430"/>
      <c r="L1535" s="439"/>
      <c r="M1535" s="65">
        <v>1560000000</v>
      </c>
      <c r="N1535" s="66" t="s">
        <v>26</v>
      </c>
      <c r="O1535" s="66" t="s">
        <v>63</v>
      </c>
      <c r="P1535" s="84" t="str">
        <f>IF(AND('331-CT'!$E$7=TH!H1535,OR(N1535="331",O1535="331")),"x","")</f>
        <v/>
      </c>
      <c r="Q1535" s="84" t="str">
        <f>IF(AND(B1535='111'!$L$11,OR($N1535=$Q$7,$O1535=$Q$7)),"x","")</f>
        <v/>
      </c>
      <c r="R1535" s="84" t="str">
        <f>IF(AND($N1535=$Q$7,$B1535&lt;'111'!$L$11),"x","")</f>
        <v/>
      </c>
      <c r="S1535" s="84" t="str">
        <f>IF(AND($O1535=$Q$7,$B1535&lt;'111'!$L$11),"x","")</f>
        <v/>
      </c>
      <c r="T1535" s="84" t="str">
        <f>IF(ISERROR(FIND('112'!$M$9,G1535,1)),"",IF((AND(FIND('112'!$M$9,G1535,1)&gt;=1,B1535='112'!$K$9,OR($N1535='112'!$I$6,$O1535='112'!$I$6))),"x",""))</f>
        <v>x</v>
      </c>
      <c r="U1535" s="84" t="str">
        <f>IF(ISERROR(FIND('112'!$M$9,G1535,1)),"",IF((AND(LEFT(G1535,2)=LEFT('112'!$M$9,2),B1535&lt;'112'!$K$9,$N1535='112'!$I$6)),"x",""))</f>
        <v/>
      </c>
      <c r="V1535" s="84" t="str">
        <f>IF(ISERROR(FIND('112'!$M$9,G1535,1)),"",IF((AND(RIGHT(G1535,2)=RIGHT('112'!$M$9,2),B1535&lt;'112'!$K$9,$O1535='112'!$I$6)),"x",""))</f>
        <v/>
      </c>
      <c r="W1535" s="84" t="str">
        <f>IF(AND('341-CT'!$H$9=H1535,OR(LEFT(N1535,3)=$W$7,LEFT(O1535,3)=$W$7)),"x","")</f>
        <v/>
      </c>
      <c r="X1535" s="84" t="str">
        <f>IF(OR(TH!N1535=TH!$X$7,O1535=TH!$X$7),"x","")</f>
        <v/>
      </c>
      <c r="Y1535" s="84" t="str">
        <f>IF(AND(OR(N1535="131",O1535="131"),H1535='131-CT'!$H$9),"x","")</f>
        <v/>
      </c>
      <c r="Z1535" s="84"/>
      <c r="AA1535" s="84" t="str">
        <f>IF(AND(MONTH(E1535)='IN-NX'!$J$5,'IN-NX'!$D$7=D1535),"x","")</f>
        <v/>
      </c>
      <c r="AB1535" s="84" t="str">
        <f>IF(AND(OR(LEFT(TH!N1535,2)="15",LEFT(TH!O1535,2)="15"),LEFT(TH!O1535,3)&lt;&gt;"111",'152-CT'!$J$8=TH!F1535),"x","")</f>
        <v/>
      </c>
      <c r="AC1535" s="84" t="str">
        <f>IF(AND(OR(LEFT(TH!N1535,2)="15",LEFT(TH!O1535,2)="15"),TK!$E$7=TH!F1535),"x","")</f>
        <v/>
      </c>
      <c r="AD1535" s="84" t="str">
        <f>IF(AND(N1535="1521",MONTH(C1535)='BK-NL'!$M$11),"x","")</f>
        <v/>
      </c>
    </row>
    <row r="1536" spans="1:32" ht="15.75" hidden="1" customHeight="1">
      <c r="A1536" s="336" t="str">
        <f>IF(B1536&lt;&gt;"",IF(AND(B1536='IN-TC'!$S$4,OR(TH!N1536="1111",TH!O1536="1111")),TH!D1536,""),"")</f>
        <v/>
      </c>
      <c r="B1536" s="63">
        <f t="shared" si="218"/>
        <v>6</v>
      </c>
      <c r="C1536" s="64">
        <v>42529</v>
      </c>
      <c r="D1536" s="64" t="s">
        <v>878</v>
      </c>
      <c r="E1536" s="64">
        <v>42529</v>
      </c>
      <c r="F1536" s="73" t="s">
        <v>1107</v>
      </c>
      <c r="G1536" s="67" t="s">
        <v>918</v>
      </c>
      <c r="H1536" s="73" t="s">
        <v>763</v>
      </c>
      <c r="I1536" s="439"/>
      <c r="J1536" s="439"/>
      <c r="K1536" s="430"/>
      <c r="L1536" s="439"/>
      <c r="M1536" s="65">
        <v>60000000</v>
      </c>
      <c r="N1536" s="66" t="s">
        <v>26</v>
      </c>
      <c r="O1536" s="66" t="s">
        <v>63</v>
      </c>
      <c r="P1536" s="84" t="str">
        <f>IF(AND('331-CT'!$E$7=TH!H1536,OR(N1536="331",O1536="331")),"x","")</f>
        <v/>
      </c>
      <c r="Q1536" s="84" t="str">
        <f>IF(AND(B1536='111'!$L$11,OR($N1536=$Q$7,$O1536=$Q$7)),"x","")</f>
        <v/>
      </c>
      <c r="R1536" s="84" t="str">
        <f>IF(AND($N1536=$Q$7,$B1536&lt;'111'!$L$11),"x","")</f>
        <v/>
      </c>
      <c r="S1536" s="84" t="str">
        <f>IF(AND($O1536=$Q$7,$B1536&lt;'111'!$L$11),"x","")</f>
        <v/>
      </c>
      <c r="T1536" s="84" t="str">
        <f>IF(ISERROR(FIND('112'!$M$9,G1536,1)),"",IF((AND(FIND('112'!$M$9,G1536,1)&gt;=1,B1536='112'!$K$9,OR($N1536='112'!$I$6,$O1536='112'!$I$6))),"x",""))</f>
        <v/>
      </c>
      <c r="U1536" s="84" t="str">
        <f>IF(ISERROR(FIND('112'!$M$9,G1536,1)),"",IF((AND(LEFT(G1536,2)=LEFT('112'!$M$9,2),B1536&lt;'112'!$K$9,$N1536='112'!$I$6)),"x",""))</f>
        <v/>
      </c>
      <c r="V1536" s="84" t="str">
        <f>IF(ISERROR(FIND('112'!$M$9,G1536,1)),"",IF((AND(RIGHT(G1536,2)=RIGHT('112'!$M$9,2),B1536&lt;'112'!$K$9,$O1536='112'!$I$6)),"x",""))</f>
        <v/>
      </c>
      <c r="W1536" s="84" t="str">
        <f>IF(AND('341-CT'!$H$9=H1536,OR(LEFT(N1536,3)=$W$7,LEFT(O1536,3)=$W$7)),"x","")</f>
        <v/>
      </c>
      <c r="X1536" s="84" t="str">
        <f>IF(OR(TH!N1536=TH!$X$7,O1536=TH!$X$7),"x","")</f>
        <v/>
      </c>
      <c r="Y1536" s="84" t="str">
        <f>IF(AND(OR(N1536="131",O1536="131"),H1536='131-CT'!$H$9),"x","")</f>
        <v/>
      </c>
      <c r="Z1536" s="84"/>
      <c r="AA1536" s="84" t="str">
        <f>IF(AND(MONTH(E1536)='IN-NX'!$J$5,'IN-NX'!$D$7=D1536),"x","")</f>
        <v/>
      </c>
      <c r="AB1536" s="84" t="str">
        <f>IF(AND(OR(LEFT(TH!N1536,2)="15",LEFT(TH!O1536,2)="15"),LEFT(TH!O1536,3)&lt;&gt;"111",'152-CT'!$J$8=TH!F1536),"x","")</f>
        <v/>
      </c>
      <c r="AC1536" s="84" t="str">
        <f>IF(AND(OR(LEFT(TH!N1536,2)="15",LEFT(TH!O1536,2)="15"),TK!$E$7=TH!F1536),"x","")</f>
        <v/>
      </c>
      <c r="AD1536" s="84" t="str">
        <f>IF(AND(N1536="1521",MONTH(C1536)='BK-NL'!$M$11),"x","")</f>
        <v/>
      </c>
    </row>
    <row r="1537" spans="1:32" ht="15.75" hidden="1" customHeight="1">
      <c r="A1537" s="336" t="str">
        <f>IF(B1537&lt;&gt;"",IF(AND(B1537='IN-TC'!$S$4,OR(TH!N1537="1111",TH!O1537="1111")),TH!D1537,""),"")</f>
        <v/>
      </c>
      <c r="B1537" s="63">
        <f t="shared" si="218"/>
        <v>6</v>
      </c>
      <c r="C1537" s="64">
        <v>42529</v>
      </c>
      <c r="D1537" s="64" t="s">
        <v>874</v>
      </c>
      <c r="E1537" s="64">
        <v>42529</v>
      </c>
      <c r="F1537" s="73" t="s">
        <v>1146</v>
      </c>
      <c r="G1537" s="67" t="s">
        <v>918</v>
      </c>
      <c r="H1537" s="73" t="s">
        <v>763</v>
      </c>
      <c r="I1537" s="439"/>
      <c r="J1537" s="439"/>
      <c r="K1537" s="430"/>
      <c r="L1537" s="439"/>
      <c r="M1537" s="65">
        <v>2150000000</v>
      </c>
      <c r="N1537" s="66" t="s">
        <v>63</v>
      </c>
      <c r="O1537" s="66" t="s">
        <v>26</v>
      </c>
      <c r="P1537" s="84" t="str">
        <f>IF(AND('331-CT'!$E$7=TH!H1537,OR(N1537="331",O1537="331")),"x","")</f>
        <v/>
      </c>
      <c r="Q1537" s="84" t="str">
        <f>IF(AND(B1537='111'!$L$11,OR($N1537=$Q$7,$O1537=$Q$7)),"x","")</f>
        <v/>
      </c>
      <c r="R1537" s="84" t="str">
        <f>IF(AND($N1537=$Q$7,$B1537&lt;'111'!$L$11),"x","")</f>
        <v/>
      </c>
      <c r="S1537" s="84" t="str">
        <f>IF(AND($O1537=$Q$7,$B1537&lt;'111'!$L$11),"x","")</f>
        <v/>
      </c>
      <c r="T1537" s="84" t="str">
        <f>IF(ISERROR(FIND('112'!$M$9,G1537,1)),"",IF((AND(FIND('112'!$M$9,G1537,1)&gt;=1,B1537='112'!$K$9,OR($N1537='112'!$I$6,$O1537='112'!$I$6))),"x",""))</f>
        <v/>
      </c>
      <c r="U1537" s="84" t="str">
        <f>IF(ISERROR(FIND('112'!$M$9,G1537,1)),"",IF((AND(LEFT(G1537,2)=LEFT('112'!$M$9,2),B1537&lt;'112'!$K$9,$N1537='112'!$I$6)),"x",""))</f>
        <v/>
      </c>
      <c r="V1537" s="84" t="str">
        <f>IF(ISERROR(FIND('112'!$M$9,G1537,1)),"",IF((AND(RIGHT(G1537,2)=RIGHT('112'!$M$9,2),B1537&lt;'112'!$K$9,$O1537='112'!$I$6)),"x",""))</f>
        <v/>
      </c>
      <c r="W1537" s="84" t="str">
        <f>IF(AND('341-CT'!$H$9=H1537,OR(LEFT(N1537,3)=$W$7,LEFT(O1537,3)=$W$7)),"x","")</f>
        <v/>
      </c>
      <c r="X1537" s="84" t="str">
        <f>IF(OR(TH!N1537=TH!$X$7,O1537=TH!$X$7),"x","")</f>
        <v/>
      </c>
      <c r="Y1537" s="84" t="str">
        <f>IF(AND(OR(N1537="131",O1537="131"),H1537='131-CT'!$H$9),"x","")</f>
        <v/>
      </c>
      <c r="Z1537" s="84"/>
      <c r="AA1537" s="84" t="str">
        <f>IF(AND(MONTH(E1537)='IN-NX'!$J$5,'IN-NX'!$D$7=D1537),"x","")</f>
        <v/>
      </c>
      <c r="AB1537" s="84" t="str">
        <f>IF(AND(OR(LEFT(TH!N1537,2)="15",LEFT(TH!O1537,2)="15"),LEFT(TH!O1537,3)&lt;&gt;"111",'152-CT'!$J$8=TH!F1537),"x","")</f>
        <v/>
      </c>
      <c r="AC1537" s="84" t="str">
        <f>IF(AND(OR(LEFT(TH!N1537,2)="15",LEFT(TH!O1537,2)="15"),TK!$E$7=TH!F1537),"x","")</f>
        <v/>
      </c>
      <c r="AD1537" s="84" t="str">
        <f>IF(AND(N1537="1521",MONTH(C1537)='BK-NL'!$M$11),"x","")</f>
        <v/>
      </c>
    </row>
    <row r="1538" spans="1:32" ht="15.75" hidden="1" customHeight="1">
      <c r="A1538" s="336" t="str">
        <f>IF(B1538&lt;&gt;"",IF(AND(B1538='IN-TC'!$S$4,OR(TH!N1538="1111",TH!O1538="1111")),TH!D1538,""),"")</f>
        <v/>
      </c>
      <c r="B1538" s="63">
        <f t="shared" si="218"/>
        <v>6</v>
      </c>
      <c r="C1538" s="64">
        <v>42529</v>
      </c>
      <c r="D1538" s="64" t="s">
        <v>903</v>
      </c>
      <c r="E1538" s="64">
        <v>42529</v>
      </c>
      <c r="F1538" s="73" t="s">
        <v>1146</v>
      </c>
      <c r="G1538" s="67" t="s">
        <v>918</v>
      </c>
      <c r="H1538" s="73" t="s">
        <v>763</v>
      </c>
      <c r="I1538" s="439"/>
      <c r="J1538" s="439"/>
      <c r="K1538" s="430"/>
      <c r="L1538" s="439"/>
      <c r="M1538" s="65">
        <v>1590000000</v>
      </c>
      <c r="N1538" s="66" t="s">
        <v>63</v>
      </c>
      <c r="O1538" s="66" t="s">
        <v>26</v>
      </c>
      <c r="P1538" s="84" t="str">
        <f>IF(AND('331-CT'!$E$7=TH!H1538,OR(N1538="331",O1538="331")),"x","")</f>
        <v/>
      </c>
      <c r="Q1538" s="84" t="str">
        <f>IF(AND(B1538='111'!$L$11,OR($N1538=$Q$7,$O1538=$Q$7)),"x","")</f>
        <v/>
      </c>
      <c r="R1538" s="84" t="str">
        <f>IF(AND($N1538=$Q$7,$B1538&lt;'111'!$L$11),"x","")</f>
        <v/>
      </c>
      <c r="S1538" s="84" t="str">
        <f>IF(AND($O1538=$Q$7,$B1538&lt;'111'!$L$11),"x","")</f>
        <v/>
      </c>
      <c r="T1538" s="84" t="str">
        <f>IF(ISERROR(FIND('112'!$M$9,G1538,1)),"",IF((AND(FIND('112'!$M$9,G1538,1)&gt;=1,B1538='112'!$K$9,OR($N1538='112'!$I$6,$O1538='112'!$I$6))),"x",""))</f>
        <v/>
      </c>
      <c r="U1538" s="84" t="str">
        <f>IF(ISERROR(FIND('112'!$M$9,G1538,1)),"",IF((AND(LEFT(G1538,2)=LEFT('112'!$M$9,2),B1538&lt;'112'!$K$9,$N1538='112'!$I$6)),"x",""))</f>
        <v/>
      </c>
      <c r="V1538" s="84" t="str">
        <f>IF(ISERROR(FIND('112'!$M$9,G1538,1)),"",IF((AND(RIGHT(G1538,2)=RIGHT('112'!$M$9,2),B1538&lt;'112'!$K$9,$O1538='112'!$I$6)),"x",""))</f>
        <v/>
      </c>
      <c r="W1538" s="84" t="str">
        <f>IF(AND('341-CT'!$H$9=H1538,OR(LEFT(N1538,3)=$W$7,LEFT(O1538,3)=$W$7)),"x","")</f>
        <v/>
      </c>
      <c r="X1538" s="84" t="str">
        <f>IF(OR(TH!N1538=TH!$X$7,O1538=TH!$X$7),"x","")</f>
        <v/>
      </c>
      <c r="Y1538" s="84" t="str">
        <f>IF(AND(OR(N1538="131",O1538="131"),H1538='131-CT'!$H$9),"x","")</f>
        <v/>
      </c>
      <c r="Z1538" s="84"/>
      <c r="AA1538" s="84" t="str">
        <f>IF(AND(MONTH(E1538)='IN-NX'!$J$5,'IN-NX'!$D$7=D1538),"x","")</f>
        <v/>
      </c>
      <c r="AB1538" s="84" t="str">
        <f>IF(AND(OR(LEFT(TH!N1538,2)="15",LEFT(TH!O1538,2)="15"),LEFT(TH!O1538,3)&lt;&gt;"111",'152-CT'!$J$8=TH!F1538),"x","")</f>
        <v/>
      </c>
      <c r="AC1538" s="84" t="str">
        <f>IF(AND(OR(LEFT(TH!N1538,2)="15",LEFT(TH!O1538,2)="15"),TK!$E$7=TH!F1538),"x","")</f>
        <v/>
      </c>
      <c r="AD1538" s="84" t="str">
        <f>IF(AND(N1538="1521",MONTH(C1538)='BK-NL'!$M$11),"x","")</f>
        <v/>
      </c>
    </row>
    <row r="1539" spans="1:32" ht="15.75" hidden="1" customHeight="1">
      <c r="A1539" s="336" t="str">
        <f>IF(B1539&lt;&gt;"",IF(AND(B1539='IN-TC'!$S$4,OR(TH!N1539="1111",TH!O1539="1111")),TH!D1539,""),"")</f>
        <v/>
      </c>
      <c r="B1539" s="63">
        <f t="shared" si="218"/>
        <v>6</v>
      </c>
      <c r="C1539" s="64">
        <v>42529</v>
      </c>
      <c r="D1539" s="64" t="s">
        <v>705</v>
      </c>
      <c r="E1539" s="64">
        <f t="shared" ref="E1539:E1556" si="219">C1539</f>
        <v>42529</v>
      </c>
      <c r="F1539" s="73" t="s">
        <v>1051</v>
      </c>
      <c r="G1539" s="67" t="s">
        <v>919</v>
      </c>
      <c r="H1539" s="73" t="s">
        <v>715</v>
      </c>
      <c r="I1539" s="439"/>
      <c r="J1539" s="439"/>
      <c r="K1539" s="430"/>
      <c r="L1539" s="439"/>
      <c r="M1539" s="65">
        <v>2491565</v>
      </c>
      <c r="N1539" s="66" t="s">
        <v>99</v>
      </c>
      <c r="O1539" s="66" t="s">
        <v>26</v>
      </c>
      <c r="P1539" s="84" t="str">
        <f>IF(AND('331-CT'!$E$7=TH!H1539,OR(N1539="331",O1539="331")),"x","")</f>
        <v/>
      </c>
      <c r="Q1539" s="84" t="str">
        <f>IF(AND(B1539='111'!$L$11,OR($N1539=$Q$7,$O1539=$Q$7)),"x","")</f>
        <v/>
      </c>
      <c r="R1539" s="84" t="str">
        <f>IF(AND($N1539=$Q$7,$B1539&lt;'111'!$L$11),"x","")</f>
        <v/>
      </c>
      <c r="S1539" s="84" t="str">
        <f>IF(AND($O1539=$Q$7,$B1539&lt;'111'!$L$11),"x","")</f>
        <v/>
      </c>
      <c r="T1539" s="84" t="str">
        <f>IF(ISERROR(FIND('112'!$M$9,G1539,1)),"",IF((AND(FIND('112'!$M$9,G1539,1)&gt;=1,B1539='112'!$K$9,OR($N1539='112'!$I$6,$O1539='112'!$I$6))),"x",""))</f>
        <v>x</v>
      </c>
      <c r="U1539" s="84" t="str">
        <f>IF(ISERROR(FIND('112'!$M$9,G1539,1)),"",IF((AND(LEFT(G1539,2)=LEFT('112'!$M$9,2),B1539&lt;'112'!$K$9,$N1539='112'!$I$6)),"x",""))</f>
        <v/>
      </c>
      <c r="V1539" s="84" t="str">
        <f>IF(ISERROR(FIND('112'!$M$9,G1539,1)),"",IF((AND(RIGHT(G1539,2)=RIGHT('112'!$M$9,2),B1539&lt;'112'!$K$9,$O1539='112'!$I$6)),"x",""))</f>
        <v/>
      </c>
      <c r="W1539" s="84" t="str">
        <f>IF(AND('341-CT'!$H$9=H1539,OR(LEFT(N1539,3)=$W$7,LEFT(O1539,3)=$W$7)),"x","")</f>
        <v/>
      </c>
      <c r="X1539" s="84" t="str">
        <f>IF(OR(TH!N1539=TH!$X$7,O1539=TH!$X$7),"x","")</f>
        <v/>
      </c>
      <c r="Y1539" s="84" t="str">
        <f>IF(AND(OR(N1539="131",O1539="131"),H1539='131-CT'!$H$9),"x","")</f>
        <v/>
      </c>
      <c r="Z1539" s="84"/>
      <c r="AA1539" s="84" t="str">
        <f>IF(AND(MONTH(E1539)='IN-NX'!$J$5,'IN-NX'!$D$7=D1539),"x","")</f>
        <v/>
      </c>
      <c r="AB1539" s="84" t="str">
        <f>IF(AND(OR(LEFT(TH!N1539,2)="15",LEFT(TH!O1539,2)="15"),LEFT(TH!O1539,3)&lt;&gt;"111",'152-CT'!$J$8=TH!F1539),"x","")</f>
        <v/>
      </c>
      <c r="AC1539" s="84" t="str">
        <f>IF(AND(OR(LEFT(TH!N1539,2)="15",LEFT(TH!O1539,2)="15"),TK!$E$7=TH!F1539),"x","")</f>
        <v/>
      </c>
      <c r="AD1539" s="84" t="str">
        <f>IF(AND(N1539="1521",MONTH(C1539)='BK-NL'!$M$11),"x","")</f>
        <v/>
      </c>
    </row>
    <row r="1540" spans="1:32" ht="15.75" hidden="1" customHeight="1">
      <c r="A1540" s="336" t="str">
        <f>IF(B1540&lt;&gt;"",IF(AND(B1540='IN-TC'!$S$4,OR(TH!N1540="1111",TH!O1540="1111")),TH!D1540,""),"")</f>
        <v/>
      </c>
      <c r="B1540" s="63">
        <f t="shared" si="218"/>
        <v>6</v>
      </c>
      <c r="C1540" s="64">
        <v>42529</v>
      </c>
      <c r="D1540" s="64" t="s">
        <v>705</v>
      </c>
      <c r="E1540" s="64">
        <f t="shared" si="219"/>
        <v>42529</v>
      </c>
      <c r="F1540" s="73" t="s">
        <v>1048</v>
      </c>
      <c r="G1540" s="67" t="s">
        <v>919</v>
      </c>
      <c r="H1540" s="73" t="s">
        <v>720</v>
      </c>
      <c r="I1540" s="439"/>
      <c r="J1540" s="439"/>
      <c r="K1540" s="430"/>
      <c r="L1540" s="439"/>
      <c r="M1540" s="65">
        <v>1206098</v>
      </c>
      <c r="N1540" s="66" t="s">
        <v>99</v>
      </c>
      <c r="O1540" s="66" t="s">
        <v>26</v>
      </c>
      <c r="P1540" s="84" t="str">
        <f>IF(AND('331-CT'!$E$7=TH!H1540,OR(N1540="331",O1540="331")),"x","")</f>
        <v/>
      </c>
      <c r="Q1540" s="84" t="str">
        <f>IF(AND(B1540='111'!$L$11,OR($N1540=$Q$7,$O1540=$Q$7)),"x","")</f>
        <v/>
      </c>
      <c r="R1540" s="84" t="str">
        <f>IF(AND($N1540=$Q$7,$B1540&lt;'111'!$L$11),"x","")</f>
        <v/>
      </c>
      <c r="S1540" s="84" t="str">
        <f>IF(AND($O1540=$Q$7,$B1540&lt;'111'!$L$11),"x","")</f>
        <v/>
      </c>
      <c r="T1540" s="84" t="str">
        <f>IF(ISERROR(FIND('112'!$M$9,G1540,1)),"",IF((AND(FIND('112'!$M$9,G1540,1)&gt;=1,B1540='112'!$K$9,OR($N1540='112'!$I$6,$O1540='112'!$I$6))),"x",""))</f>
        <v>x</v>
      </c>
      <c r="U1540" s="84" t="str">
        <f>IF(ISERROR(FIND('112'!$M$9,G1540,1)),"",IF((AND(LEFT(G1540,2)=LEFT('112'!$M$9,2),B1540&lt;'112'!$K$9,$N1540='112'!$I$6)),"x",""))</f>
        <v/>
      </c>
      <c r="V1540" s="84" t="str">
        <f>IF(ISERROR(FIND('112'!$M$9,G1540,1)),"",IF((AND(RIGHT(G1540,2)=RIGHT('112'!$M$9,2),B1540&lt;'112'!$K$9,$O1540='112'!$I$6)),"x",""))</f>
        <v/>
      </c>
      <c r="W1540" s="84" t="str">
        <f>IF(AND('341-CT'!$H$9=H1540,OR(LEFT(N1540,3)=$W$7,LEFT(O1540,3)=$W$7)),"x","")</f>
        <v/>
      </c>
      <c r="X1540" s="84" t="str">
        <f>IF(OR(TH!N1540=TH!$X$7,O1540=TH!$X$7),"x","")</f>
        <v/>
      </c>
      <c r="Y1540" s="84" t="str">
        <f>IF(AND(OR(N1540="131",O1540="131"),H1540='131-CT'!$H$9),"x","")</f>
        <v/>
      </c>
      <c r="Z1540" s="84"/>
      <c r="AA1540" s="84" t="str">
        <f>IF(AND(MONTH(E1540)='IN-NX'!$J$5,'IN-NX'!$D$7=D1540),"x","")</f>
        <v/>
      </c>
      <c r="AB1540" s="84" t="str">
        <f>IF(AND(OR(LEFT(TH!N1540,2)="15",LEFT(TH!O1540,2)="15"),LEFT(TH!O1540,3)&lt;&gt;"111",'152-CT'!$J$8=TH!F1540),"x","")</f>
        <v/>
      </c>
      <c r="AC1540" s="84" t="str">
        <f>IF(AND(OR(LEFT(TH!N1540,2)="15",LEFT(TH!O1540,2)="15"),TK!$E$7=TH!F1540),"x","")</f>
        <v/>
      </c>
      <c r="AD1540" s="84" t="str">
        <f>IF(AND(N1540="1521",MONTH(C1540)='BK-NL'!$M$11),"x","")</f>
        <v/>
      </c>
    </row>
    <row r="1541" spans="1:32" ht="15.75" hidden="1" customHeight="1">
      <c r="A1541" s="336" t="str">
        <f>IF(B1541&lt;&gt;"",IF(AND(B1541='IN-TC'!$S$4,OR(TH!N1541="1111",TH!O1541="1111")),TH!D1541,""),"")</f>
        <v/>
      </c>
      <c r="B1541" s="63">
        <f t="shared" si="218"/>
        <v>6</v>
      </c>
      <c r="C1541" s="64">
        <v>42529</v>
      </c>
      <c r="D1541" s="64" t="s">
        <v>705</v>
      </c>
      <c r="E1541" s="64">
        <f t="shared" si="219"/>
        <v>42529</v>
      </c>
      <c r="F1541" s="73" t="s">
        <v>1551</v>
      </c>
      <c r="G1541" s="67" t="s">
        <v>919</v>
      </c>
      <c r="H1541" s="73"/>
      <c r="I1541" s="439"/>
      <c r="J1541" s="439"/>
      <c r="K1541" s="430"/>
      <c r="L1541" s="439"/>
      <c r="M1541" s="65">
        <v>466702</v>
      </c>
      <c r="N1541" s="66" t="s">
        <v>101</v>
      </c>
      <c r="O1541" s="66" t="s">
        <v>26</v>
      </c>
      <c r="P1541" s="84" t="str">
        <f>IF(AND('331-CT'!$E$7=TH!H1541,OR(N1541="331",O1541="331")),"x","")</f>
        <v/>
      </c>
      <c r="Q1541" s="84" t="str">
        <f>IF(AND(B1541='111'!$L$11,OR($N1541=$Q$7,$O1541=$Q$7)),"x","")</f>
        <v/>
      </c>
      <c r="R1541" s="84" t="str">
        <f>IF(AND($N1541=$Q$7,$B1541&lt;'111'!$L$11),"x","")</f>
        <v/>
      </c>
      <c r="S1541" s="84" t="str">
        <f>IF(AND($O1541=$Q$7,$B1541&lt;'111'!$L$11),"x","")</f>
        <v/>
      </c>
      <c r="T1541" s="84" t="str">
        <f>IF(ISERROR(FIND('112'!$M$9,G1541,1)),"",IF((AND(FIND('112'!$M$9,G1541,1)&gt;=1,B1541='112'!$K$9,OR($N1541='112'!$I$6,$O1541='112'!$I$6))),"x",""))</f>
        <v>x</v>
      </c>
      <c r="U1541" s="84" t="str">
        <f>IF(ISERROR(FIND('112'!$M$9,G1541,1)),"",IF((AND(LEFT(G1541,2)=LEFT('112'!$M$9,2),B1541&lt;'112'!$K$9,$N1541='112'!$I$6)),"x",""))</f>
        <v/>
      </c>
      <c r="V1541" s="84" t="str">
        <f>IF(ISERROR(FIND('112'!$M$9,G1541,1)),"",IF((AND(RIGHT(G1541,2)=RIGHT('112'!$M$9,2),B1541&lt;'112'!$K$9,$O1541='112'!$I$6)),"x",""))</f>
        <v/>
      </c>
      <c r="W1541" s="84" t="str">
        <f>IF(AND('341-CT'!$H$9=H1541,OR(LEFT(N1541,3)=$W$7,LEFT(O1541,3)=$W$7)),"x","")</f>
        <v/>
      </c>
      <c r="X1541" s="84" t="str">
        <f>IF(OR(TH!N1541=TH!$X$7,O1541=TH!$X$7),"x","")</f>
        <v/>
      </c>
      <c r="Y1541" s="84" t="str">
        <f>IF(AND(OR(N1541="131",O1541="131"),H1541='131-CT'!$H$9),"x","")</f>
        <v/>
      </c>
      <c r="Z1541" s="84"/>
      <c r="AA1541" s="84" t="str">
        <f>IF(AND(MONTH(E1541)='IN-NX'!$J$5,'IN-NX'!$D$7=D1541),"x","")</f>
        <v/>
      </c>
      <c r="AB1541" s="84" t="str">
        <f>IF(AND(OR(LEFT(TH!N1541,2)="15",LEFT(TH!O1541,2)="15"),LEFT(TH!O1541,3)&lt;&gt;"111",'152-CT'!$J$8=TH!F1541),"x","")</f>
        <v/>
      </c>
      <c r="AC1541" s="84" t="str">
        <f>IF(AND(OR(LEFT(TH!N1541,2)="15",LEFT(TH!O1541,2)="15"),TK!$E$7=TH!F1541),"x","")</f>
        <v/>
      </c>
      <c r="AD1541" s="84" t="str">
        <f>IF(AND(N1541="1521",MONTH(C1541)='BK-NL'!$M$11),"x","")</f>
        <v/>
      </c>
      <c r="AF1541" s="330">
        <v>1</v>
      </c>
    </row>
    <row r="1542" spans="1:32" ht="15.75" hidden="1" customHeight="1">
      <c r="A1542" s="336" t="str">
        <f>IF(B1542&lt;&gt;"",IF(AND(B1542='IN-TC'!$S$4,OR(TH!N1542="1111",TH!O1542="1111")),TH!D1542,""),"")</f>
        <v/>
      </c>
      <c r="B1542" s="63">
        <f t="shared" si="218"/>
        <v>6</v>
      </c>
      <c r="C1542" s="64">
        <v>42529</v>
      </c>
      <c r="D1542" s="64" t="s">
        <v>705</v>
      </c>
      <c r="E1542" s="64">
        <f t="shared" si="219"/>
        <v>42529</v>
      </c>
      <c r="F1542" s="73" t="s">
        <v>1552</v>
      </c>
      <c r="G1542" s="67" t="s">
        <v>919</v>
      </c>
      <c r="H1542" s="73"/>
      <c r="I1542" s="439"/>
      <c r="J1542" s="439"/>
      <c r="K1542" s="430"/>
      <c r="L1542" s="439"/>
      <c r="M1542" s="65">
        <v>46670</v>
      </c>
      <c r="N1542" s="66" t="s">
        <v>9</v>
      </c>
      <c r="O1542" s="66" t="s">
        <v>26</v>
      </c>
      <c r="P1542" s="84" t="str">
        <f>IF(AND('331-CT'!$E$7=TH!H1542,OR(N1542="331",O1542="331")),"x","")</f>
        <v/>
      </c>
      <c r="Q1542" s="84" t="str">
        <f>IF(AND(B1542='111'!$L$11,OR($N1542=$Q$7,$O1542=$Q$7)),"x","")</f>
        <v/>
      </c>
      <c r="R1542" s="84" t="str">
        <f>IF(AND($N1542=$Q$7,$B1542&lt;'111'!$L$11),"x","")</f>
        <v/>
      </c>
      <c r="S1542" s="84" t="str">
        <f>IF(AND($O1542=$Q$7,$B1542&lt;'111'!$L$11),"x","")</f>
        <v/>
      </c>
      <c r="T1542" s="84" t="str">
        <f>IF(ISERROR(FIND('112'!$M$9,G1542,1)),"",IF((AND(FIND('112'!$M$9,G1542,1)&gt;=1,B1542='112'!$K$9,OR($N1542='112'!$I$6,$O1542='112'!$I$6))),"x",""))</f>
        <v>x</v>
      </c>
      <c r="U1542" s="84" t="str">
        <f>IF(ISERROR(FIND('112'!$M$9,G1542,1)),"",IF((AND(LEFT(G1542,2)=LEFT('112'!$M$9,2),B1542&lt;'112'!$K$9,$N1542='112'!$I$6)),"x",""))</f>
        <v/>
      </c>
      <c r="V1542" s="84" t="str">
        <f>IF(ISERROR(FIND('112'!$M$9,G1542,1)),"",IF((AND(RIGHT(G1542,2)=RIGHT('112'!$M$9,2),B1542&lt;'112'!$K$9,$O1542='112'!$I$6)),"x",""))</f>
        <v/>
      </c>
      <c r="W1542" s="84" t="str">
        <f>IF(AND('341-CT'!$H$9=H1542,OR(LEFT(N1542,3)=$W$7,LEFT(O1542,3)=$W$7)),"x","")</f>
        <v/>
      </c>
      <c r="X1542" s="84" t="str">
        <f>IF(OR(TH!N1542=TH!$X$7,O1542=TH!$X$7),"x","")</f>
        <v/>
      </c>
      <c r="Y1542" s="84" t="str">
        <f>IF(AND(OR(N1542="131",O1542="131"),H1542='131-CT'!$H$9),"x","")</f>
        <v/>
      </c>
      <c r="Z1542" s="84"/>
      <c r="AA1542" s="84" t="str">
        <f>IF(AND(MONTH(E1542)='IN-NX'!$J$5,'IN-NX'!$D$7=D1542),"x","")</f>
        <v/>
      </c>
      <c r="AB1542" s="84" t="str">
        <f>IF(AND(OR(LEFT(TH!N1542,2)="15",LEFT(TH!O1542,2)="15"),LEFT(TH!O1542,3)&lt;&gt;"111",'152-CT'!$J$8=TH!F1542),"x","")</f>
        <v/>
      </c>
      <c r="AC1542" s="84" t="str">
        <f>IF(AND(OR(LEFT(TH!N1542,2)="15",LEFT(TH!O1542,2)="15"),TK!$E$7=TH!F1542),"x","")</f>
        <v/>
      </c>
      <c r="AD1542" s="84" t="str">
        <f>IF(AND(N1542="1521",MONTH(C1542)='BK-NL'!$M$11),"x","")</f>
        <v/>
      </c>
    </row>
    <row r="1543" spans="1:32" ht="15.75" hidden="1" customHeight="1">
      <c r="A1543" s="336" t="str">
        <f>IF(B1543&lt;&gt;"",IF(AND(B1543='IN-TC'!$S$4,OR(TH!N1543="1111",TH!O1543="1111")),TH!D1543,""),"")</f>
        <v/>
      </c>
      <c r="B1543" s="63">
        <f t="shared" si="218"/>
        <v>6</v>
      </c>
      <c r="C1543" s="64">
        <v>42529</v>
      </c>
      <c r="D1543" s="64" t="s">
        <v>705</v>
      </c>
      <c r="E1543" s="64">
        <f t="shared" si="219"/>
        <v>42529</v>
      </c>
      <c r="F1543" s="73" t="s">
        <v>1192</v>
      </c>
      <c r="G1543" s="67" t="s">
        <v>919</v>
      </c>
      <c r="H1543" s="344"/>
      <c r="I1543" s="439"/>
      <c r="J1543" s="439"/>
      <c r="K1543" s="430">
        <v>15</v>
      </c>
      <c r="L1543" s="439">
        <v>22300</v>
      </c>
      <c r="M1543" s="65">
        <f>ROUND(K1543*L1543,0)</f>
        <v>334500</v>
      </c>
      <c r="N1543" s="66" t="s">
        <v>101</v>
      </c>
      <c r="O1543" s="66" t="s">
        <v>266</v>
      </c>
      <c r="P1543" s="84" t="str">
        <f>IF(AND('331-CT'!$E$7=TH!H1543,OR(N1543="331",O1543="331")),"x","")</f>
        <v/>
      </c>
      <c r="Q1543" s="84" t="str">
        <f>IF(AND(B1543='111'!$L$11,OR($N1543=$Q$7,$O1543=$Q$7)),"x","")</f>
        <v/>
      </c>
      <c r="R1543" s="84" t="str">
        <f>IF(AND($N1543=$Q$7,$B1543&lt;'111'!$L$11),"x","")</f>
        <v/>
      </c>
      <c r="S1543" s="84" t="str">
        <f>IF(AND($O1543=$Q$7,$B1543&lt;'111'!$L$11),"x","")</f>
        <v/>
      </c>
      <c r="T1543" s="84" t="str">
        <f>IF(ISERROR(FIND('112'!$M$9,G1543,1)),"",IF((AND(FIND('112'!$M$9,G1543,1)&gt;=1,B1543='112'!$K$9,OR($N1543='112'!$I$6,$O1543='112'!$I$6))),"x",""))</f>
        <v/>
      </c>
      <c r="U1543" s="84" t="str">
        <f>IF(ISERROR(FIND('112'!$M$9,G1543,1)),"",IF((AND(LEFT(G1543,2)=LEFT('112'!$M$9,2),B1543&lt;'112'!$K$9,$N1543='112'!$I$6)),"x",""))</f>
        <v/>
      </c>
      <c r="V1543" s="84" t="str">
        <f>IF(ISERROR(FIND('112'!$M$9,G1543,1)),"",IF((AND(RIGHT(G1543,2)=RIGHT('112'!$M$9,2),B1543&lt;'112'!$K$9,$O1543='112'!$I$6)),"x",""))</f>
        <v/>
      </c>
      <c r="W1543" s="84" t="str">
        <f>IF(AND('341-CT'!$H$9=H1543,OR(LEFT(N1543,3)=$W$7,LEFT(O1543,3)=$W$7)),"x","")</f>
        <v/>
      </c>
      <c r="X1543" s="84" t="str">
        <f>IF(OR(TH!N1543=TH!$X$7,O1543=TH!$X$7),"x","")</f>
        <v/>
      </c>
      <c r="Y1543" s="84" t="str">
        <f>IF(AND(OR(N1543="131",O1543="131"),H1543='131-CT'!$H$9),"x","")</f>
        <v/>
      </c>
      <c r="Z1543" s="84"/>
      <c r="AA1543" s="84" t="str">
        <f>IF(AND(MONTH(E1543)='IN-NX'!$J$5,'IN-NX'!$D$7=D1543),"x","")</f>
        <v/>
      </c>
      <c r="AB1543" s="84" t="str">
        <f>IF(AND(OR(LEFT(TH!N1543,2)="15",LEFT(TH!O1543,2)="15"),LEFT(TH!O1543,3)&lt;&gt;"111",'152-CT'!$J$8=TH!F1543),"x","")</f>
        <v/>
      </c>
      <c r="AC1543" s="84" t="str">
        <f>IF(AND(OR(LEFT(TH!N1543,2)="15",LEFT(TH!O1543,2)="15"),TK!$E$7=TH!F1543),"x","")</f>
        <v/>
      </c>
      <c r="AD1543" s="84" t="str">
        <f>IF(AND(N1543="1521",MONTH(C1543)='BK-NL'!$M$11),"x","")</f>
        <v/>
      </c>
      <c r="AF1543" s="330">
        <v>1</v>
      </c>
    </row>
    <row r="1544" spans="1:32" ht="15.75" hidden="1" customHeight="1">
      <c r="A1544" s="336" t="str">
        <f>IF(B1544&lt;&gt;"",IF(AND(B1544='IN-TC'!$S$4,OR(TH!N1544="1111",TH!O1544="1111")),TH!D1544,""),"")</f>
        <v/>
      </c>
      <c r="B1544" s="63">
        <f t="shared" si="218"/>
        <v>6</v>
      </c>
      <c r="C1544" s="64">
        <v>42529</v>
      </c>
      <c r="D1544" s="64" t="s">
        <v>705</v>
      </c>
      <c r="E1544" s="64">
        <f t="shared" si="219"/>
        <v>42529</v>
      </c>
      <c r="F1544" s="73" t="s">
        <v>1193</v>
      </c>
      <c r="G1544" s="67" t="s">
        <v>919</v>
      </c>
      <c r="H1544" s="344"/>
      <c r="I1544" s="439"/>
      <c r="J1544" s="439"/>
      <c r="K1544" s="430">
        <v>1.5</v>
      </c>
      <c r="L1544" s="439">
        <v>22300</v>
      </c>
      <c r="M1544" s="65">
        <f>ROUND(K1544*L1544,0)</f>
        <v>33450</v>
      </c>
      <c r="N1544" s="66" t="s">
        <v>9</v>
      </c>
      <c r="O1544" s="66" t="s">
        <v>266</v>
      </c>
      <c r="P1544" s="84" t="str">
        <f>IF(AND('331-CT'!$E$7=TH!H1544,OR(N1544="331",O1544="331")),"x","")</f>
        <v/>
      </c>
      <c r="Q1544" s="84" t="str">
        <f>IF(AND(B1544='111'!$L$11,OR($N1544=$Q$7,$O1544=$Q$7)),"x","")</f>
        <v/>
      </c>
      <c r="R1544" s="84" t="str">
        <f>IF(AND($N1544=$Q$7,$B1544&lt;'111'!$L$11),"x","")</f>
        <v/>
      </c>
      <c r="S1544" s="84" t="str">
        <f>IF(AND($O1544=$Q$7,$B1544&lt;'111'!$L$11),"x","")</f>
        <v/>
      </c>
      <c r="T1544" s="84" t="str">
        <f>IF(ISERROR(FIND('112'!$M$9,G1544,1)),"",IF((AND(FIND('112'!$M$9,G1544,1)&gt;=1,B1544='112'!$K$9,OR($N1544='112'!$I$6,$O1544='112'!$I$6))),"x",""))</f>
        <v/>
      </c>
      <c r="U1544" s="84" t="str">
        <f>IF(ISERROR(FIND('112'!$M$9,G1544,1)),"",IF((AND(LEFT(G1544,2)=LEFT('112'!$M$9,2),B1544&lt;'112'!$K$9,$N1544='112'!$I$6)),"x",""))</f>
        <v/>
      </c>
      <c r="V1544" s="84" t="str">
        <f>IF(ISERROR(FIND('112'!$M$9,G1544,1)),"",IF((AND(RIGHT(G1544,2)=RIGHT('112'!$M$9,2),B1544&lt;'112'!$K$9,$O1544='112'!$I$6)),"x",""))</f>
        <v/>
      </c>
      <c r="W1544" s="84" t="str">
        <f>IF(AND('341-CT'!$H$9=H1544,OR(LEFT(N1544,3)=$W$7,LEFT(O1544,3)=$W$7)),"x","")</f>
        <v/>
      </c>
      <c r="X1544" s="84" t="str">
        <f>IF(OR(TH!N1544=TH!$X$7,O1544=TH!$X$7),"x","")</f>
        <v/>
      </c>
      <c r="Y1544" s="84" t="str">
        <f>IF(AND(OR(N1544="131",O1544="131"),H1544='131-CT'!$H$9),"x","")</f>
        <v/>
      </c>
      <c r="Z1544" s="84"/>
      <c r="AA1544" s="84" t="str">
        <f>IF(AND(MONTH(E1544)='IN-NX'!$J$5,'IN-NX'!$D$7=D1544),"x","")</f>
        <v/>
      </c>
      <c r="AB1544" s="84" t="str">
        <f>IF(AND(OR(LEFT(TH!N1544,2)="15",LEFT(TH!O1544,2)="15"),LEFT(TH!O1544,3)&lt;&gt;"111",'152-CT'!$J$8=TH!F1544),"x","")</f>
        <v/>
      </c>
      <c r="AC1544" s="84" t="str">
        <f>IF(AND(OR(LEFT(TH!N1544,2)="15",LEFT(TH!O1544,2)="15"),TK!$E$7=TH!F1544),"x","")</f>
        <v/>
      </c>
      <c r="AD1544" s="84" t="str">
        <f>IF(AND(N1544="1521",MONTH(C1544)='BK-NL'!$M$11),"x","")</f>
        <v/>
      </c>
    </row>
    <row r="1545" spans="1:32" s="1166" customFormat="1" ht="15.75" hidden="1" customHeight="1">
      <c r="A1545" s="336" t="str">
        <f>IF(B1545&lt;&gt;"",IF(AND(B1545='IN-TC'!$S$4,OR(TH!N1545="1111",TH!O1545="1111")),TH!D1545,""),"")</f>
        <v/>
      </c>
      <c r="B1545" s="63">
        <f t="shared" si="218"/>
        <v>6</v>
      </c>
      <c r="C1545" s="64">
        <v>42529</v>
      </c>
      <c r="D1545" s="64" t="s">
        <v>705</v>
      </c>
      <c r="E1545" s="64">
        <f t="shared" si="219"/>
        <v>42529</v>
      </c>
      <c r="F1545" s="73" t="s">
        <v>1192</v>
      </c>
      <c r="G1545" s="67" t="s">
        <v>919</v>
      </c>
      <c r="H1545" s="344"/>
      <c r="I1545" s="439"/>
      <c r="J1545" s="439"/>
      <c r="K1545" s="430">
        <v>15</v>
      </c>
      <c r="L1545" s="439">
        <v>22300</v>
      </c>
      <c r="M1545" s="65">
        <f>ROUND(K1545*L1545,0)</f>
        <v>334500</v>
      </c>
      <c r="N1545" s="66" t="s">
        <v>101</v>
      </c>
      <c r="O1545" s="66" t="s">
        <v>266</v>
      </c>
      <c r="P1545" s="84" t="str">
        <f>IF(AND('331-CT'!$E$7=TH!H1545,OR(N1545="331",O1545="331")),"x","")</f>
        <v/>
      </c>
      <c r="Q1545" s="84" t="str">
        <f>IF(AND(B1545='111'!$L$11,OR($N1545=$Q$7,$O1545=$Q$7)),"x","")</f>
        <v/>
      </c>
      <c r="R1545" s="84" t="str">
        <f>IF(AND($N1545=$Q$7,$B1545&lt;'111'!$L$11),"x","")</f>
        <v/>
      </c>
      <c r="S1545" s="84" t="str">
        <f>IF(AND($O1545=$Q$7,$B1545&lt;'111'!$L$11),"x","")</f>
        <v/>
      </c>
      <c r="T1545" s="84" t="str">
        <f>IF(ISERROR(FIND('112'!$M$9,G1545,1)),"",IF((AND(FIND('112'!$M$9,G1545,1)&gt;=1,B1545='112'!$K$9,OR($N1545='112'!$I$6,$O1545='112'!$I$6))),"x",""))</f>
        <v/>
      </c>
      <c r="U1545" s="84" t="str">
        <f>IF(ISERROR(FIND('112'!$M$9,G1545,1)),"",IF((AND(LEFT(G1545,2)=LEFT('112'!$M$9,2),B1545&lt;'112'!$K$9,$N1545='112'!$I$6)),"x",""))</f>
        <v/>
      </c>
      <c r="V1545" s="84" t="str">
        <f>IF(ISERROR(FIND('112'!$M$9,G1545,1)),"",IF((AND(RIGHT(G1545,2)=RIGHT('112'!$M$9,2),B1545&lt;'112'!$K$9,$O1545='112'!$I$6)),"x",""))</f>
        <v/>
      </c>
      <c r="W1545" s="84" t="str">
        <f>IF(AND('341-CT'!$H$9=H1545,OR(LEFT(N1545,3)=$W$7,LEFT(O1545,3)=$W$7)),"x","")</f>
        <v/>
      </c>
      <c r="X1545" s="84" t="str">
        <f>IF(OR(TH!N1545=TH!$X$7,O1545=TH!$X$7),"x","")</f>
        <v/>
      </c>
      <c r="Y1545" s="84" t="str">
        <f>IF(AND(OR(N1545="131",O1545="131"),H1545='131-CT'!$H$9),"x","")</f>
        <v/>
      </c>
      <c r="Z1545" s="84"/>
      <c r="AA1545" s="84" t="str">
        <f>IF(AND(MONTH(E1545)='IN-NX'!$J$5,'IN-NX'!$D$7=D1545),"x","")</f>
        <v/>
      </c>
      <c r="AB1545" s="84" t="str">
        <f>IF(AND(OR(LEFT(TH!N1545,2)="15",LEFT(TH!O1545,2)="15"),LEFT(TH!O1545,3)&lt;&gt;"111",'152-CT'!$J$8=TH!F1545),"x","")</f>
        <v/>
      </c>
      <c r="AC1545" s="84" t="str">
        <f>IF(AND(OR(LEFT(TH!N1545,2)="15",LEFT(TH!O1545,2)="15"),TK!$E$7=TH!F1545),"x","")</f>
        <v/>
      </c>
      <c r="AD1545" s="84" t="str">
        <f>IF(AND(N1545="1521",MONTH(C1545)='BK-NL'!$M$11),"x","")</f>
        <v/>
      </c>
      <c r="AE1545" s="330"/>
      <c r="AF1545" s="330">
        <v>1</v>
      </c>
    </row>
    <row r="1546" spans="1:32" ht="15.75" hidden="1" customHeight="1">
      <c r="A1546" s="336" t="str">
        <f>IF(B1546&lt;&gt;"",IF(AND(B1546='IN-TC'!$S$4,OR(TH!N1546="1111",TH!O1546="1111")),TH!D1546,""),"")</f>
        <v/>
      </c>
      <c r="B1546" s="63">
        <f t="shared" si="218"/>
        <v>6</v>
      </c>
      <c r="C1546" s="64">
        <v>42529</v>
      </c>
      <c r="D1546" s="64" t="s">
        <v>705</v>
      </c>
      <c r="E1546" s="64">
        <f t="shared" si="219"/>
        <v>42529</v>
      </c>
      <c r="F1546" s="73" t="s">
        <v>1193</v>
      </c>
      <c r="G1546" s="67" t="s">
        <v>919</v>
      </c>
      <c r="H1546" s="344"/>
      <c r="I1546" s="439"/>
      <c r="J1546" s="439"/>
      <c r="K1546" s="430">
        <v>1.5</v>
      </c>
      <c r="L1546" s="439">
        <v>22300</v>
      </c>
      <c r="M1546" s="65">
        <f>ROUND(K1546*L1546,0)</f>
        <v>33450</v>
      </c>
      <c r="N1546" s="66" t="s">
        <v>9</v>
      </c>
      <c r="O1546" s="66" t="s">
        <v>266</v>
      </c>
      <c r="P1546" s="84" t="str">
        <f>IF(AND('331-CT'!$E$7=TH!H1546,OR(N1546="331",O1546="331")),"x","")</f>
        <v/>
      </c>
      <c r="Q1546" s="84" t="str">
        <f>IF(AND(B1546='111'!$L$11,OR($N1546=$Q$7,$O1546=$Q$7)),"x","")</f>
        <v/>
      </c>
      <c r="R1546" s="84" t="str">
        <f>IF(AND($N1546=$Q$7,$B1546&lt;'111'!$L$11),"x","")</f>
        <v/>
      </c>
      <c r="S1546" s="84" t="str">
        <f>IF(AND($O1546=$Q$7,$B1546&lt;'111'!$L$11),"x","")</f>
        <v/>
      </c>
      <c r="T1546" s="84" t="str">
        <f>IF(ISERROR(FIND('112'!$M$9,G1546,1)),"",IF((AND(FIND('112'!$M$9,G1546,1)&gt;=1,B1546='112'!$K$9,OR($N1546='112'!$I$6,$O1546='112'!$I$6))),"x",""))</f>
        <v/>
      </c>
      <c r="U1546" s="84" t="str">
        <f>IF(ISERROR(FIND('112'!$M$9,G1546,1)),"",IF((AND(LEFT(G1546,2)=LEFT('112'!$M$9,2),B1546&lt;'112'!$K$9,$N1546='112'!$I$6)),"x",""))</f>
        <v/>
      </c>
      <c r="V1546" s="84" t="str">
        <f>IF(ISERROR(FIND('112'!$M$9,G1546,1)),"",IF((AND(RIGHT(G1546,2)=RIGHT('112'!$M$9,2),B1546&lt;'112'!$K$9,$O1546='112'!$I$6)),"x",""))</f>
        <v/>
      </c>
      <c r="W1546" s="84" t="str">
        <f>IF(AND('341-CT'!$H$9=H1546,OR(LEFT(N1546,3)=$W$7,LEFT(O1546,3)=$W$7)),"x","")</f>
        <v/>
      </c>
      <c r="X1546" s="84" t="str">
        <f>IF(OR(TH!N1546=TH!$X$7,O1546=TH!$X$7),"x","")</f>
        <v/>
      </c>
      <c r="Y1546" s="84" t="str">
        <f>IF(AND(OR(N1546="131",O1546="131"),H1546='131-CT'!$H$9),"x","")</f>
        <v/>
      </c>
      <c r="Z1546" s="84"/>
      <c r="AA1546" s="84" t="str">
        <f>IF(AND(MONTH(E1546)='IN-NX'!$J$5,'IN-NX'!$D$7=D1546),"x","")</f>
        <v/>
      </c>
      <c r="AB1546" s="84" t="str">
        <f>IF(AND(OR(LEFT(TH!N1546,2)="15",LEFT(TH!O1546,2)="15"),LEFT(TH!O1546,3)&lt;&gt;"111",'152-CT'!$J$8=TH!F1546),"x","")</f>
        <v/>
      </c>
      <c r="AC1546" s="84" t="str">
        <f>IF(AND(OR(LEFT(TH!N1546,2)="15",LEFT(TH!O1546,2)="15"),TK!$E$7=TH!F1546),"x","")</f>
        <v/>
      </c>
      <c r="AD1546" s="84" t="str">
        <f>IF(AND(N1546="1521",MONTH(C1546)='BK-NL'!$M$11),"x","")</f>
        <v/>
      </c>
    </row>
    <row r="1547" spans="1:32" ht="15.75" hidden="1" customHeight="1">
      <c r="A1547" s="336" t="str">
        <f>IF(B1547&lt;&gt;"",IF(AND(B1547='IN-TC'!$S$4,OR(TH!N1547="1111",TH!O1547="1111")),TH!D1547,""),"")</f>
        <v/>
      </c>
      <c r="B1547" s="63">
        <f t="shared" si="218"/>
        <v>6</v>
      </c>
      <c r="C1547" s="64">
        <v>42529</v>
      </c>
      <c r="D1547" s="64" t="s">
        <v>705</v>
      </c>
      <c r="E1547" s="64">
        <f t="shared" si="219"/>
        <v>42529</v>
      </c>
      <c r="F1547" s="73" t="s">
        <v>1201</v>
      </c>
      <c r="G1547" s="67" t="s">
        <v>925</v>
      </c>
      <c r="H1547" s="73"/>
      <c r="I1547" s="439"/>
      <c r="J1547" s="439"/>
      <c r="K1547" s="430"/>
      <c r="L1547" s="439"/>
      <c r="M1547" s="65">
        <v>1560000000</v>
      </c>
      <c r="N1547" s="66" t="s">
        <v>26</v>
      </c>
      <c r="O1547" s="66" t="s">
        <v>26</v>
      </c>
      <c r="P1547" s="84" t="str">
        <f>IF(AND('331-CT'!$E$7=TH!H1547,OR(N1547="331",O1547="331")),"x","")</f>
        <v/>
      </c>
      <c r="Q1547" s="84" t="str">
        <f>IF(AND(B1547='111'!$L$11,OR($N1547=$Q$7,$O1547=$Q$7)),"x","")</f>
        <v/>
      </c>
      <c r="R1547" s="84" t="str">
        <f>IF(AND($N1547=$Q$7,$B1547&lt;'111'!$L$11),"x","")</f>
        <v/>
      </c>
      <c r="S1547" s="84" t="str">
        <f>IF(AND($O1547=$Q$7,$B1547&lt;'111'!$L$11),"x","")</f>
        <v/>
      </c>
      <c r="T1547" s="84" t="str">
        <f>IF(ISERROR(FIND('112'!$M$9,G1547,1)),"",IF((AND(FIND('112'!$M$9,G1547,1)&gt;=1,B1547='112'!$K$9,OR($N1547='112'!$I$6,$O1547='112'!$I$6))),"x",""))</f>
        <v>x</v>
      </c>
      <c r="U1547" s="84" t="str">
        <f>IF(ISERROR(FIND('112'!$M$9,G1547,1)),"",IF((AND(LEFT(G1547,2)=LEFT('112'!$M$9,2),B1547&lt;'112'!$K$9,$N1547='112'!$I$6)),"x",""))</f>
        <v/>
      </c>
      <c r="V1547" s="84" t="str">
        <f>IF(ISERROR(FIND('112'!$M$9,G1547,1)),"",IF((AND(RIGHT(G1547,2)=RIGHT('112'!$M$9,2),B1547&lt;'112'!$K$9,$O1547='112'!$I$6)),"x",""))</f>
        <v/>
      </c>
      <c r="W1547" s="84" t="str">
        <f>IF(AND('341-CT'!$H$9=H1547,OR(LEFT(N1547,3)=$W$7,LEFT(O1547,3)=$W$7)),"x","")</f>
        <v/>
      </c>
      <c r="X1547" s="84" t="str">
        <f>IF(OR(TH!N1547=TH!$X$7,O1547=TH!$X$7),"x","")</f>
        <v/>
      </c>
      <c r="Y1547" s="84" t="str">
        <f>IF(AND(OR(N1547="131",O1547="131"),H1547='131-CT'!$H$9),"x","")</f>
        <v/>
      </c>
      <c r="Z1547" s="84"/>
      <c r="AA1547" s="84" t="str">
        <f>IF(AND(MONTH(E1547)='IN-NX'!$J$5,'IN-NX'!$D$7=D1547),"x","")</f>
        <v/>
      </c>
      <c r="AB1547" s="84" t="str">
        <f>IF(AND(OR(LEFT(TH!N1547,2)="15",LEFT(TH!O1547,2)="15"),LEFT(TH!O1547,3)&lt;&gt;"111",'152-CT'!$J$8=TH!F1547),"x","")</f>
        <v/>
      </c>
      <c r="AC1547" s="84" t="str">
        <f>IF(AND(OR(LEFT(TH!N1547,2)="15",LEFT(TH!O1547,2)="15"),TK!$E$7=TH!F1547),"x","")</f>
        <v/>
      </c>
      <c r="AD1547" s="84" t="str">
        <f>IF(AND(N1547="1521",MONTH(C1547)='BK-NL'!$M$11),"x","")</f>
        <v/>
      </c>
    </row>
    <row r="1548" spans="1:32" ht="15.75" hidden="1" customHeight="1">
      <c r="A1548" s="336" t="str">
        <f>IF(B1548&lt;&gt;"",IF(AND(B1548='IN-TC'!$S$4,OR(TH!N1548="1111",TH!O1548="1111")),TH!D1548,""),"")</f>
        <v/>
      </c>
      <c r="B1548" s="63">
        <f t="shared" si="218"/>
        <v>6</v>
      </c>
      <c r="C1548" s="64">
        <v>42529</v>
      </c>
      <c r="D1548" s="64" t="s">
        <v>702</v>
      </c>
      <c r="E1548" s="64">
        <f t="shared" si="219"/>
        <v>42529</v>
      </c>
      <c r="F1548" s="73" t="s">
        <v>1672</v>
      </c>
      <c r="G1548" s="67" t="s">
        <v>918</v>
      </c>
      <c r="H1548" s="73" t="s">
        <v>1673</v>
      </c>
      <c r="I1548" s="439"/>
      <c r="J1548" s="439"/>
      <c r="K1548" s="430">
        <v>70900</v>
      </c>
      <c r="L1548" s="439">
        <v>22350</v>
      </c>
      <c r="M1548" s="65">
        <v>1584615000</v>
      </c>
      <c r="N1548" s="66" t="s">
        <v>26</v>
      </c>
      <c r="O1548" s="66" t="s">
        <v>260</v>
      </c>
      <c r="P1548" s="84" t="str">
        <f>IF(AND('331-CT'!$E$7=TH!H1548,OR(N1548="331",O1548="331")),"x","")</f>
        <v/>
      </c>
      <c r="Q1548" s="84" t="str">
        <f>IF(AND(B1548='111'!$L$11,OR($N1548=$Q$7,$O1548=$Q$7)),"x","")</f>
        <v/>
      </c>
      <c r="R1548" s="84" t="str">
        <f>IF(AND($N1548=$Q$7,$B1548&lt;'111'!$L$11),"x","")</f>
        <v/>
      </c>
      <c r="S1548" s="84" t="str">
        <f>IF(AND($O1548=$Q$7,$B1548&lt;'111'!$L$11),"x","")</f>
        <v/>
      </c>
      <c r="T1548" s="84" t="str">
        <f>IF(ISERROR(FIND('112'!$M$9,G1548,1)),"",IF((AND(FIND('112'!$M$9,G1548,1)&gt;=1,B1548='112'!$K$9,OR($N1548='112'!$I$6,$O1548='112'!$I$6))),"x",""))</f>
        <v/>
      </c>
      <c r="U1548" s="84" t="str">
        <f>IF(ISERROR(FIND('112'!$M$9,G1548,1)),"",IF((AND(LEFT(G1548,2)=LEFT('112'!$M$9,2),B1548&lt;'112'!$K$9,$N1548='112'!$I$6)),"x",""))</f>
        <v/>
      </c>
      <c r="V1548" s="84" t="str">
        <f>IF(ISERROR(FIND('112'!$M$9,G1548,1)),"",IF((AND(RIGHT(G1548,2)=RIGHT('112'!$M$9,2),B1548&lt;'112'!$K$9,$O1548='112'!$I$6)),"x",""))</f>
        <v/>
      </c>
      <c r="W1548" s="84" t="str">
        <f>IF(AND('341-CT'!$H$9=H1548,OR(LEFT(N1548,3)=$W$7,LEFT(O1548,3)=$W$7)),"x","")</f>
        <v/>
      </c>
      <c r="X1548" s="84" t="str">
        <f>IF(OR(TH!N1548=TH!$X$7,O1548=TH!$X$7),"x","")</f>
        <v/>
      </c>
      <c r="Y1548" s="84" t="str">
        <f>IF(AND(OR(N1548="131",O1548="131"),H1548='131-CT'!$H$9),"x","")</f>
        <v/>
      </c>
      <c r="Z1548" s="84"/>
      <c r="AA1548" s="84" t="str">
        <f>IF(AND(MONTH(E1548)='IN-NX'!$J$5,'IN-NX'!$D$7=D1548),"x","")</f>
        <v/>
      </c>
      <c r="AB1548" s="84" t="str">
        <f>IF(AND(OR(LEFT(TH!N1548,2)="15",LEFT(TH!O1548,2)="15"),LEFT(TH!O1548,3)&lt;&gt;"111",'152-CT'!$J$8=TH!F1548),"x","")</f>
        <v/>
      </c>
      <c r="AC1548" s="84" t="str">
        <f>IF(AND(OR(LEFT(TH!N1548,2)="15",LEFT(TH!O1548,2)="15"),TK!$E$7=TH!F1548),"x","")</f>
        <v/>
      </c>
      <c r="AD1548" s="84" t="str">
        <f>IF(AND(N1548="1521",MONTH(C1548)='BK-NL'!$M$11),"x","")</f>
        <v/>
      </c>
    </row>
    <row r="1549" spans="1:32" ht="15.75" hidden="1" customHeight="1">
      <c r="A1549" s="336" t="str">
        <f>IF(B1549&lt;&gt;"",IF(AND(B1549='IN-TC'!$S$4,OR(TH!N1549="1111",TH!O1549="1111")),TH!D1549,""),"")</f>
        <v/>
      </c>
      <c r="B1549" s="63">
        <f t="shared" si="218"/>
        <v>6</v>
      </c>
      <c r="C1549" s="64">
        <v>42529</v>
      </c>
      <c r="D1549" s="64" t="s">
        <v>702</v>
      </c>
      <c r="E1549" s="64">
        <f t="shared" si="219"/>
        <v>42529</v>
      </c>
      <c r="F1549" s="73" t="s">
        <v>1187</v>
      </c>
      <c r="G1549" s="67" t="s">
        <v>918</v>
      </c>
      <c r="H1549" s="73"/>
      <c r="I1549" s="439"/>
      <c r="J1549" s="439"/>
      <c r="K1549" s="430">
        <v>95000</v>
      </c>
      <c r="L1549" s="439">
        <v>22360</v>
      </c>
      <c r="M1549" s="65">
        <f>ROUND(K1549*L1549,0)</f>
        <v>2124200000</v>
      </c>
      <c r="N1549" s="66" t="s">
        <v>266</v>
      </c>
      <c r="O1549" s="66" t="s">
        <v>26</v>
      </c>
      <c r="P1549" s="84" t="str">
        <f>IF(AND('331-CT'!$E$7=TH!H1549,OR(N1549="331",O1549="331")),"x","")</f>
        <v/>
      </c>
      <c r="Q1549" s="84" t="str">
        <f>IF(AND(B1549='111'!$L$11,OR($N1549=$Q$7,$O1549=$Q$7)),"x","")</f>
        <v/>
      </c>
      <c r="R1549" s="84" t="str">
        <f>IF(AND($N1549=$Q$7,$B1549&lt;'111'!$L$11),"x","")</f>
        <v/>
      </c>
      <c r="S1549" s="84" t="str">
        <f>IF(AND($O1549=$Q$7,$B1549&lt;'111'!$L$11),"x","")</f>
        <v/>
      </c>
      <c r="T1549" s="84" t="str">
        <f>IF(ISERROR(FIND('112'!$M$9,G1549,1)),"",IF((AND(FIND('112'!$M$9,G1549,1)&gt;=1,B1549='112'!$K$9,OR($N1549='112'!$I$6,$O1549='112'!$I$6))),"x",""))</f>
        <v/>
      </c>
      <c r="U1549" s="84" t="str">
        <f>IF(ISERROR(FIND('112'!$M$9,G1549,1)),"",IF((AND(LEFT(G1549,2)=LEFT('112'!$M$9,2),B1549&lt;'112'!$K$9,$N1549='112'!$I$6)),"x",""))</f>
        <v/>
      </c>
      <c r="V1549" s="84" t="str">
        <f>IF(ISERROR(FIND('112'!$M$9,G1549,1)),"",IF((AND(RIGHT(G1549,2)=RIGHT('112'!$M$9,2),B1549&lt;'112'!$K$9,$O1549='112'!$I$6)),"x",""))</f>
        <v/>
      </c>
      <c r="W1549" s="84" t="str">
        <f>IF(AND('341-CT'!$H$9=H1549,OR(LEFT(N1549,3)=$W$7,LEFT(O1549,3)=$W$7)),"x","")</f>
        <v/>
      </c>
      <c r="X1549" s="84" t="str">
        <f>IF(OR(TH!N1549=TH!$X$7,O1549=TH!$X$7),"x","")</f>
        <v/>
      </c>
      <c r="Y1549" s="84" t="str">
        <f>IF(AND(OR(N1549="131",O1549="131"),H1549='131-CT'!$H$9),"x","")</f>
        <v/>
      </c>
      <c r="Z1549" s="84"/>
      <c r="AA1549" s="84" t="str">
        <f>IF(AND(MONTH(E1549)='IN-NX'!$J$5,'IN-NX'!$D$7=D1549),"x","")</f>
        <v/>
      </c>
      <c r="AB1549" s="84" t="str">
        <f>IF(AND(OR(LEFT(TH!N1549,2)="15",LEFT(TH!O1549,2)="15"),LEFT(TH!O1549,3)&lt;&gt;"111",'152-CT'!$J$8=TH!F1549),"x","")</f>
        <v/>
      </c>
      <c r="AC1549" s="84" t="str">
        <f>IF(AND(OR(LEFT(TH!N1549,2)="15",LEFT(TH!O1549,2)="15"),TK!$E$7=TH!F1549),"x","")</f>
        <v/>
      </c>
      <c r="AD1549" s="84" t="str">
        <f>IF(AND(N1549="1521",MONTH(C1549)='BK-NL'!$M$11),"x","")</f>
        <v/>
      </c>
    </row>
    <row r="1550" spans="1:32" ht="15.75" hidden="1" customHeight="1">
      <c r="A1550" s="336" t="str">
        <f>IF(B1550&lt;&gt;"",IF(AND(B1550='IN-TC'!$S$4,OR(TH!N1550="1111",TH!O1550="1111")),TH!D1550,""),"")</f>
        <v/>
      </c>
      <c r="B1550" s="63">
        <f t="shared" si="218"/>
        <v>6</v>
      </c>
      <c r="C1550" s="64">
        <v>42529</v>
      </c>
      <c r="D1550" s="64" t="s">
        <v>705</v>
      </c>
      <c r="E1550" s="64">
        <f t="shared" si="219"/>
        <v>42529</v>
      </c>
      <c r="F1550" s="514" t="s">
        <v>758</v>
      </c>
      <c r="G1550" s="67" t="s">
        <v>918</v>
      </c>
      <c r="H1550" s="73" t="s">
        <v>730</v>
      </c>
      <c r="I1550" s="439"/>
      <c r="J1550" s="439"/>
      <c r="K1550" s="430"/>
      <c r="L1550" s="439"/>
      <c r="M1550" s="65">
        <v>4164540</v>
      </c>
      <c r="N1550" s="66" t="s">
        <v>99</v>
      </c>
      <c r="O1550" s="66" t="s">
        <v>26</v>
      </c>
      <c r="P1550" s="84" t="str">
        <f>IF(AND('331-CT'!$E$7=TH!H1550,OR(N1550="331",O1550="331")),"x","")</f>
        <v/>
      </c>
      <c r="Q1550" s="84" t="str">
        <f>IF(AND(B1550='111'!$L$11,OR($N1550=$Q$7,$O1550=$Q$7)),"x","")</f>
        <v/>
      </c>
      <c r="R1550" s="84" t="str">
        <f>IF(AND($N1550=$Q$7,$B1550&lt;'111'!$L$11),"x","")</f>
        <v/>
      </c>
      <c r="S1550" s="84" t="str">
        <f>IF(AND($O1550=$Q$7,$B1550&lt;'111'!$L$11),"x","")</f>
        <v/>
      </c>
      <c r="T1550" s="84" t="str">
        <f>IF(ISERROR(FIND('112'!$M$9,G1550,1)),"",IF((AND(FIND('112'!$M$9,G1550,1)&gt;=1,B1550='112'!$K$9,OR($N1550='112'!$I$6,$O1550='112'!$I$6))),"x",""))</f>
        <v/>
      </c>
      <c r="U1550" s="84" t="str">
        <f>IF(ISERROR(FIND('112'!$M$9,G1550,1)),"",IF((AND(LEFT(G1550,2)=LEFT('112'!$M$9,2),B1550&lt;'112'!$K$9,$N1550='112'!$I$6)),"x",""))</f>
        <v/>
      </c>
      <c r="V1550" s="84" t="str">
        <f>IF(ISERROR(FIND('112'!$M$9,G1550,1)),"",IF((AND(RIGHT(G1550,2)=RIGHT('112'!$M$9,2),B1550&lt;'112'!$K$9,$O1550='112'!$I$6)),"x",""))</f>
        <v/>
      </c>
      <c r="W1550" s="84" t="str">
        <f>IF(AND('341-CT'!$H$9=H1550,OR(LEFT(N1550,3)=$W$7,LEFT(O1550,3)=$W$7)),"x","")</f>
        <v/>
      </c>
      <c r="X1550" s="84" t="str">
        <f>IF(OR(TH!N1550=TH!$X$7,O1550=TH!$X$7),"x","")</f>
        <v/>
      </c>
      <c r="Y1550" s="84" t="str">
        <f>IF(AND(OR(N1550="131",O1550="131"),H1550='131-CT'!$H$9),"x","")</f>
        <v/>
      </c>
      <c r="Z1550" s="84"/>
      <c r="AA1550" s="84" t="str">
        <f>IF(AND(MONTH(E1550)='IN-NX'!$J$5,'IN-NX'!$D$7=D1550),"x","")</f>
        <v/>
      </c>
      <c r="AB1550" s="84" t="str">
        <f>IF(AND(OR(LEFT(TH!N1550,2)="15",LEFT(TH!O1550,2)="15"),LEFT(TH!O1550,3)&lt;&gt;"111",'152-CT'!$J$8=TH!F1550),"x","")</f>
        <v/>
      </c>
      <c r="AC1550" s="84" t="str">
        <f>IF(AND(OR(LEFT(TH!N1550,2)="15",LEFT(TH!O1550,2)="15"),TK!$E$7=TH!F1550),"x","")</f>
        <v/>
      </c>
      <c r="AD1550" s="84" t="str">
        <f>IF(AND(N1550="1521",MONTH(C1550)='BK-NL'!$M$11),"x","")</f>
        <v/>
      </c>
    </row>
    <row r="1551" spans="1:32" ht="15.75" hidden="1" customHeight="1">
      <c r="A1551" s="336" t="str">
        <f>IF(B1551&lt;&gt;"",IF(AND(B1551='IN-TC'!$S$4,OR(TH!N1551="1111",TH!O1551="1111")),TH!D1551,""),"")</f>
        <v/>
      </c>
      <c r="B1551" s="63">
        <f t="shared" si="218"/>
        <v>6</v>
      </c>
      <c r="C1551" s="64">
        <v>42529</v>
      </c>
      <c r="D1551" s="64" t="s">
        <v>705</v>
      </c>
      <c r="E1551" s="64">
        <f t="shared" si="219"/>
        <v>42529</v>
      </c>
      <c r="F1551" s="514" t="s">
        <v>759</v>
      </c>
      <c r="G1551" s="67" t="s">
        <v>918</v>
      </c>
      <c r="H1551" s="73" t="s">
        <v>731</v>
      </c>
      <c r="I1551" s="439"/>
      <c r="J1551" s="439"/>
      <c r="K1551" s="430"/>
      <c r="L1551" s="439"/>
      <c r="M1551" s="65">
        <v>1970320</v>
      </c>
      <c r="N1551" s="66" t="s">
        <v>99</v>
      </c>
      <c r="O1551" s="66" t="s">
        <v>26</v>
      </c>
      <c r="P1551" s="84" t="str">
        <f>IF(AND('331-CT'!$E$7=TH!H1551,OR(N1551="331",O1551="331")),"x","")</f>
        <v/>
      </c>
      <c r="Q1551" s="84" t="str">
        <f>IF(AND(B1551='111'!$L$11,OR($N1551=$Q$7,$O1551=$Q$7)),"x","")</f>
        <v/>
      </c>
      <c r="R1551" s="84" t="str">
        <f>IF(AND($N1551=$Q$7,$B1551&lt;'111'!$L$11),"x","")</f>
        <v/>
      </c>
      <c r="S1551" s="84" t="str">
        <f>IF(AND($O1551=$Q$7,$B1551&lt;'111'!$L$11),"x","")</f>
        <v/>
      </c>
      <c r="T1551" s="84" t="str">
        <f>IF(ISERROR(FIND('112'!$M$9,G1551,1)),"",IF((AND(FIND('112'!$M$9,G1551,1)&gt;=1,B1551='112'!$K$9,OR($N1551='112'!$I$6,$O1551='112'!$I$6))),"x",""))</f>
        <v/>
      </c>
      <c r="U1551" s="84" t="str">
        <f>IF(ISERROR(FIND('112'!$M$9,G1551,1)),"",IF((AND(LEFT(G1551,2)=LEFT('112'!$M$9,2),B1551&lt;'112'!$K$9,$N1551='112'!$I$6)),"x",""))</f>
        <v/>
      </c>
      <c r="V1551" s="84" t="str">
        <f>IF(ISERROR(FIND('112'!$M$9,G1551,1)),"",IF((AND(RIGHT(G1551,2)=RIGHT('112'!$M$9,2),B1551&lt;'112'!$K$9,$O1551='112'!$I$6)),"x",""))</f>
        <v/>
      </c>
      <c r="W1551" s="84" t="str">
        <f>IF(AND('341-CT'!$H$9=H1551,OR(LEFT(N1551,3)=$W$7,LEFT(O1551,3)=$W$7)),"x","")</f>
        <v/>
      </c>
      <c r="X1551" s="84" t="str">
        <f>IF(OR(TH!N1551=TH!$X$7,O1551=TH!$X$7),"x","")</f>
        <v/>
      </c>
      <c r="Y1551" s="84" t="str">
        <f>IF(AND(OR(N1551="131",O1551="131"),H1551='131-CT'!$H$9),"x","")</f>
        <v/>
      </c>
      <c r="Z1551" s="84"/>
      <c r="AA1551" s="84" t="str">
        <f>IF(AND(MONTH(E1551)='IN-NX'!$J$5,'IN-NX'!$D$7=D1551),"x","")</f>
        <v/>
      </c>
      <c r="AB1551" s="84" t="str">
        <f>IF(AND(OR(LEFT(TH!N1551,2)="15",LEFT(TH!O1551,2)="15"),LEFT(TH!O1551,3)&lt;&gt;"111",'152-CT'!$J$8=TH!F1551),"x","")</f>
        <v/>
      </c>
      <c r="AC1551" s="84" t="str">
        <f>IF(AND(OR(LEFT(TH!N1551,2)="15",LEFT(TH!O1551,2)="15"),TK!$E$7=TH!F1551),"x","")</f>
        <v/>
      </c>
      <c r="AD1551" s="84" t="str">
        <f>IF(AND(N1551="1521",MONTH(C1551)='BK-NL'!$M$11),"x","")</f>
        <v/>
      </c>
    </row>
    <row r="1552" spans="1:32" ht="15.75" hidden="1" customHeight="1">
      <c r="A1552" s="336" t="str">
        <f>IF(B1552&lt;&gt;"",IF(AND(B1552='IN-TC'!$S$4,OR(TH!N1552="1111",TH!O1552="1111")),TH!D1552,""),"")</f>
        <v/>
      </c>
      <c r="B1552" s="63">
        <f t="shared" si="218"/>
        <v>6</v>
      </c>
      <c r="C1552" s="64">
        <v>42529</v>
      </c>
      <c r="D1552" s="64" t="s">
        <v>702</v>
      </c>
      <c r="E1552" s="64">
        <f t="shared" si="219"/>
        <v>42529</v>
      </c>
      <c r="F1552" s="73" t="s">
        <v>1674</v>
      </c>
      <c r="G1552" s="67" t="s">
        <v>918</v>
      </c>
      <c r="H1552" s="73" t="s">
        <v>1675</v>
      </c>
      <c r="I1552" s="439"/>
      <c r="J1552" s="439"/>
      <c r="K1552" s="430">
        <v>95000</v>
      </c>
      <c r="L1552" s="439">
        <v>22355</v>
      </c>
      <c r="M1552" s="65">
        <v>2123725000</v>
      </c>
      <c r="N1552" s="66" t="s">
        <v>26</v>
      </c>
      <c r="O1552" s="66" t="s">
        <v>260</v>
      </c>
      <c r="P1552" s="84" t="str">
        <f>IF(AND('331-CT'!$E$7=TH!H1552,OR(N1552="331",O1552="331")),"x","")</f>
        <v/>
      </c>
      <c r="Q1552" s="84" t="str">
        <f>IF(AND(B1552='111'!$L$11,OR($N1552=$Q$7,$O1552=$Q$7)),"x","")</f>
        <v/>
      </c>
      <c r="R1552" s="84" t="str">
        <f>IF(AND($N1552=$Q$7,$B1552&lt;'111'!$L$11),"x","")</f>
        <v/>
      </c>
      <c r="S1552" s="84" t="str">
        <f>IF(AND($O1552=$Q$7,$B1552&lt;'111'!$L$11),"x","")</f>
        <v/>
      </c>
      <c r="T1552" s="84" t="str">
        <f>IF(ISERROR(FIND('112'!$M$9,G1552,1)),"",IF((AND(FIND('112'!$M$9,G1552,1)&gt;=1,B1552='112'!$K$9,OR($N1552='112'!$I$6,$O1552='112'!$I$6))),"x",""))</f>
        <v/>
      </c>
      <c r="U1552" s="84" t="str">
        <f>IF(ISERROR(FIND('112'!$M$9,G1552,1)),"",IF((AND(LEFT(G1552,2)=LEFT('112'!$M$9,2),B1552&lt;'112'!$K$9,$N1552='112'!$I$6)),"x",""))</f>
        <v/>
      </c>
      <c r="V1552" s="84" t="str">
        <f>IF(ISERROR(FIND('112'!$M$9,G1552,1)),"",IF((AND(RIGHT(G1552,2)=RIGHT('112'!$M$9,2),B1552&lt;'112'!$K$9,$O1552='112'!$I$6)),"x",""))</f>
        <v/>
      </c>
      <c r="W1552" s="84" t="str">
        <f>IF(AND('341-CT'!$H$9=H1552,OR(LEFT(N1552,3)=$W$7,LEFT(O1552,3)=$W$7)),"x","")</f>
        <v/>
      </c>
      <c r="X1552" s="84" t="str">
        <f>IF(OR(TH!N1552=TH!$X$7,O1552=TH!$X$7),"x","")</f>
        <v/>
      </c>
      <c r="Y1552" s="84" t="str">
        <f>IF(AND(OR(N1552="131",O1552="131"),H1552='131-CT'!$H$9),"x","")</f>
        <v/>
      </c>
      <c r="Z1552" s="84"/>
      <c r="AA1552" s="84" t="str">
        <f>IF(AND(MONTH(E1552)='IN-NX'!$J$5,'IN-NX'!$D$7=D1552),"x","")</f>
        <v/>
      </c>
      <c r="AB1552" s="84" t="str">
        <f>IF(AND(OR(LEFT(TH!N1552,2)="15",LEFT(TH!O1552,2)="15"),LEFT(TH!O1552,3)&lt;&gt;"111",'152-CT'!$J$8=TH!F1552),"x","")</f>
        <v/>
      </c>
      <c r="AC1552" s="84" t="str">
        <f>IF(AND(OR(LEFT(TH!N1552,2)="15",LEFT(TH!O1552,2)="15"),TK!$E$7=TH!F1552),"x","")</f>
        <v/>
      </c>
      <c r="AD1552" s="84" t="str">
        <f>IF(AND(N1552="1521",MONTH(C1552)='BK-NL'!$M$11),"x","")</f>
        <v/>
      </c>
    </row>
    <row r="1553" spans="1:32" ht="15.75" hidden="1" customHeight="1">
      <c r="A1553" s="336" t="str">
        <f>IF(B1553&lt;&gt;"",IF(AND(B1553='IN-TC'!$S$4,OR(TH!N1553="1111",TH!O1553="1111")),TH!D1553,""),"")</f>
        <v/>
      </c>
      <c r="B1553" s="63">
        <f t="shared" si="218"/>
        <v>6</v>
      </c>
      <c r="C1553" s="64">
        <v>42529</v>
      </c>
      <c r="D1553" s="64" t="s">
        <v>705</v>
      </c>
      <c r="E1553" s="64">
        <f t="shared" si="219"/>
        <v>42529</v>
      </c>
      <c r="F1553" s="73" t="s">
        <v>1190</v>
      </c>
      <c r="G1553" s="67" t="s">
        <v>918</v>
      </c>
      <c r="H1553" s="73" t="s">
        <v>730</v>
      </c>
      <c r="I1553" s="439"/>
      <c r="J1553" s="439"/>
      <c r="K1553" s="430">
        <v>62000</v>
      </c>
      <c r="L1553" s="439">
        <v>22360</v>
      </c>
      <c r="M1553" s="65">
        <f>ROUND(K1553*L1553,0)</f>
        <v>1386320000</v>
      </c>
      <c r="N1553" s="66" t="s">
        <v>260</v>
      </c>
      <c r="O1553" s="66" t="s">
        <v>266</v>
      </c>
      <c r="P1553" s="84" t="str">
        <f>IF(AND('331-CT'!$E$7=TH!H1553,OR(N1553="331",O1553="331")),"x","")</f>
        <v/>
      </c>
      <c r="Q1553" s="84" t="str">
        <f>IF(AND(B1553='111'!$L$11,OR($N1553=$Q$7,$O1553=$Q$7)),"x","")</f>
        <v/>
      </c>
      <c r="R1553" s="84" t="str">
        <f>IF(AND($N1553=$Q$7,$B1553&lt;'111'!$L$11),"x","")</f>
        <v/>
      </c>
      <c r="S1553" s="84" t="str">
        <f>IF(AND($O1553=$Q$7,$B1553&lt;'111'!$L$11),"x","")</f>
        <v/>
      </c>
      <c r="T1553" s="84" t="str">
        <f>IF(ISERROR(FIND('112'!$M$9,G1553,1)),"",IF((AND(FIND('112'!$M$9,G1553,1)&gt;=1,B1553='112'!$K$9,OR($N1553='112'!$I$6,$O1553='112'!$I$6))),"x",""))</f>
        <v/>
      </c>
      <c r="U1553" s="84" t="str">
        <f>IF(ISERROR(FIND('112'!$M$9,G1553,1)),"",IF((AND(LEFT(G1553,2)=LEFT('112'!$M$9,2),B1553&lt;'112'!$K$9,$N1553='112'!$I$6)),"x",""))</f>
        <v/>
      </c>
      <c r="V1553" s="84" t="str">
        <f>IF(ISERROR(FIND('112'!$M$9,G1553,1)),"",IF((AND(RIGHT(G1553,2)=RIGHT('112'!$M$9,2),B1553&lt;'112'!$K$9,$O1553='112'!$I$6)),"x",""))</f>
        <v/>
      </c>
      <c r="W1553" s="84" t="str">
        <f>IF(AND('341-CT'!$H$9=H1553,OR(LEFT(N1553,3)=$W$7,LEFT(O1553,3)=$W$7)),"x","")</f>
        <v/>
      </c>
      <c r="X1553" s="84" t="str">
        <f>IF(OR(TH!N1553=TH!$X$7,O1553=TH!$X$7),"x","")</f>
        <v/>
      </c>
      <c r="Y1553" s="84" t="str">
        <f>IF(AND(OR(N1553="131",O1553="131"),H1553='131-CT'!$H$9),"x","")</f>
        <v/>
      </c>
      <c r="Z1553" s="84"/>
      <c r="AA1553" s="84" t="str">
        <f>IF(AND(MONTH(E1553)='IN-NX'!$J$5,'IN-NX'!$D$7=D1553),"x","")</f>
        <v/>
      </c>
      <c r="AB1553" s="84" t="str">
        <f>IF(AND(OR(LEFT(TH!N1553,2)="15",LEFT(TH!O1553,2)="15"),LEFT(TH!O1553,3)&lt;&gt;"111",'152-CT'!$J$8=TH!F1553),"x","")</f>
        <v/>
      </c>
      <c r="AC1553" s="84" t="str">
        <f>IF(AND(OR(LEFT(TH!N1553,2)="15",LEFT(TH!O1553,2)="15"),TK!$E$7=TH!F1553),"x","")</f>
        <v/>
      </c>
      <c r="AD1553" s="84" t="str">
        <f>IF(AND(N1553="1521",MONTH(C1553)='BK-NL'!$M$11),"x","")</f>
        <v/>
      </c>
    </row>
    <row r="1554" spans="1:32" ht="15.75" hidden="1" customHeight="1">
      <c r="A1554" s="336" t="str">
        <f>IF(B1554&lt;&gt;"",IF(AND(B1554='IN-TC'!$S$4,OR(TH!N1554="1111",TH!O1554="1111")),TH!D1554,""),"")</f>
        <v/>
      </c>
      <c r="B1554" s="63">
        <f t="shared" si="218"/>
        <v>6</v>
      </c>
      <c r="C1554" s="64">
        <v>42529</v>
      </c>
      <c r="D1554" s="64" t="s">
        <v>582</v>
      </c>
      <c r="E1554" s="64">
        <f t="shared" si="219"/>
        <v>42529</v>
      </c>
      <c r="F1554" s="73" t="s">
        <v>1068</v>
      </c>
      <c r="G1554" s="67" t="s">
        <v>918</v>
      </c>
      <c r="H1554" s="73" t="s">
        <v>730</v>
      </c>
      <c r="I1554" s="439"/>
      <c r="J1554" s="439"/>
      <c r="K1554" s="430"/>
      <c r="L1554" s="439"/>
      <c r="M1554" s="65">
        <v>5890000</v>
      </c>
      <c r="N1554" s="66" t="s">
        <v>260</v>
      </c>
      <c r="O1554" s="66" t="s">
        <v>43</v>
      </c>
      <c r="P1554" s="84" t="str">
        <f>IF(AND('331-CT'!$E$7=TH!H1554,OR(N1554="331",O1554="331")),"x","")</f>
        <v/>
      </c>
      <c r="Q1554" s="84" t="str">
        <f>IF(AND(B1554='111'!$L$11,OR($N1554=$Q$7,$O1554=$Q$7)),"x","")</f>
        <v/>
      </c>
      <c r="R1554" s="84" t="str">
        <f>IF(AND($N1554=$Q$7,$B1554&lt;'111'!$L$11),"x","")</f>
        <v/>
      </c>
      <c r="S1554" s="84" t="str">
        <f>IF(AND($O1554=$Q$7,$B1554&lt;'111'!$L$11),"x","")</f>
        <v/>
      </c>
      <c r="T1554" s="84" t="str">
        <f>IF(ISERROR(FIND('112'!$M$9,G1554,1)),"",IF((AND(FIND('112'!$M$9,G1554,1)&gt;=1,B1554='112'!$K$9,OR($N1554='112'!$I$6,$O1554='112'!$I$6))),"x",""))</f>
        <v/>
      </c>
      <c r="U1554" s="84" t="str">
        <f>IF(ISERROR(FIND('112'!$M$9,G1554,1)),"",IF((AND(LEFT(G1554,2)=LEFT('112'!$M$9,2),B1554&lt;'112'!$K$9,$N1554='112'!$I$6)),"x",""))</f>
        <v/>
      </c>
      <c r="V1554" s="84" t="str">
        <f>IF(ISERROR(FIND('112'!$M$9,G1554,1)),"",IF((AND(RIGHT(G1554,2)=RIGHT('112'!$M$9,2),B1554&lt;'112'!$K$9,$O1554='112'!$I$6)),"x",""))</f>
        <v/>
      </c>
      <c r="W1554" s="84" t="str">
        <f>IF(AND('341-CT'!$H$9=H1554,OR(LEFT(N1554,3)=$W$7,LEFT(O1554,3)=$W$7)),"x","")</f>
        <v/>
      </c>
      <c r="X1554" s="84" t="str">
        <f>IF(OR(TH!N1554=TH!$X$7,O1554=TH!$X$7),"x","")</f>
        <v/>
      </c>
      <c r="Y1554" s="84" t="str">
        <f>IF(AND(OR(N1554="131",O1554="131"),H1554='131-CT'!$H$9),"x","")</f>
        <v/>
      </c>
      <c r="Z1554" s="84"/>
      <c r="AA1554" s="84" t="str">
        <f>IF(AND(MONTH(E1554)='IN-NX'!$J$5,'IN-NX'!$D$7=D1554),"x","")</f>
        <v/>
      </c>
      <c r="AB1554" s="84" t="str">
        <f>IF(AND(OR(LEFT(TH!N1554,2)="15",LEFT(TH!O1554,2)="15"),LEFT(TH!O1554,3)&lt;&gt;"111",'152-CT'!$J$8=TH!F1554),"x","")</f>
        <v/>
      </c>
      <c r="AC1554" s="84" t="str">
        <f>IF(AND(OR(LEFT(TH!N1554,2)="15",LEFT(TH!O1554,2)="15"),TK!$E$7=TH!F1554),"x","")</f>
        <v/>
      </c>
      <c r="AD1554" s="84" t="str">
        <f>IF(AND(N1554="1521",MONTH(C1554)='BK-NL'!$M$11),"x","")</f>
        <v/>
      </c>
    </row>
    <row r="1555" spans="1:32" ht="15.75" hidden="1" customHeight="1">
      <c r="A1555" s="336" t="str">
        <f>IF(B1555&lt;&gt;"",IF(AND(B1555='IN-TC'!$S$4,OR(TH!N1555="1111",TH!O1555="1111")),TH!D1555,""),"")</f>
        <v/>
      </c>
      <c r="B1555" s="63">
        <f t="shared" si="218"/>
        <v>6</v>
      </c>
      <c r="C1555" s="64">
        <v>42529</v>
      </c>
      <c r="D1555" s="64" t="s">
        <v>705</v>
      </c>
      <c r="E1555" s="64">
        <f t="shared" si="219"/>
        <v>42529</v>
      </c>
      <c r="F1555" s="73" t="s">
        <v>1190</v>
      </c>
      <c r="G1555" s="67" t="s">
        <v>918</v>
      </c>
      <c r="H1555" s="73" t="s">
        <v>731</v>
      </c>
      <c r="I1555" s="439"/>
      <c r="J1555" s="439"/>
      <c r="K1555" s="430">
        <v>33000</v>
      </c>
      <c r="L1555" s="439">
        <v>22360</v>
      </c>
      <c r="M1555" s="65">
        <f>ROUND(K1555*L1555,0)</f>
        <v>737880000</v>
      </c>
      <c r="N1555" s="66" t="s">
        <v>260</v>
      </c>
      <c r="O1555" s="66" t="s">
        <v>266</v>
      </c>
      <c r="P1555" s="84" t="str">
        <f>IF(AND('331-CT'!$E$7=TH!H1555,OR(N1555="331",O1555="331")),"x","")</f>
        <v/>
      </c>
      <c r="Q1555" s="84" t="str">
        <f>IF(AND(B1555='111'!$L$11,OR($N1555=$Q$7,$O1555=$Q$7)),"x","")</f>
        <v/>
      </c>
      <c r="R1555" s="84" t="str">
        <f>IF(AND($N1555=$Q$7,$B1555&lt;'111'!$L$11),"x","")</f>
        <v/>
      </c>
      <c r="S1555" s="84" t="str">
        <f>IF(AND($O1555=$Q$7,$B1555&lt;'111'!$L$11),"x","")</f>
        <v/>
      </c>
      <c r="T1555" s="84" t="str">
        <f>IF(ISERROR(FIND('112'!$M$9,G1555,1)),"",IF((AND(FIND('112'!$M$9,G1555,1)&gt;=1,B1555='112'!$K$9,OR($N1555='112'!$I$6,$O1555='112'!$I$6))),"x",""))</f>
        <v/>
      </c>
      <c r="U1555" s="84" t="str">
        <f>IF(ISERROR(FIND('112'!$M$9,G1555,1)),"",IF((AND(LEFT(G1555,2)=LEFT('112'!$M$9,2),B1555&lt;'112'!$K$9,$N1555='112'!$I$6)),"x",""))</f>
        <v/>
      </c>
      <c r="V1555" s="84" t="str">
        <f>IF(ISERROR(FIND('112'!$M$9,G1555,1)),"",IF((AND(RIGHT(G1555,2)=RIGHT('112'!$M$9,2),B1555&lt;'112'!$K$9,$O1555='112'!$I$6)),"x",""))</f>
        <v/>
      </c>
      <c r="W1555" s="84" t="str">
        <f>IF(AND('341-CT'!$H$9=H1555,OR(LEFT(N1555,3)=$W$7,LEFT(O1555,3)=$W$7)),"x","")</f>
        <v/>
      </c>
      <c r="X1555" s="84" t="str">
        <f>IF(OR(TH!N1555=TH!$X$7,O1555=TH!$X$7),"x","")</f>
        <v/>
      </c>
      <c r="Y1555" s="84" t="str">
        <f>IF(AND(OR(N1555="131",O1555="131"),H1555='131-CT'!$H$9),"x","")</f>
        <v/>
      </c>
      <c r="Z1555" s="84"/>
      <c r="AA1555" s="84" t="str">
        <f>IF(AND(MONTH(E1555)='IN-NX'!$J$5,'IN-NX'!$D$7=D1555),"x","")</f>
        <v/>
      </c>
      <c r="AB1555" s="84" t="str">
        <f>IF(AND(OR(LEFT(TH!N1555,2)="15",LEFT(TH!O1555,2)="15"),LEFT(TH!O1555,3)&lt;&gt;"111",'152-CT'!$J$8=TH!F1555),"x","")</f>
        <v/>
      </c>
      <c r="AC1555" s="84" t="str">
        <f>IF(AND(OR(LEFT(TH!N1555,2)="15",LEFT(TH!O1555,2)="15"),TK!$E$7=TH!F1555),"x","")</f>
        <v/>
      </c>
      <c r="AD1555" s="84" t="str">
        <f>IF(AND(N1555="1521",MONTH(C1555)='BK-NL'!$M$11),"x","")</f>
        <v/>
      </c>
    </row>
    <row r="1556" spans="1:32" ht="15.75" hidden="1" customHeight="1">
      <c r="A1556" s="336" t="str">
        <f>IF(B1556&lt;&gt;"",IF(AND(B1556='IN-TC'!$S$4,OR(TH!N1556="1111",TH!O1556="1111")),TH!D1556,""),"")</f>
        <v/>
      </c>
      <c r="B1556" s="63">
        <f t="shared" si="218"/>
        <v>6</v>
      </c>
      <c r="C1556" s="64">
        <v>42529</v>
      </c>
      <c r="D1556" s="64" t="s">
        <v>582</v>
      </c>
      <c r="E1556" s="64">
        <f t="shared" si="219"/>
        <v>42529</v>
      </c>
      <c r="F1556" s="73" t="s">
        <v>1068</v>
      </c>
      <c r="G1556" s="67" t="s">
        <v>918</v>
      </c>
      <c r="H1556" s="73" t="s">
        <v>731</v>
      </c>
      <c r="I1556" s="439"/>
      <c r="J1556" s="439"/>
      <c r="K1556" s="430"/>
      <c r="L1556" s="439"/>
      <c r="M1556" s="65">
        <v>3795000</v>
      </c>
      <c r="N1556" s="66" t="s">
        <v>260</v>
      </c>
      <c r="O1556" s="66" t="s">
        <v>43</v>
      </c>
      <c r="P1556" s="84" t="str">
        <f>IF(AND('331-CT'!$E$7=TH!H1556,OR(N1556="331",O1556="331")),"x","")</f>
        <v/>
      </c>
      <c r="Q1556" s="84" t="str">
        <f>IF(AND(B1556='111'!$L$11,OR($N1556=$Q$7,$O1556=$Q$7)),"x","")</f>
        <v/>
      </c>
      <c r="R1556" s="84" t="str">
        <f>IF(AND($N1556=$Q$7,$B1556&lt;'111'!$L$11),"x","")</f>
        <v/>
      </c>
      <c r="S1556" s="84" t="str">
        <f>IF(AND($O1556=$Q$7,$B1556&lt;'111'!$L$11),"x","")</f>
        <v/>
      </c>
      <c r="T1556" s="84" t="str">
        <f>IF(ISERROR(FIND('112'!$M$9,G1556,1)),"",IF((AND(FIND('112'!$M$9,G1556,1)&gt;=1,B1556='112'!$K$9,OR($N1556='112'!$I$6,$O1556='112'!$I$6))),"x",""))</f>
        <v/>
      </c>
      <c r="U1556" s="84" t="str">
        <f>IF(ISERROR(FIND('112'!$M$9,G1556,1)),"",IF((AND(LEFT(G1556,2)=LEFT('112'!$M$9,2),B1556&lt;'112'!$K$9,$N1556='112'!$I$6)),"x",""))</f>
        <v/>
      </c>
      <c r="V1556" s="84" t="str">
        <f>IF(ISERROR(FIND('112'!$M$9,G1556,1)),"",IF((AND(RIGHT(G1556,2)=RIGHT('112'!$M$9,2),B1556&lt;'112'!$K$9,$O1556='112'!$I$6)),"x",""))</f>
        <v/>
      </c>
      <c r="W1556" s="84" t="str">
        <f>IF(AND('341-CT'!$H$9=H1556,OR(LEFT(N1556,3)=$W$7,LEFT(O1556,3)=$W$7)),"x","")</f>
        <v/>
      </c>
      <c r="X1556" s="84" t="str">
        <f>IF(OR(TH!N1556=TH!$X$7,O1556=TH!$X$7),"x","")</f>
        <v/>
      </c>
      <c r="Y1556" s="84" t="str">
        <f>IF(AND(OR(N1556="131",O1556="131"),H1556='131-CT'!$H$9),"x","")</f>
        <v/>
      </c>
      <c r="Z1556" s="84"/>
      <c r="AA1556" s="84" t="str">
        <f>IF(AND(MONTH(E1556)='IN-NX'!$J$5,'IN-NX'!$D$7=D1556),"x","")</f>
        <v/>
      </c>
      <c r="AB1556" s="84" t="str">
        <f>IF(AND(OR(LEFT(TH!N1556,2)="15",LEFT(TH!O1556,2)="15"),LEFT(TH!O1556,3)&lt;&gt;"111",'152-CT'!$J$8=TH!F1556),"x","")</f>
        <v/>
      </c>
      <c r="AC1556" s="84" t="str">
        <f>IF(AND(OR(LEFT(TH!N1556,2)="15",LEFT(TH!O1556,2)="15"),TK!$E$7=TH!F1556),"x","")</f>
        <v/>
      </c>
      <c r="AD1556" s="84" t="str">
        <f>IF(AND(N1556="1521",MONTH(C1556)='BK-NL'!$M$11),"x","")</f>
        <v/>
      </c>
    </row>
    <row r="1557" spans="1:32" ht="15.75" hidden="1" customHeight="1">
      <c r="A1557" s="336" t="str">
        <f>IF(B1557&lt;&gt;"",IF(AND(B1557='IN-TC'!$S$4,OR(TH!N1557="1111",TH!O1557="1111")),TH!D1557,""),"")</f>
        <v/>
      </c>
      <c r="B1557" s="63">
        <f t="shared" ref="B1557:B1583" si="220">IF(C1557&lt;&gt;"",MONTH(C1557),"")</f>
        <v>6</v>
      </c>
      <c r="C1557" s="64">
        <v>42530</v>
      </c>
      <c r="D1557" s="318" t="s">
        <v>879</v>
      </c>
      <c r="E1557" s="318">
        <v>42530</v>
      </c>
      <c r="F1557" s="73" t="s">
        <v>1015</v>
      </c>
      <c r="G1557" s="982" t="s">
        <v>1578</v>
      </c>
      <c r="H1557" s="73" t="s">
        <v>808</v>
      </c>
      <c r="I1557" s="439"/>
      <c r="J1557" s="439"/>
      <c r="K1557" s="430"/>
      <c r="L1557" s="439"/>
      <c r="M1557" s="65">
        <v>1927273</v>
      </c>
      <c r="N1557" s="66" t="s">
        <v>101</v>
      </c>
      <c r="O1557" s="66" t="s">
        <v>63</v>
      </c>
      <c r="P1557" s="84" t="str">
        <f>IF(AND('331-CT'!$E$7=TH!H1557,OR(N1557="331",O1557="331")),"x","")</f>
        <v/>
      </c>
      <c r="Q1557" s="84" t="str">
        <f>IF(AND(B1557='111'!$L$11,OR($N1557=$Q$7,$O1557=$Q$7)),"x","")</f>
        <v/>
      </c>
      <c r="R1557" s="84" t="str">
        <f>IF(AND($N1557=$Q$7,$B1557&lt;'111'!$L$11),"x","")</f>
        <v/>
      </c>
      <c r="S1557" s="84" t="str">
        <f>IF(AND($O1557=$Q$7,$B1557&lt;'111'!$L$11),"x","")</f>
        <v/>
      </c>
      <c r="T1557" s="84" t="str">
        <f>IF(ISERROR(FIND('112'!$M$9,G1557,1)),"",IF((AND(FIND('112'!$M$9,G1557,1)&gt;=1,B1557='112'!$K$9,OR($N1557='112'!$I$6,$O1557='112'!$I$6))),"x",""))</f>
        <v/>
      </c>
      <c r="U1557" s="84" t="str">
        <f>IF(ISERROR(FIND('112'!$M$9,G1557,1)),"",IF((AND(LEFT(G1557,2)=LEFT('112'!$M$9,2),B1557&lt;'112'!$K$9,$N1557='112'!$I$6)),"x",""))</f>
        <v/>
      </c>
      <c r="V1557" s="84" t="str">
        <f>IF(ISERROR(FIND('112'!$M$9,G1557,1)),"",IF((AND(RIGHT(G1557,2)=RIGHT('112'!$M$9,2),B1557&lt;'112'!$K$9,$O1557='112'!$I$6)),"x",""))</f>
        <v/>
      </c>
      <c r="W1557" s="84" t="str">
        <f>IF(AND('341-CT'!$H$9=H1557,OR(LEFT(N1557,3)=$W$7,LEFT(O1557,3)=$W$7)),"x","")</f>
        <v/>
      </c>
      <c r="X1557" s="84" t="str">
        <f>IF(OR(TH!N1557=TH!$X$7,O1557=TH!$X$7),"x","")</f>
        <v/>
      </c>
      <c r="Y1557" s="84" t="str">
        <f>IF(AND(OR(N1557="131",O1557="131"),H1557='131-CT'!$H$9),"x","")</f>
        <v/>
      </c>
      <c r="Z1557" s="84"/>
      <c r="AA1557" s="84" t="str">
        <f>IF(AND(MONTH(E1557)='IN-NX'!$J$5,'IN-NX'!$D$7=D1557),"x","")</f>
        <v/>
      </c>
      <c r="AB1557" s="84" t="str">
        <f>IF(AND(OR(LEFT(TH!N1557,2)="15",LEFT(TH!O1557,2)="15"),LEFT(TH!O1557,3)&lt;&gt;"111",'152-CT'!$J$8=TH!F1557),"x","")</f>
        <v/>
      </c>
      <c r="AC1557" s="84" t="str">
        <f>IF(AND(OR(LEFT(TH!N1557,2)="15",LEFT(TH!O1557,2)="15"),TK!$E$7=TH!F1557),"x","")</f>
        <v/>
      </c>
      <c r="AD1557" s="84" t="str">
        <f>IF(AND(N1557="1521",MONTH(C1557)='BK-NL'!$M$11),"x","")</f>
        <v/>
      </c>
      <c r="AF1557" s="330">
        <v>1</v>
      </c>
    </row>
    <row r="1558" spans="1:32" ht="15.75" hidden="1" customHeight="1">
      <c r="A1558" s="336" t="str">
        <f>IF(B1558&lt;&gt;"",IF(AND(B1558='IN-TC'!$S$4,OR(TH!N1558="1111",TH!O1558="1111")),TH!D1558,""),"")</f>
        <v/>
      </c>
      <c r="B1558" s="63">
        <f t="shared" si="220"/>
        <v>6</v>
      </c>
      <c r="C1558" s="64">
        <v>42530</v>
      </c>
      <c r="D1558" s="318" t="s">
        <v>879</v>
      </c>
      <c r="E1558" s="318">
        <v>42530</v>
      </c>
      <c r="F1558" s="73" t="s">
        <v>1016</v>
      </c>
      <c r="G1558" s="982" t="s">
        <v>1578</v>
      </c>
      <c r="H1558" s="73" t="s">
        <v>808</v>
      </c>
      <c r="I1558" s="439"/>
      <c r="J1558" s="439"/>
      <c r="K1558" s="430"/>
      <c r="L1558" s="439"/>
      <c r="M1558" s="65">
        <v>192727</v>
      </c>
      <c r="N1558" s="66" t="s">
        <v>9</v>
      </c>
      <c r="O1558" s="66" t="s">
        <v>63</v>
      </c>
      <c r="P1558" s="84" t="str">
        <f>IF(AND('331-CT'!$E$7=TH!H1558,OR(N1558="331",O1558="331")),"x","")</f>
        <v/>
      </c>
      <c r="Q1558" s="84" t="str">
        <f>IF(AND(B1558='111'!$L$11,OR($N1558=$Q$7,$O1558=$Q$7)),"x","")</f>
        <v/>
      </c>
      <c r="R1558" s="84" t="str">
        <f>IF(AND($N1558=$Q$7,$B1558&lt;'111'!$L$11),"x","")</f>
        <v/>
      </c>
      <c r="S1558" s="84" t="str">
        <f>IF(AND($O1558=$Q$7,$B1558&lt;'111'!$L$11),"x","")</f>
        <v/>
      </c>
      <c r="T1558" s="84" t="str">
        <f>IF(ISERROR(FIND('112'!$M$9,G1558,1)),"",IF((AND(FIND('112'!$M$9,G1558,1)&gt;=1,B1558='112'!$K$9,OR($N1558='112'!$I$6,$O1558='112'!$I$6))),"x",""))</f>
        <v/>
      </c>
      <c r="U1558" s="84" t="str">
        <f>IF(ISERROR(FIND('112'!$M$9,G1558,1)),"",IF((AND(LEFT(G1558,2)=LEFT('112'!$M$9,2),B1558&lt;'112'!$K$9,$N1558='112'!$I$6)),"x",""))</f>
        <v/>
      </c>
      <c r="V1558" s="84" t="str">
        <f>IF(ISERROR(FIND('112'!$M$9,G1558,1)),"",IF((AND(RIGHT(G1558,2)=RIGHT('112'!$M$9,2),B1558&lt;'112'!$K$9,$O1558='112'!$I$6)),"x",""))</f>
        <v/>
      </c>
      <c r="W1558" s="84" t="str">
        <f>IF(AND('341-CT'!$H$9=H1558,OR(LEFT(N1558,3)=$W$7,LEFT(O1558,3)=$W$7)),"x","")</f>
        <v/>
      </c>
      <c r="X1558" s="84" t="str">
        <f>IF(OR(TH!N1558=TH!$X$7,O1558=TH!$X$7),"x","")</f>
        <v/>
      </c>
      <c r="Y1558" s="84" t="str">
        <f>IF(AND(OR(N1558="131",O1558="131"),H1558='131-CT'!$H$9),"x","")</f>
        <v/>
      </c>
      <c r="Z1558" s="84"/>
      <c r="AA1558" s="84" t="str">
        <f>IF(AND(MONTH(E1558)='IN-NX'!$J$5,'IN-NX'!$D$7=D1558),"x","")</f>
        <v/>
      </c>
      <c r="AB1558" s="84" t="str">
        <f>IF(AND(OR(LEFT(TH!N1558,2)="15",LEFT(TH!O1558,2)="15"),LEFT(TH!O1558,3)&lt;&gt;"111",'152-CT'!$J$8=TH!F1558),"x","")</f>
        <v/>
      </c>
      <c r="AC1558" s="84" t="str">
        <f>IF(AND(OR(LEFT(TH!N1558,2)="15",LEFT(TH!O1558,2)="15"),TK!$E$7=TH!F1558),"x","")</f>
        <v/>
      </c>
      <c r="AD1558" s="84" t="str">
        <f>IF(AND(N1558="1521",MONTH(C1558)='BK-NL'!$M$11),"x","")</f>
        <v/>
      </c>
    </row>
    <row r="1559" spans="1:32" ht="15.75" hidden="1" customHeight="1">
      <c r="A1559" s="336" t="str">
        <f>IF(B1559&lt;&gt;"",IF(AND(B1559='IN-TC'!$S$4,OR(TH!N1559="1111",TH!O1559="1111")),TH!D1559,""),"")</f>
        <v/>
      </c>
      <c r="B1559" s="63">
        <f t="shared" si="220"/>
        <v>6</v>
      </c>
      <c r="C1559" s="64">
        <v>42531</v>
      </c>
      <c r="D1559" s="64" t="s">
        <v>906</v>
      </c>
      <c r="E1559" s="64">
        <v>42531</v>
      </c>
      <c r="F1559" s="73" t="s">
        <v>1146</v>
      </c>
      <c r="G1559" s="67" t="s">
        <v>919</v>
      </c>
      <c r="H1559" s="73" t="s">
        <v>763</v>
      </c>
      <c r="I1559" s="439"/>
      <c r="J1559" s="439"/>
      <c r="K1559" s="430"/>
      <c r="L1559" s="439"/>
      <c r="M1559" s="65">
        <v>300000000</v>
      </c>
      <c r="N1559" s="66" t="s">
        <v>63</v>
      </c>
      <c r="O1559" s="66" t="s">
        <v>26</v>
      </c>
      <c r="P1559" s="84" t="str">
        <f>IF(AND('331-CT'!$E$7=TH!H1559,OR(N1559="331",O1559="331")),"x","")</f>
        <v/>
      </c>
      <c r="Q1559" s="84" t="str">
        <f>IF(AND(B1559='111'!$L$11,OR($N1559=$Q$7,$O1559=$Q$7)),"x","")</f>
        <v/>
      </c>
      <c r="R1559" s="84" t="str">
        <f>IF(AND($N1559=$Q$7,$B1559&lt;'111'!$L$11),"x","")</f>
        <v/>
      </c>
      <c r="S1559" s="84" t="str">
        <f>IF(AND($O1559=$Q$7,$B1559&lt;'111'!$L$11),"x","")</f>
        <v/>
      </c>
      <c r="T1559" s="84" t="str">
        <f>IF(ISERROR(FIND('112'!$M$9,G1559,1)),"",IF((AND(FIND('112'!$M$9,G1559,1)&gt;=1,B1559='112'!$K$9,OR($N1559='112'!$I$6,$O1559='112'!$I$6))),"x",""))</f>
        <v>x</v>
      </c>
      <c r="U1559" s="84" t="str">
        <f>IF(ISERROR(FIND('112'!$M$9,G1559,1)),"",IF((AND(LEFT(G1559,2)=LEFT('112'!$M$9,2),B1559&lt;'112'!$K$9,$N1559='112'!$I$6)),"x",""))</f>
        <v/>
      </c>
      <c r="V1559" s="84" t="str">
        <f>IF(ISERROR(FIND('112'!$M$9,G1559,1)),"",IF((AND(RIGHT(G1559,2)=RIGHT('112'!$M$9,2),B1559&lt;'112'!$K$9,$O1559='112'!$I$6)),"x",""))</f>
        <v/>
      </c>
      <c r="W1559" s="84" t="str">
        <f>IF(AND('341-CT'!$H$9=H1559,OR(LEFT(N1559,3)=$W$7,LEFT(O1559,3)=$W$7)),"x","")</f>
        <v/>
      </c>
      <c r="X1559" s="84" t="str">
        <f>IF(OR(TH!N1559=TH!$X$7,O1559=TH!$X$7),"x","")</f>
        <v/>
      </c>
      <c r="Y1559" s="84" t="str">
        <f>IF(AND(OR(N1559="131",O1559="131"),H1559='131-CT'!$H$9),"x","")</f>
        <v/>
      </c>
      <c r="Z1559" s="84"/>
      <c r="AA1559" s="84" t="str">
        <f>IF(AND(MONTH(E1559)='IN-NX'!$J$5,'IN-NX'!$D$7=D1559),"x","")</f>
        <v/>
      </c>
      <c r="AB1559" s="84" t="str">
        <f>IF(AND(OR(LEFT(TH!N1559,2)="15",LEFT(TH!O1559,2)="15"),LEFT(TH!O1559,3)&lt;&gt;"111",'152-CT'!$J$8=TH!F1559),"x","")</f>
        <v/>
      </c>
      <c r="AC1559" s="84" t="str">
        <f>IF(AND(OR(LEFT(TH!N1559,2)="15",LEFT(TH!O1559,2)="15"),TK!$E$7=TH!F1559),"x","")</f>
        <v/>
      </c>
      <c r="AD1559" s="84" t="str">
        <f>IF(AND(N1559="1521",MONTH(C1559)='BK-NL'!$M$11),"x","")</f>
        <v/>
      </c>
    </row>
    <row r="1560" spans="1:32" ht="15.75" hidden="1" customHeight="1">
      <c r="A1560" s="336" t="str">
        <f>IF(B1560&lt;&gt;"",IF(AND(B1560='IN-TC'!$S$4,OR(TH!N1560="1111",TH!O1560="1111")),TH!D1560,""),"")</f>
        <v/>
      </c>
      <c r="B1560" s="63">
        <f t="shared" si="220"/>
        <v>6</v>
      </c>
      <c r="C1560" s="64">
        <v>42531</v>
      </c>
      <c r="D1560" s="64" t="s">
        <v>705</v>
      </c>
      <c r="E1560" s="64">
        <f>C1560</f>
        <v>42531</v>
      </c>
      <c r="F1560" s="73" t="s">
        <v>1064</v>
      </c>
      <c r="G1560" s="67" t="s">
        <v>919</v>
      </c>
      <c r="H1560" s="73"/>
      <c r="I1560" s="439"/>
      <c r="J1560" s="439"/>
      <c r="K1560" s="430"/>
      <c r="L1560" s="439"/>
      <c r="M1560" s="65">
        <v>1401257</v>
      </c>
      <c r="N1560" s="66" t="s">
        <v>101</v>
      </c>
      <c r="O1560" s="66" t="s">
        <v>26</v>
      </c>
      <c r="P1560" s="84" t="str">
        <f>IF(AND('331-CT'!$E$7=TH!H1560,OR(N1560="331",O1560="331")),"x","")</f>
        <v/>
      </c>
      <c r="Q1560" s="84" t="str">
        <f>IF(AND(B1560='111'!$L$11,OR($N1560=$Q$7,$O1560=$Q$7)),"x","")</f>
        <v/>
      </c>
      <c r="R1560" s="84" t="str">
        <f>IF(AND($N1560=$Q$7,$B1560&lt;'111'!$L$11),"x","")</f>
        <v/>
      </c>
      <c r="S1560" s="84" t="str">
        <f>IF(AND($O1560=$Q$7,$B1560&lt;'111'!$L$11),"x","")</f>
        <v/>
      </c>
      <c r="T1560" s="84" t="str">
        <f>IF(ISERROR(FIND('112'!$M$9,G1560,1)),"",IF((AND(FIND('112'!$M$9,G1560,1)&gt;=1,B1560='112'!$K$9,OR($N1560='112'!$I$6,$O1560='112'!$I$6))),"x",""))</f>
        <v>x</v>
      </c>
      <c r="U1560" s="84" t="str">
        <f>IF(ISERROR(FIND('112'!$M$9,G1560,1)),"",IF((AND(LEFT(G1560,2)=LEFT('112'!$M$9,2),B1560&lt;'112'!$K$9,$N1560='112'!$I$6)),"x",""))</f>
        <v/>
      </c>
      <c r="V1560" s="84" t="str">
        <f>IF(ISERROR(FIND('112'!$M$9,G1560,1)),"",IF((AND(RIGHT(G1560,2)=RIGHT('112'!$M$9,2),B1560&lt;'112'!$K$9,$O1560='112'!$I$6)),"x",""))</f>
        <v/>
      </c>
      <c r="W1560" s="84" t="str">
        <f>IF(AND('341-CT'!$H$9=H1560,OR(LEFT(N1560,3)=$W$7,LEFT(O1560,3)=$W$7)),"x","")</f>
        <v/>
      </c>
      <c r="X1560" s="84" t="str">
        <f>IF(OR(TH!N1560=TH!$X$7,O1560=TH!$X$7),"x","")</f>
        <v/>
      </c>
      <c r="Y1560" s="84" t="str">
        <f>IF(AND(OR(N1560="131",O1560="131"),H1560='131-CT'!$H$9),"x","")</f>
        <v/>
      </c>
      <c r="Z1560" s="84"/>
      <c r="AA1560" s="84" t="str">
        <f>IF(AND(MONTH(E1560)='IN-NX'!$J$5,'IN-NX'!$D$7=D1560),"x","")</f>
        <v/>
      </c>
      <c r="AB1560" s="84" t="str">
        <f>IF(AND(OR(LEFT(TH!N1560,2)="15",LEFT(TH!O1560,2)="15"),LEFT(TH!O1560,3)&lt;&gt;"111",'152-CT'!$J$8=TH!F1560),"x","")</f>
        <v/>
      </c>
      <c r="AC1560" s="84" t="str">
        <f>IF(AND(OR(LEFT(TH!N1560,2)="15",LEFT(TH!O1560,2)="15"),TK!$E$7=TH!F1560),"x","")</f>
        <v/>
      </c>
      <c r="AD1560" s="84" t="str">
        <f>IF(AND(N1560="1521",MONTH(C1560)='BK-NL'!$M$11),"x","")</f>
        <v/>
      </c>
      <c r="AF1560" s="330">
        <v>1</v>
      </c>
    </row>
    <row r="1561" spans="1:32" ht="15.75" hidden="1" customHeight="1">
      <c r="A1561" s="336" t="str">
        <f>IF(B1561&lt;&gt;"",IF(AND(B1561='IN-TC'!$S$4,OR(TH!N1561="1111",TH!O1561="1111")),TH!D1561,""),"")</f>
        <v/>
      </c>
      <c r="B1561" s="63">
        <f t="shared" si="220"/>
        <v>6</v>
      </c>
      <c r="C1561" s="64">
        <v>42531</v>
      </c>
      <c r="D1561" s="64" t="s">
        <v>705</v>
      </c>
      <c r="E1561" s="64">
        <f>C1561</f>
        <v>42531</v>
      </c>
      <c r="F1561" s="73" t="s">
        <v>1065</v>
      </c>
      <c r="G1561" s="67" t="s">
        <v>919</v>
      </c>
      <c r="H1561" s="73"/>
      <c r="I1561" s="439"/>
      <c r="J1561" s="439"/>
      <c r="K1561" s="430"/>
      <c r="L1561" s="439"/>
      <c r="M1561" s="65">
        <v>140126</v>
      </c>
      <c r="N1561" s="66" t="s">
        <v>9</v>
      </c>
      <c r="O1561" s="66" t="s">
        <v>26</v>
      </c>
      <c r="P1561" s="84" t="str">
        <f>IF(AND('331-CT'!$E$7=TH!H1561,OR(N1561="331",O1561="331")),"x","")</f>
        <v/>
      </c>
      <c r="Q1561" s="84" t="str">
        <f>IF(AND(B1561='111'!$L$11,OR($N1561=$Q$7,$O1561=$Q$7)),"x","")</f>
        <v/>
      </c>
      <c r="R1561" s="84" t="str">
        <f>IF(AND($N1561=$Q$7,$B1561&lt;'111'!$L$11),"x","")</f>
        <v/>
      </c>
      <c r="S1561" s="84" t="str">
        <f>IF(AND($O1561=$Q$7,$B1561&lt;'111'!$L$11),"x","")</f>
        <v/>
      </c>
      <c r="T1561" s="84" t="str">
        <f>IF(ISERROR(FIND('112'!$M$9,G1561,1)),"",IF((AND(FIND('112'!$M$9,G1561,1)&gt;=1,B1561='112'!$K$9,OR($N1561='112'!$I$6,$O1561='112'!$I$6))),"x",""))</f>
        <v>x</v>
      </c>
      <c r="U1561" s="84" t="str">
        <f>IF(ISERROR(FIND('112'!$M$9,G1561,1)),"",IF((AND(LEFT(G1561,2)=LEFT('112'!$M$9,2),B1561&lt;'112'!$K$9,$N1561='112'!$I$6)),"x",""))</f>
        <v/>
      </c>
      <c r="V1561" s="84" t="str">
        <f>IF(ISERROR(FIND('112'!$M$9,G1561,1)),"",IF((AND(RIGHT(G1561,2)=RIGHT('112'!$M$9,2),B1561&lt;'112'!$K$9,$O1561='112'!$I$6)),"x",""))</f>
        <v/>
      </c>
      <c r="W1561" s="84" t="str">
        <f>IF(AND('341-CT'!$H$9=H1561,OR(LEFT(N1561,3)=$W$7,LEFT(O1561,3)=$W$7)),"x","")</f>
        <v/>
      </c>
      <c r="X1561" s="84" t="str">
        <f>IF(OR(TH!N1561=TH!$X$7,O1561=TH!$X$7),"x","")</f>
        <v/>
      </c>
      <c r="Y1561" s="84" t="str">
        <f>IF(AND(OR(N1561="131",O1561="131"),H1561='131-CT'!$H$9),"x","")</f>
        <v/>
      </c>
      <c r="Z1561" s="84"/>
      <c r="AA1561" s="84" t="str">
        <f>IF(AND(MONTH(E1561)='IN-NX'!$J$5,'IN-NX'!$D$7=D1561),"x","")</f>
        <v/>
      </c>
      <c r="AB1561" s="84" t="str">
        <f>IF(AND(OR(LEFT(TH!N1561,2)="15",LEFT(TH!O1561,2)="15"),LEFT(TH!O1561,3)&lt;&gt;"111",'152-CT'!$J$8=TH!F1561),"x","")</f>
        <v/>
      </c>
      <c r="AC1561" s="84" t="str">
        <f>IF(AND(OR(LEFT(TH!N1561,2)="15",LEFT(TH!O1561,2)="15"),TK!$E$7=TH!F1561),"x","")</f>
        <v/>
      </c>
      <c r="AD1561" s="84" t="str">
        <f>IF(AND(N1561="1521",MONTH(C1561)='BK-NL'!$M$11),"x","")</f>
        <v/>
      </c>
    </row>
    <row r="1562" spans="1:32" ht="15.75" hidden="1" customHeight="1">
      <c r="A1562" s="336" t="str">
        <f>IF(B1562&lt;&gt;"",IF(AND(B1562='IN-TC'!$S$4,OR(TH!N1562="1111",TH!O1562="1111")),TH!D1562,""),"")</f>
        <v/>
      </c>
      <c r="B1562" s="63">
        <f t="shared" si="220"/>
        <v>6</v>
      </c>
      <c r="C1562" s="64">
        <v>42531</v>
      </c>
      <c r="D1562" s="64" t="s">
        <v>705</v>
      </c>
      <c r="E1562" s="64">
        <f>C1562</f>
        <v>42531</v>
      </c>
      <c r="F1562" s="73" t="s">
        <v>1192</v>
      </c>
      <c r="G1562" s="67" t="s">
        <v>919</v>
      </c>
      <c r="H1562" s="344"/>
      <c r="I1562" s="439"/>
      <c r="J1562" s="439"/>
      <c r="K1562" s="430">
        <v>15</v>
      </c>
      <c r="L1562" s="439">
        <v>22300</v>
      </c>
      <c r="M1562" s="65">
        <f>ROUND(K1562*L1562,0)</f>
        <v>334500</v>
      </c>
      <c r="N1562" s="66" t="s">
        <v>101</v>
      </c>
      <c r="O1562" s="66" t="s">
        <v>266</v>
      </c>
      <c r="P1562" s="84" t="str">
        <f>IF(AND('331-CT'!$E$7=TH!H1562,OR(N1562="331",O1562="331")),"x","")</f>
        <v/>
      </c>
      <c r="Q1562" s="84" t="str">
        <f>IF(AND(B1562='111'!$L$11,OR($N1562=$Q$7,$O1562=$Q$7)),"x","")</f>
        <v/>
      </c>
      <c r="R1562" s="84" t="str">
        <f>IF(AND($N1562=$Q$7,$B1562&lt;'111'!$L$11),"x","")</f>
        <v/>
      </c>
      <c r="S1562" s="84" t="str">
        <f>IF(AND($O1562=$Q$7,$B1562&lt;'111'!$L$11),"x","")</f>
        <v/>
      </c>
      <c r="T1562" s="84" t="str">
        <f>IF(ISERROR(FIND('112'!$M$9,G1562,1)),"",IF((AND(FIND('112'!$M$9,G1562,1)&gt;=1,B1562='112'!$K$9,OR($N1562='112'!$I$6,$O1562='112'!$I$6))),"x",""))</f>
        <v/>
      </c>
      <c r="U1562" s="84" t="str">
        <f>IF(ISERROR(FIND('112'!$M$9,G1562,1)),"",IF((AND(LEFT(G1562,2)=LEFT('112'!$M$9,2),B1562&lt;'112'!$K$9,$N1562='112'!$I$6)),"x",""))</f>
        <v/>
      </c>
      <c r="V1562" s="84" t="str">
        <f>IF(ISERROR(FIND('112'!$M$9,G1562,1)),"",IF((AND(RIGHT(G1562,2)=RIGHT('112'!$M$9,2),B1562&lt;'112'!$K$9,$O1562='112'!$I$6)),"x",""))</f>
        <v/>
      </c>
      <c r="W1562" s="84" t="str">
        <f>IF(AND('341-CT'!$H$9=H1562,OR(LEFT(N1562,3)=$W$7,LEFT(O1562,3)=$W$7)),"x","")</f>
        <v/>
      </c>
      <c r="X1562" s="84" t="str">
        <f>IF(OR(TH!N1562=TH!$X$7,O1562=TH!$X$7),"x","")</f>
        <v/>
      </c>
      <c r="Y1562" s="84" t="str">
        <f>IF(AND(OR(N1562="131",O1562="131"),H1562='131-CT'!$H$9),"x","")</f>
        <v/>
      </c>
      <c r="Z1562" s="84"/>
      <c r="AA1562" s="84" t="str">
        <f>IF(AND(MONTH(E1562)='IN-NX'!$J$5,'IN-NX'!$D$7=D1562),"x","")</f>
        <v/>
      </c>
      <c r="AB1562" s="84" t="str">
        <f>IF(AND(OR(LEFT(TH!N1562,2)="15",LEFT(TH!O1562,2)="15"),LEFT(TH!O1562,3)&lt;&gt;"111",'152-CT'!$J$8=TH!F1562),"x","")</f>
        <v/>
      </c>
      <c r="AC1562" s="84" t="str">
        <f>IF(AND(OR(LEFT(TH!N1562,2)="15",LEFT(TH!O1562,2)="15"),TK!$E$7=TH!F1562),"x","")</f>
        <v/>
      </c>
      <c r="AD1562" s="84" t="str">
        <f>IF(AND(N1562="1521",MONTH(C1562)='BK-NL'!$M$11),"x","")</f>
        <v/>
      </c>
      <c r="AF1562" s="330">
        <v>1</v>
      </c>
    </row>
    <row r="1563" spans="1:32" ht="15.75" hidden="1" customHeight="1">
      <c r="A1563" s="336" t="str">
        <f>IF(B1563&lt;&gt;"",IF(AND(B1563='IN-TC'!$S$4,OR(TH!N1563="1111",TH!O1563="1111")),TH!D1563,""),"")</f>
        <v/>
      </c>
      <c r="B1563" s="63">
        <f t="shared" si="220"/>
        <v>6</v>
      </c>
      <c r="C1563" s="64">
        <v>42531</v>
      </c>
      <c r="D1563" s="64" t="s">
        <v>705</v>
      </c>
      <c r="E1563" s="64">
        <f>C1563</f>
        <v>42531</v>
      </c>
      <c r="F1563" s="73" t="s">
        <v>1193</v>
      </c>
      <c r="G1563" s="67" t="s">
        <v>919</v>
      </c>
      <c r="H1563" s="344"/>
      <c r="I1563" s="439"/>
      <c r="J1563" s="439"/>
      <c r="K1563" s="430">
        <v>1.5</v>
      </c>
      <c r="L1563" s="439">
        <v>22300</v>
      </c>
      <c r="M1563" s="65">
        <f>ROUND(K1563*L1563,0)</f>
        <v>33450</v>
      </c>
      <c r="N1563" s="66" t="s">
        <v>9</v>
      </c>
      <c r="O1563" s="66" t="s">
        <v>266</v>
      </c>
      <c r="P1563" s="84" t="str">
        <f>IF(AND('331-CT'!$E$7=TH!H1563,OR(N1563="331",O1563="331")),"x","")</f>
        <v/>
      </c>
      <c r="Q1563" s="84" t="str">
        <f>IF(AND(B1563='111'!$L$11,OR($N1563=$Q$7,$O1563=$Q$7)),"x","")</f>
        <v/>
      </c>
      <c r="R1563" s="84" t="str">
        <f>IF(AND($N1563=$Q$7,$B1563&lt;'111'!$L$11),"x","")</f>
        <v/>
      </c>
      <c r="S1563" s="84" t="str">
        <f>IF(AND($O1563=$Q$7,$B1563&lt;'111'!$L$11),"x","")</f>
        <v/>
      </c>
      <c r="T1563" s="84" t="str">
        <f>IF(ISERROR(FIND('112'!$M$9,G1563,1)),"",IF((AND(FIND('112'!$M$9,G1563,1)&gt;=1,B1563='112'!$K$9,OR($N1563='112'!$I$6,$O1563='112'!$I$6))),"x",""))</f>
        <v/>
      </c>
      <c r="U1563" s="84" t="str">
        <f>IF(ISERROR(FIND('112'!$M$9,G1563,1)),"",IF((AND(LEFT(G1563,2)=LEFT('112'!$M$9,2),B1563&lt;'112'!$K$9,$N1563='112'!$I$6)),"x",""))</f>
        <v/>
      </c>
      <c r="V1563" s="84" t="str">
        <f>IF(ISERROR(FIND('112'!$M$9,G1563,1)),"",IF((AND(RIGHT(G1563,2)=RIGHT('112'!$M$9,2),B1563&lt;'112'!$K$9,$O1563='112'!$I$6)),"x",""))</f>
        <v/>
      </c>
      <c r="W1563" s="84" t="str">
        <f>IF(AND('341-CT'!$H$9=H1563,OR(LEFT(N1563,3)=$W$7,LEFT(O1563,3)=$W$7)),"x","")</f>
        <v/>
      </c>
      <c r="X1563" s="84" t="str">
        <f>IF(OR(TH!N1563=TH!$X$7,O1563=TH!$X$7),"x","")</f>
        <v/>
      </c>
      <c r="Y1563" s="84" t="str">
        <f>IF(AND(OR(N1563="131",O1563="131"),H1563='131-CT'!$H$9),"x","")</f>
        <v/>
      </c>
      <c r="Z1563" s="84"/>
      <c r="AA1563" s="84" t="str">
        <f>IF(AND(MONTH(E1563)='IN-NX'!$J$5,'IN-NX'!$D$7=D1563),"x","")</f>
        <v/>
      </c>
      <c r="AB1563" s="84" t="str">
        <f>IF(AND(OR(LEFT(TH!N1563,2)="15",LEFT(TH!O1563,2)="15"),LEFT(TH!O1563,3)&lt;&gt;"111",'152-CT'!$J$8=TH!F1563),"x","")</f>
        <v/>
      </c>
      <c r="AC1563" s="84" t="str">
        <f>IF(AND(OR(LEFT(TH!N1563,2)="15",LEFT(TH!O1563,2)="15"),TK!$E$7=TH!F1563),"x","")</f>
        <v/>
      </c>
      <c r="AD1563" s="84" t="str">
        <f>IF(AND(N1563="1521",MONTH(C1563)='BK-NL'!$M$11),"x","")</f>
        <v/>
      </c>
    </row>
    <row r="1564" spans="1:32" ht="15.75" hidden="1" customHeight="1">
      <c r="A1564" s="336" t="str">
        <f>IF(B1564&lt;&gt;"",IF(AND(B1564='IN-TC'!$S$4,OR(TH!N1564="1111",TH!O1564="1111")),TH!D1564,""),"")</f>
        <v/>
      </c>
      <c r="B1564" s="63">
        <f t="shared" si="220"/>
        <v>6</v>
      </c>
      <c r="C1564" s="64">
        <v>42534</v>
      </c>
      <c r="D1564" s="64" t="s">
        <v>880</v>
      </c>
      <c r="E1564" s="64">
        <v>42534</v>
      </c>
      <c r="F1564" s="73" t="s">
        <v>1107</v>
      </c>
      <c r="G1564" s="67" t="s">
        <v>919</v>
      </c>
      <c r="H1564" s="73" t="s">
        <v>763</v>
      </c>
      <c r="I1564" s="439"/>
      <c r="J1564" s="439"/>
      <c r="K1564" s="430"/>
      <c r="L1564" s="439"/>
      <c r="M1564" s="65">
        <v>32000000</v>
      </c>
      <c r="N1564" s="66" t="s">
        <v>26</v>
      </c>
      <c r="O1564" s="66" t="s">
        <v>63</v>
      </c>
      <c r="P1564" s="84" t="str">
        <f>IF(AND('331-CT'!$E$7=TH!H1564,OR(N1564="331",O1564="331")),"x","")</f>
        <v/>
      </c>
      <c r="Q1564" s="84" t="str">
        <f>IF(AND(B1564='111'!$L$11,OR($N1564=$Q$7,$O1564=$Q$7)),"x","")</f>
        <v/>
      </c>
      <c r="R1564" s="84" t="str">
        <f>IF(AND($N1564=$Q$7,$B1564&lt;'111'!$L$11),"x","")</f>
        <v/>
      </c>
      <c r="S1564" s="84" t="str">
        <f>IF(AND($O1564=$Q$7,$B1564&lt;'111'!$L$11),"x","")</f>
        <v/>
      </c>
      <c r="T1564" s="84" t="str">
        <f>IF(ISERROR(FIND('112'!$M$9,G1564,1)),"",IF((AND(FIND('112'!$M$9,G1564,1)&gt;=1,B1564='112'!$K$9,OR($N1564='112'!$I$6,$O1564='112'!$I$6))),"x",""))</f>
        <v>x</v>
      </c>
      <c r="U1564" s="84" t="str">
        <f>IF(ISERROR(FIND('112'!$M$9,G1564,1)),"",IF((AND(LEFT(G1564,2)=LEFT('112'!$M$9,2),B1564&lt;'112'!$K$9,$N1564='112'!$I$6)),"x",""))</f>
        <v/>
      </c>
      <c r="V1564" s="84" t="str">
        <f>IF(ISERROR(FIND('112'!$M$9,G1564,1)),"",IF((AND(RIGHT(G1564,2)=RIGHT('112'!$M$9,2),B1564&lt;'112'!$K$9,$O1564='112'!$I$6)),"x",""))</f>
        <v/>
      </c>
      <c r="W1564" s="84" t="str">
        <f>IF(AND('341-CT'!$H$9=H1564,OR(LEFT(N1564,3)=$W$7,LEFT(O1564,3)=$W$7)),"x","")</f>
        <v/>
      </c>
      <c r="X1564" s="84" t="str">
        <f>IF(OR(TH!N1564=TH!$X$7,O1564=TH!$X$7),"x","")</f>
        <v/>
      </c>
      <c r="Y1564" s="84" t="str">
        <f>IF(AND(OR(N1564="131",O1564="131"),H1564='131-CT'!$H$9),"x","")</f>
        <v/>
      </c>
      <c r="Z1564" s="84"/>
      <c r="AA1564" s="84" t="str">
        <f>IF(AND(MONTH(E1564)='IN-NX'!$J$5,'IN-NX'!$D$7=D1564),"x","")</f>
        <v/>
      </c>
      <c r="AB1564" s="84" t="str">
        <f>IF(AND(OR(LEFT(TH!N1564,2)="15",LEFT(TH!O1564,2)="15"),LEFT(TH!O1564,3)&lt;&gt;"111",'152-CT'!$J$8=TH!F1564),"x","")</f>
        <v/>
      </c>
      <c r="AC1564" s="84" t="str">
        <f>IF(AND(OR(LEFT(TH!N1564,2)="15",LEFT(TH!O1564,2)="15"),TK!$E$7=TH!F1564),"x","")</f>
        <v/>
      </c>
      <c r="AD1564" s="84" t="str">
        <f>IF(AND(N1564="1521",MONTH(C1564)='BK-NL'!$M$11),"x","")</f>
        <v/>
      </c>
    </row>
    <row r="1565" spans="1:32" ht="15.75" hidden="1" customHeight="1">
      <c r="A1565" s="336" t="str">
        <f>IF(B1565&lt;&gt;"",IF(AND(B1565='IN-TC'!$S$4,OR(TH!N1565="1111",TH!O1565="1111")),TH!D1565,""),"")</f>
        <v/>
      </c>
      <c r="B1565" s="63">
        <f t="shared" si="220"/>
        <v>6</v>
      </c>
      <c r="C1565" s="64">
        <v>42534</v>
      </c>
      <c r="D1565" s="64" t="s">
        <v>705</v>
      </c>
      <c r="E1565" s="64">
        <f>C1565</f>
        <v>42534</v>
      </c>
      <c r="F1565" s="73" t="s">
        <v>1642</v>
      </c>
      <c r="G1565" s="67" t="s">
        <v>919</v>
      </c>
      <c r="H1565" s="73" t="s">
        <v>632</v>
      </c>
      <c r="I1565" s="439"/>
      <c r="J1565" s="439"/>
      <c r="K1565" s="430"/>
      <c r="L1565" s="439"/>
      <c r="M1565" s="65">
        <v>31328330</v>
      </c>
      <c r="N1565" s="66" t="s">
        <v>8</v>
      </c>
      <c r="O1565" s="66" t="s">
        <v>26</v>
      </c>
      <c r="P1565" s="84" t="str">
        <f>IF(AND('331-CT'!$E$7=TH!H1565,OR(N1565="331",O1565="331")),"x","")</f>
        <v/>
      </c>
      <c r="Q1565" s="84" t="str">
        <f>IF(AND(B1565='111'!$L$11,OR($N1565=$Q$7,$O1565=$Q$7)),"x","")</f>
        <v/>
      </c>
      <c r="R1565" s="84" t="str">
        <f>IF(AND($N1565=$Q$7,$B1565&lt;'111'!$L$11),"x","")</f>
        <v/>
      </c>
      <c r="S1565" s="84" t="str">
        <f>IF(AND($O1565=$Q$7,$B1565&lt;'111'!$L$11),"x","")</f>
        <v/>
      </c>
      <c r="T1565" s="84" t="str">
        <f>IF(ISERROR(FIND('112'!$M$9,G1565,1)),"",IF((AND(FIND('112'!$M$9,G1565,1)&gt;=1,B1565='112'!$K$9,OR($N1565='112'!$I$6,$O1565='112'!$I$6))),"x",""))</f>
        <v>x</v>
      </c>
      <c r="U1565" s="84" t="str">
        <f>IF(ISERROR(FIND('112'!$M$9,G1565,1)),"",IF((AND(LEFT(G1565,2)=LEFT('112'!$M$9,2),B1565&lt;'112'!$K$9,$N1565='112'!$I$6)),"x",""))</f>
        <v/>
      </c>
      <c r="V1565" s="84" t="str">
        <f>IF(ISERROR(FIND('112'!$M$9,G1565,1)),"",IF((AND(RIGHT(G1565,2)=RIGHT('112'!$M$9,2),B1565&lt;'112'!$K$9,$O1565='112'!$I$6)),"x",""))</f>
        <v/>
      </c>
      <c r="W1565" s="84" t="str">
        <f>IF(AND('341-CT'!$H$9=H1565,OR(LEFT(N1565,3)=$W$7,LEFT(O1565,3)=$W$7)),"x","")</f>
        <v/>
      </c>
      <c r="X1565" s="84" t="str">
        <f>IF(OR(TH!N1565=TH!$X$7,O1565=TH!$X$7),"x","")</f>
        <v/>
      </c>
      <c r="Y1565" s="84" t="str">
        <f>IF(AND(OR(N1565="131",O1565="131"),H1565='131-CT'!$H$9),"x","")</f>
        <v/>
      </c>
      <c r="Z1565" s="84"/>
      <c r="AA1565" s="84" t="str">
        <f>IF(AND(MONTH(E1565)='IN-NX'!$J$5,'IN-NX'!$D$7=D1565),"x","")</f>
        <v/>
      </c>
      <c r="AB1565" s="84" t="str">
        <f>IF(AND(OR(LEFT(TH!N1565,2)="15",LEFT(TH!O1565,2)="15"),LEFT(TH!O1565,3)&lt;&gt;"111",'152-CT'!$J$8=TH!F1565),"x","")</f>
        <v/>
      </c>
      <c r="AC1565" s="84" t="str">
        <f>IF(AND(OR(LEFT(TH!N1565,2)="15",LEFT(TH!O1565,2)="15"),TK!$E$7=TH!F1565),"x","")</f>
        <v/>
      </c>
      <c r="AD1565" s="84" t="str">
        <f>IF(AND(N1565="1521",MONTH(C1565)='BK-NL'!$M$11),"x","")</f>
        <v/>
      </c>
      <c r="AE1565" s="1146" t="str">
        <f>IF(H1565&lt;&gt;VLOOKUP(H1565,DSKH,1,0),"","x")</f>
        <v>x</v>
      </c>
    </row>
    <row r="1566" spans="1:32" ht="15.75" hidden="1" customHeight="1">
      <c r="A1566" s="336" t="str">
        <f>IF(B1566&lt;&gt;"",IF(AND(B1566='IN-TC'!$S$4,OR(TH!N1566="1111",TH!O1566="1111")),TH!D1566,""),"")</f>
        <v/>
      </c>
      <c r="B1566" s="63">
        <f t="shared" si="220"/>
        <v>6</v>
      </c>
      <c r="C1566" s="64">
        <v>42534</v>
      </c>
      <c r="D1566" s="64" t="s">
        <v>705</v>
      </c>
      <c r="E1566" s="64">
        <f>C1566</f>
        <v>42534</v>
      </c>
      <c r="F1566" s="73" t="s">
        <v>1176</v>
      </c>
      <c r="G1566" s="67" t="s">
        <v>919</v>
      </c>
      <c r="H1566" s="73"/>
      <c r="I1566" s="439"/>
      <c r="J1566" s="439"/>
      <c r="K1566" s="430"/>
      <c r="L1566" s="439"/>
      <c r="M1566" s="65">
        <v>45000</v>
      </c>
      <c r="N1566" s="66" t="s">
        <v>101</v>
      </c>
      <c r="O1566" s="66" t="s">
        <v>26</v>
      </c>
      <c r="P1566" s="84" t="str">
        <f>IF(AND('331-CT'!$E$7=TH!H1566,OR(N1566="331",O1566="331")),"x","")</f>
        <v/>
      </c>
      <c r="Q1566" s="84" t="str">
        <f>IF(AND(B1566='111'!$L$11,OR($N1566=$Q$7,$O1566=$Q$7)),"x","")</f>
        <v/>
      </c>
      <c r="R1566" s="84" t="str">
        <f>IF(AND($N1566=$Q$7,$B1566&lt;'111'!$L$11),"x","")</f>
        <v/>
      </c>
      <c r="S1566" s="84" t="str">
        <f>IF(AND($O1566=$Q$7,$B1566&lt;'111'!$L$11),"x","")</f>
        <v/>
      </c>
      <c r="T1566" s="84" t="str">
        <f>IF(ISERROR(FIND('112'!$M$9,G1566,1)),"",IF((AND(FIND('112'!$M$9,G1566,1)&gt;=1,B1566='112'!$K$9,OR($N1566='112'!$I$6,$O1566='112'!$I$6))),"x",""))</f>
        <v>x</v>
      </c>
      <c r="U1566" s="84" t="str">
        <f>IF(ISERROR(FIND('112'!$M$9,G1566,1)),"",IF((AND(LEFT(G1566,2)=LEFT('112'!$M$9,2),B1566&lt;'112'!$K$9,$N1566='112'!$I$6)),"x",""))</f>
        <v/>
      </c>
      <c r="V1566" s="84" t="str">
        <f>IF(ISERROR(FIND('112'!$M$9,G1566,1)),"",IF((AND(RIGHT(G1566,2)=RIGHT('112'!$M$9,2),B1566&lt;'112'!$K$9,$O1566='112'!$I$6)),"x",""))</f>
        <v/>
      </c>
      <c r="W1566" s="84" t="str">
        <f>IF(AND('341-CT'!$H$9=H1566,OR(LEFT(N1566,3)=$W$7,LEFT(O1566,3)=$W$7)),"x","")</f>
        <v/>
      </c>
      <c r="X1566" s="84" t="str">
        <f>IF(OR(TH!N1566=TH!$X$7,O1566=TH!$X$7),"x","")</f>
        <v/>
      </c>
      <c r="Y1566" s="84" t="str">
        <f>IF(AND(OR(N1566="131",O1566="131"),H1566='131-CT'!$H$9),"x","")</f>
        <v/>
      </c>
      <c r="Z1566" s="84"/>
      <c r="AA1566" s="84" t="str">
        <f>IF(AND(MONTH(E1566)='IN-NX'!$J$5,'IN-NX'!$D$7=D1566),"x","")</f>
        <v/>
      </c>
      <c r="AB1566" s="84" t="str">
        <f>IF(AND(OR(LEFT(TH!N1566,2)="15",LEFT(TH!O1566,2)="15"),LEFT(TH!O1566,3)&lt;&gt;"111",'152-CT'!$J$8=TH!F1566),"x","")</f>
        <v/>
      </c>
      <c r="AC1566" s="84" t="str">
        <f>IF(AND(OR(LEFT(TH!N1566,2)="15",LEFT(TH!O1566,2)="15"),TK!$E$7=TH!F1566),"x","")</f>
        <v/>
      </c>
      <c r="AD1566" s="84" t="str">
        <f>IF(AND(N1566="1521",MONTH(C1566)='BK-NL'!$M$11),"x","")</f>
        <v/>
      </c>
      <c r="AF1566" s="330">
        <v>1</v>
      </c>
    </row>
    <row r="1567" spans="1:32" ht="15.75" hidden="1" customHeight="1">
      <c r="A1567" s="336" t="str">
        <f>IF(B1567&lt;&gt;"",IF(AND(B1567='IN-TC'!$S$4,OR(TH!N1567="1111",TH!O1567="1111")),TH!D1567,""),"")</f>
        <v/>
      </c>
      <c r="B1567" s="63">
        <f t="shared" si="220"/>
        <v>6</v>
      </c>
      <c r="C1567" s="64">
        <v>42534</v>
      </c>
      <c r="D1567" s="64" t="s">
        <v>705</v>
      </c>
      <c r="E1567" s="64">
        <f>C1567</f>
        <v>42534</v>
      </c>
      <c r="F1567" s="73" t="s">
        <v>1638</v>
      </c>
      <c r="G1567" s="67" t="s">
        <v>919</v>
      </c>
      <c r="H1567" s="73"/>
      <c r="I1567" s="439"/>
      <c r="J1567" s="439"/>
      <c r="K1567" s="430"/>
      <c r="L1567" s="439"/>
      <c r="M1567" s="65">
        <v>4500</v>
      </c>
      <c r="N1567" s="66" t="s">
        <v>9</v>
      </c>
      <c r="O1567" s="66" t="s">
        <v>26</v>
      </c>
      <c r="P1567" s="84" t="str">
        <f>IF(AND('331-CT'!$E$7=TH!H1567,OR(N1567="331",O1567="331")),"x","")</f>
        <v/>
      </c>
      <c r="Q1567" s="84" t="str">
        <f>IF(AND(B1567='111'!$L$11,OR($N1567=$Q$7,$O1567=$Q$7)),"x","")</f>
        <v/>
      </c>
      <c r="R1567" s="84" t="str">
        <f>IF(AND($N1567=$Q$7,$B1567&lt;'111'!$L$11),"x","")</f>
        <v/>
      </c>
      <c r="S1567" s="84" t="str">
        <f>IF(AND($O1567=$Q$7,$B1567&lt;'111'!$L$11),"x","")</f>
        <v/>
      </c>
      <c r="T1567" s="84" t="str">
        <f>IF(ISERROR(FIND('112'!$M$9,G1567,1)),"",IF((AND(FIND('112'!$M$9,G1567,1)&gt;=1,B1567='112'!$K$9,OR($N1567='112'!$I$6,$O1567='112'!$I$6))),"x",""))</f>
        <v>x</v>
      </c>
      <c r="U1567" s="84" t="str">
        <f>IF(ISERROR(FIND('112'!$M$9,G1567,1)),"",IF((AND(LEFT(G1567,2)=LEFT('112'!$M$9,2),B1567&lt;'112'!$K$9,$N1567='112'!$I$6)),"x",""))</f>
        <v/>
      </c>
      <c r="V1567" s="84" t="str">
        <f>IF(ISERROR(FIND('112'!$M$9,G1567,1)),"",IF((AND(RIGHT(G1567,2)=RIGHT('112'!$M$9,2),B1567&lt;'112'!$K$9,$O1567='112'!$I$6)),"x",""))</f>
        <v/>
      </c>
      <c r="W1567" s="84" t="str">
        <f>IF(AND('341-CT'!$H$9=H1567,OR(LEFT(N1567,3)=$W$7,LEFT(O1567,3)=$W$7)),"x","")</f>
        <v/>
      </c>
      <c r="X1567" s="84" t="str">
        <f>IF(OR(TH!N1567=TH!$X$7,O1567=TH!$X$7),"x","")</f>
        <v/>
      </c>
      <c r="Y1567" s="84" t="str">
        <f>IF(AND(OR(N1567="131",O1567="131"),H1567='131-CT'!$H$9),"x","")</f>
        <v/>
      </c>
      <c r="Z1567" s="84"/>
      <c r="AA1567" s="84" t="str">
        <f>IF(AND(MONTH(E1567)='IN-NX'!$J$5,'IN-NX'!$D$7=D1567),"x","")</f>
        <v/>
      </c>
      <c r="AB1567" s="84" t="str">
        <f>IF(AND(OR(LEFT(TH!N1567,2)="15",LEFT(TH!O1567,2)="15"),LEFT(TH!O1567,3)&lt;&gt;"111",'152-CT'!$J$8=TH!F1567),"x","")</f>
        <v/>
      </c>
      <c r="AC1567" s="84" t="str">
        <f>IF(AND(OR(LEFT(TH!N1567,2)="15",LEFT(TH!O1567,2)="15"),TK!$E$7=TH!F1567),"x","")</f>
        <v/>
      </c>
      <c r="AD1567" s="84" t="str">
        <f>IF(AND(N1567="1521",MONTH(C1567)='BK-NL'!$M$11),"x","")</f>
        <v/>
      </c>
    </row>
    <row r="1568" spans="1:32" ht="15.75" hidden="1" customHeight="1">
      <c r="A1568" s="336" t="str">
        <f>IF(B1568&lt;&gt;"",IF(AND(B1568='IN-TC'!$S$4,OR(TH!N1568="1111",TH!O1568="1111")),TH!D1568,""),"")</f>
        <v/>
      </c>
      <c r="B1568" s="63">
        <f t="shared" si="220"/>
        <v>6</v>
      </c>
      <c r="C1568" s="64">
        <v>42535</v>
      </c>
      <c r="D1568" s="64" t="s">
        <v>881</v>
      </c>
      <c r="E1568" s="64">
        <v>42535</v>
      </c>
      <c r="F1568" s="73" t="s">
        <v>776</v>
      </c>
      <c r="G1568" s="982" t="s">
        <v>1579</v>
      </c>
      <c r="H1568" s="73" t="s">
        <v>808</v>
      </c>
      <c r="I1568" s="439"/>
      <c r="J1568" s="439"/>
      <c r="K1568" s="430"/>
      <c r="L1568" s="439"/>
      <c r="M1568" s="65">
        <v>900000</v>
      </c>
      <c r="N1568" s="66" t="s">
        <v>101</v>
      </c>
      <c r="O1568" s="66" t="s">
        <v>63</v>
      </c>
      <c r="P1568" s="84" t="str">
        <f>IF(AND('331-CT'!$E$7=TH!H1568,OR(N1568="331",O1568="331")),"x","")</f>
        <v/>
      </c>
      <c r="Q1568" s="84" t="str">
        <f>IF(AND(B1568='111'!$L$11,OR($N1568=$Q$7,$O1568=$Q$7)),"x","")</f>
        <v/>
      </c>
      <c r="R1568" s="84" t="str">
        <f>IF(AND($N1568=$Q$7,$B1568&lt;'111'!$L$11),"x","")</f>
        <v/>
      </c>
      <c r="S1568" s="84" t="str">
        <f>IF(AND($O1568=$Q$7,$B1568&lt;'111'!$L$11),"x","")</f>
        <v/>
      </c>
      <c r="T1568" s="84" t="str">
        <f>IF(ISERROR(FIND('112'!$M$9,G1568,1)),"",IF((AND(FIND('112'!$M$9,G1568,1)&gt;=1,B1568='112'!$K$9,OR($N1568='112'!$I$6,$O1568='112'!$I$6))),"x",""))</f>
        <v/>
      </c>
      <c r="U1568" s="84" t="str">
        <f>IF(ISERROR(FIND('112'!$M$9,G1568,1)),"",IF((AND(LEFT(G1568,2)=LEFT('112'!$M$9,2),B1568&lt;'112'!$K$9,$N1568='112'!$I$6)),"x",""))</f>
        <v/>
      </c>
      <c r="V1568" s="84" t="str">
        <f>IF(ISERROR(FIND('112'!$M$9,G1568,1)),"",IF((AND(RIGHT(G1568,2)=RIGHT('112'!$M$9,2),B1568&lt;'112'!$K$9,$O1568='112'!$I$6)),"x",""))</f>
        <v/>
      </c>
      <c r="W1568" s="84" t="str">
        <f>IF(AND('341-CT'!$H$9=H1568,OR(LEFT(N1568,3)=$W$7,LEFT(O1568,3)=$W$7)),"x","")</f>
        <v/>
      </c>
      <c r="X1568" s="84" t="str">
        <f>IF(OR(TH!N1568=TH!$X$7,O1568=TH!$X$7),"x","")</f>
        <v/>
      </c>
      <c r="Y1568" s="84" t="str">
        <f>IF(AND(OR(N1568="131",O1568="131"),H1568='131-CT'!$H$9),"x","")</f>
        <v/>
      </c>
      <c r="Z1568" s="84"/>
      <c r="AA1568" s="84" t="str">
        <f>IF(AND(MONTH(E1568)='IN-NX'!$J$5,'IN-NX'!$D$7=D1568),"x","")</f>
        <v/>
      </c>
      <c r="AB1568" s="84" t="str">
        <f>IF(AND(OR(LEFT(TH!N1568,2)="15",LEFT(TH!O1568,2)="15"),LEFT(TH!O1568,3)&lt;&gt;"111",'152-CT'!$J$8=TH!F1568),"x","")</f>
        <v/>
      </c>
      <c r="AC1568" s="84" t="str">
        <f>IF(AND(OR(LEFT(TH!N1568,2)="15",LEFT(TH!O1568,2)="15"),TK!$E$7=TH!F1568),"x","")</f>
        <v/>
      </c>
      <c r="AD1568" s="84" t="str">
        <f>IF(AND(N1568="1521",MONTH(C1568)='BK-NL'!$M$11),"x","")</f>
        <v/>
      </c>
      <c r="AF1568" s="330">
        <v>1</v>
      </c>
    </row>
    <row r="1569" spans="1:32" ht="15.75" hidden="1" customHeight="1">
      <c r="A1569" s="336" t="str">
        <f>IF(B1569&lt;&gt;"",IF(AND(B1569='IN-TC'!$S$4,OR(TH!N1569="1111",TH!O1569="1111")),TH!D1569,""),"")</f>
        <v/>
      </c>
      <c r="B1569" s="63">
        <f t="shared" si="220"/>
        <v>6</v>
      </c>
      <c r="C1569" s="64">
        <v>42535</v>
      </c>
      <c r="D1569" s="64" t="s">
        <v>881</v>
      </c>
      <c r="E1569" s="64">
        <v>42535</v>
      </c>
      <c r="F1569" s="73" t="s">
        <v>777</v>
      </c>
      <c r="G1569" s="982" t="s">
        <v>1579</v>
      </c>
      <c r="H1569" s="73" t="s">
        <v>808</v>
      </c>
      <c r="I1569" s="439"/>
      <c r="J1569" s="439"/>
      <c r="K1569" s="430"/>
      <c r="L1569" s="439"/>
      <c r="M1569" s="65">
        <v>90000</v>
      </c>
      <c r="N1569" s="66" t="s">
        <v>9</v>
      </c>
      <c r="O1569" s="66" t="s">
        <v>63</v>
      </c>
      <c r="P1569" s="84" t="str">
        <f>IF(AND('331-CT'!$E$7=TH!H1569,OR(N1569="331",O1569="331")),"x","")</f>
        <v/>
      </c>
      <c r="Q1569" s="84" t="str">
        <f>IF(AND(B1569='111'!$L$11,OR($N1569=$Q$7,$O1569=$Q$7)),"x","")</f>
        <v/>
      </c>
      <c r="R1569" s="84" t="str">
        <f>IF(AND($N1569=$Q$7,$B1569&lt;'111'!$L$11),"x","")</f>
        <v/>
      </c>
      <c r="S1569" s="84" t="str">
        <f>IF(AND($O1569=$Q$7,$B1569&lt;'111'!$L$11),"x","")</f>
        <v/>
      </c>
      <c r="T1569" s="84" t="str">
        <f>IF(ISERROR(FIND('112'!$M$9,G1569,1)),"",IF((AND(FIND('112'!$M$9,G1569,1)&gt;=1,B1569='112'!$K$9,OR($N1569='112'!$I$6,$O1569='112'!$I$6))),"x",""))</f>
        <v/>
      </c>
      <c r="U1569" s="84" t="str">
        <f>IF(ISERROR(FIND('112'!$M$9,G1569,1)),"",IF((AND(LEFT(G1569,2)=LEFT('112'!$M$9,2),B1569&lt;'112'!$K$9,$N1569='112'!$I$6)),"x",""))</f>
        <v/>
      </c>
      <c r="V1569" s="84" t="str">
        <f>IF(ISERROR(FIND('112'!$M$9,G1569,1)),"",IF((AND(RIGHT(G1569,2)=RIGHT('112'!$M$9,2),B1569&lt;'112'!$K$9,$O1569='112'!$I$6)),"x",""))</f>
        <v/>
      </c>
      <c r="W1569" s="84" t="str">
        <f>IF(AND('341-CT'!$H$9=H1569,OR(LEFT(N1569,3)=$W$7,LEFT(O1569,3)=$W$7)),"x","")</f>
        <v/>
      </c>
      <c r="X1569" s="84" t="str">
        <f>IF(OR(TH!N1569=TH!$X$7,O1569=TH!$X$7),"x","")</f>
        <v/>
      </c>
      <c r="Y1569" s="84" t="str">
        <f>IF(AND(OR(N1569="131",O1569="131"),H1569='131-CT'!$H$9),"x","")</f>
        <v/>
      </c>
      <c r="Z1569" s="84"/>
      <c r="AA1569" s="84" t="str">
        <f>IF(AND(MONTH(E1569)='IN-NX'!$J$5,'IN-NX'!$D$7=D1569),"x","")</f>
        <v/>
      </c>
      <c r="AB1569" s="84" t="str">
        <f>IF(AND(OR(LEFT(TH!N1569,2)="15",LEFT(TH!O1569,2)="15"),LEFT(TH!O1569,3)&lt;&gt;"111",'152-CT'!$J$8=TH!F1569),"x","")</f>
        <v/>
      </c>
      <c r="AC1569" s="84" t="str">
        <f>IF(AND(OR(LEFT(TH!N1569,2)="15",LEFT(TH!O1569,2)="15"),TK!$E$7=TH!F1569),"x","")</f>
        <v/>
      </c>
      <c r="AD1569" s="84" t="str">
        <f>IF(AND(N1569="1521",MONTH(C1569)='BK-NL'!$M$11),"x","")</f>
        <v/>
      </c>
    </row>
    <row r="1570" spans="1:32" ht="15.75" hidden="1" customHeight="1">
      <c r="A1570" s="336" t="str">
        <f>IF(B1570&lt;&gt;"",IF(AND(B1570='IN-TC'!$S$4,OR(TH!N1570="1111",TH!O1570="1111")),TH!D1570,""),"")</f>
        <v/>
      </c>
      <c r="B1570" s="63">
        <f t="shared" si="220"/>
        <v>6</v>
      </c>
      <c r="C1570" s="64">
        <v>42536</v>
      </c>
      <c r="D1570" s="64" t="s">
        <v>882</v>
      </c>
      <c r="E1570" s="64">
        <v>42536</v>
      </c>
      <c r="F1570" s="73" t="s">
        <v>1015</v>
      </c>
      <c r="G1570" s="982" t="s">
        <v>1580</v>
      </c>
      <c r="H1570" s="73" t="s">
        <v>808</v>
      </c>
      <c r="I1570" s="439"/>
      <c r="J1570" s="439"/>
      <c r="K1570" s="430"/>
      <c r="L1570" s="439"/>
      <c r="M1570" s="65">
        <v>2011909</v>
      </c>
      <c r="N1570" s="66" t="s">
        <v>101</v>
      </c>
      <c r="O1570" s="66" t="s">
        <v>63</v>
      </c>
      <c r="P1570" s="84" t="str">
        <f>IF(AND('331-CT'!$E$7=TH!H1570,OR(N1570="331",O1570="331")),"x","")</f>
        <v/>
      </c>
      <c r="Q1570" s="84" t="str">
        <f>IF(AND(B1570='111'!$L$11,OR($N1570=$Q$7,$O1570=$Q$7)),"x","")</f>
        <v/>
      </c>
      <c r="R1570" s="84" t="str">
        <f>IF(AND($N1570=$Q$7,$B1570&lt;'111'!$L$11),"x","")</f>
        <v/>
      </c>
      <c r="S1570" s="84" t="str">
        <f>IF(AND($O1570=$Q$7,$B1570&lt;'111'!$L$11),"x","")</f>
        <v/>
      </c>
      <c r="T1570" s="84" t="str">
        <f>IF(ISERROR(FIND('112'!$M$9,G1570,1)),"",IF((AND(FIND('112'!$M$9,G1570,1)&gt;=1,B1570='112'!$K$9,OR($N1570='112'!$I$6,$O1570='112'!$I$6))),"x",""))</f>
        <v/>
      </c>
      <c r="U1570" s="84" t="str">
        <f>IF(ISERROR(FIND('112'!$M$9,G1570,1)),"",IF((AND(LEFT(G1570,2)=LEFT('112'!$M$9,2),B1570&lt;'112'!$K$9,$N1570='112'!$I$6)),"x",""))</f>
        <v/>
      </c>
      <c r="V1570" s="84" t="str">
        <f>IF(ISERROR(FIND('112'!$M$9,G1570,1)),"",IF((AND(RIGHT(G1570,2)=RIGHT('112'!$M$9,2),B1570&lt;'112'!$K$9,$O1570='112'!$I$6)),"x",""))</f>
        <v/>
      </c>
      <c r="W1570" s="84" t="str">
        <f>IF(AND('341-CT'!$H$9=H1570,OR(LEFT(N1570,3)=$W$7,LEFT(O1570,3)=$W$7)),"x","")</f>
        <v/>
      </c>
      <c r="X1570" s="84" t="str">
        <f>IF(OR(TH!N1570=TH!$X$7,O1570=TH!$X$7),"x","")</f>
        <v/>
      </c>
      <c r="Y1570" s="84" t="str">
        <f>IF(AND(OR(N1570="131",O1570="131"),H1570='131-CT'!$H$9),"x","")</f>
        <v/>
      </c>
      <c r="Z1570" s="84"/>
      <c r="AA1570" s="84" t="str">
        <f>IF(AND(MONTH(E1570)='IN-NX'!$J$5,'IN-NX'!$D$7=D1570),"x","")</f>
        <v/>
      </c>
      <c r="AB1570" s="84" t="str">
        <f>IF(AND(OR(LEFT(TH!N1570,2)="15",LEFT(TH!O1570,2)="15"),LEFT(TH!O1570,3)&lt;&gt;"111",'152-CT'!$J$8=TH!F1570),"x","")</f>
        <v/>
      </c>
      <c r="AC1570" s="84" t="str">
        <f>IF(AND(OR(LEFT(TH!N1570,2)="15",LEFT(TH!O1570,2)="15"),TK!$E$7=TH!F1570),"x","")</f>
        <v/>
      </c>
      <c r="AD1570" s="84" t="str">
        <f>IF(AND(N1570="1521",MONTH(C1570)='BK-NL'!$M$11),"x","")</f>
        <v/>
      </c>
      <c r="AF1570" s="330">
        <v>1</v>
      </c>
    </row>
    <row r="1571" spans="1:32" ht="15.75" hidden="1" customHeight="1">
      <c r="A1571" s="336" t="str">
        <f>IF(B1571&lt;&gt;"",IF(AND(B1571='IN-TC'!$S$4,OR(TH!N1571="1111",TH!O1571="1111")),TH!D1571,""),"")</f>
        <v/>
      </c>
      <c r="B1571" s="63">
        <f t="shared" si="220"/>
        <v>6</v>
      </c>
      <c r="C1571" s="64">
        <v>42536</v>
      </c>
      <c r="D1571" s="64" t="s">
        <v>882</v>
      </c>
      <c r="E1571" s="64">
        <v>42536</v>
      </c>
      <c r="F1571" s="73" t="s">
        <v>1016</v>
      </c>
      <c r="G1571" s="982" t="s">
        <v>1580</v>
      </c>
      <c r="H1571" s="73" t="s">
        <v>808</v>
      </c>
      <c r="I1571" s="439"/>
      <c r="J1571" s="439"/>
      <c r="K1571" s="430"/>
      <c r="L1571" s="439"/>
      <c r="M1571" s="65">
        <v>201191</v>
      </c>
      <c r="N1571" s="66" t="s">
        <v>9</v>
      </c>
      <c r="O1571" s="66" t="s">
        <v>63</v>
      </c>
      <c r="P1571" s="84" t="str">
        <f>IF(AND('331-CT'!$E$7=TH!H1571,OR(N1571="331",O1571="331")),"x","")</f>
        <v/>
      </c>
      <c r="Q1571" s="84" t="str">
        <f>IF(AND(B1571='111'!$L$11,OR($N1571=$Q$7,$O1571=$Q$7)),"x","")</f>
        <v/>
      </c>
      <c r="R1571" s="84" t="str">
        <f>IF(AND($N1571=$Q$7,$B1571&lt;'111'!$L$11),"x","")</f>
        <v/>
      </c>
      <c r="S1571" s="84" t="str">
        <f>IF(AND($O1571=$Q$7,$B1571&lt;'111'!$L$11),"x","")</f>
        <v/>
      </c>
      <c r="T1571" s="84" t="str">
        <f>IF(ISERROR(FIND('112'!$M$9,G1571,1)),"",IF((AND(FIND('112'!$M$9,G1571,1)&gt;=1,B1571='112'!$K$9,OR($N1571='112'!$I$6,$O1571='112'!$I$6))),"x",""))</f>
        <v/>
      </c>
      <c r="U1571" s="84" t="str">
        <f>IF(ISERROR(FIND('112'!$M$9,G1571,1)),"",IF((AND(LEFT(G1571,2)=LEFT('112'!$M$9,2),B1571&lt;'112'!$K$9,$N1571='112'!$I$6)),"x",""))</f>
        <v/>
      </c>
      <c r="V1571" s="84" t="str">
        <f>IF(ISERROR(FIND('112'!$M$9,G1571,1)),"",IF((AND(RIGHT(G1571,2)=RIGHT('112'!$M$9,2),B1571&lt;'112'!$K$9,$O1571='112'!$I$6)),"x",""))</f>
        <v/>
      </c>
      <c r="W1571" s="84" t="str">
        <f>IF(AND('341-CT'!$H$9=H1571,OR(LEFT(N1571,3)=$W$7,LEFT(O1571,3)=$W$7)),"x","")</f>
        <v/>
      </c>
      <c r="X1571" s="84" t="str">
        <f>IF(OR(TH!N1571=TH!$X$7,O1571=TH!$X$7),"x","")</f>
        <v/>
      </c>
      <c r="Y1571" s="84" t="str">
        <f>IF(AND(OR(N1571="131",O1571="131"),H1571='131-CT'!$H$9),"x","")</f>
        <v/>
      </c>
      <c r="Z1571" s="84"/>
      <c r="AA1571" s="84" t="str">
        <f>IF(AND(MONTH(E1571)='IN-NX'!$J$5,'IN-NX'!$D$7=D1571),"x","")</f>
        <v/>
      </c>
      <c r="AB1571" s="84" t="str">
        <f>IF(AND(OR(LEFT(TH!N1571,2)="15",LEFT(TH!O1571,2)="15"),LEFT(TH!O1571,3)&lt;&gt;"111",'152-CT'!$J$8=TH!F1571),"x","")</f>
        <v/>
      </c>
      <c r="AC1571" s="84" t="str">
        <f>IF(AND(OR(LEFT(TH!N1571,2)="15",LEFT(TH!O1571,2)="15"),TK!$E$7=TH!F1571),"x","")</f>
        <v/>
      </c>
      <c r="AD1571" s="84" t="str">
        <f>IF(AND(N1571="1521",MONTH(C1571)='BK-NL'!$M$11),"x","")</f>
        <v/>
      </c>
    </row>
    <row r="1572" spans="1:32" ht="15.75" hidden="1" customHeight="1">
      <c r="A1572" s="336" t="str">
        <f>IF(B1572&lt;&gt;"",IF(AND(B1572='IN-TC'!$S$4,OR(TH!N1572="1111",TH!O1572="1111")),TH!D1572,""),"")</f>
        <v/>
      </c>
      <c r="B1572" s="63">
        <f t="shared" si="220"/>
        <v>6</v>
      </c>
      <c r="C1572" s="64">
        <v>42536</v>
      </c>
      <c r="D1572" s="64" t="s">
        <v>909</v>
      </c>
      <c r="E1572" s="64">
        <v>42536</v>
      </c>
      <c r="F1572" s="73" t="s">
        <v>1146</v>
      </c>
      <c r="G1572" s="67" t="s">
        <v>919</v>
      </c>
      <c r="H1572" s="73" t="s">
        <v>763</v>
      </c>
      <c r="I1572" s="439"/>
      <c r="J1572" s="439"/>
      <c r="K1572" s="430"/>
      <c r="L1572" s="439"/>
      <c r="M1572" s="65">
        <v>460000000</v>
      </c>
      <c r="N1572" s="66" t="s">
        <v>63</v>
      </c>
      <c r="O1572" s="66" t="s">
        <v>26</v>
      </c>
      <c r="P1572" s="84" t="str">
        <f>IF(AND('331-CT'!$E$7=TH!H1572,OR(N1572="331",O1572="331")),"x","")</f>
        <v/>
      </c>
      <c r="Q1572" s="84" t="str">
        <f>IF(AND(B1572='111'!$L$11,OR($N1572=$Q$7,$O1572=$Q$7)),"x","")</f>
        <v/>
      </c>
      <c r="R1572" s="84" t="str">
        <f>IF(AND($N1572=$Q$7,$B1572&lt;'111'!$L$11),"x","")</f>
        <v/>
      </c>
      <c r="S1572" s="84" t="str">
        <f>IF(AND($O1572=$Q$7,$B1572&lt;'111'!$L$11),"x","")</f>
        <v/>
      </c>
      <c r="T1572" s="84" t="str">
        <f>IF(ISERROR(FIND('112'!$M$9,G1572,1)),"",IF((AND(FIND('112'!$M$9,G1572,1)&gt;=1,B1572='112'!$K$9,OR($N1572='112'!$I$6,$O1572='112'!$I$6))),"x",""))</f>
        <v>x</v>
      </c>
      <c r="U1572" s="84" t="str">
        <f>IF(ISERROR(FIND('112'!$M$9,G1572,1)),"",IF((AND(LEFT(G1572,2)=LEFT('112'!$M$9,2),B1572&lt;'112'!$K$9,$N1572='112'!$I$6)),"x",""))</f>
        <v/>
      </c>
      <c r="V1572" s="84" t="str">
        <f>IF(ISERROR(FIND('112'!$M$9,G1572,1)),"",IF((AND(RIGHT(G1572,2)=RIGHT('112'!$M$9,2),B1572&lt;'112'!$K$9,$O1572='112'!$I$6)),"x",""))</f>
        <v/>
      </c>
      <c r="W1572" s="84" t="str">
        <f>IF(AND('341-CT'!$H$9=H1572,OR(LEFT(N1572,3)=$W$7,LEFT(O1572,3)=$W$7)),"x","")</f>
        <v/>
      </c>
      <c r="X1572" s="84" t="str">
        <f>IF(OR(TH!N1572=TH!$X$7,O1572=TH!$X$7),"x","")</f>
        <v/>
      </c>
      <c r="Y1572" s="84" t="str">
        <f>IF(AND(OR(N1572="131",O1572="131"),H1572='131-CT'!$H$9),"x","")</f>
        <v/>
      </c>
      <c r="Z1572" s="84"/>
      <c r="AA1572" s="84" t="str">
        <f>IF(AND(MONTH(E1572)='IN-NX'!$J$5,'IN-NX'!$D$7=D1572),"x","")</f>
        <v/>
      </c>
      <c r="AB1572" s="84" t="str">
        <f>IF(AND(OR(LEFT(TH!N1572,2)="15",LEFT(TH!O1572,2)="15"),LEFT(TH!O1572,3)&lt;&gt;"111",'152-CT'!$J$8=TH!F1572),"x","")</f>
        <v/>
      </c>
      <c r="AC1572" s="84" t="str">
        <f>IF(AND(OR(LEFT(TH!N1572,2)="15",LEFT(TH!O1572,2)="15"),TK!$E$7=TH!F1572),"x","")</f>
        <v/>
      </c>
      <c r="AD1572" s="84" t="str">
        <f>IF(AND(N1572="1521",MONTH(C1572)='BK-NL'!$M$11),"x","")</f>
        <v/>
      </c>
    </row>
    <row r="1573" spans="1:32" ht="15.75" hidden="1" customHeight="1">
      <c r="A1573" s="336" t="str">
        <f>IF(B1573&lt;&gt;"",IF(AND(B1573='IN-TC'!$S$4,OR(TH!N1573="1111",TH!O1573="1111")),TH!D1573,""),"")</f>
        <v/>
      </c>
      <c r="B1573" s="63">
        <f t="shared" si="220"/>
        <v>6</v>
      </c>
      <c r="C1573" s="64">
        <v>42536</v>
      </c>
      <c r="D1573" s="64" t="s">
        <v>705</v>
      </c>
      <c r="E1573" s="64">
        <f t="shared" ref="E1573:E1602" si="221">C1573</f>
        <v>42536</v>
      </c>
      <c r="F1573" s="73" t="s">
        <v>1445</v>
      </c>
      <c r="G1573" s="67" t="s">
        <v>919</v>
      </c>
      <c r="H1573" s="73"/>
      <c r="I1573" s="439"/>
      <c r="J1573" s="439"/>
      <c r="K1573" s="430">
        <v>30000</v>
      </c>
      <c r="L1573" s="439">
        <v>22310</v>
      </c>
      <c r="M1573" s="65">
        <v>669300000</v>
      </c>
      <c r="N1573" s="66" t="s">
        <v>26</v>
      </c>
      <c r="O1573" s="66" t="s">
        <v>266</v>
      </c>
      <c r="P1573" s="84" t="str">
        <f>IF(AND('331-CT'!$E$7=TH!H1573,OR(N1573="331",O1573="331")),"x","")</f>
        <v/>
      </c>
      <c r="Q1573" s="84" t="str">
        <f>IF(AND(B1573='111'!$L$11,OR($N1573=$Q$7,$O1573=$Q$7)),"x","")</f>
        <v/>
      </c>
      <c r="R1573" s="84" t="str">
        <f>IF(AND($N1573=$Q$7,$B1573&lt;'111'!$L$11),"x","")</f>
        <v/>
      </c>
      <c r="S1573" s="84" t="str">
        <f>IF(AND($O1573=$Q$7,$B1573&lt;'111'!$L$11),"x","")</f>
        <v/>
      </c>
      <c r="T1573" s="84" t="str">
        <f>IF(ISERROR(FIND('112'!$M$9,G1573,1)),"",IF((AND(FIND('112'!$M$9,G1573,1)&gt;=1,B1573='112'!$K$9,OR($N1573='112'!$I$6,$O1573='112'!$I$6))),"x",""))</f>
        <v>x</v>
      </c>
      <c r="U1573" s="84" t="str">
        <f>IF(ISERROR(FIND('112'!$M$9,G1573,1)),"",IF((AND(LEFT(G1573,2)=LEFT('112'!$M$9,2),B1573&lt;'112'!$K$9,$N1573='112'!$I$6)),"x",""))</f>
        <v/>
      </c>
      <c r="V1573" s="84" t="str">
        <f>IF(ISERROR(FIND('112'!$M$9,G1573,1)),"",IF((AND(RIGHT(G1573,2)=RIGHT('112'!$M$9,2),B1573&lt;'112'!$K$9,$O1573='112'!$I$6)),"x",""))</f>
        <v/>
      </c>
      <c r="W1573" s="84" t="str">
        <f>IF(AND('341-CT'!$H$9=H1573,OR(LEFT(N1573,3)=$W$7,LEFT(O1573,3)=$W$7)),"x","")</f>
        <v/>
      </c>
      <c r="X1573" s="84" t="str">
        <f>IF(OR(TH!N1573=TH!$X$7,O1573=TH!$X$7),"x","")</f>
        <v/>
      </c>
      <c r="Y1573" s="84" t="str">
        <f>IF(AND(OR(N1573="131",O1573="131"),H1573='131-CT'!$H$9),"x","")</f>
        <v/>
      </c>
      <c r="Z1573" s="84"/>
      <c r="AA1573" s="84" t="str">
        <f>IF(AND(MONTH(E1573)='IN-NX'!$J$5,'IN-NX'!$D$7=D1573),"x","")</f>
        <v/>
      </c>
      <c r="AB1573" s="84" t="str">
        <f>IF(AND(OR(LEFT(TH!N1573,2)="15",LEFT(TH!O1573,2)="15"),LEFT(TH!O1573,3)&lt;&gt;"111",'152-CT'!$J$8=TH!F1573),"x","")</f>
        <v/>
      </c>
      <c r="AC1573" s="84" t="str">
        <f>IF(AND(OR(LEFT(TH!N1573,2)="15",LEFT(TH!O1573,2)="15"),TK!$E$7=TH!F1573),"x","")</f>
        <v/>
      </c>
      <c r="AD1573" s="84" t="str">
        <f>IF(AND(N1573="1521",MONTH(C1573)='BK-NL'!$M$11),"x","")</f>
        <v/>
      </c>
    </row>
    <row r="1574" spans="1:32" ht="15.75" hidden="1" customHeight="1">
      <c r="A1574" s="336" t="str">
        <f>IF(B1574&lt;&gt;"",IF(AND(B1574='IN-TC'!$S$4,OR(TH!N1574="1111",TH!O1574="1111")),TH!D1574,""),"")</f>
        <v/>
      </c>
      <c r="B1574" s="63">
        <f t="shared" si="220"/>
        <v>6</v>
      </c>
      <c r="C1574" s="64">
        <v>42536</v>
      </c>
      <c r="D1574" s="64" t="s">
        <v>702</v>
      </c>
      <c r="E1574" s="64">
        <f t="shared" si="221"/>
        <v>42536</v>
      </c>
      <c r="F1574" s="73" t="s">
        <v>1191</v>
      </c>
      <c r="G1574" s="67" t="s">
        <v>919</v>
      </c>
      <c r="H1574" s="344" t="s">
        <v>601</v>
      </c>
      <c r="I1574" s="439"/>
      <c r="J1574" s="439"/>
      <c r="K1574" s="430">
        <v>32451.62</v>
      </c>
      <c r="L1574" s="439">
        <v>22350</v>
      </c>
      <c r="M1574" s="65">
        <f t="shared" ref="M1574:M1579" si="222">ROUND(K1574*L1574,0)</f>
        <v>725293707</v>
      </c>
      <c r="N1574" s="66" t="s">
        <v>266</v>
      </c>
      <c r="O1574" s="66" t="s">
        <v>588</v>
      </c>
      <c r="P1574" s="84" t="str">
        <f>IF(AND('331-CT'!$E$7=TH!H1574,OR(N1574="331",O1574="331")),"x","")</f>
        <v/>
      </c>
      <c r="Q1574" s="84" t="str">
        <f>IF(AND(B1574='111'!$L$11,OR($N1574=$Q$7,$O1574=$Q$7)),"x","")</f>
        <v/>
      </c>
      <c r="R1574" s="84" t="str">
        <f>IF(AND($N1574=$Q$7,$B1574&lt;'111'!$L$11),"x","")</f>
        <v/>
      </c>
      <c r="S1574" s="84" t="str">
        <f>IF(AND($O1574=$Q$7,$B1574&lt;'111'!$L$11),"x","")</f>
        <v/>
      </c>
      <c r="T1574" s="84" t="str">
        <f>IF(ISERROR(FIND('112'!$M$9,G1574,1)),"",IF((AND(FIND('112'!$M$9,G1574,1)&gt;=1,B1574='112'!$K$9,OR($N1574='112'!$I$6,$O1574='112'!$I$6))),"x",""))</f>
        <v/>
      </c>
      <c r="U1574" s="84" t="str">
        <f>IF(ISERROR(FIND('112'!$M$9,G1574,1)),"",IF((AND(LEFT(G1574,2)=LEFT('112'!$M$9,2),B1574&lt;'112'!$K$9,$N1574='112'!$I$6)),"x",""))</f>
        <v/>
      </c>
      <c r="V1574" s="84" t="str">
        <f>IF(ISERROR(FIND('112'!$M$9,G1574,1)),"",IF((AND(RIGHT(G1574,2)=RIGHT('112'!$M$9,2),B1574&lt;'112'!$K$9,$O1574='112'!$I$6)),"x",""))</f>
        <v/>
      </c>
      <c r="W1574" s="84" t="str">
        <f>IF(AND('341-CT'!$H$9=H1574,OR(LEFT(N1574,3)=$W$7,LEFT(O1574,3)=$W$7)),"x","")</f>
        <v/>
      </c>
      <c r="X1574" s="84" t="str">
        <f>IF(OR(TH!N1574=TH!$X$7,O1574=TH!$X$7),"x","")</f>
        <v/>
      </c>
      <c r="Y1574" s="84" t="str">
        <f>IF(AND(OR(N1574="131",O1574="131"),H1574='131-CT'!$H$9),"x","")</f>
        <v>x</v>
      </c>
      <c r="Z1574" s="84"/>
      <c r="AA1574" s="84" t="str">
        <f>IF(AND(MONTH(E1574)='IN-NX'!$J$5,'IN-NX'!$D$7=D1574),"x","")</f>
        <v/>
      </c>
      <c r="AB1574" s="84" t="str">
        <f>IF(AND(OR(LEFT(TH!N1574,2)="15",LEFT(TH!O1574,2)="15"),LEFT(TH!O1574,3)&lt;&gt;"111",'152-CT'!$J$8=TH!F1574),"x","")</f>
        <v/>
      </c>
      <c r="AC1574" s="84" t="str">
        <f>IF(AND(OR(LEFT(TH!N1574,2)="15",LEFT(TH!O1574,2)="15"),TK!$E$7=TH!F1574),"x","")</f>
        <v/>
      </c>
      <c r="AD1574" s="84" t="str">
        <f>IF(AND(N1574="1521",MONTH(C1574)='BK-NL'!$M$11),"x","")</f>
        <v/>
      </c>
    </row>
    <row r="1575" spans="1:32" ht="15.75" hidden="1" customHeight="1">
      <c r="A1575" s="336" t="str">
        <f>IF(B1575&lt;&gt;"",IF(AND(B1575='IN-TC'!$S$4,OR(TH!N1575="1111",TH!O1575="1111")),TH!D1575,""),"")</f>
        <v/>
      </c>
      <c r="B1575" s="63">
        <f t="shared" si="220"/>
        <v>6</v>
      </c>
      <c r="C1575" s="64">
        <v>42536</v>
      </c>
      <c r="D1575" s="64" t="s">
        <v>582</v>
      </c>
      <c r="E1575" s="64">
        <f t="shared" si="221"/>
        <v>42536</v>
      </c>
      <c r="F1575" s="73" t="s">
        <v>614</v>
      </c>
      <c r="G1575" s="67" t="s">
        <v>919</v>
      </c>
      <c r="H1575" s="344" t="s">
        <v>601</v>
      </c>
      <c r="I1575" s="439"/>
      <c r="J1575" s="439"/>
      <c r="K1575" s="430">
        <v>10</v>
      </c>
      <c r="L1575" s="439">
        <v>22350</v>
      </c>
      <c r="M1575" s="65">
        <f t="shared" si="222"/>
        <v>223500</v>
      </c>
      <c r="N1575" s="66" t="s">
        <v>101</v>
      </c>
      <c r="O1575" s="66" t="s">
        <v>588</v>
      </c>
      <c r="P1575" s="84" t="str">
        <f>IF(AND('331-CT'!$E$7=TH!H1575,OR(N1575="331",O1575="331")),"x","")</f>
        <v/>
      </c>
      <c r="Q1575" s="84" t="str">
        <f>IF(AND(B1575='111'!$L$11,OR($N1575=$Q$7,$O1575=$Q$7)),"x","")</f>
        <v/>
      </c>
      <c r="R1575" s="84" t="str">
        <f>IF(AND($N1575=$Q$7,$B1575&lt;'111'!$L$11),"x","")</f>
        <v/>
      </c>
      <c r="S1575" s="84" t="str">
        <f>IF(AND($O1575=$Q$7,$B1575&lt;'111'!$L$11),"x","")</f>
        <v/>
      </c>
      <c r="T1575" s="84" t="str">
        <f>IF(ISERROR(FIND('112'!$M$9,G1575,1)),"",IF((AND(FIND('112'!$M$9,G1575,1)&gt;=1,B1575='112'!$K$9,OR($N1575='112'!$I$6,$O1575='112'!$I$6))),"x",""))</f>
        <v/>
      </c>
      <c r="U1575" s="84" t="str">
        <f>IF(ISERROR(FIND('112'!$M$9,G1575,1)),"",IF((AND(LEFT(G1575,2)=LEFT('112'!$M$9,2),B1575&lt;'112'!$K$9,$N1575='112'!$I$6)),"x",""))</f>
        <v/>
      </c>
      <c r="V1575" s="84" t="str">
        <f>IF(ISERROR(FIND('112'!$M$9,G1575,1)),"",IF((AND(RIGHT(G1575,2)=RIGHT('112'!$M$9,2),B1575&lt;'112'!$K$9,$O1575='112'!$I$6)),"x",""))</f>
        <v/>
      </c>
      <c r="W1575" s="84" t="str">
        <f>IF(AND('341-CT'!$H$9=H1575,OR(LEFT(N1575,3)=$W$7,LEFT(O1575,3)=$W$7)),"x","")</f>
        <v/>
      </c>
      <c r="X1575" s="84" t="str">
        <f>IF(OR(TH!N1575=TH!$X$7,O1575=TH!$X$7),"x","")</f>
        <v/>
      </c>
      <c r="Y1575" s="84" t="str">
        <f>IF(AND(OR(N1575="131",O1575="131"),H1575='131-CT'!$H$9),"x","")</f>
        <v>x</v>
      </c>
      <c r="Z1575" s="84"/>
      <c r="AA1575" s="84" t="str">
        <f>IF(AND(MONTH(E1575)='IN-NX'!$J$5,'IN-NX'!$D$7=D1575),"x","")</f>
        <v/>
      </c>
      <c r="AB1575" s="84" t="str">
        <f>IF(AND(OR(LEFT(TH!N1575,2)="15",LEFT(TH!O1575,2)="15"),LEFT(TH!O1575,3)&lt;&gt;"111",'152-CT'!$J$8=TH!F1575),"x","")</f>
        <v/>
      </c>
      <c r="AC1575" s="84" t="str">
        <f>IF(AND(OR(LEFT(TH!N1575,2)="15",LEFT(TH!O1575,2)="15"),TK!$E$7=TH!F1575),"x","")</f>
        <v/>
      </c>
      <c r="AD1575" s="84" t="str">
        <f>IF(AND(N1575="1521",MONTH(C1575)='BK-NL'!$M$11),"x","")</f>
        <v/>
      </c>
      <c r="AF1575" s="330">
        <v>1</v>
      </c>
    </row>
    <row r="1576" spans="1:32" ht="15.75" hidden="1" customHeight="1">
      <c r="A1576" s="336" t="str">
        <f>IF(B1576&lt;&gt;"",IF(AND(B1576='IN-TC'!$S$4,OR(TH!N1576="1111",TH!O1576="1111")),TH!D1576,""),"")</f>
        <v/>
      </c>
      <c r="B1576" s="63">
        <f t="shared" si="220"/>
        <v>6</v>
      </c>
      <c r="C1576" s="64">
        <v>42536</v>
      </c>
      <c r="D1576" s="64" t="s">
        <v>582</v>
      </c>
      <c r="E1576" s="64">
        <f t="shared" si="221"/>
        <v>42536</v>
      </c>
      <c r="F1576" s="73" t="s">
        <v>1194</v>
      </c>
      <c r="G1576" s="67" t="s">
        <v>919</v>
      </c>
      <c r="H1576" s="344" t="s">
        <v>601</v>
      </c>
      <c r="I1576" s="439"/>
      <c r="J1576" s="439"/>
      <c r="K1576" s="430">
        <v>1</v>
      </c>
      <c r="L1576" s="439">
        <v>22350</v>
      </c>
      <c r="M1576" s="65">
        <f t="shared" si="222"/>
        <v>22350</v>
      </c>
      <c r="N1576" s="66" t="s">
        <v>9</v>
      </c>
      <c r="O1576" s="66" t="s">
        <v>588</v>
      </c>
      <c r="P1576" s="84" t="str">
        <f>IF(AND('331-CT'!$E$7=TH!H1576,OR(N1576="331",O1576="331")),"x","")</f>
        <v/>
      </c>
      <c r="Q1576" s="84" t="str">
        <f>IF(AND(B1576='111'!$L$11,OR($N1576=$Q$7,$O1576=$Q$7)),"x","")</f>
        <v/>
      </c>
      <c r="R1576" s="84" t="str">
        <f>IF(AND($N1576=$Q$7,$B1576&lt;'111'!$L$11),"x","")</f>
        <v/>
      </c>
      <c r="S1576" s="84" t="str">
        <f>IF(AND($O1576=$Q$7,$B1576&lt;'111'!$L$11),"x","")</f>
        <v/>
      </c>
      <c r="T1576" s="84" t="str">
        <f>IF(ISERROR(FIND('112'!$M$9,G1576,1)),"",IF((AND(FIND('112'!$M$9,G1576,1)&gt;=1,B1576='112'!$K$9,OR($N1576='112'!$I$6,$O1576='112'!$I$6))),"x",""))</f>
        <v/>
      </c>
      <c r="U1576" s="84" t="str">
        <f>IF(ISERROR(FIND('112'!$M$9,G1576,1)),"",IF((AND(LEFT(G1576,2)=LEFT('112'!$M$9,2),B1576&lt;'112'!$K$9,$N1576='112'!$I$6)),"x",""))</f>
        <v/>
      </c>
      <c r="V1576" s="84" t="str">
        <f>IF(ISERROR(FIND('112'!$M$9,G1576,1)),"",IF((AND(RIGHT(G1576,2)=RIGHT('112'!$M$9,2),B1576&lt;'112'!$K$9,$O1576='112'!$I$6)),"x",""))</f>
        <v/>
      </c>
      <c r="W1576" s="84" t="str">
        <f>IF(AND('341-CT'!$H$9=H1576,OR(LEFT(N1576,3)=$W$7,LEFT(O1576,3)=$W$7)),"x","")</f>
        <v/>
      </c>
      <c r="X1576" s="84" t="str">
        <f>IF(OR(TH!N1576=TH!$X$7,O1576=TH!$X$7),"x","")</f>
        <v/>
      </c>
      <c r="Y1576" s="84" t="str">
        <f>IF(AND(OR(N1576="131",O1576="131"),H1576='131-CT'!$H$9),"x","")</f>
        <v>x</v>
      </c>
      <c r="Z1576" s="84"/>
      <c r="AA1576" s="84" t="str">
        <f>IF(AND(MONTH(E1576)='IN-NX'!$J$5,'IN-NX'!$D$7=D1576),"x","")</f>
        <v/>
      </c>
      <c r="AB1576" s="84" t="str">
        <f>IF(AND(OR(LEFT(TH!N1576,2)="15",LEFT(TH!O1576,2)="15"),LEFT(TH!O1576,3)&lt;&gt;"111",'152-CT'!$J$8=TH!F1576),"x","")</f>
        <v/>
      </c>
      <c r="AC1576" s="84" t="str">
        <f>IF(AND(OR(LEFT(TH!N1576,2)="15",LEFT(TH!O1576,2)="15"),TK!$E$7=TH!F1576),"x","")</f>
        <v/>
      </c>
      <c r="AD1576" s="84" t="str">
        <f>IF(AND(N1576="1521",MONTH(C1576)='BK-NL'!$M$11),"x","")</f>
        <v/>
      </c>
    </row>
    <row r="1577" spans="1:32" ht="15.75" hidden="1" customHeight="1">
      <c r="A1577" s="336" t="str">
        <f>IF(B1577&lt;&gt;"",IF(AND(B1577='IN-TC'!$S$4,OR(TH!N1577="1111",TH!O1577="1111")),TH!D1577,""),"")</f>
        <v/>
      </c>
      <c r="B1577" s="63">
        <f t="shared" si="220"/>
        <v>6</v>
      </c>
      <c r="C1577" s="64">
        <v>42536</v>
      </c>
      <c r="D1577" s="64" t="s">
        <v>582</v>
      </c>
      <c r="E1577" s="64">
        <f t="shared" si="221"/>
        <v>42536</v>
      </c>
      <c r="F1577" s="73" t="s">
        <v>615</v>
      </c>
      <c r="G1577" s="67" t="s">
        <v>919</v>
      </c>
      <c r="H1577" s="344" t="s">
        <v>601</v>
      </c>
      <c r="I1577" s="439"/>
      <c r="J1577" s="439"/>
      <c r="K1577" s="430">
        <v>27.62</v>
      </c>
      <c r="L1577" s="439">
        <v>22350</v>
      </c>
      <c r="M1577" s="65">
        <f t="shared" si="222"/>
        <v>617307</v>
      </c>
      <c r="N1577" s="66" t="s">
        <v>101</v>
      </c>
      <c r="O1577" s="66" t="s">
        <v>588</v>
      </c>
      <c r="P1577" s="84" t="str">
        <f>IF(AND('331-CT'!$E$7=TH!H1577,OR(N1577="331",O1577="331")),"x","")</f>
        <v/>
      </c>
      <c r="Q1577" s="84" t="str">
        <f>IF(AND(B1577='111'!$L$11,OR($N1577=$Q$7,$O1577=$Q$7)),"x","")</f>
        <v/>
      </c>
      <c r="R1577" s="84" t="str">
        <f>IF(AND($N1577=$Q$7,$B1577&lt;'111'!$L$11),"x","")</f>
        <v/>
      </c>
      <c r="S1577" s="84" t="str">
        <f>IF(AND($O1577=$Q$7,$B1577&lt;'111'!$L$11),"x","")</f>
        <v/>
      </c>
      <c r="T1577" s="84" t="str">
        <f>IF(ISERROR(FIND('112'!$M$9,G1577,1)),"",IF((AND(FIND('112'!$M$9,G1577,1)&gt;=1,B1577='112'!$K$9,OR($N1577='112'!$I$6,$O1577='112'!$I$6))),"x",""))</f>
        <v/>
      </c>
      <c r="U1577" s="84" t="str">
        <f>IF(ISERROR(FIND('112'!$M$9,G1577,1)),"",IF((AND(LEFT(G1577,2)=LEFT('112'!$M$9,2),B1577&lt;'112'!$K$9,$N1577='112'!$I$6)),"x",""))</f>
        <v/>
      </c>
      <c r="V1577" s="84" t="str">
        <f>IF(ISERROR(FIND('112'!$M$9,G1577,1)),"",IF((AND(RIGHT(G1577,2)=RIGHT('112'!$M$9,2),B1577&lt;'112'!$K$9,$O1577='112'!$I$6)),"x",""))</f>
        <v/>
      </c>
      <c r="W1577" s="84" t="str">
        <f>IF(AND('341-CT'!$H$9=H1577,OR(LEFT(N1577,3)=$W$7,LEFT(O1577,3)=$W$7)),"x","")</f>
        <v/>
      </c>
      <c r="X1577" s="84" t="str">
        <f>IF(OR(TH!N1577=TH!$X$7,O1577=TH!$X$7),"x","")</f>
        <v/>
      </c>
      <c r="Y1577" s="84" t="str">
        <f>IF(AND(OR(N1577="131",O1577="131"),H1577='131-CT'!$H$9),"x","")</f>
        <v>x</v>
      </c>
      <c r="Z1577" s="84"/>
      <c r="AA1577" s="84" t="str">
        <f>IF(AND(MONTH(E1577)='IN-NX'!$J$5,'IN-NX'!$D$7=D1577),"x","")</f>
        <v/>
      </c>
      <c r="AB1577" s="84" t="str">
        <f>IF(AND(OR(LEFT(TH!N1577,2)="15",LEFT(TH!O1577,2)="15"),LEFT(TH!O1577,3)&lt;&gt;"111",'152-CT'!$J$8=TH!F1577),"x","")</f>
        <v/>
      </c>
      <c r="AC1577" s="84" t="str">
        <f>IF(AND(OR(LEFT(TH!N1577,2)="15",LEFT(TH!O1577,2)="15"),TK!$E$7=TH!F1577),"x","")</f>
        <v/>
      </c>
      <c r="AD1577" s="84" t="str">
        <f>IF(AND(N1577="1521",MONTH(C1577)='BK-NL'!$M$11),"x","")</f>
        <v/>
      </c>
      <c r="AF1577" s="330">
        <v>1</v>
      </c>
    </row>
    <row r="1578" spans="1:32" ht="15.75" hidden="1" customHeight="1">
      <c r="A1578" s="336" t="str">
        <f>IF(B1578&lt;&gt;"",IF(AND(B1578='IN-TC'!$S$4,OR(TH!N1578="1111",TH!O1578="1111")),TH!D1578,""),"")</f>
        <v/>
      </c>
      <c r="B1578" s="63">
        <f t="shared" si="220"/>
        <v>6</v>
      </c>
      <c r="C1578" s="64">
        <v>42536</v>
      </c>
      <c r="D1578" s="64" t="s">
        <v>582</v>
      </c>
      <c r="E1578" s="64">
        <f t="shared" si="221"/>
        <v>42536</v>
      </c>
      <c r="F1578" s="73" t="s">
        <v>1318</v>
      </c>
      <c r="G1578" s="67" t="s">
        <v>919</v>
      </c>
      <c r="H1578" s="344" t="s">
        <v>601</v>
      </c>
      <c r="I1578" s="439"/>
      <c r="J1578" s="439"/>
      <c r="K1578" s="430">
        <v>2.76</v>
      </c>
      <c r="L1578" s="439">
        <v>22350</v>
      </c>
      <c r="M1578" s="65">
        <f t="shared" si="222"/>
        <v>61686</v>
      </c>
      <c r="N1578" s="66" t="s">
        <v>9</v>
      </c>
      <c r="O1578" s="66" t="s">
        <v>588</v>
      </c>
      <c r="P1578" s="84" t="str">
        <f>IF(AND('331-CT'!$E$7=TH!H1578,OR(N1578="331",O1578="331")),"x","")</f>
        <v/>
      </c>
      <c r="Q1578" s="84" t="str">
        <f>IF(AND(B1578='111'!$L$11,OR($N1578=$Q$7,$O1578=$Q$7)),"x","")</f>
        <v/>
      </c>
      <c r="R1578" s="84" t="str">
        <f>IF(AND($N1578=$Q$7,$B1578&lt;'111'!$L$11),"x","")</f>
        <v/>
      </c>
      <c r="S1578" s="84" t="str">
        <f>IF(AND($O1578=$Q$7,$B1578&lt;'111'!$L$11),"x","")</f>
        <v/>
      </c>
      <c r="T1578" s="84" t="str">
        <f>IF(ISERROR(FIND('112'!$M$9,G1578,1)),"",IF((AND(FIND('112'!$M$9,G1578,1)&gt;=1,B1578='112'!$K$9,OR($N1578='112'!$I$6,$O1578='112'!$I$6))),"x",""))</f>
        <v/>
      </c>
      <c r="U1578" s="84" t="str">
        <f>IF(ISERROR(FIND('112'!$M$9,G1578,1)),"",IF((AND(LEFT(G1578,2)=LEFT('112'!$M$9,2),B1578&lt;'112'!$K$9,$N1578='112'!$I$6)),"x",""))</f>
        <v/>
      </c>
      <c r="V1578" s="84" t="str">
        <f>IF(ISERROR(FIND('112'!$M$9,G1578,1)),"",IF((AND(RIGHT(G1578,2)=RIGHT('112'!$M$9,2),B1578&lt;'112'!$K$9,$O1578='112'!$I$6)),"x",""))</f>
        <v/>
      </c>
      <c r="W1578" s="84" t="str">
        <f>IF(AND('341-CT'!$H$9=H1578,OR(LEFT(N1578,3)=$W$7,LEFT(O1578,3)=$W$7)),"x","")</f>
        <v/>
      </c>
      <c r="X1578" s="84" t="str">
        <f>IF(OR(TH!N1578=TH!$X$7,O1578=TH!$X$7),"x","")</f>
        <v/>
      </c>
      <c r="Y1578" s="84" t="str">
        <f>IF(AND(OR(N1578="131",O1578="131"),H1578='131-CT'!$H$9),"x","")</f>
        <v>x</v>
      </c>
      <c r="Z1578" s="84"/>
      <c r="AA1578" s="84" t="str">
        <f>IF(AND(MONTH(E1578)='IN-NX'!$J$5,'IN-NX'!$D$7=D1578),"x","")</f>
        <v/>
      </c>
      <c r="AB1578" s="84" t="str">
        <f>IF(AND(OR(LEFT(TH!N1578,2)="15",LEFT(TH!O1578,2)="15"),LEFT(TH!O1578,3)&lt;&gt;"111",'152-CT'!$J$8=TH!F1578),"x","")</f>
        <v/>
      </c>
      <c r="AC1578" s="84" t="str">
        <f>IF(AND(OR(LEFT(TH!N1578,2)="15",LEFT(TH!O1578,2)="15"),TK!$E$7=TH!F1578),"x","")</f>
        <v/>
      </c>
      <c r="AD1578" s="84" t="str">
        <f>IF(AND(N1578="1521",MONTH(C1578)='BK-NL'!$M$11),"x","")</f>
        <v/>
      </c>
    </row>
    <row r="1579" spans="1:32" ht="15.75" hidden="1" customHeight="1">
      <c r="A1579" s="336" t="str">
        <f>IF(B1579&lt;&gt;"",IF(AND(B1579='IN-TC'!$S$4,OR(TH!N1579="1111",TH!O1579="1111")),TH!D1579,""),"")</f>
        <v/>
      </c>
      <c r="B1579" s="63">
        <f t="shared" si="220"/>
        <v>6</v>
      </c>
      <c r="C1579" s="64">
        <v>42536</v>
      </c>
      <c r="D1579" s="64" t="s">
        <v>582</v>
      </c>
      <c r="E1579" s="64">
        <f t="shared" si="221"/>
        <v>42536</v>
      </c>
      <c r="F1579" s="73" t="s">
        <v>1520</v>
      </c>
      <c r="G1579" s="67" t="s">
        <v>919</v>
      </c>
      <c r="H1579" s="344" t="s">
        <v>601</v>
      </c>
      <c r="I1579" s="439"/>
      <c r="J1579" s="439"/>
      <c r="K1579" s="430">
        <v>35</v>
      </c>
      <c r="L1579" s="439">
        <v>22350</v>
      </c>
      <c r="M1579" s="65">
        <f t="shared" si="222"/>
        <v>782250</v>
      </c>
      <c r="N1579" s="66" t="s">
        <v>101</v>
      </c>
      <c r="O1579" s="66" t="s">
        <v>588</v>
      </c>
      <c r="P1579" s="84" t="str">
        <f>IF(AND('331-CT'!$E$7=TH!H1579,OR(N1579="331",O1579="331")),"x","")</f>
        <v/>
      </c>
      <c r="Q1579" s="84" t="str">
        <f>IF(AND(B1579='111'!$L$11,OR($N1579=$Q$7,$O1579=$Q$7)),"x","")</f>
        <v/>
      </c>
      <c r="R1579" s="84" t="str">
        <f>IF(AND($N1579=$Q$7,$B1579&lt;'111'!$L$11),"x","")</f>
        <v/>
      </c>
      <c r="S1579" s="84" t="str">
        <f>IF(AND($O1579=$Q$7,$B1579&lt;'111'!$L$11),"x","")</f>
        <v/>
      </c>
      <c r="T1579" s="84" t="str">
        <f>IF(ISERROR(FIND('112'!$M$9,G1579,1)),"",IF((AND(FIND('112'!$M$9,G1579,1)&gt;=1,B1579='112'!$K$9,OR($N1579='112'!$I$6,$O1579='112'!$I$6))),"x",""))</f>
        <v/>
      </c>
      <c r="U1579" s="84" t="str">
        <f>IF(ISERROR(FIND('112'!$M$9,G1579,1)),"",IF((AND(LEFT(G1579,2)=LEFT('112'!$M$9,2),B1579&lt;'112'!$K$9,$N1579='112'!$I$6)),"x",""))</f>
        <v/>
      </c>
      <c r="V1579" s="84" t="str">
        <f>IF(ISERROR(FIND('112'!$M$9,G1579,1)),"",IF((AND(RIGHT(G1579,2)=RIGHT('112'!$M$9,2),B1579&lt;'112'!$K$9,$O1579='112'!$I$6)),"x",""))</f>
        <v/>
      </c>
      <c r="W1579" s="84" t="str">
        <f>IF(AND('341-CT'!$H$9=H1579,OR(LEFT(N1579,3)=$W$7,LEFT(O1579,3)=$W$7)),"x","")</f>
        <v/>
      </c>
      <c r="X1579" s="84" t="str">
        <f>IF(OR(TH!N1579=TH!$X$7,O1579=TH!$X$7),"x","")</f>
        <v/>
      </c>
      <c r="Y1579" s="84" t="str">
        <f>IF(AND(OR(N1579="131",O1579="131"),H1579='131-CT'!$H$9),"x","")</f>
        <v>x</v>
      </c>
      <c r="Z1579" s="84"/>
      <c r="AA1579" s="84" t="str">
        <f>IF(AND(MONTH(E1579)='IN-NX'!$J$5,'IN-NX'!$D$7=D1579),"x","")</f>
        <v/>
      </c>
      <c r="AB1579" s="84" t="str">
        <f>IF(AND(OR(LEFT(TH!N1579,2)="15",LEFT(TH!O1579,2)="15"),LEFT(TH!O1579,3)&lt;&gt;"111",'152-CT'!$J$8=TH!F1579),"x","")</f>
        <v/>
      </c>
      <c r="AC1579" s="84" t="str">
        <f>IF(AND(OR(LEFT(TH!N1579,2)="15",LEFT(TH!O1579,2)="15"),TK!$E$7=TH!F1579),"x","")</f>
        <v/>
      </c>
      <c r="AD1579" s="84" t="str">
        <f>IF(AND(N1579="1521",MONTH(C1579)='BK-NL'!$M$11),"x","")</f>
        <v/>
      </c>
    </row>
    <row r="1580" spans="1:32" ht="15.75" hidden="1" customHeight="1">
      <c r="A1580" s="336" t="str">
        <f>IF(B1580&lt;&gt;"",IF(AND(B1580='IN-TC'!$S$4,OR(TH!N1580="1111",TH!O1580="1111")),TH!D1580,""),"")</f>
        <v/>
      </c>
      <c r="B1580" s="63">
        <f t="shared" si="220"/>
        <v>6</v>
      </c>
      <c r="C1580" s="64">
        <v>42536</v>
      </c>
      <c r="D1580" s="64" t="s">
        <v>705</v>
      </c>
      <c r="E1580" s="64">
        <f t="shared" si="221"/>
        <v>42536</v>
      </c>
      <c r="F1580" s="73" t="s">
        <v>1643</v>
      </c>
      <c r="G1580" s="67" t="s">
        <v>919</v>
      </c>
      <c r="H1580" s="73"/>
      <c r="I1580" s="439"/>
      <c r="J1580" s="439"/>
      <c r="K1580" s="430"/>
      <c r="L1580" s="439"/>
      <c r="M1580" s="65">
        <v>50000</v>
      </c>
      <c r="N1580" s="66" t="s">
        <v>101</v>
      </c>
      <c r="O1580" s="66" t="s">
        <v>26</v>
      </c>
      <c r="P1580" s="84" t="str">
        <f>IF(AND('331-CT'!$E$7=TH!H1580,OR(N1580="331",O1580="331")),"x","")</f>
        <v/>
      </c>
      <c r="Q1580" s="84" t="str">
        <f>IF(AND(B1580='111'!$L$11,OR($N1580=$Q$7,$O1580=$Q$7)),"x","")</f>
        <v/>
      </c>
      <c r="R1580" s="84" t="str">
        <f>IF(AND($N1580=$Q$7,$B1580&lt;'111'!$L$11),"x","")</f>
        <v/>
      </c>
      <c r="S1580" s="84" t="str">
        <f>IF(AND($O1580=$Q$7,$B1580&lt;'111'!$L$11),"x","")</f>
        <v/>
      </c>
      <c r="T1580" s="84" t="str">
        <f>IF(ISERROR(FIND('112'!$M$9,G1580,1)),"",IF((AND(FIND('112'!$M$9,G1580,1)&gt;=1,B1580='112'!$K$9,OR($N1580='112'!$I$6,$O1580='112'!$I$6))),"x",""))</f>
        <v>x</v>
      </c>
      <c r="U1580" s="84" t="str">
        <f>IF(ISERROR(FIND('112'!$M$9,G1580,1)),"",IF((AND(LEFT(G1580,2)=LEFT('112'!$M$9,2),B1580&lt;'112'!$K$9,$N1580='112'!$I$6)),"x",""))</f>
        <v/>
      </c>
      <c r="V1580" s="84" t="str">
        <f>IF(ISERROR(FIND('112'!$M$9,G1580,1)),"",IF((AND(RIGHT(G1580,2)=RIGHT('112'!$M$9,2),B1580&lt;'112'!$K$9,$O1580='112'!$I$6)),"x",""))</f>
        <v/>
      </c>
      <c r="W1580" s="84" t="str">
        <f>IF(AND('341-CT'!$H$9=H1580,OR(LEFT(N1580,3)=$W$7,LEFT(O1580,3)=$W$7)),"x","")</f>
        <v/>
      </c>
      <c r="X1580" s="84" t="str">
        <f>IF(OR(TH!N1580=TH!$X$7,O1580=TH!$X$7),"x","")</f>
        <v/>
      </c>
      <c r="Y1580" s="84" t="str">
        <f>IF(AND(OR(N1580="131",O1580="131"),H1580='131-CT'!$H$9),"x","")</f>
        <v/>
      </c>
      <c r="Z1580" s="84"/>
      <c r="AA1580" s="84" t="str">
        <f>IF(AND(MONTH(E1580)='IN-NX'!$J$5,'IN-NX'!$D$7=D1580),"x","")</f>
        <v/>
      </c>
      <c r="AB1580" s="84" t="str">
        <f>IF(AND(OR(LEFT(TH!N1580,2)="15",LEFT(TH!O1580,2)="15"),LEFT(TH!O1580,3)&lt;&gt;"111",'152-CT'!$J$8=TH!F1580),"x","")</f>
        <v/>
      </c>
      <c r="AC1580" s="84" t="str">
        <f>IF(AND(OR(LEFT(TH!N1580,2)="15",LEFT(TH!O1580,2)="15"),TK!$E$7=TH!F1580),"x","")</f>
        <v/>
      </c>
      <c r="AD1580" s="84" t="str">
        <f>IF(AND(N1580="1521",MONTH(C1580)='BK-NL'!$M$11),"x","")</f>
        <v/>
      </c>
      <c r="AF1580" s="330">
        <v>1</v>
      </c>
    </row>
    <row r="1581" spans="1:32" ht="15.75" hidden="1" customHeight="1">
      <c r="A1581" s="336" t="str">
        <f>IF(B1581&lt;&gt;"",IF(AND(B1581='IN-TC'!$S$4,OR(TH!N1581="1111",TH!O1581="1111")),TH!D1581,""),"")</f>
        <v/>
      </c>
      <c r="B1581" s="63">
        <f t="shared" si="220"/>
        <v>6</v>
      </c>
      <c r="C1581" s="64">
        <v>42536</v>
      </c>
      <c r="D1581" s="64" t="s">
        <v>705</v>
      </c>
      <c r="E1581" s="64">
        <f t="shared" si="221"/>
        <v>42536</v>
      </c>
      <c r="F1581" s="73" t="s">
        <v>1204</v>
      </c>
      <c r="G1581" s="67" t="s">
        <v>919</v>
      </c>
      <c r="H1581" s="73"/>
      <c r="I1581" s="439"/>
      <c r="J1581" s="439"/>
      <c r="K1581" s="430"/>
      <c r="L1581" s="439"/>
      <c r="M1581" s="65">
        <v>5000</v>
      </c>
      <c r="N1581" s="66" t="s">
        <v>9</v>
      </c>
      <c r="O1581" s="66" t="s">
        <v>26</v>
      </c>
      <c r="P1581" s="84" t="str">
        <f>IF(AND('331-CT'!$E$7=TH!H1581,OR(N1581="331",O1581="331")),"x","")</f>
        <v/>
      </c>
      <c r="Q1581" s="84" t="str">
        <f>IF(AND(B1581='111'!$L$11,OR($N1581=$Q$7,$O1581=$Q$7)),"x","")</f>
        <v/>
      </c>
      <c r="R1581" s="84" t="str">
        <f>IF(AND($N1581=$Q$7,$B1581&lt;'111'!$L$11),"x","")</f>
        <v/>
      </c>
      <c r="S1581" s="84" t="str">
        <f>IF(AND($O1581=$Q$7,$B1581&lt;'111'!$L$11),"x","")</f>
        <v/>
      </c>
      <c r="T1581" s="84" t="str">
        <f>IF(ISERROR(FIND('112'!$M$9,G1581,1)),"",IF((AND(FIND('112'!$M$9,G1581,1)&gt;=1,B1581='112'!$K$9,OR($N1581='112'!$I$6,$O1581='112'!$I$6))),"x",""))</f>
        <v>x</v>
      </c>
      <c r="U1581" s="84" t="str">
        <f>IF(ISERROR(FIND('112'!$M$9,G1581,1)),"",IF((AND(LEFT(G1581,2)=LEFT('112'!$M$9,2),B1581&lt;'112'!$K$9,$N1581='112'!$I$6)),"x",""))</f>
        <v/>
      </c>
      <c r="V1581" s="84" t="str">
        <f>IF(ISERROR(FIND('112'!$M$9,G1581,1)),"",IF((AND(RIGHT(G1581,2)=RIGHT('112'!$M$9,2),B1581&lt;'112'!$K$9,$O1581='112'!$I$6)),"x",""))</f>
        <v/>
      </c>
      <c r="W1581" s="84" t="str">
        <f>IF(AND('341-CT'!$H$9=H1581,OR(LEFT(N1581,3)=$W$7,LEFT(O1581,3)=$W$7)),"x","")</f>
        <v/>
      </c>
      <c r="X1581" s="84" t="str">
        <f>IF(OR(TH!N1581=TH!$X$7,O1581=TH!$X$7),"x","")</f>
        <v/>
      </c>
      <c r="Y1581" s="84" t="str">
        <f>IF(AND(OR(N1581="131",O1581="131"),H1581='131-CT'!$H$9),"x","")</f>
        <v/>
      </c>
      <c r="Z1581" s="84"/>
      <c r="AA1581" s="84" t="str">
        <f>IF(AND(MONTH(E1581)='IN-NX'!$J$5,'IN-NX'!$D$7=D1581),"x","")</f>
        <v/>
      </c>
      <c r="AB1581" s="84" t="str">
        <f>IF(AND(OR(LEFT(TH!N1581,2)="15",LEFT(TH!O1581,2)="15"),LEFT(TH!O1581,3)&lt;&gt;"111",'152-CT'!$J$8=TH!F1581),"x","")</f>
        <v/>
      </c>
      <c r="AC1581" s="84" t="str">
        <f>IF(AND(OR(LEFT(TH!N1581,2)="15",LEFT(TH!O1581,2)="15"),TK!$E$7=TH!F1581),"x","")</f>
        <v/>
      </c>
      <c r="AD1581" s="84" t="str">
        <f>IF(AND(N1581="1521",MONTH(C1581)='BK-NL'!$M$11),"x","")</f>
        <v/>
      </c>
    </row>
    <row r="1582" spans="1:32" ht="15.75" hidden="1" customHeight="1">
      <c r="A1582" s="336" t="str">
        <f>IF(B1582&lt;&gt;"",IF(AND(B1582='IN-TC'!$S$4,OR(TH!N1582="1111",TH!O1582="1111")),TH!D1582,""),"")</f>
        <v/>
      </c>
      <c r="B1582" s="63">
        <f t="shared" si="220"/>
        <v>6</v>
      </c>
      <c r="C1582" s="64">
        <v>42537</v>
      </c>
      <c r="D1582" s="64" t="s">
        <v>705</v>
      </c>
      <c r="E1582" s="64">
        <f t="shared" si="221"/>
        <v>42537</v>
      </c>
      <c r="F1582" s="73" t="s">
        <v>1213</v>
      </c>
      <c r="G1582" s="67" t="s">
        <v>919</v>
      </c>
      <c r="H1582" s="73"/>
      <c r="I1582" s="439"/>
      <c r="J1582" s="439"/>
      <c r="K1582" s="430"/>
      <c r="L1582" s="439"/>
      <c r="M1582" s="1157">
        <v>90000000</v>
      </c>
      <c r="N1582" s="66" t="s">
        <v>593</v>
      </c>
      <c r="O1582" s="66" t="s">
        <v>26</v>
      </c>
      <c r="P1582" s="84" t="str">
        <f>IF(AND('331-CT'!$E$7=TH!H1582,OR(N1582="331",O1582="331")),"x","")</f>
        <v/>
      </c>
      <c r="Q1582" s="84" t="str">
        <f>IF(AND(B1582='111'!$L$11,OR($N1582=$Q$7,$O1582=$Q$7)),"x","")</f>
        <v/>
      </c>
      <c r="R1582" s="84" t="str">
        <f>IF(AND($N1582=$Q$7,$B1582&lt;'111'!$L$11),"x","")</f>
        <v/>
      </c>
      <c r="S1582" s="84" t="str">
        <f>IF(AND($O1582=$Q$7,$B1582&lt;'111'!$L$11),"x","")</f>
        <v/>
      </c>
      <c r="T1582" s="84" t="str">
        <f>IF(ISERROR(FIND('112'!$M$9,G1582,1)),"",IF((AND(FIND('112'!$M$9,G1582,1)&gt;=1,B1582='112'!$K$9,OR($N1582='112'!$I$6,$O1582='112'!$I$6))),"x",""))</f>
        <v>x</v>
      </c>
      <c r="U1582" s="84" t="str">
        <f>IF(ISERROR(FIND('112'!$M$9,G1582,1)),"",IF((AND(LEFT(G1582,2)=LEFT('112'!$M$9,2),B1582&lt;'112'!$K$9,$N1582='112'!$I$6)),"x",""))</f>
        <v/>
      </c>
      <c r="V1582" s="84" t="str">
        <f>IF(ISERROR(FIND('112'!$M$9,G1582,1)),"",IF((AND(RIGHT(G1582,2)=RIGHT('112'!$M$9,2),B1582&lt;'112'!$K$9,$O1582='112'!$I$6)),"x",""))</f>
        <v/>
      </c>
      <c r="W1582" s="84" t="str">
        <f>IF(AND('341-CT'!$H$9=H1582,OR(LEFT(N1582,3)=$W$7,LEFT(O1582,3)=$W$7)),"x","")</f>
        <v/>
      </c>
      <c r="X1582" s="84" t="str">
        <f>IF(OR(TH!N1582=TH!$X$7,O1582=TH!$X$7),"x","")</f>
        <v/>
      </c>
      <c r="Y1582" s="84" t="str">
        <f>IF(AND(OR(N1582="131",O1582="131"),H1582='131-CT'!$H$9),"x","")</f>
        <v/>
      </c>
      <c r="Z1582" s="84"/>
      <c r="AA1582" s="84" t="str">
        <f>IF(AND(MONTH(E1582)='IN-NX'!$J$5,'IN-NX'!$D$7=D1582),"x","")</f>
        <v/>
      </c>
      <c r="AB1582" s="84" t="str">
        <f>IF(AND(OR(LEFT(TH!N1582,2)="15",LEFT(TH!O1582,2)="15"),LEFT(TH!O1582,3)&lt;&gt;"111",'152-CT'!$J$8=TH!F1582),"x","")</f>
        <v/>
      </c>
      <c r="AC1582" s="84" t="str">
        <f>IF(AND(OR(LEFT(TH!N1582,2)="15",LEFT(TH!O1582,2)="15"),TK!$E$7=TH!F1582),"x","")</f>
        <v/>
      </c>
      <c r="AD1582" s="84" t="str">
        <f>IF(AND(N1582="1521",MONTH(C1582)='BK-NL'!$M$11),"x","")</f>
        <v/>
      </c>
      <c r="AE1582" s="351"/>
      <c r="AF1582" s="351"/>
    </row>
    <row r="1583" spans="1:32" ht="15.75" hidden="1" customHeight="1">
      <c r="A1583" s="336" t="str">
        <f>IF(B1583&lt;&gt;"",IF(AND(B1583='IN-TC'!$S$4,OR(TH!N1583="1111",TH!O1583="1111")),TH!D1583,""),"")</f>
        <v/>
      </c>
      <c r="B1583" s="63">
        <f t="shared" si="220"/>
        <v>6</v>
      </c>
      <c r="C1583" s="64">
        <v>42537</v>
      </c>
      <c r="D1583" s="64" t="s">
        <v>705</v>
      </c>
      <c r="E1583" s="64">
        <f t="shared" si="221"/>
        <v>42537</v>
      </c>
      <c r="F1583" s="73" t="s">
        <v>1176</v>
      </c>
      <c r="G1583" s="67" t="s">
        <v>919</v>
      </c>
      <c r="H1583" s="73"/>
      <c r="I1583" s="439"/>
      <c r="J1583" s="439"/>
      <c r="K1583" s="430"/>
      <c r="L1583" s="439"/>
      <c r="M1583" s="65">
        <v>45000</v>
      </c>
      <c r="N1583" s="66" t="s">
        <v>101</v>
      </c>
      <c r="O1583" s="66" t="s">
        <v>26</v>
      </c>
      <c r="P1583" s="84" t="str">
        <f>IF(AND('331-CT'!$E$7=TH!H1583,OR(N1583="331",O1583="331")),"x","")</f>
        <v/>
      </c>
      <c r="Q1583" s="84" t="str">
        <f>IF(AND(B1583='111'!$L$11,OR($N1583=$Q$7,$O1583=$Q$7)),"x","")</f>
        <v/>
      </c>
      <c r="R1583" s="84" t="str">
        <f>IF(AND($N1583=$Q$7,$B1583&lt;'111'!$L$11),"x","")</f>
        <v/>
      </c>
      <c r="S1583" s="84" t="str">
        <f>IF(AND($O1583=$Q$7,$B1583&lt;'111'!$L$11),"x","")</f>
        <v/>
      </c>
      <c r="T1583" s="84" t="str">
        <f>IF(ISERROR(FIND('112'!$M$9,G1583,1)),"",IF((AND(FIND('112'!$M$9,G1583,1)&gt;=1,B1583='112'!$K$9,OR($N1583='112'!$I$6,$O1583='112'!$I$6))),"x",""))</f>
        <v>x</v>
      </c>
      <c r="U1583" s="84" t="str">
        <f>IF(ISERROR(FIND('112'!$M$9,G1583,1)),"",IF((AND(LEFT(G1583,2)=LEFT('112'!$M$9,2),B1583&lt;'112'!$K$9,$N1583='112'!$I$6)),"x",""))</f>
        <v/>
      </c>
      <c r="V1583" s="84" t="str">
        <f>IF(ISERROR(FIND('112'!$M$9,G1583,1)),"",IF((AND(RIGHT(G1583,2)=RIGHT('112'!$M$9,2),B1583&lt;'112'!$K$9,$O1583='112'!$I$6)),"x",""))</f>
        <v/>
      </c>
      <c r="W1583" s="84" t="str">
        <f>IF(AND('341-CT'!$H$9=H1583,OR(LEFT(N1583,3)=$W$7,LEFT(O1583,3)=$W$7)),"x","")</f>
        <v/>
      </c>
      <c r="X1583" s="84" t="str">
        <f>IF(OR(TH!N1583=TH!$X$7,O1583=TH!$X$7),"x","")</f>
        <v/>
      </c>
      <c r="Y1583" s="84" t="str">
        <f>IF(AND(OR(N1583="131",O1583="131"),H1583='131-CT'!$H$9),"x","")</f>
        <v/>
      </c>
      <c r="Z1583" s="84"/>
      <c r="AA1583" s="84" t="str">
        <f>IF(AND(MONTH(E1583)='IN-NX'!$J$5,'IN-NX'!$D$7=D1583),"x","")</f>
        <v/>
      </c>
      <c r="AB1583" s="84" t="str">
        <f>IF(AND(OR(LEFT(TH!N1583,2)="15",LEFT(TH!O1583,2)="15"),LEFT(TH!O1583,3)&lt;&gt;"111",'152-CT'!$J$8=TH!F1583),"x","")</f>
        <v/>
      </c>
      <c r="AC1583" s="84" t="str">
        <f>IF(AND(OR(LEFT(TH!N1583,2)="15",LEFT(TH!O1583,2)="15"),TK!$E$7=TH!F1583),"x","")</f>
        <v/>
      </c>
      <c r="AD1583" s="84" t="str">
        <f>IF(AND(N1583="1521",MONTH(C1583)='BK-NL'!$M$11),"x","")</f>
        <v/>
      </c>
      <c r="AF1583" s="330">
        <v>1</v>
      </c>
    </row>
    <row r="1584" spans="1:32" s="1166" customFormat="1" ht="15.75" hidden="1" customHeight="1">
      <c r="A1584" s="336" t="str">
        <f>IF(B1584&lt;&gt;"",IF(AND(B1584='IN-TC'!$S$4,OR(TH!N1584="1111",TH!O1584="1111")),TH!D1584,""),"")</f>
        <v/>
      </c>
      <c r="B1584" s="63">
        <f t="shared" ref="B1584:B1612" si="223">IF(C1584&lt;&gt;"",MONTH(C1584),"")</f>
        <v>6</v>
      </c>
      <c r="C1584" s="64">
        <v>42537</v>
      </c>
      <c r="D1584" s="64" t="s">
        <v>705</v>
      </c>
      <c r="E1584" s="64">
        <f t="shared" si="221"/>
        <v>42537</v>
      </c>
      <c r="F1584" s="73" t="s">
        <v>1644</v>
      </c>
      <c r="G1584" s="67" t="s">
        <v>919</v>
      </c>
      <c r="H1584" s="73"/>
      <c r="I1584" s="439"/>
      <c r="J1584" s="439"/>
      <c r="K1584" s="430"/>
      <c r="L1584" s="439"/>
      <c r="M1584" s="65">
        <v>4500</v>
      </c>
      <c r="N1584" s="66" t="s">
        <v>9</v>
      </c>
      <c r="O1584" s="66" t="s">
        <v>26</v>
      </c>
      <c r="P1584" s="84" t="str">
        <f>IF(AND('331-CT'!$E$7=TH!H1584,OR(N1584="331",O1584="331")),"x","")</f>
        <v/>
      </c>
      <c r="Q1584" s="84" t="str">
        <f>IF(AND(B1584='111'!$L$11,OR($N1584=$Q$7,$O1584=$Q$7)),"x","")</f>
        <v/>
      </c>
      <c r="R1584" s="84" t="str">
        <f>IF(AND($N1584=$Q$7,$B1584&lt;'111'!$L$11),"x","")</f>
        <v/>
      </c>
      <c r="S1584" s="84" t="str">
        <f>IF(AND($O1584=$Q$7,$B1584&lt;'111'!$L$11),"x","")</f>
        <v/>
      </c>
      <c r="T1584" s="84" t="str">
        <f>IF(ISERROR(FIND('112'!$M$9,G1584,1)),"",IF((AND(FIND('112'!$M$9,G1584,1)&gt;=1,B1584='112'!$K$9,OR($N1584='112'!$I$6,$O1584='112'!$I$6))),"x",""))</f>
        <v>x</v>
      </c>
      <c r="U1584" s="84" t="str">
        <f>IF(ISERROR(FIND('112'!$M$9,G1584,1)),"",IF((AND(LEFT(G1584,2)=LEFT('112'!$M$9,2),B1584&lt;'112'!$K$9,$N1584='112'!$I$6)),"x",""))</f>
        <v/>
      </c>
      <c r="V1584" s="84" t="str">
        <f>IF(ISERROR(FIND('112'!$M$9,G1584,1)),"",IF((AND(RIGHT(G1584,2)=RIGHT('112'!$M$9,2),B1584&lt;'112'!$K$9,$O1584='112'!$I$6)),"x",""))</f>
        <v/>
      </c>
      <c r="W1584" s="84" t="str">
        <f>IF(AND('341-CT'!$H$9=H1584,OR(LEFT(N1584,3)=$W$7,LEFT(O1584,3)=$W$7)),"x","")</f>
        <v/>
      </c>
      <c r="X1584" s="84" t="str">
        <f>IF(OR(TH!N1584=TH!$X$7,O1584=TH!$X$7),"x","")</f>
        <v/>
      </c>
      <c r="Y1584" s="84" t="str">
        <f>IF(AND(OR(N1584="131",O1584="131"),H1584='131-CT'!$H$9),"x","")</f>
        <v/>
      </c>
      <c r="Z1584" s="84"/>
      <c r="AA1584" s="84" t="str">
        <f>IF(AND(MONTH(E1584)='IN-NX'!$J$5,'IN-NX'!$D$7=D1584),"x","")</f>
        <v/>
      </c>
      <c r="AB1584" s="84" t="str">
        <f>IF(AND(OR(LEFT(TH!N1584,2)="15",LEFT(TH!O1584,2)="15"),LEFT(TH!O1584,3)&lt;&gt;"111",'152-CT'!$J$8=TH!F1584),"x","")</f>
        <v/>
      </c>
      <c r="AC1584" s="84" t="str">
        <f>IF(AND(OR(LEFT(TH!N1584,2)="15",LEFT(TH!O1584,2)="15"),TK!$E$7=TH!F1584),"x","")</f>
        <v/>
      </c>
      <c r="AD1584" s="84" t="str">
        <f>IF(AND(N1584="1521",MONTH(C1584)='BK-NL'!$M$11),"x","")</f>
        <v/>
      </c>
      <c r="AE1584" s="330"/>
      <c r="AF1584" s="330"/>
    </row>
    <row r="1585" spans="1:32" ht="15.75" hidden="1" customHeight="1">
      <c r="A1585" s="336" t="str">
        <f>IF(B1585&lt;&gt;"",IF(AND(B1585='IN-TC'!$S$4,OR(TH!N1585="1111",TH!O1585="1111")),TH!D1585,""),"")</f>
        <v/>
      </c>
      <c r="B1585" s="63">
        <f t="shared" si="223"/>
        <v>6</v>
      </c>
      <c r="C1585" s="64">
        <v>42537</v>
      </c>
      <c r="D1585" s="64" t="s">
        <v>705</v>
      </c>
      <c r="E1585" s="64">
        <f t="shared" si="221"/>
        <v>42537</v>
      </c>
      <c r="F1585" s="73" t="s">
        <v>1645</v>
      </c>
      <c r="G1585" s="67" t="s">
        <v>919</v>
      </c>
      <c r="H1585" s="320" t="s">
        <v>1139</v>
      </c>
      <c r="I1585" s="439"/>
      <c r="J1585" s="439"/>
      <c r="K1585" s="430"/>
      <c r="L1585" s="439"/>
      <c r="M1585" s="65">
        <v>16269120</v>
      </c>
      <c r="N1585" s="66" t="s">
        <v>8</v>
      </c>
      <c r="O1585" s="66" t="s">
        <v>26</v>
      </c>
      <c r="P1585" s="84" t="str">
        <f>IF(AND('331-CT'!$E$7=TH!H1585,OR(N1585="331",O1585="331")),"x","")</f>
        <v/>
      </c>
      <c r="Q1585" s="84" t="str">
        <f>IF(AND(B1585='111'!$L$11,OR($N1585=$Q$7,$O1585=$Q$7)),"x","")</f>
        <v/>
      </c>
      <c r="R1585" s="84" t="str">
        <f>IF(AND($N1585=$Q$7,$B1585&lt;'111'!$L$11),"x","")</f>
        <v/>
      </c>
      <c r="S1585" s="84" t="str">
        <f>IF(AND($O1585=$Q$7,$B1585&lt;'111'!$L$11),"x","")</f>
        <v/>
      </c>
      <c r="T1585" s="84" t="str">
        <f>IF(ISERROR(FIND('112'!$M$9,G1585,1)),"",IF((AND(FIND('112'!$M$9,G1585,1)&gt;=1,B1585='112'!$K$9,OR($N1585='112'!$I$6,$O1585='112'!$I$6))),"x",""))</f>
        <v>x</v>
      </c>
      <c r="U1585" s="84" t="str">
        <f>IF(ISERROR(FIND('112'!$M$9,G1585,1)),"",IF((AND(LEFT(G1585,2)=LEFT('112'!$M$9,2),B1585&lt;'112'!$K$9,$N1585='112'!$I$6)),"x",""))</f>
        <v/>
      </c>
      <c r="V1585" s="84" t="str">
        <f>IF(ISERROR(FIND('112'!$M$9,G1585,1)),"",IF((AND(RIGHT(G1585,2)=RIGHT('112'!$M$9,2),B1585&lt;'112'!$K$9,$O1585='112'!$I$6)),"x",""))</f>
        <v/>
      </c>
      <c r="W1585" s="84" t="str">
        <f>IF(AND('341-CT'!$H$9=H1585,OR(LEFT(N1585,3)=$W$7,LEFT(O1585,3)=$W$7)),"x","")</f>
        <v/>
      </c>
      <c r="X1585" s="84" t="str">
        <f>IF(OR(TH!N1585=TH!$X$7,O1585=TH!$X$7),"x","")</f>
        <v/>
      </c>
      <c r="Y1585" s="84" t="str">
        <f>IF(AND(OR(N1585="131",O1585="131"),H1585='131-CT'!$H$9),"x","")</f>
        <v/>
      </c>
      <c r="Z1585" s="84"/>
      <c r="AA1585" s="84" t="str">
        <f>IF(AND(MONTH(E1585)='IN-NX'!$J$5,'IN-NX'!$D$7=D1585),"x","")</f>
        <v/>
      </c>
      <c r="AB1585" s="84" t="str">
        <f>IF(AND(OR(LEFT(TH!N1585,2)="15",LEFT(TH!O1585,2)="15"),LEFT(TH!O1585,3)&lt;&gt;"111",'152-CT'!$J$8=TH!F1585),"x","")</f>
        <v/>
      </c>
      <c r="AC1585" s="84" t="str">
        <f>IF(AND(OR(LEFT(TH!N1585,2)="15",LEFT(TH!O1585,2)="15"),TK!$E$7=TH!F1585),"x","")</f>
        <v/>
      </c>
      <c r="AD1585" s="84" t="str">
        <f>IF(AND(N1585="1521",MONTH(C1585)='BK-NL'!$M$11),"x","")</f>
        <v/>
      </c>
      <c r="AE1585" s="1146" t="str">
        <f>IF(H1585&lt;&gt;VLOOKUP(H1585,DSKH,1,0),"","x")</f>
        <v>x</v>
      </c>
    </row>
    <row r="1586" spans="1:32" ht="15.75" hidden="1" customHeight="1">
      <c r="A1586" s="336" t="str">
        <f>IF(B1586&lt;&gt;"",IF(AND(B1586='IN-TC'!$S$4,OR(TH!N1586="1111",TH!O1586="1111")),TH!D1586,""),"")</f>
        <v/>
      </c>
      <c r="B1586" s="63">
        <f t="shared" si="223"/>
        <v>6</v>
      </c>
      <c r="C1586" s="64">
        <v>42537</v>
      </c>
      <c r="D1586" s="64" t="s">
        <v>705</v>
      </c>
      <c r="E1586" s="64">
        <f t="shared" si="221"/>
        <v>42537</v>
      </c>
      <c r="F1586" s="73" t="s">
        <v>1176</v>
      </c>
      <c r="G1586" s="67" t="s">
        <v>919</v>
      </c>
      <c r="H1586" s="73"/>
      <c r="I1586" s="439"/>
      <c r="J1586" s="439"/>
      <c r="K1586" s="430"/>
      <c r="L1586" s="439"/>
      <c r="M1586" s="65">
        <v>25000</v>
      </c>
      <c r="N1586" s="66" t="s">
        <v>101</v>
      </c>
      <c r="O1586" s="66" t="s">
        <v>26</v>
      </c>
      <c r="P1586" s="84" t="str">
        <f>IF(AND('331-CT'!$E$7=TH!H1586,OR(N1586="331",O1586="331")),"x","")</f>
        <v/>
      </c>
      <c r="Q1586" s="84" t="str">
        <f>IF(AND(B1586='111'!$L$11,OR($N1586=$Q$7,$O1586=$Q$7)),"x","")</f>
        <v/>
      </c>
      <c r="R1586" s="84" t="str">
        <f>IF(AND($N1586=$Q$7,$B1586&lt;'111'!$L$11),"x","")</f>
        <v/>
      </c>
      <c r="S1586" s="84" t="str">
        <f>IF(AND($O1586=$Q$7,$B1586&lt;'111'!$L$11),"x","")</f>
        <v/>
      </c>
      <c r="T1586" s="84" t="str">
        <f>IF(ISERROR(FIND('112'!$M$9,G1586,1)),"",IF((AND(FIND('112'!$M$9,G1586,1)&gt;=1,B1586='112'!$K$9,OR($N1586='112'!$I$6,$O1586='112'!$I$6))),"x",""))</f>
        <v>x</v>
      </c>
      <c r="U1586" s="84" t="str">
        <f>IF(ISERROR(FIND('112'!$M$9,G1586,1)),"",IF((AND(LEFT(G1586,2)=LEFT('112'!$M$9,2),B1586&lt;'112'!$K$9,$N1586='112'!$I$6)),"x",""))</f>
        <v/>
      </c>
      <c r="V1586" s="84" t="str">
        <f>IF(ISERROR(FIND('112'!$M$9,G1586,1)),"",IF((AND(RIGHT(G1586,2)=RIGHT('112'!$M$9,2),B1586&lt;'112'!$K$9,$O1586='112'!$I$6)),"x",""))</f>
        <v/>
      </c>
      <c r="W1586" s="84" t="str">
        <f>IF(AND('341-CT'!$H$9=H1586,OR(LEFT(N1586,3)=$W$7,LEFT(O1586,3)=$W$7)),"x","")</f>
        <v/>
      </c>
      <c r="X1586" s="84" t="str">
        <f>IF(OR(TH!N1586=TH!$X$7,O1586=TH!$X$7),"x","")</f>
        <v/>
      </c>
      <c r="Y1586" s="84" t="str">
        <f>IF(AND(OR(N1586="131",O1586="131"),H1586='131-CT'!$H$9),"x","")</f>
        <v/>
      </c>
      <c r="Z1586" s="84"/>
      <c r="AA1586" s="84" t="str">
        <f>IF(AND(MONTH(E1586)='IN-NX'!$J$5,'IN-NX'!$D$7=D1586),"x","")</f>
        <v/>
      </c>
      <c r="AB1586" s="84" t="str">
        <f>IF(AND(OR(LEFT(TH!N1586,2)="15",LEFT(TH!O1586,2)="15"),LEFT(TH!O1586,3)&lt;&gt;"111",'152-CT'!$J$8=TH!F1586),"x","")</f>
        <v/>
      </c>
      <c r="AC1586" s="84" t="str">
        <f>IF(AND(OR(LEFT(TH!N1586,2)="15",LEFT(TH!O1586,2)="15"),TK!$E$7=TH!F1586),"x","")</f>
        <v/>
      </c>
      <c r="AD1586" s="84" t="str">
        <f>IF(AND(N1586="1521",MONTH(C1586)='BK-NL'!$M$11),"x","")</f>
        <v/>
      </c>
      <c r="AF1586" s="330">
        <v>1</v>
      </c>
    </row>
    <row r="1587" spans="1:32" ht="15.75" hidden="1" customHeight="1">
      <c r="A1587" s="336" t="str">
        <f>IF(B1587&lt;&gt;"",IF(AND(B1587='IN-TC'!$S$4,OR(TH!N1587="1111",TH!O1587="1111")),TH!D1587,""),"")</f>
        <v/>
      </c>
      <c r="B1587" s="63">
        <f t="shared" si="223"/>
        <v>6</v>
      </c>
      <c r="C1587" s="64">
        <v>42537</v>
      </c>
      <c r="D1587" s="64" t="s">
        <v>705</v>
      </c>
      <c r="E1587" s="64">
        <f t="shared" si="221"/>
        <v>42537</v>
      </c>
      <c r="F1587" s="73" t="s">
        <v>1638</v>
      </c>
      <c r="G1587" s="67" t="s">
        <v>919</v>
      </c>
      <c r="H1587" s="73"/>
      <c r="I1587" s="439"/>
      <c r="J1587" s="439"/>
      <c r="K1587" s="430"/>
      <c r="L1587" s="439"/>
      <c r="M1587" s="65">
        <v>2500</v>
      </c>
      <c r="N1587" s="66" t="s">
        <v>9</v>
      </c>
      <c r="O1587" s="66" t="s">
        <v>26</v>
      </c>
      <c r="P1587" s="84" t="str">
        <f>IF(AND('331-CT'!$E$7=TH!H1587,OR(N1587="331",O1587="331")),"x","")</f>
        <v/>
      </c>
      <c r="Q1587" s="84" t="str">
        <f>IF(AND(B1587='111'!$L$11,OR($N1587=$Q$7,$O1587=$Q$7)),"x","")</f>
        <v/>
      </c>
      <c r="R1587" s="84" t="str">
        <f>IF(AND($N1587=$Q$7,$B1587&lt;'111'!$L$11),"x","")</f>
        <v/>
      </c>
      <c r="S1587" s="84" t="str">
        <f>IF(AND($O1587=$Q$7,$B1587&lt;'111'!$L$11),"x","")</f>
        <v/>
      </c>
      <c r="T1587" s="84" t="str">
        <f>IF(ISERROR(FIND('112'!$M$9,G1587,1)),"",IF((AND(FIND('112'!$M$9,G1587,1)&gt;=1,B1587='112'!$K$9,OR($N1587='112'!$I$6,$O1587='112'!$I$6))),"x",""))</f>
        <v>x</v>
      </c>
      <c r="U1587" s="84" t="str">
        <f>IF(ISERROR(FIND('112'!$M$9,G1587,1)),"",IF((AND(LEFT(G1587,2)=LEFT('112'!$M$9,2),B1587&lt;'112'!$K$9,$N1587='112'!$I$6)),"x",""))</f>
        <v/>
      </c>
      <c r="V1587" s="84" t="str">
        <f>IF(ISERROR(FIND('112'!$M$9,G1587,1)),"",IF((AND(RIGHT(G1587,2)=RIGHT('112'!$M$9,2),B1587&lt;'112'!$K$9,$O1587='112'!$I$6)),"x",""))</f>
        <v/>
      </c>
      <c r="W1587" s="84" t="str">
        <f>IF(AND('341-CT'!$H$9=H1587,OR(LEFT(N1587,3)=$W$7,LEFT(O1587,3)=$W$7)),"x","")</f>
        <v/>
      </c>
      <c r="X1587" s="84" t="str">
        <f>IF(OR(TH!N1587=TH!$X$7,O1587=TH!$X$7),"x","")</f>
        <v/>
      </c>
      <c r="Y1587" s="84" t="str">
        <f>IF(AND(OR(N1587="131",O1587="131"),H1587='131-CT'!$H$9),"x","")</f>
        <v/>
      </c>
      <c r="Z1587" s="84"/>
      <c r="AA1587" s="84" t="str">
        <f>IF(AND(MONTH(E1587)='IN-NX'!$J$5,'IN-NX'!$D$7=D1587),"x","")</f>
        <v/>
      </c>
      <c r="AB1587" s="84" t="str">
        <f>IF(AND(OR(LEFT(TH!N1587,2)="15",LEFT(TH!O1587,2)="15"),LEFT(TH!O1587,3)&lt;&gt;"111",'152-CT'!$J$8=TH!F1587),"x","")</f>
        <v/>
      </c>
      <c r="AC1587" s="84" t="str">
        <f>IF(AND(OR(LEFT(TH!N1587,2)="15",LEFT(TH!O1587,2)="15"),TK!$E$7=TH!F1587),"x","")</f>
        <v/>
      </c>
      <c r="AD1587" s="84" t="str">
        <f>IF(AND(N1587="1521",MONTH(C1587)='BK-NL'!$M$11),"x","")</f>
        <v/>
      </c>
    </row>
    <row r="1588" spans="1:32" ht="15.75" hidden="1" customHeight="1">
      <c r="A1588" s="336" t="str">
        <f>IF(B1588&lt;&gt;"",IF(AND(B1588='IN-TC'!$S$4,OR(TH!N1588="1111",TH!O1588="1111")),TH!D1588,""),"")</f>
        <v/>
      </c>
      <c r="B1588" s="63">
        <f t="shared" si="223"/>
        <v>6</v>
      </c>
      <c r="C1588" s="64">
        <v>42537</v>
      </c>
      <c r="D1588" s="64" t="s">
        <v>705</v>
      </c>
      <c r="E1588" s="64">
        <f t="shared" si="221"/>
        <v>42537</v>
      </c>
      <c r="F1588" s="73" t="s">
        <v>1646</v>
      </c>
      <c r="G1588" s="67" t="s">
        <v>919</v>
      </c>
      <c r="H1588" s="344" t="s">
        <v>629</v>
      </c>
      <c r="I1588" s="439"/>
      <c r="J1588" s="439"/>
      <c r="K1588" s="430"/>
      <c r="L1588" s="439"/>
      <c r="M1588" s="65">
        <v>990000</v>
      </c>
      <c r="N1588" s="66" t="s">
        <v>8</v>
      </c>
      <c r="O1588" s="66" t="s">
        <v>26</v>
      </c>
      <c r="P1588" s="84" t="str">
        <f>IF(AND('331-CT'!$E$7=TH!H1588,OR(N1588="331",O1588="331")),"x","")</f>
        <v/>
      </c>
      <c r="Q1588" s="84" t="str">
        <f>IF(AND(B1588='111'!$L$11,OR($N1588=$Q$7,$O1588=$Q$7)),"x","")</f>
        <v/>
      </c>
      <c r="R1588" s="84" t="str">
        <f>IF(AND($N1588=$Q$7,$B1588&lt;'111'!$L$11),"x","")</f>
        <v/>
      </c>
      <c r="S1588" s="84" t="str">
        <f>IF(AND($O1588=$Q$7,$B1588&lt;'111'!$L$11),"x","")</f>
        <v/>
      </c>
      <c r="T1588" s="84" t="str">
        <f>IF(ISERROR(FIND('112'!$M$9,G1588,1)),"",IF((AND(FIND('112'!$M$9,G1588,1)&gt;=1,B1588='112'!$K$9,OR($N1588='112'!$I$6,$O1588='112'!$I$6))),"x",""))</f>
        <v>x</v>
      </c>
      <c r="U1588" s="84" t="str">
        <f>IF(ISERROR(FIND('112'!$M$9,G1588,1)),"",IF((AND(LEFT(G1588,2)=LEFT('112'!$M$9,2),B1588&lt;'112'!$K$9,$N1588='112'!$I$6)),"x",""))</f>
        <v/>
      </c>
      <c r="V1588" s="84" t="str">
        <f>IF(ISERROR(FIND('112'!$M$9,G1588,1)),"",IF((AND(RIGHT(G1588,2)=RIGHT('112'!$M$9,2),B1588&lt;'112'!$K$9,$O1588='112'!$I$6)),"x",""))</f>
        <v/>
      </c>
      <c r="W1588" s="84" t="str">
        <f>IF(AND('341-CT'!$H$9=H1588,OR(LEFT(N1588,3)=$W$7,LEFT(O1588,3)=$W$7)),"x","")</f>
        <v/>
      </c>
      <c r="X1588" s="84" t="str">
        <f>IF(OR(TH!N1588=TH!$X$7,O1588=TH!$X$7),"x","")</f>
        <v/>
      </c>
      <c r="Y1588" s="84" t="str">
        <f>IF(AND(OR(N1588="131",O1588="131"),H1588='131-CT'!$H$9),"x","")</f>
        <v/>
      </c>
      <c r="Z1588" s="84"/>
      <c r="AA1588" s="84" t="str">
        <f>IF(AND(MONTH(E1588)='IN-NX'!$J$5,'IN-NX'!$D$7=D1588),"x","")</f>
        <v/>
      </c>
      <c r="AB1588" s="84" t="str">
        <f>IF(AND(OR(LEFT(TH!N1588,2)="15",LEFT(TH!O1588,2)="15"),LEFT(TH!O1588,3)&lt;&gt;"111",'152-CT'!$J$8=TH!F1588),"x","")</f>
        <v/>
      </c>
      <c r="AC1588" s="84" t="str">
        <f>IF(AND(OR(LEFT(TH!N1588,2)="15",LEFT(TH!O1588,2)="15"),TK!$E$7=TH!F1588),"x","")</f>
        <v/>
      </c>
      <c r="AD1588" s="84" t="str">
        <f>IF(AND(N1588="1521",MONTH(C1588)='BK-NL'!$M$11),"x","")</f>
        <v/>
      </c>
      <c r="AE1588" s="1146" t="str">
        <f>IF(H1588&lt;&gt;VLOOKUP(H1588,DSKH,1,0),"","x")</f>
        <v>x</v>
      </c>
    </row>
    <row r="1589" spans="1:32" ht="15.75" hidden="1" customHeight="1">
      <c r="A1589" s="336" t="str">
        <f>IF(B1589&lt;&gt;"",IF(AND(B1589='IN-TC'!$S$4,OR(TH!N1589="1111",TH!O1589="1111")),TH!D1589,""),"")</f>
        <v/>
      </c>
      <c r="B1589" s="63">
        <f t="shared" si="223"/>
        <v>6</v>
      </c>
      <c r="C1589" s="64">
        <v>42537</v>
      </c>
      <c r="D1589" s="64" t="s">
        <v>705</v>
      </c>
      <c r="E1589" s="64">
        <f t="shared" si="221"/>
        <v>42537</v>
      </c>
      <c r="F1589" s="73" t="s">
        <v>1176</v>
      </c>
      <c r="G1589" s="67" t="s">
        <v>919</v>
      </c>
      <c r="H1589" s="73"/>
      <c r="I1589" s="439"/>
      <c r="J1589" s="439"/>
      <c r="K1589" s="430"/>
      <c r="L1589" s="439"/>
      <c r="M1589" s="65">
        <v>20000</v>
      </c>
      <c r="N1589" s="66" t="s">
        <v>101</v>
      </c>
      <c r="O1589" s="66" t="s">
        <v>26</v>
      </c>
      <c r="P1589" s="84" t="str">
        <f>IF(AND('331-CT'!$E$7=TH!H1589,OR(N1589="331",O1589="331")),"x","")</f>
        <v/>
      </c>
      <c r="Q1589" s="84" t="str">
        <f>IF(AND(B1589='111'!$L$11,OR($N1589=$Q$7,$O1589=$Q$7)),"x","")</f>
        <v/>
      </c>
      <c r="R1589" s="84" t="str">
        <f>IF(AND($N1589=$Q$7,$B1589&lt;'111'!$L$11),"x","")</f>
        <v/>
      </c>
      <c r="S1589" s="84" t="str">
        <f>IF(AND($O1589=$Q$7,$B1589&lt;'111'!$L$11),"x","")</f>
        <v/>
      </c>
      <c r="T1589" s="84" t="str">
        <f>IF(ISERROR(FIND('112'!$M$9,G1589,1)),"",IF((AND(FIND('112'!$M$9,G1589,1)&gt;=1,B1589='112'!$K$9,OR($N1589='112'!$I$6,$O1589='112'!$I$6))),"x",""))</f>
        <v>x</v>
      </c>
      <c r="U1589" s="84" t="str">
        <f>IF(ISERROR(FIND('112'!$M$9,G1589,1)),"",IF((AND(LEFT(G1589,2)=LEFT('112'!$M$9,2),B1589&lt;'112'!$K$9,$N1589='112'!$I$6)),"x",""))</f>
        <v/>
      </c>
      <c r="V1589" s="84" t="str">
        <f>IF(ISERROR(FIND('112'!$M$9,G1589,1)),"",IF((AND(RIGHT(G1589,2)=RIGHT('112'!$M$9,2),B1589&lt;'112'!$K$9,$O1589='112'!$I$6)),"x",""))</f>
        <v/>
      </c>
      <c r="W1589" s="84" t="str">
        <f>IF(AND('341-CT'!$H$9=H1589,OR(LEFT(N1589,3)=$W$7,LEFT(O1589,3)=$W$7)),"x","")</f>
        <v/>
      </c>
      <c r="X1589" s="84" t="str">
        <f>IF(OR(TH!N1589=TH!$X$7,O1589=TH!$X$7),"x","")</f>
        <v/>
      </c>
      <c r="Y1589" s="84" t="str">
        <f>IF(AND(OR(N1589="131",O1589="131"),H1589='131-CT'!$H$9),"x","")</f>
        <v/>
      </c>
      <c r="Z1589" s="84"/>
      <c r="AA1589" s="84" t="str">
        <f>IF(AND(MONTH(E1589)='IN-NX'!$J$5,'IN-NX'!$D$7=D1589),"x","")</f>
        <v/>
      </c>
      <c r="AB1589" s="84" t="str">
        <f>IF(AND(OR(LEFT(TH!N1589,2)="15",LEFT(TH!O1589,2)="15"),LEFT(TH!O1589,3)&lt;&gt;"111",'152-CT'!$J$8=TH!F1589),"x","")</f>
        <v/>
      </c>
      <c r="AC1589" s="84" t="str">
        <f>IF(AND(OR(LEFT(TH!N1589,2)="15",LEFT(TH!O1589,2)="15"),TK!$E$7=TH!F1589),"x","")</f>
        <v/>
      </c>
      <c r="AD1589" s="84" t="str">
        <f>IF(AND(N1589="1521",MONTH(C1589)='BK-NL'!$M$11),"x","")</f>
        <v/>
      </c>
      <c r="AF1589" s="330">
        <v>1</v>
      </c>
    </row>
    <row r="1590" spans="1:32" ht="15.75" hidden="1" customHeight="1">
      <c r="A1590" s="336" t="str">
        <f>IF(B1590&lt;&gt;"",IF(AND(B1590='IN-TC'!$S$4,OR(TH!N1590="1111",TH!O1590="1111")),TH!D1590,""),"")</f>
        <v/>
      </c>
      <c r="B1590" s="63">
        <f t="shared" si="223"/>
        <v>6</v>
      </c>
      <c r="C1590" s="64">
        <v>42537</v>
      </c>
      <c r="D1590" s="64" t="s">
        <v>705</v>
      </c>
      <c r="E1590" s="64">
        <f t="shared" si="221"/>
        <v>42537</v>
      </c>
      <c r="F1590" s="73" t="s">
        <v>1638</v>
      </c>
      <c r="G1590" s="67" t="s">
        <v>919</v>
      </c>
      <c r="H1590" s="73"/>
      <c r="I1590" s="439"/>
      <c r="J1590" s="439"/>
      <c r="K1590" s="430"/>
      <c r="L1590" s="439"/>
      <c r="M1590" s="65">
        <v>2000</v>
      </c>
      <c r="N1590" s="66" t="s">
        <v>9</v>
      </c>
      <c r="O1590" s="66" t="s">
        <v>26</v>
      </c>
      <c r="P1590" s="84" t="str">
        <f>IF(AND('331-CT'!$E$7=TH!H1590,OR(N1590="331",O1590="331")),"x","")</f>
        <v/>
      </c>
      <c r="Q1590" s="84" t="str">
        <f>IF(AND(B1590='111'!$L$11,OR($N1590=$Q$7,$O1590=$Q$7)),"x","")</f>
        <v/>
      </c>
      <c r="R1590" s="84" t="str">
        <f>IF(AND($N1590=$Q$7,$B1590&lt;'111'!$L$11),"x","")</f>
        <v/>
      </c>
      <c r="S1590" s="84" t="str">
        <f>IF(AND($O1590=$Q$7,$B1590&lt;'111'!$L$11),"x","")</f>
        <v/>
      </c>
      <c r="T1590" s="84" t="str">
        <f>IF(ISERROR(FIND('112'!$M$9,G1590,1)),"",IF((AND(FIND('112'!$M$9,G1590,1)&gt;=1,B1590='112'!$K$9,OR($N1590='112'!$I$6,$O1590='112'!$I$6))),"x",""))</f>
        <v>x</v>
      </c>
      <c r="U1590" s="84" t="str">
        <f>IF(ISERROR(FIND('112'!$M$9,G1590,1)),"",IF((AND(LEFT(G1590,2)=LEFT('112'!$M$9,2),B1590&lt;'112'!$K$9,$N1590='112'!$I$6)),"x",""))</f>
        <v/>
      </c>
      <c r="V1590" s="84" t="str">
        <f>IF(ISERROR(FIND('112'!$M$9,G1590,1)),"",IF((AND(RIGHT(G1590,2)=RIGHT('112'!$M$9,2),B1590&lt;'112'!$K$9,$O1590='112'!$I$6)),"x",""))</f>
        <v/>
      </c>
      <c r="W1590" s="84" t="str">
        <f>IF(AND('341-CT'!$H$9=H1590,OR(LEFT(N1590,3)=$W$7,LEFT(O1590,3)=$W$7)),"x","")</f>
        <v/>
      </c>
      <c r="X1590" s="84" t="str">
        <f>IF(OR(TH!N1590=TH!$X$7,O1590=TH!$X$7),"x","")</f>
        <v/>
      </c>
      <c r="Y1590" s="84" t="str">
        <f>IF(AND(OR(N1590="131",O1590="131"),H1590='131-CT'!$H$9),"x","")</f>
        <v/>
      </c>
      <c r="Z1590" s="84"/>
      <c r="AA1590" s="84" t="str">
        <f>IF(AND(MONTH(E1590)='IN-NX'!$J$5,'IN-NX'!$D$7=D1590),"x","")</f>
        <v/>
      </c>
      <c r="AB1590" s="84" t="str">
        <f>IF(AND(OR(LEFT(TH!N1590,2)="15",LEFT(TH!O1590,2)="15"),LEFT(TH!O1590,3)&lt;&gt;"111",'152-CT'!$J$8=TH!F1590),"x","")</f>
        <v/>
      </c>
      <c r="AC1590" s="84" t="str">
        <f>IF(AND(OR(LEFT(TH!N1590,2)="15",LEFT(TH!O1590,2)="15"),TK!$E$7=TH!F1590),"x","")</f>
        <v/>
      </c>
      <c r="AD1590" s="84" t="str">
        <f>IF(AND(N1590="1521",MONTH(C1590)='BK-NL'!$M$11),"x","")</f>
        <v/>
      </c>
    </row>
    <row r="1591" spans="1:32" ht="15.75" hidden="1" customHeight="1">
      <c r="A1591" s="336" t="str">
        <f>IF(B1591&lt;&gt;"",IF(AND(B1591='IN-TC'!$S$4,OR(TH!N1591="1111",TH!O1591="1111")),TH!D1591,""),"")</f>
        <v/>
      </c>
      <c r="B1591" s="63">
        <f t="shared" si="223"/>
        <v>6</v>
      </c>
      <c r="C1591" s="64">
        <v>42537</v>
      </c>
      <c r="D1591" s="64" t="s">
        <v>705</v>
      </c>
      <c r="E1591" s="64">
        <f t="shared" si="221"/>
        <v>42537</v>
      </c>
      <c r="F1591" s="73" t="s">
        <v>1646</v>
      </c>
      <c r="G1591" s="67" t="s">
        <v>919</v>
      </c>
      <c r="H1591" s="344" t="s">
        <v>629</v>
      </c>
      <c r="I1591" s="439"/>
      <c r="J1591" s="439"/>
      <c r="K1591" s="430"/>
      <c r="L1591" s="439"/>
      <c r="M1591" s="65">
        <v>5500000</v>
      </c>
      <c r="N1591" s="66" t="s">
        <v>8</v>
      </c>
      <c r="O1591" s="66" t="s">
        <v>26</v>
      </c>
      <c r="P1591" s="84" t="str">
        <f>IF(AND('331-CT'!$E$7=TH!H1591,OR(N1591="331",O1591="331")),"x","")</f>
        <v/>
      </c>
      <c r="Q1591" s="84" t="str">
        <f>IF(AND(B1591='111'!$L$11,OR($N1591=$Q$7,$O1591=$Q$7)),"x","")</f>
        <v/>
      </c>
      <c r="R1591" s="84" t="str">
        <f>IF(AND($N1591=$Q$7,$B1591&lt;'111'!$L$11),"x","")</f>
        <v/>
      </c>
      <c r="S1591" s="84" t="str">
        <f>IF(AND($O1591=$Q$7,$B1591&lt;'111'!$L$11),"x","")</f>
        <v/>
      </c>
      <c r="T1591" s="84" t="str">
        <f>IF(ISERROR(FIND('112'!$M$9,G1591,1)),"",IF((AND(FIND('112'!$M$9,G1591,1)&gt;=1,B1591='112'!$K$9,OR($N1591='112'!$I$6,$O1591='112'!$I$6))),"x",""))</f>
        <v>x</v>
      </c>
      <c r="U1591" s="84" t="str">
        <f>IF(ISERROR(FIND('112'!$M$9,G1591,1)),"",IF((AND(LEFT(G1591,2)=LEFT('112'!$M$9,2),B1591&lt;'112'!$K$9,$N1591='112'!$I$6)),"x",""))</f>
        <v/>
      </c>
      <c r="V1591" s="84" t="str">
        <f>IF(ISERROR(FIND('112'!$M$9,G1591,1)),"",IF((AND(RIGHT(G1591,2)=RIGHT('112'!$M$9,2),B1591&lt;'112'!$K$9,$O1591='112'!$I$6)),"x",""))</f>
        <v/>
      </c>
      <c r="W1591" s="84" t="str">
        <f>IF(AND('341-CT'!$H$9=H1591,OR(LEFT(N1591,3)=$W$7,LEFT(O1591,3)=$W$7)),"x","")</f>
        <v/>
      </c>
      <c r="X1591" s="84" t="str">
        <f>IF(OR(TH!N1591=TH!$X$7,O1591=TH!$X$7),"x","")</f>
        <v/>
      </c>
      <c r="Y1591" s="84" t="str">
        <f>IF(AND(OR(N1591="131",O1591="131"),H1591='131-CT'!$H$9),"x","")</f>
        <v/>
      </c>
      <c r="Z1591" s="84"/>
      <c r="AA1591" s="84" t="str">
        <f>IF(AND(MONTH(E1591)='IN-NX'!$J$5,'IN-NX'!$D$7=D1591),"x","")</f>
        <v/>
      </c>
      <c r="AB1591" s="84" t="str">
        <f>IF(AND(OR(LEFT(TH!N1591,2)="15",LEFT(TH!O1591,2)="15"),LEFT(TH!O1591,3)&lt;&gt;"111",'152-CT'!$J$8=TH!F1591),"x","")</f>
        <v/>
      </c>
      <c r="AC1591" s="84" t="str">
        <f>IF(AND(OR(LEFT(TH!N1591,2)="15",LEFT(TH!O1591,2)="15"),TK!$E$7=TH!F1591),"x","")</f>
        <v/>
      </c>
      <c r="AD1591" s="84" t="str">
        <f>IF(AND(N1591="1521",MONTH(C1591)='BK-NL'!$M$11),"x","")</f>
        <v/>
      </c>
      <c r="AE1591" s="1146" t="str">
        <f>IF(H1591&lt;&gt;VLOOKUP(H1591,DSKH,1,0),"","x")</f>
        <v>x</v>
      </c>
    </row>
    <row r="1592" spans="1:32" ht="15.75" hidden="1" customHeight="1">
      <c r="A1592" s="336" t="str">
        <f>IF(B1592&lt;&gt;"",IF(AND(B1592='IN-TC'!$S$4,OR(TH!N1592="1111",TH!O1592="1111")),TH!D1592,""),"")</f>
        <v/>
      </c>
      <c r="B1592" s="63">
        <f t="shared" si="223"/>
        <v>6</v>
      </c>
      <c r="C1592" s="64">
        <v>42537</v>
      </c>
      <c r="D1592" s="64" t="s">
        <v>705</v>
      </c>
      <c r="E1592" s="64">
        <f t="shared" si="221"/>
        <v>42537</v>
      </c>
      <c r="F1592" s="73" t="s">
        <v>1176</v>
      </c>
      <c r="G1592" s="67" t="s">
        <v>919</v>
      </c>
      <c r="H1592" s="73"/>
      <c r="I1592" s="439"/>
      <c r="J1592" s="439"/>
      <c r="K1592" s="430"/>
      <c r="L1592" s="439"/>
      <c r="M1592" s="65">
        <v>20000</v>
      </c>
      <c r="N1592" s="66" t="s">
        <v>101</v>
      </c>
      <c r="O1592" s="66" t="s">
        <v>26</v>
      </c>
      <c r="P1592" s="84" t="str">
        <f>IF(AND('331-CT'!$E$7=TH!H1592,OR(N1592="331",O1592="331")),"x","")</f>
        <v/>
      </c>
      <c r="Q1592" s="84" t="str">
        <f>IF(AND(B1592='111'!$L$11,OR($N1592=$Q$7,$O1592=$Q$7)),"x","")</f>
        <v/>
      </c>
      <c r="R1592" s="84" t="str">
        <f>IF(AND($N1592=$Q$7,$B1592&lt;'111'!$L$11),"x","")</f>
        <v/>
      </c>
      <c r="S1592" s="84" t="str">
        <f>IF(AND($O1592=$Q$7,$B1592&lt;'111'!$L$11),"x","")</f>
        <v/>
      </c>
      <c r="T1592" s="84" t="str">
        <f>IF(ISERROR(FIND('112'!$M$9,G1592,1)),"",IF((AND(FIND('112'!$M$9,G1592,1)&gt;=1,B1592='112'!$K$9,OR($N1592='112'!$I$6,$O1592='112'!$I$6))),"x",""))</f>
        <v>x</v>
      </c>
      <c r="U1592" s="84" t="str">
        <f>IF(ISERROR(FIND('112'!$M$9,G1592,1)),"",IF((AND(LEFT(G1592,2)=LEFT('112'!$M$9,2),B1592&lt;'112'!$K$9,$N1592='112'!$I$6)),"x",""))</f>
        <v/>
      </c>
      <c r="V1592" s="84" t="str">
        <f>IF(ISERROR(FIND('112'!$M$9,G1592,1)),"",IF((AND(RIGHT(G1592,2)=RIGHT('112'!$M$9,2),B1592&lt;'112'!$K$9,$O1592='112'!$I$6)),"x",""))</f>
        <v/>
      </c>
      <c r="W1592" s="84" t="str">
        <f>IF(AND('341-CT'!$H$9=H1592,OR(LEFT(N1592,3)=$W$7,LEFT(O1592,3)=$W$7)),"x","")</f>
        <v/>
      </c>
      <c r="X1592" s="84" t="str">
        <f>IF(OR(TH!N1592=TH!$X$7,O1592=TH!$X$7),"x","")</f>
        <v/>
      </c>
      <c r="Y1592" s="84" t="str">
        <f>IF(AND(OR(N1592="131",O1592="131"),H1592='131-CT'!$H$9),"x","")</f>
        <v/>
      </c>
      <c r="Z1592" s="84"/>
      <c r="AA1592" s="84" t="str">
        <f>IF(AND(MONTH(E1592)='IN-NX'!$J$5,'IN-NX'!$D$7=D1592),"x","")</f>
        <v/>
      </c>
      <c r="AB1592" s="84" t="str">
        <f>IF(AND(OR(LEFT(TH!N1592,2)="15",LEFT(TH!O1592,2)="15"),LEFT(TH!O1592,3)&lt;&gt;"111",'152-CT'!$J$8=TH!F1592),"x","")</f>
        <v/>
      </c>
      <c r="AC1592" s="84" t="str">
        <f>IF(AND(OR(LEFT(TH!N1592,2)="15",LEFT(TH!O1592,2)="15"),TK!$E$7=TH!F1592),"x","")</f>
        <v/>
      </c>
      <c r="AD1592" s="84" t="str">
        <f>IF(AND(N1592="1521",MONTH(C1592)='BK-NL'!$M$11),"x","")</f>
        <v/>
      </c>
      <c r="AF1592" s="330">
        <v>1</v>
      </c>
    </row>
    <row r="1593" spans="1:32" ht="15.75" hidden="1" customHeight="1">
      <c r="A1593" s="336" t="str">
        <f>IF(B1593&lt;&gt;"",IF(AND(B1593='IN-TC'!$S$4,OR(TH!N1593="1111",TH!O1593="1111")),TH!D1593,""),"")</f>
        <v/>
      </c>
      <c r="B1593" s="63">
        <f t="shared" si="223"/>
        <v>6</v>
      </c>
      <c r="C1593" s="64">
        <v>42537</v>
      </c>
      <c r="D1593" s="64" t="s">
        <v>705</v>
      </c>
      <c r="E1593" s="64">
        <f t="shared" si="221"/>
        <v>42537</v>
      </c>
      <c r="F1593" s="73" t="s">
        <v>1638</v>
      </c>
      <c r="G1593" s="67" t="s">
        <v>919</v>
      </c>
      <c r="H1593" s="73"/>
      <c r="I1593" s="439"/>
      <c r="J1593" s="439"/>
      <c r="K1593" s="430"/>
      <c r="L1593" s="439"/>
      <c r="M1593" s="65">
        <v>2000</v>
      </c>
      <c r="N1593" s="66" t="s">
        <v>9</v>
      </c>
      <c r="O1593" s="66" t="s">
        <v>26</v>
      </c>
      <c r="P1593" s="84" t="str">
        <f>IF(AND('331-CT'!$E$7=TH!H1593,OR(N1593="331",O1593="331")),"x","")</f>
        <v/>
      </c>
      <c r="Q1593" s="84" t="str">
        <f>IF(AND(B1593='111'!$L$11,OR($N1593=$Q$7,$O1593=$Q$7)),"x","")</f>
        <v/>
      </c>
      <c r="R1593" s="84" t="str">
        <f>IF(AND($N1593=$Q$7,$B1593&lt;'111'!$L$11),"x","")</f>
        <v/>
      </c>
      <c r="S1593" s="84" t="str">
        <f>IF(AND($O1593=$Q$7,$B1593&lt;'111'!$L$11),"x","")</f>
        <v/>
      </c>
      <c r="T1593" s="84" t="str">
        <f>IF(ISERROR(FIND('112'!$M$9,G1593,1)),"",IF((AND(FIND('112'!$M$9,G1593,1)&gt;=1,B1593='112'!$K$9,OR($N1593='112'!$I$6,$O1593='112'!$I$6))),"x",""))</f>
        <v>x</v>
      </c>
      <c r="U1593" s="84" t="str">
        <f>IF(ISERROR(FIND('112'!$M$9,G1593,1)),"",IF((AND(LEFT(G1593,2)=LEFT('112'!$M$9,2),B1593&lt;'112'!$K$9,$N1593='112'!$I$6)),"x",""))</f>
        <v/>
      </c>
      <c r="V1593" s="84" t="str">
        <f>IF(ISERROR(FIND('112'!$M$9,G1593,1)),"",IF((AND(RIGHT(G1593,2)=RIGHT('112'!$M$9,2),B1593&lt;'112'!$K$9,$O1593='112'!$I$6)),"x",""))</f>
        <v/>
      </c>
      <c r="W1593" s="84" t="str">
        <f>IF(AND('341-CT'!$H$9=H1593,OR(LEFT(N1593,3)=$W$7,LEFT(O1593,3)=$W$7)),"x","")</f>
        <v/>
      </c>
      <c r="X1593" s="84" t="str">
        <f>IF(OR(TH!N1593=TH!$X$7,O1593=TH!$X$7),"x","")</f>
        <v/>
      </c>
      <c r="Y1593" s="84" t="str">
        <f>IF(AND(OR(N1593="131",O1593="131"),H1593='131-CT'!$H$9),"x","")</f>
        <v/>
      </c>
      <c r="Z1593" s="84"/>
      <c r="AA1593" s="84" t="str">
        <f>IF(AND(MONTH(E1593)='IN-NX'!$J$5,'IN-NX'!$D$7=D1593),"x","")</f>
        <v/>
      </c>
      <c r="AB1593" s="84" t="str">
        <f>IF(AND(OR(LEFT(TH!N1593,2)="15",LEFT(TH!O1593,2)="15"),LEFT(TH!O1593,3)&lt;&gt;"111",'152-CT'!$J$8=TH!F1593),"x","")</f>
        <v/>
      </c>
      <c r="AC1593" s="84" t="str">
        <f>IF(AND(OR(LEFT(TH!N1593,2)="15",LEFT(TH!O1593,2)="15"),TK!$E$7=TH!F1593),"x","")</f>
        <v/>
      </c>
      <c r="AD1593" s="84" t="str">
        <f>IF(AND(N1593="1521",MONTH(C1593)='BK-NL'!$M$11),"x","")</f>
        <v/>
      </c>
    </row>
    <row r="1594" spans="1:32" ht="15.75" hidden="1" customHeight="1">
      <c r="A1594" s="336" t="str">
        <f>IF(B1594&lt;&gt;"",IF(AND(B1594='IN-TC'!$S$4,OR(TH!N1594="1111",TH!O1594="1111")),TH!D1594,""),"")</f>
        <v/>
      </c>
      <c r="B1594" s="63">
        <f t="shared" si="223"/>
        <v>6</v>
      </c>
      <c r="C1594" s="64">
        <v>42537</v>
      </c>
      <c r="D1594" s="64" t="s">
        <v>705</v>
      </c>
      <c r="E1594" s="64">
        <f t="shared" si="221"/>
        <v>42537</v>
      </c>
      <c r="F1594" s="73" t="s">
        <v>1647</v>
      </c>
      <c r="G1594" s="67" t="s">
        <v>919</v>
      </c>
      <c r="H1594" s="344" t="s">
        <v>622</v>
      </c>
      <c r="I1594" s="439"/>
      <c r="J1594" s="439"/>
      <c r="K1594" s="430"/>
      <c r="L1594" s="439"/>
      <c r="M1594" s="65">
        <v>6400000</v>
      </c>
      <c r="N1594" s="66" t="s">
        <v>8</v>
      </c>
      <c r="O1594" s="66" t="s">
        <v>26</v>
      </c>
      <c r="P1594" s="84" t="str">
        <f>IF(AND('331-CT'!$E$7=TH!H1594,OR(N1594="331",O1594="331")),"x","")</f>
        <v>x</v>
      </c>
      <c r="Q1594" s="84" t="str">
        <f>IF(AND(B1594='111'!$L$11,OR($N1594=$Q$7,$O1594=$Q$7)),"x","")</f>
        <v/>
      </c>
      <c r="R1594" s="84" t="str">
        <f>IF(AND($N1594=$Q$7,$B1594&lt;'111'!$L$11),"x","")</f>
        <v/>
      </c>
      <c r="S1594" s="84" t="str">
        <f>IF(AND($O1594=$Q$7,$B1594&lt;'111'!$L$11),"x","")</f>
        <v/>
      </c>
      <c r="T1594" s="84" t="str">
        <f>IF(ISERROR(FIND('112'!$M$9,G1594,1)),"",IF((AND(FIND('112'!$M$9,G1594,1)&gt;=1,B1594='112'!$K$9,OR($N1594='112'!$I$6,$O1594='112'!$I$6))),"x",""))</f>
        <v>x</v>
      </c>
      <c r="U1594" s="84" t="str">
        <f>IF(ISERROR(FIND('112'!$M$9,G1594,1)),"",IF((AND(LEFT(G1594,2)=LEFT('112'!$M$9,2),B1594&lt;'112'!$K$9,$N1594='112'!$I$6)),"x",""))</f>
        <v/>
      </c>
      <c r="V1594" s="84" t="str">
        <f>IF(ISERROR(FIND('112'!$M$9,G1594,1)),"",IF((AND(RIGHT(G1594,2)=RIGHT('112'!$M$9,2),B1594&lt;'112'!$K$9,$O1594='112'!$I$6)),"x",""))</f>
        <v/>
      </c>
      <c r="W1594" s="84" t="str">
        <f>IF(AND('341-CT'!$H$9=H1594,OR(LEFT(N1594,3)=$W$7,LEFT(O1594,3)=$W$7)),"x","")</f>
        <v/>
      </c>
      <c r="X1594" s="84" t="str">
        <f>IF(OR(TH!N1594=TH!$X$7,O1594=TH!$X$7),"x","")</f>
        <v/>
      </c>
      <c r="Y1594" s="84" t="str">
        <f>IF(AND(OR(N1594="131",O1594="131"),H1594='131-CT'!$H$9),"x","")</f>
        <v/>
      </c>
      <c r="Z1594" s="84"/>
      <c r="AA1594" s="84" t="str">
        <f>IF(AND(MONTH(E1594)='IN-NX'!$J$5,'IN-NX'!$D$7=D1594),"x","")</f>
        <v/>
      </c>
      <c r="AB1594" s="84" t="str">
        <f>IF(AND(OR(LEFT(TH!N1594,2)="15",LEFT(TH!O1594,2)="15"),LEFT(TH!O1594,3)&lt;&gt;"111",'152-CT'!$J$8=TH!F1594),"x","")</f>
        <v/>
      </c>
      <c r="AC1594" s="84" t="str">
        <f>IF(AND(OR(LEFT(TH!N1594,2)="15",LEFT(TH!O1594,2)="15"),TK!$E$7=TH!F1594),"x","")</f>
        <v/>
      </c>
      <c r="AD1594" s="84" t="str">
        <f>IF(AND(N1594="1521",MONTH(C1594)='BK-NL'!$M$11),"x","")</f>
        <v/>
      </c>
      <c r="AE1594" s="1146" t="str">
        <f>IF(H1594&lt;&gt;VLOOKUP(H1594,DSKH,1,0),"","x")</f>
        <v>x</v>
      </c>
    </row>
    <row r="1595" spans="1:32" ht="15.75" hidden="1" customHeight="1">
      <c r="A1595" s="336" t="str">
        <f>IF(B1595&lt;&gt;"",IF(AND(B1595='IN-TC'!$S$4,OR(TH!N1595="1111",TH!O1595="1111")),TH!D1595,""),"")</f>
        <v/>
      </c>
      <c r="B1595" s="63">
        <f t="shared" si="223"/>
        <v>6</v>
      </c>
      <c r="C1595" s="64">
        <v>42537</v>
      </c>
      <c r="D1595" s="64" t="s">
        <v>705</v>
      </c>
      <c r="E1595" s="64">
        <f t="shared" si="221"/>
        <v>42537</v>
      </c>
      <c r="F1595" s="73" t="s">
        <v>1176</v>
      </c>
      <c r="G1595" s="67" t="s">
        <v>919</v>
      </c>
      <c r="H1595" s="73"/>
      <c r="I1595" s="439"/>
      <c r="J1595" s="439"/>
      <c r="K1595" s="430"/>
      <c r="L1595" s="439"/>
      <c r="M1595" s="1157">
        <v>20000</v>
      </c>
      <c r="N1595" s="66" t="s">
        <v>101</v>
      </c>
      <c r="O1595" s="66" t="s">
        <v>26</v>
      </c>
      <c r="P1595" s="84" t="str">
        <f>IF(AND('331-CT'!$E$7=TH!H1595,OR(N1595="331",O1595="331")),"x","")</f>
        <v/>
      </c>
      <c r="Q1595" s="84" t="str">
        <f>IF(AND(B1595='111'!$L$11,OR($N1595=$Q$7,$O1595=$Q$7)),"x","")</f>
        <v/>
      </c>
      <c r="R1595" s="84" t="str">
        <f>IF(AND($N1595=$Q$7,$B1595&lt;'111'!$L$11),"x","")</f>
        <v/>
      </c>
      <c r="S1595" s="84" t="str">
        <f>IF(AND($O1595=$Q$7,$B1595&lt;'111'!$L$11),"x","")</f>
        <v/>
      </c>
      <c r="T1595" s="84" t="str">
        <f>IF(ISERROR(FIND('112'!$M$9,G1595,1)),"",IF((AND(FIND('112'!$M$9,G1595,1)&gt;=1,B1595='112'!$K$9,OR($N1595='112'!$I$6,$O1595='112'!$I$6))),"x",""))</f>
        <v>x</v>
      </c>
      <c r="U1595" s="84" t="str">
        <f>IF(ISERROR(FIND('112'!$M$9,G1595,1)),"",IF((AND(LEFT(G1595,2)=LEFT('112'!$M$9,2),B1595&lt;'112'!$K$9,$N1595='112'!$I$6)),"x",""))</f>
        <v/>
      </c>
      <c r="V1595" s="84" t="str">
        <f>IF(ISERROR(FIND('112'!$M$9,G1595,1)),"",IF((AND(RIGHT(G1595,2)=RIGHT('112'!$M$9,2),B1595&lt;'112'!$K$9,$O1595='112'!$I$6)),"x",""))</f>
        <v/>
      </c>
      <c r="W1595" s="84" t="str">
        <f>IF(AND('341-CT'!$H$9=H1595,OR(LEFT(N1595,3)=$W$7,LEFT(O1595,3)=$W$7)),"x","")</f>
        <v/>
      </c>
      <c r="X1595" s="84" t="str">
        <f>IF(OR(TH!N1595=TH!$X$7,O1595=TH!$X$7),"x","")</f>
        <v/>
      </c>
      <c r="Y1595" s="84" t="str">
        <f>IF(AND(OR(N1595="131",O1595="131"),H1595='131-CT'!$H$9),"x","")</f>
        <v/>
      </c>
      <c r="Z1595" s="84"/>
      <c r="AA1595" s="84" t="str">
        <f>IF(AND(MONTH(E1595)='IN-NX'!$J$5,'IN-NX'!$D$7=D1595),"x","")</f>
        <v/>
      </c>
      <c r="AB1595" s="84" t="str">
        <f>IF(AND(OR(LEFT(TH!N1595,2)="15",LEFT(TH!O1595,2)="15"),LEFT(TH!O1595,3)&lt;&gt;"111",'152-CT'!$J$8=TH!F1595),"x","")</f>
        <v/>
      </c>
      <c r="AC1595" s="84" t="str">
        <f>IF(AND(OR(LEFT(TH!N1595,2)="15",LEFT(TH!O1595,2)="15"),TK!$E$7=TH!F1595),"x","")</f>
        <v/>
      </c>
      <c r="AD1595" s="84" t="str">
        <f>IF(AND(N1595="1521",MONTH(C1595)='BK-NL'!$M$11),"x","")</f>
        <v/>
      </c>
      <c r="AF1595" s="330">
        <v>1</v>
      </c>
    </row>
    <row r="1596" spans="1:32" ht="15.75" hidden="1" customHeight="1">
      <c r="A1596" s="336" t="str">
        <f>IF(B1596&lt;&gt;"",IF(AND(B1596='IN-TC'!$S$4,OR(TH!N1596="1111",TH!O1596="1111")),TH!D1596,""),"")</f>
        <v/>
      </c>
      <c r="B1596" s="63">
        <f t="shared" si="223"/>
        <v>6</v>
      </c>
      <c r="C1596" s="64">
        <v>42537</v>
      </c>
      <c r="D1596" s="64" t="s">
        <v>705</v>
      </c>
      <c r="E1596" s="64">
        <f t="shared" si="221"/>
        <v>42537</v>
      </c>
      <c r="F1596" s="73" t="s">
        <v>1638</v>
      </c>
      <c r="G1596" s="67" t="s">
        <v>919</v>
      </c>
      <c r="H1596" s="73"/>
      <c r="I1596" s="439"/>
      <c r="J1596" s="439"/>
      <c r="K1596" s="430"/>
      <c r="L1596" s="439"/>
      <c r="M1596" s="65">
        <v>2000</v>
      </c>
      <c r="N1596" s="66" t="s">
        <v>9</v>
      </c>
      <c r="O1596" s="66" t="s">
        <v>26</v>
      </c>
      <c r="P1596" s="84" t="str">
        <f>IF(AND('331-CT'!$E$7=TH!H1596,OR(N1596="331",O1596="331")),"x","")</f>
        <v/>
      </c>
      <c r="Q1596" s="84" t="str">
        <f>IF(AND(B1596='111'!$L$11,OR($N1596=$Q$7,$O1596=$Q$7)),"x","")</f>
        <v/>
      </c>
      <c r="R1596" s="84" t="str">
        <f>IF(AND($N1596=$Q$7,$B1596&lt;'111'!$L$11),"x","")</f>
        <v/>
      </c>
      <c r="S1596" s="84" t="str">
        <f>IF(AND($O1596=$Q$7,$B1596&lt;'111'!$L$11),"x","")</f>
        <v/>
      </c>
      <c r="T1596" s="84" t="str">
        <f>IF(ISERROR(FIND('112'!$M$9,G1596,1)),"",IF((AND(FIND('112'!$M$9,G1596,1)&gt;=1,B1596='112'!$K$9,OR($N1596='112'!$I$6,$O1596='112'!$I$6))),"x",""))</f>
        <v>x</v>
      </c>
      <c r="U1596" s="84" t="str">
        <f>IF(ISERROR(FIND('112'!$M$9,G1596,1)),"",IF((AND(LEFT(G1596,2)=LEFT('112'!$M$9,2),B1596&lt;'112'!$K$9,$N1596='112'!$I$6)),"x",""))</f>
        <v/>
      </c>
      <c r="V1596" s="84" t="str">
        <f>IF(ISERROR(FIND('112'!$M$9,G1596,1)),"",IF((AND(RIGHT(G1596,2)=RIGHT('112'!$M$9,2),B1596&lt;'112'!$K$9,$O1596='112'!$I$6)),"x",""))</f>
        <v/>
      </c>
      <c r="W1596" s="84" t="str">
        <f>IF(AND('341-CT'!$H$9=H1596,OR(LEFT(N1596,3)=$W$7,LEFT(O1596,3)=$W$7)),"x","")</f>
        <v/>
      </c>
      <c r="X1596" s="84" t="str">
        <f>IF(OR(TH!N1596=TH!$X$7,O1596=TH!$X$7),"x","")</f>
        <v/>
      </c>
      <c r="Y1596" s="84" t="str">
        <f>IF(AND(OR(N1596="131",O1596="131"),H1596='131-CT'!$H$9),"x","")</f>
        <v/>
      </c>
      <c r="Z1596" s="84"/>
      <c r="AA1596" s="84" t="str">
        <f>IF(AND(MONTH(E1596)='IN-NX'!$J$5,'IN-NX'!$D$7=D1596),"x","")</f>
        <v/>
      </c>
      <c r="AB1596" s="84" t="str">
        <f>IF(AND(OR(LEFT(TH!N1596,2)="15",LEFT(TH!O1596,2)="15"),LEFT(TH!O1596,3)&lt;&gt;"111",'152-CT'!$J$8=TH!F1596),"x","")</f>
        <v/>
      </c>
      <c r="AC1596" s="84" t="str">
        <f>IF(AND(OR(LEFT(TH!N1596,2)="15",LEFT(TH!O1596,2)="15"),TK!$E$7=TH!F1596),"x","")</f>
        <v/>
      </c>
      <c r="AD1596" s="84" t="str">
        <f>IF(AND(N1596="1521",MONTH(C1596)='BK-NL'!$M$11),"x","")</f>
        <v/>
      </c>
    </row>
    <row r="1597" spans="1:32" ht="15.75" hidden="1" customHeight="1">
      <c r="A1597" s="336" t="str">
        <f>IF(B1597&lt;&gt;"",IF(AND(B1597='IN-TC'!$S$4,OR(TH!N1597="1111",TH!O1597="1111")),TH!D1597,""),"")</f>
        <v/>
      </c>
      <c r="B1597" s="63">
        <f t="shared" si="223"/>
        <v>6</v>
      </c>
      <c r="C1597" s="64">
        <v>42537</v>
      </c>
      <c r="D1597" s="64" t="s">
        <v>705</v>
      </c>
      <c r="E1597" s="64">
        <f t="shared" si="221"/>
        <v>42537</v>
      </c>
      <c r="F1597" s="73" t="s">
        <v>1648</v>
      </c>
      <c r="G1597" s="67" t="s">
        <v>919</v>
      </c>
      <c r="H1597" s="73" t="s">
        <v>1434</v>
      </c>
      <c r="I1597" s="439"/>
      <c r="J1597" s="439"/>
      <c r="K1597" s="430"/>
      <c r="L1597" s="439"/>
      <c r="M1597" s="65">
        <v>7920000</v>
      </c>
      <c r="N1597" s="66" t="s">
        <v>8</v>
      </c>
      <c r="O1597" s="66" t="s">
        <v>26</v>
      </c>
      <c r="P1597" s="84" t="str">
        <f>IF(AND('331-CT'!$E$7=TH!H1597,OR(N1597="331",O1597="331")),"x","")</f>
        <v/>
      </c>
      <c r="Q1597" s="84" t="str">
        <f>IF(AND(B1597='111'!$L$11,OR($N1597=$Q$7,$O1597=$Q$7)),"x","")</f>
        <v/>
      </c>
      <c r="R1597" s="84" t="str">
        <f>IF(AND($N1597=$Q$7,$B1597&lt;'111'!$L$11),"x","")</f>
        <v/>
      </c>
      <c r="S1597" s="84" t="str">
        <f>IF(AND($O1597=$Q$7,$B1597&lt;'111'!$L$11),"x","")</f>
        <v/>
      </c>
      <c r="T1597" s="84" t="str">
        <f>IF(ISERROR(FIND('112'!$M$9,G1597,1)),"",IF((AND(FIND('112'!$M$9,G1597,1)&gt;=1,B1597='112'!$K$9,OR($N1597='112'!$I$6,$O1597='112'!$I$6))),"x",""))</f>
        <v>x</v>
      </c>
      <c r="U1597" s="84" t="str">
        <f>IF(ISERROR(FIND('112'!$M$9,G1597,1)),"",IF((AND(LEFT(G1597,2)=LEFT('112'!$M$9,2),B1597&lt;'112'!$K$9,$N1597='112'!$I$6)),"x",""))</f>
        <v/>
      </c>
      <c r="V1597" s="84" t="str">
        <f>IF(ISERROR(FIND('112'!$M$9,G1597,1)),"",IF((AND(RIGHT(G1597,2)=RIGHT('112'!$M$9,2),B1597&lt;'112'!$K$9,$O1597='112'!$I$6)),"x",""))</f>
        <v/>
      </c>
      <c r="W1597" s="84" t="str">
        <f>IF(AND('341-CT'!$H$9=H1597,OR(LEFT(N1597,3)=$W$7,LEFT(O1597,3)=$W$7)),"x","")</f>
        <v/>
      </c>
      <c r="X1597" s="84" t="str">
        <f>IF(OR(TH!N1597=TH!$X$7,O1597=TH!$X$7),"x","")</f>
        <v/>
      </c>
      <c r="Y1597" s="84" t="str">
        <f>IF(AND(OR(N1597="131",O1597="131"),H1597='131-CT'!$H$9),"x","")</f>
        <v/>
      </c>
      <c r="Z1597" s="84"/>
      <c r="AA1597" s="84" t="str">
        <f>IF(AND(MONTH(E1597)='IN-NX'!$J$5,'IN-NX'!$D$7=D1597),"x","")</f>
        <v/>
      </c>
      <c r="AB1597" s="84" t="str">
        <f>IF(AND(OR(LEFT(TH!N1597,2)="15",LEFT(TH!O1597,2)="15"),LEFT(TH!O1597,3)&lt;&gt;"111",'152-CT'!$J$8=TH!F1597),"x","")</f>
        <v/>
      </c>
      <c r="AC1597" s="84" t="str">
        <f>IF(AND(OR(LEFT(TH!N1597,2)="15",LEFT(TH!O1597,2)="15"),TK!$E$7=TH!F1597),"x","")</f>
        <v/>
      </c>
      <c r="AD1597" s="84" t="str">
        <f>IF(AND(N1597="1521",MONTH(C1597)='BK-NL'!$M$11),"x","")</f>
        <v/>
      </c>
      <c r="AE1597" s="1146" t="str">
        <f>IF(H1597&lt;&gt;VLOOKUP(H1597,DSKH,1,0),"","x")</f>
        <v>x</v>
      </c>
    </row>
    <row r="1598" spans="1:32" ht="15.75" hidden="1" customHeight="1">
      <c r="A1598" s="336" t="str">
        <f>IF(B1598&lt;&gt;"",IF(AND(B1598='IN-TC'!$S$4,OR(TH!N1598="1111",TH!O1598="1111")),TH!D1598,""),"")</f>
        <v/>
      </c>
      <c r="B1598" s="63">
        <f t="shared" si="223"/>
        <v>6</v>
      </c>
      <c r="C1598" s="64">
        <v>42537</v>
      </c>
      <c r="D1598" s="64" t="s">
        <v>705</v>
      </c>
      <c r="E1598" s="64">
        <f t="shared" si="221"/>
        <v>42537</v>
      </c>
      <c r="F1598" s="73" t="s">
        <v>1176</v>
      </c>
      <c r="G1598" s="67" t="s">
        <v>919</v>
      </c>
      <c r="H1598" s="73"/>
      <c r="I1598" s="439"/>
      <c r="J1598" s="439"/>
      <c r="K1598" s="430"/>
      <c r="L1598" s="439"/>
      <c r="M1598" s="65">
        <v>20000</v>
      </c>
      <c r="N1598" s="66" t="s">
        <v>101</v>
      </c>
      <c r="O1598" s="66" t="s">
        <v>26</v>
      </c>
      <c r="P1598" s="84" t="str">
        <f>IF(AND('331-CT'!$E$7=TH!H1598,OR(N1598="331",O1598="331")),"x","")</f>
        <v/>
      </c>
      <c r="Q1598" s="84" t="str">
        <f>IF(AND(B1598='111'!$L$11,OR($N1598=$Q$7,$O1598=$Q$7)),"x","")</f>
        <v/>
      </c>
      <c r="R1598" s="84" t="str">
        <f>IF(AND($N1598=$Q$7,$B1598&lt;'111'!$L$11),"x","")</f>
        <v/>
      </c>
      <c r="S1598" s="84" t="str">
        <f>IF(AND($O1598=$Q$7,$B1598&lt;'111'!$L$11),"x","")</f>
        <v/>
      </c>
      <c r="T1598" s="84" t="str">
        <f>IF(ISERROR(FIND('112'!$M$9,G1598,1)),"",IF((AND(FIND('112'!$M$9,G1598,1)&gt;=1,B1598='112'!$K$9,OR($N1598='112'!$I$6,$O1598='112'!$I$6))),"x",""))</f>
        <v>x</v>
      </c>
      <c r="U1598" s="84" t="str">
        <f>IF(ISERROR(FIND('112'!$M$9,G1598,1)),"",IF((AND(LEFT(G1598,2)=LEFT('112'!$M$9,2),B1598&lt;'112'!$K$9,$N1598='112'!$I$6)),"x",""))</f>
        <v/>
      </c>
      <c r="V1598" s="84" t="str">
        <f>IF(ISERROR(FIND('112'!$M$9,G1598,1)),"",IF((AND(RIGHT(G1598,2)=RIGHT('112'!$M$9,2),B1598&lt;'112'!$K$9,$O1598='112'!$I$6)),"x",""))</f>
        <v/>
      </c>
      <c r="W1598" s="84" t="str">
        <f>IF(AND('341-CT'!$H$9=H1598,OR(LEFT(N1598,3)=$W$7,LEFT(O1598,3)=$W$7)),"x","")</f>
        <v/>
      </c>
      <c r="X1598" s="84" t="str">
        <f>IF(OR(TH!N1598=TH!$X$7,O1598=TH!$X$7),"x","")</f>
        <v/>
      </c>
      <c r="Y1598" s="84" t="str">
        <f>IF(AND(OR(N1598="131",O1598="131"),H1598='131-CT'!$H$9),"x","")</f>
        <v/>
      </c>
      <c r="Z1598" s="84"/>
      <c r="AA1598" s="84" t="str">
        <f>IF(AND(MONTH(E1598)='IN-NX'!$J$5,'IN-NX'!$D$7=D1598),"x","")</f>
        <v/>
      </c>
      <c r="AB1598" s="84" t="str">
        <f>IF(AND(OR(LEFT(TH!N1598,2)="15",LEFT(TH!O1598,2)="15"),LEFT(TH!O1598,3)&lt;&gt;"111",'152-CT'!$J$8=TH!F1598),"x","")</f>
        <v/>
      </c>
      <c r="AC1598" s="84" t="str">
        <f>IF(AND(OR(LEFT(TH!N1598,2)="15",LEFT(TH!O1598,2)="15"),TK!$E$7=TH!F1598),"x","")</f>
        <v/>
      </c>
      <c r="AD1598" s="84" t="str">
        <f>IF(AND(N1598="1521",MONTH(C1598)='BK-NL'!$M$11),"x","")</f>
        <v/>
      </c>
      <c r="AF1598" s="330">
        <v>1</v>
      </c>
    </row>
    <row r="1599" spans="1:32" ht="15.75" hidden="1" customHeight="1">
      <c r="A1599" s="336" t="str">
        <f>IF(B1599&lt;&gt;"",IF(AND(B1599='IN-TC'!$S$4,OR(TH!N1599="1111",TH!O1599="1111")),TH!D1599,""),"")</f>
        <v/>
      </c>
      <c r="B1599" s="63">
        <f t="shared" si="223"/>
        <v>6</v>
      </c>
      <c r="C1599" s="64">
        <v>42537</v>
      </c>
      <c r="D1599" s="64" t="s">
        <v>705</v>
      </c>
      <c r="E1599" s="64">
        <f t="shared" si="221"/>
        <v>42537</v>
      </c>
      <c r="F1599" s="73" t="s">
        <v>1638</v>
      </c>
      <c r="G1599" s="67" t="s">
        <v>919</v>
      </c>
      <c r="H1599" s="73"/>
      <c r="I1599" s="439"/>
      <c r="J1599" s="439"/>
      <c r="K1599" s="430"/>
      <c r="L1599" s="439"/>
      <c r="M1599" s="65">
        <v>2000</v>
      </c>
      <c r="N1599" s="66" t="s">
        <v>9</v>
      </c>
      <c r="O1599" s="66" t="s">
        <v>26</v>
      </c>
      <c r="P1599" s="84" t="str">
        <f>IF(AND('331-CT'!$E$7=TH!H1599,OR(N1599="331",O1599="331")),"x","")</f>
        <v/>
      </c>
      <c r="Q1599" s="84" t="str">
        <f>IF(AND(B1599='111'!$L$11,OR($N1599=$Q$7,$O1599=$Q$7)),"x","")</f>
        <v/>
      </c>
      <c r="R1599" s="84" t="str">
        <f>IF(AND($N1599=$Q$7,$B1599&lt;'111'!$L$11),"x","")</f>
        <v/>
      </c>
      <c r="S1599" s="84" t="str">
        <f>IF(AND($O1599=$Q$7,$B1599&lt;'111'!$L$11),"x","")</f>
        <v/>
      </c>
      <c r="T1599" s="84" t="str">
        <f>IF(ISERROR(FIND('112'!$M$9,G1599,1)),"",IF((AND(FIND('112'!$M$9,G1599,1)&gt;=1,B1599='112'!$K$9,OR($N1599='112'!$I$6,$O1599='112'!$I$6))),"x",""))</f>
        <v>x</v>
      </c>
      <c r="U1599" s="84" t="str">
        <f>IF(ISERROR(FIND('112'!$M$9,G1599,1)),"",IF((AND(LEFT(G1599,2)=LEFT('112'!$M$9,2),B1599&lt;'112'!$K$9,$N1599='112'!$I$6)),"x",""))</f>
        <v/>
      </c>
      <c r="V1599" s="84" t="str">
        <f>IF(ISERROR(FIND('112'!$M$9,G1599,1)),"",IF((AND(RIGHT(G1599,2)=RIGHT('112'!$M$9,2),B1599&lt;'112'!$K$9,$O1599='112'!$I$6)),"x",""))</f>
        <v/>
      </c>
      <c r="W1599" s="84" t="str">
        <f>IF(AND('341-CT'!$H$9=H1599,OR(LEFT(N1599,3)=$W$7,LEFT(O1599,3)=$W$7)),"x","")</f>
        <v/>
      </c>
      <c r="X1599" s="84" t="str">
        <f>IF(OR(TH!N1599=TH!$X$7,O1599=TH!$X$7),"x","")</f>
        <v/>
      </c>
      <c r="Y1599" s="84" t="str">
        <f>IF(AND(OR(N1599="131",O1599="131"),H1599='131-CT'!$H$9),"x","")</f>
        <v/>
      </c>
      <c r="Z1599" s="84"/>
      <c r="AA1599" s="84" t="str">
        <f>IF(AND(MONTH(E1599)='IN-NX'!$J$5,'IN-NX'!$D$7=D1599),"x","")</f>
        <v/>
      </c>
      <c r="AB1599" s="84" t="str">
        <f>IF(AND(OR(LEFT(TH!N1599,2)="15",LEFT(TH!O1599,2)="15"),LEFT(TH!O1599,3)&lt;&gt;"111",'152-CT'!$J$8=TH!F1599),"x","")</f>
        <v/>
      </c>
      <c r="AC1599" s="84" t="str">
        <f>IF(AND(OR(LEFT(TH!N1599,2)="15",LEFT(TH!O1599,2)="15"),TK!$E$7=TH!F1599),"x","")</f>
        <v/>
      </c>
      <c r="AD1599" s="84" t="str">
        <f>IF(AND(N1599="1521",MONTH(C1599)='BK-NL'!$M$11),"x","")</f>
        <v/>
      </c>
    </row>
    <row r="1600" spans="1:32" ht="15.75" hidden="1" customHeight="1">
      <c r="A1600" s="336" t="str">
        <f>IF(B1600&lt;&gt;"",IF(AND(B1600='IN-TC'!$S$4,OR(TH!N1600="1111",TH!O1600="1111")),TH!D1600,""),"")</f>
        <v/>
      </c>
      <c r="B1600" s="63">
        <f t="shared" si="223"/>
        <v>6</v>
      </c>
      <c r="C1600" s="64">
        <v>42537</v>
      </c>
      <c r="D1600" s="64" t="s">
        <v>705</v>
      </c>
      <c r="E1600" s="64">
        <f t="shared" si="221"/>
        <v>42537</v>
      </c>
      <c r="F1600" s="73" t="s">
        <v>1645</v>
      </c>
      <c r="G1600" s="67" t="s">
        <v>919</v>
      </c>
      <c r="H1600" s="344" t="s">
        <v>631</v>
      </c>
      <c r="I1600" s="439"/>
      <c r="J1600" s="439"/>
      <c r="K1600" s="430"/>
      <c r="L1600" s="439"/>
      <c r="M1600" s="65">
        <v>40000000</v>
      </c>
      <c r="N1600" s="66" t="s">
        <v>8</v>
      </c>
      <c r="O1600" s="66" t="s">
        <v>26</v>
      </c>
      <c r="P1600" s="84" t="str">
        <f>IF(AND('331-CT'!$E$7=TH!H1600,OR(N1600="331",O1600="331")),"x","")</f>
        <v/>
      </c>
      <c r="Q1600" s="84" t="str">
        <f>IF(AND(B1600='111'!$L$11,OR($N1600=$Q$7,$O1600=$Q$7)),"x","")</f>
        <v/>
      </c>
      <c r="R1600" s="84" t="str">
        <f>IF(AND($N1600=$Q$7,$B1600&lt;'111'!$L$11),"x","")</f>
        <v/>
      </c>
      <c r="S1600" s="84" t="str">
        <f>IF(AND($O1600=$Q$7,$B1600&lt;'111'!$L$11),"x","")</f>
        <v/>
      </c>
      <c r="T1600" s="84" t="str">
        <f>IF(ISERROR(FIND('112'!$M$9,G1600,1)),"",IF((AND(FIND('112'!$M$9,G1600,1)&gt;=1,B1600='112'!$K$9,OR($N1600='112'!$I$6,$O1600='112'!$I$6))),"x",""))</f>
        <v>x</v>
      </c>
      <c r="U1600" s="84" t="str">
        <f>IF(ISERROR(FIND('112'!$M$9,G1600,1)),"",IF((AND(LEFT(G1600,2)=LEFT('112'!$M$9,2),B1600&lt;'112'!$K$9,$N1600='112'!$I$6)),"x",""))</f>
        <v/>
      </c>
      <c r="V1600" s="84" t="str">
        <f>IF(ISERROR(FIND('112'!$M$9,G1600,1)),"",IF((AND(RIGHT(G1600,2)=RIGHT('112'!$M$9,2),B1600&lt;'112'!$K$9,$O1600='112'!$I$6)),"x",""))</f>
        <v/>
      </c>
      <c r="W1600" s="84" t="str">
        <f>IF(AND('341-CT'!$H$9=H1600,OR(LEFT(N1600,3)=$W$7,LEFT(O1600,3)=$W$7)),"x","")</f>
        <v/>
      </c>
      <c r="X1600" s="84" t="str">
        <f>IF(OR(TH!N1600=TH!$X$7,O1600=TH!$X$7),"x","")</f>
        <v/>
      </c>
      <c r="Y1600" s="84" t="str">
        <f>IF(AND(OR(N1600="131",O1600="131"),H1600='131-CT'!$H$9),"x","")</f>
        <v/>
      </c>
      <c r="Z1600" s="84"/>
      <c r="AA1600" s="84" t="str">
        <f>IF(AND(MONTH(E1600)='IN-NX'!$J$5,'IN-NX'!$D$7=D1600),"x","")</f>
        <v/>
      </c>
      <c r="AB1600" s="84" t="str">
        <f>IF(AND(OR(LEFT(TH!N1600,2)="15",LEFT(TH!O1600,2)="15"),LEFT(TH!O1600,3)&lt;&gt;"111",'152-CT'!$J$8=TH!F1600),"x","")</f>
        <v/>
      </c>
      <c r="AC1600" s="84" t="str">
        <f>IF(AND(OR(LEFT(TH!N1600,2)="15",LEFT(TH!O1600,2)="15"),TK!$E$7=TH!F1600),"x","")</f>
        <v/>
      </c>
      <c r="AD1600" s="84" t="str">
        <f>IF(AND(N1600="1521",MONTH(C1600)='BK-NL'!$M$11),"x","")</f>
        <v/>
      </c>
      <c r="AE1600" s="1146" t="str">
        <f>IF(H1600&lt;&gt;VLOOKUP(H1600,DSKH,1,0),"","x")</f>
        <v>x</v>
      </c>
    </row>
    <row r="1601" spans="1:32" ht="15.75" hidden="1" customHeight="1">
      <c r="A1601" s="336" t="str">
        <f>IF(B1601&lt;&gt;"",IF(AND(B1601='IN-TC'!$S$4,OR(TH!N1601="1111",TH!O1601="1111")),TH!D1601,""),"")</f>
        <v/>
      </c>
      <c r="B1601" s="63">
        <f t="shared" si="223"/>
        <v>6</v>
      </c>
      <c r="C1601" s="64">
        <v>42537</v>
      </c>
      <c r="D1601" s="64" t="s">
        <v>705</v>
      </c>
      <c r="E1601" s="64">
        <f t="shared" si="221"/>
        <v>42537</v>
      </c>
      <c r="F1601" s="73" t="s">
        <v>1176</v>
      </c>
      <c r="G1601" s="67" t="s">
        <v>919</v>
      </c>
      <c r="H1601" s="73"/>
      <c r="I1601" s="439"/>
      <c r="J1601" s="439"/>
      <c r="K1601" s="430"/>
      <c r="L1601" s="439"/>
      <c r="M1601" s="65">
        <v>20000</v>
      </c>
      <c r="N1601" s="66" t="s">
        <v>101</v>
      </c>
      <c r="O1601" s="66" t="s">
        <v>26</v>
      </c>
      <c r="P1601" s="84" t="str">
        <f>IF(AND('331-CT'!$E$7=TH!H1601,OR(N1601="331",O1601="331")),"x","")</f>
        <v/>
      </c>
      <c r="Q1601" s="84" t="str">
        <f>IF(AND(B1601='111'!$L$11,OR($N1601=$Q$7,$O1601=$Q$7)),"x","")</f>
        <v/>
      </c>
      <c r="R1601" s="84" t="str">
        <f>IF(AND($N1601=$Q$7,$B1601&lt;'111'!$L$11),"x","")</f>
        <v/>
      </c>
      <c r="S1601" s="84" t="str">
        <f>IF(AND($O1601=$Q$7,$B1601&lt;'111'!$L$11),"x","")</f>
        <v/>
      </c>
      <c r="T1601" s="84" t="str">
        <f>IF(ISERROR(FIND('112'!$M$9,G1601,1)),"",IF((AND(FIND('112'!$M$9,G1601,1)&gt;=1,B1601='112'!$K$9,OR($N1601='112'!$I$6,$O1601='112'!$I$6))),"x",""))</f>
        <v>x</v>
      </c>
      <c r="U1601" s="84" t="str">
        <f>IF(ISERROR(FIND('112'!$M$9,G1601,1)),"",IF((AND(LEFT(G1601,2)=LEFT('112'!$M$9,2),B1601&lt;'112'!$K$9,$N1601='112'!$I$6)),"x",""))</f>
        <v/>
      </c>
      <c r="V1601" s="84" t="str">
        <f>IF(ISERROR(FIND('112'!$M$9,G1601,1)),"",IF((AND(RIGHT(G1601,2)=RIGHT('112'!$M$9,2),B1601&lt;'112'!$K$9,$O1601='112'!$I$6)),"x",""))</f>
        <v/>
      </c>
      <c r="W1601" s="84" t="str">
        <f>IF(AND('341-CT'!$H$9=H1601,OR(LEFT(N1601,3)=$W$7,LEFT(O1601,3)=$W$7)),"x","")</f>
        <v/>
      </c>
      <c r="X1601" s="84" t="str">
        <f>IF(OR(TH!N1601=TH!$X$7,O1601=TH!$X$7),"x","")</f>
        <v/>
      </c>
      <c r="Y1601" s="84" t="str">
        <f>IF(AND(OR(N1601="131",O1601="131"),H1601='131-CT'!$H$9),"x","")</f>
        <v/>
      </c>
      <c r="Z1601" s="84"/>
      <c r="AA1601" s="84" t="str">
        <f>IF(AND(MONTH(E1601)='IN-NX'!$J$5,'IN-NX'!$D$7=D1601),"x","")</f>
        <v/>
      </c>
      <c r="AB1601" s="84" t="str">
        <f>IF(AND(OR(LEFT(TH!N1601,2)="15",LEFT(TH!O1601,2)="15"),LEFT(TH!O1601,3)&lt;&gt;"111",'152-CT'!$J$8=TH!F1601),"x","")</f>
        <v/>
      </c>
      <c r="AC1601" s="84" t="str">
        <f>IF(AND(OR(LEFT(TH!N1601,2)="15",LEFT(TH!O1601,2)="15"),TK!$E$7=TH!F1601),"x","")</f>
        <v/>
      </c>
      <c r="AD1601" s="84" t="str">
        <f>IF(AND(N1601="1521",MONTH(C1601)='BK-NL'!$M$11),"x","")</f>
        <v/>
      </c>
      <c r="AF1601" s="330">
        <v>1</v>
      </c>
    </row>
    <row r="1602" spans="1:32" ht="15.75" hidden="1" customHeight="1">
      <c r="A1602" s="336" t="str">
        <f>IF(B1602&lt;&gt;"",IF(AND(B1602='IN-TC'!$S$4,OR(TH!N1602="1111",TH!O1602="1111")),TH!D1602,""),"")</f>
        <v/>
      </c>
      <c r="B1602" s="63">
        <f t="shared" si="223"/>
        <v>6</v>
      </c>
      <c r="C1602" s="64">
        <v>42537</v>
      </c>
      <c r="D1602" s="64" t="s">
        <v>705</v>
      </c>
      <c r="E1602" s="64">
        <f t="shared" si="221"/>
        <v>42537</v>
      </c>
      <c r="F1602" s="73" t="s">
        <v>1638</v>
      </c>
      <c r="G1602" s="67" t="s">
        <v>919</v>
      </c>
      <c r="H1602" s="73"/>
      <c r="I1602" s="439"/>
      <c r="J1602" s="439"/>
      <c r="K1602" s="430"/>
      <c r="L1602" s="439"/>
      <c r="M1602" s="65">
        <v>2000</v>
      </c>
      <c r="N1602" s="66" t="s">
        <v>9</v>
      </c>
      <c r="O1602" s="66" t="s">
        <v>26</v>
      </c>
      <c r="P1602" s="84" t="str">
        <f>IF(AND('331-CT'!$E$7=TH!H1602,OR(N1602="331",O1602="331")),"x","")</f>
        <v/>
      </c>
      <c r="Q1602" s="84" t="str">
        <f>IF(AND(B1602='111'!$L$11,OR($N1602=$Q$7,$O1602=$Q$7)),"x","")</f>
        <v/>
      </c>
      <c r="R1602" s="84" t="str">
        <f>IF(AND($N1602=$Q$7,$B1602&lt;'111'!$L$11),"x","")</f>
        <v/>
      </c>
      <c r="S1602" s="84" t="str">
        <f>IF(AND($O1602=$Q$7,$B1602&lt;'111'!$L$11),"x","")</f>
        <v/>
      </c>
      <c r="T1602" s="84" t="str">
        <f>IF(ISERROR(FIND('112'!$M$9,G1602,1)),"",IF((AND(FIND('112'!$M$9,G1602,1)&gt;=1,B1602='112'!$K$9,OR($N1602='112'!$I$6,$O1602='112'!$I$6))),"x",""))</f>
        <v>x</v>
      </c>
      <c r="U1602" s="84" t="str">
        <f>IF(ISERROR(FIND('112'!$M$9,G1602,1)),"",IF((AND(LEFT(G1602,2)=LEFT('112'!$M$9,2),B1602&lt;'112'!$K$9,$N1602='112'!$I$6)),"x",""))</f>
        <v/>
      </c>
      <c r="V1602" s="84" t="str">
        <f>IF(ISERROR(FIND('112'!$M$9,G1602,1)),"",IF((AND(RIGHT(G1602,2)=RIGHT('112'!$M$9,2),B1602&lt;'112'!$K$9,$O1602='112'!$I$6)),"x",""))</f>
        <v/>
      </c>
      <c r="W1602" s="84" t="str">
        <f>IF(AND('341-CT'!$H$9=H1602,OR(LEFT(N1602,3)=$W$7,LEFT(O1602,3)=$W$7)),"x","")</f>
        <v/>
      </c>
      <c r="X1602" s="84" t="str">
        <f>IF(OR(TH!N1602=TH!$X$7,O1602=TH!$X$7),"x","")</f>
        <v/>
      </c>
      <c r="Y1602" s="84" t="str">
        <f>IF(AND(OR(N1602="131",O1602="131"),H1602='131-CT'!$H$9),"x","")</f>
        <v/>
      </c>
      <c r="Z1602" s="84"/>
      <c r="AA1602" s="84" t="str">
        <f>IF(AND(MONTH(E1602)='IN-NX'!$J$5,'IN-NX'!$D$7=D1602),"x","")</f>
        <v/>
      </c>
      <c r="AB1602" s="84" t="str">
        <f>IF(AND(OR(LEFT(TH!N1602,2)="15",LEFT(TH!O1602,2)="15"),LEFT(TH!O1602,3)&lt;&gt;"111",'152-CT'!$J$8=TH!F1602),"x","")</f>
        <v/>
      </c>
      <c r="AC1602" s="84" t="str">
        <f>IF(AND(OR(LEFT(TH!N1602,2)="15",LEFT(TH!O1602,2)="15"),TK!$E$7=TH!F1602),"x","")</f>
        <v/>
      </c>
      <c r="AD1602" s="84" t="str">
        <f>IF(AND(N1602="1521",MONTH(C1602)='BK-NL'!$M$11),"x","")</f>
        <v/>
      </c>
    </row>
    <row r="1603" spans="1:32" ht="15.75" hidden="1" customHeight="1">
      <c r="A1603" s="336" t="str">
        <f>IF(B1603&lt;&gt;"",IF(AND(B1603='IN-TC'!$S$4,OR(TH!N1603="1111",TH!O1603="1111")),TH!D1603,""),"")</f>
        <v/>
      </c>
      <c r="B1603" s="63">
        <f t="shared" si="223"/>
        <v>6</v>
      </c>
      <c r="C1603" s="64">
        <v>42538</v>
      </c>
      <c r="D1603" s="64" t="s">
        <v>883</v>
      </c>
      <c r="E1603" s="64">
        <v>42538</v>
      </c>
      <c r="F1603" s="73" t="s">
        <v>797</v>
      </c>
      <c r="G1603" s="982" t="s">
        <v>1581</v>
      </c>
      <c r="H1603" s="73" t="s">
        <v>1477</v>
      </c>
      <c r="I1603" s="439"/>
      <c r="J1603" s="439"/>
      <c r="K1603" s="430"/>
      <c r="L1603" s="439"/>
      <c r="M1603" s="65">
        <v>354533</v>
      </c>
      <c r="N1603" s="66" t="s">
        <v>101</v>
      </c>
      <c r="O1603" s="66" t="s">
        <v>63</v>
      </c>
      <c r="P1603" s="84" t="str">
        <f>IF(AND('331-CT'!$E$7=TH!H1603,OR(N1603="331",O1603="331")),"x","")</f>
        <v/>
      </c>
      <c r="Q1603" s="84" t="str">
        <f>IF(AND(B1603='111'!$L$11,OR($N1603=$Q$7,$O1603=$Q$7)),"x","")</f>
        <v/>
      </c>
      <c r="R1603" s="84" t="str">
        <f>IF(AND($N1603=$Q$7,$B1603&lt;'111'!$L$11),"x","")</f>
        <v/>
      </c>
      <c r="S1603" s="84" t="str">
        <f>IF(AND($O1603=$Q$7,$B1603&lt;'111'!$L$11),"x","")</f>
        <v/>
      </c>
      <c r="T1603" s="84" t="str">
        <f>IF(ISERROR(FIND('112'!$M$9,G1603,1)),"",IF((AND(FIND('112'!$M$9,G1603,1)&gt;=1,B1603='112'!$K$9,OR($N1603='112'!$I$6,$O1603='112'!$I$6))),"x",""))</f>
        <v/>
      </c>
      <c r="U1603" s="84" t="str">
        <f>IF(ISERROR(FIND('112'!$M$9,G1603,1)),"",IF((AND(LEFT(G1603,2)=LEFT('112'!$M$9,2),B1603&lt;'112'!$K$9,$N1603='112'!$I$6)),"x",""))</f>
        <v/>
      </c>
      <c r="V1603" s="84" t="str">
        <f>IF(ISERROR(FIND('112'!$M$9,G1603,1)),"",IF((AND(RIGHT(G1603,2)=RIGHT('112'!$M$9,2),B1603&lt;'112'!$K$9,$O1603='112'!$I$6)),"x",""))</f>
        <v/>
      </c>
      <c r="W1603" s="84" t="str">
        <f>IF(AND('341-CT'!$H$9=H1603,OR(LEFT(N1603,3)=$W$7,LEFT(O1603,3)=$W$7)),"x","")</f>
        <v/>
      </c>
      <c r="X1603" s="84" t="str">
        <f>IF(OR(TH!N1603=TH!$X$7,O1603=TH!$X$7),"x","")</f>
        <v/>
      </c>
      <c r="Y1603" s="84" t="str">
        <f>IF(AND(OR(N1603="131",O1603="131"),H1603='131-CT'!$H$9),"x","")</f>
        <v/>
      </c>
      <c r="Z1603" s="84"/>
      <c r="AA1603" s="84" t="str">
        <f>IF(AND(MONTH(E1603)='IN-NX'!$J$5,'IN-NX'!$D$7=D1603),"x","")</f>
        <v/>
      </c>
      <c r="AB1603" s="84" t="str">
        <f>IF(AND(OR(LEFT(TH!N1603,2)="15",LEFT(TH!O1603,2)="15"),LEFT(TH!O1603,3)&lt;&gt;"111",'152-CT'!$J$8=TH!F1603),"x","")</f>
        <v/>
      </c>
      <c r="AC1603" s="84" t="str">
        <f>IF(AND(OR(LEFT(TH!N1603,2)="15",LEFT(TH!O1603,2)="15"),TK!$E$7=TH!F1603),"x","")</f>
        <v/>
      </c>
      <c r="AD1603" s="84" t="str">
        <f>IF(AND(N1603="1521",MONTH(C1603)='BK-NL'!$M$11),"x","")</f>
        <v/>
      </c>
      <c r="AF1603" s="330">
        <v>1</v>
      </c>
    </row>
    <row r="1604" spans="1:32" ht="15.75" hidden="1" customHeight="1">
      <c r="A1604" s="336" t="str">
        <f>IF(B1604&lt;&gt;"",IF(AND(B1604='IN-TC'!$S$4,OR(TH!N1604="1111",TH!O1604="1111")),TH!D1604,""),"")</f>
        <v/>
      </c>
      <c r="B1604" s="63">
        <f t="shared" si="223"/>
        <v>6</v>
      </c>
      <c r="C1604" s="64">
        <v>42538</v>
      </c>
      <c r="D1604" s="64" t="s">
        <v>883</v>
      </c>
      <c r="E1604" s="64">
        <v>42538</v>
      </c>
      <c r="F1604" s="73" t="s">
        <v>798</v>
      </c>
      <c r="G1604" s="982" t="s">
        <v>1581</v>
      </c>
      <c r="H1604" s="73" t="s">
        <v>1477</v>
      </c>
      <c r="I1604" s="439"/>
      <c r="J1604" s="439"/>
      <c r="K1604" s="430"/>
      <c r="L1604" s="439"/>
      <c r="M1604" s="65">
        <v>35456</v>
      </c>
      <c r="N1604" s="66" t="s">
        <v>9</v>
      </c>
      <c r="O1604" s="66" t="s">
        <v>63</v>
      </c>
      <c r="P1604" s="84" t="str">
        <f>IF(AND('331-CT'!$E$7=TH!H1604,OR(N1604="331",O1604="331")),"x","")</f>
        <v/>
      </c>
      <c r="Q1604" s="84" t="str">
        <f>IF(AND(B1604='111'!$L$11,OR($N1604=$Q$7,$O1604=$Q$7)),"x","")</f>
        <v/>
      </c>
      <c r="R1604" s="84" t="str">
        <f>IF(AND($N1604=$Q$7,$B1604&lt;'111'!$L$11),"x","")</f>
        <v/>
      </c>
      <c r="S1604" s="84" t="str">
        <f>IF(AND($O1604=$Q$7,$B1604&lt;'111'!$L$11),"x","")</f>
        <v/>
      </c>
      <c r="T1604" s="84" t="str">
        <f>IF(ISERROR(FIND('112'!$M$9,G1604,1)),"",IF((AND(FIND('112'!$M$9,G1604,1)&gt;=1,B1604='112'!$K$9,OR($N1604='112'!$I$6,$O1604='112'!$I$6))),"x",""))</f>
        <v/>
      </c>
      <c r="U1604" s="84" t="str">
        <f>IF(ISERROR(FIND('112'!$M$9,G1604,1)),"",IF((AND(LEFT(G1604,2)=LEFT('112'!$M$9,2),B1604&lt;'112'!$K$9,$N1604='112'!$I$6)),"x",""))</f>
        <v/>
      </c>
      <c r="V1604" s="84" t="str">
        <f>IF(ISERROR(FIND('112'!$M$9,G1604,1)),"",IF((AND(RIGHT(G1604,2)=RIGHT('112'!$M$9,2),B1604&lt;'112'!$K$9,$O1604='112'!$I$6)),"x",""))</f>
        <v/>
      </c>
      <c r="W1604" s="84" t="str">
        <f>IF(AND('341-CT'!$H$9=H1604,OR(LEFT(N1604,3)=$W$7,LEFT(O1604,3)=$W$7)),"x","")</f>
        <v/>
      </c>
      <c r="X1604" s="84" t="str">
        <f>IF(OR(TH!N1604=TH!$X$7,O1604=TH!$X$7),"x","")</f>
        <v/>
      </c>
      <c r="Y1604" s="84" t="str">
        <f>IF(AND(OR(N1604="131",O1604="131"),H1604='131-CT'!$H$9),"x","")</f>
        <v/>
      </c>
      <c r="Z1604" s="84"/>
      <c r="AA1604" s="84" t="str">
        <f>IF(AND(MONTH(E1604)='IN-NX'!$J$5,'IN-NX'!$D$7=D1604),"x","")</f>
        <v/>
      </c>
      <c r="AB1604" s="84" t="str">
        <f>IF(AND(OR(LEFT(TH!N1604,2)="15",LEFT(TH!O1604,2)="15"),LEFT(TH!O1604,3)&lt;&gt;"111",'152-CT'!$J$8=TH!F1604),"x","")</f>
        <v/>
      </c>
      <c r="AC1604" s="84" t="str">
        <f>IF(AND(OR(LEFT(TH!N1604,2)="15",LEFT(TH!O1604,2)="15"),TK!$E$7=TH!F1604),"x","")</f>
        <v/>
      </c>
      <c r="AD1604" s="84" t="str">
        <f>IF(AND(N1604="1521",MONTH(C1604)='BK-NL'!$M$11),"x","")</f>
        <v/>
      </c>
    </row>
    <row r="1605" spans="1:32" ht="15.75" hidden="1" customHeight="1">
      <c r="A1605" s="336" t="str">
        <f>IF(B1605&lt;&gt;"",IF(AND(B1605='IN-TC'!$S$4,OR(TH!N1605="1111",TH!O1605="1111")),TH!D1605,""),"")</f>
        <v/>
      </c>
      <c r="B1605" s="63">
        <f t="shared" si="223"/>
        <v>6</v>
      </c>
      <c r="C1605" s="64">
        <v>42538</v>
      </c>
      <c r="D1605" s="64" t="s">
        <v>910</v>
      </c>
      <c r="E1605" s="64">
        <v>42538</v>
      </c>
      <c r="F1605" s="73" t="s">
        <v>1146</v>
      </c>
      <c r="G1605" s="67" t="s">
        <v>919</v>
      </c>
      <c r="H1605" s="73" t="s">
        <v>763</v>
      </c>
      <c r="I1605" s="439"/>
      <c r="J1605" s="439"/>
      <c r="K1605" s="430"/>
      <c r="L1605" s="439"/>
      <c r="M1605" s="65">
        <v>40000000</v>
      </c>
      <c r="N1605" s="66" t="s">
        <v>63</v>
      </c>
      <c r="O1605" s="66" t="s">
        <v>26</v>
      </c>
      <c r="P1605" s="84" t="str">
        <f>IF(AND('331-CT'!$E$7=TH!H1605,OR(N1605="331",O1605="331")),"x","")</f>
        <v/>
      </c>
      <c r="Q1605" s="84" t="str">
        <f>IF(AND(B1605='111'!$L$11,OR($N1605=$Q$7,$O1605=$Q$7)),"x","")</f>
        <v/>
      </c>
      <c r="R1605" s="84" t="str">
        <f>IF(AND($N1605=$Q$7,$B1605&lt;'111'!$L$11),"x","")</f>
        <v/>
      </c>
      <c r="S1605" s="84" t="str">
        <f>IF(AND($O1605=$Q$7,$B1605&lt;'111'!$L$11),"x","")</f>
        <v/>
      </c>
      <c r="T1605" s="84" t="str">
        <f>IF(ISERROR(FIND('112'!$M$9,G1605,1)),"",IF((AND(FIND('112'!$M$9,G1605,1)&gt;=1,B1605='112'!$K$9,OR($N1605='112'!$I$6,$O1605='112'!$I$6))),"x",""))</f>
        <v>x</v>
      </c>
      <c r="U1605" s="84" t="str">
        <f>IF(ISERROR(FIND('112'!$M$9,G1605,1)),"",IF((AND(LEFT(G1605,2)=LEFT('112'!$M$9,2),B1605&lt;'112'!$K$9,$N1605='112'!$I$6)),"x",""))</f>
        <v/>
      </c>
      <c r="V1605" s="84" t="str">
        <f>IF(ISERROR(FIND('112'!$M$9,G1605,1)),"",IF((AND(RIGHT(G1605,2)=RIGHT('112'!$M$9,2),B1605&lt;'112'!$K$9,$O1605='112'!$I$6)),"x",""))</f>
        <v/>
      </c>
      <c r="W1605" s="84" t="str">
        <f>IF(AND('341-CT'!$H$9=H1605,OR(LEFT(N1605,3)=$W$7,LEFT(O1605,3)=$W$7)),"x","")</f>
        <v/>
      </c>
      <c r="X1605" s="84" t="str">
        <f>IF(OR(TH!N1605=TH!$X$7,O1605=TH!$X$7),"x","")</f>
        <v/>
      </c>
      <c r="Y1605" s="84" t="str">
        <f>IF(AND(OR(N1605="131",O1605="131"),H1605='131-CT'!$H$9),"x","")</f>
        <v/>
      </c>
      <c r="Z1605" s="84"/>
      <c r="AA1605" s="84" t="str">
        <f>IF(AND(MONTH(E1605)='IN-NX'!$J$5,'IN-NX'!$D$7=D1605),"x","")</f>
        <v/>
      </c>
      <c r="AB1605" s="84" t="str">
        <f>IF(AND(OR(LEFT(TH!N1605,2)="15",LEFT(TH!O1605,2)="15"),LEFT(TH!O1605,3)&lt;&gt;"111",'152-CT'!$J$8=TH!F1605),"x","")</f>
        <v/>
      </c>
      <c r="AC1605" s="84" t="str">
        <f>IF(AND(OR(LEFT(TH!N1605,2)="15",LEFT(TH!O1605,2)="15"),TK!$E$7=TH!F1605),"x","")</f>
        <v/>
      </c>
      <c r="AD1605" s="84" t="str">
        <f>IF(AND(N1605="1521",MONTH(C1605)='BK-NL'!$M$11),"x","")</f>
        <v/>
      </c>
    </row>
    <row r="1606" spans="1:32" ht="15.75" hidden="1" customHeight="1">
      <c r="A1606" s="336" t="str">
        <f>IF(B1606&lt;&gt;"",IF(AND(B1606='IN-TC'!$S$4,OR(TH!N1606="1111",TH!O1606="1111")),TH!D1606,""),"")</f>
        <v/>
      </c>
      <c r="B1606" s="63">
        <f t="shared" si="223"/>
        <v>6</v>
      </c>
      <c r="C1606" s="94">
        <v>42538</v>
      </c>
      <c r="D1606" s="94" t="s">
        <v>702</v>
      </c>
      <c r="E1606" s="94">
        <f t="shared" ref="E1606:E1631" si="224">C1606</f>
        <v>42538</v>
      </c>
      <c r="F1606" s="73" t="s">
        <v>1896</v>
      </c>
      <c r="G1606" s="95" t="s">
        <v>919</v>
      </c>
      <c r="H1606" s="1174" t="s">
        <v>1897</v>
      </c>
      <c r="I1606" s="445"/>
      <c r="J1606" s="445"/>
      <c r="K1606" s="430">
        <v>76050</v>
      </c>
      <c r="L1606" s="439">
        <v>22320</v>
      </c>
      <c r="M1606" s="97">
        <v>1697436000</v>
      </c>
      <c r="N1606" s="85" t="s">
        <v>260</v>
      </c>
      <c r="O1606" s="66" t="s">
        <v>26</v>
      </c>
      <c r="P1606" s="84" t="str">
        <f>IF(AND('331-CT'!$E$7=TH!H1606,OR(N1606="331",O1606="331")),"x","")</f>
        <v/>
      </c>
      <c r="Q1606" s="84" t="str">
        <f>IF(AND(B1606='111'!$L$11,OR($N1606=$Q$7,$O1606=$Q$7)),"x","")</f>
        <v/>
      </c>
      <c r="R1606" s="84" t="str">
        <f>IF(AND($N1606=$Q$7,$B1606&lt;'111'!$L$11),"x","")</f>
        <v/>
      </c>
      <c r="S1606" s="84" t="str">
        <f>IF(AND($O1606=$Q$7,$B1606&lt;'111'!$L$11),"x","")</f>
        <v/>
      </c>
      <c r="T1606" s="84" t="str">
        <f>IF(ISERROR(FIND('112'!$M$9,G1606,1)),"",IF((AND(FIND('112'!$M$9,G1606,1)&gt;=1,B1606='112'!$K$9,OR($N1606='112'!$I$6,$O1606='112'!$I$6))),"x",""))</f>
        <v>x</v>
      </c>
      <c r="U1606" s="84" t="str">
        <f>IF(ISERROR(FIND('112'!$M$9,G1606,1)),"",IF((AND(LEFT(G1606,2)=LEFT('112'!$M$9,2),B1606&lt;'112'!$K$9,$N1606='112'!$I$6)),"x",""))</f>
        <v/>
      </c>
      <c r="V1606" s="84" t="str">
        <f>IF(ISERROR(FIND('112'!$M$9,G1606,1)),"",IF((AND(RIGHT(G1606,2)=RIGHT('112'!$M$9,2),B1606&lt;'112'!$K$9,$O1606='112'!$I$6)),"x",""))</f>
        <v/>
      </c>
      <c r="W1606" s="84" t="str">
        <f>IF(AND('341-CT'!$H$9=H1606,OR(LEFT(N1606,3)=$W$7,LEFT(O1606,3)=$W$7)),"x","")</f>
        <v/>
      </c>
      <c r="X1606" s="84" t="str">
        <f>IF(OR(TH!N1606=TH!$X$7,O1606=TH!$X$7),"x","")</f>
        <v/>
      </c>
      <c r="Y1606" s="84" t="str">
        <f>IF(AND(OR(N1606="131",O1606="131"),H1606='131-CT'!$H$9),"x","")</f>
        <v/>
      </c>
      <c r="Z1606" s="84"/>
      <c r="AA1606" s="84" t="str">
        <f>IF(AND(MONTH(E1606)='IN-NX'!$J$5,'IN-NX'!$D$7=D1606),"x","")</f>
        <v/>
      </c>
      <c r="AB1606" s="84" t="str">
        <f>IF(AND(OR(LEFT(TH!N1606,2)="15",LEFT(TH!O1606,2)="15"),LEFT(TH!O1606,3)&lt;&gt;"111",'152-CT'!$J$8=TH!F1606),"x","")</f>
        <v/>
      </c>
      <c r="AC1606" s="84" t="str">
        <f>IF(AND(OR(LEFT(TH!N1606,2)="15",LEFT(TH!O1606,2)="15"),TK!$E$7=TH!F1606),"x","")</f>
        <v/>
      </c>
      <c r="AD1606" s="84" t="str">
        <f>IF(AND(N1606="1521",MONTH(C1606)='BK-NL'!$M$11),"x","")</f>
        <v/>
      </c>
      <c r="AE1606" s="350"/>
      <c r="AF1606" s="350"/>
    </row>
    <row r="1607" spans="1:32" ht="15.75" hidden="1" customHeight="1">
      <c r="A1607" s="336" t="str">
        <f>IF(B1607&lt;&gt;"",IF(AND(B1607='IN-TC'!$S$4,OR(TH!N1607="1111",TH!O1607="1111")),TH!D1607,""),"")</f>
        <v/>
      </c>
      <c r="B1607" s="63">
        <f t="shared" si="223"/>
        <v>6</v>
      </c>
      <c r="C1607" s="64">
        <v>42538</v>
      </c>
      <c r="D1607" s="64" t="s">
        <v>705</v>
      </c>
      <c r="E1607" s="64">
        <f t="shared" si="224"/>
        <v>42538</v>
      </c>
      <c r="F1607" s="73" t="s">
        <v>1445</v>
      </c>
      <c r="G1607" s="67" t="s">
        <v>919</v>
      </c>
      <c r="H1607" s="73"/>
      <c r="I1607" s="439"/>
      <c r="J1607" s="439"/>
      <c r="K1607" s="430">
        <v>96000</v>
      </c>
      <c r="L1607" s="439">
        <v>22300</v>
      </c>
      <c r="M1607" s="65">
        <v>2140800000</v>
      </c>
      <c r="N1607" s="66" t="s">
        <v>26</v>
      </c>
      <c r="O1607" s="66" t="s">
        <v>266</v>
      </c>
      <c r="P1607" s="84" t="str">
        <f>IF(AND('331-CT'!$E$7=TH!H1607,OR(N1607="331",O1607="331")),"x","")</f>
        <v/>
      </c>
      <c r="Q1607" s="84" t="str">
        <f>IF(AND(B1607='111'!$L$11,OR($N1607=$Q$7,$O1607=$Q$7)),"x","")</f>
        <v/>
      </c>
      <c r="R1607" s="84" t="str">
        <f>IF(AND($N1607=$Q$7,$B1607&lt;'111'!$L$11),"x","")</f>
        <v/>
      </c>
      <c r="S1607" s="84" t="str">
        <f>IF(AND($O1607=$Q$7,$B1607&lt;'111'!$L$11),"x","")</f>
        <v/>
      </c>
      <c r="T1607" s="84" t="str">
        <f>IF(ISERROR(FIND('112'!$M$9,G1607,1)),"",IF((AND(FIND('112'!$M$9,G1607,1)&gt;=1,B1607='112'!$K$9,OR($N1607='112'!$I$6,$O1607='112'!$I$6))),"x",""))</f>
        <v>x</v>
      </c>
      <c r="U1607" s="84" t="str">
        <f>IF(ISERROR(FIND('112'!$M$9,G1607,1)),"",IF((AND(LEFT(G1607,2)=LEFT('112'!$M$9,2),B1607&lt;'112'!$K$9,$N1607='112'!$I$6)),"x",""))</f>
        <v/>
      </c>
      <c r="V1607" s="84" t="str">
        <f>IF(ISERROR(FIND('112'!$M$9,G1607,1)),"",IF((AND(RIGHT(G1607,2)=RIGHT('112'!$M$9,2),B1607&lt;'112'!$K$9,$O1607='112'!$I$6)),"x",""))</f>
        <v/>
      </c>
      <c r="W1607" s="84" t="str">
        <f>IF(AND('341-CT'!$H$9=H1607,OR(LEFT(N1607,3)=$W$7,LEFT(O1607,3)=$W$7)),"x","")</f>
        <v/>
      </c>
      <c r="X1607" s="84" t="str">
        <f>IF(OR(TH!N1607=TH!$X$7,O1607=TH!$X$7),"x","")</f>
        <v/>
      </c>
      <c r="Y1607" s="84" t="str">
        <f>IF(AND(OR(N1607="131",O1607="131"),H1607='131-CT'!$H$9),"x","")</f>
        <v/>
      </c>
      <c r="Z1607" s="84"/>
      <c r="AA1607" s="84" t="str">
        <f>IF(AND(MONTH(E1607)='IN-NX'!$J$5,'IN-NX'!$D$7=D1607),"x","")</f>
        <v/>
      </c>
      <c r="AB1607" s="84" t="str">
        <f>IF(AND(OR(LEFT(TH!N1607,2)="15",LEFT(TH!O1607,2)="15"),LEFT(TH!O1607,3)&lt;&gt;"111",'152-CT'!$J$8=TH!F1607),"x","")</f>
        <v/>
      </c>
      <c r="AC1607" s="84" t="str">
        <f>IF(AND(OR(LEFT(TH!N1607,2)="15",LEFT(TH!O1607,2)="15"),TK!$E$7=TH!F1607),"x","")</f>
        <v/>
      </c>
      <c r="AD1607" s="84" t="str">
        <f>IF(AND(N1607="1521",MONTH(C1607)='BK-NL'!$M$11),"x","")</f>
        <v/>
      </c>
    </row>
    <row r="1608" spans="1:32" ht="15.75" hidden="1" customHeight="1">
      <c r="A1608" s="336" t="str">
        <f>IF(B1608&lt;&gt;"",IF(AND(B1608='IN-TC'!$S$4,OR(TH!N1608="1111",TH!O1608="1111")),TH!D1608,""),"")</f>
        <v/>
      </c>
      <c r="B1608" s="63">
        <f t="shared" si="223"/>
        <v>6</v>
      </c>
      <c r="C1608" s="64">
        <v>42538</v>
      </c>
      <c r="D1608" s="64" t="s">
        <v>702</v>
      </c>
      <c r="E1608" s="64">
        <f t="shared" si="224"/>
        <v>42538</v>
      </c>
      <c r="F1608" s="73" t="s">
        <v>1457</v>
      </c>
      <c r="G1608" s="67" t="s">
        <v>919</v>
      </c>
      <c r="H1608" s="344" t="s">
        <v>1559</v>
      </c>
      <c r="I1608" s="439"/>
      <c r="J1608" s="439"/>
      <c r="K1608" s="430">
        <v>84270.57</v>
      </c>
      <c r="L1608" s="439">
        <v>22280</v>
      </c>
      <c r="M1608" s="65">
        <f>ROUND(K1608*L1608,0)</f>
        <v>1877548300</v>
      </c>
      <c r="N1608" s="66" t="s">
        <v>266</v>
      </c>
      <c r="O1608" s="66" t="s">
        <v>588</v>
      </c>
      <c r="P1608" s="84" t="str">
        <f>IF(AND('331-CT'!$E$7=TH!H1608,OR(N1608="331",O1608="331")),"x","")</f>
        <v/>
      </c>
      <c r="Q1608" s="84" t="str">
        <f>IF(AND(B1608='111'!$L$11,OR($N1608=$Q$7,$O1608=$Q$7)),"x","")</f>
        <v/>
      </c>
      <c r="R1608" s="84" t="str">
        <f>IF(AND($N1608=$Q$7,$B1608&lt;'111'!$L$11),"x","")</f>
        <v/>
      </c>
      <c r="S1608" s="84" t="str">
        <f>IF(AND($O1608=$Q$7,$B1608&lt;'111'!$L$11),"x","")</f>
        <v/>
      </c>
      <c r="T1608" s="84" t="str">
        <f>IF(ISERROR(FIND('112'!$M$9,G1608,1)),"",IF((AND(FIND('112'!$M$9,G1608,1)&gt;=1,B1608='112'!$K$9,OR($N1608='112'!$I$6,$O1608='112'!$I$6))),"x",""))</f>
        <v/>
      </c>
      <c r="U1608" s="84" t="str">
        <f>IF(ISERROR(FIND('112'!$M$9,G1608,1)),"",IF((AND(LEFT(G1608,2)=LEFT('112'!$M$9,2),B1608&lt;'112'!$K$9,$N1608='112'!$I$6)),"x",""))</f>
        <v/>
      </c>
      <c r="V1608" s="84" t="str">
        <f>IF(ISERROR(FIND('112'!$M$9,G1608,1)),"",IF((AND(RIGHT(G1608,2)=RIGHT('112'!$M$9,2),B1608&lt;'112'!$K$9,$O1608='112'!$I$6)),"x",""))</f>
        <v/>
      </c>
      <c r="W1608" s="84" t="str">
        <f>IF(AND('341-CT'!$H$9=H1608,OR(LEFT(N1608,3)=$W$7,LEFT(O1608,3)=$W$7)),"x","")</f>
        <v/>
      </c>
      <c r="X1608" s="84" t="str">
        <f>IF(OR(TH!N1608=TH!$X$7,O1608=TH!$X$7),"x","")</f>
        <v/>
      </c>
      <c r="Y1608" s="84" t="str">
        <f>IF(AND(OR(N1608="131",O1608="131"),H1608='131-CT'!$H$9),"x","")</f>
        <v/>
      </c>
      <c r="Z1608" s="84"/>
      <c r="AA1608" s="84" t="str">
        <f>IF(AND(MONTH(E1608)='IN-NX'!$J$5,'IN-NX'!$D$7=D1608),"x","")</f>
        <v/>
      </c>
      <c r="AB1608" s="84" t="str">
        <f>IF(AND(OR(LEFT(TH!N1608,2)="15",LEFT(TH!O1608,2)="15"),LEFT(TH!O1608,3)&lt;&gt;"111",'152-CT'!$J$8=TH!F1608),"x","")</f>
        <v/>
      </c>
      <c r="AC1608" s="84" t="str">
        <f>IF(AND(OR(LEFT(TH!N1608,2)="15",LEFT(TH!O1608,2)="15"),TK!$E$7=TH!F1608),"x","")</f>
        <v/>
      </c>
      <c r="AD1608" s="84" t="str">
        <f>IF(AND(N1608="1521",MONTH(C1608)='BK-NL'!$M$11),"x","")</f>
        <v/>
      </c>
    </row>
    <row r="1609" spans="1:32" ht="15.75" hidden="1" customHeight="1">
      <c r="A1609" s="336" t="str">
        <f>IF(B1609&lt;&gt;"",IF(AND(B1609='IN-TC'!$S$4,OR(TH!N1609="1111",TH!O1609="1111")),TH!D1609,""),"")</f>
        <v/>
      </c>
      <c r="B1609" s="63">
        <f t="shared" si="223"/>
        <v>6</v>
      </c>
      <c r="C1609" s="64">
        <v>42538</v>
      </c>
      <c r="D1609" s="64" t="s">
        <v>705</v>
      </c>
      <c r="E1609" s="64">
        <f t="shared" si="224"/>
        <v>42538</v>
      </c>
      <c r="F1609" s="73" t="s">
        <v>1898</v>
      </c>
      <c r="G1609" s="67" t="s">
        <v>919</v>
      </c>
      <c r="H1609" s="344" t="s">
        <v>1559</v>
      </c>
      <c r="I1609" s="439"/>
      <c r="J1609" s="439"/>
      <c r="K1609" s="430">
        <v>90</v>
      </c>
      <c r="L1609" s="439">
        <v>22280</v>
      </c>
      <c r="M1609" s="65">
        <f>ROUND(K1609*L1609,0)</f>
        <v>2005200</v>
      </c>
      <c r="N1609" s="66" t="s">
        <v>101</v>
      </c>
      <c r="O1609" s="66" t="s">
        <v>588</v>
      </c>
      <c r="P1609" s="84" t="str">
        <f>IF(AND('331-CT'!$E$7=TH!H1609,OR(N1609="331",O1609="331")),"x","")</f>
        <v/>
      </c>
      <c r="Q1609" s="84" t="str">
        <f>IF(AND(B1609='111'!$L$11,OR($N1609=$Q$7,$O1609=$Q$7)),"x","")</f>
        <v/>
      </c>
      <c r="R1609" s="84" t="str">
        <f>IF(AND($N1609=$Q$7,$B1609&lt;'111'!$L$11),"x","")</f>
        <v/>
      </c>
      <c r="S1609" s="84" t="str">
        <f>IF(AND($O1609=$Q$7,$B1609&lt;'111'!$L$11),"x","")</f>
        <v/>
      </c>
      <c r="T1609" s="84" t="str">
        <f>IF(ISERROR(FIND('112'!$M$9,G1609,1)),"",IF((AND(FIND('112'!$M$9,G1609,1)&gt;=1,B1609='112'!$K$9,OR($N1609='112'!$I$6,$O1609='112'!$I$6))),"x",""))</f>
        <v/>
      </c>
      <c r="U1609" s="84" t="str">
        <f>IF(ISERROR(FIND('112'!$M$9,G1609,1)),"",IF((AND(LEFT(G1609,2)=LEFT('112'!$M$9,2),B1609&lt;'112'!$K$9,$N1609='112'!$I$6)),"x",""))</f>
        <v/>
      </c>
      <c r="V1609" s="84" t="str">
        <f>IF(ISERROR(FIND('112'!$M$9,G1609,1)),"",IF((AND(RIGHT(G1609,2)=RIGHT('112'!$M$9,2),B1609&lt;'112'!$K$9,$O1609='112'!$I$6)),"x",""))</f>
        <v/>
      </c>
      <c r="W1609" s="84" t="str">
        <f>IF(AND('341-CT'!$H$9=H1609,OR(LEFT(N1609,3)=$W$7,LEFT(O1609,3)=$W$7)),"x","")</f>
        <v/>
      </c>
      <c r="X1609" s="84" t="str">
        <f>IF(OR(TH!N1609=TH!$X$7,O1609=TH!$X$7),"x","")</f>
        <v/>
      </c>
      <c r="Y1609" s="84" t="str">
        <f>IF(AND(OR(N1609="131",O1609="131"),H1609='131-CT'!$H$9),"x","")</f>
        <v/>
      </c>
      <c r="Z1609" s="84"/>
      <c r="AA1609" s="84" t="str">
        <f>IF(AND(MONTH(E1609)='IN-NX'!$J$5,'IN-NX'!$D$7=D1609),"x","")</f>
        <v/>
      </c>
      <c r="AB1609" s="84" t="str">
        <f>IF(AND(OR(LEFT(TH!N1609,2)="15",LEFT(TH!O1609,2)="15"),LEFT(TH!O1609,3)&lt;&gt;"111",'152-CT'!$J$8=TH!F1609),"x","")</f>
        <v/>
      </c>
      <c r="AC1609" s="84" t="str">
        <f>IF(AND(OR(LEFT(TH!N1609,2)="15",LEFT(TH!O1609,2)="15"),TK!$E$7=TH!F1609),"x","")</f>
        <v/>
      </c>
      <c r="AD1609" s="84" t="str">
        <f>IF(AND(N1609="1521",MONTH(C1609)='BK-NL'!$M$11),"x","")</f>
        <v/>
      </c>
    </row>
    <row r="1610" spans="1:32" ht="15.75" hidden="1" customHeight="1">
      <c r="A1610" s="336" t="str">
        <f>IF(B1610&lt;&gt;"",IF(AND(B1610='IN-TC'!$S$4,OR(TH!N1610="1111",TH!O1610="1111")),TH!D1610,""),"")</f>
        <v/>
      </c>
      <c r="B1610" s="63">
        <f t="shared" si="223"/>
        <v>6</v>
      </c>
      <c r="C1610" s="64">
        <v>42538</v>
      </c>
      <c r="D1610" s="64" t="s">
        <v>705</v>
      </c>
      <c r="E1610" s="64">
        <f t="shared" si="224"/>
        <v>42538</v>
      </c>
      <c r="F1610" s="73" t="s">
        <v>1071</v>
      </c>
      <c r="G1610" s="67" t="s">
        <v>919</v>
      </c>
      <c r="H1610" s="344" t="s">
        <v>1559</v>
      </c>
      <c r="I1610" s="439"/>
      <c r="J1610" s="439"/>
      <c r="K1610" s="430">
        <v>126.75</v>
      </c>
      <c r="L1610" s="439">
        <v>22280</v>
      </c>
      <c r="M1610" s="65">
        <f>ROUND(K1610*L1610,0)</f>
        <v>2823990</v>
      </c>
      <c r="N1610" s="66" t="s">
        <v>101</v>
      </c>
      <c r="O1610" s="66" t="s">
        <v>588</v>
      </c>
      <c r="P1610" s="84" t="str">
        <f>IF(AND('331-CT'!$E$7=TH!H1610,OR(N1610="331",O1610="331")),"x","")</f>
        <v/>
      </c>
      <c r="Q1610" s="84" t="str">
        <f>IF(AND(B1610='111'!$L$11,OR($N1610=$Q$7,$O1610=$Q$7)),"x","")</f>
        <v/>
      </c>
      <c r="R1610" s="84" t="str">
        <f>IF(AND($N1610=$Q$7,$B1610&lt;'111'!$L$11),"x","")</f>
        <v/>
      </c>
      <c r="S1610" s="84" t="str">
        <f>IF(AND($O1610=$Q$7,$B1610&lt;'111'!$L$11),"x","")</f>
        <v/>
      </c>
      <c r="T1610" s="84" t="str">
        <f>IF(ISERROR(FIND('112'!$M$9,G1610,1)),"",IF((AND(FIND('112'!$M$9,G1610,1)&gt;=1,B1610='112'!$K$9,OR($N1610='112'!$I$6,$O1610='112'!$I$6))),"x",""))</f>
        <v/>
      </c>
      <c r="U1610" s="84" t="str">
        <f>IF(ISERROR(FIND('112'!$M$9,G1610,1)),"",IF((AND(LEFT(G1610,2)=LEFT('112'!$M$9,2),B1610&lt;'112'!$K$9,$N1610='112'!$I$6)),"x",""))</f>
        <v/>
      </c>
      <c r="V1610" s="84" t="str">
        <f>IF(ISERROR(FIND('112'!$M$9,G1610,1)),"",IF((AND(RIGHT(G1610,2)=RIGHT('112'!$M$9,2),B1610&lt;'112'!$K$9,$O1610='112'!$I$6)),"x",""))</f>
        <v/>
      </c>
      <c r="W1610" s="84" t="str">
        <f>IF(AND('341-CT'!$H$9=H1610,OR(LEFT(N1610,3)=$W$7,LEFT(O1610,3)=$W$7)),"x","")</f>
        <v/>
      </c>
      <c r="X1610" s="84" t="str">
        <f>IF(OR(TH!N1610=TH!$X$7,O1610=TH!$X$7),"x","")</f>
        <v/>
      </c>
      <c r="Y1610" s="84" t="str">
        <f>IF(AND(OR(N1610="131",O1610="131"),H1610='131-CT'!$H$9),"x","")</f>
        <v/>
      </c>
      <c r="Z1610" s="84"/>
      <c r="AA1610" s="84" t="str">
        <f>IF(AND(MONTH(E1610)='IN-NX'!$J$5,'IN-NX'!$D$7=D1610),"x","")</f>
        <v/>
      </c>
      <c r="AB1610" s="84" t="str">
        <f>IF(AND(OR(LEFT(TH!N1610,2)="15",LEFT(TH!O1610,2)="15"),LEFT(TH!O1610,3)&lt;&gt;"111",'152-CT'!$J$8=TH!F1610),"x","")</f>
        <v/>
      </c>
      <c r="AC1610" s="84" t="str">
        <f>IF(AND(OR(LEFT(TH!N1610,2)="15",LEFT(TH!O1610,2)="15"),TK!$E$7=TH!F1610),"x","")</f>
        <v/>
      </c>
      <c r="AD1610" s="84" t="str">
        <f>IF(AND(N1610="1521",MONTH(C1610)='BK-NL'!$M$11),"x","")</f>
        <v/>
      </c>
    </row>
    <row r="1611" spans="1:32" ht="15.75" hidden="1" customHeight="1">
      <c r="A1611" s="336" t="str">
        <f>IF(B1611&lt;&gt;"",IF(AND(B1611='IN-TC'!$S$4,OR(TH!N1611="1111",TH!O1611="1111")),TH!D1611,""),"")</f>
        <v/>
      </c>
      <c r="B1611" s="63">
        <f t="shared" si="223"/>
        <v>6</v>
      </c>
      <c r="C1611" s="64">
        <v>42538</v>
      </c>
      <c r="D1611" s="64" t="s">
        <v>705</v>
      </c>
      <c r="E1611" s="64">
        <f t="shared" si="224"/>
        <v>42538</v>
      </c>
      <c r="F1611" s="73" t="s">
        <v>1072</v>
      </c>
      <c r="G1611" s="67" t="s">
        <v>919</v>
      </c>
      <c r="H1611" s="344" t="s">
        <v>1559</v>
      </c>
      <c r="I1611" s="439"/>
      <c r="J1611" s="439"/>
      <c r="K1611" s="430">
        <v>12.68</v>
      </c>
      <c r="L1611" s="439">
        <v>22280</v>
      </c>
      <c r="M1611" s="65">
        <f>ROUND(K1611*L1611,0)</f>
        <v>282510</v>
      </c>
      <c r="N1611" s="66" t="s">
        <v>9</v>
      </c>
      <c r="O1611" s="66" t="s">
        <v>588</v>
      </c>
      <c r="P1611" s="84" t="str">
        <f>IF(AND('331-CT'!$E$7=TH!H1611,OR(N1611="331",O1611="331")),"x","")</f>
        <v/>
      </c>
      <c r="Q1611" s="84" t="str">
        <f>IF(AND(B1611='111'!$L$11,OR($N1611=$Q$7,$O1611=$Q$7)),"x","")</f>
        <v/>
      </c>
      <c r="R1611" s="84" t="str">
        <f>IF(AND($N1611=$Q$7,$B1611&lt;'111'!$L$11),"x","")</f>
        <v/>
      </c>
      <c r="S1611" s="84" t="str">
        <f>IF(AND($O1611=$Q$7,$B1611&lt;'111'!$L$11),"x","")</f>
        <v/>
      </c>
      <c r="T1611" s="84" t="str">
        <f>IF(ISERROR(FIND('112'!$M$9,G1611,1)),"",IF((AND(FIND('112'!$M$9,G1611,1)&gt;=1,B1611='112'!$K$9,OR($N1611='112'!$I$6,$O1611='112'!$I$6))),"x",""))</f>
        <v/>
      </c>
      <c r="U1611" s="84" t="str">
        <f>IF(ISERROR(FIND('112'!$M$9,G1611,1)),"",IF((AND(LEFT(G1611,2)=LEFT('112'!$M$9,2),B1611&lt;'112'!$K$9,$N1611='112'!$I$6)),"x",""))</f>
        <v/>
      </c>
      <c r="V1611" s="84" t="str">
        <f>IF(ISERROR(FIND('112'!$M$9,G1611,1)),"",IF((AND(RIGHT(G1611,2)=RIGHT('112'!$M$9,2),B1611&lt;'112'!$K$9,$O1611='112'!$I$6)),"x",""))</f>
        <v/>
      </c>
      <c r="W1611" s="84" t="str">
        <f>IF(AND('341-CT'!$H$9=H1611,OR(LEFT(N1611,3)=$W$7,LEFT(O1611,3)=$W$7)),"x","")</f>
        <v/>
      </c>
      <c r="X1611" s="84" t="str">
        <f>IF(OR(TH!N1611=TH!$X$7,O1611=TH!$X$7),"x","")</f>
        <v/>
      </c>
      <c r="Y1611" s="84" t="str">
        <f>IF(AND(OR(N1611="131",O1611="131"),H1611='131-CT'!$H$9),"x","")</f>
        <v/>
      </c>
      <c r="Z1611" s="84"/>
      <c r="AA1611" s="84" t="str">
        <f>IF(AND(MONTH(E1611)='IN-NX'!$J$5,'IN-NX'!$D$7=D1611),"x","")</f>
        <v/>
      </c>
      <c r="AB1611" s="84" t="str">
        <f>IF(AND(OR(LEFT(TH!N1611,2)="15",LEFT(TH!O1611,2)="15"),LEFT(TH!O1611,3)&lt;&gt;"111",'152-CT'!$J$8=TH!F1611),"x","")</f>
        <v/>
      </c>
      <c r="AC1611" s="84" t="str">
        <f>IF(AND(OR(LEFT(TH!N1611,2)="15",LEFT(TH!O1611,2)="15"),TK!$E$7=TH!F1611),"x","")</f>
        <v/>
      </c>
      <c r="AD1611" s="84" t="str">
        <f>IF(AND(N1611="1521",MONTH(C1611)='BK-NL'!$M$11),"x","")</f>
        <v/>
      </c>
    </row>
    <row r="1612" spans="1:32" ht="15.75" hidden="1" customHeight="1">
      <c r="A1612" s="336" t="str">
        <f>IF(B1612&lt;&gt;"",IF(AND(B1612='IN-TC'!$S$4,OR(TH!N1612="1111",TH!O1612="1111")),TH!D1612,""),"")</f>
        <v/>
      </c>
      <c r="B1612" s="63">
        <f t="shared" si="223"/>
        <v>6</v>
      </c>
      <c r="C1612" s="64">
        <v>42538</v>
      </c>
      <c r="D1612" s="64" t="s">
        <v>705</v>
      </c>
      <c r="E1612" s="64">
        <f t="shared" si="224"/>
        <v>42538</v>
      </c>
      <c r="F1612" s="73" t="s">
        <v>1068</v>
      </c>
      <c r="G1612" s="67"/>
      <c r="H1612" s="344" t="s">
        <v>1559</v>
      </c>
      <c r="I1612" s="439"/>
      <c r="J1612" s="439"/>
      <c r="K1612" s="430"/>
      <c r="L1612" s="439"/>
      <c r="M1612" s="65">
        <v>10562500</v>
      </c>
      <c r="N1612" s="66" t="s">
        <v>99</v>
      </c>
      <c r="O1612" s="66" t="s">
        <v>588</v>
      </c>
      <c r="P1612" s="84" t="str">
        <f>IF(AND('331-CT'!$E$7=TH!H1612,OR(N1612="331",O1612="331")),"x","")</f>
        <v/>
      </c>
      <c r="Q1612" s="84" t="str">
        <f>IF(AND(B1612='111'!$L$11,OR($N1612=$Q$7,$O1612=$Q$7)),"x","")</f>
        <v/>
      </c>
      <c r="R1612" s="84" t="str">
        <f>IF(AND($N1612=$Q$7,$B1612&lt;'111'!$L$11),"x","")</f>
        <v/>
      </c>
      <c r="S1612" s="84" t="str">
        <f>IF(AND($O1612=$Q$7,$B1612&lt;'111'!$L$11),"x","")</f>
        <v/>
      </c>
      <c r="T1612" s="84" t="str">
        <f>IF(ISERROR(FIND('112'!$M$9,G1612,1)),"",IF((AND(FIND('112'!$M$9,G1612,1)&gt;=1,B1612='112'!$K$9,OR($N1612='112'!$I$6,$O1612='112'!$I$6))),"x",""))</f>
        <v/>
      </c>
      <c r="U1612" s="84" t="str">
        <f>IF(ISERROR(FIND('112'!$M$9,G1612,1)),"",IF((AND(LEFT(G1612,2)=LEFT('112'!$M$9,2),B1612&lt;'112'!$K$9,$N1612='112'!$I$6)),"x",""))</f>
        <v/>
      </c>
      <c r="V1612" s="84" t="str">
        <f>IF(ISERROR(FIND('112'!$M$9,G1612,1)),"",IF((AND(RIGHT(G1612,2)=RIGHT('112'!$M$9,2),B1612&lt;'112'!$K$9,$O1612='112'!$I$6)),"x",""))</f>
        <v/>
      </c>
      <c r="W1612" s="84" t="str">
        <f>IF(AND('341-CT'!$H$9=H1612,OR(LEFT(N1612,3)=$W$7,LEFT(O1612,3)=$W$7)),"x","")</f>
        <v/>
      </c>
      <c r="X1612" s="84" t="str">
        <f>IF(OR(TH!N1612=TH!$X$7,O1612=TH!$X$7),"x","")</f>
        <v/>
      </c>
      <c r="Y1612" s="84" t="str">
        <f>IF(AND(OR(N1612="131",O1612="131"),H1612='131-CT'!$H$9),"x","")</f>
        <v/>
      </c>
      <c r="Z1612" s="84"/>
      <c r="AA1612" s="84" t="str">
        <f>IF(AND(MONTH(E1612)='IN-NX'!$J$5,'IN-NX'!$D$7=D1612),"x","")</f>
        <v/>
      </c>
      <c r="AB1612" s="84" t="str">
        <f>IF(AND(OR(LEFT(TH!N1612,2)="15",LEFT(TH!O1612,2)="15"),LEFT(TH!O1612,3)&lt;&gt;"111",'152-CT'!$J$8=TH!F1612),"x","")</f>
        <v/>
      </c>
      <c r="AC1612" s="84" t="str">
        <f>IF(AND(OR(LEFT(TH!N1612,2)="15",LEFT(TH!O1612,2)="15"),TK!$E$7=TH!F1612),"x","")</f>
        <v/>
      </c>
      <c r="AD1612" s="84" t="str">
        <f>IF(AND(N1612="1521",MONTH(C1612)='BK-NL'!$M$11),"x","")</f>
        <v/>
      </c>
    </row>
    <row r="1613" spans="1:32" ht="15.75" hidden="1" customHeight="1">
      <c r="A1613" s="336" t="str">
        <f>IF(B1613&lt;&gt;"",IF(AND(B1613='IN-TC'!$S$4,OR(TH!N1613="1111",TH!O1613="1111")),TH!D1613,""),"")</f>
        <v/>
      </c>
      <c r="B1613" s="63">
        <f t="shared" ref="B1613:B1664" si="225">IF(C1613&lt;&gt;"",MONTH(C1613),"")</f>
        <v>6</v>
      </c>
      <c r="C1613" s="94">
        <v>42538</v>
      </c>
      <c r="D1613" s="94" t="s">
        <v>705</v>
      </c>
      <c r="E1613" s="94">
        <f t="shared" si="224"/>
        <v>42538</v>
      </c>
      <c r="F1613" s="73" t="s">
        <v>1066</v>
      </c>
      <c r="G1613" s="95" t="s">
        <v>919</v>
      </c>
      <c r="H1613" s="73"/>
      <c r="I1613" s="445"/>
      <c r="J1613" s="445"/>
      <c r="K1613" s="436"/>
      <c r="L1613" s="445"/>
      <c r="M1613" s="97">
        <v>1651820</v>
      </c>
      <c r="N1613" s="66" t="s">
        <v>99</v>
      </c>
      <c r="O1613" s="66" t="s">
        <v>26</v>
      </c>
      <c r="P1613" s="84" t="str">
        <f>IF(AND('331-CT'!$E$7=TH!H1613,OR(N1613="331",O1613="331")),"x","")</f>
        <v/>
      </c>
      <c r="Q1613" s="84" t="str">
        <f>IF(AND(B1613='111'!$L$11,OR($N1613=$Q$7,$O1613=$Q$7)),"x","")</f>
        <v/>
      </c>
      <c r="R1613" s="84" t="str">
        <f>IF(AND($N1613=$Q$7,$B1613&lt;'111'!$L$11),"x","")</f>
        <v/>
      </c>
      <c r="S1613" s="84" t="str">
        <f>IF(AND($O1613=$Q$7,$B1613&lt;'111'!$L$11),"x","")</f>
        <v/>
      </c>
      <c r="T1613" s="84" t="str">
        <f>IF(ISERROR(FIND('112'!$M$9,G1613,1)),"",IF((AND(FIND('112'!$M$9,G1613,1)&gt;=1,B1613='112'!$K$9,OR($N1613='112'!$I$6,$O1613='112'!$I$6))),"x",""))</f>
        <v>x</v>
      </c>
      <c r="U1613" s="84" t="str">
        <f>IF(ISERROR(FIND('112'!$M$9,G1613,1)),"",IF((AND(LEFT(G1613,2)=LEFT('112'!$M$9,2),B1613&lt;'112'!$K$9,$N1613='112'!$I$6)),"x",""))</f>
        <v/>
      </c>
      <c r="V1613" s="84" t="str">
        <f>IF(ISERROR(FIND('112'!$M$9,G1613,1)),"",IF((AND(RIGHT(G1613,2)=RIGHT('112'!$M$9,2),B1613&lt;'112'!$K$9,$O1613='112'!$I$6)),"x",""))</f>
        <v/>
      </c>
      <c r="W1613" s="84" t="str">
        <f>IF(AND('341-CT'!$H$9=H1613,OR(LEFT(N1613,3)=$W$7,LEFT(O1613,3)=$W$7)),"x","")</f>
        <v/>
      </c>
      <c r="X1613" s="84" t="str">
        <f>IF(OR(TH!N1613=TH!$X$7,O1613=TH!$X$7),"x","")</f>
        <v/>
      </c>
      <c r="Y1613" s="84" t="str">
        <f>IF(AND(OR(N1613="131",O1613="131"),H1613='131-CT'!$H$9),"x","")</f>
        <v/>
      </c>
      <c r="Z1613" s="84"/>
      <c r="AA1613" s="84" t="str">
        <f>IF(AND(MONTH(E1613)='IN-NX'!$J$5,'IN-NX'!$D$7=D1613),"x","")</f>
        <v/>
      </c>
      <c r="AB1613" s="84" t="str">
        <f>IF(AND(OR(LEFT(TH!N1613,2)="15",LEFT(TH!O1613,2)="15"),LEFT(TH!O1613,3)&lt;&gt;"111",'152-CT'!$J$8=TH!F1613),"x","")</f>
        <v/>
      </c>
      <c r="AC1613" s="84" t="str">
        <f>IF(AND(OR(LEFT(TH!N1613,2)="15",LEFT(TH!O1613,2)="15"),TK!$E$7=TH!F1613),"x","")</f>
        <v/>
      </c>
      <c r="AD1613" s="84" t="str">
        <f>IF(AND(N1613="1521",MONTH(C1613)='BK-NL'!$M$11),"x","")</f>
        <v/>
      </c>
      <c r="AE1613" s="350"/>
      <c r="AF1613" s="350"/>
    </row>
    <row r="1614" spans="1:32" ht="15.75" hidden="1" customHeight="1">
      <c r="A1614" s="336" t="str">
        <f>IF(B1614&lt;&gt;"",IF(AND(B1614='IN-TC'!$S$4,OR(TH!N1614="1111",TH!O1614="1111")),TH!D1614,""),"")</f>
        <v/>
      </c>
      <c r="B1614" s="63">
        <f t="shared" si="225"/>
        <v>6</v>
      </c>
      <c r="C1614" s="64">
        <v>42538</v>
      </c>
      <c r="D1614" s="64" t="s">
        <v>705</v>
      </c>
      <c r="E1614" s="64">
        <f t="shared" si="224"/>
        <v>42538</v>
      </c>
      <c r="F1614" s="73" t="s">
        <v>1445</v>
      </c>
      <c r="G1614" s="67" t="s">
        <v>919</v>
      </c>
      <c r="H1614" s="73"/>
      <c r="I1614" s="439"/>
      <c r="J1614" s="439"/>
      <c r="K1614" s="430">
        <v>76050</v>
      </c>
      <c r="L1614" s="439">
        <v>22320</v>
      </c>
      <c r="M1614" s="65">
        <v>1697436000</v>
      </c>
      <c r="N1614" s="66" t="s">
        <v>26</v>
      </c>
      <c r="O1614" s="66" t="s">
        <v>266</v>
      </c>
      <c r="P1614" s="84" t="str">
        <f>IF(AND('331-CT'!$E$7=TH!H1614,OR(N1614="331",O1614="331")),"x","")</f>
        <v/>
      </c>
      <c r="Q1614" s="84" t="str">
        <f>IF(AND(B1614='111'!$L$11,OR($N1614=$Q$7,$O1614=$Q$7)),"x","")</f>
        <v/>
      </c>
      <c r="R1614" s="84" t="str">
        <f>IF(AND($N1614=$Q$7,$B1614&lt;'111'!$L$11),"x","")</f>
        <v/>
      </c>
      <c r="S1614" s="84" t="str">
        <f>IF(AND($O1614=$Q$7,$B1614&lt;'111'!$L$11),"x","")</f>
        <v/>
      </c>
      <c r="T1614" s="84" t="str">
        <f>IF(ISERROR(FIND('112'!$M$9,G1614,1)),"",IF((AND(FIND('112'!$M$9,G1614,1)&gt;=1,B1614='112'!$K$9,OR($N1614='112'!$I$6,$O1614='112'!$I$6))),"x",""))</f>
        <v>x</v>
      </c>
      <c r="U1614" s="84" t="str">
        <f>IF(ISERROR(FIND('112'!$M$9,G1614,1)),"",IF((AND(LEFT(G1614,2)=LEFT('112'!$M$9,2),B1614&lt;'112'!$K$9,$N1614='112'!$I$6)),"x",""))</f>
        <v/>
      </c>
      <c r="V1614" s="84" t="str">
        <f>IF(ISERROR(FIND('112'!$M$9,G1614,1)),"",IF((AND(RIGHT(G1614,2)=RIGHT('112'!$M$9,2),B1614&lt;'112'!$K$9,$O1614='112'!$I$6)),"x",""))</f>
        <v/>
      </c>
      <c r="W1614" s="84" t="str">
        <f>IF(AND('341-CT'!$H$9=H1614,OR(LEFT(N1614,3)=$W$7,LEFT(O1614,3)=$W$7)),"x","")</f>
        <v/>
      </c>
      <c r="X1614" s="84" t="str">
        <f>IF(OR(TH!N1614=TH!$X$7,O1614=TH!$X$7),"x","")</f>
        <v/>
      </c>
      <c r="Y1614" s="84" t="str">
        <f>IF(AND(OR(N1614="131",O1614="131"),H1614='131-CT'!$H$9),"x","")</f>
        <v/>
      </c>
      <c r="Z1614" s="84"/>
      <c r="AA1614" s="84" t="str">
        <f>IF(AND(MONTH(E1614)='IN-NX'!$J$5,'IN-NX'!$D$7=D1614),"x","")</f>
        <v/>
      </c>
      <c r="AB1614" s="84" t="str">
        <f>IF(AND(OR(LEFT(TH!N1614,2)="15",LEFT(TH!O1614,2)="15"),LEFT(TH!O1614,3)&lt;&gt;"111",'152-CT'!$J$8=TH!F1614),"x","")</f>
        <v/>
      </c>
      <c r="AC1614" s="84" t="str">
        <f>IF(AND(OR(LEFT(TH!N1614,2)="15",LEFT(TH!O1614,2)="15"),TK!$E$7=TH!F1614),"x","")</f>
        <v/>
      </c>
      <c r="AD1614" s="84" t="str">
        <f>IF(AND(N1614="1521",MONTH(C1614)='BK-NL'!$M$11),"x","")</f>
        <v/>
      </c>
    </row>
    <row r="1615" spans="1:32" ht="15.75" hidden="1" customHeight="1">
      <c r="A1615" s="336" t="str">
        <f>IF(B1615&lt;&gt;"",IF(AND(B1615='IN-TC'!$S$4,OR(TH!N1615="1111",TH!O1615="1111")),TH!D1615,""),"")</f>
        <v/>
      </c>
      <c r="B1615" s="63">
        <f t="shared" si="225"/>
        <v>6</v>
      </c>
      <c r="C1615" s="64">
        <v>42538</v>
      </c>
      <c r="D1615" s="64" t="s">
        <v>705</v>
      </c>
      <c r="E1615" s="64">
        <f t="shared" si="224"/>
        <v>42538</v>
      </c>
      <c r="F1615" s="73" t="s">
        <v>1649</v>
      </c>
      <c r="G1615" s="67" t="s">
        <v>919</v>
      </c>
      <c r="H1615" s="73"/>
      <c r="I1615" s="439"/>
      <c r="J1615" s="439"/>
      <c r="K1615" s="430"/>
      <c r="L1615" s="439"/>
      <c r="M1615" s="65">
        <v>446800</v>
      </c>
      <c r="N1615" s="66" t="s">
        <v>101</v>
      </c>
      <c r="O1615" s="66" t="s">
        <v>26</v>
      </c>
      <c r="P1615" s="84" t="str">
        <f>IF(AND('331-CT'!$E$7=TH!H1615,OR(N1615="331",O1615="331")),"x","")</f>
        <v/>
      </c>
      <c r="Q1615" s="84" t="str">
        <f>IF(AND(B1615='111'!$L$11,OR($N1615=$Q$7,$O1615=$Q$7)),"x","")</f>
        <v/>
      </c>
      <c r="R1615" s="84" t="str">
        <f>IF(AND($N1615=$Q$7,$B1615&lt;'111'!$L$11),"x","")</f>
        <v/>
      </c>
      <c r="S1615" s="84" t="str">
        <f>IF(AND($O1615=$Q$7,$B1615&lt;'111'!$L$11),"x","")</f>
        <v/>
      </c>
      <c r="T1615" s="84" t="str">
        <f>IF(ISERROR(FIND('112'!$M$9,G1615,1)),"",IF((AND(FIND('112'!$M$9,G1615,1)&gt;=1,B1615='112'!$K$9,OR($N1615='112'!$I$6,$O1615='112'!$I$6))),"x",""))</f>
        <v>x</v>
      </c>
      <c r="U1615" s="84" t="str">
        <f>IF(ISERROR(FIND('112'!$M$9,G1615,1)),"",IF((AND(LEFT(G1615,2)=LEFT('112'!$M$9,2),B1615&lt;'112'!$K$9,$N1615='112'!$I$6)),"x",""))</f>
        <v/>
      </c>
      <c r="V1615" s="84" t="str">
        <f>IF(ISERROR(FIND('112'!$M$9,G1615,1)),"",IF((AND(RIGHT(G1615,2)=RIGHT('112'!$M$9,2),B1615&lt;'112'!$K$9,$O1615='112'!$I$6)),"x",""))</f>
        <v/>
      </c>
      <c r="W1615" s="84" t="str">
        <f>IF(AND('341-CT'!$H$9=H1615,OR(LEFT(N1615,3)=$W$7,LEFT(O1615,3)=$W$7)),"x","")</f>
        <v/>
      </c>
      <c r="X1615" s="84" t="str">
        <f>IF(OR(TH!N1615=TH!$X$7,O1615=TH!$X$7),"x","")</f>
        <v/>
      </c>
      <c r="Y1615" s="84" t="str">
        <f>IF(AND(OR(N1615="131",O1615="131"),H1615='131-CT'!$H$9),"x","")</f>
        <v/>
      </c>
      <c r="Z1615" s="84"/>
      <c r="AA1615" s="84" t="str">
        <f>IF(AND(MONTH(E1615)='IN-NX'!$J$5,'IN-NX'!$D$7=D1615),"x","")</f>
        <v/>
      </c>
      <c r="AB1615" s="84" t="str">
        <f>IF(AND(OR(LEFT(TH!N1615,2)="15",LEFT(TH!O1615,2)="15"),LEFT(TH!O1615,3)&lt;&gt;"111",'152-CT'!$J$8=TH!F1615),"x","")</f>
        <v/>
      </c>
      <c r="AC1615" s="84" t="str">
        <f>IF(AND(OR(LEFT(TH!N1615,2)="15",LEFT(TH!O1615,2)="15"),TK!$E$7=TH!F1615),"x","")</f>
        <v/>
      </c>
      <c r="AD1615" s="84" t="str">
        <f>IF(AND(N1615="1521",MONTH(C1615)='BK-NL'!$M$11),"x","")</f>
        <v/>
      </c>
      <c r="AF1615" s="330">
        <v>1</v>
      </c>
    </row>
    <row r="1616" spans="1:32" ht="15.75" hidden="1" customHeight="1">
      <c r="A1616" s="336" t="str">
        <f>IF(B1616&lt;&gt;"",IF(AND(B1616='IN-TC'!$S$4,OR(TH!N1616="1111",TH!O1616="1111")),TH!D1616,""),"")</f>
        <v/>
      </c>
      <c r="B1616" s="63">
        <f t="shared" si="225"/>
        <v>6</v>
      </c>
      <c r="C1616" s="64">
        <v>42538</v>
      </c>
      <c r="D1616" s="64" t="s">
        <v>705</v>
      </c>
      <c r="E1616" s="64">
        <f t="shared" si="224"/>
        <v>42538</v>
      </c>
      <c r="F1616" s="73" t="s">
        <v>1696</v>
      </c>
      <c r="G1616" s="67" t="s">
        <v>919</v>
      </c>
      <c r="H1616" s="73"/>
      <c r="I1616" s="439"/>
      <c r="J1616" s="439"/>
      <c r="K1616" s="430"/>
      <c r="L1616" s="439"/>
      <c r="M1616" s="65">
        <v>44680</v>
      </c>
      <c r="N1616" s="66" t="s">
        <v>9</v>
      </c>
      <c r="O1616" s="66" t="s">
        <v>26</v>
      </c>
      <c r="P1616" s="84" t="str">
        <f>IF(AND('331-CT'!$E$7=TH!H1616,OR(N1616="331",O1616="331")),"x","")</f>
        <v/>
      </c>
      <c r="Q1616" s="84" t="str">
        <f>IF(AND(B1616='111'!$L$11,OR($N1616=$Q$7,$O1616=$Q$7)),"x","")</f>
        <v/>
      </c>
      <c r="R1616" s="84" t="str">
        <f>IF(AND($N1616=$Q$7,$B1616&lt;'111'!$L$11),"x","")</f>
        <v/>
      </c>
      <c r="S1616" s="84" t="str">
        <f>IF(AND($O1616=$Q$7,$B1616&lt;'111'!$L$11),"x","")</f>
        <v/>
      </c>
      <c r="T1616" s="84" t="str">
        <f>IF(ISERROR(FIND('112'!$M$9,G1616,1)),"",IF((AND(FIND('112'!$M$9,G1616,1)&gt;=1,B1616='112'!$K$9,OR($N1616='112'!$I$6,$O1616='112'!$I$6))),"x",""))</f>
        <v>x</v>
      </c>
      <c r="U1616" s="84" t="str">
        <f>IF(ISERROR(FIND('112'!$M$9,G1616,1)),"",IF((AND(LEFT(G1616,2)=LEFT('112'!$M$9,2),B1616&lt;'112'!$K$9,$N1616='112'!$I$6)),"x",""))</f>
        <v/>
      </c>
      <c r="V1616" s="84" t="str">
        <f>IF(ISERROR(FIND('112'!$M$9,G1616,1)),"",IF((AND(RIGHT(G1616,2)=RIGHT('112'!$M$9,2),B1616&lt;'112'!$K$9,$O1616='112'!$I$6)),"x",""))</f>
        <v/>
      </c>
      <c r="W1616" s="84" t="str">
        <f>IF(AND('341-CT'!$H$9=H1616,OR(LEFT(N1616,3)=$W$7,LEFT(O1616,3)=$W$7)),"x","")</f>
        <v/>
      </c>
      <c r="X1616" s="84" t="str">
        <f>IF(OR(TH!N1616=TH!$X$7,O1616=TH!$X$7),"x","")</f>
        <v/>
      </c>
      <c r="Y1616" s="84" t="str">
        <f>IF(AND(OR(N1616="131",O1616="131"),H1616='131-CT'!$H$9),"x","")</f>
        <v/>
      </c>
      <c r="Z1616" s="84"/>
      <c r="AA1616" s="84" t="str">
        <f>IF(AND(MONTH(E1616)='IN-NX'!$J$5,'IN-NX'!$D$7=D1616),"x","")</f>
        <v/>
      </c>
      <c r="AB1616" s="84" t="str">
        <f>IF(AND(OR(LEFT(TH!N1616,2)="15",LEFT(TH!O1616,2)="15"),LEFT(TH!O1616,3)&lt;&gt;"111",'152-CT'!$J$8=TH!F1616),"x","")</f>
        <v/>
      </c>
      <c r="AC1616" s="84" t="str">
        <f>IF(AND(OR(LEFT(TH!N1616,2)="15",LEFT(TH!O1616,2)="15"),TK!$E$7=TH!F1616),"x","")</f>
        <v/>
      </c>
      <c r="AD1616" s="84" t="str">
        <f>IF(AND(N1616="1521",MONTH(C1616)='BK-NL'!$M$11),"x","")</f>
        <v/>
      </c>
    </row>
    <row r="1617" spans="1:32" ht="15.75" hidden="1" customHeight="1">
      <c r="A1617" s="336" t="str">
        <f>IF(B1617&lt;&gt;"",IF(AND(B1617='IN-TC'!$S$4,OR(TH!N1617="1111",TH!O1617="1111")),TH!D1617,""),"")</f>
        <v/>
      </c>
      <c r="B1617" s="63">
        <f t="shared" si="225"/>
        <v>6</v>
      </c>
      <c r="C1617" s="64">
        <v>42538</v>
      </c>
      <c r="D1617" s="64" t="s">
        <v>705</v>
      </c>
      <c r="E1617" s="64">
        <f t="shared" si="224"/>
        <v>42538</v>
      </c>
      <c r="F1617" s="73" t="s">
        <v>1450</v>
      </c>
      <c r="G1617" s="67" t="s">
        <v>919</v>
      </c>
      <c r="H1617" s="73" t="s">
        <v>1218</v>
      </c>
      <c r="I1617" s="439"/>
      <c r="J1617" s="439"/>
      <c r="K1617" s="430"/>
      <c r="L1617" s="439"/>
      <c r="M1617" s="65">
        <v>1975000000</v>
      </c>
      <c r="N1617" s="66" t="s">
        <v>72</v>
      </c>
      <c r="O1617" s="66" t="s">
        <v>26</v>
      </c>
      <c r="P1617" s="84" t="str">
        <f>IF(AND('331-CT'!$E$7=TH!H1617,OR(N1617="331",O1617="331")),"x","")</f>
        <v/>
      </c>
      <c r="Q1617" s="84" t="str">
        <f>IF(AND(B1617='111'!$L$11,OR($N1617=$Q$7,$O1617=$Q$7)),"x","")</f>
        <v/>
      </c>
      <c r="R1617" s="84" t="str">
        <f>IF(AND($N1617=$Q$7,$B1617&lt;'111'!$L$11),"x","")</f>
        <v/>
      </c>
      <c r="S1617" s="84" t="str">
        <f>IF(AND($O1617=$Q$7,$B1617&lt;'111'!$L$11),"x","")</f>
        <v/>
      </c>
      <c r="T1617" s="84" t="str">
        <f>IF(ISERROR(FIND('112'!$M$9,G1617,1)),"",IF((AND(FIND('112'!$M$9,G1617,1)&gt;=1,B1617='112'!$K$9,OR($N1617='112'!$I$6,$O1617='112'!$I$6))),"x",""))</f>
        <v>x</v>
      </c>
      <c r="U1617" s="84" t="str">
        <f>IF(ISERROR(FIND('112'!$M$9,G1617,1)),"",IF((AND(LEFT(G1617,2)=LEFT('112'!$M$9,2),B1617&lt;'112'!$K$9,$N1617='112'!$I$6)),"x",""))</f>
        <v/>
      </c>
      <c r="V1617" s="84" t="str">
        <f>IF(ISERROR(FIND('112'!$M$9,G1617,1)),"",IF((AND(RIGHT(G1617,2)=RIGHT('112'!$M$9,2),B1617&lt;'112'!$K$9,$O1617='112'!$I$6)),"x",""))</f>
        <v/>
      </c>
      <c r="W1617" s="84" t="str">
        <f>IF(AND('341-CT'!$H$9=H1617,OR(LEFT(N1617,3)=$W$7,LEFT(O1617,3)=$W$7)),"x","")</f>
        <v/>
      </c>
      <c r="X1617" s="84" t="str">
        <f>IF(OR(TH!N1617=TH!$X$7,O1617=TH!$X$7),"x","")</f>
        <v>x</v>
      </c>
      <c r="Y1617" s="84" t="str">
        <f>IF(AND(OR(N1617="131",O1617="131"),H1617='131-CT'!$H$9),"x","")</f>
        <v/>
      </c>
      <c r="Z1617" s="84"/>
      <c r="AA1617" s="84" t="str">
        <f>IF(AND(MONTH(E1617)='IN-NX'!$J$5,'IN-NX'!$D$7=D1617),"x","")</f>
        <v/>
      </c>
      <c r="AB1617" s="84" t="str">
        <f>IF(AND(OR(LEFT(TH!N1617,2)="15",LEFT(TH!O1617,2)="15"),LEFT(TH!O1617,3)&lt;&gt;"111",'152-CT'!$J$8=TH!F1617),"x","")</f>
        <v/>
      </c>
      <c r="AC1617" s="84" t="str">
        <f>IF(AND(OR(LEFT(TH!N1617,2)="15",LEFT(TH!O1617,2)="15"),TK!$E$7=TH!F1617),"x","")</f>
        <v/>
      </c>
      <c r="AD1617" s="84" t="str">
        <f>IF(AND(N1617="1521",MONTH(C1617)='BK-NL'!$M$11),"x","")</f>
        <v/>
      </c>
    </row>
    <row r="1618" spans="1:32" s="351" customFormat="1" ht="15.75" hidden="1" customHeight="1">
      <c r="A1618" s="336" t="str">
        <f>IF(B1618&lt;&gt;"",IF(AND(B1618='IN-TC'!$S$4,OR(TH!N1618="1111",TH!O1618="1111")),TH!D1618,""),"")</f>
        <v/>
      </c>
      <c r="B1618" s="1144">
        <f t="shared" si="225"/>
        <v>6</v>
      </c>
      <c r="C1618" s="94">
        <v>42538</v>
      </c>
      <c r="D1618" s="64" t="s">
        <v>705</v>
      </c>
      <c r="E1618" s="94">
        <f t="shared" si="224"/>
        <v>42538</v>
      </c>
      <c r="F1618" s="73" t="s">
        <v>1997</v>
      </c>
      <c r="G1618" s="95" t="s">
        <v>919</v>
      </c>
      <c r="H1618" s="1209" t="s">
        <v>1996</v>
      </c>
      <c r="I1618" s="445"/>
      <c r="J1618" s="445"/>
      <c r="K1618" s="436">
        <v>2200</v>
      </c>
      <c r="L1618" s="439">
        <v>22265</v>
      </c>
      <c r="M1618" s="97">
        <f t="shared" ref="M1618:M1626" si="226">ROUND(K1618*L1618,0)</f>
        <v>48983000</v>
      </c>
      <c r="N1618" s="85" t="s">
        <v>8</v>
      </c>
      <c r="O1618" s="85" t="s">
        <v>266</v>
      </c>
      <c r="P1618" s="84" t="str">
        <f>IF(AND('331-CT'!$E$7=TH!H1618,OR(N1618="331",O1618="331")),"x","")</f>
        <v/>
      </c>
      <c r="Q1618" s="84" t="str">
        <f>IF(AND(B1618='111'!$L$11,OR($N1618=$Q$7,$O1618=$Q$7)),"x","")</f>
        <v/>
      </c>
      <c r="R1618" s="84" t="str">
        <f>IF(AND($N1618=$Q$7,$B1618&lt;'111'!$L$11),"x","")</f>
        <v/>
      </c>
      <c r="S1618" s="84" t="str">
        <f>IF(AND($O1618=$Q$7,$B1618&lt;'111'!$L$11),"x","")</f>
        <v/>
      </c>
      <c r="T1618" s="84" t="str">
        <f>IF(ISERROR(FIND('112'!$M$9,G1618,1)),"",IF((AND(FIND('112'!$M$9,G1618,1)&gt;=1,B1618='112'!$K$9,OR($N1618='112'!$I$6,$O1618='112'!$I$6))),"x",""))</f>
        <v/>
      </c>
      <c r="U1618" s="84" t="str">
        <f>IF(ISERROR(FIND('112'!$M$9,G1618,1)),"",IF((AND(LEFT(G1618,2)=LEFT('112'!$M$9,2),B1618&lt;'112'!$K$9,$N1618='112'!$I$6)),"x",""))</f>
        <v/>
      </c>
      <c r="V1618" s="84" t="str">
        <f>IF(ISERROR(FIND('112'!$M$9,G1618,1)),"",IF((AND(RIGHT(G1618,2)=RIGHT('112'!$M$9,2),B1618&lt;'112'!$K$9,$O1618='112'!$I$6)),"x",""))</f>
        <v/>
      </c>
      <c r="W1618" s="84" t="str">
        <f>IF(AND('341-CT'!$H$9=H1618,OR(LEFT(N1618,3)=$W$7,LEFT(O1618,3)=$W$7)),"x","")</f>
        <v/>
      </c>
      <c r="X1618" s="84" t="str">
        <f>IF(OR(TH!N1618=TH!$X$7,O1618=TH!$X$7),"x","")</f>
        <v/>
      </c>
      <c r="Y1618" s="84" t="str">
        <f>IF(AND(OR(N1618="131",O1618="131"),H1618='131-CT'!$H$9),"x","")</f>
        <v/>
      </c>
      <c r="Z1618" s="84"/>
      <c r="AA1618" s="84" t="str">
        <f>IF(AND(MONTH(E1618)='IN-NX'!$J$5,'IN-NX'!$D$7=D1618),"x","")</f>
        <v/>
      </c>
      <c r="AB1618" s="84" t="str">
        <f>IF(AND(OR(LEFT(TH!N1618,2)="15",LEFT(TH!O1618,2)="15"),LEFT(TH!O1618,3)&lt;&gt;"111",'152-CT'!$J$8=TH!F1618),"x","")</f>
        <v/>
      </c>
      <c r="AC1618" s="84" t="str">
        <f>IF(AND(OR(LEFT(TH!N1618,2)="15",LEFT(TH!O1618,2)="15"),TK!$E$7=TH!F1618),"x","")</f>
        <v/>
      </c>
      <c r="AD1618" s="84" t="str">
        <f>IF(AND(N1618="1521",MONTH(C1618)='BK-NL'!$M$11),"x","")</f>
        <v/>
      </c>
      <c r="AE1618" s="1146" t="str">
        <f>IF(H1618&lt;&gt;VLOOKUP(H1618,DSKH,1,0),"","x")</f>
        <v>x</v>
      </c>
      <c r="AF1618" s="350"/>
    </row>
    <row r="1619" spans="1:32" ht="15.75" hidden="1" customHeight="1">
      <c r="A1619" s="336" t="str">
        <f>IF(B1619&lt;&gt;"",IF(AND(B1619='IN-TC'!$S$4,OR(TH!N1619="1111",TH!O1619="1111")),TH!D1619,""),"")</f>
        <v/>
      </c>
      <c r="B1619" s="63">
        <f t="shared" si="225"/>
        <v>6</v>
      </c>
      <c r="C1619" s="64">
        <v>42538</v>
      </c>
      <c r="D1619" s="64" t="s">
        <v>705</v>
      </c>
      <c r="E1619" s="64">
        <f t="shared" si="224"/>
        <v>42538</v>
      </c>
      <c r="F1619" s="73" t="s">
        <v>1443</v>
      </c>
      <c r="G1619" s="67" t="s">
        <v>919</v>
      </c>
      <c r="H1619" s="344"/>
      <c r="I1619" s="439"/>
      <c r="J1619" s="439"/>
      <c r="K1619" s="430">
        <v>5</v>
      </c>
      <c r="L1619" s="439">
        <v>22280</v>
      </c>
      <c r="M1619" s="65">
        <f t="shared" si="226"/>
        <v>111400</v>
      </c>
      <c r="N1619" s="66" t="s">
        <v>101</v>
      </c>
      <c r="O1619" s="66" t="s">
        <v>266</v>
      </c>
      <c r="P1619" s="84" t="str">
        <f>IF(AND('331-CT'!$E$7=TH!H1619,OR(N1619="331",O1619="331")),"x","")</f>
        <v/>
      </c>
      <c r="Q1619" s="84" t="str">
        <f>IF(AND(B1619='111'!$L$11,OR($N1619=$Q$7,$O1619=$Q$7)),"x","")</f>
        <v/>
      </c>
      <c r="R1619" s="84" t="str">
        <f>IF(AND($N1619=$Q$7,$B1619&lt;'111'!$L$11),"x","")</f>
        <v/>
      </c>
      <c r="S1619" s="84" t="str">
        <f>IF(AND($O1619=$Q$7,$B1619&lt;'111'!$L$11),"x","")</f>
        <v/>
      </c>
      <c r="T1619" s="84" t="str">
        <f>IF(ISERROR(FIND('112'!$M$9,G1619,1)),"",IF((AND(FIND('112'!$M$9,G1619,1)&gt;=1,B1619='112'!$K$9,OR($N1619='112'!$I$6,$O1619='112'!$I$6))),"x",""))</f>
        <v/>
      </c>
      <c r="U1619" s="84" t="str">
        <f>IF(ISERROR(FIND('112'!$M$9,G1619,1)),"",IF((AND(LEFT(G1619,2)=LEFT('112'!$M$9,2),B1619&lt;'112'!$K$9,$N1619='112'!$I$6)),"x",""))</f>
        <v/>
      </c>
      <c r="V1619" s="84" t="str">
        <f>IF(ISERROR(FIND('112'!$M$9,G1619,1)),"",IF((AND(RIGHT(G1619,2)=RIGHT('112'!$M$9,2),B1619&lt;'112'!$K$9,$O1619='112'!$I$6)),"x",""))</f>
        <v/>
      </c>
      <c r="W1619" s="84" t="str">
        <f>IF(AND('341-CT'!$H$9=H1619,OR(LEFT(N1619,3)=$W$7,LEFT(O1619,3)=$W$7)),"x","")</f>
        <v/>
      </c>
      <c r="X1619" s="84" t="str">
        <f>IF(OR(TH!N1619=TH!$X$7,O1619=TH!$X$7),"x","")</f>
        <v/>
      </c>
      <c r="Y1619" s="84" t="str">
        <f>IF(AND(OR(N1619="131",O1619="131"),H1619='131-CT'!$H$9),"x","")</f>
        <v/>
      </c>
      <c r="Z1619" s="84"/>
      <c r="AA1619" s="84" t="str">
        <f>IF(AND(MONTH(E1619)='IN-NX'!$J$5,'IN-NX'!$D$7=D1619),"x","")</f>
        <v/>
      </c>
      <c r="AB1619" s="84" t="str">
        <f>IF(AND(OR(LEFT(TH!N1619,2)="15",LEFT(TH!O1619,2)="15"),LEFT(TH!O1619,3)&lt;&gt;"111",'152-CT'!$J$8=TH!F1619),"x","")</f>
        <v/>
      </c>
      <c r="AC1619" s="84" t="str">
        <f>IF(AND(OR(LEFT(TH!N1619,2)="15",LEFT(TH!O1619,2)="15"),TK!$E$7=TH!F1619),"x","")</f>
        <v/>
      </c>
      <c r="AD1619" s="84" t="str">
        <f>IF(AND(N1619="1521",MONTH(C1619)='BK-NL'!$M$11),"x","")</f>
        <v/>
      </c>
      <c r="AF1619" s="330">
        <v>1</v>
      </c>
    </row>
    <row r="1620" spans="1:32" ht="15.75" hidden="1" customHeight="1">
      <c r="A1620" s="336" t="str">
        <f>IF(B1620&lt;&gt;"",IF(AND(B1620='IN-TC'!$S$4,OR(TH!N1620="1111",TH!O1620="1111")),TH!D1620,""),"")</f>
        <v/>
      </c>
      <c r="B1620" s="63">
        <f t="shared" si="225"/>
        <v>6</v>
      </c>
      <c r="C1620" s="64">
        <v>42538</v>
      </c>
      <c r="D1620" s="64" t="s">
        <v>705</v>
      </c>
      <c r="E1620" s="64">
        <f t="shared" si="224"/>
        <v>42538</v>
      </c>
      <c r="F1620" s="73" t="s">
        <v>1444</v>
      </c>
      <c r="G1620" s="67" t="s">
        <v>919</v>
      </c>
      <c r="H1620" s="344"/>
      <c r="I1620" s="439"/>
      <c r="J1620" s="439"/>
      <c r="K1620" s="430">
        <v>0.5</v>
      </c>
      <c r="L1620" s="439">
        <v>22280</v>
      </c>
      <c r="M1620" s="65">
        <f t="shared" si="226"/>
        <v>11140</v>
      </c>
      <c r="N1620" s="66" t="s">
        <v>9</v>
      </c>
      <c r="O1620" s="66" t="s">
        <v>266</v>
      </c>
      <c r="P1620" s="84" t="str">
        <f>IF(AND('331-CT'!$E$7=TH!H1620,OR(N1620="331",O1620="331")),"x","")</f>
        <v/>
      </c>
      <c r="Q1620" s="84" t="str">
        <f>IF(AND(B1620='111'!$L$11,OR($N1620=$Q$7,$O1620=$Q$7)),"x","")</f>
        <v/>
      </c>
      <c r="R1620" s="84" t="str">
        <f>IF(AND($N1620=$Q$7,$B1620&lt;'111'!$L$11),"x","")</f>
        <v/>
      </c>
      <c r="S1620" s="84" t="str">
        <f>IF(AND($O1620=$Q$7,$B1620&lt;'111'!$L$11),"x","")</f>
        <v/>
      </c>
      <c r="T1620" s="84" t="str">
        <f>IF(ISERROR(FIND('112'!$M$9,G1620,1)),"",IF((AND(FIND('112'!$M$9,G1620,1)&gt;=1,B1620='112'!$K$9,OR($N1620='112'!$I$6,$O1620='112'!$I$6))),"x",""))</f>
        <v/>
      </c>
      <c r="U1620" s="84" t="str">
        <f>IF(ISERROR(FIND('112'!$M$9,G1620,1)),"",IF((AND(LEFT(G1620,2)=LEFT('112'!$M$9,2),B1620&lt;'112'!$K$9,$N1620='112'!$I$6)),"x",""))</f>
        <v/>
      </c>
      <c r="V1620" s="84" t="str">
        <f>IF(ISERROR(FIND('112'!$M$9,G1620,1)),"",IF((AND(RIGHT(G1620,2)=RIGHT('112'!$M$9,2),B1620&lt;'112'!$K$9,$O1620='112'!$I$6)),"x",""))</f>
        <v/>
      </c>
      <c r="W1620" s="84" t="str">
        <f>IF(AND('341-CT'!$H$9=H1620,OR(LEFT(N1620,3)=$W$7,LEFT(O1620,3)=$W$7)),"x","")</f>
        <v/>
      </c>
      <c r="X1620" s="84" t="str">
        <f>IF(OR(TH!N1620=TH!$X$7,O1620=TH!$X$7),"x","")</f>
        <v/>
      </c>
      <c r="Y1620" s="84" t="str">
        <f>IF(AND(OR(N1620="131",O1620="131"),H1620='131-CT'!$H$9),"x","")</f>
        <v/>
      </c>
      <c r="Z1620" s="84"/>
      <c r="AA1620" s="84" t="str">
        <f>IF(AND(MONTH(E1620)='IN-NX'!$J$5,'IN-NX'!$D$7=D1620),"x","")</f>
        <v/>
      </c>
      <c r="AB1620" s="84" t="str">
        <f>IF(AND(OR(LEFT(TH!N1620,2)="15",LEFT(TH!O1620,2)="15"),LEFT(TH!O1620,3)&lt;&gt;"111",'152-CT'!$J$8=TH!F1620),"x","")</f>
        <v/>
      </c>
      <c r="AC1620" s="84" t="str">
        <f>IF(AND(OR(LEFT(TH!N1620,2)="15",LEFT(TH!O1620,2)="15"),TK!$E$7=TH!F1620),"x","")</f>
        <v/>
      </c>
      <c r="AD1620" s="84" t="str">
        <f>IF(AND(N1620="1521",MONTH(C1620)='BK-NL'!$M$11),"x","")</f>
        <v/>
      </c>
    </row>
    <row r="1621" spans="1:32" ht="15.75" hidden="1" customHeight="1">
      <c r="A1621" s="336" t="str">
        <f>IF(B1621&lt;&gt;"",IF(AND(B1621='IN-TC'!$S$4,OR(TH!N1621="1111",TH!O1621="1111")),TH!D1621,""),"")</f>
        <v/>
      </c>
      <c r="B1621" s="63">
        <f t="shared" si="225"/>
        <v>6</v>
      </c>
      <c r="C1621" s="64">
        <v>42538</v>
      </c>
      <c r="D1621" s="64" t="s">
        <v>702</v>
      </c>
      <c r="E1621" s="64">
        <f t="shared" si="224"/>
        <v>42538</v>
      </c>
      <c r="F1621" s="73" t="s">
        <v>1191</v>
      </c>
      <c r="G1621" s="67" t="s">
        <v>919</v>
      </c>
      <c r="H1621" s="344" t="s">
        <v>1695</v>
      </c>
      <c r="I1621" s="439"/>
      <c r="J1621" s="439"/>
      <c r="K1621" s="430">
        <v>166113.62100000001</v>
      </c>
      <c r="L1621" s="439">
        <v>22340</v>
      </c>
      <c r="M1621" s="65">
        <f t="shared" si="226"/>
        <v>3710978293</v>
      </c>
      <c r="N1621" s="66" t="s">
        <v>266</v>
      </c>
      <c r="O1621" s="66" t="s">
        <v>588</v>
      </c>
      <c r="P1621" s="84" t="str">
        <f>IF(AND('331-CT'!$E$7=TH!H1621,OR(N1621="331",O1621="331")),"x","")</f>
        <v/>
      </c>
      <c r="Q1621" s="84" t="str">
        <f>IF(AND(B1621='111'!$L$11,OR($N1621=$Q$7,$O1621=$Q$7)),"x","")</f>
        <v/>
      </c>
      <c r="R1621" s="84" t="str">
        <f>IF(AND($N1621=$Q$7,$B1621&lt;'111'!$L$11),"x","")</f>
        <v/>
      </c>
      <c r="S1621" s="84" t="str">
        <f>IF(AND($O1621=$Q$7,$B1621&lt;'111'!$L$11),"x","")</f>
        <v/>
      </c>
      <c r="T1621" s="84" t="str">
        <f>IF(ISERROR(FIND('112'!$M$9,G1621,1)),"",IF((AND(FIND('112'!$M$9,G1621,1)&gt;=1,B1621='112'!$K$9,OR($N1621='112'!$I$6,$O1621='112'!$I$6))),"x",""))</f>
        <v/>
      </c>
      <c r="U1621" s="84" t="str">
        <f>IF(ISERROR(FIND('112'!$M$9,G1621,1)),"",IF((AND(LEFT(G1621,2)=LEFT('112'!$M$9,2),B1621&lt;'112'!$K$9,$N1621='112'!$I$6)),"x",""))</f>
        <v/>
      </c>
      <c r="V1621" s="84" t="str">
        <f>IF(ISERROR(FIND('112'!$M$9,G1621,1)),"",IF((AND(RIGHT(G1621,2)=RIGHT('112'!$M$9,2),B1621&lt;'112'!$K$9,$O1621='112'!$I$6)),"x",""))</f>
        <v/>
      </c>
      <c r="W1621" s="84" t="str">
        <f>IF(AND('341-CT'!$H$9=H1621,OR(LEFT(N1621,3)=$W$7,LEFT(O1621,3)=$W$7)),"x","")</f>
        <v/>
      </c>
      <c r="X1621" s="84" t="str">
        <f>IF(OR(TH!N1621=TH!$X$7,O1621=TH!$X$7),"x","")</f>
        <v/>
      </c>
      <c r="Y1621" s="84" t="str">
        <f>IF(AND(OR(N1621="131",O1621="131"),H1621='131-CT'!$H$9),"x","")</f>
        <v/>
      </c>
      <c r="Z1621" s="84"/>
      <c r="AA1621" s="84" t="str">
        <f>IF(AND(MONTH(E1621)='IN-NX'!$J$5,'IN-NX'!$D$7=D1621),"x","")</f>
        <v/>
      </c>
      <c r="AB1621" s="84" t="str">
        <f>IF(AND(OR(LEFT(TH!N1621,2)="15",LEFT(TH!O1621,2)="15"),LEFT(TH!O1621,3)&lt;&gt;"111",'152-CT'!$J$8=TH!F1621),"x","")</f>
        <v/>
      </c>
      <c r="AC1621" s="84" t="str">
        <f>IF(AND(OR(LEFT(TH!N1621,2)="15",LEFT(TH!O1621,2)="15"),TK!$E$7=TH!F1621),"x","")</f>
        <v/>
      </c>
      <c r="AD1621" s="84" t="str">
        <f>IF(AND(N1621="1521",MONTH(C1621)='BK-NL'!$M$11),"x","")</f>
        <v/>
      </c>
    </row>
    <row r="1622" spans="1:32" ht="15.75" hidden="1" customHeight="1">
      <c r="A1622" s="336" t="str">
        <f>IF(B1622&lt;&gt;"",IF(AND(B1622='IN-TC'!$S$4,OR(TH!N1622="1111",TH!O1622="1111")),TH!D1622,""),"")</f>
        <v/>
      </c>
      <c r="B1622" s="63">
        <f t="shared" si="225"/>
        <v>6</v>
      </c>
      <c r="C1622" s="64">
        <v>42538</v>
      </c>
      <c r="D1622" s="64" t="s">
        <v>582</v>
      </c>
      <c r="E1622" s="64">
        <f t="shared" si="224"/>
        <v>42538</v>
      </c>
      <c r="F1622" s="73" t="s">
        <v>614</v>
      </c>
      <c r="G1622" s="67" t="s">
        <v>919</v>
      </c>
      <c r="H1622" s="344" t="s">
        <v>1695</v>
      </c>
      <c r="I1622" s="439"/>
      <c r="J1622" s="439"/>
      <c r="K1622" s="430">
        <v>10</v>
      </c>
      <c r="L1622" s="439">
        <v>22340</v>
      </c>
      <c r="M1622" s="65">
        <f t="shared" si="226"/>
        <v>223400</v>
      </c>
      <c r="N1622" s="66" t="s">
        <v>101</v>
      </c>
      <c r="O1622" s="66" t="s">
        <v>588</v>
      </c>
      <c r="P1622" s="84" t="str">
        <f>IF(AND('331-CT'!$E$7=TH!H1622,OR(N1622="331",O1622="331")),"x","")</f>
        <v/>
      </c>
      <c r="Q1622" s="84" t="str">
        <f>IF(AND(B1622='111'!$L$11,OR($N1622=$Q$7,$O1622=$Q$7)),"x","")</f>
        <v/>
      </c>
      <c r="R1622" s="84" t="str">
        <f>IF(AND($N1622=$Q$7,$B1622&lt;'111'!$L$11),"x","")</f>
        <v/>
      </c>
      <c r="S1622" s="84" t="str">
        <f>IF(AND($O1622=$Q$7,$B1622&lt;'111'!$L$11),"x","")</f>
        <v/>
      </c>
      <c r="T1622" s="84" t="str">
        <f>IF(ISERROR(FIND('112'!$M$9,G1622,1)),"",IF((AND(FIND('112'!$M$9,G1622,1)&gt;=1,B1622='112'!$K$9,OR($N1622='112'!$I$6,$O1622='112'!$I$6))),"x",""))</f>
        <v/>
      </c>
      <c r="U1622" s="84" t="str">
        <f>IF(ISERROR(FIND('112'!$M$9,G1622,1)),"",IF((AND(LEFT(G1622,2)=LEFT('112'!$M$9,2),B1622&lt;'112'!$K$9,$N1622='112'!$I$6)),"x",""))</f>
        <v/>
      </c>
      <c r="V1622" s="84" t="str">
        <f>IF(ISERROR(FIND('112'!$M$9,G1622,1)),"",IF((AND(RIGHT(G1622,2)=RIGHT('112'!$M$9,2),B1622&lt;'112'!$K$9,$O1622='112'!$I$6)),"x",""))</f>
        <v/>
      </c>
      <c r="W1622" s="84" t="str">
        <f>IF(AND('341-CT'!$H$9=H1622,OR(LEFT(N1622,3)=$W$7,LEFT(O1622,3)=$W$7)),"x","")</f>
        <v/>
      </c>
      <c r="X1622" s="84" t="str">
        <f>IF(OR(TH!N1622=TH!$X$7,O1622=TH!$X$7),"x","")</f>
        <v/>
      </c>
      <c r="Y1622" s="84" t="str">
        <f>IF(AND(OR(N1622="131",O1622="131"),H1622='131-CT'!$H$9),"x","")</f>
        <v/>
      </c>
      <c r="Z1622" s="84"/>
      <c r="AA1622" s="84" t="str">
        <f>IF(AND(MONTH(E1622)='IN-NX'!$J$5,'IN-NX'!$D$7=D1622),"x","")</f>
        <v/>
      </c>
      <c r="AB1622" s="84" t="str">
        <f>IF(AND(OR(LEFT(TH!N1622,2)="15",LEFT(TH!O1622,2)="15"),LEFT(TH!O1622,3)&lt;&gt;"111",'152-CT'!$J$8=TH!F1622),"x","")</f>
        <v/>
      </c>
      <c r="AC1622" s="84" t="str">
        <f>IF(AND(OR(LEFT(TH!N1622,2)="15",LEFT(TH!O1622,2)="15"),TK!$E$7=TH!F1622),"x","")</f>
        <v/>
      </c>
      <c r="AD1622" s="84" t="str">
        <f>IF(AND(N1622="1521",MONTH(C1622)='BK-NL'!$M$11),"x","")</f>
        <v/>
      </c>
      <c r="AF1622" s="330">
        <v>1</v>
      </c>
    </row>
    <row r="1623" spans="1:32" ht="15.75" hidden="1" customHeight="1">
      <c r="A1623" s="336" t="str">
        <f>IF(B1623&lt;&gt;"",IF(AND(B1623='IN-TC'!$S$4,OR(TH!N1623="1111",TH!O1623="1111")),TH!D1623,""),"")</f>
        <v/>
      </c>
      <c r="B1623" s="63">
        <f t="shared" si="225"/>
        <v>6</v>
      </c>
      <c r="C1623" s="64">
        <v>42538</v>
      </c>
      <c r="D1623" s="64" t="s">
        <v>582</v>
      </c>
      <c r="E1623" s="64">
        <f t="shared" si="224"/>
        <v>42538</v>
      </c>
      <c r="F1623" s="73" t="s">
        <v>1194</v>
      </c>
      <c r="G1623" s="67" t="s">
        <v>919</v>
      </c>
      <c r="H1623" s="344" t="s">
        <v>1695</v>
      </c>
      <c r="I1623" s="439"/>
      <c r="J1623" s="439"/>
      <c r="K1623" s="430">
        <v>1</v>
      </c>
      <c r="L1623" s="439">
        <v>22340</v>
      </c>
      <c r="M1623" s="65">
        <f t="shared" si="226"/>
        <v>22340</v>
      </c>
      <c r="N1623" s="66" t="s">
        <v>9</v>
      </c>
      <c r="O1623" s="66" t="s">
        <v>588</v>
      </c>
      <c r="P1623" s="84" t="str">
        <f>IF(AND('331-CT'!$E$7=TH!H1623,OR(N1623="331",O1623="331")),"x","")</f>
        <v/>
      </c>
      <c r="Q1623" s="84" t="str">
        <f>IF(AND(B1623='111'!$L$11,OR($N1623=$Q$7,$O1623=$Q$7)),"x","")</f>
        <v/>
      </c>
      <c r="R1623" s="84" t="str">
        <f>IF(AND($N1623=$Q$7,$B1623&lt;'111'!$L$11),"x","")</f>
        <v/>
      </c>
      <c r="S1623" s="84" t="str">
        <f>IF(AND($O1623=$Q$7,$B1623&lt;'111'!$L$11),"x","")</f>
        <v/>
      </c>
      <c r="T1623" s="84" t="str">
        <f>IF(ISERROR(FIND('112'!$M$9,G1623,1)),"",IF((AND(FIND('112'!$M$9,G1623,1)&gt;=1,B1623='112'!$K$9,OR($N1623='112'!$I$6,$O1623='112'!$I$6))),"x",""))</f>
        <v/>
      </c>
      <c r="U1623" s="84" t="str">
        <f>IF(ISERROR(FIND('112'!$M$9,G1623,1)),"",IF((AND(LEFT(G1623,2)=LEFT('112'!$M$9,2),B1623&lt;'112'!$K$9,$N1623='112'!$I$6)),"x",""))</f>
        <v/>
      </c>
      <c r="V1623" s="84" t="str">
        <f>IF(ISERROR(FIND('112'!$M$9,G1623,1)),"",IF((AND(RIGHT(G1623,2)=RIGHT('112'!$M$9,2),B1623&lt;'112'!$K$9,$O1623='112'!$I$6)),"x",""))</f>
        <v/>
      </c>
      <c r="W1623" s="84" t="str">
        <f>IF(AND('341-CT'!$H$9=H1623,OR(LEFT(N1623,3)=$W$7,LEFT(O1623,3)=$W$7)),"x","")</f>
        <v/>
      </c>
      <c r="X1623" s="84" t="str">
        <f>IF(OR(TH!N1623=TH!$X$7,O1623=TH!$X$7),"x","")</f>
        <v/>
      </c>
      <c r="Y1623" s="84" t="str">
        <f>IF(AND(OR(N1623="131",O1623="131"),H1623='131-CT'!$H$9),"x","")</f>
        <v/>
      </c>
      <c r="Z1623" s="84"/>
      <c r="AA1623" s="84" t="str">
        <f>IF(AND(MONTH(E1623)='IN-NX'!$J$5,'IN-NX'!$D$7=D1623),"x","")</f>
        <v/>
      </c>
      <c r="AB1623" s="84" t="str">
        <f>IF(AND(OR(LEFT(TH!N1623,2)="15",LEFT(TH!O1623,2)="15"),LEFT(TH!O1623,3)&lt;&gt;"111",'152-CT'!$J$8=TH!F1623),"x","")</f>
        <v/>
      </c>
      <c r="AC1623" s="84" t="str">
        <f>IF(AND(OR(LEFT(TH!N1623,2)="15",LEFT(TH!O1623,2)="15"),TK!$E$7=TH!F1623),"x","")</f>
        <v/>
      </c>
      <c r="AD1623" s="84" t="str">
        <f>IF(AND(N1623="1521",MONTH(C1623)='BK-NL'!$M$11),"x","")</f>
        <v/>
      </c>
    </row>
    <row r="1624" spans="1:32" ht="15.75" hidden="1" customHeight="1">
      <c r="A1624" s="336" t="str">
        <f>IF(B1624&lt;&gt;"",IF(AND(B1624='IN-TC'!$S$4,OR(TH!N1624="1111",TH!O1624="1111")),TH!D1624,""),"")</f>
        <v/>
      </c>
      <c r="B1624" s="63">
        <f t="shared" si="225"/>
        <v>6</v>
      </c>
      <c r="C1624" s="64">
        <v>42538</v>
      </c>
      <c r="D1624" s="64" t="s">
        <v>582</v>
      </c>
      <c r="E1624" s="64">
        <f t="shared" si="224"/>
        <v>42538</v>
      </c>
      <c r="F1624" s="73" t="s">
        <v>615</v>
      </c>
      <c r="G1624" s="67" t="s">
        <v>919</v>
      </c>
      <c r="H1624" s="344" t="s">
        <v>1695</v>
      </c>
      <c r="I1624" s="439"/>
      <c r="J1624" s="439"/>
      <c r="K1624" s="430">
        <v>27.62</v>
      </c>
      <c r="L1624" s="439">
        <v>22340</v>
      </c>
      <c r="M1624" s="65">
        <f t="shared" si="226"/>
        <v>617031</v>
      </c>
      <c r="N1624" s="66" t="s">
        <v>101</v>
      </c>
      <c r="O1624" s="66" t="s">
        <v>588</v>
      </c>
      <c r="P1624" s="84" t="str">
        <f>IF(AND('331-CT'!$E$7=TH!H1624,OR(N1624="331",O1624="331")),"x","")</f>
        <v/>
      </c>
      <c r="Q1624" s="84" t="str">
        <f>IF(AND(B1624='111'!$L$11,OR($N1624=$Q$7,$O1624=$Q$7)),"x","")</f>
        <v/>
      </c>
      <c r="R1624" s="84" t="str">
        <f>IF(AND($N1624=$Q$7,$B1624&lt;'111'!$L$11),"x","")</f>
        <v/>
      </c>
      <c r="S1624" s="84" t="str">
        <f>IF(AND($O1624=$Q$7,$B1624&lt;'111'!$L$11),"x","")</f>
        <v/>
      </c>
      <c r="T1624" s="84" t="str">
        <f>IF(ISERROR(FIND('112'!$M$9,G1624,1)),"",IF((AND(FIND('112'!$M$9,G1624,1)&gt;=1,B1624='112'!$K$9,OR($N1624='112'!$I$6,$O1624='112'!$I$6))),"x",""))</f>
        <v/>
      </c>
      <c r="U1624" s="84" t="str">
        <f>IF(ISERROR(FIND('112'!$M$9,G1624,1)),"",IF((AND(LEFT(G1624,2)=LEFT('112'!$M$9,2),B1624&lt;'112'!$K$9,$N1624='112'!$I$6)),"x",""))</f>
        <v/>
      </c>
      <c r="V1624" s="84" t="str">
        <f>IF(ISERROR(FIND('112'!$M$9,G1624,1)),"",IF((AND(RIGHT(G1624,2)=RIGHT('112'!$M$9,2),B1624&lt;'112'!$K$9,$O1624='112'!$I$6)),"x",""))</f>
        <v/>
      </c>
      <c r="W1624" s="84" t="str">
        <f>IF(AND('341-CT'!$H$9=H1624,OR(LEFT(N1624,3)=$W$7,LEFT(O1624,3)=$W$7)),"x","")</f>
        <v/>
      </c>
      <c r="X1624" s="84" t="str">
        <f>IF(OR(TH!N1624=TH!$X$7,O1624=TH!$X$7),"x","")</f>
        <v/>
      </c>
      <c r="Y1624" s="84" t="str">
        <f>IF(AND(OR(N1624="131",O1624="131"),H1624='131-CT'!$H$9),"x","")</f>
        <v/>
      </c>
      <c r="Z1624" s="84"/>
      <c r="AA1624" s="84" t="str">
        <f>IF(AND(MONTH(E1624)='IN-NX'!$J$5,'IN-NX'!$D$7=D1624),"x","")</f>
        <v/>
      </c>
      <c r="AB1624" s="84" t="str">
        <f>IF(AND(OR(LEFT(TH!N1624,2)="15",LEFT(TH!O1624,2)="15"),LEFT(TH!O1624,3)&lt;&gt;"111",'152-CT'!$J$8=TH!F1624),"x","")</f>
        <v/>
      </c>
      <c r="AC1624" s="84" t="str">
        <f>IF(AND(OR(LEFT(TH!N1624,2)="15",LEFT(TH!O1624,2)="15"),TK!$E$7=TH!F1624),"x","")</f>
        <v/>
      </c>
      <c r="AD1624" s="84" t="str">
        <f>IF(AND(N1624="1521",MONTH(C1624)='BK-NL'!$M$11),"x","")</f>
        <v/>
      </c>
      <c r="AF1624" s="330">
        <v>1</v>
      </c>
    </row>
    <row r="1625" spans="1:32" ht="15.75" hidden="1" customHeight="1">
      <c r="A1625" s="336" t="str">
        <f>IF(B1625&lt;&gt;"",IF(AND(B1625='IN-TC'!$S$4,OR(TH!N1625="1111",TH!O1625="1111")),TH!D1625,""),"")</f>
        <v/>
      </c>
      <c r="B1625" s="63">
        <f t="shared" si="225"/>
        <v>6</v>
      </c>
      <c r="C1625" s="64">
        <v>42538</v>
      </c>
      <c r="D1625" s="64" t="s">
        <v>582</v>
      </c>
      <c r="E1625" s="64">
        <f t="shared" si="224"/>
        <v>42538</v>
      </c>
      <c r="F1625" s="73" t="s">
        <v>1318</v>
      </c>
      <c r="G1625" s="67" t="s">
        <v>919</v>
      </c>
      <c r="H1625" s="344" t="s">
        <v>1695</v>
      </c>
      <c r="I1625" s="439"/>
      <c r="J1625" s="439"/>
      <c r="K1625" s="430">
        <v>2.76</v>
      </c>
      <c r="L1625" s="439">
        <v>22340</v>
      </c>
      <c r="M1625" s="65">
        <f t="shared" si="226"/>
        <v>61658</v>
      </c>
      <c r="N1625" s="66" t="s">
        <v>9</v>
      </c>
      <c r="O1625" s="66" t="s">
        <v>588</v>
      </c>
      <c r="P1625" s="84" t="str">
        <f>IF(AND('331-CT'!$E$7=TH!H1625,OR(N1625="331",O1625="331")),"x","")</f>
        <v/>
      </c>
      <c r="Q1625" s="84" t="str">
        <f>IF(AND(B1625='111'!$L$11,OR($N1625=$Q$7,$O1625=$Q$7)),"x","")</f>
        <v/>
      </c>
      <c r="R1625" s="84" t="str">
        <f>IF(AND($N1625=$Q$7,$B1625&lt;'111'!$L$11),"x","")</f>
        <v/>
      </c>
      <c r="S1625" s="84" t="str">
        <f>IF(AND($O1625=$Q$7,$B1625&lt;'111'!$L$11),"x","")</f>
        <v/>
      </c>
      <c r="T1625" s="84" t="str">
        <f>IF(ISERROR(FIND('112'!$M$9,G1625,1)),"",IF((AND(FIND('112'!$M$9,G1625,1)&gt;=1,B1625='112'!$K$9,OR($N1625='112'!$I$6,$O1625='112'!$I$6))),"x",""))</f>
        <v/>
      </c>
      <c r="U1625" s="84" t="str">
        <f>IF(ISERROR(FIND('112'!$M$9,G1625,1)),"",IF((AND(LEFT(G1625,2)=LEFT('112'!$M$9,2),B1625&lt;'112'!$K$9,$N1625='112'!$I$6)),"x",""))</f>
        <v/>
      </c>
      <c r="V1625" s="84" t="str">
        <f>IF(ISERROR(FIND('112'!$M$9,G1625,1)),"",IF((AND(RIGHT(G1625,2)=RIGHT('112'!$M$9,2),B1625&lt;'112'!$K$9,$O1625='112'!$I$6)),"x",""))</f>
        <v/>
      </c>
      <c r="W1625" s="84" t="str">
        <f>IF(AND('341-CT'!$H$9=H1625,OR(LEFT(N1625,3)=$W$7,LEFT(O1625,3)=$W$7)),"x","")</f>
        <v/>
      </c>
      <c r="X1625" s="84" t="str">
        <f>IF(OR(TH!N1625=TH!$X$7,O1625=TH!$X$7),"x","")</f>
        <v/>
      </c>
      <c r="Y1625" s="84" t="str">
        <f>IF(AND(OR(N1625="131",O1625="131"),H1625='131-CT'!$H$9),"x","")</f>
        <v/>
      </c>
      <c r="Z1625" s="84"/>
      <c r="AA1625" s="84" t="str">
        <f>IF(AND(MONTH(E1625)='IN-NX'!$J$5,'IN-NX'!$D$7=D1625),"x","")</f>
        <v/>
      </c>
      <c r="AB1625" s="84" t="str">
        <f>IF(AND(OR(LEFT(TH!N1625,2)="15",LEFT(TH!O1625,2)="15"),LEFT(TH!O1625,3)&lt;&gt;"111",'152-CT'!$J$8=TH!F1625),"x","")</f>
        <v/>
      </c>
      <c r="AC1625" s="84" t="str">
        <f>IF(AND(OR(LEFT(TH!N1625,2)="15",LEFT(TH!O1625,2)="15"),TK!$E$7=TH!F1625),"x","")</f>
        <v/>
      </c>
      <c r="AD1625" s="84" t="str">
        <f>IF(AND(N1625="1521",MONTH(C1625)='BK-NL'!$M$11),"x","")</f>
        <v/>
      </c>
    </row>
    <row r="1626" spans="1:32" ht="15.75" hidden="1" customHeight="1">
      <c r="A1626" s="336" t="str">
        <f>IF(B1626&lt;&gt;"",IF(AND(B1626='IN-TC'!$S$4,OR(TH!N1626="1111",TH!O1626="1111")),TH!D1626,""),"")</f>
        <v/>
      </c>
      <c r="B1626" s="1003">
        <f t="shared" si="225"/>
        <v>6</v>
      </c>
      <c r="C1626" s="80">
        <v>42538</v>
      </c>
      <c r="D1626" s="80" t="s">
        <v>582</v>
      </c>
      <c r="E1626" s="80">
        <f t="shared" si="224"/>
        <v>42538</v>
      </c>
      <c r="F1626" s="82" t="s">
        <v>1520</v>
      </c>
      <c r="G1626" s="81" t="s">
        <v>919</v>
      </c>
      <c r="H1626" s="966" t="s">
        <v>1695</v>
      </c>
      <c r="I1626" s="437"/>
      <c r="J1626" s="437"/>
      <c r="K1626" s="428">
        <v>90</v>
      </c>
      <c r="L1626" s="437">
        <v>22340</v>
      </c>
      <c r="M1626" s="83">
        <f t="shared" si="226"/>
        <v>2010600</v>
      </c>
      <c r="N1626" s="84" t="s">
        <v>101</v>
      </c>
      <c r="O1626" s="84" t="s">
        <v>588</v>
      </c>
      <c r="P1626" s="84" t="str">
        <f>IF(AND('331-CT'!$E$7=TH!H1626,OR(N1626="331",O1626="331")),"x","")</f>
        <v/>
      </c>
      <c r="Q1626" s="84" t="str">
        <f>IF(AND(B1626='111'!$L$11,OR($N1626=$Q$7,$O1626=$Q$7)),"x","")</f>
        <v/>
      </c>
      <c r="R1626" s="84" t="str">
        <f>IF(AND($N1626=$Q$7,$B1626&lt;'111'!$L$11),"x","")</f>
        <v/>
      </c>
      <c r="S1626" s="84" t="str">
        <f>IF(AND($O1626=$Q$7,$B1626&lt;'111'!$L$11),"x","")</f>
        <v/>
      </c>
      <c r="T1626" s="84" t="str">
        <f>IF(ISERROR(FIND('112'!$M$9,G1626,1)),"",IF((AND(FIND('112'!$M$9,G1626,1)&gt;=1,B1626='112'!$K$9,OR($N1626='112'!$I$6,$O1626='112'!$I$6))),"x",""))</f>
        <v/>
      </c>
      <c r="U1626" s="84" t="str">
        <f>IF(ISERROR(FIND('112'!$M$9,G1626,1)),"",IF((AND(LEFT(G1626,2)=LEFT('112'!$M$9,2),B1626&lt;'112'!$K$9,$N1626='112'!$I$6)),"x",""))</f>
        <v/>
      </c>
      <c r="V1626" s="84" t="str">
        <f>IF(ISERROR(FIND('112'!$M$9,G1626,1)),"",IF((AND(RIGHT(G1626,2)=RIGHT('112'!$M$9,2),B1626&lt;'112'!$K$9,$O1626='112'!$I$6)),"x",""))</f>
        <v/>
      </c>
      <c r="W1626" s="84" t="str">
        <f>IF(AND('341-CT'!$H$9=H1626,OR(LEFT(N1626,3)=$W$7,LEFT(O1626,3)=$W$7)),"x","")</f>
        <v/>
      </c>
      <c r="X1626" s="84" t="str">
        <f>IF(OR(TH!N1626=TH!$X$7,O1626=TH!$X$7),"x","")</f>
        <v/>
      </c>
      <c r="Y1626" s="84" t="str">
        <f>IF(AND(OR(N1626="131",O1626="131"),H1626='131-CT'!$H$9),"x","")</f>
        <v/>
      </c>
      <c r="Z1626" s="84"/>
      <c r="AA1626" s="84" t="str">
        <f>IF(AND(MONTH(E1626)='IN-NX'!$J$5,'IN-NX'!$D$7=D1626),"x","")</f>
        <v/>
      </c>
      <c r="AB1626" s="84" t="str">
        <f>IF(AND(OR(LEFT(TH!N1626,2)="15",LEFT(TH!O1626,2)="15"),LEFT(TH!O1626,3)&lt;&gt;"111",'152-CT'!$J$8=TH!F1626),"x","")</f>
        <v/>
      </c>
      <c r="AC1626" s="84" t="str">
        <f>IF(AND(OR(LEFT(TH!N1626,2)="15",LEFT(TH!O1626,2)="15"),TK!$E$7=TH!F1626),"x","")</f>
        <v/>
      </c>
      <c r="AD1626" s="84" t="str">
        <f>IF(AND(N1626="1521",MONTH(C1626)='BK-NL'!$M$11),"x","")</f>
        <v/>
      </c>
      <c r="AE1626" s="347"/>
      <c r="AF1626" s="347"/>
    </row>
    <row r="1627" spans="1:32" ht="15.75" hidden="1" customHeight="1">
      <c r="A1627" s="336" t="str">
        <f>IF(B1627&lt;&gt;"",IF(AND(B1627='IN-TC'!$S$4,OR(TH!N1627="1111",TH!O1627="1111")),TH!D1627,""),"")</f>
        <v/>
      </c>
      <c r="B1627" s="1003">
        <f t="shared" si="225"/>
        <v>6</v>
      </c>
      <c r="C1627" s="80">
        <v>42538</v>
      </c>
      <c r="D1627" s="80" t="s">
        <v>582</v>
      </c>
      <c r="E1627" s="80">
        <f t="shared" si="224"/>
        <v>42538</v>
      </c>
      <c r="F1627" s="82" t="s">
        <v>1068</v>
      </c>
      <c r="G1627" s="81" t="s">
        <v>919</v>
      </c>
      <c r="H1627" s="966" t="s">
        <v>1695</v>
      </c>
      <c r="I1627" s="437"/>
      <c r="J1627" s="437"/>
      <c r="K1627" s="428"/>
      <c r="L1627" s="437"/>
      <c r="M1627" s="83">
        <v>6476722</v>
      </c>
      <c r="N1627" s="84" t="s">
        <v>588</v>
      </c>
      <c r="O1627" s="66" t="s">
        <v>43</v>
      </c>
      <c r="P1627" s="84" t="str">
        <f>IF(AND('331-CT'!$E$7=TH!H1627,OR(N1627="331",O1627="331")),"x","")</f>
        <v/>
      </c>
      <c r="Q1627" s="84" t="str">
        <f>IF(AND(B1627='111'!$L$11,OR($N1627=$Q$7,$O1627=$Q$7)),"x","")</f>
        <v/>
      </c>
      <c r="R1627" s="84" t="str">
        <f>IF(AND($N1627=$Q$7,$B1627&lt;'111'!$L$11),"x","")</f>
        <v/>
      </c>
      <c r="S1627" s="84" t="str">
        <f>IF(AND($O1627=$Q$7,$B1627&lt;'111'!$L$11),"x","")</f>
        <v/>
      </c>
      <c r="T1627" s="84" t="str">
        <f>IF(ISERROR(FIND('112'!$M$9,G1627,1)),"",IF((AND(FIND('112'!$M$9,G1627,1)&gt;=1,B1627='112'!$K$9,OR($N1627='112'!$I$6,$O1627='112'!$I$6))),"x",""))</f>
        <v/>
      </c>
      <c r="U1627" s="84" t="str">
        <f>IF(ISERROR(FIND('112'!$M$9,G1627,1)),"",IF((AND(LEFT(G1627,2)=LEFT('112'!$M$9,2),B1627&lt;'112'!$K$9,$N1627='112'!$I$6)),"x",""))</f>
        <v/>
      </c>
      <c r="V1627" s="84" t="str">
        <f>IF(ISERROR(FIND('112'!$M$9,G1627,1)),"",IF((AND(RIGHT(G1627,2)=RIGHT('112'!$M$9,2),B1627&lt;'112'!$K$9,$O1627='112'!$I$6)),"x",""))</f>
        <v/>
      </c>
      <c r="W1627" s="84" t="str">
        <f>IF(AND('341-CT'!$H$9=H1627,OR(LEFT(N1627,3)=$W$7,LEFT(O1627,3)=$W$7)),"x","")</f>
        <v/>
      </c>
      <c r="X1627" s="84" t="str">
        <f>IF(OR(TH!N1627=TH!$X$7,O1627=TH!$X$7),"x","")</f>
        <v/>
      </c>
      <c r="Y1627" s="84" t="str">
        <f>IF(AND(OR(N1627="131",O1627="131"),H1627='131-CT'!$H$9),"x","")</f>
        <v/>
      </c>
      <c r="Z1627" s="84"/>
      <c r="AA1627" s="84" t="str">
        <f>IF(AND(MONTH(E1627)='IN-NX'!$J$5,'IN-NX'!$D$7=D1627),"x","")</f>
        <v/>
      </c>
      <c r="AB1627" s="84" t="str">
        <f>IF(AND(OR(LEFT(TH!N1627,2)="15",LEFT(TH!O1627,2)="15"),LEFT(TH!O1627,3)&lt;&gt;"111",'152-CT'!$J$8=TH!F1627),"x","")</f>
        <v/>
      </c>
      <c r="AC1627" s="84" t="str">
        <f>IF(AND(OR(LEFT(TH!N1627,2)="15",LEFT(TH!O1627,2)="15"),TK!$E$7=TH!F1627),"x","")</f>
        <v/>
      </c>
      <c r="AD1627" s="84" t="str">
        <f>IF(AND(N1627="1521",MONTH(C1627)='BK-NL'!$M$11),"x","")</f>
        <v/>
      </c>
      <c r="AE1627" s="347"/>
      <c r="AF1627" s="347"/>
    </row>
    <row r="1628" spans="1:32" ht="15.75" hidden="1" customHeight="1">
      <c r="A1628" s="336" t="str">
        <f>IF(B1628&lt;&gt;"",IF(AND(B1628='IN-TC'!$S$4,OR(TH!N1628="1111",TH!O1628="1111")),TH!D1628,""),"")</f>
        <v/>
      </c>
      <c r="B1628" s="63">
        <f t="shared" si="225"/>
        <v>6</v>
      </c>
      <c r="C1628" s="64">
        <v>42538</v>
      </c>
      <c r="D1628" s="64" t="s">
        <v>705</v>
      </c>
      <c r="E1628" s="64">
        <f t="shared" si="224"/>
        <v>42538</v>
      </c>
      <c r="F1628" s="73" t="s">
        <v>1676</v>
      </c>
      <c r="G1628" s="67" t="s">
        <v>918</v>
      </c>
      <c r="H1628" s="73"/>
      <c r="I1628" s="439"/>
      <c r="J1628" s="439"/>
      <c r="K1628" s="430"/>
      <c r="L1628" s="439"/>
      <c r="M1628" s="65">
        <v>50000</v>
      </c>
      <c r="N1628" s="66" t="s">
        <v>101</v>
      </c>
      <c r="O1628" s="66" t="s">
        <v>26</v>
      </c>
      <c r="P1628" s="84" t="str">
        <f>IF(AND('331-CT'!$E$7=TH!H1628,OR(N1628="331",O1628="331")),"x","")</f>
        <v/>
      </c>
      <c r="Q1628" s="84" t="str">
        <f>IF(AND(B1628='111'!$L$11,OR($N1628=$Q$7,$O1628=$Q$7)),"x","")</f>
        <v/>
      </c>
      <c r="R1628" s="84" t="str">
        <f>IF(AND($N1628=$Q$7,$B1628&lt;'111'!$L$11),"x","")</f>
        <v/>
      </c>
      <c r="S1628" s="84" t="str">
        <f>IF(AND($O1628=$Q$7,$B1628&lt;'111'!$L$11),"x","")</f>
        <v/>
      </c>
      <c r="T1628" s="84" t="str">
        <f>IF(ISERROR(FIND('112'!$M$9,G1628,1)),"",IF((AND(FIND('112'!$M$9,G1628,1)&gt;=1,B1628='112'!$K$9,OR($N1628='112'!$I$6,$O1628='112'!$I$6))),"x",""))</f>
        <v/>
      </c>
      <c r="U1628" s="84" t="str">
        <f>IF(ISERROR(FIND('112'!$M$9,G1628,1)),"",IF((AND(LEFT(G1628,2)=LEFT('112'!$M$9,2),B1628&lt;'112'!$K$9,$N1628='112'!$I$6)),"x",""))</f>
        <v/>
      </c>
      <c r="V1628" s="84" t="str">
        <f>IF(ISERROR(FIND('112'!$M$9,G1628,1)),"",IF((AND(RIGHT(G1628,2)=RIGHT('112'!$M$9,2),B1628&lt;'112'!$K$9,$O1628='112'!$I$6)),"x",""))</f>
        <v/>
      </c>
      <c r="W1628" s="84" t="str">
        <f>IF(AND('341-CT'!$H$9=H1628,OR(LEFT(N1628,3)=$W$7,LEFT(O1628,3)=$W$7)),"x","")</f>
        <v/>
      </c>
      <c r="X1628" s="84" t="str">
        <f>IF(OR(TH!N1628=TH!$X$7,O1628=TH!$X$7),"x","")</f>
        <v/>
      </c>
      <c r="Y1628" s="84" t="str">
        <f>IF(AND(OR(N1628="131",O1628="131"),H1628='131-CT'!$H$9),"x","")</f>
        <v/>
      </c>
      <c r="Z1628" s="84"/>
      <c r="AA1628" s="84" t="str">
        <f>IF(AND(MONTH(E1628)='IN-NX'!$J$5,'IN-NX'!$D$7=D1628),"x","")</f>
        <v/>
      </c>
      <c r="AB1628" s="84" t="str">
        <f>IF(AND(OR(LEFT(TH!N1628,2)="15",LEFT(TH!O1628,2)="15"),LEFT(TH!O1628,3)&lt;&gt;"111",'152-CT'!$J$8=TH!F1628),"x","")</f>
        <v/>
      </c>
      <c r="AC1628" s="84" t="str">
        <f>IF(AND(OR(LEFT(TH!N1628,2)="15",LEFT(TH!O1628,2)="15"),TK!$E$7=TH!F1628),"x","")</f>
        <v/>
      </c>
      <c r="AD1628" s="84" t="str">
        <f>IF(AND(N1628="1521",MONTH(C1628)='BK-NL'!$M$11),"x","")</f>
        <v/>
      </c>
      <c r="AF1628" s="330">
        <v>1</v>
      </c>
    </row>
    <row r="1629" spans="1:32" ht="15.75" hidden="1" customHeight="1">
      <c r="A1629" s="336" t="str">
        <f>IF(B1629&lt;&gt;"",IF(AND(B1629='IN-TC'!$S$4,OR(TH!N1629="1111",TH!O1629="1111")),TH!D1629,""),"")</f>
        <v/>
      </c>
      <c r="B1629" s="63">
        <f t="shared" si="225"/>
        <v>6</v>
      </c>
      <c r="C1629" s="64">
        <v>42538</v>
      </c>
      <c r="D1629" s="64" t="s">
        <v>705</v>
      </c>
      <c r="E1629" s="64">
        <f t="shared" si="224"/>
        <v>42538</v>
      </c>
      <c r="F1629" s="73" t="s">
        <v>1677</v>
      </c>
      <c r="G1629" s="67" t="s">
        <v>918</v>
      </c>
      <c r="H1629" s="73"/>
      <c r="I1629" s="439"/>
      <c r="J1629" s="439"/>
      <c r="K1629" s="430"/>
      <c r="L1629" s="439"/>
      <c r="M1629" s="65">
        <v>5000</v>
      </c>
      <c r="N1629" s="66" t="s">
        <v>9</v>
      </c>
      <c r="O1629" s="66" t="s">
        <v>26</v>
      </c>
      <c r="P1629" s="84" t="str">
        <f>IF(AND('331-CT'!$E$7=TH!H1629,OR(N1629="331",O1629="331")),"x","")</f>
        <v/>
      </c>
      <c r="Q1629" s="84" t="str">
        <f>IF(AND(B1629='111'!$L$11,OR($N1629=$Q$7,$O1629=$Q$7)),"x","")</f>
        <v/>
      </c>
      <c r="R1629" s="84" t="str">
        <f>IF(AND($N1629=$Q$7,$B1629&lt;'111'!$L$11),"x","")</f>
        <v/>
      </c>
      <c r="S1629" s="84" t="str">
        <f>IF(AND($O1629=$Q$7,$B1629&lt;'111'!$L$11),"x","")</f>
        <v/>
      </c>
      <c r="T1629" s="84" t="str">
        <f>IF(ISERROR(FIND('112'!$M$9,G1629,1)),"",IF((AND(FIND('112'!$M$9,G1629,1)&gt;=1,B1629='112'!$K$9,OR($N1629='112'!$I$6,$O1629='112'!$I$6))),"x",""))</f>
        <v/>
      </c>
      <c r="U1629" s="84" t="str">
        <f>IF(ISERROR(FIND('112'!$M$9,G1629,1)),"",IF((AND(LEFT(G1629,2)=LEFT('112'!$M$9,2),B1629&lt;'112'!$K$9,$N1629='112'!$I$6)),"x",""))</f>
        <v/>
      </c>
      <c r="V1629" s="84" t="str">
        <f>IF(ISERROR(FIND('112'!$M$9,G1629,1)),"",IF((AND(RIGHT(G1629,2)=RIGHT('112'!$M$9,2),B1629&lt;'112'!$K$9,$O1629='112'!$I$6)),"x",""))</f>
        <v/>
      </c>
      <c r="W1629" s="84" t="str">
        <f>IF(AND('341-CT'!$H$9=H1629,OR(LEFT(N1629,3)=$W$7,LEFT(O1629,3)=$W$7)),"x","")</f>
        <v/>
      </c>
      <c r="X1629" s="84" t="str">
        <f>IF(OR(TH!N1629=TH!$X$7,O1629=TH!$X$7),"x","")</f>
        <v/>
      </c>
      <c r="Y1629" s="84" t="str">
        <f>IF(AND(OR(N1629="131",O1629="131"),H1629='131-CT'!$H$9),"x","")</f>
        <v/>
      </c>
      <c r="Z1629" s="84"/>
      <c r="AA1629" s="84" t="str">
        <f>IF(AND(MONTH(E1629)='IN-NX'!$J$5,'IN-NX'!$D$7=D1629),"x","")</f>
        <v/>
      </c>
      <c r="AB1629" s="84" t="str">
        <f>IF(AND(OR(LEFT(TH!N1629,2)="15",LEFT(TH!O1629,2)="15"),LEFT(TH!O1629,3)&lt;&gt;"111",'152-CT'!$J$8=TH!F1629),"x","")</f>
        <v/>
      </c>
      <c r="AC1629" s="84" t="str">
        <f>IF(AND(OR(LEFT(TH!N1629,2)="15",LEFT(TH!O1629,2)="15"),TK!$E$7=TH!F1629),"x","")</f>
        <v/>
      </c>
      <c r="AD1629" s="84" t="str">
        <f>IF(AND(N1629="1521",MONTH(C1629)='BK-NL'!$M$11),"x","")</f>
        <v/>
      </c>
    </row>
    <row r="1630" spans="1:32" ht="15.75" hidden="1" customHeight="1">
      <c r="A1630" s="336" t="str">
        <f>IF(B1630&lt;&gt;"",IF(AND(B1630='IN-TC'!$S$4,OR(TH!N1630="1111",TH!O1630="1111")),TH!D1630,""),"")</f>
        <v/>
      </c>
      <c r="B1630" s="63">
        <f t="shared" si="225"/>
        <v>6</v>
      </c>
      <c r="C1630" s="64">
        <v>42538</v>
      </c>
      <c r="D1630" s="64" t="s">
        <v>705</v>
      </c>
      <c r="E1630" s="64">
        <f t="shared" si="224"/>
        <v>42538</v>
      </c>
      <c r="F1630" s="73" t="s">
        <v>1676</v>
      </c>
      <c r="G1630" s="67" t="s">
        <v>918</v>
      </c>
      <c r="H1630" s="73"/>
      <c r="I1630" s="439"/>
      <c r="J1630" s="439"/>
      <c r="K1630" s="430"/>
      <c r="L1630" s="439"/>
      <c r="M1630" s="65">
        <v>50000</v>
      </c>
      <c r="N1630" s="66" t="s">
        <v>101</v>
      </c>
      <c r="O1630" s="66" t="s">
        <v>26</v>
      </c>
      <c r="P1630" s="84" t="str">
        <f>IF(AND('331-CT'!$E$7=TH!H1630,OR(N1630="331",O1630="331")),"x","")</f>
        <v/>
      </c>
      <c r="Q1630" s="84" t="str">
        <f>IF(AND(B1630='111'!$L$11,OR($N1630=$Q$7,$O1630=$Q$7)),"x","")</f>
        <v/>
      </c>
      <c r="R1630" s="84" t="str">
        <f>IF(AND($N1630=$Q$7,$B1630&lt;'111'!$L$11),"x","")</f>
        <v/>
      </c>
      <c r="S1630" s="84" t="str">
        <f>IF(AND($O1630=$Q$7,$B1630&lt;'111'!$L$11),"x","")</f>
        <v/>
      </c>
      <c r="T1630" s="84" t="str">
        <f>IF(ISERROR(FIND('112'!$M$9,G1630,1)),"",IF((AND(FIND('112'!$M$9,G1630,1)&gt;=1,B1630='112'!$K$9,OR($N1630='112'!$I$6,$O1630='112'!$I$6))),"x",""))</f>
        <v/>
      </c>
      <c r="U1630" s="84" t="str">
        <f>IF(ISERROR(FIND('112'!$M$9,G1630,1)),"",IF((AND(LEFT(G1630,2)=LEFT('112'!$M$9,2),B1630&lt;'112'!$K$9,$N1630='112'!$I$6)),"x",""))</f>
        <v/>
      </c>
      <c r="V1630" s="84" t="str">
        <f>IF(ISERROR(FIND('112'!$M$9,G1630,1)),"",IF((AND(RIGHT(G1630,2)=RIGHT('112'!$M$9,2),B1630&lt;'112'!$K$9,$O1630='112'!$I$6)),"x",""))</f>
        <v/>
      </c>
      <c r="W1630" s="84" t="str">
        <f>IF(AND('341-CT'!$H$9=H1630,OR(LEFT(N1630,3)=$W$7,LEFT(O1630,3)=$W$7)),"x","")</f>
        <v/>
      </c>
      <c r="X1630" s="84" t="str">
        <f>IF(OR(TH!N1630=TH!$X$7,O1630=TH!$X$7),"x","")</f>
        <v/>
      </c>
      <c r="Y1630" s="84" t="str">
        <f>IF(AND(OR(N1630="131",O1630="131"),H1630='131-CT'!$H$9),"x","")</f>
        <v/>
      </c>
      <c r="Z1630" s="84"/>
      <c r="AA1630" s="84" t="str">
        <f>IF(AND(MONTH(E1630)='IN-NX'!$J$5,'IN-NX'!$D$7=D1630),"x","")</f>
        <v/>
      </c>
      <c r="AB1630" s="84" t="str">
        <f>IF(AND(OR(LEFT(TH!N1630,2)="15",LEFT(TH!O1630,2)="15"),LEFT(TH!O1630,3)&lt;&gt;"111",'152-CT'!$J$8=TH!F1630),"x","")</f>
        <v/>
      </c>
      <c r="AC1630" s="84" t="str">
        <f>IF(AND(OR(LEFT(TH!N1630,2)="15",LEFT(TH!O1630,2)="15"),TK!$E$7=TH!F1630),"x","")</f>
        <v/>
      </c>
      <c r="AD1630" s="84" t="str">
        <f>IF(AND(N1630="1521",MONTH(C1630)='BK-NL'!$M$11),"x","")</f>
        <v/>
      </c>
      <c r="AF1630" s="330">
        <v>1</v>
      </c>
    </row>
    <row r="1631" spans="1:32" ht="15.75" hidden="1" customHeight="1">
      <c r="A1631" s="336" t="str">
        <f>IF(B1631&lt;&gt;"",IF(AND(B1631='IN-TC'!$S$4,OR(TH!N1631="1111",TH!O1631="1111")),TH!D1631,""),"")</f>
        <v/>
      </c>
      <c r="B1631" s="63">
        <f t="shared" si="225"/>
        <v>6</v>
      </c>
      <c r="C1631" s="64">
        <v>42538</v>
      </c>
      <c r="D1631" s="64" t="s">
        <v>705</v>
      </c>
      <c r="E1631" s="64">
        <f t="shared" si="224"/>
        <v>42538</v>
      </c>
      <c r="F1631" s="73" t="s">
        <v>1677</v>
      </c>
      <c r="G1631" s="67" t="s">
        <v>918</v>
      </c>
      <c r="H1631" s="73"/>
      <c r="I1631" s="439"/>
      <c r="J1631" s="439"/>
      <c r="K1631" s="430"/>
      <c r="L1631" s="439"/>
      <c r="M1631" s="65">
        <v>5000</v>
      </c>
      <c r="N1631" s="66" t="s">
        <v>9</v>
      </c>
      <c r="O1631" s="66" t="s">
        <v>26</v>
      </c>
      <c r="P1631" s="84" t="str">
        <f>IF(AND('331-CT'!$E$7=TH!H1631,OR(N1631="331",O1631="331")),"x","")</f>
        <v/>
      </c>
      <c r="Q1631" s="84" t="str">
        <f>IF(AND(B1631='111'!$L$11,OR($N1631=$Q$7,$O1631=$Q$7)),"x","")</f>
        <v/>
      </c>
      <c r="R1631" s="84" t="str">
        <f>IF(AND($N1631=$Q$7,$B1631&lt;'111'!$L$11),"x","")</f>
        <v/>
      </c>
      <c r="S1631" s="84" t="str">
        <f>IF(AND($O1631=$Q$7,$B1631&lt;'111'!$L$11),"x","")</f>
        <v/>
      </c>
      <c r="T1631" s="84" t="str">
        <f>IF(ISERROR(FIND('112'!$M$9,G1631,1)),"",IF((AND(FIND('112'!$M$9,G1631,1)&gt;=1,B1631='112'!$K$9,OR($N1631='112'!$I$6,$O1631='112'!$I$6))),"x",""))</f>
        <v/>
      </c>
      <c r="U1631" s="84" t="str">
        <f>IF(ISERROR(FIND('112'!$M$9,G1631,1)),"",IF((AND(LEFT(G1631,2)=LEFT('112'!$M$9,2),B1631&lt;'112'!$K$9,$N1631='112'!$I$6)),"x",""))</f>
        <v/>
      </c>
      <c r="V1631" s="84" t="str">
        <f>IF(ISERROR(FIND('112'!$M$9,G1631,1)),"",IF((AND(RIGHT(G1631,2)=RIGHT('112'!$M$9,2),B1631&lt;'112'!$K$9,$O1631='112'!$I$6)),"x",""))</f>
        <v/>
      </c>
      <c r="W1631" s="84" t="str">
        <f>IF(AND('341-CT'!$H$9=H1631,OR(LEFT(N1631,3)=$W$7,LEFT(O1631,3)=$W$7)),"x","")</f>
        <v/>
      </c>
      <c r="X1631" s="84" t="str">
        <f>IF(OR(TH!N1631=TH!$X$7,O1631=TH!$X$7),"x","")</f>
        <v/>
      </c>
      <c r="Y1631" s="84" t="str">
        <f>IF(AND(OR(N1631="131",O1631="131"),H1631='131-CT'!$H$9),"x","")</f>
        <v/>
      </c>
      <c r="Z1631" s="84"/>
      <c r="AA1631" s="84" t="str">
        <f>IF(AND(MONTH(E1631)='IN-NX'!$J$5,'IN-NX'!$D$7=D1631),"x","")</f>
        <v/>
      </c>
      <c r="AB1631" s="84" t="str">
        <f>IF(AND(OR(LEFT(TH!N1631,2)="15",LEFT(TH!O1631,2)="15"),LEFT(TH!O1631,3)&lt;&gt;"111",'152-CT'!$J$8=TH!F1631),"x","")</f>
        <v/>
      </c>
      <c r="AC1631" s="84" t="str">
        <f>IF(AND(OR(LEFT(TH!N1631,2)="15",LEFT(TH!O1631,2)="15"),TK!$E$7=TH!F1631),"x","")</f>
        <v/>
      </c>
      <c r="AD1631" s="84" t="str">
        <f>IF(AND(N1631="1521",MONTH(C1631)='BK-NL'!$M$11),"x","")</f>
        <v/>
      </c>
    </row>
    <row r="1632" spans="1:32" ht="15.75" hidden="1" customHeight="1">
      <c r="A1632" s="336" t="str">
        <f>IF(B1632&lt;&gt;"",IF(AND(B1632='IN-TC'!$S$4,OR(TH!N1632="1111",TH!O1632="1111")),TH!D1632,""),"")</f>
        <v/>
      </c>
      <c r="B1632" s="63">
        <f t="shared" si="225"/>
        <v>6</v>
      </c>
      <c r="C1632" s="64">
        <v>42539</v>
      </c>
      <c r="D1632" s="64" t="s">
        <v>917</v>
      </c>
      <c r="E1632" s="64">
        <v>42539</v>
      </c>
      <c r="F1632" s="73" t="s">
        <v>1146</v>
      </c>
      <c r="G1632" s="67" t="s">
        <v>919</v>
      </c>
      <c r="H1632" s="73" t="s">
        <v>763</v>
      </c>
      <c r="I1632" s="439"/>
      <c r="J1632" s="439"/>
      <c r="K1632" s="430"/>
      <c r="L1632" s="439"/>
      <c r="M1632" s="65">
        <v>160000000</v>
      </c>
      <c r="N1632" s="66" t="s">
        <v>63</v>
      </c>
      <c r="O1632" s="66" t="s">
        <v>26</v>
      </c>
      <c r="P1632" s="84" t="str">
        <f>IF(AND('331-CT'!$E$7=TH!H1632,OR(N1632="331",O1632="331")),"x","")</f>
        <v/>
      </c>
      <c r="Q1632" s="84" t="str">
        <f>IF(AND(B1632='111'!$L$11,OR($N1632=$Q$7,$O1632=$Q$7)),"x","")</f>
        <v/>
      </c>
      <c r="R1632" s="84" t="str">
        <f>IF(AND($N1632=$Q$7,$B1632&lt;'111'!$L$11),"x","")</f>
        <v/>
      </c>
      <c r="S1632" s="84" t="str">
        <f>IF(AND($O1632=$Q$7,$B1632&lt;'111'!$L$11),"x","")</f>
        <v/>
      </c>
      <c r="T1632" s="84" t="str">
        <f>IF(ISERROR(FIND('112'!$M$9,G1632,1)),"",IF((AND(FIND('112'!$M$9,G1632,1)&gt;=1,B1632='112'!$K$9,OR($N1632='112'!$I$6,$O1632='112'!$I$6))),"x",""))</f>
        <v>x</v>
      </c>
      <c r="U1632" s="84" t="str">
        <f>IF(ISERROR(FIND('112'!$M$9,G1632,1)),"",IF((AND(LEFT(G1632,2)=LEFT('112'!$M$9,2),B1632&lt;'112'!$K$9,$N1632='112'!$I$6)),"x",""))</f>
        <v/>
      </c>
      <c r="V1632" s="84" t="str">
        <f>IF(ISERROR(FIND('112'!$M$9,G1632,1)),"",IF((AND(RIGHT(G1632,2)=RIGHT('112'!$M$9,2),B1632&lt;'112'!$K$9,$O1632='112'!$I$6)),"x",""))</f>
        <v/>
      </c>
      <c r="W1632" s="84" t="str">
        <f>IF(AND('341-CT'!$H$9=H1632,OR(LEFT(N1632,3)=$W$7,LEFT(O1632,3)=$W$7)),"x","")</f>
        <v/>
      </c>
      <c r="X1632" s="84" t="str">
        <f>IF(OR(TH!N1632=TH!$X$7,O1632=TH!$X$7),"x","")</f>
        <v/>
      </c>
      <c r="Y1632" s="84" t="str">
        <f>IF(AND(OR(N1632="131",O1632="131"),H1632='131-CT'!$H$9),"x","")</f>
        <v/>
      </c>
      <c r="Z1632" s="84"/>
      <c r="AA1632" s="84" t="str">
        <f>IF(AND(MONTH(E1632)='IN-NX'!$J$5,'IN-NX'!$D$7=D1632),"x","")</f>
        <v/>
      </c>
      <c r="AB1632" s="84" t="str">
        <f>IF(AND(OR(LEFT(TH!N1632,2)="15",LEFT(TH!O1632,2)="15"),LEFT(TH!O1632,3)&lt;&gt;"111",'152-CT'!$J$8=TH!F1632),"x","")</f>
        <v/>
      </c>
      <c r="AC1632" s="84" t="str">
        <f>IF(AND(OR(LEFT(TH!N1632,2)="15",LEFT(TH!O1632,2)="15"),TK!$E$7=TH!F1632),"x","")</f>
        <v/>
      </c>
      <c r="AD1632" s="84" t="str">
        <f>IF(AND(N1632="1521",MONTH(C1632)='BK-NL'!$M$11),"x","")</f>
        <v/>
      </c>
    </row>
    <row r="1633" spans="1:32" ht="15.75" hidden="1" customHeight="1">
      <c r="A1633" s="336" t="str">
        <f>IF(B1633&lt;&gt;"",IF(AND(B1633='IN-TC'!$S$4,OR(TH!N1633="1111",TH!O1633="1111")),TH!D1633,""),"")</f>
        <v/>
      </c>
      <c r="B1633" s="63">
        <f t="shared" si="225"/>
        <v>6</v>
      </c>
      <c r="C1633" s="64">
        <v>42539</v>
      </c>
      <c r="D1633" s="64" t="s">
        <v>705</v>
      </c>
      <c r="E1633" s="64">
        <f t="shared" ref="E1633:E1640" si="227">C1633</f>
        <v>42539</v>
      </c>
      <c r="F1633" s="73" t="s">
        <v>751</v>
      </c>
      <c r="G1633" s="67" t="s">
        <v>919</v>
      </c>
      <c r="H1633" s="73" t="s">
        <v>725</v>
      </c>
      <c r="I1633" s="439"/>
      <c r="J1633" s="439"/>
      <c r="K1633" s="430"/>
      <c r="L1633" s="439"/>
      <c r="M1633" s="65">
        <v>6886975</v>
      </c>
      <c r="N1633" s="66" t="s">
        <v>99</v>
      </c>
      <c r="O1633" s="66" t="s">
        <v>26</v>
      </c>
      <c r="P1633" s="84" t="str">
        <f>IF(AND('331-CT'!$E$7=TH!H1633,OR(N1633="331",O1633="331")),"x","")</f>
        <v/>
      </c>
      <c r="Q1633" s="84" t="str">
        <f>IF(AND(B1633='111'!$L$11,OR($N1633=$Q$7,$O1633=$Q$7)),"x","")</f>
        <v/>
      </c>
      <c r="R1633" s="84" t="str">
        <f>IF(AND($N1633=$Q$7,$B1633&lt;'111'!$L$11),"x","")</f>
        <v/>
      </c>
      <c r="S1633" s="84" t="str">
        <f>IF(AND($O1633=$Q$7,$B1633&lt;'111'!$L$11),"x","")</f>
        <v/>
      </c>
      <c r="T1633" s="84" t="str">
        <f>IF(ISERROR(FIND('112'!$M$9,G1633,1)),"",IF((AND(FIND('112'!$M$9,G1633,1)&gt;=1,B1633='112'!$K$9,OR($N1633='112'!$I$6,$O1633='112'!$I$6))),"x",""))</f>
        <v>x</v>
      </c>
      <c r="U1633" s="84" t="str">
        <f>IF(ISERROR(FIND('112'!$M$9,G1633,1)),"",IF((AND(LEFT(G1633,2)=LEFT('112'!$M$9,2),B1633&lt;'112'!$K$9,$N1633='112'!$I$6)),"x",""))</f>
        <v/>
      </c>
      <c r="V1633" s="84" t="str">
        <f>IF(ISERROR(FIND('112'!$M$9,G1633,1)),"",IF((AND(RIGHT(G1633,2)=RIGHT('112'!$M$9,2),B1633&lt;'112'!$K$9,$O1633='112'!$I$6)),"x",""))</f>
        <v/>
      </c>
      <c r="W1633" s="84" t="str">
        <f>IF(AND('341-CT'!$H$9=H1633,OR(LEFT(N1633,3)=$W$7,LEFT(O1633,3)=$W$7)),"x","")</f>
        <v/>
      </c>
      <c r="X1633" s="84" t="str">
        <f>IF(OR(TH!N1633=TH!$X$7,O1633=TH!$X$7),"x","")</f>
        <v/>
      </c>
      <c r="Y1633" s="84" t="str">
        <f>IF(AND(OR(N1633="131",O1633="131"),H1633='131-CT'!$H$9),"x","")</f>
        <v/>
      </c>
      <c r="Z1633" s="84"/>
      <c r="AA1633" s="84" t="str">
        <f>IF(AND(MONTH(E1633)='IN-NX'!$J$5,'IN-NX'!$D$7=D1633),"x","")</f>
        <v/>
      </c>
      <c r="AB1633" s="84" t="str">
        <f>IF(AND(OR(LEFT(TH!N1633,2)="15",LEFT(TH!O1633,2)="15"),LEFT(TH!O1633,3)&lt;&gt;"111",'152-CT'!$J$8=TH!F1633),"x","")</f>
        <v/>
      </c>
      <c r="AC1633" s="84" t="str">
        <f>IF(AND(OR(LEFT(TH!N1633,2)="15",LEFT(TH!O1633,2)="15"),TK!$E$7=TH!F1633),"x","")</f>
        <v/>
      </c>
      <c r="AD1633" s="84" t="str">
        <f>IF(AND(N1633="1521",MONTH(C1633)='BK-NL'!$M$11),"x","")</f>
        <v/>
      </c>
    </row>
    <row r="1634" spans="1:32" ht="15.75" hidden="1" customHeight="1">
      <c r="A1634" s="336" t="str">
        <f>IF(B1634&lt;&gt;"",IF(AND(B1634='IN-TC'!$S$4,OR(TH!N1634="1111",TH!O1634="1111")),TH!D1634,""),"")</f>
        <v/>
      </c>
      <c r="B1634" s="63">
        <f t="shared" si="225"/>
        <v>6</v>
      </c>
      <c r="C1634" s="64">
        <v>42539</v>
      </c>
      <c r="D1634" s="64" t="s">
        <v>705</v>
      </c>
      <c r="E1634" s="64">
        <f t="shared" si="227"/>
        <v>42539</v>
      </c>
      <c r="F1634" s="73" t="s">
        <v>752</v>
      </c>
      <c r="G1634" s="67" t="s">
        <v>919</v>
      </c>
      <c r="H1634" s="344" t="s">
        <v>726</v>
      </c>
      <c r="I1634" s="439"/>
      <c r="J1634" s="439"/>
      <c r="K1634" s="430">
        <v>306.56</v>
      </c>
      <c r="L1634" s="439">
        <v>22300</v>
      </c>
      <c r="M1634" s="65">
        <f t="shared" ref="M1634:M1640" si="228">ROUND(K1634*L1634,0)</f>
        <v>6836288</v>
      </c>
      <c r="N1634" s="66" t="s">
        <v>99</v>
      </c>
      <c r="O1634" s="66" t="s">
        <v>266</v>
      </c>
      <c r="P1634" s="84" t="str">
        <f>IF(AND('331-CT'!$E$7=TH!H1634,OR(N1634="331",O1634="331")),"x","")</f>
        <v/>
      </c>
      <c r="Q1634" s="84" t="str">
        <f>IF(AND(B1634='111'!$L$11,OR($N1634=$Q$7,$O1634=$Q$7)),"x","")</f>
        <v/>
      </c>
      <c r="R1634" s="84" t="str">
        <f>IF(AND($N1634=$Q$7,$B1634&lt;'111'!$L$11),"x","")</f>
        <v/>
      </c>
      <c r="S1634" s="84" t="str">
        <f>IF(AND($O1634=$Q$7,$B1634&lt;'111'!$L$11),"x","")</f>
        <v/>
      </c>
      <c r="T1634" s="84" t="str">
        <f>IF(ISERROR(FIND('112'!$M$9,G1634,1)),"",IF((AND(FIND('112'!$M$9,G1634,1)&gt;=1,B1634='112'!$K$9,OR($N1634='112'!$I$6,$O1634='112'!$I$6))),"x",""))</f>
        <v/>
      </c>
      <c r="U1634" s="84" t="str">
        <f>IF(ISERROR(FIND('112'!$M$9,G1634,1)),"",IF((AND(LEFT(G1634,2)=LEFT('112'!$M$9,2),B1634&lt;'112'!$K$9,$N1634='112'!$I$6)),"x",""))</f>
        <v/>
      </c>
      <c r="V1634" s="84" t="str">
        <f>IF(ISERROR(FIND('112'!$M$9,G1634,1)),"",IF((AND(RIGHT(G1634,2)=RIGHT('112'!$M$9,2),B1634&lt;'112'!$K$9,$O1634='112'!$I$6)),"x",""))</f>
        <v/>
      </c>
      <c r="W1634" s="84" t="str">
        <f>IF(AND('341-CT'!$H$9=H1634,OR(LEFT(N1634,3)=$W$7,LEFT(O1634,3)=$W$7)),"x","")</f>
        <v/>
      </c>
      <c r="X1634" s="84" t="str">
        <f>IF(OR(TH!N1634=TH!$X$7,O1634=TH!$X$7),"x","")</f>
        <v/>
      </c>
      <c r="Y1634" s="84" t="str">
        <f>IF(AND(OR(N1634="131",O1634="131"),H1634='131-CT'!$H$9),"x","")</f>
        <v/>
      </c>
      <c r="Z1634" s="84"/>
      <c r="AA1634" s="84" t="str">
        <f>IF(AND(MONTH(E1634)='IN-NX'!$J$5,'IN-NX'!$D$7=D1634),"x","")</f>
        <v/>
      </c>
      <c r="AB1634" s="84" t="str">
        <f>IF(AND(OR(LEFT(TH!N1634,2)="15",LEFT(TH!O1634,2)="15"),LEFT(TH!O1634,3)&lt;&gt;"111",'152-CT'!$J$8=TH!F1634),"x","")</f>
        <v/>
      </c>
      <c r="AC1634" s="84" t="str">
        <f>IF(AND(OR(LEFT(TH!N1634,2)="15",LEFT(TH!O1634,2)="15"),TK!$E$7=TH!F1634),"x","")</f>
        <v/>
      </c>
      <c r="AD1634" s="84" t="str">
        <f>IF(AND(N1634="1521",MONTH(C1634)='BK-NL'!$M$11),"x","")</f>
        <v/>
      </c>
    </row>
    <row r="1635" spans="1:32" ht="15.75" hidden="1" customHeight="1">
      <c r="A1635" s="336" t="str">
        <f>IF(B1635&lt;&gt;"",IF(AND(B1635='IN-TC'!$S$4,OR(TH!N1635="1111",TH!O1635="1111")),TH!D1635,""),"")</f>
        <v/>
      </c>
      <c r="B1635" s="63">
        <f t="shared" si="225"/>
        <v>6</v>
      </c>
      <c r="C1635" s="64">
        <v>42539</v>
      </c>
      <c r="D1635" s="64" t="s">
        <v>705</v>
      </c>
      <c r="E1635" s="64">
        <f t="shared" si="227"/>
        <v>42539</v>
      </c>
      <c r="F1635" s="73" t="s">
        <v>1060</v>
      </c>
      <c r="G1635" s="67" t="s">
        <v>919</v>
      </c>
      <c r="H1635" s="344" t="s">
        <v>733</v>
      </c>
      <c r="I1635" s="439"/>
      <c r="J1635" s="439"/>
      <c r="K1635" s="430">
        <v>210.11</v>
      </c>
      <c r="L1635" s="439">
        <v>22300</v>
      </c>
      <c r="M1635" s="65">
        <f t="shared" si="228"/>
        <v>4685453</v>
      </c>
      <c r="N1635" s="66" t="s">
        <v>99</v>
      </c>
      <c r="O1635" s="66" t="s">
        <v>266</v>
      </c>
      <c r="P1635" s="84" t="str">
        <f>IF(AND('331-CT'!$E$7=TH!H1635,OR(N1635="331",O1635="331")),"x","")</f>
        <v/>
      </c>
      <c r="Q1635" s="84" t="str">
        <f>IF(AND(B1635='111'!$L$11,OR($N1635=$Q$7,$O1635=$Q$7)),"x","")</f>
        <v/>
      </c>
      <c r="R1635" s="84" t="str">
        <f>IF(AND($N1635=$Q$7,$B1635&lt;'111'!$L$11),"x","")</f>
        <v/>
      </c>
      <c r="S1635" s="84" t="str">
        <f>IF(AND($O1635=$Q$7,$B1635&lt;'111'!$L$11),"x","")</f>
        <v/>
      </c>
      <c r="T1635" s="84" t="str">
        <f>IF(ISERROR(FIND('112'!$M$9,G1635,1)),"",IF((AND(FIND('112'!$M$9,G1635,1)&gt;=1,B1635='112'!$K$9,OR($N1635='112'!$I$6,$O1635='112'!$I$6))),"x",""))</f>
        <v/>
      </c>
      <c r="U1635" s="84" t="str">
        <f>IF(ISERROR(FIND('112'!$M$9,G1635,1)),"",IF((AND(LEFT(G1635,2)=LEFT('112'!$M$9,2),B1635&lt;'112'!$K$9,$N1635='112'!$I$6)),"x",""))</f>
        <v/>
      </c>
      <c r="V1635" s="84" t="str">
        <f>IF(ISERROR(FIND('112'!$M$9,G1635,1)),"",IF((AND(RIGHT(G1635,2)=RIGHT('112'!$M$9,2),B1635&lt;'112'!$K$9,$O1635='112'!$I$6)),"x",""))</f>
        <v/>
      </c>
      <c r="W1635" s="84" t="str">
        <f>IF(AND('341-CT'!$H$9=H1635,OR(LEFT(N1635,3)=$W$7,LEFT(O1635,3)=$W$7)),"x","")</f>
        <v/>
      </c>
      <c r="X1635" s="84" t="str">
        <f>IF(OR(TH!N1635=TH!$X$7,O1635=TH!$X$7),"x","")</f>
        <v/>
      </c>
      <c r="Y1635" s="84" t="str">
        <f>IF(AND(OR(N1635="131",O1635="131"),H1635='131-CT'!$H$9),"x","")</f>
        <v/>
      </c>
      <c r="Z1635" s="84"/>
      <c r="AA1635" s="84" t="str">
        <f>IF(AND(MONTH(E1635)='IN-NX'!$J$5,'IN-NX'!$D$7=D1635),"x","")</f>
        <v/>
      </c>
      <c r="AB1635" s="84" t="str">
        <f>IF(AND(OR(LEFT(TH!N1635,2)="15",LEFT(TH!O1635,2)="15"),LEFT(TH!O1635,3)&lt;&gt;"111",'152-CT'!$J$8=TH!F1635),"x","")</f>
        <v/>
      </c>
      <c r="AC1635" s="84" t="str">
        <f>IF(AND(OR(LEFT(TH!N1635,2)="15",LEFT(TH!O1635,2)="15"),TK!$E$7=TH!F1635),"x","")</f>
        <v/>
      </c>
      <c r="AD1635" s="84" t="str">
        <f>IF(AND(N1635="1521",MONTH(C1635)='BK-NL'!$M$11),"x","")</f>
        <v/>
      </c>
    </row>
    <row r="1636" spans="1:32" ht="15.75" hidden="1" customHeight="1">
      <c r="A1636" s="336" t="str">
        <f>IF(B1636&lt;&gt;"",IF(AND(B1636='IN-TC'!$S$4,OR(TH!N1636="1111",TH!O1636="1111")),TH!D1636,""),"")</f>
        <v/>
      </c>
      <c r="B1636" s="63">
        <f t="shared" si="225"/>
        <v>6</v>
      </c>
      <c r="C1636" s="64">
        <v>42539</v>
      </c>
      <c r="D1636" s="64" t="s">
        <v>705</v>
      </c>
      <c r="E1636" s="64">
        <f t="shared" si="227"/>
        <v>42539</v>
      </c>
      <c r="F1636" s="73" t="s">
        <v>754</v>
      </c>
      <c r="G1636" s="67" t="s">
        <v>919</v>
      </c>
      <c r="H1636" s="344" t="s">
        <v>727</v>
      </c>
      <c r="I1636" s="439"/>
      <c r="J1636" s="439"/>
      <c r="K1636" s="430">
        <v>306.56</v>
      </c>
      <c r="L1636" s="439">
        <v>22300</v>
      </c>
      <c r="M1636" s="65">
        <f t="shared" si="228"/>
        <v>6836288</v>
      </c>
      <c r="N1636" s="66" t="s">
        <v>99</v>
      </c>
      <c r="O1636" s="66" t="s">
        <v>266</v>
      </c>
      <c r="P1636" s="84" t="str">
        <f>IF(AND('331-CT'!$E$7=TH!H1636,OR(N1636="331",O1636="331")),"x","")</f>
        <v/>
      </c>
      <c r="Q1636" s="84" t="str">
        <f>IF(AND(B1636='111'!$L$11,OR($N1636=$Q$7,$O1636=$Q$7)),"x","")</f>
        <v/>
      </c>
      <c r="R1636" s="84" t="str">
        <f>IF(AND($N1636=$Q$7,$B1636&lt;'111'!$L$11),"x","")</f>
        <v/>
      </c>
      <c r="S1636" s="84" t="str">
        <f>IF(AND($O1636=$Q$7,$B1636&lt;'111'!$L$11),"x","")</f>
        <v/>
      </c>
      <c r="T1636" s="84" t="str">
        <f>IF(ISERROR(FIND('112'!$M$9,G1636,1)),"",IF((AND(FIND('112'!$M$9,G1636,1)&gt;=1,B1636='112'!$K$9,OR($N1636='112'!$I$6,$O1636='112'!$I$6))),"x",""))</f>
        <v/>
      </c>
      <c r="U1636" s="84" t="str">
        <f>IF(ISERROR(FIND('112'!$M$9,G1636,1)),"",IF((AND(LEFT(G1636,2)=LEFT('112'!$M$9,2),B1636&lt;'112'!$K$9,$N1636='112'!$I$6)),"x",""))</f>
        <v/>
      </c>
      <c r="V1636" s="84" t="str">
        <f>IF(ISERROR(FIND('112'!$M$9,G1636,1)),"",IF((AND(RIGHT(G1636,2)=RIGHT('112'!$M$9,2),B1636&lt;'112'!$K$9,$O1636='112'!$I$6)),"x",""))</f>
        <v/>
      </c>
      <c r="W1636" s="84" t="str">
        <f>IF(AND('341-CT'!$H$9=H1636,OR(LEFT(N1636,3)=$W$7,LEFT(O1636,3)=$W$7)),"x","")</f>
        <v/>
      </c>
      <c r="X1636" s="84" t="str">
        <f>IF(OR(TH!N1636=TH!$X$7,O1636=TH!$X$7),"x","")</f>
        <v/>
      </c>
      <c r="Y1636" s="84" t="str">
        <f>IF(AND(OR(N1636="131",O1636="131"),H1636='131-CT'!$H$9),"x","")</f>
        <v/>
      </c>
      <c r="Z1636" s="84"/>
      <c r="AA1636" s="84" t="str">
        <f>IF(AND(MONTH(E1636)='IN-NX'!$J$5,'IN-NX'!$D$7=D1636),"x","")</f>
        <v/>
      </c>
      <c r="AB1636" s="84" t="str">
        <f>IF(AND(OR(LEFT(TH!N1636,2)="15",LEFT(TH!O1636,2)="15"),LEFT(TH!O1636,3)&lt;&gt;"111",'152-CT'!$J$8=TH!F1636),"x","")</f>
        <v/>
      </c>
      <c r="AC1636" s="84" t="str">
        <f>IF(AND(OR(LEFT(TH!N1636,2)="15",LEFT(TH!O1636,2)="15"),TK!$E$7=TH!F1636),"x","")</f>
        <v/>
      </c>
      <c r="AD1636" s="84" t="str">
        <f>IF(AND(N1636="1521",MONTH(C1636)='BK-NL'!$M$11),"x","")</f>
        <v/>
      </c>
    </row>
    <row r="1637" spans="1:32" ht="15.75" hidden="1" customHeight="1">
      <c r="A1637" s="336" t="str">
        <f>IF(B1637&lt;&gt;"",IF(AND(B1637='IN-TC'!$S$4,OR(TH!N1637="1111",TH!O1637="1111")),TH!D1637,""),"")</f>
        <v/>
      </c>
      <c r="B1637" s="63">
        <f t="shared" si="225"/>
        <v>6</v>
      </c>
      <c r="C1637" s="64">
        <v>42539</v>
      </c>
      <c r="D1637" s="64" t="s">
        <v>705</v>
      </c>
      <c r="E1637" s="64">
        <f t="shared" si="227"/>
        <v>42539</v>
      </c>
      <c r="F1637" s="73" t="s">
        <v>1061</v>
      </c>
      <c r="G1637" s="67" t="s">
        <v>919</v>
      </c>
      <c r="H1637" s="344" t="s">
        <v>728</v>
      </c>
      <c r="I1637" s="439"/>
      <c r="J1637" s="439"/>
      <c r="K1637" s="430">
        <v>303.11</v>
      </c>
      <c r="L1637" s="439">
        <v>22300</v>
      </c>
      <c r="M1637" s="65">
        <f t="shared" si="228"/>
        <v>6759353</v>
      </c>
      <c r="N1637" s="66" t="s">
        <v>99</v>
      </c>
      <c r="O1637" s="66" t="s">
        <v>266</v>
      </c>
      <c r="P1637" s="84" t="str">
        <f>IF(AND('331-CT'!$E$7=TH!H1637,OR(N1637="331",O1637="331")),"x","")</f>
        <v/>
      </c>
      <c r="Q1637" s="84" t="str">
        <f>IF(AND(B1637='111'!$L$11,OR($N1637=$Q$7,$O1637=$Q$7)),"x","")</f>
        <v/>
      </c>
      <c r="R1637" s="84" t="str">
        <f>IF(AND($N1637=$Q$7,$B1637&lt;'111'!$L$11),"x","")</f>
        <v/>
      </c>
      <c r="S1637" s="84" t="str">
        <f>IF(AND($O1637=$Q$7,$B1637&lt;'111'!$L$11),"x","")</f>
        <v/>
      </c>
      <c r="T1637" s="84" t="str">
        <f>IF(ISERROR(FIND('112'!$M$9,G1637,1)),"",IF((AND(FIND('112'!$M$9,G1637,1)&gt;=1,B1637='112'!$K$9,OR($N1637='112'!$I$6,$O1637='112'!$I$6))),"x",""))</f>
        <v/>
      </c>
      <c r="U1637" s="84" t="str">
        <f>IF(ISERROR(FIND('112'!$M$9,G1637,1)),"",IF((AND(LEFT(G1637,2)=LEFT('112'!$M$9,2),B1637&lt;'112'!$K$9,$N1637='112'!$I$6)),"x",""))</f>
        <v/>
      </c>
      <c r="V1637" s="84" t="str">
        <f>IF(ISERROR(FIND('112'!$M$9,G1637,1)),"",IF((AND(RIGHT(G1637,2)=RIGHT('112'!$M$9,2),B1637&lt;'112'!$K$9,$O1637='112'!$I$6)),"x",""))</f>
        <v/>
      </c>
      <c r="W1637" s="84" t="str">
        <f>IF(AND('341-CT'!$H$9=H1637,OR(LEFT(N1637,3)=$W$7,LEFT(O1637,3)=$W$7)),"x","")</f>
        <v/>
      </c>
      <c r="X1637" s="84" t="str">
        <f>IF(OR(TH!N1637=TH!$X$7,O1637=TH!$X$7),"x","")</f>
        <v/>
      </c>
      <c r="Y1637" s="84" t="str">
        <f>IF(AND(OR(N1637="131",O1637="131"),H1637='131-CT'!$H$9),"x","")</f>
        <v/>
      </c>
      <c r="Z1637" s="84"/>
      <c r="AA1637" s="84" t="str">
        <f>IF(AND(MONTH(E1637)='IN-NX'!$J$5,'IN-NX'!$D$7=D1637),"x","")</f>
        <v/>
      </c>
      <c r="AB1637" s="84" t="str">
        <f>IF(AND(OR(LEFT(TH!N1637,2)="15",LEFT(TH!O1637,2)="15"),LEFT(TH!O1637,3)&lt;&gt;"111",'152-CT'!$J$8=TH!F1637),"x","")</f>
        <v/>
      </c>
      <c r="AC1637" s="84" t="str">
        <f>IF(AND(OR(LEFT(TH!N1637,2)="15",LEFT(TH!O1637,2)="15"),TK!$E$7=TH!F1637),"x","")</f>
        <v/>
      </c>
      <c r="AD1637" s="84" t="str">
        <f>IF(AND(N1637="1521",MONTH(C1637)='BK-NL'!$M$11),"x","")</f>
        <v/>
      </c>
    </row>
    <row r="1638" spans="1:32" s="350" customFormat="1" ht="15.75" hidden="1" customHeight="1">
      <c r="A1638" s="336" t="str">
        <f>IF(B1638&lt;&gt;"",IF(AND(B1638='IN-TC'!$S$4,OR(TH!N1638="1111",TH!O1638="1111")),TH!D1638,""),"")</f>
        <v/>
      </c>
      <c r="B1638" s="63">
        <f t="shared" si="225"/>
        <v>6</v>
      </c>
      <c r="C1638" s="64">
        <v>42539</v>
      </c>
      <c r="D1638" s="64" t="s">
        <v>705</v>
      </c>
      <c r="E1638" s="64">
        <f t="shared" si="227"/>
        <v>42539</v>
      </c>
      <c r="F1638" s="73" t="s">
        <v>1652</v>
      </c>
      <c r="G1638" s="67" t="s">
        <v>919</v>
      </c>
      <c r="H1638" s="344" t="s">
        <v>736</v>
      </c>
      <c r="I1638" s="439"/>
      <c r="J1638" s="439"/>
      <c r="K1638" s="430">
        <v>334.11</v>
      </c>
      <c r="L1638" s="439">
        <v>22300</v>
      </c>
      <c r="M1638" s="65">
        <f t="shared" si="228"/>
        <v>7450653</v>
      </c>
      <c r="N1638" s="66" t="s">
        <v>99</v>
      </c>
      <c r="O1638" s="66" t="s">
        <v>266</v>
      </c>
      <c r="P1638" s="84" t="str">
        <f>IF(AND('331-CT'!$E$7=TH!H1638,OR(N1638="331",O1638="331")),"x","")</f>
        <v/>
      </c>
      <c r="Q1638" s="84" t="str">
        <f>IF(AND(B1638='111'!$L$11,OR($N1638=$Q$7,$O1638=$Q$7)),"x","")</f>
        <v/>
      </c>
      <c r="R1638" s="84" t="str">
        <f>IF(AND($N1638=$Q$7,$B1638&lt;'111'!$L$11),"x","")</f>
        <v/>
      </c>
      <c r="S1638" s="84" t="str">
        <f>IF(AND($O1638=$Q$7,$B1638&lt;'111'!$L$11),"x","")</f>
        <v/>
      </c>
      <c r="T1638" s="84" t="str">
        <f>IF(ISERROR(FIND('112'!$M$9,G1638,1)),"",IF((AND(FIND('112'!$M$9,G1638,1)&gt;=1,B1638='112'!$K$9,OR($N1638='112'!$I$6,$O1638='112'!$I$6))),"x",""))</f>
        <v/>
      </c>
      <c r="U1638" s="84" t="str">
        <f>IF(ISERROR(FIND('112'!$M$9,G1638,1)),"",IF((AND(LEFT(G1638,2)=LEFT('112'!$M$9,2),B1638&lt;'112'!$K$9,$N1638='112'!$I$6)),"x",""))</f>
        <v/>
      </c>
      <c r="V1638" s="84" t="str">
        <f>IF(ISERROR(FIND('112'!$M$9,G1638,1)),"",IF((AND(RIGHT(G1638,2)=RIGHT('112'!$M$9,2),B1638&lt;'112'!$K$9,$O1638='112'!$I$6)),"x",""))</f>
        <v/>
      </c>
      <c r="W1638" s="84" t="str">
        <f>IF(AND('341-CT'!$H$9=H1638,OR(LEFT(N1638,3)=$W$7,LEFT(O1638,3)=$W$7)),"x","")</f>
        <v/>
      </c>
      <c r="X1638" s="84" t="str">
        <f>IF(OR(TH!N1638=TH!$X$7,O1638=TH!$X$7),"x","")</f>
        <v/>
      </c>
      <c r="Y1638" s="84" t="str">
        <f>IF(AND(OR(N1638="131",O1638="131"),H1638='131-CT'!$H$9),"x","")</f>
        <v/>
      </c>
      <c r="Z1638" s="84"/>
      <c r="AA1638" s="84" t="str">
        <f>IF(AND(MONTH(E1638)='IN-NX'!$J$5,'IN-NX'!$D$7=D1638),"x","")</f>
        <v/>
      </c>
      <c r="AB1638" s="84" t="str">
        <f>IF(AND(OR(LEFT(TH!N1638,2)="15",LEFT(TH!O1638,2)="15"),LEFT(TH!O1638,3)&lt;&gt;"111",'152-CT'!$J$8=TH!F1638),"x","")</f>
        <v/>
      </c>
      <c r="AC1638" s="84" t="str">
        <f>IF(AND(OR(LEFT(TH!N1638,2)="15",LEFT(TH!O1638,2)="15"),TK!$E$7=TH!F1638),"x","")</f>
        <v/>
      </c>
      <c r="AD1638" s="84" t="str">
        <f>IF(AND(N1638="1521",MONTH(C1638)='BK-NL'!$M$11),"x","")</f>
        <v/>
      </c>
      <c r="AE1638" s="330"/>
      <c r="AF1638" s="330"/>
    </row>
    <row r="1639" spans="1:32" ht="15.75" hidden="1" customHeight="1">
      <c r="A1639" s="336" t="str">
        <f>IF(B1639&lt;&gt;"",IF(AND(B1639='IN-TC'!$S$4,OR(TH!N1639="1111",TH!O1639="1111")),TH!D1639,""),"")</f>
        <v/>
      </c>
      <c r="B1639" s="63">
        <f t="shared" si="225"/>
        <v>6</v>
      </c>
      <c r="C1639" s="64">
        <v>42539</v>
      </c>
      <c r="D1639" s="64" t="s">
        <v>705</v>
      </c>
      <c r="E1639" s="64">
        <f t="shared" si="227"/>
        <v>42539</v>
      </c>
      <c r="F1639" s="73" t="s">
        <v>1653</v>
      </c>
      <c r="G1639" s="67" t="s">
        <v>919</v>
      </c>
      <c r="H1639" s="73" t="s">
        <v>1188</v>
      </c>
      <c r="I1639" s="439"/>
      <c r="J1639" s="439"/>
      <c r="K1639" s="430">
        <v>282.44</v>
      </c>
      <c r="L1639" s="439">
        <v>22300</v>
      </c>
      <c r="M1639" s="65">
        <f t="shared" si="228"/>
        <v>6298412</v>
      </c>
      <c r="N1639" s="66" t="s">
        <v>99</v>
      </c>
      <c r="O1639" s="66" t="s">
        <v>266</v>
      </c>
      <c r="P1639" s="84" t="str">
        <f>IF(AND('331-CT'!$E$7=TH!H1639,OR(N1639="331",O1639="331")),"x","")</f>
        <v/>
      </c>
      <c r="Q1639" s="84" t="str">
        <f>IF(AND(B1639='111'!$L$11,OR($N1639=$Q$7,$O1639=$Q$7)),"x","")</f>
        <v/>
      </c>
      <c r="R1639" s="84" t="str">
        <f>IF(AND($N1639=$Q$7,$B1639&lt;'111'!$L$11),"x","")</f>
        <v/>
      </c>
      <c r="S1639" s="84" t="str">
        <f>IF(AND($O1639=$Q$7,$B1639&lt;'111'!$L$11),"x","")</f>
        <v/>
      </c>
      <c r="T1639" s="84" t="str">
        <f>IF(ISERROR(FIND('112'!$M$9,G1639,1)),"",IF((AND(FIND('112'!$M$9,G1639,1)&gt;=1,B1639='112'!$K$9,OR($N1639='112'!$I$6,$O1639='112'!$I$6))),"x",""))</f>
        <v/>
      </c>
      <c r="U1639" s="84" t="str">
        <f>IF(ISERROR(FIND('112'!$M$9,G1639,1)),"",IF((AND(LEFT(G1639,2)=LEFT('112'!$M$9,2),B1639&lt;'112'!$K$9,$N1639='112'!$I$6)),"x",""))</f>
        <v/>
      </c>
      <c r="V1639" s="84" t="str">
        <f>IF(ISERROR(FIND('112'!$M$9,G1639,1)),"",IF((AND(RIGHT(G1639,2)=RIGHT('112'!$M$9,2),B1639&lt;'112'!$K$9,$O1639='112'!$I$6)),"x",""))</f>
        <v/>
      </c>
      <c r="W1639" s="84" t="str">
        <f>IF(AND('341-CT'!$H$9=H1639,OR(LEFT(N1639,3)=$W$7,LEFT(O1639,3)=$W$7)),"x","")</f>
        <v/>
      </c>
      <c r="X1639" s="84" t="str">
        <f>IF(OR(TH!N1639=TH!$X$7,O1639=TH!$X$7),"x","")</f>
        <v/>
      </c>
      <c r="Y1639" s="84" t="str">
        <f>IF(AND(OR(N1639="131",O1639="131"),H1639='131-CT'!$H$9),"x","")</f>
        <v/>
      </c>
      <c r="Z1639" s="84"/>
      <c r="AA1639" s="84" t="str">
        <f>IF(AND(MONTH(E1639)='IN-NX'!$J$5,'IN-NX'!$D$7=D1639),"x","")</f>
        <v/>
      </c>
      <c r="AB1639" s="84" t="str">
        <f>IF(AND(OR(LEFT(TH!N1639,2)="15",LEFT(TH!O1639,2)="15"),LEFT(TH!O1639,3)&lt;&gt;"111",'152-CT'!$J$8=TH!F1639),"x","")</f>
        <v/>
      </c>
      <c r="AC1639" s="84" t="str">
        <f>IF(AND(OR(LEFT(TH!N1639,2)="15",LEFT(TH!O1639,2)="15"),TK!$E$7=TH!F1639),"x","")</f>
        <v/>
      </c>
      <c r="AD1639" s="84" t="str">
        <f>IF(AND(N1639="1521",MONTH(C1639)='BK-NL'!$M$11),"x","")</f>
        <v/>
      </c>
    </row>
    <row r="1640" spans="1:32" s="350" customFormat="1" ht="15.75" hidden="1" customHeight="1">
      <c r="A1640" s="336" t="str">
        <f>IF(B1640&lt;&gt;"",IF(AND(B1640='IN-TC'!$S$4,OR(TH!N1640="1111",TH!O1640="1111")),TH!D1640,""),"")</f>
        <v/>
      </c>
      <c r="B1640" s="63">
        <f t="shared" si="225"/>
        <v>6</v>
      </c>
      <c r="C1640" s="64">
        <v>42539</v>
      </c>
      <c r="D1640" s="64" t="s">
        <v>705</v>
      </c>
      <c r="E1640" s="64">
        <f t="shared" si="227"/>
        <v>42539</v>
      </c>
      <c r="F1640" s="73" t="s">
        <v>1654</v>
      </c>
      <c r="G1640" s="67" t="s">
        <v>919</v>
      </c>
      <c r="H1640" s="73" t="s">
        <v>1189</v>
      </c>
      <c r="I1640" s="439"/>
      <c r="J1640" s="439"/>
      <c r="K1640" s="430">
        <v>310</v>
      </c>
      <c r="L1640" s="439">
        <v>22300</v>
      </c>
      <c r="M1640" s="65">
        <f t="shared" si="228"/>
        <v>6913000</v>
      </c>
      <c r="N1640" s="66" t="s">
        <v>99</v>
      </c>
      <c r="O1640" s="66" t="s">
        <v>266</v>
      </c>
      <c r="P1640" s="84" t="str">
        <f>IF(AND('331-CT'!$E$7=TH!H1640,OR(N1640="331",O1640="331")),"x","")</f>
        <v/>
      </c>
      <c r="Q1640" s="84" t="str">
        <f>IF(AND(B1640='111'!$L$11,OR($N1640=$Q$7,$O1640=$Q$7)),"x","")</f>
        <v/>
      </c>
      <c r="R1640" s="84" t="str">
        <f>IF(AND($N1640=$Q$7,$B1640&lt;'111'!$L$11),"x","")</f>
        <v/>
      </c>
      <c r="S1640" s="84" t="str">
        <f>IF(AND($O1640=$Q$7,$B1640&lt;'111'!$L$11),"x","")</f>
        <v/>
      </c>
      <c r="T1640" s="84" t="str">
        <f>IF(ISERROR(FIND('112'!$M$9,G1640,1)),"",IF((AND(FIND('112'!$M$9,G1640,1)&gt;=1,B1640='112'!$K$9,OR($N1640='112'!$I$6,$O1640='112'!$I$6))),"x",""))</f>
        <v/>
      </c>
      <c r="U1640" s="84" t="str">
        <f>IF(ISERROR(FIND('112'!$M$9,G1640,1)),"",IF((AND(LEFT(G1640,2)=LEFT('112'!$M$9,2),B1640&lt;'112'!$K$9,$N1640='112'!$I$6)),"x",""))</f>
        <v/>
      </c>
      <c r="V1640" s="84" t="str">
        <f>IF(ISERROR(FIND('112'!$M$9,G1640,1)),"",IF((AND(RIGHT(G1640,2)=RIGHT('112'!$M$9,2),B1640&lt;'112'!$K$9,$O1640='112'!$I$6)),"x",""))</f>
        <v/>
      </c>
      <c r="W1640" s="84" t="str">
        <f>IF(AND('341-CT'!$H$9=H1640,OR(LEFT(N1640,3)=$W$7,LEFT(O1640,3)=$W$7)),"x","")</f>
        <v/>
      </c>
      <c r="X1640" s="84" t="str">
        <f>IF(OR(TH!N1640=TH!$X$7,O1640=TH!$X$7),"x","")</f>
        <v/>
      </c>
      <c r="Y1640" s="84" t="str">
        <f>IF(AND(OR(N1640="131",O1640="131"),H1640='131-CT'!$H$9),"x","")</f>
        <v/>
      </c>
      <c r="Z1640" s="84"/>
      <c r="AA1640" s="84" t="str">
        <f>IF(AND(MONTH(E1640)='IN-NX'!$J$5,'IN-NX'!$D$7=D1640),"x","")</f>
        <v/>
      </c>
      <c r="AB1640" s="84" t="str">
        <f>IF(AND(OR(LEFT(TH!N1640,2)="15",LEFT(TH!O1640,2)="15"),LEFT(TH!O1640,3)&lt;&gt;"111",'152-CT'!$J$8=TH!F1640),"x","")</f>
        <v/>
      </c>
      <c r="AC1640" s="84" t="str">
        <f>IF(AND(OR(LEFT(TH!N1640,2)="15",LEFT(TH!O1640,2)="15"),TK!$E$7=TH!F1640),"x","")</f>
        <v/>
      </c>
      <c r="AD1640" s="84" t="str">
        <f>IF(AND(N1640="1521",MONTH(C1640)='BK-NL'!$M$11),"x","")</f>
        <v/>
      </c>
      <c r="AE1640" s="330"/>
      <c r="AF1640" s="330"/>
    </row>
    <row r="1641" spans="1:32" ht="15.75" hidden="1" customHeight="1">
      <c r="A1641" s="336" t="str">
        <f>IF(B1641&lt;&gt;"",IF(AND(B1641='IN-TC'!$S$4,OR(TH!N1641="1111",TH!O1641="1111")),TH!D1641,""),"")</f>
        <v/>
      </c>
      <c r="B1641" s="63">
        <f t="shared" si="225"/>
        <v>6</v>
      </c>
      <c r="C1641" s="64">
        <v>42541</v>
      </c>
      <c r="D1641" s="64" t="s">
        <v>884</v>
      </c>
      <c r="E1641" s="64">
        <v>42541</v>
      </c>
      <c r="F1641" s="73" t="s">
        <v>1582</v>
      </c>
      <c r="G1641" s="982" t="s">
        <v>1584</v>
      </c>
      <c r="H1641" s="73" t="s">
        <v>1585</v>
      </c>
      <c r="I1641" s="439"/>
      <c r="J1641" s="439"/>
      <c r="K1641" s="430"/>
      <c r="L1641" s="439"/>
      <c r="M1641" s="65">
        <v>2548279</v>
      </c>
      <c r="N1641" s="66" t="s">
        <v>101</v>
      </c>
      <c r="O1641" s="66" t="s">
        <v>63</v>
      </c>
      <c r="P1641" s="84" t="str">
        <f>IF(AND('331-CT'!$E$7=TH!H1641,OR(N1641="331",O1641="331")),"x","")</f>
        <v/>
      </c>
      <c r="Q1641" s="84" t="str">
        <f>IF(AND(B1641='111'!$L$11,OR($N1641=$Q$7,$O1641=$Q$7)),"x","")</f>
        <v/>
      </c>
      <c r="R1641" s="84" t="str">
        <f>IF(AND($N1641=$Q$7,$B1641&lt;'111'!$L$11),"x","")</f>
        <v/>
      </c>
      <c r="S1641" s="84" t="str">
        <f>IF(AND($O1641=$Q$7,$B1641&lt;'111'!$L$11),"x","")</f>
        <v/>
      </c>
      <c r="T1641" s="84" t="str">
        <f>IF(ISERROR(FIND('112'!$M$9,G1641,1)),"",IF((AND(FIND('112'!$M$9,G1641,1)&gt;=1,B1641='112'!$K$9,OR($N1641='112'!$I$6,$O1641='112'!$I$6))),"x",""))</f>
        <v/>
      </c>
      <c r="U1641" s="84" t="str">
        <f>IF(ISERROR(FIND('112'!$M$9,G1641,1)),"",IF((AND(LEFT(G1641,2)=LEFT('112'!$M$9,2),B1641&lt;'112'!$K$9,$N1641='112'!$I$6)),"x",""))</f>
        <v/>
      </c>
      <c r="V1641" s="84" t="str">
        <f>IF(ISERROR(FIND('112'!$M$9,G1641,1)),"",IF((AND(RIGHT(G1641,2)=RIGHT('112'!$M$9,2),B1641&lt;'112'!$K$9,$O1641='112'!$I$6)),"x",""))</f>
        <v/>
      </c>
      <c r="W1641" s="84" t="str">
        <f>IF(AND('341-CT'!$H$9=H1641,OR(LEFT(N1641,3)=$W$7,LEFT(O1641,3)=$W$7)),"x","")</f>
        <v/>
      </c>
      <c r="X1641" s="84" t="str">
        <f>IF(OR(TH!N1641=TH!$X$7,O1641=TH!$X$7),"x","")</f>
        <v/>
      </c>
      <c r="Y1641" s="84" t="str">
        <f>IF(AND(OR(N1641="131",O1641="131"),H1641='131-CT'!$H$9),"x","")</f>
        <v/>
      </c>
      <c r="Z1641" s="84"/>
      <c r="AA1641" s="84" t="str">
        <f>IF(AND(MONTH(E1641)='IN-NX'!$J$5,'IN-NX'!$D$7=D1641),"x","")</f>
        <v/>
      </c>
      <c r="AB1641" s="84" t="str">
        <f>IF(AND(OR(LEFT(TH!N1641,2)="15",LEFT(TH!O1641,2)="15"),LEFT(TH!O1641,3)&lt;&gt;"111",'152-CT'!$J$8=TH!F1641),"x","")</f>
        <v/>
      </c>
      <c r="AC1641" s="84" t="str">
        <f>IF(AND(OR(LEFT(TH!N1641,2)="15",LEFT(TH!O1641,2)="15"),TK!$E$7=TH!F1641),"x","")</f>
        <v/>
      </c>
      <c r="AD1641" s="84" t="str">
        <f>IF(AND(N1641="1521",MONTH(C1641)='BK-NL'!$M$11),"x","")</f>
        <v/>
      </c>
      <c r="AF1641" s="330">
        <v>1</v>
      </c>
    </row>
    <row r="1642" spans="1:32" ht="15.75" hidden="1" customHeight="1">
      <c r="A1642" s="336" t="str">
        <f>IF(B1642&lt;&gt;"",IF(AND(B1642='IN-TC'!$S$4,OR(TH!N1642="1111",TH!O1642="1111")),TH!D1642,""),"")</f>
        <v/>
      </c>
      <c r="B1642" s="63">
        <f t="shared" si="225"/>
        <v>6</v>
      </c>
      <c r="C1642" s="64">
        <v>42541</v>
      </c>
      <c r="D1642" s="64" t="s">
        <v>884</v>
      </c>
      <c r="E1642" s="64">
        <v>42541</v>
      </c>
      <c r="F1642" s="73" t="s">
        <v>1583</v>
      </c>
      <c r="G1642" s="982" t="s">
        <v>1584</v>
      </c>
      <c r="H1642" s="73" t="s">
        <v>1585</v>
      </c>
      <c r="I1642" s="439"/>
      <c r="J1642" s="439"/>
      <c r="K1642" s="430"/>
      <c r="L1642" s="439"/>
      <c r="M1642" s="65">
        <v>254828</v>
      </c>
      <c r="N1642" s="66" t="s">
        <v>9</v>
      </c>
      <c r="O1642" s="66" t="s">
        <v>63</v>
      </c>
      <c r="P1642" s="84" t="str">
        <f>IF(AND('331-CT'!$E$7=TH!H1642,OR(N1642="331",O1642="331")),"x","")</f>
        <v/>
      </c>
      <c r="Q1642" s="84" t="str">
        <f>IF(AND(B1642='111'!$L$11,OR($N1642=$Q$7,$O1642=$Q$7)),"x","")</f>
        <v/>
      </c>
      <c r="R1642" s="84" t="str">
        <f>IF(AND($N1642=$Q$7,$B1642&lt;'111'!$L$11),"x","")</f>
        <v/>
      </c>
      <c r="S1642" s="84" t="str">
        <f>IF(AND($O1642=$Q$7,$B1642&lt;'111'!$L$11),"x","")</f>
        <v/>
      </c>
      <c r="T1642" s="84" t="str">
        <f>IF(ISERROR(FIND('112'!$M$9,G1642,1)),"",IF((AND(FIND('112'!$M$9,G1642,1)&gt;=1,B1642='112'!$K$9,OR($N1642='112'!$I$6,$O1642='112'!$I$6))),"x",""))</f>
        <v/>
      </c>
      <c r="U1642" s="84" t="str">
        <f>IF(ISERROR(FIND('112'!$M$9,G1642,1)),"",IF((AND(LEFT(G1642,2)=LEFT('112'!$M$9,2),B1642&lt;'112'!$K$9,$N1642='112'!$I$6)),"x",""))</f>
        <v/>
      </c>
      <c r="V1642" s="84" t="str">
        <f>IF(ISERROR(FIND('112'!$M$9,G1642,1)),"",IF((AND(RIGHT(G1642,2)=RIGHT('112'!$M$9,2),B1642&lt;'112'!$K$9,$O1642='112'!$I$6)),"x",""))</f>
        <v/>
      </c>
      <c r="W1642" s="84" t="str">
        <f>IF(AND('341-CT'!$H$9=H1642,OR(LEFT(N1642,3)=$W$7,LEFT(O1642,3)=$W$7)),"x","")</f>
        <v/>
      </c>
      <c r="X1642" s="84" t="str">
        <f>IF(OR(TH!N1642=TH!$X$7,O1642=TH!$X$7),"x","")</f>
        <v/>
      </c>
      <c r="Y1642" s="84" t="str">
        <f>IF(AND(OR(N1642="131",O1642="131"),H1642='131-CT'!$H$9),"x","")</f>
        <v/>
      </c>
      <c r="Z1642" s="84"/>
      <c r="AA1642" s="84" t="str">
        <f>IF(AND(MONTH(E1642)='IN-NX'!$J$5,'IN-NX'!$D$7=D1642),"x","")</f>
        <v/>
      </c>
      <c r="AB1642" s="84" t="str">
        <f>IF(AND(OR(LEFT(TH!N1642,2)="15",LEFT(TH!O1642,2)="15"),LEFT(TH!O1642,3)&lt;&gt;"111",'152-CT'!$J$8=TH!F1642),"x","")</f>
        <v/>
      </c>
      <c r="AC1642" s="84" t="str">
        <f>IF(AND(OR(LEFT(TH!N1642,2)="15",LEFT(TH!O1642,2)="15"),TK!$E$7=TH!F1642),"x","")</f>
        <v/>
      </c>
      <c r="AD1642" s="84" t="str">
        <f>IF(AND(N1642="1521",MONTH(C1642)='BK-NL'!$M$11),"x","")</f>
        <v/>
      </c>
    </row>
    <row r="1643" spans="1:32" ht="15.75" hidden="1" customHeight="1">
      <c r="A1643" s="336" t="str">
        <f>IF(B1643&lt;&gt;"",IF(AND(B1643='IN-TC'!$S$4,OR(TH!N1643="1111",TH!O1643="1111")),TH!D1643,""),"")</f>
        <v/>
      </c>
      <c r="B1643" s="63">
        <f t="shared" si="225"/>
        <v>6</v>
      </c>
      <c r="C1643" s="64">
        <v>42541</v>
      </c>
      <c r="D1643" s="64" t="s">
        <v>885</v>
      </c>
      <c r="E1643" s="64">
        <v>42541</v>
      </c>
      <c r="F1643" s="73" t="s">
        <v>776</v>
      </c>
      <c r="G1643" s="982" t="s">
        <v>1586</v>
      </c>
      <c r="H1643" s="73" t="s">
        <v>808</v>
      </c>
      <c r="I1643" s="439"/>
      <c r="J1643" s="439"/>
      <c r="K1643" s="430"/>
      <c r="L1643" s="439"/>
      <c r="M1643" s="65">
        <v>1469818</v>
      </c>
      <c r="N1643" s="66" t="s">
        <v>101</v>
      </c>
      <c r="O1643" s="66" t="s">
        <v>63</v>
      </c>
      <c r="P1643" s="84" t="str">
        <f>IF(AND('331-CT'!$E$7=TH!H1643,OR(N1643="331",O1643="331")),"x","")</f>
        <v/>
      </c>
      <c r="Q1643" s="84" t="str">
        <f>IF(AND(B1643='111'!$L$11,OR($N1643=$Q$7,$O1643=$Q$7)),"x","")</f>
        <v/>
      </c>
      <c r="R1643" s="84" t="str">
        <f>IF(AND($N1643=$Q$7,$B1643&lt;'111'!$L$11),"x","")</f>
        <v/>
      </c>
      <c r="S1643" s="84" t="str">
        <f>IF(AND($O1643=$Q$7,$B1643&lt;'111'!$L$11),"x","")</f>
        <v/>
      </c>
      <c r="T1643" s="84" t="str">
        <f>IF(ISERROR(FIND('112'!$M$9,G1643,1)),"",IF((AND(FIND('112'!$M$9,G1643,1)&gt;=1,B1643='112'!$K$9,OR($N1643='112'!$I$6,$O1643='112'!$I$6))),"x",""))</f>
        <v/>
      </c>
      <c r="U1643" s="84" t="str">
        <f>IF(ISERROR(FIND('112'!$M$9,G1643,1)),"",IF((AND(LEFT(G1643,2)=LEFT('112'!$M$9,2),B1643&lt;'112'!$K$9,$N1643='112'!$I$6)),"x",""))</f>
        <v/>
      </c>
      <c r="V1643" s="84" t="str">
        <f>IF(ISERROR(FIND('112'!$M$9,G1643,1)),"",IF((AND(RIGHT(G1643,2)=RIGHT('112'!$M$9,2),B1643&lt;'112'!$K$9,$O1643='112'!$I$6)),"x",""))</f>
        <v/>
      </c>
      <c r="W1643" s="84" t="str">
        <f>IF(AND('341-CT'!$H$9=H1643,OR(LEFT(N1643,3)=$W$7,LEFT(O1643,3)=$W$7)),"x","")</f>
        <v/>
      </c>
      <c r="X1643" s="84" t="str">
        <f>IF(OR(TH!N1643=TH!$X$7,O1643=TH!$X$7),"x","")</f>
        <v/>
      </c>
      <c r="Y1643" s="84" t="str">
        <f>IF(AND(OR(N1643="131",O1643="131"),H1643='131-CT'!$H$9),"x","")</f>
        <v/>
      </c>
      <c r="Z1643" s="84"/>
      <c r="AA1643" s="84" t="str">
        <f>IF(AND(MONTH(E1643)='IN-NX'!$J$5,'IN-NX'!$D$7=D1643),"x","")</f>
        <v/>
      </c>
      <c r="AB1643" s="84" t="str">
        <f>IF(AND(OR(LEFT(TH!N1643,2)="15",LEFT(TH!O1643,2)="15"),LEFT(TH!O1643,3)&lt;&gt;"111",'152-CT'!$J$8=TH!F1643),"x","")</f>
        <v/>
      </c>
      <c r="AC1643" s="84" t="str">
        <f>IF(AND(OR(LEFT(TH!N1643,2)="15",LEFT(TH!O1643,2)="15"),TK!$E$7=TH!F1643),"x","")</f>
        <v/>
      </c>
      <c r="AD1643" s="84" t="str">
        <f>IF(AND(N1643="1521",MONTH(C1643)='BK-NL'!$M$11),"x","")</f>
        <v/>
      </c>
      <c r="AF1643" s="330">
        <v>1</v>
      </c>
    </row>
    <row r="1644" spans="1:32" ht="15.75" hidden="1" customHeight="1">
      <c r="A1644" s="336" t="str">
        <f>IF(B1644&lt;&gt;"",IF(AND(B1644='IN-TC'!$S$4,OR(TH!N1644="1111",TH!O1644="1111")),TH!D1644,""),"")</f>
        <v/>
      </c>
      <c r="B1644" s="63">
        <f t="shared" si="225"/>
        <v>6</v>
      </c>
      <c r="C1644" s="64">
        <v>42541</v>
      </c>
      <c r="D1644" s="64" t="s">
        <v>885</v>
      </c>
      <c r="E1644" s="64">
        <v>42541</v>
      </c>
      <c r="F1644" s="73" t="s">
        <v>777</v>
      </c>
      <c r="G1644" s="982" t="s">
        <v>1586</v>
      </c>
      <c r="H1644" s="73" t="s">
        <v>808</v>
      </c>
      <c r="I1644" s="439"/>
      <c r="J1644" s="439"/>
      <c r="K1644" s="430"/>
      <c r="L1644" s="439"/>
      <c r="M1644" s="65">
        <v>146982</v>
      </c>
      <c r="N1644" s="66" t="s">
        <v>9</v>
      </c>
      <c r="O1644" s="66" t="s">
        <v>63</v>
      </c>
      <c r="P1644" s="84" t="str">
        <f>IF(AND('331-CT'!$E$7=TH!H1644,OR(N1644="331",O1644="331")),"x","")</f>
        <v/>
      </c>
      <c r="Q1644" s="84" t="str">
        <f>IF(AND(B1644='111'!$L$11,OR($N1644=$Q$7,$O1644=$Q$7)),"x","")</f>
        <v/>
      </c>
      <c r="R1644" s="84" t="str">
        <f>IF(AND($N1644=$Q$7,$B1644&lt;'111'!$L$11),"x","")</f>
        <v/>
      </c>
      <c r="S1644" s="84" t="str">
        <f>IF(AND($O1644=$Q$7,$B1644&lt;'111'!$L$11),"x","")</f>
        <v/>
      </c>
      <c r="T1644" s="84" t="str">
        <f>IF(ISERROR(FIND('112'!$M$9,G1644,1)),"",IF((AND(FIND('112'!$M$9,G1644,1)&gt;=1,B1644='112'!$K$9,OR($N1644='112'!$I$6,$O1644='112'!$I$6))),"x",""))</f>
        <v/>
      </c>
      <c r="U1644" s="84" t="str">
        <f>IF(ISERROR(FIND('112'!$M$9,G1644,1)),"",IF((AND(LEFT(G1644,2)=LEFT('112'!$M$9,2),B1644&lt;'112'!$K$9,$N1644='112'!$I$6)),"x",""))</f>
        <v/>
      </c>
      <c r="V1644" s="84" t="str">
        <f>IF(ISERROR(FIND('112'!$M$9,G1644,1)),"",IF((AND(RIGHT(G1644,2)=RIGHT('112'!$M$9,2),B1644&lt;'112'!$K$9,$O1644='112'!$I$6)),"x",""))</f>
        <v/>
      </c>
      <c r="W1644" s="84" t="str">
        <f>IF(AND('341-CT'!$H$9=H1644,OR(LEFT(N1644,3)=$W$7,LEFT(O1644,3)=$W$7)),"x","")</f>
        <v/>
      </c>
      <c r="X1644" s="84" t="str">
        <f>IF(OR(TH!N1644=TH!$X$7,O1644=TH!$X$7),"x","")</f>
        <v/>
      </c>
      <c r="Y1644" s="84" t="str">
        <f>IF(AND(OR(N1644="131",O1644="131"),H1644='131-CT'!$H$9),"x","")</f>
        <v/>
      </c>
      <c r="Z1644" s="84"/>
      <c r="AA1644" s="84" t="str">
        <f>IF(AND(MONTH(E1644)='IN-NX'!$J$5,'IN-NX'!$D$7=D1644),"x","")</f>
        <v/>
      </c>
      <c r="AB1644" s="84" t="str">
        <f>IF(AND(OR(LEFT(TH!N1644,2)="15",LEFT(TH!O1644,2)="15"),LEFT(TH!O1644,3)&lt;&gt;"111",'152-CT'!$J$8=TH!F1644),"x","")</f>
        <v/>
      </c>
      <c r="AC1644" s="84" t="str">
        <f>IF(AND(OR(LEFT(TH!N1644,2)="15",LEFT(TH!O1644,2)="15"),TK!$E$7=TH!F1644),"x","")</f>
        <v/>
      </c>
      <c r="AD1644" s="84" t="str">
        <f>IF(AND(N1644="1521",MONTH(C1644)='BK-NL'!$M$11),"x","")</f>
        <v/>
      </c>
    </row>
    <row r="1645" spans="1:32" ht="15.75" hidden="1" customHeight="1">
      <c r="A1645" s="336" t="str">
        <f>IF(B1645&lt;&gt;"",IF(AND(B1645='IN-TC'!$S$4,OR(TH!N1645="1111",TH!O1645="1111")),TH!D1645,""),"")</f>
        <v/>
      </c>
      <c r="B1645" s="63">
        <f t="shared" si="225"/>
        <v>6</v>
      </c>
      <c r="C1645" s="64">
        <v>42541</v>
      </c>
      <c r="D1645" s="64" t="s">
        <v>886</v>
      </c>
      <c r="E1645" s="64">
        <v>42541</v>
      </c>
      <c r="F1645" s="73" t="s">
        <v>1014</v>
      </c>
      <c r="G1645" s="982" t="s">
        <v>1587</v>
      </c>
      <c r="H1645" s="73" t="s">
        <v>1038</v>
      </c>
      <c r="I1645" s="439"/>
      <c r="J1645" s="439"/>
      <c r="K1645" s="430"/>
      <c r="L1645" s="439"/>
      <c r="M1645" s="65">
        <v>1520000</v>
      </c>
      <c r="N1645" s="66" t="s">
        <v>101</v>
      </c>
      <c r="O1645" s="66" t="s">
        <v>63</v>
      </c>
      <c r="P1645" s="84" t="str">
        <f>IF(AND('331-CT'!$E$7=TH!H1645,OR(N1645="331",O1645="331")),"x","")</f>
        <v/>
      </c>
      <c r="Q1645" s="84" t="str">
        <f>IF(AND(B1645='111'!$L$11,OR($N1645=$Q$7,$O1645=$Q$7)),"x","")</f>
        <v/>
      </c>
      <c r="R1645" s="84" t="str">
        <f>IF(AND($N1645=$Q$7,$B1645&lt;'111'!$L$11),"x","")</f>
        <v/>
      </c>
      <c r="S1645" s="84" t="str">
        <f>IF(AND($O1645=$Q$7,$B1645&lt;'111'!$L$11),"x","")</f>
        <v/>
      </c>
      <c r="T1645" s="84" t="str">
        <f>IF(ISERROR(FIND('112'!$M$9,G1645,1)),"",IF((AND(FIND('112'!$M$9,G1645,1)&gt;=1,B1645='112'!$K$9,OR($N1645='112'!$I$6,$O1645='112'!$I$6))),"x",""))</f>
        <v/>
      </c>
      <c r="U1645" s="84" t="str">
        <f>IF(ISERROR(FIND('112'!$M$9,G1645,1)),"",IF((AND(LEFT(G1645,2)=LEFT('112'!$M$9,2),B1645&lt;'112'!$K$9,$N1645='112'!$I$6)),"x",""))</f>
        <v/>
      </c>
      <c r="V1645" s="84" t="str">
        <f>IF(ISERROR(FIND('112'!$M$9,G1645,1)),"",IF((AND(RIGHT(G1645,2)=RIGHT('112'!$M$9,2),B1645&lt;'112'!$K$9,$O1645='112'!$I$6)),"x",""))</f>
        <v/>
      </c>
      <c r="W1645" s="84" t="str">
        <f>IF(AND('341-CT'!$H$9=H1645,OR(LEFT(N1645,3)=$W$7,LEFT(O1645,3)=$W$7)),"x","")</f>
        <v/>
      </c>
      <c r="X1645" s="84" t="str">
        <f>IF(OR(TH!N1645=TH!$X$7,O1645=TH!$X$7),"x","")</f>
        <v/>
      </c>
      <c r="Y1645" s="84" t="str">
        <f>IF(AND(OR(N1645="131",O1645="131"),H1645='131-CT'!$H$9),"x","")</f>
        <v/>
      </c>
      <c r="Z1645" s="84"/>
      <c r="AA1645" s="84" t="str">
        <f>IF(AND(MONTH(E1645)='IN-NX'!$J$5,'IN-NX'!$D$7=D1645),"x","")</f>
        <v/>
      </c>
      <c r="AB1645" s="84" t="str">
        <f>IF(AND(OR(LEFT(TH!N1645,2)="15",LEFT(TH!O1645,2)="15"),LEFT(TH!O1645,3)&lt;&gt;"111",'152-CT'!$J$8=TH!F1645),"x","")</f>
        <v/>
      </c>
      <c r="AC1645" s="84" t="str">
        <f>IF(AND(OR(LEFT(TH!N1645,2)="15",LEFT(TH!O1645,2)="15"),TK!$E$7=TH!F1645),"x","")</f>
        <v/>
      </c>
      <c r="AD1645" s="84" t="str">
        <f>IF(AND(N1645="1521",MONTH(C1645)='BK-NL'!$M$11),"x","")</f>
        <v/>
      </c>
    </row>
    <row r="1646" spans="1:32" ht="15.75" hidden="1" customHeight="1">
      <c r="A1646" s="336" t="str">
        <f>IF(B1646&lt;&gt;"",IF(AND(B1646='IN-TC'!$S$4,OR(TH!N1646="1111",TH!O1646="1111")),TH!D1646,""),"")</f>
        <v/>
      </c>
      <c r="B1646" s="63">
        <f t="shared" si="225"/>
        <v>6</v>
      </c>
      <c r="C1646" s="64">
        <v>42542</v>
      </c>
      <c r="D1646" s="64" t="s">
        <v>887</v>
      </c>
      <c r="E1646" s="64">
        <v>42542</v>
      </c>
      <c r="F1646" s="73" t="s">
        <v>1588</v>
      </c>
      <c r="G1646" s="67"/>
      <c r="H1646" s="73" t="s">
        <v>1589</v>
      </c>
      <c r="I1646" s="439"/>
      <c r="J1646" s="439"/>
      <c r="K1646" s="430"/>
      <c r="L1646" s="439"/>
      <c r="M1646" s="65">
        <v>4898300</v>
      </c>
      <c r="N1646" s="66" t="s">
        <v>1590</v>
      </c>
      <c r="O1646" s="66" t="s">
        <v>63</v>
      </c>
      <c r="P1646" s="84" t="str">
        <f>IF(AND('331-CT'!$E$7=TH!H1646,OR(N1646="331",O1646="331")),"x","")</f>
        <v/>
      </c>
      <c r="Q1646" s="84" t="str">
        <f>IF(AND(B1646='111'!$L$11,OR($N1646=$Q$7,$O1646=$Q$7)),"x","")</f>
        <v/>
      </c>
      <c r="R1646" s="84" t="str">
        <f>IF(AND($N1646=$Q$7,$B1646&lt;'111'!$L$11),"x","")</f>
        <v/>
      </c>
      <c r="S1646" s="84" t="str">
        <f>IF(AND($O1646=$Q$7,$B1646&lt;'111'!$L$11),"x","")</f>
        <v/>
      </c>
      <c r="T1646" s="84" t="str">
        <f>IF(ISERROR(FIND('112'!$M$9,G1646,1)),"",IF((AND(FIND('112'!$M$9,G1646,1)&gt;=1,B1646='112'!$K$9,OR($N1646='112'!$I$6,$O1646='112'!$I$6))),"x",""))</f>
        <v/>
      </c>
      <c r="U1646" s="84" t="str">
        <f>IF(ISERROR(FIND('112'!$M$9,G1646,1)),"",IF((AND(LEFT(G1646,2)=LEFT('112'!$M$9,2),B1646&lt;'112'!$K$9,$N1646='112'!$I$6)),"x",""))</f>
        <v/>
      </c>
      <c r="V1646" s="84" t="str">
        <f>IF(ISERROR(FIND('112'!$M$9,G1646,1)),"",IF((AND(RIGHT(G1646,2)=RIGHT('112'!$M$9,2),B1646&lt;'112'!$K$9,$O1646='112'!$I$6)),"x",""))</f>
        <v/>
      </c>
      <c r="W1646" s="84" t="str">
        <f>IF(AND('341-CT'!$H$9=H1646,OR(LEFT(N1646,3)=$W$7,LEFT(O1646,3)=$W$7)),"x","")</f>
        <v/>
      </c>
      <c r="X1646" s="84" t="str">
        <f>IF(OR(TH!N1646=TH!$X$7,O1646=TH!$X$7),"x","")</f>
        <v/>
      </c>
      <c r="Y1646" s="84" t="str">
        <f>IF(AND(OR(N1646="131",O1646="131"),H1646='131-CT'!$H$9),"x","")</f>
        <v/>
      </c>
      <c r="Z1646" s="84"/>
      <c r="AA1646" s="84" t="str">
        <f>IF(AND(MONTH(E1646)='IN-NX'!$J$5,'IN-NX'!$D$7=D1646),"x","")</f>
        <v/>
      </c>
      <c r="AB1646" s="84" t="str">
        <f>IF(AND(OR(LEFT(TH!N1646,2)="15",LEFT(TH!O1646,2)="15"),LEFT(TH!O1646,3)&lt;&gt;"111",'152-CT'!$J$8=TH!F1646),"x","")</f>
        <v/>
      </c>
      <c r="AC1646" s="84" t="str">
        <f>IF(AND(OR(LEFT(TH!N1646,2)="15",LEFT(TH!O1646,2)="15"),TK!$E$7=TH!F1646),"x","")</f>
        <v/>
      </c>
      <c r="AD1646" s="84" t="str">
        <f>IF(AND(N1646="1521",MONTH(C1646)='BK-NL'!$M$11),"x","")</f>
        <v/>
      </c>
      <c r="AE1646" s="351"/>
      <c r="AF1646" s="351"/>
    </row>
    <row r="1647" spans="1:32" ht="15.75" hidden="1" customHeight="1">
      <c r="A1647" s="336" t="str">
        <f>IF(B1647&lt;&gt;"",IF(AND(B1647='IN-TC'!$S$4,OR(TH!N1647="1111",TH!O1647="1111")),TH!D1647,""),"")</f>
        <v/>
      </c>
      <c r="B1647" s="63">
        <f t="shared" si="225"/>
        <v>6</v>
      </c>
      <c r="C1647" s="64">
        <v>42542</v>
      </c>
      <c r="D1647" s="64" t="s">
        <v>888</v>
      </c>
      <c r="E1647" s="64">
        <v>42542</v>
      </c>
      <c r="F1647" s="73" t="s">
        <v>1199</v>
      </c>
      <c r="G1647" s="67"/>
      <c r="H1647" s="73" t="s">
        <v>1702</v>
      </c>
      <c r="I1647" s="439"/>
      <c r="J1647" s="439"/>
      <c r="K1647" s="430"/>
      <c r="L1647" s="439"/>
      <c r="M1647" s="65">
        <v>22000</v>
      </c>
      <c r="N1647" s="66" t="s">
        <v>101</v>
      </c>
      <c r="O1647" s="66" t="s">
        <v>63</v>
      </c>
      <c r="P1647" s="84" t="str">
        <f>IF(AND('331-CT'!$E$7=TH!H1647,OR(N1647="331",O1647="331")),"x","")</f>
        <v/>
      </c>
      <c r="Q1647" s="84" t="str">
        <f>IF(AND(B1647='111'!$L$11,OR($N1647=$Q$7,$O1647=$Q$7)),"x","")</f>
        <v/>
      </c>
      <c r="R1647" s="84" t="str">
        <f>IF(AND($N1647=$Q$7,$B1647&lt;'111'!$L$11),"x","")</f>
        <v/>
      </c>
      <c r="S1647" s="84" t="str">
        <f>IF(AND($O1647=$Q$7,$B1647&lt;'111'!$L$11),"x","")</f>
        <v/>
      </c>
      <c r="T1647" s="84" t="str">
        <f>IF(ISERROR(FIND('112'!$M$9,G1647,1)),"",IF((AND(FIND('112'!$M$9,G1647,1)&gt;=1,B1647='112'!$K$9,OR($N1647='112'!$I$6,$O1647='112'!$I$6))),"x",""))</f>
        <v/>
      </c>
      <c r="U1647" s="84" t="str">
        <f>IF(ISERROR(FIND('112'!$M$9,G1647,1)),"",IF((AND(LEFT(G1647,2)=LEFT('112'!$M$9,2),B1647&lt;'112'!$K$9,$N1647='112'!$I$6)),"x",""))</f>
        <v/>
      </c>
      <c r="V1647" s="84" t="str">
        <f>IF(ISERROR(FIND('112'!$M$9,G1647,1)),"",IF((AND(RIGHT(G1647,2)=RIGHT('112'!$M$9,2),B1647&lt;'112'!$K$9,$O1647='112'!$I$6)),"x",""))</f>
        <v/>
      </c>
      <c r="W1647" s="84" t="str">
        <f>IF(AND('341-CT'!$H$9=H1647,OR(LEFT(N1647,3)=$W$7,LEFT(O1647,3)=$W$7)),"x","")</f>
        <v/>
      </c>
      <c r="X1647" s="84" t="str">
        <f>IF(OR(TH!N1647=TH!$X$7,O1647=TH!$X$7),"x","")</f>
        <v/>
      </c>
      <c r="Y1647" s="84" t="str">
        <f>IF(AND(OR(N1647="131",O1647="131"),H1647='131-CT'!$H$9),"x","")</f>
        <v/>
      </c>
      <c r="Z1647" s="84"/>
      <c r="AA1647" s="84" t="str">
        <f>IF(AND(MONTH(E1647)='IN-NX'!$J$5,'IN-NX'!$D$7=D1647),"x","")</f>
        <v/>
      </c>
      <c r="AB1647" s="84" t="str">
        <f>IF(AND(OR(LEFT(TH!N1647,2)="15",LEFT(TH!O1647,2)="15"),LEFT(TH!O1647,3)&lt;&gt;"111",'152-CT'!$J$8=TH!F1647),"x","")</f>
        <v/>
      </c>
      <c r="AC1647" s="84" t="str">
        <f>IF(AND(OR(LEFT(TH!N1647,2)="15",LEFT(TH!O1647,2)="15"),TK!$E$7=TH!F1647),"x","")</f>
        <v/>
      </c>
      <c r="AD1647" s="84" t="str">
        <f>IF(AND(N1647="1521",MONTH(C1647)='BK-NL'!$M$11),"x","")</f>
        <v/>
      </c>
      <c r="AE1647" s="351"/>
      <c r="AF1647" s="351"/>
    </row>
    <row r="1648" spans="1:32" ht="15.75" hidden="1" customHeight="1">
      <c r="A1648" s="336" t="str">
        <f>IF(B1648&lt;&gt;"",IF(AND(B1648='IN-TC'!$S$4,OR(TH!N1648="1111",TH!O1648="1111")),TH!D1648,""),"")</f>
        <v/>
      </c>
      <c r="B1648" s="63">
        <f t="shared" si="225"/>
        <v>6</v>
      </c>
      <c r="C1648" s="64">
        <v>42542</v>
      </c>
      <c r="D1648" s="64" t="s">
        <v>1563</v>
      </c>
      <c r="E1648" s="64">
        <v>42542</v>
      </c>
      <c r="F1648" s="73" t="s">
        <v>1146</v>
      </c>
      <c r="G1648" s="67" t="s">
        <v>919</v>
      </c>
      <c r="H1648" s="73" t="s">
        <v>763</v>
      </c>
      <c r="I1648" s="439"/>
      <c r="J1648" s="439"/>
      <c r="K1648" s="430"/>
      <c r="L1648" s="439"/>
      <c r="M1648" s="65">
        <v>1700000000</v>
      </c>
      <c r="N1648" s="66" t="s">
        <v>63</v>
      </c>
      <c r="O1648" s="66" t="s">
        <v>26</v>
      </c>
      <c r="P1648" s="84" t="str">
        <f>IF(AND('331-CT'!$E$7=TH!H1648,OR(N1648="331",O1648="331")),"x","")</f>
        <v/>
      </c>
      <c r="Q1648" s="84" t="str">
        <f>IF(AND(B1648='111'!$L$11,OR($N1648=$Q$7,$O1648=$Q$7)),"x","")</f>
        <v/>
      </c>
      <c r="R1648" s="84" t="str">
        <f>IF(AND($N1648=$Q$7,$B1648&lt;'111'!$L$11),"x","")</f>
        <v/>
      </c>
      <c r="S1648" s="84" t="str">
        <f>IF(AND($O1648=$Q$7,$B1648&lt;'111'!$L$11),"x","")</f>
        <v/>
      </c>
      <c r="T1648" s="84" t="str">
        <f>IF(ISERROR(FIND('112'!$M$9,G1648,1)),"",IF((AND(FIND('112'!$M$9,G1648,1)&gt;=1,B1648='112'!$K$9,OR($N1648='112'!$I$6,$O1648='112'!$I$6))),"x",""))</f>
        <v>x</v>
      </c>
      <c r="U1648" s="84" t="str">
        <f>IF(ISERROR(FIND('112'!$M$9,G1648,1)),"",IF((AND(LEFT(G1648,2)=LEFT('112'!$M$9,2),B1648&lt;'112'!$K$9,$N1648='112'!$I$6)),"x",""))</f>
        <v/>
      </c>
      <c r="V1648" s="84" t="str">
        <f>IF(ISERROR(FIND('112'!$M$9,G1648,1)),"",IF((AND(RIGHT(G1648,2)=RIGHT('112'!$M$9,2),B1648&lt;'112'!$K$9,$O1648='112'!$I$6)),"x",""))</f>
        <v/>
      </c>
      <c r="W1648" s="84" t="str">
        <f>IF(AND('341-CT'!$H$9=H1648,OR(LEFT(N1648,3)=$W$7,LEFT(O1648,3)=$W$7)),"x","")</f>
        <v/>
      </c>
      <c r="X1648" s="84" t="str">
        <f>IF(OR(TH!N1648=TH!$X$7,O1648=TH!$X$7),"x","")</f>
        <v/>
      </c>
      <c r="Y1648" s="84" t="str">
        <f>IF(AND(OR(N1648="131",O1648="131"),H1648='131-CT'!$H$9),"x","")</f>
        <v/>
      </c>
      <c r="Z1648" s="84"/>
      <c r="AA1648" s="84" t="str">
        <f>IF(AND(MONTH(E1648)='IN-NX'!$J$5,'IN-NX'!$D$7=D1648),"x","")</f>
        <v/>
      </c>
      <c r="AB1648" s="84" t="str">
        <f>IF(AND(OR(LEFT(TH!N1648,2)="15",LEFT(TH!O1648,2)="15"),LEFT(TH!O1648,3)&lt;&gt;"111",'152-CT'!$J$8=TH!F1648),"x","")</f>
        <v/>
      </c>
      <c r="AC1648" s="84" t="str">
        <f>IF(AND(OR(LEFT(TH!N1648,2)="15",LEFT(TH!O1648,2)="15"),TK!$E$7=TH!F1648),"x","")</f>
        <v/>
      </c>
      <c r="AD1648" s="84" t="str">
        <f>IF(AND(N1648="1521",MONTH(C1648)='BK-NL'!$M$11),"x","")</f>
        <v/>
      </c>
    </row>
    <row r="1649" spans="1:32" ht="15.75" hidden="1" customHeight="1">
      <c r="A1649" s="336" t="str">
        <f>IF(B1649&lt;&gt;"",IF(AND(B1649='IN-TC'!$S$4,OR(TH!N1649="1111",TH!O1649="1111")),TH!D1649,""),"")</f>
        <v/>
      </c>
      <c r="B1649" s="63">
        <f t="shared" si="225"/>
        <v>6</v>
      </c>
      <c r="C1649" s="64">
        <v>42542</v>
      </c>
      <c r="D1649" s="64" t="s">
        <v>702</v>
      </c>
      <c r="E1649" s="64">
        <f t="shared" ref="E1649:E1654" si="229">C1649</f>
        <v>42542</v>
      </c>
      <c r="F1649" s="73" t="s">
        <v>1197</v>
      </c>
      <c r="G1649" s="67" t="s">
        <v>919</v>
      </c>
      <c r="H1649" s="73" t="s">
        <v>601</v>
      </c>
      <c r="I1649" s="439"/>
      <c r="J1649" s="439"/>
      <c r="K1649" s="430">
        <v>1600.73</v>
      </c>
      <c r="L1649" s="439">
        <v>22270</v>
      </c>
      <c r="M1649" s="65">
        <f>ROUND(K1649*L1649,0)</f>
        <v>35648257</v>
      </c>
      <c r="N1649" s="66" t="s">
        <v>266</v>
      </c>
      <c r="O1649" s="66" t="s">
        <v>588</v>
      </c>
      <c r="P1649" s="84" t="str">
        <f>IF(AND('331-CT'!$E$7=TH!H1649,OR(N1649="331",O1649="331")),"x","")</f>
        <v/>
      </c>
      <c r="Q1649" s="84" t="str">
        <f>IF(AND(B1649='111'!$L$11,OR($N1649=$Q$7,$O1649=$Q$7)),"x","")</f>
        <v/>
      </c>
      <c r="R1649" s="84" t="str">
        <f>IF(AND($N1649=$Q$7,$B1649&lt;'111'!$L$11),"x","")</f>
        <v/>
      </c>
      <c r="S1649" s="84" t="str">
        <f>IF(AND($O1649=$Q$7,$B1649&lt;'111'!$L$11),"x","")</f>
        <v/>
      </c>
      <c r="T1649" s="84" t="str">
        <f>IF(ISERROR(FIND('112'!$M$9,G1649,1)),"",IF((AND(FIND('112'!$M$9,G1649,1)&gt;=1,B1649='112'!$K$9,OR($N1649='112'!$I$6,$O1649='112'!$I$6))),"x",""))</f>
        <v/>
      </c>
      <c r="U1649" s="84" t="str">
        <f>IF(ISERROR(FIND('112'!$M$9,G1649,1)),"",IF((AND(LEFT(G1649,2)=LEFT('112'!$M$9,2),B1649&lt;'112'!$K$9,$N1649='112'!$I$6)),"x",""))</f>
        <v/>
      </c>
      <c r="V1649" s="84" t="str">
        <f>IF(ISERROR(FIND('112'!$M$9,G1649,1)),"",IF((AND(RIGHT(G1649,2)=RIGHT('112'!$M$9,2),B1649&lt;'112'!$K$9,$O1649='112'!$I$6)),"x",""))</f>
        <v/>
      </c>
      <c r="W1649" s="84" t="str">
        <f>IF(AND('341-CT'!$H$9=H1649,OR(LEFT(N1649,3)=$W$7,LEFT(O1649,3)=$W$7)),"x","")</f>
        <v/>
      </c>
      <c r="X1649" s="84" t="str">
        <f>IF(OR(TH!N1649=TH!$X$7,O1649=TH!$X$7),"x","")</f>
        <v/>
      </c>
      <c r="Y1649" s="84" t="str">
        <f>IF(AND(OR(N1649="131",O1649="131"),H1649='131-CT'!$H$9),"x","")</f>
        <v>x</v>
      </c>
      <c r="Z1649" s="84"/>
      <c r="AA1649" s="84" t="str">
        <f>IF(AND(MONTH(E1649)='IN-NX'!$J$5,'IN-NX'!$D$7=D1649),"x","")</f>
        <v/>
      </c>
      <c r="AB1649" s="84" t="str">
        <f>IF(AND(OR(LEFT(TH!N1649,2)="15",LEFT(TH!O1649,2)="15"),LEFT(TH!O1649,3)&lt;&gt;"111",'152-CT'!$J$8=TH!F1649),"x","")</f>
        <v/>
      </c>
      <c r="AC1649" s="84" t="str">
        <f>IF(AND(OR(LEFT(TH!N1649,2)="15",LEFT(TH!O1649,2)="15"),TK!$E$7=TH!F1649),"x","")</f>
        <v/>
      </c>
      <c r="AD1649" s="84" t="str">
        <f>IF(AND(N1649="1521",MONTH(C1649)='BK-NL'!$M$11),"x","")</f>
        <v/>
      </c>
    </row>
    <row r="1650" spans="1:32" ht="15.75" hidden="1" customHeight="1">
      <c r="A1650" s="336" t="str">
        <f>IF(B1650&lt;&gt;"",IF(AND(B1650='IN-TC'!$S$4,OR(TH!N1650="1111",TH!O1650="1111")),TH!D1650,""),"")</f>
        <v/>
      </c>
      <c r="B1650" s="63">
        <f t="shared" si="225"/>
        <v>6</v>
      </c>
      <c r="C1650" s="64">
        <v>42542</v>
      </c>
      <c r="D1650" s="64" t="s">
        <v>705</v>
      </c>
      <c r="E1650" s="64">
        <f t="shared" si="229"/>
        <v>42542</v>
      </c>
      <c r="F1650" s="73" t="s">
        <v>1445</v>
      </c>
      <c r="G1650" s="67" t="s">
        <v>919</v>
      </c>
      <c r="H1650" s="73"/>
      <c r="I1650" s="439"/>
      <c r="J1650" s="439"/>
      <c r="K1650" s="430">
        <v>78000</v>
      </c>
      <c r="L1650" s="439">
        <v>22300</v>
      </c>
      <c r="M1650" s="65">
        <f>ROUND(K1650*L1650,0)</f>
        <v>1739400000</v>
      </c>
      <c r="N1650" s="66" t="s">
        <v>26</v>
      </c>
      <c r="O1650" s="66" t="s">
        <v>266</v>
      </c>
      <c r="P1650" s="84" t="str">
        <f>IF(AND('331-CT'!$E$7=TH!H1650,OR(N1650="331",O1650="331")),"x","")</f>
        <v/>
      </c>
      <c r="Q1650" s="84" t="str">
        <f>IF(AND(B1650='111'!$L$11,OR($N1650=$Q$7,$O1650=$Q$7)),"x","")</f>
        <v/>
      </c>
      <c r="R1650" s="84" t="str">
        <f>IF(AND($N1650=$Q$7,$B1650&lt;'111'!$L$11),"x","")</f>
        <v/>
      </c>
      <c r="S1650" s="84" t="str">
        <f>IF(AND($O1650=$Q$7,$B1650&lt;'111'!$L$11),"x","")</f>
        <v/>
      </c>
      <c r="T1650" s="84" t="str">
        <f>IF(ISERROR(FIND('112'!$M$9,G1650,1)),"",IF((AND(FIND('112'!$M$9,G1650,1)&gt;=1,B1650='112'!$K$9,OR($N1650='112'!$I$6,$O1650='112'!$I$6))),"x",""))</f>
        <v>x</v>
      </c>
      <c r="U1650" s="84" t="str">
        <f>IF(ISERROR(FIND('112'!$M$9,G1650,1)),"",IF((AND(LEFT(G1650,2)=LEFT('112'!$M$9,2),B1650&lt;'112'!$K$9,$N1650='112'!$I$6)),"x",""))</f>
        <v/>
      </c>
      <c r="V1650" s="84" t="str">
        <f>IF(ISERROR(FIND('112'!$M$9,G1650,1)),"",IF((AND(RIGHT(G1650,2)=RIGHT('112'!$M$9,2),B1650&lt;'112'!$K$9,$O1650='112'!$I$6)),"x",""))</f>
        <v/>
      </c>
      <c r="W1650" s="84" t="str">
        <f>IF(AND('341-CT'!$H$9=H1650,OR(LEFT(N1650,3)=$W$7,LEFT(O1650,3)=$W$7)),"x","")</f>
        <v/>
      </c>
      <c r="X1650" s="84" t="str">
        <f>IF(OR(TH!N1650=TH!$X$7,O1650=TH!$X$7),"x","")</f>
        <v/>
      </c>
      <c r="Y1650" s="84" t="str">
        <f>IF(AND(OR(N1650="131",O1650="131"),H1650='131-CT'!$H$9),"x","")</f>
        <v/>
      </c>
      <c r="Z1650" s="84"/>
      <c r="AA1650" s="84" t="str">
        <f>IF(AND(MONTH(E1650)='IN-NX'!$J$5,'IN-NX'!$D$7=D1650),"x","")</f>
        <v/>
      </c>
      <c r="AB1650" s="84" t="str">
        <f>IF(AND(OR(LEFT(TH!N1650,2)="15",LEFT(TH!O1650,2)="15"),LEFT(TH!O1650,3)&lt;&gt;"111",'152-CT'!$J$8=TH!F1650),"x","")</f>
        <v/>
      </c>
      <c r="AC1650" s="84" t="str">
        <f>IF(AND(OR(LEFT(TH!N1650,2)="15",LEFT(TH!O1650,2)="15"),TK!$E$7=TH!F1650),"x","")</f>
        <v/>
      </c>
      <c r="AD1650" s="84" t="str">
        <f>IF(AND(N1650="1521",MONTH(C1650)='BK-NL'!$M$11),"x","")</f>
        <v/>
      </c>
    </row>
    <row r="1651" spans="1:32" ht="15.75" hidden="1" customHeight="1">
      <c r="A1651" s="336" t="str">
        <f>IF(B1651&lt;&gt;"",IF(AND(B1651='IN-TC'!$S$4,OR(TH!N1651="1111",TH!O1651="1111")),TH!D1651,""),"")</f>
        <v/>
      </c>
      <c r="B1651" s="63">
        <f t="shared" si="225"/>
        <v>6</v>
      </c>
      <c r="C1651" s="64">
        <v>42542</v>
      </c>
      <c r="D1651" s="64" t="s">
        <v>582</v>
      </c>
      <c r="E1651" s="64">
        <f t="shared" si="229"/>
        <v>42542</v>
      </c>
      <c r="F1651" s="73" t="s">
        <v>1064</v>
      </c>
      <c r="G1651" s="67" t="s">
        <v>919</v>
      </c>
      <c r="H1651" s="73" t="s">
        <v>601</v>
      </c>
      <c r="I1651" s="439"/>
      <c r="J1651" s="439"/>
      <c r="K1651" s="430">
        <v>48.74</v>
      </c>
      <c r="L1651" s="439">
        <v>22270</v>
      </c>
      <c r="M1651" s="65">
        <f>ROUND(K1651*L1651,0)</f>
        <v>1085440</v>
      </c>
      <c r="N1651" s="66" t="s">
        <v>101</v>
      </c>
      <c r="O1651" s="66" t="s">
        <v>588</v>
      </c>
      <c r="P1651" s="84" t="str">
        <f>IF(AND('331-CT'!$E$7=TH!H1651,OR(N1651="331",O1651="331")),"x","")</f>
        <v/>
      </c>
      <c r="Q1651" s="84" t="str">
        <f>IF(AND(B1651='111'!$L$11,OR($N1651=$Q$7,$O1651=$Q$7)),"x","")</f>
        <v/>
      </c>
      <c r="R1651" s="84" t="str">
        <f>IF(AND($N1651=$Q$7,$B1651&lt;'111'!$L$11),"x","")</f>
        <v/>
      </c>
      <c r="S1651" s="84" t="str">
        <f>IF(AND($O1651=$Q$7,$B1651&lt;'111'!$L$11),"x","")</f>
        <v/>
      </c>
      <c r="T1651" s="84" t="str">
        <f>IF(ISERROR(FIND('112'!$M$9,G1651,1)),"",IF((AND(FIND('112'!$M$9,G1651,1)&gt;=1,B1651='112'!$K$9,OR($N1651='112'!$I$6,$O1651='112'!$I$6))),"x",""))</f>
        <v/>
      </c>
      <c r="U1651" s="84" t="str">
        <f>IF(ISERROR(FIND('112'!$M$9,G1651,1)),"",IF((AND(LEFT(G1651,2)=LEFT('112'!$M$9,2),B1651&lt;'112'!$K$9,$N1651='112'!$I$6)),"x",""))</f>
        <v/>
      </c>
      <c r="V1651" s="84" t="str">
        <f>IF(ISERROR(FIND('112'!$M$9,G1651,1)),"",IF((AND(RIGHT(G1651,2)=RIGHT('112'!$M$9,2),B1651&lt;'112'!$K$9,$O1651='112'!$I$6)),"x",""))</f>
        <v/>
      </c>
      <c r="W1651" s="84" t="str">
        <f>IF(AND('341-CT'!$H$9=H1651,OR(LEFT(N1651,3)=$W$7,LEFT(O1651,3)=$W$7)),"x","")</f>
        <v/>
      </c>
      <c r="X1651" s="84" t="str">
        <f>IF(OR(TH!N1651=TH!$X$7,O1651=TH!$X$7),"x","")</f>
        <v/>
      </c>
      <c r="Y1651" s="84" t="str">
        <f>IF(AND(OR(N1651="131",O1651="131"),H1651='131-CT'!$H$9),"x","")</f>
        <v>x</v>
      </c>
      <c r="Z1651" s="84"/>
      <c r="AA1651" s="84" t="str">
        <f>IF(AND(MONTH(E1651)='IN-NX'!$J$5,'IN-NX'!$D$7=D1651),"x","")</f>
        <v/>
      </c>
      <c r="AB1651" s="84" t="str">
        <f>IF(AND(OR(LEFT(TH!N1651,2)="15",LEFT(TH!O1651,2)="15"),LEFT(TH!O1651,3)&lt;&gt;"111",'152-CT'!$J$8=TH!F1651),"x","")</f>
        <v/>
      </c>
      <c r="AC1651" s="84" t="str">
        <f>IF(AND(OR(LEFT(TH!N1651,2)="15",LEFT(TH!O1651,2)="15"),TK!$E$7=TH!F1651),"x","")</f>
        <v/>
      </c>
      <c r="AD1651" s="84" t="str">
        <f>IF(AND(N1651="1521",MONTH(C1651)='BK-NL'!$M$11),"x","")</f>
        <v/>
      </c>
      <c r="AF1651" s="330">
        <v>1</v>
      </c>
    </row>
    <row r="1652" spans="1:32" ht="15.75" hidden="1" customHeight="1">
      <c r="A1652" s="336" t="str">
        <f>IF(B1652&lt;&gt;"",IF(AND(B1652='IN-TC'!$S$4,OR(TH!N1652="1111",TH!O1652="1111")),TH!D1652,""),"")</f>
        <v/>
      </c>
      <c r="B1652" s="63">
        <f t="shared" si="225"/>
        <v>6</v>
      </c>
      <c r="C1652" s="64">
        <v>42542</v>
      </c>
      <c r="D1652" s="64" t="s">
        <v>582</v>
      </c>
      <c r="E1652" s="64">
        <f t="shared" si="229"/>
        <v>42542</v>
      </c>
      <c r="F1652" s="73" t="s">
        <v>1065</v>
      </c>
      <c r="G1652" s="67" t="s">
        <v>919</v>
      </c>
      <c r="H1652" s="73" t="s">
        <v>601</v>
      </c>
      <c r="I1652" s="439"/>
      <c r="J1652" s="439"/>
      <c r="K1652" s="430">
        <v>4.87</v>
      </c>
      <c r="L1652" s="439">
        <v>22270</v>
      </c>
      <c r="M1652" s="65">
        <f>ROUND(K1652*L1652,0)</f>
        <v>108455</v>
      </c>
      <c r="N1652" s="66" t="s">
        <v>9</v>
      </c>
      <c r="O1652" s="66" t="s">
        <v>588</v>
      </c>
      <c r="P1652" s="84" t="str">
        <f>IF(AND('331-CT'!$E$7=TH!H1652,OR(N1652="331",O1652="331")),"x","")</f>
        <v/>
      </c>
      <c r="Q1652" s="84" t="str">
        <f>IF(AND(B1652='111'!$L$11,OR($N1652=$Q$7,$O1652=$Q$7)),"x","")</f>
        <v/>
      </c>
      <c r="R1652" s="84" t="str">
        <f>IF(AND($N1652=$Q$7,$B1652&lt;'111'!$L$11),"x","")</f>
        <v/>
      </c>
      <c r="S1652" s="84" t="str">
        <f>IF(AND($O1652=$Q$7,$B1652&lt;'111'!$L$11),"x","")</f>
        <v/>
      </c>
      <c r="T1652" s="84" t="str">
        <f>IF(ISERROR(FIND('112'!$M$9,G1652,1)),"",IF((AND(FIND('112'!$M$9,G1652,1)&gt;=1,B1652='112'!$K$9,OR($N1652='112'!$I$6,$O1652='112'!$I$6))),"x",""))</f>
        <v/>
      </c>
      <c r="U1652" s="84" t="str">
        <f>IF(ISERROR(FIND('112'!$M$9,G1652,1)),"",IF((AND(LEFT(G1652,2)=LEFT('112'!$M$9,2),B1652&lt;'112'!$K$9,$N1652='112'!$I$6)),"x",""))</f>
        <v/>
      </c>
      <c r="V1652" s="84" t="str">
        <f>IF(ISERROR(FIND('112'!$M$9,G1652,1)),"",IF((AND(RIGHT(G1652,2)=RIGHT('112'!$M$9,2),B1652&lt;'112'!$K$9,$O1652='112'!$I$6)),"x",""))</f>
        <v/>
      </c>
      <c r="W1652" s="84" t="str">
        <f>IF(AND('341-CT'!$H$9=H1652,OR(LEFT(N1652,3)=$W$7,LEFT(O1652,3)=$W$7)),"x","")</f>
        <v/>
      </c>
      <c r="X1652" s="84" t="str">
        <f>IF(OR(TH!N1652=TH!$X$7,O1652=TH!$X$7),"x","")</f>
        <v/>
      </c>
      <c r="Y1652" s="84" t="str">
        <f>IF(AND(OR(N1652="131",O1652="131"),H1652='131-CT'!$H$9),"x","")</f>
        <v>x</v>
      </c>
      <c r="Z1652" s="84"/>
      <c r="AA1652" s="84" t="str">
        <f>IF(AND(MONTH(E1652)='IN-NX'!$J$5,'IN-NX'!$D$7=D1652),"x","")</f>
        <v/>
      </c>
      <c r="AB1652" s="84" t="str">
        <f>IF(AND(OR(LEFT(TH!N1652,2)="15",LEFT(TH!O1652,2)="15"),LEFT(TH!O1652,3)&lt;&gt;"111",'152-CT'!$J$8=TH!F1652),"x","")</f>
        <v/>
      </c>
      <c r="AC1652" s="84" t="str">
        <f>IF(AND(OR(LEFT(TH!N1652,2)="15",LEFT(TH!O1652,2)="15"),TK!$E$7=TH!F1652),"x","")</f>
        <v/>
      </c>
      <c r="AD1652" s="84" t="str">
        <f>IF(AND(N1652="1521",MONTH(C1652)='BK-NL'!$M$11),"x","")</f>
        <v/>
      </c>
    </row>
    <row r="1653" spans="1:32" ht="15.75" hidden="1" customHeight="1">
      <c r="A1653" s="336" t="str">
        <f>IF(B1653&lt;&gt;"",IF(AND(B1653='IN-TC'!$S$4,OR(TH!N1653="1111",TH!O1653="1111")),TH!D1653,""),"")</f>
        <v/>
      </c>
      <c r="B1653" s="63">
        <f t="shared" si="225"/>
        <v>6</v>
      </c>
      <c r="C1653" s="64">
        <v>42542</v>
      </c>
      <c r="D1653" s="64" t="s">
        <v>582</v>
      </c>
      <c r="E1653" s="64">
        <f t="shared" si="229"/>
        <v>42542</v>
      </c>
      <c r="F1653" s="73" t="s">
        <v>1066</v>
      </c>
      <c r="G1653" s="67" t="s">
        <v>919</v>
      </c>
      <c r="H1653" s="73" t="s">
        <v>601</v>
      </c>
      <c r="I1653" s="439"/>
      <c r="J1653" s="439"/>
      <c r="K1653" s="430">
        <v>21.66</v>
      </c>
      <c r="L1653" s="439">
        <v>22270</v>
      </c>
      <c r="M1653" s="65">
        <f>ROUND(K1653*L1653,0)</f>
        <v>482368</v>
      </c>
      <c r="N1653" s="66" t="s">
        <v>99</v>
      </c>
      <c r="O1653" s="66" t="s">
        <v>588</v>
      </c>
      <c r="P1653" s="84" t="str">
        <f>IF(AND('331-CT'!$E$7=TH!H1653,OR(N1653="331",O1653="331")),"x","")</f>
        <v/>
      </c>
      <c r="Q1653" s="84" t="str">
        <f>IF(AND(B1653='111'!$L$11,OR($N1653=$Q$7,$O1653=$Q$7)),"x","")</f>
        <v/>
      </c>
      <c r="R1653" s="84" t="str">
        <f>IF(AND($N1653=$Q$7,$B1653&lt;'111'!$L$11),"x","")</f>
        <v/>
      </c>
      <c r="S1653" s="84" t="str">
        <f>IF(AND($O1653=$Q$7,$B1653&lt;'111'!$L$11),"x","")</f>
        <v/>
      </c>
      <c r="T1653" s="84" t="str">
        <f>IF(ISERROR(FIND('112'!$M$9,G1653,1)),"",IF((AND(FIND('112'!$M$9,G1653,1)&gt;=1,B1653='112'!$K$9,OR($N1653='112'!$I$6,$O1653='112'!$I$6))),"x",""))</f>
        <v/>
      </c>
      <c r="U1653" s="84" t="str">
        <f>IF(ISERROR(FIND('112'!$M$9,G1653,1)),"",IF((AND(LEFT(G1653,2)=LEFT('112'!$M$9,2),B1653&lt;'112'!$K$9,$N1653='112'!$I$6)),"x",""))</f>
        <v/>
      </c>
      <c r="V1653" s="84" t="str">
        <f>IF(ISERROR(FIND('112'!$M$9,G1653,1)),"",IF((AND(RIGHT(G1653,2)=RIGHT('112'!$M$9,2),B1653&lt;'112'!$K$9,$O1653='112'!$I$6)),"x",""))</f>
        <v/>
      </c>
      <c r="W1653" s="84" t="str">
        <f>IF(AND('341-CT'!$H$9=H1653,OR(LEFT(N1653,3)=$W$7,LEFT(O1653,3)=$W$7)),"x","")</f>
        <v/>
      </c>
      <c r="X1653" s="84" t="str">
        <f>IF(OR(TH!N1653=TH!$X$7,O1653=TH!$X$7),"x","")</f>
        <v/>
      </c>
      <c r="Y1653" s="84" t="str">
        <f>IF(AND(OR(N1653="131",O1653="131"),H1653='131-CT'!$H$9),"x","")</f>
        <v>x</v>
      </c>
      <c r="Z1653" s="84"/>
      <c r="AA1653" s="84" t="str">
        <f>IF(AND(MONTH(E1653)='IN-NX'!$J$5,'IN-NX'!$D$7=D1653),"x","")</f>
        <v/>
      </c>
      <c r="AB1653" s="84" t="str">
        <f>IF(AND(OR(LEFT(TH!N1653,2)="15",LEFT(TH!O1653,2)="15"),LEFT(TH!O1653,3)&lt;&gt;"111",'152-CT'!$J$8=TH!F1653),"x","")</f>
        <v/>
      </c>
      <c r="AC1653" s="84" t="str">
        <f>IF(AND(OR(LEFT(TH!N1653,2)="15",LEFT(TH!O1653,2)="15"),TK!$E$7=TH!F1653),"x","")</f>
        <v/>
      </c>
      <c r="AD1653" s="84" t="str">
        <f>IF(AND(N1653="1521",MONTH(C1653)='BK-NL'!$M$11),"x","")</f>
        <v/>
      </c>
    </row>
    <row r="1654" spans="1:32" ht="15.75" hidden="1" customHeight="1">
      <c r="A1654" s="336" t="str">
        <f>IF(B1654&lt;&gt;"",IF(AND(B1654='IN-TC'!$S$4,OR(TH!N1654="1111",TH!O1654="1111")),TH!D1654,""),"")</f>
        <v/>
      </c>
      <c r="B1654" s="1003">
        <f t="shared" si="225"/>
        <v>6</v>
      </c>
      <c r="C1654" s="80">
        <v>42542</v>
      </c>
      <c r="D1654" s="80" t="s">
        <v>582</v>
      </c>
      <c r="E1654" s="64">
        <f t="shared" si="229"/>
        <v>42542</v>
      </c>
      <c r="F1654" s="82" t="s">
        <v>1068</v>
      </c>
      <c r="G1654" s="81" t="s">
        <v>919</v>
      </c>
      <c r="H1654" s="966" t="s">
        <v>601</v>
      </c>
      <c r="I1654" s="437"/>
      <c r="J1654" s="437"/>
      <c r="K1654" s="428"/>
      <c r="L1654" s="437"/>
      <c r="M1654" s="83">
        <v>2015300</v>
      </c>
      <c r="N1654" s="66" t="s">
        <v>99</v>
      </c>
      <c r="O1654" s="84" t="s">
        <v>588</v>
      </c>
      <c r="P1654" s="84" t="str">
        <f>IF(AND('331-CT'!$E$7=TH!H1654,OR(N1654="331",O1654="331")),"x","")</f>
        <v/>
      </c>
      <c r="Q1654" s="84" t="str">
        <f>IF(AND(B1654='111'!$L$11,OR($N1654=$Q$7,$O1654=$Q$7)),"x","")</f>
        <v/>
      </c>
      <c r="R1654" s="84" t="str">
        <f>IF(AND($N1654=$Q$7,$B1654&lt;'111'!$L$11),"x","")</f>
        <v/>
      </c>
      <c r="S1654" s="84" t="str">
        <f>IF(AND($O1654=$Q$7,$B1654&lt;'111'!$L$11),"x","")</f>
        <v/>
      </c>
      <c r="T1654" s="84" t="str">
        <f>IF(ISERROR(FIND('112'!$M$9,G1654,1)),"",IF((AND(FIND('112'!$M$9,G1654,1)&gt;=1,B1654='112'!$K$9,OR($N1654='112'!$I$6,$O1654='112'!$I$6))),"x",""))</f>
        <v/>
      </c>
      <c r="U1654" s="84" t="str">
        <f>IF(ISERROR(FIND('112'!$M$9,G1654,1)),"",IF((AND(LEFT(G1654,2)=LEFT('112'!$M$9,2),B1654&lt;'112'!$K$9,$N1654='112'!$I$6)),"x",""))</f>
        <v/>
      </c>
      <c r="V1654" s="84" t="str">
        <f>IF(ISERROR(FIND('112'!$M$9,G1654,1)),"",IF((AND(RIGHT(G1654,2)=RIGHT('112'!$M$9,2),B1654&lt;'112'!$K$9,$O1654='112'!$I$6)),"x",""))</f>
        <v/>
      </c>
      <c r="W1654" s="84" t="str">
        <f>IF(AND('341-CT'!$H$9=H1654,OR(LEFT(N1654,3)=$W$7,LEFT(O1654,3)=$W$7)),"x","")</f>
        <v/>
      </c>
      <c r="X1654" s="84" t="str">
        <f>IF(OR(TH!N1654=TH!$X$7,O1654=TH!$X$7),"x","")</f>
        <v/>
      </c>
      <c r="Y1654" s="84" t="str">
        <f>IF(AND(OR(N1654="131",O1654="131"),H1654='131-CT'!$H$9),"x","")</f>
        <v>x</v>
      </c>
      <c r="Z1654" s="84"/>
      <c r="AA1654" s="84" t="str">
        <f>IF(AND(MONTH(E1654)='IN-NX'!$J$5,'IN-NX'!$D$7=D1654),"x","")</f>
        <v/>
      </c>
      <c r="AB1654" s="84" t="str">
        <f>IF(AND(OR(LEFT(TH!N1654,2)="15",LEFT(TH!O1654,2)="15"),LEFT(TH!O1654,3)&lt;&gt;"111",'152-CT'!$J$8=TH!F1654),"x","")</f>
        <v/>
      </c>
      <c r="AC1654" s="84" t="str">
        <f>IF(AND(OR(LEFT(TH!N1654,2)="15",LEFT(TH!O1654,2)="15"),TK!$E$7=TH!F1654),"x","")</f>
        <v/>
      </c>
      <c r="AD1654" s="84" t="str">
        <f>IF(AND(N1654="1521",MONTH(C1654)='BK-NL'!$M$11),"x","")</f>
        <v/>
      </c>
      <c r="AE1654" s="347"/>
      <c r="AF1654" s="347"/>
    </row>
    <row r="1655" spans="1:32" ht="15.75" hidden="1" customHeight="1">
      <c r="A1655" s="336" t="str">
        <f>IF(B1655&lt;&gt;"",IF(AND(B1655='IN-TC'!$S$4,OR(TH!N1655="1111",TH!O1655="1111")),TH!D1655,""),"")</f>
        <v/>
      </c>
      <c r="B1655" s="63">
        <f t="shared" si="225"/>
        <v>6</v>
      </c>
      <c r="C1655" s="64">
        <v>42543</v>
      </c>
      <c r="D1655" s="64" t="s">
        <v>889</v>
      </c>
      <c r="E1655" s="64">
        <v>42543</v>
      </c>
      <c r="F1655" s="73" t="s">
        <v>1591</v>
      </c>
      <c r="G1655" s="982" t="s">
        <v>1592</v>
      </c>
      <c r="H1655" s="73" t="s">
        <v>1593</v>
      </c>
      <c r="I1655" s="439"/>
      <c r="J1655" s="439"/>
      <c r="K1655" s="430"/>
      <c r="L1655" s="439"/>
      <c r="M1655" s="65">
        <v>107563</v>
      </c>
      <c r="N1655" s="66" t="s">
        <v>591</v>
      </c>
      <c r="O1655" s="66" t="s">
        <v>63</v>
      </c>
      <c r="P1655" s="84" t="str">
        <f>IF(AND('331-CT'!$E$7=TH!H1655,OR(N1655="331",O1655="331")),"x","")</f>
        <v/>
      </c>
      <c r="Q1655" s="84" t="str">
        <f>IF(AND(B1655='111'!$L$11,OR($N1655=$Q$7,$O1655=$Q$7)),"x","")</f>
        <v/>
      </c>
      <c r="R1655" s="84" t="str">
        <f>IF(AND($N1655=$Q$7,$B1655&lt;'111'!$L$11),"x","")</f>
        <v/>
      </c>
      <c r="S1655" s="84" t="str">
        <f>IF(AND($O1655=$Q$7,$B1655&lt;'111'!$L$11),"x","")</f>
        <v/>
      </c>
      <c r="T1655" s="84" t="str">
        <f>IF(ISERROR(FIND('112'!$M$9,G1655,1)),"",IF((AND(FIND('112'!$M$9,G1655,1)&gt;=1,B1655='112'!$K$9,OR($N1655='112'!$I$6,$O1655='112'!$I$6))),"x",""))</f>
        <v/>
      </c>
      <c r="U1655" s="84" t="str">
        <f>IF(ISERROR(FIND('112'!$M$9,G1655,1)),"",IF((AND(LEFT(G1655,2)=LEFT('112'!$M$9,2),B1655&lt;'112'!$K$9,$N1655='112'!$I$6)),"x",""))</f>
        <v/>
      </c>
      <c r="V1655" s="84" t="str">
        <f>IF(ISERROR(FIND('112'!$M$9,G1655,1)),"",IF((AND(RIGHT(G1655,2)=RIGHT('112'!$M$9,2),B1655&lt;'112'!$K$9,$O1655='112'!$I$6)),"x",""))</f>
        <v/>
      </c>
      <c r="W1655" s="84" t="str">
        <f>IF(AND('341-CT'!$H$9=H1655,OR(LEFT(N1655,3)=$W$7,LEFT(O1655,3)=$W$7)),"x","")</f>
        <v/>
      </c>
      <c r="X1655" s="84" t="str">
        <f>IF(OR(TH!N1655=TH!$X$7,O1655=TH!$X$7),"x","")</f>
        <v/>
      </c>
      <c r="Y1655" s="84" t="str">
        <f>IF(AND(OR(N1655="131",O1655="131"),H1655='131-CT'!$H$9),"x","")</f>
        <v/>
      </c>
      <c r="Z1655" s="84"/>
      <c r="AA1655" s="84" t="str">
        <f>IF(AND(MONTH(E1655)='IN-NX'!$J$5,'IN-NX'!$D$7=D1655),"x","")</f>
        <v/>
      </c>
      <c r="AB1655" s="84" t="str">
        <f>IF(AND(OR(LEFT(TH!N1655,2)="15",LEFT(TH!O1655,2)="15"),LEFT(TH!O1655,3)&lt;&gt;"111",'152-CT'!$J$8=TH!F1655),"x","")</f>
        <v/>
      </c>
      <c r="AC1655" s="84" t="str">
        <f>IF(AND(OR(LEFT(TH!N1655,2)="15",LEFT(TH!O1655,2)="15"),TK!$E$7=TH!F1655),"x","")</f>
        <v/>
      </c>
      <c r="AD1655" s="84" t="str">
        <f>IF(AND(N1655="1521",MONTH(C1655)='BK-NL'!$M$11),"x","")</f>
        <v/>
      </c>
      <c r="AF1655" s="330">
        <v>1</v>
      </c>
    </row>
    <row r="1656" spans="1:32" ht="15.75" hidden="1" customHeight="1">
      <c r="A1656" s="336" t="str">
        <f>IF(B1656&lt;&gt;"",IF(AND(B1656='IN-TC'!$S$4,OR(TH!N1656="1111",TH!O1656="1111")),TH!D1656,""),"")</f>
        <v/>
      </c>
      <c r="B1656" s="63">
        <f t="shared" si="225"/>
        <v>6</v>
      </c>
      <c r="C1656" s="64">
        <v>42543</v>
      </c>
      <c r="D1656" s="64" t="s">
        <v>889</v>
      </c>
      <c r="E1656" s="64">
        <v>42543</v>
      </c>
      <c r="F1656" s="73" t="s">
        <v>1594</v>
      </c>
      <c r="G1656" s="982" t="s">
        <v>1592</v>
      </c>
      <c r="H1656" s="73" t="s">
        <v>1593</v>
      </c>
      <c r="I1656" s="439"/>
      <c r="J1656" s="439"/>
      <c r="K1656" s="430"/>
      <c r="L1656" s="439"/>
      <c r="M1656" s="65">
        <v>10756</v>
      </c>
      <c r="N1656" s="66" t="s">
        <v>9</v>
      </c>
      <c r="O1656" s="66" t="s">
        <v>63</v>
      </c>
      <c r="P1656" s="84" t="str">
        <f>IF(AND('331-CT'!$E$7=TH!H1656,OR(N1656="331",O1656="331")),"x","")</f>
        <v/>
      </c>
      <c r="Q1656" s="84" t="str">
        <f>IF(AND(B1656='111'!$L$11,OR($N1656=$Q$7,$O1656=$Q$7)),"x","")</f>
        <v/>
      </c>
      <c r="R1656" s="84" t="str">
        <f>IF(AND($N1656=$Q$7,$B1656&lt;'111'!$L$11),"x","")</f>
        <v/>
      </c>
      <c r="S1656" s="84" t="str">
        <f>IF(AND($O1656=$Q$7,$B1656&lt;'111'!$L$11),"x","")</f>
        <v/>
      </c>
      <c r="T1656" s="84" t="str">
        <f>IF(ISERROR(FIND('112'!$M$9,G1656,1)),"",IF((AND(FIND('112'!$M$9,G1656,1)&gt;=1,B1656='112'!$K$9,OR($N1656='112'!$I$6,$O1656='112'!$I$6))),"x",""))</f>
        <v/>
      </c>
      <c r="U1656" s="84" t="str">
        <f>IF(ISERROR(FIND('112'!$M$9,G1656,1)),"",IF((AND(LEFT(G1656,2)=LEFT('112'!$M$9,2),B1656&lt;'112'!$K$9,$N1656='112'!$I$6)),"x",""))</f>
        <v/>
      </c>
      <c r="V1656" s="84" t="str">
        <f>IF(ISERROR(FIND('112'!$M$9,G1656,1)),"",IF((AND(RIGHT(G1656,2)=RIGHT('112'!$M$9,2),B1656&lt;'112'!$K$9,$O1656='112'!$I$6)),"x",""))</f>
        <v/>
      </c>
      <c r="W1656" s="84" t="str">
        <f>IF(AND('341-CT'!$H$9=H1656,OR(LEFT(N1656,3)=$W$7,LEFT(O1656,3)=$W$7)),"x","")</f>
        <v/>
      </c>
      <c r="X1656" s="84" t="str">
        <f>IF(OR(TH!N1656=TH!$X$7,O1656=TH!$X$7),"x","")</f>
        <v/>
      </c>
      <c r="Y1656" s="84" t="str">
        <f>IF(AND(OR(N1656="131",O1656="131"),H1656='131-CT'!$H$9),"x","")</f>
        <v/>
      </c>
      <c r="Z1656" s="84"/>
      <c r="AA1656" s="84" t="str">
        <f>IF(AND(MONTH(E1656)='IN-NX'!$J$5,'IN-NX'!$D$7=D1656),"x","")</f>
        <v/>
      </c>
      <c r="AB1656" s="84" t="str">
        <f>IF(AND(OR(LEFT(TH!N1656,2)="15",LEFT(TH!O1656,2)="15"),LEFT(TH!O1656,3)&lt;&gt;"111",'152-CT'!$J$8=TH!F1656),"x","")</f>
        <v/>
      </c>
      <c r="AC1656" s="84" t="str">
        <f>IF(AND(OR(LEFT(TH!N1656,2)="15",LEFT(TH!O1656,2)="15"),TK!$E$7=TH!F1656),"x","")</f>
        <v/>
      </c>
      <c r="AD1656" s="84" t="str">
        <f>IF(AND(N1656="1521",MONTH(C1656)='BK-NL'!$M$11),"x","")</f>
        <v/>
      </c>
    </row>
    <row r="1657" spans="1:32" ht="15.75" hidden="1" customHeight="1">
      <c r="A1657" s="336" t="str">
        <f>IF(B1657&lt;&gt;"",IF(AND(B1657='IN-TC'!$S$4,OR(TH!N1657="1111",TH!O1657="1111")),TH!D1657,""),"")</f>
        <v/>
      </c>
      <c r="B1657" s="1158">
        <f t="shared" si="225"/>
        <v>6</v>
      </c>
      <c r="C1657" s="1159">
        <v>42543</v>
      </c>
      <c r="D1657" s="1159" t="s">
        <v>705</v>
      </c>
      <c r="E1657" s="1159">
        <f>C1657</f>
        <v>42543</v>
      </c>
      <c r="F1657" s="1161" t="s">
        <v>1788</v>
      </c>
      <c r="G1657" s="1161" t="s">
        <v>1565</v>
      </c>
      <c r="H1657" s="1160"/>
      <c r="I1657" s="1162"/>
      <c r="J1657" s="1162"/>
      <c r="K1657" s="1163"/>
      <c r="L1657" s="1162"/>
      <c r="M1657" s="1164">
        <v>73755</v>
      </c>
      <c r="N1657" s="1165" t="s">
        <v>101</v>
      </c>
      <c r="O1657" s="66" t="s">
        <v>26</v>
      </c>
      <c r="P1657" s="84" t="str">
        <f>IF(AND('331-CT'!$E$7=TH!H1657,OR(N1657="331",O1657="331")),"x","")</f>
        <v/>
      </c>
      <c r="Q1657" s="84" t="str">
        <f>IF(AND(B1657='111'!$L$11,OR($N1657=$Q$7,$O1657=$Q$7)),"x","")</f>
        <v/>
      </c>
      <c r="R1657" s="84" t="str">
        <f>IF(AND($N1657=$Q$7,$B1657&lt;'111'!$L$11),"x","")</f>
        <v/>
      </c>
      <c r="S1657" s="84" t="str">
        <f>IF(AND($O1657=$Q$7,$B1657&lt;'111'!$L$11),"x","")</f>
        <v/>
      </c>
      <c r="T1657" s="84" t="str">
        <f>IF(ISERROR(FIND('112'!$M$9,G1657,1)),"",IF((AND(FIND('112'!$M$9,G1657,1)&gt;=1,B1657='112'!$K$9,OR($N1657='112'!$I$6,$O1657='112'!$I$6))),"x",""))</f>
        <v/>
      </c>
      <c r="U1657" s="84" t="str">
        <f>IF(ISERROR(FIND('112'!$M$9,G1657,1)),"",IF((AND(LEFT(G1657,2)=LEFT('112'!$M$9,2),B1657&lt;'112'!$K$9,$N1657='112'!$I$6)),"x",""))</f>
        <v/>
      </c>
      <c r="V1657" s="84" t="str">
        <f>IF(ISERROR(FIND('112'!$M$9,G1657,1)),"",IF((AND(RIGHT(G1657,2)=RIGHT('112'!$M$9,2),B1657&lt;'112'!$K$9,$O1657='112'!$I$6)),"x",""))</f>
        <v/>
      </c>
      <c r="W1657" s="84" t="str">
        <f>IF(AND('341-CT'!$H$9=H1657,OR(LEFT(N1657,3)=$W$7,LEFT(O1657,3)=$W$7)),"x","")</f>
        <v/>
      </c>
      <c r="X1657" s="84" t="str">
        <f>IF(OR(TH!N1657=TH!$X$7,O1657=TH!$X$7),"x","")</f>
        <v/>
      </c>
      <c r="Y1657" s="84" t="str">
        <f>IF(AND(OR(N1657="131",O1657="131"),H1657='131-CT'!$H$9),"x","")</f>
        <v/>
      </c>
      <c r="Z1657" s="84"/>
      <c r="AA1657" s="84" t="str">
        <f>IF(AND(MONTH(E1657)='IN-NX'!$J$5,'IN-NX'!$D$7=D1657),"x","")</f>
        <v/>
      </c>
      <c r="AB1657" s="84" t="str">
        <f>IF(AND(OR(LEFT(TH!N1657,2)="15",LEFT(TH!O1657,2)="15"),LEFT(TH!O1657,3)&lt;&gt;"111",'152-CT'!$J$8=TH!F1657),"x","")</f>
        <v/>
      </c>
      <c r="AC1657" s="84" t="str">
        <f>IF(AND(OR(LEFT(TH!N1657,2)="15",LEFT(TH!O1657,2)="15"),TK!$E$7=TH!F1657),"x","")</f>
        <v/>
      </c>
      <c r="AD1657" s="84" t="str">
        <f>IF(AND(N1657="1521",MONTH(C1657)='BK-NL'!$M$11),"x","")</f>
        <v/>
      </c>
      <c r="AE1657" s="1166"/>
      <c r="AF1657" s="1166"/>
    </row>
    <row r="1658" spans="1:32" ht="15.75" hidden="1" customHeight="1">
      <c r="A1658" s="336" t="str">
        <f>IF(B1658&lt;&gt;"",IF(AND(B1658='IN-TC'!$S$4,OR(TH!N1658="1111",TH!O1658="1111")),TH!D1658,""),"")</f>
        <v/>
      </c>
      <c r="B1658" s="1158">
        <f t="shared" si="225"/>
        <v>6</v>
      </c>
      <c r="C1658" s="1159">
        <v>42543</v>
      </c>
      <c r="D1658" s="1159" t="s">
        <v>890</v>
      </c>
      <c r="E1658" s="1159">
        <v>42543</v>
      </c>
      <c r="F1658" s="1160" t="s">
        <v>1107</v>
      </c>
      <c r="G1658" s="1161" t="s">
        <v>1565</v>
      </c>
      <c r="H1658" s="1160" t="s">
        <v>1787</v>
      </c>
      <c r="I1658" s="1162"/>
      <c r="J1658" s="1162"/>
      <c r="K1658" s="1163"/>
      <c r="L1658" s="1162"/>
      <c r="M1658" s="1164">
        <v>1100000</v>
      </c>
      <c r="N1658" s="66" t="s">
        <v>26</v>
      </c>
      <c r="O1658" s="66" t="s">
        <v>63</v>
      </c>
      <c r="P1658" s="84" t="str">
        <f>IF(AND('331-CT'!$E$7=TH!H1658,OR(N1658="331",O1658="331")),"x","")</f>
        <v/>
      </c>
      <c r="Q1658" s="84" t="str">
        <f>IF(AND(B1658='111'!$L$11,OR($N1658=$Q$7,$O1658=$Q$7)),"x","")</f>
        <v/>
      </c>
      <c r="R1658" s="84" t="str">
        <f>IF(AND($N1658=$Q$7,$B1658&lt;'111'!$L$11),"x","")</f>
        <v/>
      </c>
      <c r="S1658" s="84" t="str">
        <f>IF(AND($O1658=$Q$7,$B1658&lt;'111'!$L$11),"x","")</f>
        <v/>
      </c>
      <c r="T1658" s="84" t="str">
        <f>IF(ISERROR(FIND('112'!$M$9,G1658,1)),"",IF((AND(FIND('112'!$M$9,G1658,1)&gt;=1,B1658='112'!$K$9,OR($N1658='112'!$I$6,$O1658='112'!$I$6))),"x",""))</f>
        <v/>
      </c>
      <c r="U1658" s="84" t="str">
        <f>IF(ISERROR(FIND('112'!$M$9,G1658,1)),"",IF((AND(LEFT(G1658,2)=LEFT('112'!$M$9,2),B1658&lt;'112'!$K$9,$N1658='112'!$I$6)),"x",""))</f>
        <v/>
      </c>
      <c r="V1658" s="84" t="str">
        <f>IF(ISERROR(FIND('112'!$M$9,G1658,1)),"",IF((AND(RIGHT(G1658,2)=RIGHT('112'!$M$9,2),B1658&lt;'112'!$K$9,$O1658='112'!$I$6)),"x",""))</f>
        <v/>
      </c>
      <c r="W1658" s="84" t="str">
        <f>IF(AND('341-CT'!$H$9=H1658,OR(LEFT(N1658,3)=$W$7,LEFT(O1658,3)=$W$7)),"x","")</f>
        <v/>
      </c>
      <c r="X1658" s="84" t="str">
        <f>IF(OR(TH!N1658=TH!$X$7,O1658=TH!$X$7),"x","")</f>
        <v/>
      </c>
      <c r="Y1658" s="84" t="str">
        <f>IF(AND(OR(N1658="131",O1658="131"),H1658='131-CT'!$H$9),"x","")</f>
        <v/>
      </c>
      <c r="Z1658" s="84"/>
      <c r="AA1658" s="84" t="str">
        <f>IF(AND(MONTH(E1658)='IN-NX'!$J$5,'IN-NX'!$D$7=D1658),"x","")</f>
        <v/>
      </c>
      <c r="AB1658" s="84" t="str">
        <f>IF(AND(OR(LEFT(TH!N1658,2)="15",LEFT(TH!O1658,2)="15"),LEFT(TH!O1658,3)&lt;&gt;"111",'152-CT'!$J$8=TH!F1658),"x","")</f>
        <v/>
      </c>
      <c r="AC1658" s="84" t="str">
        <f>IF(AND(OR(LEFT(TH!N1658,2)="15",LEFT(TH!O1658,2)="15"),TK!$E$7=TH!F1658),"x","")</f>
        <v/>
      </c>
      <c r="AD1658" s="84" t="str">
        <f>IF(AND(N1658="1521",MONTH(C1658)='BK-NL'!$M$11),"x","")</f>
        <v/>
      </c>
      <c r="AE1658" s="1166"/>
      <c r="AF1658" s="1166"/>
    </row>
    <row r="1659" spans="1:32" ht="15.75" hidden="1" customHeight="1">
      <c r="A1659" s="336" t="str">
        <f>IF(B1659&lt;&gt;"",IF(AND(B1659='IN-TC'!$S$4,OR(TH!N1659="1111",TH!O1659="1111")),TH!D1659,""),"")</f>
        <v/>
      </c>
      <c r="B1659" s="1129">
        <f t="shared" si="225"/>
        <v>6</v>
      </c>
      <c r="C1659" s="975">
        <v>42543</v>
      </c>
      <c r="D1659" s="64" t="s">
        <v>702</v>
      </c>
      <c r="E1659" s="975">
        <f t="shared" ref="E1659:E1664" si="230">C1659</f>
        <v>42543</v>
      </c>
      <c r="F1659" s="971" t="s">
        <v>1884</v>
      </c>
      <c r="G1659" s="1169" t="s">
        <v>1565</v>
      </c>
      <c r="H1659" s="971" t="s">
        <v>1885</v>
      </c>
      <c r="I1659" s="972"/>
      <c r="J1659" s="972"/>
      <c r="K1659" s="973">
        <v>781969.73</v>
      </c>
      <c r="L1659" s="972">
        <v>22308</v>
      </c>
      <c r="M1659" s="1130">
        <f>ROUND(K1659*L1659,0)</f>
        <v>17444180737</v>
      </c>
      <c r="N1659" s="1131" t="s">
        <v>266</v>
      </c>
      <c r="O1659" s="1131" t="s">
        <v>260</v>
      </c>
      <c r="P1659" s="84" t="str">
        <f>IF(AND('331-CT'!$E$7=TH!H1659,OR(N1659="331",O1659="331")),"x","")</f>
        <v/>
      </c>
      <c r="Q1659" s="84" t="str">
        <f>IF(AND(B1659='111'!$L$11,OR($N1659=$Q$7,$O1659=$Q$7)),"x","")</f>
        <v/>
      </c>
      <c r="R1659" s="84" t="str">
        <f>IF(AND($N1659=$Q$7,$B1659&lt;'111'!$L$11),"x","")</f>
        <v/>
      </c>
      <c r="S1659" s="84" t="str">
        <f>IF(AND($O1659=$Q$7,$B1659&lt;'111'!$L$11),"x","")</f>
        <v/>
      </c>
      <c r="T1659" s="84" t="str">
        <f>IF(ISERROR(FIND('112'!$M$9,G1659,1)),"",IF((AND(FIND('112'!$M$9,G1659,1)&gt;=1,B1659='112'!$K$9,OR($N1659='112'!$I$6,$O1659='112'!$I$6))),"x",""))</f>
        <v/>
      </c>
      <c r="U1659" s="84" t="str">
        <f>IF(ISERROR(FIND('112'!$M$9,G1659,1)),"",IF((AND(LEFT(G1659,2)=LEFT('112'!$M$9,2),B1659&lt;'112'!$K$9,$N1659='112'!$I$6)),"x",""))</f>
        <v/>
      </c>
      <c r="V1659" s="84" t="str">
        <f>IF(ISERROR(FIND('112'!$M$9,G1659,1)),"",IF((AND(RIGHT(G1659,2)=RIGHT('112'!$M$9,2),B1659&lt;'112'!$K$9,$O1659='112'!$I$6)),"x",""))</f>
        <v/>
      </c>
      <c r="W1659" s="84" t="str">
        <f>IF(AND('341-CT'!$H$9=H1659,OR(LEFT(N1659,3)=$W$7,LEFT(O1659,3)=$W$7)),"x","")</f>
        <v/>
      </c>
      <c r="X1659" s="84" t="str">
        <f>IF(OR(TH!N1659=TH!$X$7,O1659=TH!$X$7),"x","")</f>
        <v/>
      </c>
      <c r="Y1659" s="84" t="str">
        <f>IF(AND(OR(N1659="131",O1659="131"),H1659='131-CT'!$H$9),"x","")</f>
        <v/>
      </c>
      <c r="Z1659" s="84"/>
      <c r="AA1659" s="84" t="str">
        <f>IF(AND(MONTH(E1659)='IN-NX'!$J$5,'IN-NX'!$D$7=D1659),"x","")</f>
        <v/>
      </c>
      <c r="AB1659" s="84" t="str">
        <f>IF(AND(OR(LEFT(TH!N1659,2)="15",LEFT(TH!O1659,2)="15"),LEFT(TH!O1659,3)&lt;&gt;"111",'152-CT'!$J$8=TH!F1659),"x","")</f>
        <v/>
      </c>
      <c r="AC1659" s="84" t="str">
        <f>IF(AND(OR(LEFT(TH!N1659,2)="15",LEFT(TH!O1659,2)="15"),TK!$E$7=TH!F1659),"x","")</f>
        <v/>
      </c>
      <c r="AD1659" s="84" t="str">
        <f>IF(AND(N1659="1521",MONTH(C1659)='BK-NL'!$M$11),"x","")</f>
        <v/>
      </c>
      <c r="AE1659" s="1132"/>
      <c r="AF1659" s="1132"/>
    </row>
    <row r="1660" spans="1:32" ht="15.75" hidden="1" customHeight="1">
      <c r="A1660" s="336" t="str">
        <f>IF(B1660&lt;&gt;"",IF(AND(B1660='IN-TC'!$S$4,OR(TH!N1660="1111",TH!O1660="1111")),TH!D1660,""),"")</f>
        <v/>
      </c>
      <c r="B1660" s="63">
        <f t="shared" si="225"/>
        <v>6</v>
      </c>
      <c r="C1660" s="64">
        <v>42543</v>
      </c>
      <c r="D1660" s="64" t="s">
        <v>705</v>
      </c>
      <c r="E1660" s="64">
        <f t="shared" si="230"/>
        <v>42543</v>
      </c>
      <c r="F1660" s="73" t="s">
        <v>1901</v>
      </c>
      <c r="G1660" s="67" t="s">
        <v>918</v>
      </c>
      <c r="H1660" s="73" t="s">
        <v>1218</v>
      </c>
      <c r="I1660" s="439"/>
      <c r="J1660" s="439"/>
      <c r="K1660" s="430"/>
      <c r="L1660" s="439"/>
      <c r="M1660" s="65">
        <v>8000000</v>
      </c>
      <c r="N1660" s="66" t="s">
        <v>26</v>
      </c>
      <c r="O1660" s="66" t="s">
        <v>72</v>
      </c>
      <c r="P1660" s="84" t="str">
        <f>IF(AND('331-CT'!$E$7=TH!H1660,OR(N1660="331",O1660="331")),"x","")</f>
        <v/>
      </c>
      <c r="Q1660" s="84" t="str">
        <f>IF(AND(B1660='111'!$L$11,OR($N1660=$Q$7,$O1660=$Q$7)),"x","")</f>
        <v/>
      </c>
      <c r="R1660" s="84" t="str">
        <f>IF(AND($N1660=$Q$7,$B1660&lt;'111'!$L$11),"x","")</f>
        <v/>
      </c>
      <c r="S1660" s="84" t="str">
        <f>IF(AND($O1660=$Q$7,$B1660&lt;'111'!$L$11),"x","")</f>
        <v/>
      </c>
      <c r="T1660" s="84" t="str">
        <f>IF(ISERROR(FIND('112'!$M$9,G1660,1)),"",IF((AND(FIND('112'!$M$9,G1660,1)&gt;=1,B1660='112'!$K$9,OR($N1660='112'!$I$6,$O1660='112'!$I$6))),"x",""))</f>
        <v/>
      </c>
      <c r="U1660" s="84" t="str">
        <f>IF(ISERROR(FIND('112'!$M$9,G1660,1)),"",IF((AND(LEFT(G1660,2)=LEFT('112'!$M$9,2),B1660&lt;'112'!$K$9,$N1660='112'!$I$6)),"x",""))</f>
        <v/>
      </c>
      <c r="V1660" s="84" t="str">
        <f>IF(ISERROR(FIND('112'!$M$9,G1660,1)),"",IF((AND(RIGHT(G1660,2)=RIGHT('112'!$M$9,2),B1660&lt;'112'!$K$9,$O1660='112'!$I$6)),"x",""))</f>
        <v/>
      </c>
      <c r="W1660" s="84" t="str">
        <f>IF(AND('341-CT'!$H$9=H1660,OR(LEFT(N1660,3)=$W$7,LEFT(O1660,3)=$W$7)),"x","")</f>
        <v/>
      </c>
      <c r="X1660" s="84" t="str">
        <f>IF(OR(TH!N1660=TH!$X$7,O1660=TH!$X$7),"x","")</f>
        <v>x</v>
      </c>
      <c r="Y1660" s="84" t="str">
        <f>IF(AND(OR(N1660="131",O1660="131"),H1660='131-CT'!$H$9),"x","")</f>
        <v/>
      </c>
      <c r="Z1660" s="84"/>
      <c r="AA1660" s="84" t="str">
        <f>IF(AND(MONTH(E1660)='IN-NX'!$J$5,'IN-NX'!$D$7=D1660),"x","")</f>
        <v/>
      </c>
      <c r="AB1660" s="84" t="str">
        <f>IF(AND(OR(LEFT(TH!N1660,2)="15",LEFT(TH!O1660,2)="15"),LEFT(TH!O1660,3)&lt;&gt;"111",'152-CT'!$J$8=TH!F1660),"x","")</f>
        <v/>
      </c>
      <c r="AC1660" s="84" t="str">
        <f>IF(AND(OR(LEFT(TH!N1660,2)="15",LEFT(TH!O1660,2)="15"),TK!$E$7=TH!F1660),"x","")</f>
        <v/>
      </c>
      <c r="AD1660" s="84" t="str">
        <f>IF(AND(N1660="1521",MONTH(C1660)='BK-NL'!$M$11),"x","")</f>
        <v/>
      </c>
      <c r="AF1660" s="330">
        <v>1</v>
      </c>
    </row>
    <row r="1661" spans="1:32" ht="15.75" hidden="1" customHeight="1">
      <c r="A1661" s="336" t="str">
        <f>IF(B1661&lt;&gt;"",IF(AND(B1661='IN-TC'!$S$4,OR(TH!N1661="1111",TH!O1661="1111")),TH!D1661,""),"")</f>
        <v/>
      </c>
      <c r="B1661" s="63">
        <f t="shared" si="225"/>
        <v>6</v>
      </c>
      <c r="C1661" s="64">
        <v>42543</v>
      </c>
      <c r="D1661" s="64" t="s">
        <v>705</v>
      </c>
      <c r="E1661" s="64">
        <f t="shared" si="230"/>
        <v>42543</v>
      </c>
      <c r="F1661" s="73" t="s">
        <v>1650</v>
      </c>
      <c r="G1661" s="67" t="s">
        <v>919</v>
      </c>
      <c r="H1661" s="73" t="s">
        <v>632</v>
      </c>
      <c r="I1661" s="439"/>
      <c r="J1661" s="439"/>
      <c r="K1661" s="430"/>
      <c r="L1661" s="439"/>
      <c r="M1661" s="65">
        <v>36668390</v>
      </c>
      <c r="N1661" s="66" t="s">
        <v>8</v>
      </c>
      <c r="O1661" s="66" t="s">
        <v>26</v>
      </c>
      <c r="P1661" s="84" t="str">
        <f>IF(AND('331-CT'!$E$7=TH!H1661,OR(N1661="331",O1661="331")),"x","")</f>
        <v/>
      </c>
      <c r="Q1661" s="84" t="str">
        <f>IF(AND(B1661='111'!$L$11,OR($N1661=$Q$7,$O1661=$Q$7)),"x","")</f>
        <v/>
      </c>
      <c r="R1661" s="84" t="str">
        <f>IF(AND($N1661=$Q$7,$B1661&lt;'111'!$L$11),"x","")</f>
        <v/>
      </c>
      <c r="S1661" s="84" t="str">
        <f>IF(AND($O1661=$Q$7,$B1661&lt;'111'!$L$11),"x","")</f>
        <v/>
      </c>
      <c r="T1661" s="84" t="str">
        <f>IF(ISERROR(FIND('112'!$M$9,G1661,1)),"",IF((AND(FIND('112'!$M$9,G1661,1)&gt;=1,B1661='112'!$K$9,OR($N1661='112'!$I$6,$O1661='112'!$I$6))),"x",""))</f>
        <v>x</v>
      </c>
      <c r="U1661" s="84" t="str">
        <f>IF(ISERROR(FIND('112'!$M$9,G1661,1)),"",IF((AND(LEFT(G1661,2)=LEFT('112'!$M$9,2),B1661&lt;'112'!$K$9,$N1661='112'!$I$6)),"x",""))</f>
        <v/>
      </c>
      <c r="V1661" s="84" t="str">
        <f>IF(ISERROR(FIND('112'!$M$9,G1661,1)),"",IF((AND(RIGHT(G1661,2)=RIGHT('112'!$M$9,2),B1661&lt;'112'!$K$9,$O1661='112'!$I$6)),"x",""))</f>
        <v/>
      </c>
      <c r="W1661" s="84" t="str">
        <f>IF(AND('341-CT'!$H$9=H1661,OR(LEFT(N1661,3)=$W$7,LEFT(O1661,3)=$W$7)),"x","")</f>
        <v/>
      </c>
      <c r="X1661" s="84" t="str">
        <f>IF(OR(TH!N1661=TH!$X$7,O1661=TH!$X$7),"x","")</f>
        <v/>
      </c>
      <c r="Y1661" s="84" t="str">
        <f>IF(AND(OR(N1661="131",O1661="131"),H1661='131-CT'!$H$9),"x","")</f>
        <v/>
      </c>
      <c r="Z1661" s="84"/>
      <c r="AA1661" s="84" t="str">
        <f>IF(AND(MONTH(E1661)='IN-NX'!$J$5,'IN-NX'!$D$7=D1661),"x","")</f>
        <v/>
      </c>
      <c r="AB1661" s="84" t="str">
        <f>IF(AND(OR(LEFT(TH!N1661,2)="15",LEFT(TH!O1661,2)="15"),LEFT(TH!O1661,3)&lt;&gt;"111",'152-CT'!$J$8=TH!F1661),"x","")</f>
        <v/>
      </c>
      <c r="AC1661" s="84" t="str">
        <f>IF(AND(OR(LEFT(TH!N1661,2)="15",LEFT(TH!O1661,2)="15"),TK!$E$7=TH!F1661),"x","")</f>
        <v/>
      </c>
      <c r="AD1661" s="84" t="str">
        <f>IF(AND(N1661="1521",MONTH(C1661)='BK-NL'!$M$11),"x","")</f>
        <v/>
      </c>
      <c r="AE1661" s="1146" t="str">
        <f>IF(H1661&lt;&gt;VLOOKUP(H1661,DSKH,1,0),"","x")</f>
        <v>x</v>
      </c>
    </row>
    <row r="1662" spans="1:32" ht="15.75" hidden="1" customHeight="1">
      <c r="A1662" s="336" t="str">
        <f>IF(B1662&lt;&gt;"",IF(AND(B1662='IN-TC'!$S$4,OR(TH!N1662="1111",TH!O1662="1111")),TH!D1662,""),"")</f>
        <v/>
      </c>
      <c r="B1662" s="63">
        <f t="shared" si="225"/>
        <v>6</v>
      </c>
      <c r="C1662" s="64">
        <v>42543</v>
      </c>
      <c r="D1662" s="64" t="s">
        <v>705</v>
      </c>
      <c r="E1662" s="64">
        <f t="shared" si="230"/>
        <v>42543</v>
      </c>
      <c r="F1662" s="73" t="s">
        <v>1176</v>
      </c>
      <c r="G1662" s="67" t="s">
        <v>919</v>
      </c>
      <c r="H1662" s="73"/>
      <c r="I1662" s="439"/>
      <c r="J1662" s="439"/>
      <c r="K1662" s="430"/>
      <c r="L1662" s="439"/>
      <c r="M1662" s="65">
        <v>25000</v>
      </c>
      <c r="N1662" s="66" t="s">
        <v>101</v>
      </c>
      <c r="O1662" s="66" t="s">
        <v>26</v>
      </c>
      <c r="P1662" s="84" t="str">
        <f>IF(AND('331-CT'!$E$7=TH!H1662,OR(N1662="331",O1662="331")),"x","")</f>
        <v/>
      </c>
      <c r="Q1662" s="84" t="str">
        <f>IF(AND(B1662='111'!$L$11,OR($N1662=$Q$7,$O1662=$Q$7)),"x","")</f>
        <v/>
      </c>
      <c r="R1662" s="84" t="str">
        <f>IF(AND($N1662=$Q$7,$B1662&lt;'111'!$L$11),"x","")</f>
        <v/>
      </c>
      <c r="S1662" s="84" t="str">
        <f>IF(AND($O1662=$Q$7,$B1662&lt;'111'!$L$11),"x","")</f>
        <v/>
      </c>
      <c r="T1662" s="84" t="str">
        <f>IF(ISERROR(FIND('112'!$M$9,G1662,1)),"",IF((AND(FIND('112'!$M$9,G1662,1)&gt;=1,B1662='112'!$K$9,OR($N1662='112'!$I$6,$O1662='112'!$I$6))),"x",""))</f>
        <v>x</v>
      </c>
      <c r="U1662" s="84" t="str">
        <f>IF(ISERROR(FIND('112'!$M$9,G1662,1)),"",IF((AND(LEFT(G1662,2)=LEFT('112'!$M$9,2),B1662&lt;'112'!$K$9,$N1662='112'!$I$6)),"x",""))</f>
        <v/>
      </c>
      <c r="V1662" s="84" t="str">
        <f>IF(ISERROR(FIND('112'!$M$9,G1662,1)),"",IF((AND(RIGHT(G1662,2)=RIGHT('112'!$M$9,2),B1662&lt;'112'!$K$9,$O1662='112'!$I$6)),"x",""))</f>
        <v/>
      </c>
      <c r="W1662" s="84" t="str">
        <f>IF(AND('341-CT'!$H$9=H1662,OR(LEFT(N1662,3)=$W$7,LEFT(O1662,3)=$W$7)),"x","")</f>
        <v/>
      </c>
      <c r="X1662" s="84" t="str">
        <f>IF(OR(TH!N1662=TH!$X$7,O1662=TH!$X$7),"x","")</f>
        <v/>
      </c>
      <c r="Y1662" s="84" t="str">
        <f>IF(AND(OR(N1662="131",O1662="131"),H1662='131-CT'!$H$9),"x","")</f>
        <v/>
      </c>
      <c r="Z1662" s="84"/>
      <c r="AA1662" s="84" t="str">
        <f>IF(AND(MONTH(E1662)='IN-NX'!$J$5,'IN-NX'!$D$7=D1662),"x","")</f>
        <v/>
      </c>
      <c r="AB1662" s="84" t="str">
        <f>IF(AND(OR(LEFT(TH!N1662,2)="15",LEFT(TH!O1662,2)="15"),LEFT(TH!O1662,3)&lt;&gt;"111",'152-CT'!$J$8=TH!F1662),"x","")</f>
        <v/>
      </c>
      <c r="AC1662" s="84" t="str">
        <f>IF(AND(OR(LEFT(TH!N1662,2)="15",LEFT(TH!O1662,2)="15"),TK!$E$7=TH!F1662),"x","")</f>
        <v/>
      </c>
      <c r="AD1662" s="84" t="str">
        <f>IF(AND(N1662="1521",MONTH(C1662)='BK-NL'!$M$11),"x","")</f>
        <v/>
      </c>
      <c r="AF1662" s="330">
        <v>1</v>
      </c>
    </row>
    <row r="1663" spans="1:32" ht="15.75" hidden="1" customHeight="1">
      <c r="A1663" s="336" t="str">
        <f>IF(B1663&lt;&gt;"",IF(AND(B1663='IN-TC'!$S$4,OR(TH!N1663="1111",TH!O1663="1111")),TH!D1663,""),"")</f>
        <v/>
      </c>
      <c r="B1663" s="63">
        <f t="shared" si="225"/>
        <v>6</v>
      </c>
      <c r="C1663" s="64">
        <v>42543</v>
      </c>
      <c r="D1663" s="64" t="s">
        <v>705</v>
      </c>
      <c r="E1663" s="64">
        <f t="shared" si="230"/>
        <v>42543</v>
      </c>
      <c r="F1663" s="73" t="s">
        <v>1638</v>
      </c>
      <c r="G1663" s="67" t="s">
        <v>919</v>
      </c>
      <c r="H1663" s="73"/>
      <c r="I1663" s="439"/>
      <c r="J1663" s="439"/>
      <c r="K1663" s="430"/>
      <c r="L1663" s="439"/>
      <c r="M1663" s="65">
        <v>2500</v>
      </c>
      <c r="N1663" s="66" t="s">
        <v>9</v>
      </c>
      <c r="O1663" s="66" t="s">
        <v>26</v>
      </c>
      <c r="P1663" s="84" t="str">
        <f>IF(AND('331-CT'!$E$7=TH!H1663,OR(N1663="331",O1663="331")),"x","")</f>
        <v/>
      </c>
      <c r="Q1663" s="84" t="str">
        <f>IF(AND(B1663='111'!$L$11,OR($N1663=$Q$7,$O1663=$Q$7)),"x","")</f>
        <v/>
      </c>
      <c r="R1663" s="84" t="str">
        <f>IF(AND($N1663=$Q$7,$B1663&lt;'111'!$L$11),"x","")</f>
        <v/>
      </c>
      <c r="S1663" s="84" t="str">
        <f>IF(AND($O1663=$Q$7,$B1663&lt;'111'!$L$11),"x","")</f>
        <v/>
      </c>
      <c r="T1663" s="84" t="str">
        <f>IF(ISERROR(FIND('112'!$M$9,G1663,1)),"",IF((AND(FIND('112'!$M$9,G1663,1)&gt;=1,B1663='112'!$K$9,OR($N1663='112'!$I$6,$O1663='112'!$I$6))),"x",""))</f>
        <v>x</v>
      </c>
      <c r="U1663" s="84" t="str">
        <f>IF(ISERROR(FIND('112'!$M$9,G1663,1)),"",IF((AND(LEFT(G1663,2)=LEFT('112'!$M$9,2),B1663&lt;'112'!$K$9,$N1663='112'!$I$6)),"x",""))</f>
        <v/>
      </c>
      <c r="V1663" s="84" t="str">
        <f>IF(ISERROR(FIND('112'!$M$9,G1663,1)),"",IF((AND(RIGHT(G1663,2)=RIGHT('112'!$M$9,2),B1663&lt;'112'!$K$9,$O1663='112'!$I$6)),"x",""))</f>
        <v/>
      </c>
      <c r="W1663" s="84" t="str">
        <f>IF(AND('341-CT'!$H$9=H1663,OR(LEFT(N1663,3)=$W$7,LEFT(O1663,3)=$W$7)),"x","")</f>
        <v/>
      </c>
      <c r="X1663" s="84" t="str">
        <f>IF(OR(TH!N1663=TH!$X$7,O1663=TH!$X$7),"x","")</f>
        <v/>
      </c>
      <c r="Y1663" s="84" t="str">
        <f>IF(AND(OR(N1663="131",O1663="131"),H1663='131-CT'!$H$9),"x","")</f>
        <v/>
      </c>
      <c r="Z1663" s="84"/>
      <c r="AA1663" s="84" t="str">
        <f>IF(AND(MONTH(E1663)='IN-NX'!$J$5,'IN-NX'!$D$7=D1663),"x","")</f>
        <v/>
      </c>
      <c r="AB1663" s="84" t="str">
        <f>IF(AND(OR(LEFT(TH!N1663,2)="15",LEFT(TH!O1663,2)="15"),LEFT(TH!O1663,3)&lt;&gt;"111",'152-CT'!$J$8=TH!F1663),"x","")</f>
        <v/>
      </c>
      <c r="AC1663" s="84" t="str">
        <f>IF(AND(OR(LEFT(TH!N1663,2)="15",LEFT(TH!O1663,2)="15"),TK!$E$7=TH!F1663),"x","")</f>
        <v/>
      </c>
      <c r="AD1663" s="84" t="str">
        <f>IF(AND(N1663="1521",MONTH(C1663)='BK-NL'!$M$11),"x","")</f>
        <v/>
      </c>
    </row>
    <row r="1664" spans="1:32" ht="15.75" hidden="1" customHeight="1">
      <c r="A1664" s="336" t="str">
        <f>IF(B1664&lt;&gt;"",IF(AND(B1664='IN-TC'!$S$4,OR(TH!N1664="1111",TH!O1664="1111")),TH!D1664,""),"")</f>
        <v/>
      </c>
      <c r="B1664" s="63">
        <f t="shared" si="225"/>
        <v>6</v>
      </c>
      <c r="C1664" s="64">
        <v>42543</v>
      </c>
      <c r="D1664" s="64" t="s">
        <v>702</v>
      </c>
      <c r="E1664" s="64">
        <f t="shared" si="230"/>
        <v>42543</v>
      </c>
      <c r="F1664" s="73" t="s">
        <v>1651</v>
      </c>
      <c r="G1664" s="67" t="s">
        <v>919</v>
      </c>
      <c r="H1664" s="73" t="s">
        <v>1218</v>
      </c>
      <c r="I1664" s="439"/>
      <c r="J1664" s="439"/>
      <c r="K1664" s="430"/>
      <c r="L1664" s="439"/>
      <c r="M1664" s="65">
        <v>7000000</v>
      </c>
      <c r="N1664" s="66" t="s">
        <v>26</v>
      </c>
      <c r="O1664" s="66" t="s">
        <v>72</v>
      </c>
      <c r="P1664" s="84" t="str">
        <f>IF(AND('331-CT'!$E$7=TH!H1664,OR(N1664="331",O1664="331")),"x","")</f>
        <v/>
      </c>
      <c r="Q1664" s="84" t="str">
        <f>IF(AND(B1664='111'!$L$11,OR($N1664=$Q$7,$O1664=$Q$7)),"x","")</f>
        <v/>
      </c>
      <c r="R1664" s="84" t="str">
        <f>IF(AND($N1664=$Q$7,$B1664&lt;'111'!$L$11),"x","")</f>
        <v/>
      </c>
      <c r="S1664" s="84" t="str">
        <f>IF(AND($O1664=$Q$7,$B1664&lt;'111'!$L$11),"x","")</f>
        <v/>
      </c>
      <c r="T1664" s="84" t="str">
        <f>IF(ISERROR(FIND('112'!$M$9,G1664,1)),"",IF((AND(FIND('112'!$M$9,G1664,1)&gt;=1,B1664='112'!$K$9,OR($N1664='112'!$I$6,$O1664='112'!$I$6))),"x",""))</f>
        <v>x</v>
      </c>
      <c r="U1664" s="84" t="str">
        <f>IF(ISERROR(FIND('112'!$M$9,G1664,1)),"",IF((AND(LEFT(G1664,2)=LEFT('112'!$M$9,2),B1664&lt;'112'!$K$9,$N1664='112'!$I$6)),"x",""))</f>
        <v/>
      </c>
      <c r="V1664" s="84" t="str">
        <f>IF(ISERROR(FIND('112'!$M$9,G1664,1)),"",IF((AND(RIGHT(G1664,2)=RIGHT('112'!$M$9,2),B1664&lt;'112'!$K$9,$O1664='112'!$I$6)),"x",""))</f>
        <v/>
      </c>
      <c r="W1664" s="84" t="str">
        <f>IF(AND('341-CT'!$H$9=H1664,OR(LEFT(N1664,3)=$W$7,LEFT(O1664,3)=$W$7)),"x","")</f>
        <v/>
      </c>
      <c r="X1664" s="84" t="str">
        <f>IF(OR(TH!N1664=TH!$X$7,O1664=TH!$X$7),"x","")</f>
        <v>x</v>
      </c>
      <c r="Y1664" s="84" t="str">
        <f>IF(AND(OR(N1664="131",O1664="131"),H1664='131-CT'!$H$9),"x","")</f>
        <v/>
      </c>
      <c r="Z1664" s="84"/>
      <c r="AA1664" s="84" t="str">
        <f>IF(AND(MONTH(E1664)='IN-NX'!$J$5,'IN-NX'!$D$7=D1664),"x","")</f>
        <v/>
      </c>
      <c r="AB1664" s="84" t="str">
        <f>IF(AND(OR(LEFT(TH!N1664,2)="15",LEFT(TH!O1664,2)="15"),LEFT(TH!O1664,3)&lt;&gt;"111",'152-CT'!$J$8=TH!F1664),"x","")</f>
        <v/>
      </c>
      <c r="AC1664" s="84" t="str">
        <f>IF(AND(OR(LEFT(TH!N1664,2)="15",LEFT(TH!O1664,2)="15"),TK!$E$7=TH!F1664),"x","")</f>
        <v/>
      </c>
      <c r="AD1664" s="84" t="str">
        <f>IF(AND(N1664="1521",MONTH(C1664)='BK-NL'!$M$11),"x","")</f>
        <v/>
      </c>
    </row>
    <row r="1665" spans="1:32" ht="15.75" hidden="1" customHeight="1">
      <c r="A1665" s="336" t="str">
        <f>IF(B1665&lt;&gt;"",IF(AND(B1665='IN-TC'!$S$4,OR(TH!N1665="1111",TH!O1665="1111")),TH!D1665,""),"")</f>
        <v/>
      </c>
      <c r="B1665" s="1129">
        <f t="shared" ref="B1665:B1703" si="231">IF(C1665&lt;&gt;"",MONTH(C1665),"")</f>
        <v>6</v>
      </c>
      <c r="C1665" s="975">
        <v>42543</v>
      </c>
      <c r="D1665" s="64" t="s">
        <v>702</v>
      </c>
      <c r="E1665" s="975">
        <f t="shared" ref="E1665:E1703" si="232">C1665</f>
        <v>42543</v>
      </c>
      <c r="F1665" s="971" t="s">
        <v>1886</v>
      </c>
      <c r="G1665" s="1169" t="s">
        <v>1663</v>
      </c>
      <c r="H1665" s="971"/>
      <c r="I1665" s="972"/>
      <c r="J1665" s="972"/>
      <c r="K1665" s="973">
        <v>781969.73</v>
      </c>
      <c r="L1665" s="972">
        <v>22308</v>
      </c>
      <c r="M1665" s="1130">
        <f>ROUND(K1665*L1665,0)</f>
        <v>17444180737</v>
      </c>
      <c r="N1665" s="1131" t="s">
        <v>266</v>
      </c>
      <c r="O1665" s="1131" t="s">
        <v>266</v>
      </c>
      <c r="P1665" s="84" t="str">
        <f>IF(AND('331-CT'!$E$7=TH!H1665,OR(N1665="331",O1665="331")),"x","")</f>
        <v/>
      </c>
      <c r="Q1665" s="84" t="str">
        <f>IF(AND(B1665='111'!$L$11,OR($N1665=$Q$7,$O1665=$Q$7)),"x","")</f>
        <v/>
      </c>
      <c r="R1665" s="84" t="str">
        <f>IF(AND($N1665=$Q$7,$B1665&lt;'111'!$L$11),"x","")</f>
        <v/>
      </c>
      <c r="S1665" s="84" t="str">
        <f>IF(AND($O1665=$Q$7,$B1665&lt;'111'!$L$11),"x","")</f>
        <v/>
      </c>
      <c r="T1665" s="84" t="str">
        <f>IF(ISERROR(FIND('112'!$M$9,G1665,1)),"",IF((AND(FIND('112'!$M$9,G1665,1)&gt;=1,B1665='112'!$K$9,OR($N1665='112'!$I$6,$O1665='112'!$I$6))),"x",""))</f>
        <v/>
      </c>
      <c r="U1665" s="84" t="str">
        <f>IF(ISERROR(FIND('112'!$M$9,G1665,1)),"",IF((AND(LEFT(G1665,2)=LEFT('112'!$M$9,2),B1665&lt;'112'!$K$9,$N1665='112'!$I$6)),"x",""))</f>
        <v/>
      </c>
      <c r="V1665" s="84" t="str">
        <f>IF(ISERROR(FIND('112'!$M$9,G1665,1)),"",IF((AND(RIGHT(G1665,2)=RIGHT('112'!$M$9,2),B1665&lt;'112'!$K$9,$O1665='112'!$I$6)),"x",""))</f>
        <v/>
      </c>
      <c r="W1665" s="84" t="str">
        <f>IF(AND('341-CT'!$H$9=H1665,OR(LEFT(N1665,3)=$W$7,LEFT(O1665,3)=$W$7)),"x","")</f>
        <v/>
      </c>
      <c r="X1665" s="84" t="str">
        <f>IF(OR(TH!N1665=TH!$X$7,O1665=TH!$X$7),"x","")</f>
        <v/>
      </c>
      <c r="Y1665" s="84" t="str">
        <f>IF(AND(OR(N1665="131",O1665="131"),H1665='131-CT'!$H$9),"x","")</f>
        <v/>
      </c>
      <c r="Z1665" s="84"/>
      <c r="AA1665" s="84" t="str">
        <f>IF(AND(MONTH(E1665)='IN-NX'!$J$5,'IN-NX'!$D$7=D1665),"x","")</f>
        <v/>
      </c>
      <c r="AB1665" s="84" t="str">
        <f>IF(AND(OR(LEFT(TH!N1665,2)="15",LEFT(TH!O1665,2)="15"),LEFT(TH!O1665,3)&lt;&gt;"111",'152-CT'!$J$8=TH!F1665),"x","")</f>
        <v/>
      </c>
      <c r="AC1665" s="84" t="str">
        <f>IF(AND(OR(LEFT(TH!N1665,2)="15",LEFT(TH!O1665,2)="15"),TK!$E$7=TH!F1665),"x","")</f>
        <v/>
      </c>
      <c r="AD1665" s="84" t="str">
        <f>IF(AND(N1665="1521",MONTH(C1665)='BK-NL'!$M$11),"x","")</f>
        <v/>
      </c>
      <c r="AE1665" s="1132"/>
      <c r="AF1665" s="1132"/>
    </row>
    <row r="1666" spans="1:32" ht="15.75" hidden="1" customHeight="1">
      <c r="A1666" s="336" t="str">
        <f>IF(B1666&lt;&gt;"",IF(AND(B1666='IN-TC'!$S$4,OR(TH!N1683="1111",TH!O1683="1111")),TH!D1683,""),"")</f>
        <v/>
      </c>
      <c r="B1666" s="1003">
        <f t="shared" si="231"/>
        <v>6</v>
      </c>
      <c r="C1666" s="80">
        <v>42543</v>
      </c>
      <c r="D1666" s="64" t="s">
        <v>705</v>
      </c>
      <c r="E1666" s="80">
        <f t="shared" si="232"/>
        <v>42543</v>
      </c>
      <c r="F1666" s="81" t="s">
        <v>1883</v>
      </c>
      <c r="G1666" s="81" t="s">
        <v>919</v>
      </c>
      <c r="H1666" s="82" t="s">
        <v>720</v>
      </c>
      <c r="I1666" s="437"/>
      <c r="J1666" s="437"/>
      <c r="K1666" s="428">
        <v>13915</v>
      </c>
      <c r="L1666" s="437">
        <v>22308</v>
      </c>
      <c r="M1666" s="83">
        <f>ROUND(K1666*L1666,0)</f>
        <v>310415820</v>
      </c>
      <c r="N1666" s="84" t="s">
        <v>87</v>
      </c>
      <c r="O1666" s="84" t="s">
        <v>266</v>
      </c>
      <c r="P1666" s="84" t="str">
        <f>IF(AND('331-CT'!$E$7=TH!H1683,OR(N1666="331",O1666="331")),"x","")</f>
        <v/>
      </c>
      <c r="Q1666" s="84" t="str">
        <f>IF(AND(B1666='111'!$L$11,OR($N1666=$Q$7,$O1666=$Q$7)),"x","")</f>
        <v/>
      </c>
      <c r="R1666" s="84" t="str">
        <f>IF(AND($N1666=$Q$7,$B1666&lt;'111'!$L$11),"x","")</f>
        <v/>
      </c>
      <c r="S1666" s="84" t="str">
        <f>IF(AND($O1666=$Q$7,$B1666&lt;'111'!$L$11),"x","")</f>
        <v/>
      </c>
      <c r="T1666" s="84" t="str">
        <f>IF(ISERROR(FIND('112'!$M$9,G1666,1)),"",IF((AND(FIND('112'!$M$9,G1666,1)&gt;=1,B1666='112'!$K$9,OR($N1666='112'!$I$6,$O1666='112'!$I$6))),"x",""))</f>
        <v/>
      </c>
      <c r="U1666" s="84" t="str">
        <f>IF(ISERROR(FIND('112'!$M$9,G1666,1)),"",IF((AND(LEFT(G1666,2)=LEFT('112'!$M$9,2),B1666&lt;'112'!$K$9,$N1666='112'!$I$6)),"x",""))</f>
        <v/>
      </c>
      <c r="V1666" s="84" t="str">
        <f>IF(ISERROR(FIND('112'!$M$9,G1666,1)),"",IF((AND(RIGHT(G1666,2)=RIGHT('112'!$M$9,2),B1666&lt;'112'!$K$9,$O1666='112'!$I$6)),"x",""))</f>
        <v/>
      </c>
      <c r="W1666" s="84" t="str">
        <f>IF(AND('341-CT'!$H$9=H1666,OR(LEFT(N1666,3)=$W$7,LEFT(O1666,3)=$W$7)),"x","")</f>
        <v/>
      </c>
      <c r="X1666" s="84" t="str">
        <f>IF(OR(TH!N1683=TH!$X$7,O1666=TH!$X$7),"x","")</f>
        <v/>
      </c>
      <c r="Y1666" s="84" t="str">
        <f>IF(AND(OR(N1666="131",O1666="131"),H1666='131-CT'!$H$9),"x","")</f>
        <v/>
      </c>
      <c r="Z1666" s="84"/>
      <c r="AA1666" s="84" t="str">
        <f>IF(AND(MONTH(E1666)='IN-NX'!$J$5,'IN-NX'!$D$7=D1666),"x","")</f>
        <v/>
      </c>
      <c r="AB1666" s="84" t="str">
        <f>IF(AND(OR(LEFT(TH!N1683,2)="15",LEFT(TH!O1683,2)="15"),LEFT(TH!O1683,3)&lt;&gt;"111",'152-CT'!$J$8=TH!F1683),"x","")</f>
        <v/>
      </c>
      <c r="AC1666" s="84" t="str">
        <f>IF(AND(OR(LEFT(TH!N1683,2)="15",LEFT(TH!O1683,2)="15"),TK!$E$7=TH!F1683),"x","")</f>
        <v/>
      </c>
      <c r="AD1666" s="84" t="str">
        <f>IF(AND(N1666="1521",MONTH(C1666)='BK-NL'!$M$11),"x","")</f>
        <v/>
      </c>
      <c r="AE1666" s="347"/>
      <c r="AF1666" s="347"/>
    </row>
    <row r="1667" spans="1:32" ht="15.75" hidden="1" customHeight="1">
      <c r="A1667" s="336" t="str">
        <f>IF(B1667&lt;&gt;"",IF(AND(B1667='IN-TC'!$S$4,OR(TH!N1693="1111",TH!O1693="1111")),TH!D1693,""),"")</f>
        <v/>
      </c>
      <c r="B1667" s="1003">
        <f t="shared" si="231"/>
        <v>6</v>
      </c>
      <c r="C1667" s="80">
        <v>42543</v>
      </c>
      <c r="D1667" s="80" t="s">
        <v>582</v>
      </c>
      <c r="E1667" s="80">
        <f t="shared" si="232"/>
        <v>42543</v>
      </c>
      <c r="F1667" s="81" t="s">
        <v>1068</v>
      </c>
      <c r="G1667" s="81"/>
      <c r="H1667" s="82" t="s">
        <v>720</v>
      </c>
      <c r="I1667" s="437"/>
      <c r="J1667" s="437"/>
      <c r="K1667" s="428"/>
      <c r="L1667" s="437"/>
      <c r="M1667" s="83">
        <v>2462955</v>
      </c>
      <c r="N1667" s="84" t="s">
        <v>87</v>
      </c>
      <c r="O1667" s="66" t="s">
        <v>43</v>
      </c>
      <c r="P1667" s="84" t="str">
        <f>IF(AND('331-CT'!$E$7=TH!H1693,OR(N1667="331",O1667="331")),"x","")</f>
        <v/>
      </c>
      <c r="Q1667" s="84" t="str">
        <f>IF(AND(B1667='111'!$L$11,OR($N1667=$Q$7,$O1667=$Q$7)),"x","")</f>
        <v/>
      </c>
      <c r="R1667" s="84" t="str">
        <f>IF(AND($N1667=$Q$7,$B1667&lt;'111'!$L$11),"x","")</f>
        <v/>
      </c>
      <c r="S1667" s="84" t="str">
        <f>IF(AND($O1667=$Q$7,$B1667&lt;'111'!$L$11),"x","")</f>
        <v/>
      </c>
      <c r="T1667" s="84" t="str">
        <f>IF(ISERROR(FIND('112'!$M$9,G1667,1)),"",IF((AND(FIND('112'!$M$9,G1667,1)&gt;=1,B1667='112'!$K$9,OR($N1667='112'!$I$6,$O1667='112'!$I$6))),"x",""))</f>
        <v/>
      </c>
      <c r="U1667" s="84" t="str">
        <f>IF(ISERROR(FIND('112'!$M$9,G1667,1)),"",IF((AND(LEFT(G1667,2)=LEFT('112'!$M$9,2),B1667&lt;'112'!$K$9,$N1667='112'!$I$6)),"x",""))</f>
        <v/>
      </c>
      <c r="V1667" s="84" t="str">
        <f>IF(ISERROR(FIND('112'!$M$9,G1667,1)),"",IF((AND(RIGHT(G1667,2)=RIGHT('112'!$M$9,2),B1667&lt;'112'!$K$9,$O1667='112'!$I$6)),"x",""))</f>
        <v/>
      </c>
      <c r="W1667" s="84" t="str">
        <f>IF(AND('341-CT'!$H$9=H1667,OR(LEFT(N1667,3)=$W$7,LEFT(O1667,3)=$W$7)),"x","")</f>
        <v/>
      </c>
      <c r="X1667" s="84" t="str">
        <f>IF(OR(TH!N1693=TH!$X$7,O1667=TH!$X$7),"x","")</f>
        <v/>
      </c>
      <c r="Y1667" s="84" t="str">
        <f>IF(AND(OR(N1667="131",O1667="131"),H1667='131-CT'!$H$9),"x","")</f>
        <v/>
      </c>
      <c r="Z1667" s="84"/>
      <c r="AA1667" s="84" t="str">
        <f>IF(AND(MONTH(E1667)='IN-NX'!$J$5,'IN-NX'!$D$7=D1667),"x","")</f>
        <v/>
      </c>
      <c r="AB1667" s="84" t="str">
        <f>IF(AND(OR(LEFT(TH!N1693,2)="15",LEFT(TH!O1693,2)="15"),LEFT(TH!O1693,3)&lt;&gt;"111",'152-CT'!$J$8=TH!F1693),"x","")</f>
        <v/>
      </c>
      <c r="AC1667" s="84" t="str">
        <f>IF(AND(OR(LEFT(TH!N1693,2)="15",LEFT(TH!O1693,2)="15"),TK!$E$7=TH!F1693),"x","")</f>
        <v/>
      </c>
      <c r="AD1667" s="84" t="str">
        <f>IF(AND(N1667="1521",MONTH(C1667)='BK-NL'!$M$11),"x","")</f>
        <v/>
      </c>
      <c r="AE1667" s="347"/>
      <c r="AF1667" s="347"/>
    </row>
    <row r="1668" spans="1:32" ht="15.75" hidden="1" customHeight="1">
      <c r="A1668" s="336" t="str">
        <f>IF(B1668&lt;&gt;"",IF(AND(B1668='IN-TC'!$S$4,OR(TH!N1666="1111",TH!O1666="1111")),TH!D1666,""),"")</f>
        <v/>
      </c>
      <c r="B1668" s="63">
        <f t="shared" si="231"/>
        <v>6</v>
      </c>
      <c r="C1668" s="64">
        <v>42543</v>
      </c>
      <c r="D1668" s="64" t="s">
        <v>705</v>
      </c>
      <c r="E1668" s="64">
        <f t="shared" si="232"/>
        <v>42543</v>
      </c>
      <c r="F1668" s="73" t="s">
        <v>1048</v>
      </c>
      <c r="G1668" s="67" t="s">
        <v>919</v>
      </c>
      <c r="H1668" s="82" t="s">
        <v>720</v>
      </c>
      <c r="I1668" s="439"/>
      <c r="J1668" s="439"/>
      <c r="K1668" s="430"/>
      <c r="L1668" s="439"/>
      <c r="M1668" s="65">
        <v>621444</v>
      </c>
      <c r="N1668" s="66" t="s">
        <v>99</v>
      </c>
      <c r="O1668" s="66" t="s">
        <v>26</v>
      </c>
      <c r="P1668" s="84" t="str">
        <f>IF(AND('331-CT'!$E$7=TH!H1666,OR(N1668="331",O1668="331")),"x","")</f>
        <v/>
      </c>
      <c r="Q1668" s="84" t="str">
        <f>IF(AND(B1668='111'!$L$11,OR($N1668=$Q$7,$O1668=$Q$7)),"x","")</f>
        <v/>
      </c>
      <c r="R1668" s="84" t="str">
        <f>IF(AND($N1668=$Q$7,$B1668&lt;'111'!$L$11),"x","")</f>
        <v/>
      </c>
      <c r="S1668" s="84" t="str">
        <f>IF(AND($O1668=$Q$7,$B1668&lt;'111'!$L$11),"x","")</f>
        <v/>
      </c>
      <c r="T1668" s="84" t="str">
        <f>IF(ISERROR(FIND('112'!$M$9,G1668,1)),"",IF((AND(FIND('112'!$M$9,G1668,1)&gt;=1,B1668='112'!$K$9,OR($N1668='112'!$I$6,$O1668='112'!$I$6))),"x",""))</f>
        <v>x</v>
      </c>
      <c r="U1668" s="84" t="str">
        <f>IF(ISERROR(FIND('112'!$M$9,G1668,1)),"",IF((AND(LEFT(G1668,2)=LEFT('112'!$M$9,2),B1668&lt;'112'!$K$9,$N1668='112'!$I$6)),"x",""))</f>
        <v/>
      </c>
      <c r="V1668" s="84" t="str">
        <f>IF(ISERROR(FIND('112'!$M$9,G1668,1)),"",IF((AND(RIGHT(G1668,2)=RIGHT('112'!$M$9,2),B1668&lt;'112'!$K$9,$O1668='112'!$I$6)),"x",""))</f>
        <v/>
      </c>
      <c r="W1668" s="84" t="str">
        <f>IF(AND('341-CT'!$H$9=H1668,OR(LEFT(N1668,3)=$W$7,LEFT(O1668,3)=$W$7)),"x","")</f>
        <v/>
      </c>
      <c r="X1668" s="84" t="str">
        <f>IF(OR(TH!N1666=TH!$X$7,O1668=TH!$X$7),"x","")</f>
        <v/>
      </c>
      <c r="Y1668" s="84" t="str">
        <f>IF(AND(OR(N1668="131",O1668="131"),H1668='131-CT'!$H$9),"x","")</f>
        <v/>
      </c>
      <c r="Z1668" s="84"/>
      <c r="AA1668" s="84" t="str">
        <f>IF(AND(MONTH(E1668)='IN-NX'!$J$5,'IN-NX'!$D$7=D1668),"x","")</f>
        <v/>
      </c>
      <c r="AB1668" s="84" t="str">
        <f>IF(AND(OR(LEFT(TH!N1666,2)="15",LEFT(TH!O1666,2)="15"),LEFT(TH!O1666,3)&lt;&gt;"111",'152-CT'!$J$8=TH!F1666),"x","")</f>
        <v/>
      </c>
      <c r="AC1668" s="84" t="str">
        <f>IF(AND(OR(LEFT(TH!N1666,2)="15",LEFT(TH!O1666,2)="15"),TK!$E$7=TH!F1666),"x","")</f>
        <v/>
      </c>
      <c r="AD1668" s="84" t="str">
        <f>IF(AND(N1668="1521",MONTH(C1668)='BK-NL'!$M$11),"x","")</f>
        <v/>
      </c>
    </row>
    <row r="1669" spans="1:32" ht="15.75" hidden="1" customHeight="1">
      <c r="A1669" s="336" t="str">
        <f>IF(B1669&lt;&gt;"",IF(AND(B1669='IN-TC'!$S$4,OR(TH!N1684="1111",TH!O1684="1111")),TH!D1684,""),"")</f>
        <v/>
      </c>
      <c r="B1669" s="1003">
        <f t="shared" si="231"/>
        <v>6</v>
      </c>
      <c r="C1669" s="80">
        <v>42543</v>
      </c>
      <c r="D1669" s="64" t="s">
        <v>705</v>
      </c>
      <c r="E1669" s="80">
        <f t="shared" si="232"/>
        <v>42543</v>
      </c>
      <c r="F1669" s="81" t="s">
        <v>1883</v>
      </c>
      <c r="G1669" s="81" t="s">
        <v>919</v>
      </c>
      <c r="H1669" s="82" t="s">
        <v>713</v>
      </c>
      <c r="I1669" s="437"/>
      <c r="J1669" s="437"/>
      <c r="K1669" s="428">
        <v>33319.39</v>
      </c>
      <c r="L1669" s="437">
        <v>22308</v>
      </c>
      <c r="M1669" s="83">
        <f>ROUND(K1669*L1669,0)</f>
        <v>743288952</v>
      </c>
      <c r="N1669" s="84" t="s">
        <v>87</v>
      </c>
      <c r="O1669" s="84" t="s">
        <v>266</v>
      </c>
      <c r="P1669" s="84" t="str">
        <f>IF(AND('331-CT'!$E$7=TH!H1684,OR(N1669="331",O1669="331")),"x","")</f>
        <v/>
      </c>
      <c r="Q1669" s="84" t="str">
        <f>IF(AND(B1669='111'!$L$11,OR($N1669=$Q$7,$O1669=$Q$7)),"x","")</f>
        <v/>
      </c>
      <c r="R1669" s="84" t="str">
        <f>IF(AND($N1669=$Q$7,$B1669&lt;'111'!$L$11),"x","")</f>
        <v/>
      </c>
      <c r="S1669" s="84" t="str">
        <f>IF(AND($O1669=$Q$7,$B1669&lt;'111'!$L$11),"x","")</f>
        <v/>
      </c>
      <c r="T1669" s="84" t="str">
        <f>IF(ISERROR(FIND('112'!$M$9,G1669,1)),"",IF((AND(FIND('112'!$M$9,G1669,1)&gt;=1,B1669='112'!$K$9,OR($N1669='112'!$I$6,$O1669='112'!$I$6))),"x",""))</f>
        <v/>
      </c>
      <c r="U1669" s="84" t="str">
        <f>IF(ISERROR(FIND('112'!$M$9,G1669,1)),"",IF((AND(LEFT(G1669,2)=LEFT('112'!$M$9,2),B1669&lt;'112'!$K$9,$N1669='112'!$I$6)),"x",""))</f>
        <v/>
      </c>
      <c r="V1669" s="84" t="str">
        <f>IF(ISERROR(FIND('112'!$M$9,G1669,1)),"",IF((AND(RIGHT(G1669,2)=RIGHT('112'!$M$9,2),B1669&lt;'112'!$K$9,$O1669='112'!$I$6)),"x",""))</f>
        <v/>
      </c>
      <c r="W1669" s="84" t="str">
        <f>IF(AND('341-CT'!$H$9=H1669,OR(LEFT(N1669,3)=$W$7,LEFT(O1669,3)=$W$7)),"x","")</f>
        <v/>
      </c>
      <c r="X1669" s="84" t="str">
        <f>IF(OR(TH!N1684=TH!$X$7,O1669=TH!$X$7),"x","")</f>
        <v/>
      </c>
      <c r="Y1669" s="84" t="str">
        <f>IF(AND(OR(N1669="131",O1669="131"),H1669='131-CT'!$H$9),"x","")</f>
        <v/>
      </c>
      <c r="Z1669" s="84"/>
      <c r="AA1669" s="84" t="str">
        <f>IF(AND(MONTH(E1669)='IN-NX'!$J$5,'IN-NX'!$D$7=D1669),"x","")</f>
        <v/>
      </c>
      <c r="AB1669" s="84" t="str">
        <f>IF(AND(OR(LEFT(TH!N1684,2)="15",LEFT(TH!O1684,2)="15"),LEFT(TH!O1684,3)&lt;&gt;"111",'152-CT'!$J$8=TH!F1684),"x","")</f>
        <v/>
      </c>
      <c r="AC1669" s="84" t="str">
        <f>IF(AND(OR(LEFT(TH!N1684,2)="15",LEFT(TH!O1684,2)="15"),TK!$E$7=TH!F1684),"x","")</f>
        <v/>
      </c>
      <c r="AD1669" s="84" t="str">
        <f>IF(AND(N1669="1521",MONTH(C1669)='BK-NL'!$M$11),"x","")</f>
        <v/>
      </c>
      <c r="AE1669" s="347"/>
      <c r="AF1669" s="347"/>
    </row>
    <row r="1670" spans="1:32" ht="15.75" hidden="1" customHeight="1">
      <c r="A1670" s="336" t="str">
        <f>IF(B1670&lt;&gt;"",IF(AND(B1670='IN-TC'!$S$4,OR(TH!N1694="1111",TH!O1694="1111")),TH!D1694,""),"")</f>
        <v/>
      </c>
      <c r="B1670" s="1003">
        <f t="shared" si="231"/>
        <v>6</v>
      </c>
      <c r="C1670" s="80">
        <v>42543</v>
      </c>
      <c r="D1670" s="80" t="s">
        <v>582</v>
      </c>
      <c r="E1670" s="80">
        <f t="shared" si="232"/>
        <v>42543</v>
      </c>
      <c r="F1670" s="81" t="s">
        <v>1068</v>
      </c>
      <c r="G1670" s="81"/>
      <c r="H1670" s="82" t="s">
        <v>713</v>
      </c>
      <c r="I1670" s="437"/>
      <c r="J1670" s="437"/>
      <c r="K1670" s="428"/>
      <c r="L1670" s="437"/>
      <c r="M1670" s="83">
        <v>5897532</v>
      </c>
      <c r="N1670" s="84" t="s">
        <v>87</v>
      </c>
      <c r="O1670" s="66" t="s">
        <v>43</v>
      </c>
      <c r="P1670" s="84" t="str">
        <f>IF(AND('331-CT'!$E$7=TH!H1694,OR(N1670="331",O1670="331")),"x","")</f>
        <v/>
      </c>
      <c r="Q1670" s="84" t="str">
        <f>IF(AND(B1670='111'!$L$11,OR($N1670=$Q$7,$O1670=$Q$7)),"x","")</f>
        <v/>
      </c>
      <c r="R1670" s="84" t="str">
        <f>IF(AND($N1670=$Q$7,$B1670&lt;'111'!$L$11),"x","")</f>
        <v/>
      </c>
      <c r="S1670" s="84" t="str">
        <f>IF(AND($O1670=$Q$7,$B1670&lt;'111'!$L$11),"x","")</f>
        <v/>
      </c>
      <c r="T1670" s="84" t="str">
        <f>IF(ISERROR(FIND('112'!$M$9,G1670,1)),"",IF((AND(FIND('112'!$M$9,G1670,1)&gt;=1,B1670='112'!$K$9,OR($N1670='112'!$I$6,$O1670='112'!$I$6))),"x",""))</f>
        <v/>
      </c>
      <c r="U1670" s="84" t="str">
        <f>IF(ISERROR(FIND('112'!$M$9,G1670,1)),"",IF((AND(LEFT(G1670,2)=LEFT('112'!$M$9,2),B1670&lt;'112'!$K$9,$N1670='112'!$I$6)),"x",""))</f>
        <v/>
      </c>
      <c r="V1670" s="84" t="str">
        <f>IF(ISERROR(FIND('112'!$M$9,G1670,1)),"",IF((AND(RIGHT(G1670,2)=RIGHT('112'!$M$9,2),B1670&lt;'112'!$K$9,$O1670='112'!$I$6)),"x",""))</f>
        <v/>
      </c>
      <c r="W1670" s="84" t="str">
        <f>IF(AND('341-CT'!$H$9=H1670,OR(LEFT(N1670,3)=$W$7,LEFT(O1670,3)=$W$7)),"x","")</f>
        <v/>
      </c>
      <c r="X1670" s="84" t="str">
        <f>IF(OR(TH!N1694=TH!$X$7,O1670=TH!$X$7),"x","")</f>
        <v/>
      </c>
      <c r="Y1670" s="84" t="str">
        <f>IF(AND(OR(N1670="131",O1670="131"),H1670='131-CT'!$H$9),"x","")</f>
        <v/>
      </c>
      <c r="Z1670" s="84"/>
      <c r="AA1670" s="84" t="str">
        <f>IF(AND(MONTH(E1670)='IN-NX'!$J$5,'IN-NX'!$D$7=D1670),"x","")</f>
        <v/>
      </c>
      <c r="AB1670" s="84" t="str">
        <f>IF(AND(OR(LEFT(TH!N1694,2)="15",LEFT(TH!O1694,2)="15"),LEFT(TH!O1694,3)&lt;&gt;"111",'152-CT'!$J$8=TH!F1694),"x","")</f>
        <v/>
      </c>
      <c r="AC1670" s="84" t="str">
        <f>IF(AND(OR(LEFT(TH!N1694,2)="15",LEFT(TH!O1694,2)="15"),TK!$E$7=TH!F1694),"x","")</f>
        <v/>
      </c>
      <c r="AD1670" s="84" t="str">
        <f>IF(AND(N1670="1521",MONTH(C1670)='BK-NL'!$M$11),"x","")</f>
        <v/>
      </c>
      <c r="AE1670" s="347"/>
      <c r="AF1670" s="347"/>
    </row>
    <row r="1671" spans="1:32" ht="15.75" hidden="1" customHeight="1">
      <c r="A1671" s="336" t="str">
        <f>IF(B1671&lt;&gt;"",IF(AND(B1671='IN-TC'!$S$4,OR(TH!N1667="1111",TH!O1667="1111")),TH!D1667,""),"")</f>
        <v/>
      </c>
      <c r="B1671" s="63">
        <f t="shared" si="231"/>
        <v>6</v>
      </c>
      <c r="C1671" s="64">
        <v>42543</v>
      </c>
      <c r="D1671" s="64" t="s">
        <v>705</v>
      </c>
      <c r="E1671" s="64">
        <f t="shared" si="232"/>
        <v>42543</v>
      </c>
      <c r="F1671" s="73" t="s">
        <v>1049</v>
      </c>
      <c r="G1671" s="67" t="s">
        <v>919</v>
      </c>
      <c r="H1671" s="82" t="s">
        <v>713</v>
      </c>
      <c r="I1671" s="439"/>
      <c r="J1671" s="439"/>
      <c r="K1671" s="430"/>
      <c r="L1671" s="439"/>
      <c r="M1671" s="65">
        <v>1488071</v>
      </c>
      <c r="N1671" s="66" t="s">
        <v>99</v>
      </c>
      <c r="O1671" s="66" t="s">
        <v>26</v>
      </c>
      <c r="P1671" s="84" t="str">
        <f>IF(AND('331-CT'!$E$7=TH!H1667,OR(N1671="331",O1671="331")),"x","")</f>
        <v/>
      </c>
      <c r="Q1671" s="84" t="str">
        <f>IF(AND(B1671='111'!$L$11,OR($N1671=$Q$7,$O1671=$Q$7)),"x","")</f>
        <v/>
      </c>
      <c r="R1671" s="84" t="str">
        <f>IF(AND($N1671=$Q$7,$B1671&lt;'111'!$L$11),"x","")</f>
        <v/>
      </c>
      <c r="S1671" s="84" t="str">
        <f>IF(AND($O1671=$Q$7,$B1671&lt;'111'!$L$11),"x","")</f>
        <v/>
      </c>
      <c r="T1671" s="84" t="str">
        <f>IF(ISERROR(FIND('112'!$M$9,G1671,1)),"",IF((AND(FIND('112'!$M$9,G1671,1)&gt;=1,B1671='112'!$K$9,OR($N1671='112'!$I$6,$O1671='112'!$I$6))),"x",""))</f>
        <v>x</v>
      </c>
      <c r="U1671" s="84" t="str">
        <f>IF(ISERROR(FIND('112'!$M$9,G1671,1)),"",IF((AND(LEFT(G1671,2)=LEFT('112'!$M$9,2),B1671&lt;'112'!$K$9,$N1671='112'!$I$6)),"x",""))</f>
        <v/>
      </c>
      <c r="V1671" s="84" t="str">
        <f>IF(ISERROR(FIND('112'!$M$9,G1671,1)),"",IF((AND(RIGHT(G1671,2)=RIGHT('112'!$M$9,2),B1671&lt;'112'!$K$9,$O1671='112'!$I$6)),"x",""))</f>
        <v/>
      </c>
      <c r="W1671" s="84" t="str">
        <f>IF(AND('341-CT'!$H$9=H1671,OR(LEFT(N1671,3)=$W$7,LEFT(O1671,3)=$W$7)),"x","")</f>
        <v/>
      </c>
      <c r="X1671" s="84" t="str">
        <f>IF(OR(TH!N1667=TH!$X$7,O1671=TH!$X$7),"x","")</f>
        <v/>
      </c>
      <c r="Y1671" s="84" t="str">
        <f>IF(AND(OR(N1671="131",O1671="131"),H1671='131-CT'!$H$9),"x","")</f>
        <v/>
      </c>
      <c r="Z1671" s="84"/>
      <c r="AA1671" s="84" t="str">
        <f>IF(AND(MONTH(E1671)='IN-NX'!$J$5,'IN-NX'!$D$7=D1671),"x","")</f>
        <v/>
      </c>
      <c r="AB1671" s="84" t="str">
        <f>IF(AND(OR(LEFT(TH!N1667,2)="15",LEFT(TH!O1667,2)="15"),LEFT(TH!O1667,3)&lt;&gt;"111",'152-CT'!$J$8=TH!F1667),"x","")</f>
        <v/>
      </c>
      <c r="AC1671" s="84" t="str">
        <f>IF(AND(OR(LEFT(TH!N1667,2)="15",LEFT(TH!O1667,2)="15"),TK!$E$7=TH!F1667),"x","")</f>
        <v/>
      </c>
      <c r="AD1671" s="84" t="str">
        <f>IF(AND(N1671="1521",MONTH(C1671)='BK-NL'!$M$11),"x","")</f>
        <v/>
      </c>
    </row>
    <row r="1672" spans="1:32" ht="15.75" hidden="1" customHeight="1">
      <c r="A1672" s="336" t="str">
        <f>IF(B1672&lt;&gt;"",IF(AND(B1672='IN-TC'!$S$4,OR(TH!N1685="1111",TH!O1685="1111")),TH!D1685,""),"")</f>
        <v/>
      </c>
      <c r="B1672" s="1003">
        <f t="shared" si="231"/>
        <v>6</v>
      </c>
      <c r="C1672" s="80">
        <v>42543</v>
      </c>
      <c r="D1672" s="64" t="s">
        <v>705</v>
      </c>
      <c r="E1672" s="80">
        <f t="shared" si="232"/>
        <v>42543</v>
      </c>
      <c r="F1672" s="81" t="s">
        <v>1883</v>
      </c>
      <c r="G1672" s="81" t="s">
        <v>919</v>
      </c>
      <c r="H1672" s="82" t="s">
        <v>714</v>
      </c>
      <c r="I1672" s="437"/>
      <c r="J1672" s="437"/>
      <c r="K1672" s="428">
        <v>20515.96</v>
      </c>
      <c r="L1672" s="437">
        <v>22308</v>
      </c>
      <c r="M1672" s="83">
        <f>ROUND(K1672*L1672,0)</f>
        <v>457670036</v>
      </c>
      <c r="N1672" s="84" t="s">
        <v>87</v>
      </c>
      <c r="O1672" s="84" t="s">
        <v>266</v>
      </c>
      <c r="P1672" s="84" t="str">
        <f>IF(AND('331-CT'!$E$7=TH!H1685,OR(N1672="331",O1672="331")),"x","")</f>
        <v/>
      </c>
      <c r="Q1672" s="84" t="str">
        <f>IF(AND(B1672='111'!$L$11,OR($N1672=$Q$7,$O1672=$Q$7)),"x","")</f>
        <v/>
      </c>
      <c r="R1672" s="84" t="str">
        <f>IF(AND($N1672=$Q$7,$B1672&lt;'111'!$L$11),"x","")</f>
        <v/>
      </c>
      <c r="S1672" s="84" t="str">
        <f>IF(AND($O1672=$Q$7,$B1672&lt;'111'!$L$11),"x","")</f>
        <v/>
      </c>
      <c r="T1672" s="84" t="str">
        <f>IF(ISERROR(FIND('112'!$M$9,G1672,1)),"",IF((AND(FIND('112'!$M$9,G1672,1)&gt;=1,B1672='112'!$K$9,OR($N1672='112'!$I$6,$O1672='112'!$I$6))),"x",""))</f>
        <v/>
      </c>
      <c r="U1672" s="84" t="str">
        <f>IF(ISERROR(FIND('112'!$M$9,G1672,1)),"",IF((AND(LEFT(G1672,2)=LEFT('112'!$M$9,2),B1672&lt;'112'!$K$9,$N1672='112'!$I$6)),"x",""))</f>
        <v/>
      </c>
      <c r="V1672" s="84" t="str">
        <f>IF(ISERROR(FIND('112'!$M$9,G1672,1)),"",IF((AND(RIGHT(G1672,2)=RIGHT('112'!$M$9,2),B1672&lt;'112'!$K$9,$O1672='112'!$I$6)),"x",""))</f>
        <v/>
      </c>
      <c r="W1672" s="84" t="str">
        <f>IF(AND('341-CT'!$H$9=H1672,OR(LEFT(N1672,3)=$W$7,LEFT(O1672,3)=$W$7)),"x","")</f>
        <v/>
      </c>
      <c r="X1672" s="84" t="str">
        <f>IF(OR(TH!N1685=TH!$X$7,O1672=TH!$X$7),"x","")</f>
        <v/>
      </c>
      <c r="Y1672" s="84" t="str">
        <f>IF(AND(OR(N1672="131",O1672="131"),H1672='131-CT'!$H$9),"x","")</f>
        <v/>
      </c>
      <c r="Z1672" s="84"/>
      <c r="AA1672" s="84" t="str">
        <f>IF(AND(MONTH(E1672)='IN-NX'!$J$5,'IN-NX'!$D$7=D1672),"x","")</f>
        <v/>
      </c>
      <c r="AB1672" s="84" t="str">
        <f>IF(AND(OR(LEFT(TH!N1685,2)="15",LEFT(TH!O1685,2)="15"),LEFT(TH!O1685,3)&lt;&gt;"111",'152-CT'!$J$8=TH!F1685),"x","")</f>
        <v/>
      </c>
      <c r="AC1672" s="84" t="str">
        <f>IF(AND(OR(LEFT(TH!N1685,2)="15",LEFT(TH!O1685,2)="15"),TK!$E$7=TH!F1685),"x","")</f>
        <v/>
      </c>
      <c r="AD1672" s="84" t="str">
        <f>IF(AND(N1672="1521",MONTH(C1672)='BK-NL'!$M$11),"x","")</f>
        <v/>
      </c>
      <c r="AE1672" s="347"/>
      <c r="AF1672" s="347"/>
    </row>
    <row r="1673" spans="1:32" ht="15.75" hidden="1" customHeight="1">
      <c r="A1673" s="336" t="str">
        <f>IF(B1673&lt;&gt;"",IF(AND(B1673='IN-TC'!$S$4,OR(TH!N1695="1111",TH!O1695="1111")),TH!D1695,""),"")</f>
        <v/>
      </c>
      <c r="B1673" s="1003">
        <f t="shared" si="231"/>
        <v>6</v>
      </c>
      <c r="C1673" s="80">
        <v>42543</v>
      </c>
      <c r="D1673" s="80" t="s">
        <v>582</v>
      </c>
      <c r="E1673" s="80">
        <f t="shared" si="232"/>
        <v>42543</v>
      </c>
      <c r="F1673" s="81" t="s">
        <v>1068</v>
      </c>
      <c r="G1673" s="81"/>
      <c r="H1673" s="82" t="s">
        <v>714</v>
      </c>
      <c r="I1673" s="437"/>
      <c r="J1673" s="437"/>
      <c r="K1673" s="428"/>
      <c r="L1673" s="437"/>
      <c r="M1673" s="83">
        <v>3631325</v>
      </c>
      <c r="N1673" s="84" t="s">
        <v>87</v>
      </c>
      <c r="O1673" s="66" t="s">
        <v>43</v>
      </c>
      <c r="P1673" s="84" t="str">
        <f>IF(AND('331-CT'!$E$7=TH!H1695,OR(N1673="331",O1673="331")),"x","")</f>
        <v/>
      </c>
      <c r="Q1673" s="84" t="str">
        <f>IF(AND(B1673='111'!$L$11,OR($N1673=$Q$7,$O1673=$Q$7)),"x","")</f>
        <v/>
      </c>
      <c r="R1673" s="84" t="str">
        <f>IF(AND($N1673=$Q$7,$B1673&lt;'111'!$L$11),"x","")</f>
        <v/>
      </c>
      <c r="S1673" s="84" t="str">
        <f>IF(AND($O1673=$Q$7,$B1673&lt;'111'!$L$11),"x","")</f>
        <v/>
      </c>
      <c r="T1673" s="84" t="str">
        <f>IF(ISERROR(FIND('112'!$M$9,G1673,1)),"",IF((AND(FIND('112'!$M$9,G1673,1)&gt;=1,B1673='112'!$K$9,OR($N1673='112'!$I$6,$O1673='112'!$I$6))),"x",""))</f>
        <v/>
      </c>
      <c r="U1673" s="84" t="str">
        <f>IF(ISERROR(FIND('112'!$M$9,G1673,1)),"",IF((AND(LEFT(G1673,2)=LEFT('112'!$M$9,2),B1673&lt;'112'!$K$9,$N1673='112'!$I$6)),"x",""))</f>
        <v/>
      </c>
      <c r="V1673" s="84" t="str">
        <f>IF(ISERROR(FIND('112'!$M$9,G1673,1)),"",IF((AND(RIGHT(G1673,2)=RIGHT('112'!$M$9,2),B1673&lt;'112'!$K$9,$O1673='112'!$I$6)),"x",""))</f>
        <v/>
      </c>
      <c r="W1673" s="84" t="str">
        <f>IF(AND('341-CT'!$H$9=H1673,OR(LEFT(N1673,3)=$W$7,LEFT(O1673,3)=$W$7)),"x","")</f>
        <v/>
      </c>
      <c r="X1673" s="84" t="str">
        <f>IF(OR(TH!N1695=TH!$X$7,O1673=TH!$X$7),"x","")</f>
        <v/>
      </c>
      <c r="Y1673" s="84" t="str">
        <f>IF(AND(OR(N1673="131",O1673="131"),H1673='131-CT'!$H$9),"x","")</f>
        <v/>
      </c>
      <c r="Z1673" s="84"/>
      <c r="AA1673" s="84" t="str">
        <f>IF(AND(MONTH(E1673)='IN-NX'!$J$5,'IN-NX'!$D$7=D1673),"x","")</f>
        <v/>
      </c>
      <c r="AB1673" s="84" t="str">
        <f>IF(AND(OR(LEFT(TH!N1695,2)="15",LEFT(TH!O1695,2)="15"),LEFT(TH!O1695,3)&lt;&gt;"111",'152-CT'!$J$8=TH!F1695),"x","")</f>
        <v/>
      </c>
      <c r="AC1673" s="84" t="str">
        <f>IF(AND(OR(LEFT(TH!N1695,2)="15",LEFT(TH!O1695,2)="15"),TK!$E$7=TH!F1695),"x","")</f>
        <v/>
      </c>
      <c r="AD1673" s="84" t="str">
        <f>IF(AND(N1673="1521",MONTH(C1673)='BK-NL'!$M$11),"x","")</f>
        <v/>
      </c>
      <c r="AE1673" s="347"/>
      <c r="AF1673" s="347"/>
    </row>
    <row r="1674" spans="1:32" ht="15.75" hidden="1" customHeight="1">
      <c r="A1674" s="336" t="str">
        <f>IF(B1674&lt;&gt;"",IF(AND(B1674='IN-TC'!$S$4,OR(TH!N1668="1111",TH!O1668="1111")),TH!D1668,""),"")</f>
        <v/>
      </c>
      <c r="B1674" s="63">
        <f t="shared" si="231"/>
        <v>6</v>
      </c>
      <c r="C1674" s="64">
        <v>42543</v>
      </c>
      <c r="D1674" s="64" t="s">
        <v>705</v>
      </c>
      <c r="E1674" s="64">
        <f t="shared" si="232"/>
        <v>42543</v>
      </c>
      <c r="F1674" s="73" t="s">
        <v>1050</v>
      </c>
      <c r="G1674" s="67" t="s">
        <v>919</v>
      </c>
      <c r="H1674" s="82" t="s">
        <v>714</v>
      </c>
      <c r="I1674" s="439"/>
      <c r="J1674" s="439"/>
      <c r="K1674" s="430"/>
      <c r="L1674" s="439"/>
      <c r="M1674" s="65">
        <v>916200</v>
      </c>
      <c r="N1674" s="66" t="s">
        <v>99</v>
      </c>
      <c r="O1674" s="66" t="s">
        <v>26</v>
      </c>
      <c r="P1674" s="84" t="str">
        <f>IF(AND('331-CT'!$E$7=TH!H1668,OR(N1674="331",O1674="331")),"x","")</f>
        <v/>
      </c>
      <c r="Q1674" s="84" t="str">
        <f>IF(AND(B1674='111'!$L$11,OR($N1674=$Q$7,$O1674=$Q$7)),"x","")</f>
        <v/>
      </c>
      <c r="R1674" s="84" t="str">
        <f>IF(AND($N1674=$Q$7,$B1674&lt;'111'!$L$11),"x","")</f>
        <v/>
      </c>
      <c r="S1674" s="84" t="str">
        <f>IF(AND($O1674=$Q$7,$B1674&lt;'111'!$L$11),"x","")</f>
        <v/>
      </c>
      <c r="T1674" s="84" t="str">
        <f>IF(ISERROR(FIND('112'!$M$9,G1674,1)),"",IF((AND(FIND('112'!$M$9,G1674,1)&gt;=1,B1674='112'!$K$9,OR($N1674='112'!$I$6,$O1674='112'!$I$6))),"x",""))</f>
        <v>x</v>
      </c>
      <c r="U1674" s="84" t="str">
        <f>IF(ISERROR(FIND('112'!$M$9,G1674,1)),"",IF((AND(LEFT(G1674,2)=LEFT('112'!$M$9,2),B1674&lt;'112'!$K$9,$N1674='112'!$I$6)),"x",""))</f>
        <v/>
      </c>
      <c r="V1674" s="84" t="str">
        <f>IF(ISERROR(FIND('112'!$M$9,G1674,1)),"",IF((AND(RIGHT(G1674,2)=RIGHT('112'!$M$9,2),B1674&lt;'112'!$K$9,$O1674='112'!$I$6)),"x",""))</f>
        <v/>
      </c>
      <c r="W1674" s="84" t="str">
        <f>IF(AND('341-CT'!$H$9=H1674,OR(LEFT(N1674,3)=$W$7,LEFT(O1674,3)=$W$7)),"x","")</f>
        <v/>
      </c>
      <c r="X1674" s="84" t="str">
        <f>IF(OR(TH!N1668=TH!$X$7,O1674=TH!$X$7),"x","")</f>
        <v/>
      </c>
      <c r="Y1674" s="84" t="str">
        <f>IF(AND(OR(N1674="131",O1674="131"),H1674='131-CT'!$H$9),"x","")</f>
        <v/>
      </c>
      <c r="Z1674" s="84"/>
      <c r="AA1674" s="84" t="str">
        <f>IF(AND(MONTH(E1674)='IN-NX'!$J$5,'IN-NX'!$D$7=D1674),"x","")</f>
        <v/>
      </c>
      <c r="AB1674" s="84" t="str">
        <f>IF(AND(OR(LEFT(TH!N1668,2)="15",LEFT(TH!O1668,2)="15"),LEFT(TH!O1668,3)&lt;&gt;"111",'152-CT'!$J$8=TH!F1668),"x","")</f>
        <v/>
      </c>
      <c r="AC1674" s="84" t="str">
        <f>IF(AND(OR(LEFT(TH!N1668,2)="15",LEFT(TH!O1668,2)="15"),TK!$E$7=TH!F1668),"x","")</f>
        <v/>
      </c>
      <c r="AD1674" s="84" t="str">
        <f>IF(AND(N1674="1521",MONTH(C1674)='BK-NL'!$M$11),"x","")</f>
        <v/>
      </c>
    </row>
    <row r="1675" spans="1:32" ht="15.75" hidden="1" customHeight="1">
      <c r="A1675" s="336" t="str">
        <f>IF(B1675&lt;&gt;"",IF(AND(B1675='IN-TC'!$S$4,OR(TH!N1686="1111",TH!O1686="1111")),TH!D1686,""),"")</f>
        <v/>
      </c>
      <c r="B1675" s="1003">
        <f t="shared" si="231"/>
        <v>6</v>
      </c>
      <c r="C1675" s="80">
        <v>42543</v>
      </c>
      <c r="D1675" s="64" t="s">
        <v>705</v>
      </c>
      <c r="E1675" s="80">
        <f t="shared" si="232"/>
        <v>42543</v>
      </c>
      <c r="F1675" s="81" t="s">
        <v>1883</v>
      </c>
      <c r="G1675" s="81" t="s">
        <v>919</v>
      </c>
      <c r="H1675" s="82" t="s">
        <v>721</v>
      </c>
      <c r="I1675" s="437"/>
      <c r="J1675" s="437"/>
      <c r="K1675" s="428">
        <v>28719.38</v>
      </c>
      <c r="L1675" s="437">
        <v>22308</v>
      </c>
      <c r="M1675" s="83">
        <f>ROUND(K1675*L1675,0)</f>
        <v>640671929</v>
      </c>
      <c r="N1675" s="84" t="s">
        <v>87</v>
      </c>
      <c r="O1675" s="84" t="s">
        <v>266</v>
      </c>
      <c r="P1675" s="84" t="str">
        <f>IF(AND('331-CT'!$E$7=TH!H1686,OR(N1675="331",O1675="331")),"x","")</f>
        <v/>
      </c>
      <c r="Q1675" s="84" t="str">
        <f>IF(AND(B1675='111'!$L$11,OR($N1675=$Q$7,$O1675=$Q$7)),"x","")</f>
        <v/>
      </c>
      <c r="R1675" s="84" t="str">
        <f>IF(AND($N1675=$Q$7,$B1675&lt;'111'!$L$11),"x","")</f>
        <v/>
      </c>
      <c r="S1675" s="84" t="str">
        <f>IF(AND($O1675=$Q$7,$B1675&lt;'111'!$L$11),"x","")</f>
        <v/>
      </c>
      <c r="T1675" s="84" t="str">
        <f>IF(ISERROR(FIND('112'!$M$9,G1675,1)),"",IF((AND(FIND('112'!$M$9,G1675,1)&gt;=1,B1675='112'!$K$9,OR($N1675='112'!$I$6,$O1675='112'!$I$6))),"x",""))</f>
        <v/>
      </c>
      <c r="U1675" s="84" t="str">
        <f>IF(ISERROR(FIND('112'!$M$9,G1675,1)),"",IF((AND(LEFT(G1675,2)=LEFT('112'!$M$9,2),B1675&lt;'112'!$K$9,$N1675='112'!$I$6)),"x",""))</f>
        <v/>
      </c>
      <c r="V1675" s="84" t="str">
        <f>IF(ISERROR(FIND('112'!$M$9,G1675,1)),"",IF((AND(RIGHT(G1675,2)=RIGHT('112'!$M$9,2),B1675&lt;'112'!$K$9,$O1675='112'!$I$6)),"x",""))</f>
        <v/>
      </c>
      <c r="W1675" s="84" t="str">
        <f>IF(AND('341-CT'!$H$9=H1675,OR(LEFT(N1675,3)=$W$7,LEFT(O1675,3)=$W$7)),"x","")</f>
        <v/>
      </c>
      <c r="X1675" s="84" t="str">
        <f>IF(OR(TH!N1686=TH!$X$7,O1675=TH!$X$7),"x","")</f>
        <v/>
      </c>
      <c r="Y1675" s="84" t="str">
        <f>IF(AND(OR(N1675="131",O1675="131"),H1675='131-CT'!$H$9),"x","")</f>
        <v/>
      </c>
      <c r="Z1675" s="84"/>
      <c r="AA1675" s="84" t="str">
        <f>IF(AND(MONTH(E1675)='IN-NX'!$J$5,'IN-NX'!$D$7=D1675),"x","")</f>
        <v/>
      </c>
      <c r="AB1675" s="84" t="str">
        <f>IF(AND(OR(LEFT(TH!N1686,2)="15",LEFT(TH!O1686,2)="15"),LEFT(TH!O1686,3)&lt;&gt;"111",'152-CT'!$J$8=TH!F1686),"x","")</f>
        <v/>
      </c>
      <c r="AC1675" s="84" t="str">
        <f>IF(AND(OR(LEFT(TH!N1686,2)="15",LEFT(TH!O1686,2)="15"),TK!$E$7=TH!F1686),"x","")</f>
        <v/>
      </c>
      <c r="AD1675" s="84" t="str">
        <f>IF(AND(N1675="1521",MONTH(C1675)='BK-NL'!$M$11),"x","")</f>
        <v/>
      </c>
      <c r="AE1675" s="347"/>
      <c r="AF1675" s="347"/>
    </row>
    <row r="1676" spans="1:32" ht="15.75" hidden="1" customHeight="1">
      <c r="A1676" s="336" t="str">
        <f>IF(B1676&lt;&gt;"",IF(AND(B1676='IN-TC'!$S$4,OR(TH!N1696="1111",TH!O1696="1111")),TH!D1696,""),"")</f>
        <v/>
      </c>
      <c r="B1676" s="1003">
        <f t="shared" si="231"/>
        <v>6</v>
      </c>
      <c r="C1676" s="80">
        <v>42543</v>
      </c>
      <c r="D1676" s="80" t="s">
        <v>582</v>
      </c>
      <c r="E1676" s="80">
        <f t="shared" si="232"/>
        <v>42543</v>
      </c>
      <c r="F1676" s="81" t="s">
        <v>1068</v>
      </c>
      <c r="G1676" s="81"/>
      <c r="H1676" s="82" t="s">
        <v>721</v>
      </c>
      <c r="I1676" s="437"/>
      <c r="J1676" s="437"/>
      <c r="K1676" s="428"/>
      <c r="L1676" s="437"/>
      <c r="M1676" s="83">
        <v>5083330</v>
      </c>
      <c r="N1676" s="84" t="s">
        <v>87</v>
      </c>
      <c r="O1676" s="66" t="s">
        <v>43</v>
      </c>
      <c r="P1676" s="84" t="str">
        <f>IF(AND('331-CT'!$E$7=TH!H1696,OR(N1676="331",O1676="331")),"x","")</f>
        <v/>
      </c>
      <c r="Q1676" s="84" t="str">
        <f>IF(AND(B1676='111'!$L$11,OR($N1676=$Q$7,$O1676=$Q$7)),"x","")</f>
        <v/>
      </c>
      <c r="R1676" s="84" t="str">
        <f>IF(AND($N1676=$Q$7,$B1676&lt;'111'!$L$11),"x","")</f>
        <v/>
      </c>
      <c r="S1676" s="84" t="str">
        <f>IF(AND($O1676=$Q$7,$B1676&lt;'111'!$L$11),"x","")</f>
        <v/>
      </c>
      <c r="T1676" s="84" t="str">
        <f>IF(ISERROR(FIND('112'!$M$9,G1676,1)),"",IF((AND(FIND('112'!$M$9,G1676,1)&gt;=1,B1676='112'!$K$9,OR($N1676='112'!$I$6,$O1676='112'!$I$6))),"x",""))</f>
        <v/>
      </c>
      <c r="U1676" s="84" t="str">
        <f>IF(ISERROR(FIND('112'!$M$9,G1676,1)),"",IF((AND(LEFT(G1676,2)=LEFT('112'!$M$9,2),B1676&lt;'112'!$K$9,$N1676='112'!$I$6)),"x",""))</f>
        <v/>
      </c>
      <c r="V1676" s="84" t="str">
        <f>IF(ISERROR(FIND('112'!$M$9,G1676,1)),"",IF((AND(RIGHT(G1676,2)=RIGHT('112'!$M$9,2),B1676&lt;'112'!$K$9,$O1676='112'!$I$6)),"x",""))</f>
        <v/>
      </c>
      <c r="W1676" s="84" t="str">
        <f>IF(AND('341-CT'!$H$9=H1676,OR(LEFT(N1676,3)=$W$7,LEFT(O1676,3)=$W$7)),"x","")</f>
        <v/>
      </c>
      <c r="X1676" s="84" t="str">
        <f>IF(OR(TH!N1696=TH!$X$7,O1676=TH!$X$7),"x","")</f>
        <v/>
      </c>
      <c r="Y1676" s="84" t="str">
        <f>IF(AND(OR(N1676="131",O1676="131"),H1676='131-CT'!$H$9),"x","")</f>
        <v/>
      </c>
      <c r="Z1676" s="84"/>
      <c r="AA1676" s="84" t="str">
        <f>IF(AND(MONTH(E1676)='IN-NX'!$J$5,'IN-NX'!$D$7=D1676),"x","")</f>
        <v/>
      </c>
      <c r="AB1676" s="84" t="str">
        <f>IF(AND(OR(LEFT(TH!N1696,2)="15",LEFT(TH!O1696,2)="15"),LEFT(TH!O1696,3)&lt;&gt;"111",'152-CT'!$J$8=TH!F1696),"x","")</f>
        <v/>
      </c>
      <c r="AC1676" s="84" t="str">
        <f>IF(AND(OR(LEFT(TH!N1696,2)="15",LEFT(TH!O1696,2)="15"),TK!$E$7=TH!F1696),"x","")</f>
        <v/>
      </c>
      <c r="AD1676" s="84" t="str">
        <f>IF(AND(N1676="1521",MONTH(C1676)='BK-NL'!$M$11),"x","")</f>
        <v/>
      </c>
      <c r="AE1676" s="347"/>
      <c r="AF1676" s="347"/>
    </row>
    <row r="1677" spans="1:32" ht="15.75" hidden="1" customHeight="1">
      <c r="A1677" s="336" t="str">
        <f>IF(B1677&lt;&gt;"",IF(AND(B1677='IN-TC'!$S$4,OR(TH!N1669="1111",TH!O1669="1111")),TH!D1669,""),"")</f>
        <v/>
      </c>
      <c r="B1677" s="63">
        <f t="shared" si="231"/>
        <v>6</v>
      </c>
      <c r="C1677" s="64">
        <v>42543</v>
      </c>
      <c r="D1677" s="64" t="s">
        <v>705</v>
      </c>
      <c r="E1677" s="64">
        <f t="shared" si="232"/>
        <v>42543</v>
      </c>
      <c r="F1677" s="73" t="s">
        <v>1051</v>
      </c>
      <c r="G1677" s="67" t="s">
        <v>919</v>
      </c>
      <c r="H1677" s="82" t="s">
        <v>721</v>
      </c>
      <c r="I1677" s="439"/>
      <c r="J1677" s="439"/>
      <c r="K1677" s="430"/>
      <c r="L1677" s="439"/>
      <c r="M1677" s="65">
        <v>1282635</v>
      </c>
      <c r="N1677" s="66" t="s">
        <v>99</v>
      </c>
      <c r="O1677" s="66" t="s">
        <v>26</v>
      </c>
      <c r="P1677" s="84" t="str">
        <f>IF(AND('331-CT'!$E$7=TH!H1669,OR(N1677="331",O1677="331")),"x","")</f>
        <v/>
      </c>
      <c r="Q1677" s="84" t="str">
        <f>IF(AND(B1677='111'!$L$11,OR($N1677=$Q$7,$O1677=$Q$7)),"x","")</f>
        <v/>
      </c>
      <c r="R1677" s="84" t="str">
        <f>IF(AND($N1677=$Q$7,$B1677&lt;'111'!$L$11),"x","")</f>
        <v/>
      </c>
      <c r="S1677" s="84" t="str">
        <f>IF(AND($O1677=$Q$7,$B1677&lt;'111'!$L$11),"x","")</f>
        <v/>
      </c>
      <c r="T1677" s="84" t="str">
        <f>IF(ISERROR(FIND('112'!$M$9,G1677,1)),"",IF((AND(FIND('112'!$M$9,G1677,1)&gt;=1,B1677='112'!$K$9,OR($N1677='112'!$I$6,$O1677='112'!$I$6))),"x",""))</f>
        <v>x</v>
      </c>
      <c r="U1677" s="84" t="str">
        <f>IF(ISERROR(FIND('112'!$M$9,G1677,1)),"",IF((AND(LEFT(G1677,2)=LEFT('112'!$M$9,2),B1677&lt;'112'!$K$9,$N1677='112'!$I$6)),"x",""))</f>
        <v/>
      </c>
      <c r="V1677" s="84" t="str">
        <f>IF(ISERROR(FIND('112'!$M$9,G1677,1)),"",IF((AND(RIGHT(G1677,2)=RIGHT('112'!$M$9,2),B1677&lt;'112'!$K$9,$O1677='112'!$I$6)),"x",""))</f>
        <v/>
      </c>
      <c r="W1677" s="84" t="str">
        <f>IF(AND('341-CT'!$H$9=H1677,OR(LEFT(N1677,3)=$W$7,LEFT(O1677,3)=$W$7)),"x","")</f>
        <v/>
      </c>
      <c r="X1677" s="84" t="str">
        <f>IF(OR(TH!N1669=TH!$X$7,O1677=TH!$X$7),"x","")</f>
        <v/>
      </c>
      <c r="Y1677" s="84" t="str">
        <f>IF(AND(OR(N1677="131",O1677="131"),H1677='131-CT'!$H$9),"x","")</f>
        <v/>
      </c>
      <c r="Z1677" s="84"/>
      <c r="AA1677" s="84" t="str">
        <f>IF(AND(MONTH(E1677)='IN-NX'!$J$5,'IN-NX'!$D$7=D1677),"x","")</f>
        <v/>
      </c>
      <c r="AB1677" s="84" t="str">
        <f>IF(AND(OR(LEFT(TH!N1669,2)="15",LEFT(TH!O1669,2)="15"),LEFT(TH!O1669,3)&lt;&gt;"111",'152-CT'!$J$8=TH!F1669),"x","")</f>
        <v/>
      </c>
      <c r="AC1677" s="84" t="str">
        <f>IF(AND(OR(LEFT(TH!N1669,2)="15",LEFT(TH!O1669,2)="15"),TK!$E$7=TH!F1669),"x","")</f>
        <v/>
      </c>
      <c r="AD1677" s="84" t="str">
        <f>IF(AND(N1677="1521",MONTH(C1677)='BK-NL'!$M$11),"x","")</f>
        <v/>
      </c>
    </row>
    <row r="1678" spans="1:32" ht="15.75" hidden="1" customHeight="1">
      <c r="A1678" s="336" t="str">
        <f>IF(B1678&lt;&gt;"",IF(AND(B1678='IN-TC'!$S$4,OR(TH!N1670="1111",TH!O1670="1111")),TH!D1670,""),"")</f>
        <v/>
      </c>
      <c r="B1678" s="63">
        <f t="shared" si="231"/>
        <v>6</v>
      </c>
      <c r="C1678" s="64">
        <v>42543</v>
      </c>
      <c r="D1678" s="64" t="s">
        <v>705</v>
      </c>
      <c r="E1678" s="64">
        <f t="shared" si="232"/>
        <v>42543</v>
      </c>
      <c r="F1678" s="73" t="s">
        <v>751</v>
      </c>
      <c r="G1678" s="67" t="s">
        <v>919</v>
      </c>
      <c r="H1678" s="344" t="s">
        <v>725</v>
      </c>
      <c r="I1678" s="439"/>
      <c r="J1678" s="439"/>
      <c r="K1678" s="430"/>
      <c r="L1678" s="439"/>
      <c r="M1678" s="65">
        <v>888287</v>
      </c>
      <c r="N1678" s="66" t="s">
        <v>99</v>
      </c>
      <c r="O1678" s="66" t="s">
        <v>26</v>
      </c>
      <c r="P1678" s="84" t="str">
        <f>IF(AND('331-CT'!$E$7=TH!H1670,OR(N1678="331",O1678="331")),"x","")</f>
        <v/>
      </c>
      <c r="Q1678" s="84" t="str">
        <f>IF(AND(B1678='111'!$L$11,OR($N1678=$Q$7,$O1678=$Q$7)),"x","")</f>
        <v/>
      </c>
      <c r="R1678" s="84" t="str">
        <f>IF(AND($N1678=$Q$7,$B1678&lt;'111'!$L$11),"x","")</f>
        <v/>
      </c>
      <c r="S1678" s="84" t="str">
        <f>IF(AND($O1678=$Q$7,$B1678&lt;'111'!$L$11),"x","")</f>
        <v/>
      </c>
      <c r="T1678" s="84" t="str">
        <f>IF(ISERROR(FIND('112'!$M$9,G1678,1)),"",IF((AND(FIND('112'!$M$9,G1678,1)&gt;=1,B1678='112'!$K$9,OR($N1678='112'!$I$6,$O1678='112'!$I$6))),"x",""))</f>
        <v>x</v>
      </c>
      <c r="U1678" s="84" t="str">
        <f>IF(ISERROR(FIND('112'!$M$9,G1678,1)),"",IF((AND(LEFT(G1678,2)=LEFT('112'!$M$9,2),B1678&lt;'112'!$K$9,$N1678='112'!$I$6)),"x",""))</f>
        <v/>
      </c>
      <c r="V1678" s="84" t="str">
        <f>IF(ISERROR(FIND('112'!$M$9,G1678,1)),"",IF((AND(RIGHT(G1678,2)=RIGHT('112'!$M$9,2),B1678&lt;'112'!$K$9,$O1678='112'!$I$6)),"x",""))</f>
        <v/>
      </c>
      <c r="W1678" s="84" t="str">
        <f>IF(AND('341-CT'!$H$9=H1678,OR(LEFT(N1678,3)=$W$7,LEFT(O1678,3)=$W$7)),"x","")</f>
        <v/>
      </c>
      <c r="X1678" s="84" t="str">
        <f>IF(OR(TH!N1670=TH!$X$7,O1678=TH!$X$7),"x","")</f>
        <v/>
      </c>
      <c r="Y1678" s="84" t="str">
        <f>IF(AND(OR(N1678="131",O1678="131"),H1678='131-CT'!$H$9),"x","")</f>
        <v/>
      </c>
      <c r="Z1678" s="84"/>
      <c r="AA1678" s="84" t="str">
        <f>IF(AND(MONTH(E1678)='IN-NX'!$J$5,'IN-NX'!$D$7=D1678),"x","")</f>
        <v/>
      </c>
      <c r="AB1678" s="84" t="str">
        <f>IF(AND(OR(LEFT(TH!N1670,2)="15",LEFT(TH!O1670,2)="15"),LEFT(TH!O1670,3)&lt;&gt;"111",'152-CT'!$J$8=TH!F1670),"x","")</f>
        <v/>
      </c>
      <c r="AC1678" s="84" t="str">
        <f>IF(AND(OR(LEFT(TH!N1670,2)="15",LEFT(TH!O1670,2)="15"),TK!$E$7=TH!F1670),"x","")</f>
        <v/>
      </c>
      <c r="AD1678" s="84" t="str">
        <f>IF(AND(N1678="1521",MONTH(C1678)='BK-NL'!$M$11),"x","")</f>
        <v/>
      </c>
    </row>
    <row r="1679" spans="1:32" ht="15.75" hidden="1" customHeight="1">
      <c r="A1679" s="336" t="str">
        <f>IF(B1679&lt;&gt;"",IF(AND(B1679='IN-TC'!$S$4,OR(TH!N1688="1111",TH!O1688="1111")),TH!D1688,""),"")</f>
        <v/>
      </c>
      <c r="B1679" s="1003">
        <f t="shared" si="231"/>
        <v>6</v>
      </c>
      <c r="C1679" s="80">
        <v>42543</v>
      </c>
      <c r="D1679" s="64" t="s">
        <v>705</v>
      </c>
      <c r="E1679" s="80">
        <f t="shared" si="232"/>
        <v>42543</v>
      </c>
      <c r="F1679" s="81" t="s">
        <v>1883</v>
      </c>
      <c r="G1679" s="81" t="s">
        <v>919</v>
      </c>
      <c r="H1679" s="82" t="s">
        <v>725</v>
      </c>
      <c r="I1679" s="437"/>
      <c r="J1679" s="437"/>
      <c r="K1679" s="428">
        <v>89500</v>
      </c>
      <c r="L1679" s="437">
        <v>22308</v>
      </c>
      <c r="M1679" s="83">
        <f>ROUND(K1679*L1679,0)</f>
        <v>1996566000</v>
      </c>
      <c r="N1679" s="84" t="s">
        <v>260</v>
      </c>
      <c r="O1679" s="84" t="s">
        <v>266</v>
      </c>
      <c r="P1679" s="84" t="str">
        <f>IF(AND('331-CT'!$E$7=TH!H1688,OR(N1679="331",O1679="331")),"x","")</f>
        <v/>
      </c>
      <c r="Q1679" s="84" t="str">
        <f>IF(AND(B1679='111'!$L$11,OR($N1679=$Q$7,$O1679=$Q$7)),"x","")</f>
        <v/>
      </c>
      <c r="R1679" s="84" t="str">
        <f>IF(AND($N1679=$Q$7,$B1679&lt;'111'!$L$11),"x","")</f>
        <v/>
      </c>
      <c r="S1679" s="84" t="str">
        <f>IF(AND($O1679=$Q$7,$B1679&lt;'111'!$L$11),"x","")</f>
        <v/>
      </c>
      <c r="T1679" s="84" t="str">
        <f>IF(ISERROR(FIND('112'!$M$9,G1679,1)),"",IF((AND(FIND('112'!$M$9,G1679,1)&gt;=1,B1679='112'!$K$9,OR($N1679='112'!$I$6,$O1679='112'!$I$6))),"x",""))</f>
        <v/>
      </c>
      <c r="U1679" s="84" t="str">
        <f>IF(ISERROR(FIND('112'!$M$9,G1679,1)),"",IF((AND(LEFT(G1679,2)=LEFT('112'!$M$9,2),B1679&lt;'112'!$K$9,$N1679='112'!$I$6)),"x",""))</f>
        <v/>
      </c>
      <c r="V1679" s="84" t="str">
        <f>IF(ISERROR(FIND('112'!$M$9,G1679,1)),"",IF((AND(RIGHT(G1679,2)=RIGHT('112'!$M$9,2),B1679&lt;'112'!$K$9,$O1679='112'!$I$6)),"x",""))</f>
        <v/>
      </c>
      <c r="W1679" s="84" t="str">
        <f>IF(AND('341-CT'!$H$9=H1679,OR(LEFT(N1679,3)=$W$7,LEFT(O1679,3)=$W$7)),"x","")</f>
        <v/>
      </c>
      <c r="X1679" s="84" t="str">
        <f>IF(OR(TH!N1688=TH!$X$7,O1679=TH!$X$7),"x","")</f>
        <v/>
      </c>
      <c r="Y1679" s="84" t="str">
        <f>IF(AND(OR(N1679="131",O1679="131"),H1679='131-CT'!$H$9),"x","")</f>
        <v/>
      </c>
      <c r="Z1679" s="84"/>
      <c r="AA1679" s="84" t="str">
        <f>IF(AND(MONTH(E1679)='IN-NX'!$J$5,'IN-NX'!$D$7=D1679),"x","")</f>
        <v/>
      </c>
      <c r="AB1679" s="84" t="str">
        <f>IF(AND(OR(LEFT(TH!N1688,2)="15",LEFT(TH!O1688,2)="15"),LEFT(TH!O1688,3)&lt;&gt;"111",'152-CT'!$J$8=TH!F1688),"x","")</f>
        <v/>
      </c>
      <c r="AC1679" s="84" t="str">
        <f>IF(AND(OR(LEFT(TH!N1688,2)="15",LEFT(TH!O1688,2)="15"),TK!$E$7=TH!F1688),"x","")</f>
        <v/>
      </c>
      <c r="AD1679" s="84" t="str">
        <f>IF(AND(N1679="1521",MONTH(C1679)='BK-NL'!$M$11),"x","")</f>
        <v/>
      </c>
      <c r="AE1679" s="347"/>
      <c r="AF1679" s="347"/>
    </row>
    <row r="1680" spans="1:32" ht="15.75" hidden="1" customHeight="1">
      <c r="A1680" s="336" t="str">
        <f>IF(B1680&lt;&gt;"",IF(AND(B1680='IN-TC'!$S$4,OR(TH!N1698="1111",TH!O1698="1111")),TH!D1698,""),"")</f>
        <v/>
      </c>
      <c r="B1680" s="1003">
        <f t="shared" si="231"/>
        <v>6</v>
      </c>
      <c r="C1680" s="80">
        <v>42543</v>
      </c>
      <c r="D1680" s="80" t="s">
        <v>582</v>
      </c>
      <c r="E1680" s="80">
        <f t="shared" si="232"/>
        <v>42543</v>
      </c>
      <c r="F1680" s="81" t="s">
        <v>1068</v>
      </c>
      <c r="G1680" s="81"/>
      <c r="H1680" s="82" t="s">
        <v>725</v>
      </c>
      <c r="I1680" s="437"/>
      <c r="J1680" s="437"/>
      <c r="K1680" s="428"/>
      <c r="L1680" s="437"/>
      <c r="M1680" s="83">
        <v>14678000</v>
      </c>
      <c r="N1680" s="84" t="s">
        <v>260</v>
      </c>
      <c r="O1680" s="66" t="s">
        <v>43</v>
      </c>
      <c r="P1680" s="84" t="str">
        <f>IF(AND('331-CT'!$E$7=TH!H1698,OR(N1680="331",O1680="331")),"x","")</f>
        <v/>
      </c>
      <c r="Q1680" s="84" t="str">
        <f>IF(AND(B1680='111'!$L$11,OR($N1680=$Q$7,$O1680=$Q$7)),"x","")</f>
        <v/>
      </c>
      <c r="R1680" s="84" t="str">
        <f>IF(AND($N1680=$Q$7,$B1680&lt;'111'!$L$11),"x","")</f>
        <v/>
      </c>
      <c r="S1680" s="84" t="str">
        <f>IF(AND($O1680=$Q$7,$B1680&lt;'111'!$L$11),"x","")</f>
        <v/>
      </c>
      <c r="T1680" s="84" t="str">
        <f>IF(ISERROR(FIND('112'!$M$9,G1680,1)),"",IF((AND(FIND('112'!$M$9,G1680,1)&gt;=1,B1680='112'!$K$9,OR($N1680='112'!$I$6,$O1680='112'!$I$6))),"x",""))</f>
        <v/>
      </c>
      <c r="U1680" s="84" t="str">
        <f>IF(ISERROR(FIND('112'!$M$9,G1680,1)),"",IF((AND(LEFT(G1680,2)=LEFT('112'!$M$9,2),B1680&lt;'112'!$K$9,$N1680='112'!$I$6)),"x",""))</f>
        <v/>
      </c>
      <c r="V1680" s="84" t="str">
        <f>IF(ISERROR(FIND('112'!$M$9,G1680,1)),"",IF((AND(RIGHT(G1680,2)=RIGHT('112'!$M$9,2),B1680&lt;'112'!$K$9,$O1680='112'!$I$6)),"x",""))</f>
        <v/>
      </c>
      <c r="W1680" s="84" t="str">
        <f>IF(AND('341-CT'!$H$9=H1680,OR(LEFT(N1680,3)=$W$7,LEFT(O1680,3)=$W$7)),"x","")</f>
        <v/>
      </c>
      <c r="X1680" s="84" t="str">
        <f>IF(OR(TH!N1698=TH!$X$7,O1680=TH!$X$7),"x","")</f>
        <v/>
      </c>
      <c r="Y1680" s="84" t="str">
        <f>IF(AND(OR(N1680="131",O1680="131"),H1680='131-CT'!$H$9),"x","")</f>
        <v/>
      </c>
      <c r="Z1680" s="84"/>
      <c r="AA1680" s="84" t="str">
        <f>IF(AND(MONTH(E1680)='IN-NX'!$J$5,'IN-NX'!$D$7=D1680),"x","")</f>
        <v/>
      </c>
      <c r="AB1680" s="84" t="str">
        <f>IF(AND(OR(LEFT(TH!N1698,2)="15",LEFT(TH!O1698,2)="15"),LEFT(TH!O1698,3)&lt;&gt;"111",'152-CT'!$J$8=TH!F1698),"x","")</f>
        <v/>
      </c>
      <c r="AC1680" s="84" t="str">
        <f>IF(AND(OR(LEFT(TH!N1698,2)="15",LEFT(TH!O1698,2)="15"),TK!$E$7=TH!F1698),"x","")</f>
        <v/>
      </c>
      <c r="AD1680" s="84" t="str">
        <f>IF(AND(N1680="1521",MONTH(C1680)='BK-NL'!$M$11),"x","")</f>
        <v/>
      </c>
      <c r="AE1680" s="347"/>
      <c r="AF1680" s="347"/>
    </row>
    <row r="1681" spans="1:32" ht="15.75" hidden="1" customHeight="1">
      <c r="A1681" s="336" t="str">
        <f>IF(B1681&lt;&gt;"",IF(AND(B1681='IN-TC'!$S$4,OR(TH!N1671="1111",TH!O1671="1111")),TH!D1671,""),"")</f>
        <v/>
      </c>
      <c r="B1681" s="63">
        <f t="shared" si="231"/>
        <v>6</v>
      </c>
      <c r="C1681" s="64">
        <v>42543</v>
      </c>
      <c r="D1681" s="64" t="s">
        <v>705</v>
      </c>
      <c r="E1681" s="64">
        <f t="shared" si="232"/>
        <v>42543</v>
      </c>
      <c r="F1681" s="73" t="s">
        <v>752</v>
      </c>
      <c r="G1681" s="67" t="s">
        <v>919</v>
      </c>
      <c r="H1681" s="344" t="s">
        <v>726</v>
      </c>
      <c r="I1681" s="439"/>
      <c r="J1681" s="439"/>
      <c r="K1681" s="430"/>
      <c r="L1681" s="439"/>
      <c r="M1681" s="65">
        <v>883375</v>
      </c>
      <c r="N1681" s="66" t="s">
        <v>99</v>
      </c>
      <c r="O1681" s="66" t="s">
        <v>26</v>
      </c>
      <c r="P1681" s="84" t="str">
        <f>IF(AND('331-CT'!$E$7=TH!H1671,OR(N1681="331",O1681="331")),"x","")</f>
        <v/>
      </c>
      <c r="Q1681" s="84" t="str">
        <f>IF(AND(B1681='111'!$L$11,OR($N1681=$Q$7,$O1681=$Q$7)),"x","")</f>
        <v/>
      </c>
      <c r="R1681" s="84" t="str">
        <f>IF(AND($N1681=$Q$7,$B1681&lt;'111'!$L$11),"x","")</f>
        <v/>
      </c>
      <c r="S1681" s="84" t="str">
        <f>IF(AND($O1681=$Q$7,$B1681&lt;'111'!$L$11),"x","")</f>
        <v/>
      </c>
      <c r="T1681" s="84" t="str">
        <f>IF(ISERROR(FIND('112'!$M$9,G1681,1)),"",IF((AND(FIND('112'!$M$9,G1681,1)&gt;=1,B1681='112'!$K$9,OR($N1681='112'!$I$6,$O1681='112'!$I$6))),"x",""))</f>
        <v>x</v>
      </c>
      <c r="U1681" s="84" t="str">
        <f>IF(ISERROR(FIND('112'!$M$9,G1681,1)),"",IF((AND(LEFT(G1681,2)=LEFT('112'!$M$9,2),B1681&lt;'112'!$K$9,$N1681='112'!$I$6)),"x",""))</f>
        <v/>
      </c>
      <c r="V1681" s="84" t="str">
        <f>IF(ISERROR(FIND('112'!$M$9,G1681,1)),"",IF((AND(RIGHT(G1681,2)=RIGHT('112'!$M$9,2),B1681&lt;'112'!$K$9,$O1681='112'!$I$6)),"x",""))</f>
        <v/>
      </c>
      <c r="W1681" s="84" t="str">
        <f>IF(AND('341-CT'!$H$9=H1681,OR(LEFT(N1681,3)=$W$7,LEFT(O1681,3)=$W$7)),"x","")</f>
        <v/>
      </c>
      <c r="X1681" s="84" t="str">
        <f>IF(OR(TH!N1671=TH!$X$7,O1681=TH!$X$7),"x","")</f>
        <v/>
      </c>
      <c r="Y1681" s="84" t="str">
        <f>IF(AND(OR(N1681="131",O1681="131"),H1681='131-CT'!$H$9),"x","")</f>
        <v/>
      </c>
      <c r="Z1681" s="84"/>
      <c r="AA1681" s="84" t="str">
        <f>IF(AND(MONTH(E1681)='IN-NX'!$J$5,'IN-NX'!$D$7=D1681),"x","")</f>
        <v/>
      </c>
      <c r="AB1681" s="84" t="str">
        <f>IF(AND(OR(LEFT(TH!N1671,2)="15",LEFT(TH!O1671,2)="15"),LEFT(TH!O1671,3)&lt;&gt;"111",'152-CT'!$J$8=TH!F1671),"x","")</f>
        <v/>
      </c>
      <c r="AC1681" s="84" t="str">
        <f>IF(AND(OR(LEFT(TH!N1671,2)="15",LEFT(TH!O1671,2)="15"),TK!$E$7=TH!F1671),"x","")</f>
        <v/>
      </c>
      <c r="AD1681" s="84" t="str">
        <f>IF(AND(N1681="1521",MONTH(C1681)='BK-NL'!$M$11),"x","")</f>
        <v/>
      </c>
    </row>
    <row r="1682" spans="1:32" ht="15.75" hidden="1" customHeight="1">
      <c r="A1682" s="336" t="str">
        <f>IF(B1682&lt;&gt;"",IF(AND(B1682='IN-TC'!$S$4,OR(TH!N1689="1111",TH!O1689="1111")),TH!D1689,""),"")</f>
        <v/>
      </c>
      <c r="B1682" s="1003">
        <f t="shared" si="231"/>
        <v>6</v>
      </c>
      <c r="C1682" s="80">
        <v>42543</v>
      </c>
      <c r="D1682" s="64" t="s">
        <v>705</v>
      </c>
      <c r="E1682" s="80">
        <f t="shared" si="232"/>
        <v>42543</v>
      </c>
      <c r="F1682" s="81" t="s">
        <v>1883</v>
      </c>
      <c r="G1682" s="81" t="s">
        <v>919</v>
      </c>
      <c r="H1682" s="82" t="s">
        <v>726</v>
      </c>
      <c r="I1682" s="437"/>
      <c r="J1682" s="437"/>
      <c r="K1682" s="428">
        <v>89000</v>
      </c>
      <c r="L1682" s="437">
        <v>22308</v>
      </c>
      <c r="M1682" s="83">
        <f>ROUND(K1682*L1682,0)</f>
        <v>1985412000</v>
      </c>
      <c r="N1682" s="84" t="s">
        <v>260</v>
      </c>
      <c r="O1682" s="84" t="s">
        <v>266</v>
      </c>
      <c r="P1682" s="84" t="str">
        <f>IF(AND('331-CT'!$E$7=TH!H1689,OR(N1682="331",O1682="331")),"x","")</f>
        <v/>
      </c>
      <c r="Q1682" s="84" t="str">
        <f>IF(AND(B1682='111'!$L$11,OR($N1682=$Q$7,$O1682=$Q$7)),"x","")</f>
        <v/>
      </c>
      <c r="R1682" s="84" t="str">
        <f>IF(AND($N1682=$Q$7,$B1682&lt;'111'!$L$11),"x","")</f>
        <v/>
      </c>
      <c r="S1682" s="84" t="str">
        <f>IF(AND($O1682=$Q$7,$B1682&lt;'111'!$L$11),"x","")</f>
        <v/>
      </c>
      <c r="T1682" s="84" t="str">
        <f>IF(ISERROR(FIND('112'!$M$9,G1682,1)),"",IF((AND(FIND('112'!$M$9,G1682,1)&gt;=1,B1682='112'!$K$9,OR($N1682='112'!$I$6,$O1682='112'!$I$6))),"x",""))</f>
        <v/>
      </c>
      <c r="U1682" s="84" t="str">
        <f>IF(ISERROR(FIND('112'!$M$9,G1682,1)),"",IF((AND(LEFT(G1682,2)=LEFT('112'!$M$9,2),B1682&lt;'112'!$K$9,$N1682='112'!$I$6)),"x",""))</f>
        <v/>
      </c>
      <c r="V1682" s="84" t="str">
        <f>IF(ISERROR(FIND('112'!$M$9,G1682,1)),"",IF((AND(RIGHT(G1682,2)=RIGHT('112'!$M$9,2),B1682&lt;'112'!$K$9,$O1682='112'!$I$6)),"x",""))</f>
        <v/>
      </c>
      <c r="W1682" s="84" t="str">
        <f>IF(AND('341-CT'!$H$9=H1682,OR(LEFT(N1682,3)=$W$7,LEFT(O1682,3)=$W$7)),"x","")</f>
        <v/>
      </c>
      <c r="X1682" s="84" t="str">
        <f>IF(OR(TH!N1689=TH!$X$7,O1682=TH!$X$7),"x","")</f>
        <v/>
      </c>
      <c r="Y1682" s="84" t="str">
        <f>IF(AND(OR(N1682="131",O1682="131"),H1682='131-CT'!$H$9),"x","")</f>
        <v/>
      </c>
      <c r="Z1682" s="84"/>
      <c r="AA1682" s="84" t="str">
        <f>IF(AND(MONTH(E1682)='IN-NX'!$J$5,'IN-NX'!$D$7=D1682),"x","")</f>
        <v/>
      </c>
      <c r="AB1682" s="84" t="str">
        <f>IF(AND(OR(LEFT(TH!N1689,2)="15",LEFT(TH!O1689,2)="15"),LEFT(TH!O1689,3)&lt;&gt;"111",'152-CT'!$J$8=TH!F1689),"x","")</f>
        <v/>
      </c>
      <c r="AC1682" s="84" t="str">
        <f>IF(AND(OR(LEFT(TH!N1689,2)="15",LEFT(TH!O1689,2)="15"),TK!$E$7=TH!F1689),"x","")</f>
        <v/>
      </c>
      <c r="AD1682" s="84" t="str">
        <f>IF(AND(N1682="1521",MONTH(C1682)='BK-NL'!$M$11),"x","")</f>
        <v/>
      </c>
      <c r="AE1682" s="347"/>
      <c r="AF1682" s="347"/>
    </row>
    <row r="1683" spans="1:32" ht="15.75" hidden="1" customHeight="1">
      <c r="A1683" s="336" t="str">
        <f>IF(B1683&lt;&gt;"",IF(AND(B1683='IN-TC'!$S$4,OR(TH!N1699="1111",TH!O1699="1111")),TH!D1699,""),"")</f>
        <v/>
      </c>
      <c r="B1683" s="1003">
        <f t="shared" si="231"/>
        <v>6</v>
      </c>
      <c r="C1683" s="80">
        <v>42543</v>
      </c>
      <c r="D1683" s="80" t="s">
        <v>582</v>
      </c>
      <c r="E1683" s="80">
        <f t="shared" si="232"/>
        <v>42543</v>
      </c>
      <c r="F1683" s="81" t="s">
        <v>1068</v>
      </c>
      <c r="G1683" s="81"/>
      <c r="H1683" s="82" t="s">
        <v>726</v>
      </c>
      <c r="I1683" s="437"/>
      <c r="J1683" s="437"/>
      <c r="K1683" s="428"/>
      <c r="L1683" s="437"/>
      <c r="M1683" s="83">
        <v>15753000</v>
      </c>
      <c r="N1683" s="84" t="s">
        <v>260</v>
      </c>
      <c r="O1683" s="66" t="s">
        <v>43</v>
      </c>
      <c r="P1683" s="84" t="str">
        <f>IF(AND('331-CT'!$E$7=TH!H1699,OR(N1683="331",O1683="331")),"x","")</f>
        <v/>
      </c>
      <c r="Q1683" s="84" t="str">
        <f>IF(AND(B1683='111'!$L$11,OR($N1683=$Q$7,$O1683=$Q$7)),"x","")</f>
        <v/>
      </c>
      <c r="R1683" s="84" t="str">
        <f>IF(AND($N1683=$Q$7,$B1683&lt;'111'!$L$11),"x","")</f>
        <v/>
      </c>
      <c r="S1683" s="84" t="str">
        <f>IF(AND($O1683=$Q$7,$B1683&lt;'111'!$L$11),"x","")</f>
        <v/>
      </c>
      <c r="T1683" s="84" t="str">
        <f>IF(ISERROR(FIND('112'!$M$9,G1683,1)),"",IF((AND(FIND('112'!$M$9,G1683,1)&gt;=1,B1683='112'!$K$9,OR($N1683='112'!$I$6,$O1683='112'!$I$6))),"x",""))</f>
        <v/>
      </c>
      <c r="U1683" s="84" t="str">
        <f>IF(ISERROR(FIND('112'!$M$9,G1683,1)),"",IF((AND(LEFT(G1683,2)=LEFT('112'!$M$9,2),B1683&lt;'112'!$K$9,$N1683='112'!$I$6)),"x",""))</f>
        <v/>
      </c>
      <c r="V1683" s="84" t="str">
        <f>IF(ISERROR(FIND('112'!$M$9,G1683,1)),"",IF((AND(RIGHT(G1683,2)=RIGHT('112'!$M$9,2),B1683&lt;'112'!$K$9,$O1683='112'!$I$6)),"x",""))</f>
        <v/>
      </c>
      <c r="W1683" s="84" t="str">
        <f>IF(AND('341-CT'!$H$9=H1683,OR(LEFT(N1683,3)=$W$7,LEFT(O1683,3)=$W$7)),"x","")</f>
        <v/>
      </c>
      <c r="X1683" s="84" t="str">
        <f>IF(OR(TH!N1699=TH!$X$7,O1683=TH!$X$7),"x","")</f>
        <v/>
      </c>
      <c r="Y1683" s="84" t="str">
        <f>IF(AND(OR(N1683="131",O1683="131"),H1683='131-CT'!$H$9),"x","")</f>
        <v/>
      </c>
      <c r="Z1683" s="84"/>
      <c r="AA1683" s="84" t="str">
        <f>IF(AND(MONTH(E1683)='IN-NX'!$J$5,'IN-NX'!$D$7=D1683),"x","")</f>
        <v/>
      </c>
      <c r="AB1683" s="84" t="str">
        <f>IF(AND(OR(LEFT(TH!N1699,2)="15",LEFT(TH!O1699,2)="15"),LEFT(TH!O1699,3)&lt;&gt;"111",'152-CT'!$J$8=TH!F1699),"x","")</f>
        <v/>
      </c>
      <c r="AC1683" s="84" t="str">
        <f>IF(AND(OR(LEFT(TH!N1699,2)="15",LEFT(TH!O1699,2)="15"),TK!$E$7=TH!F1699),"x","")</f>
        <v/>
      </c>
      <c r="AD1683" s="84" t="str">
        <f>IF(AND(N1683="1521",MONTH(C1683)='BK-NL'!$M$11),"x","")</f>
        <v/>
      </c>
      <c r="AE1683" s="347"/>
      <c r="AF1683" s="347"/>
    </row>
    <row r="1684" spans="1:32" ht="15.75" hidden="1" customHeight="1">
      <c r="A1684" s="336" t="str">
        <f>IF(B1684&lt;&gt;"",IF(AND(B1684='IN-TC'!$S$4,OR(TH!N1672="1111",TH!O1672="1111")),TH!D1672,""),"")</f>
        <v/>
      </c>
      <c r="B1684" s="63">
        <f t="shared" si="231"/>
        <v>6</v>
      </c>
      <c r="C1684" s="64">
        <v>42543</v>
      </c>
      <c r="D1684" s="64" t="s">
        <v>705</v>
      </c>
      <c r="E1684" s="64">
        <f t="shared" si="232"/>
        <v>42543</v>
      </c>
      <c r="F1684" s="73" t="s">
        <v>1060</v>
      </c>
      <c r="G1684" s="67" t="s">
        <v>919</v>
      </c>
      <c r="H1684" s="344" t="s">
        <v>733</v>
      </c>
      <c r="I1684" s="439"/>
      <c r="J1684" s="439"/>
      <c r="K1684" s="430"/>
      <c r="L1684" s="439"/>
      <c r="M1684" s="65">
        <v>605366</v>
      </c>
      <c r="N1684" s="66" t="s">
        <v>99</v>
      </c>
      <c r="O1684" s="66" t="s">
        <v>26</v>
      </c>
      <c r="P1684" s="84" t="str">
        <f>IF(AND('331-CT'!$E$7=TH!H1672,OR(N1684="331",O1684="331")),"x","")</f>
        <v/>
      </c>
      <c r="Q1684" s="84" t="str">
        <f>IF(AND(B1684='111'!$L$11,OR($N1684=$Q$7,$O1684=$Q$7)),"x","")</f>
        <v/>
      </c>
      <c r="R1684" s="84" t="str">
        <f>IF(AND($N1684=$Q$7,$B1684&lt;'111'!$L$11),"x","")</f>
        <v/>
      </c>
      <c r="S1684" s="84" t="str">
        <f>IF(AND($O1684=$Q$7,$B1684&lt;'111'!$L$11),"x","")</f>
        <v/>
      </c>
      <c r="T1684" s="84" t="str">
        <f>IF(ISERROR(FIND('112'!$M$9,G1684,1)),"",IF((AND(FIND('112'!$M$9,G1684,1)&gt;=1,B1684='112'!$K$9,OR($N1684='112'!$I$6,$O1684='112'!$I$6))),"x",""))</f>
        <v>x</v>
      </c>
      <c r="U1684" s="84" t="str">
        <f>IF(ISERROR(FIND('112'!$M$9,G1684,1)),"",IF((AND(LEFT(G1684,2)=LEFT('112'!$M$9,2),B1684&lt;'112'!$K$9,$N1684='112'!$I$6)),"x",""))</f>
        <v/>
      </c>
      <c r="V1684" s="84" t="str">
        <f>IF(ISERROR(FIND('112'!$M$9,G1684,1)),"",IF((AND(RIGHT(G1684,2)=RIGHT('112'!$M$9,2),B1684&lt;'112'!$K$9,$O1684='112'!$I$6)),"x",""))</f>
        <v/>
      </c>
      <c r="W1684" s="84" t="str">
        <f>IF(AND('341-CT'!$H$9=H1684,OR(LEFT(N1684,3)=$W$7,LEFT(O1684,3)=$W$7)),"x","")</f>
        <v/>
      </c>
      <c r="X1684" s="84" t="str">
        <f>IF(OR(TH!N1672=TH!$X$7,O1684=TH!$X$7),"x","")</f>
        <v/>
      </c>
      <c r="Y1684" s="84" t="str">
        <f>IF(AND(OR(N1684="131",O1684="131"),H1684='131-CT'!$H$9),"x","")</f>
        <v/>
      </c>
      <c r="Z1684" s="84"/>
      <c r="AA1684" s="84" t="str">
        <f>IF(AND(MONTH(E1684)='IN-NX'!$J$5,'IN-NX'!$D$7=D1684),"x","")</f>
        <v/>
      </c>
      <c r="AB1684" s="84" t="str">
        <f>IF(AND(OR(LEFT(TH!N1672,2)="15",LEFT(TH!O1672,2)="15"),LEFT(TH!O1672,3)&lt;&gt;"111",'152-CT'!$J$8=TH!F1672),"x","")</f>
        <v/>
      </c>
      <c r="AC1684" s="84" t="str">
        <f>IF(AND(OR(LEFT(TH!N1672,2)="15",LEFT(TH!O1672,2)="15"),TK!$E$7=TH!F1672),"x","")</f>
        <v/>
      </c>
      <c r="AD1684" s="84" t="str">
        <f>IF(AND(N1684="1521",MONTH(C1684)='BK-NL'!$M$11),"x","")</f>
        <v/>
      </c>
    </row>
    <row r="1685" spans="1:32" ht="15.75" hidden="1" customHeight="1">
      <c r="A1685" s="336" t="str">
        <f>IF(B1685&lt;&gt;"",IF(AND(B1685='IN-TC'!$S$4,OR(TH!N1690="1111",TH!O1690="1111")),TH!D1690,""),"")</f>
        <v/>
      </c>
      <c r="B1685" s="1003">
        <f t="shared" si="231"/>
        <v>6</v>
      </c>
      <c r="C1685" s="80">
        <v>42543</v>
      </c>
      <c r="D1685" s="64" t="s">
        <v>705</v>
      </c>
      <c r="E1685" s="80">
        <f t="shared" si="232"/>
        <v>42543</v>
      </c>
      <c r="F1685" s="81" t="s">
        <v>1883</v>
      </c>
      <c r="G1685" s="81" t="s">
        <v>919</v>
      </c>
      <c r="H1685" s="82" t="s">
        <v>733</v>
      </c>
      <c r="I1685" s="437"/>
      <c r="J1685" s="437"/>
      <c r="K1685" s="428">
        <v>61000</v>
      </c>
      <c r="L1685" s="437">
        <v>22308</v>
      </c>
      <c r="M1685" s="83">
        <f>ROUND(K1685*L1685,0)</f>
        <v>1360788000</v>
      </c>
      <c r="N1685" s="84" t="s">
        <v>260</v>
      </c>
      <c r="O1685" s="84" t="s">
        <v>266</v>
      </c>
      <c r="P1685" s="84" t="str">
        <f>IF(AND('331-CT'!$E$7=TH!H1690,OR(N1685="331",O1685="331")),"x","")</f>
        <v/>
      </c>
      <c r="Q1685" s="84" t="str">
        <f>IF(AND(B1685='111'!$L$11,OR($N1685=$Q$7,$O1685=$Q$7)),"x","")</f>
        <v/>
      </c>
      <c r="R1685" s="84" t="str">
        <f>IF(AND($N1685=$Q$7,$B1685&lt;'111'!$L$11),"x","")</f>
        <v/>
      </c>
      <c r="S1685" s="84" t="str">
        <f>IF(AND($O1685=$Q$7,$B1685&lt;'111'!$L$11),"x","")</f>
        <v/>
      </c>
      <c r="T1685" s="84" t="str">
        <f>IF(ISERROR(FIND('112'!$M$9,G1685,1)),"",IF((AND(FIND('112'!$M$9,G1685,1)&gt;=1,B1685='112'!$K$9,OR($N1685='112'!$I$6,$O1685='112'!$I$6))),"x",""))</f>
        <v/>
      </c>
      <c r="U1685" s="84" t="str">
        <f>IF(ISERROR(FIND('112'!$M$9,G1685,1)),"",IF((AND(LEFT(G1685,2)=LEFT('112'!$M$9,2),B1685&lt;'112'!$K$9,$N1685='112'!$I$6)),"x",""))</f>
        <v/>
      </c>
      <c r="V1685" s="84" t="str">
        <f>IF(ISERROR(FIND('112'!$M$9,G1685,1)),"",IF((AND(RIGHT(G1685,2)=RIGHT('112'!$M$9,2),B1685&lt;'112'!$K$9,$O1685='112'!$I$6)),"x",""))</f>
        <v/>
      </c>
      <c r="W1685" s="84" t="str">
        <f>IF(AND('341-CT'!$H$9=H1685,OR(LEFT(N1685,3)=$W$7,LEFT(O1685,3)=$W$7)),"x","")</f>
        <v/>
      </c>
      <c r="X1685" s="84" t="str">
        <f>IF(OR(TH!N1690=TH!$X$7,O1685=TH!$X$7),"x","")</f>
        <v/>
      </c>
      <c r="Y1685" s="84" t="str">
        <f>IF(AND(OR(N1685="131",O1685="131"),H1685='131-CT'!$H$9),"x","")</f>
        <v/>
      </c>
      <c r="Z1685" s="84"/>
      <c r="AA1685" s="84" t="str">
        <f>IF(AND(MONTH(E1685)='IN-NX'!$J$5,'IN-NX'!$D$7=D1685),"x","")</f>
        <v/>
      </c>
      <c r="AB1685" s="84" t="str">
        <f>IF(AND(OR(LEFT(TH!N1690,2)="15",LEFT(TH!O1690,2)="15"),LEFT(TH!O1690,3)&lt;&gt;"111",'152-CT'!$J$8=TH!F1690),"x","")</f>
        <v/>
      </c>
      <c r="AC1685" s="84" t="str">
        <f>IF(AND(OR(LEFT(TH!N1690,2)="15",LEFT(TH!O1690,2)="15"),TK!$E$7=TH!F1690),"x","")</f>
        <v/>
      </c>
      <c r="AD1685" s="84" t="str">
        <f>IF(AND(N1685="1521",MONTH(C1685)='BK-NL'!$M$11),"x","")</f>
        <v/>
      </c>
      <c r="AE1685" s="347"/>
      <c r="AF1685" s="347"/>
    </row>
    <row r="1686" spans="1:32" ht="15.75" hidden="1" customHeight="1">
      <c r="A1686" s="336" t="str">
        <f>IF(B1686&lt;&gt;"",IF(AND(B1686='IN-TC'!$S$4,OR(TH!N1700="1111",TH!O1700="1111")),TH!D1700,""),"")</f>
        <v/>
      </c>
      <c r="B1686" s="1003">
        <f t="shared" si="231"/>
        <v>6</v>
      </c>
      <c r="C1686" s="80">
        <v>42543</v>
      </c>
      <c r="D1686" s="80" t="s">
        <v>582</v>
      </c>
      <c r="E1686" s="80">
        <f t="shared" si="232"/>
        <v>42543</v>
      </c>
      <c r="F1686" s="81" t="s">
        <v>1068</v>
      </c>
      <c r="G1686" s="81"/>
      <c r="H1686" s="82" t="s">
        <v>733</v>
      </c>
      <c r="I1686" s="437"/>
      <c r="J1686" s="437"/>
      <c r="K1686" s="428"/>
      <c r="L1686" s="437"/>
      <c r="M1686" s="83">
        <v>8052000</v>
      </c>
      <c r="N1686" s="84" t="s">
        <v>260</v>
      </c>
      <c r="O1686" s="66" t="s">
        <v>43</v>
      </c>
      <c r="P1686" s="84" t="str">
        <f>IF(AND('331-CT'!$E$7=TH!H1700,OR(N1686="331",O1686="331")),"x","")</f>
        <v/>
      </c>
      <c r="Q1686" s="84" t="str">
        <f>IF(AND(B1686='111'!$L$11,OR($N1686=$Q$7,$O1686=$Q$7)),"x","")</f>
        <v/>
      </c>
      <c r="R1686" s="84" t="str">
        <f>IF(AND($N1686=$Q$7,$B1686&lt;'111'!$L$11),"x","")</f>
        <v/>
      </c>
      <c r="S1686" s="84" t="str">
        <f>IF(AND($O1686=$Q$7,$B1686&lt;'111'!$L$11),"x","")</f>
        <v/>
      </c>
      <c r="T1686" s="84" t="str">
        <f>IF(ISERROR(FIND('112'!$M$9,G1686,1)),"",IF((AND(FIND('112'!$M$9,G1686,1)&gt;=1,B1686='112'!$K$9,OR($N1686='112'!$I$6,$O1686='112'!$I$6))),"x",""))</f>
        <v/>
      </c>
      <c r="U1686" s="84" t="str">
        <f>IF(ISERROR(FIND('112'!$M$9,G1686,1)),"",IF((AND(LEFT(G1686,2)=LEFT('112'!$M$9,2),B1686&lt;'112'!$K$9,$N1686='112'!$I$6)),"x",""))</f>
        <v/>
      </c>
      <c r="V1686" s="84" t="str">
        <f>IF(ISERROR(FIND('112'!$M$9,G1686,1)),"",IF((AND(RIGHT(G1686,2)=RIGHT('112'!$M$9,2),B1686&lt;'112'!$K$9,$O1686='112'!$I$6)),"x",""))</f>
        <v/>
      </c>
      <c r="W1686" s="84" t="str">
        <f>IF(AND('341-CT'!$H$9=H1686,OR(LEFT(N1686,3)=$W$7,LEFT(O1686,3)=$W$7)),"x","")</f>
        <v/>
      </c>
      <c r="X1686" s="84" t="str">
        <f>IF(OR(TH!N1700=TH!$X$7,O1686=TH!$X$7),"x","")</f>
        <v/>
      </c>
      <c r="Y1686" s="84" t="str">
        <f>IF(AND(OR(N1686="131",O1686="131"),H1686='131-CT'!$H$9),"x","")</f>
        <v/>
      </c>
      <c r="Z1686" s="84"/>
      <c r="AA1686" s="84" t="str">
        <f>IF(AND(MONTH(E1686)='IN-NX'!$J$5,'IN-NX'!$D$7=D1686),"x","")</f>
        <v/>
      </c>
      <c r="AB1686" s="84" t="str">
        <f>IF(AND(OR(LEFT(TH!N1700,2)="15",LEFT(TH!O1700,2)="15"),LEFT(TH!O1700,3)&lt;&gt;"111",'152-CT'!$J$8=TH!F1700),"x","")</f>
        <v/>
      </c>
      <c r="AC1686" s="84" t="str">
        <f>IF(AND(OR(LEFT(TH!N1700,2)="15",LEFT(TH!O1700,2)="15"),TK!$E$7=TH!F1700),"x","")</f>
        <v/>
      </c>
      <c r="AD1686" s="84" t="str">
        <f>IF(AND(N1686="1521",MONTH(C1686)='BK-NL'!$M$11),"x","")</f>
        <v/>
      </c>
      <c r="AE1686" s="347"/>
      <c r="AF1686" s="347"/>
    </row>
    <row r="1687" spans="1:32" ht="15.75" hidden="1" customHeight="1">
      <c r="A1687" s="336" t="str">
        <f>IF(B1687&lt;&gt;"",IF(AND(B1687='IN-TC'!$S$4,OR(TH!N1673="1111",TH!O1673="1111")),TH!D1673,""),"")</f>
        <v/>
      </c>
      <c r="B1687" s="63">
        <f t="shared" si="231"/>
        <v>6</v>
      </c>
      <c r="C1687" s="64">
        <v>42543</v>
      </c>
      <c r="D1687" s="64" t="s">
        <v>705</v>
      </c>
      <c r="E1687" s="64">
        <f t="shared" si="232"/>
        <v>42543</v>
      </c>
      <c r="F1687" s="73" t="s">
        <v>754</v>
      </c>
      <c r="G1687" s="67" t="s">
        <v>919</v>
      </c>
      <c r="H1687" s="344" t="s">
        <v>727</v>
      </c>
      <c r="I1687" s="439"/>
      <c r="J1687" s="439"/>
      <c r="K1687" s="430"/>
      <c r="L1687" s="439"/>
      <c r="M1687" s="65">
        <v>883375</v>
      </c>
      <c r="N1687" s="66" t="s">
        <v>99</v>
      </c>
      <c r="O1687" s="66" t="s">
        <v>26</v>
      </c>
      <c r="P1687" s="84" t="str">
        <f>IF(AND('331-CT'!$E$7=TH!H1673,OR(N1687="331",O1687="331")),"x","")</f>
        <v/>
      </c>
      <c r="Q1687" s="84" t="str">
        <f>IF(AND(B1687='111'!$L$11,OR($N1687=$Q$7,$O1687=$Q$7)),"x","")</f>
        <v/>
      </c>
      <c r="R1687" s="84" t="str">
        <f>IF(AND($N1687=$Q$7,$B1687&lt;'111'!$L$11),"x","")</f>
        <v/>
      </c>
      <c r="S1687" s="84" t="str">
        <f>IF(AND($O1687=$Q$7,$B1687&lt;'111'!$L$11),"x","")</f>
        <v/>
      </c>
      <c r="T1687" s="84" t="str">
        <f>IF(ISERROR(FIND('112'!$M$9,G1687,1)),"",IF((AND(FIND('112'!$M$9,G1687,1)&gt;=1,B1687='112'!$K$9,OR($N1687='112'!$I$6,$O1687='112'!$I$6))),"x",""))</f>
        <v>x</v>
      </c>
      <c r="U1687" s="84" t="str">
        <f>IF(ISERROR(FIND('112'!$M$9,G1687,1)),"",IF((AND(LEFT(G1687,2)=LEFT('112'!$M$9,2),B1687&lt;'112'!$K$9,$N1687='112'!$I$6)),"x",""))</f>
        <v/>
      </c>
      <c r="V1687" s="84" t="str">
        <f>IF(ISERROR(FIND('112'!$M$9,G1687,1)),"",IF((AND(RIGHT(G1687,2)=RIGHT('112'!$M$9,2),B1687&lt;'112'!$K$9,$O1687='112'!$I$6)),"x",""))</f>
        <v/>
      </c>
      <c r="W1687" s="84" t="str">
        <f>IF(AND('341-CT'!$H$9=H1687,OR(LEFT(N1687,3)=$W$7,LEFT(O1687,3)=$W$7)),"x","")</f>
        <v/>
      </c>
      <c r="X1687" s="84" t="str">
        <f>IF(OR(TH!N1673=TH!$X$7,O1687=TH!$X$7),"x","")</f>
        <v/>
      </c>
      <c r="Y1687" s="84" t="str">
        <f>IF(AND(OR(N1687="131",O1687="131"),H1687='131-CT'!$H$9),"x","")</f>
        <v/>
      </c>
      <c r="Z1687" s="84"/>
      <c r="AA1687" s="84" t="str">
        <f>IF(AND(MONTH(E1687)='IN-NX'!$J$5,'IN-NX'!$D$7=D1687),"x","")</f>
        <v/>
      </c>
      <c r="AB1687" s="84" t="str">
        <f>IF(AND(OR(LEFT(TH!N1673,2)="15",LEFT(TH!O1673,2)="15"),LEFT(TH!O1673,3)&lt;&gt;"111",'152-CT'!$J$8=TH!F1673),"x","")</f>
        <v/>
      </c>
      <c r="AC1687" s="84" t="str">
        <f>IF(AND(OR(LEFT(TH!N1673,2)="15",LEFT(TH!O1673,2)="15"),TK!$E$7=TH!F1673),"x","")</f>
        <v/>
      </c>
      <c r="AD1687" s="84" t="str">
        <f>IF(AND(N1687="1521",MONTH(C1687)='BK-NL'!$M$11),"x","")</f>
        <v/>
      </c>
    </row>
    <row r="1688" spans="1:32" ht="15.75" hidden="1" customHeight="1">
      <c r="A1688" s="336" t="str">
        <f>IF(B1688&lt;&gt;"",IF(AND(B1688='IN-TC'!$S$4,OR(TH!N1691="1111",TH!O1691="1111")),TH!D1691,""),"")</f>
        <v/>
      </c>
      <c r="B1688" s="1003">
        <f t="shared" si="231"/>
        <v>6</v>
      </c>
      <c r="C1688" s="80">
        <v>42543</v>
      </c>
      <c r="D1688" s="64" t="s">
        <v>705</v>
      </c>
      <c r="E1688" s="80">
        <f t="shared" si="232"/>
        <v>42543</v>
      </c>
      <c r="F1688" s="81" t="s">
        <v>1883</v>
      </c>
      <c r="G1688" s="81" t="s">
        <v>919</v>
      </c>
      <c r="H1688" s="82" t="s">
        <v>727</v>
      </c>
      <c r="I1688" s="437"/>
      <c r="J1688" s="437"/>
      <c r="K1688" s="428">
        <v>89000</v>
      </c>
      <c r="L1688" s="437">
        <v>22308</v>
      </c>
      <c r="M1688" s="83">
        <f>ROUND(K1688*L1688,0)</f>
        <v>1985412000</v>
      </c>
      <c r="N1688" s="84" t="s">
        <v>260</v>
      </c>
      <c r="O1688" s="84" t="s">
        <v>266</v>
      </c>
      <c r="P1688" s="84" t="str">
        <f>IF(AND('331-CT'!$E$7=TH!H1691,OR(N1688="331",O1688="331")),"x","")</f>
        <v/>
      </c>
      <c r="Q1688" s="84" t="str">
        <f>IF(AND(B1688='111'!$L$11,OR($N1688=$Q$7,$O1688=$Q$7)),"x","")</f>
        <v/>
      </c>
      <c r="R1688" s="84" t="str">
        <f>IF(AND($N1688=$Q$7,$B1688&lt;'111'!$L$11),"x","")</f>
        <v/>
      </c>
      <c r="S1688" s="84" t="str">
        <f>IF(AND($O1688=$Q$7,$B1688&lt;'111'!$L$11),"x","")</f>
        <v/>
      </c>
      <c r="T1688" s="84" t="str">
        <f>IF(ISERROR(FIND('112'!$M$9,G1688,1)),"",IF((AND(FIND('112'!$M$9,G1688,1)&gt;=1,B1688='112'!$K$9,OR($N1688='112'!$I$6,$O1688='112'!$I$6))),"x",""))</f>
        <v/>
      </c>
      <c r="U1688" s="84" t="str">
        <f>IF(ISERROR(FIND('112'!$M$9,G1688,1)),"",IF((AND(LEFT(G1688,2)=LEFT('112'!$M$9,2),B1688&lt;'112'!$K$9,$N1688='112'!$I$6)),"x",""))</f>
        <v/>
      </c>
      <c r="V1688" s="84" t="str">
        <f>IF(ISERROR(FIND('112'!$M$9,G1688,1)),"",IF((AND(RIGHT(G1688,2)=RIGHT('112'!$M$9,2),B1688&lt;'112'!$K$9,$O1688='112'!$I$6)),"x",""))</f>
        <v/>
      </c>
      <c r="W1688" s="84" t="str">
        <f>IF(AND('341-CT'!$H$9=H1688,OR(LEFT(N1688,3)=$W$7,LEFT(O1688,3)=$W$7)),"x","")</f>
        <v/>
      </c>
      <c r="X1688" s="84" t="str">
        <f>IF(OR(TH!N1691=TH!$X$7,O1688=TH!$X$7),"x","")</f>
        <v/>
      </c>
      <c r="Y1688" s="84" t="str">
        <f>IF(AND(OR(N1688="131",O1688="131"),H1688='131-CT'!$H$9),"x","")</f>
        <v/>
      </c>
      <c r="Z1688" s="84"/>
      <c r="AA1688" s="84" t="str">
        <f>IF(AND(MONTH(E1688)='IN-NX'!$J$5,'IN-NX'!$D$7=D1688),"x","")</f>
        <v/>
      </c>
      <c r="AB1688" s="84" t="str">
        <f>IF(AND(OR(LEFT(TH!N1691,2)="15",LEFT(TH!O1691,2)="15"),LEFT(TH!O1691,3)&lt;&gt;"111",'152-CT'!$J$8=TH!F1691),"x","")</f>
        <v/>
      </c>
      <c r="AC1688" s="84" t="str">
        <f>IF(AND(OR(LEFT(TH!N1691,2)="15",LEFT(TH!O1691,2)="15"),TK!$E$7=TH!F1691),"x","")</f>
        <v/>
      </c>
      <c r="AD1688" s="84" t="str">
        <f>IF(AND(N1688="1521",MONTH(C1688)='BK-NL'!$M$11),"x","")</f>
        <v/>
      </c>
      <c r="AE1688" s="347"/>
      <c r="AF1688" s="347"/>
    </row>
    <row r="1689" spans="1:32" ht="15.75" hidden="1" customHeight="1">
      <c r="A1689" s="336" t="str">
        <f>IF(B1689&lt;&gt;"",IF(AND(B1689='IN-TC'!$S$4,OR(TH!N1701="1111",TH!O1701="1111")),TH!D1701,""),"")</f>
        <v/>
      </c>
      <c r="B1689" s="1003">
        <f t="shared" si="231"/>
        <v>6</v>
      </c>
      <c r="C1689" s="80">
        <v>42543</v>
      </c>
      <c r="D1689" s="80" t="s">
        <v>582</v>
      </c>
      <c r="E1689" s="80">
        <f t="shared" si="232"/>
        <v>42543</v>
      </c>
      <c r="F1689" s="81" t="s">
        <v>1068</v>
      </c>
      <c r="G1689" s="81"/>
      <c r="H1689" s="82" t="s">
        <v>727</v>
      </c>
      <c r="I1689" s="437"/>
      <c r="J1689" s="437"/>
      <c r="K1689" s="428"/>
      <c r="L1689" s="437"/>
      <c r="M1689" s="83">
        <v>15931000</v>
      </c>
      <c r="N1689" s="84" t="s">
        <v>260</v>
      </c>
      <c r="O1689" s="66" t="s">
        <v>43</v>
      </c>
      <c r="P1689" s="84" t="str">
        <f>IF(AND('331-CT'!$E$7=TH!H1701,OR(N1689="331",O1689="331")),"x","")</f>
        <v/>
      </c>
      <c r="Q1689" s="84" t="str">
        <f>IF(AND(B1689='111'!$L$11,OR($N1689=$Q$7,$O1689=$Q$7)),"x","")</f>
        <v/>
      </c>
      <c r="R1689" s="84" t="str">
        <f>IF(AND($N1689=$Q$7,$B1689&lt;'111'!$L$11),"x","")</f>
        <v/>
      </c>
      <c r="S1689" s="84" t="str">
        <f>IF(AND($O1689=$Q$7,$B1689&lt;'111'!$L$11),"x","")</f>
        <v/>
      </c>
      <c r="T1689" s="84" t="str">
        <f>IF(ISERROR(FIND('112'!$M$9,G1689,1)),"",IF((AND(FIND('112'!$M$9,G1689,1)&gt;=1,B1689='112'!$K$9,OR($N1689='112'!$I$6,$O1689='112'!$I$6))),"x",""))</f>
        <v/>
      </c>
      <c r="U1689" s="84" t="str">
        <f>IF(ISERROR(FIND('112'!$M$9,G1689,1)),"",IF((AND(LEFT(G1689,2)=LEFT('112'!$M$9,2),B1689&lt;'112'!$K$9,$N1689='112'!$I$6)),"x",""))</f>
        <v/>
      </c>
      <c r="V1689" s="84" t="str">
        <f>IF(ISERROR(FIND('112'!$M$9,G1689,1)),"",IF((AND(RIGHT(G1689,2)=RIGHT('112'!$M$9,2),B1689&lt;'112'!$K$9,$O1689='112'!$I$6)),"x",""))</f>
        <v/>
      </c>
      <c r="W1689" s="84" t="str">
        <f>IF(AND('341-CT'!$H$9=H1689,OR(LEFT(N1689,3)=$W$7,LEFT(O1689,3)=$W$7)),"x","")</f>
        <v/>
      </c>
      <c r="X1689" s="84" t="str">
        <f>IF(OR(TH!N1701=TH!$X$7,O1689=TH!$X$7),"x","")</f>
        <v/>
      </c>
      <c r="Y1689" s="84" t="str">
        <f>IF(AND(OR(N1689="131",O1689="131"),H1689='131-CT'!$H$9),"x","")</f>
        <v/>
      </c>
      <c r="Z1689" s="84"/>
      <c r="AA1689" s="84" t="str">
        <f>IF(AND(MONTH(E1689)='IN-NX'!$J$5,'IN-NX'!$D$7=D1689),"x","")</f>
        <v/>
      </c>
      <c r="AB1689" s="84" t="str">
        <f>IF(AND(OR(LEFT(TH!N1701,2)="15",LEFT(TH!O1701,2)="15"),LEFT(TH!O1701,3)&lt;&gt;"111",'152-CT'!$J$8=TH!F1701),"x","")</f>
        <v/>
      </c>
      <c r="AC1689" s="84" t="str">
        <f>IF(AND(OR(LEFT(TH!N1701,2)="15",LEFT(TH!O1701,2)="15"),TK!$E$7=TH!F1701),"x","")</f>
        <v/>
      </c>
      <c r="AD1689" s="84" t="str">
        <f>IF(AND(N1689="1521",MONTH(C1689)='BK-NL'!$M$11),"x","")</f>
        <v/>
      </c>
      <c r="AE1689" s="347"/>
      <c r="AF1689" s="347"/>
    </row>
    <row r="1690" spans="1:32" ht="15.75" hidden="1" customHeight="1">
      <c r="A1690" s="336" t="str">
        <f>IF(B1690&lt;&gt;"",IF(AND(B1690='IN-TC'!$S$4,OR(TH!N1674="1111",TH!O1674="1111")),TH!D1674,""),"")</f>
        <v/>
      </c>
      <c r="B1690" s="63">
        <f t="shared" si="231"/>
        <v>6</v>
      </c>
      <c r="C1690" s="64">
        <v>42543</v>
      </c>
      <c r="D1690" s="64" t="s">
        <v>705</v>
      </c>
      <c r="E1690" s="64">
        <f t="shared" si="232"/>
        <v>42543</v>
      </c>
      <c r="F1690" s="73" t="s">
        <v>1061</v>
      </c>
      <c r="G1690" s="67" t="s">
        <v>919</v>
      </c>
      <c r="H1690" s="344" t="s">
        <v>728</v>
      </c>
      <c r="I1690" s="439"/>
      <c r="J1690" s="439"/>
      <c r="K1690" s="430"/>
      <c r="L1690" s="439"/>
      <c r="M1690" s="65">
        <v>873326</v>
      </c>
      <c r="N1690" s="66" t="s">
        <v>99</v>
      </c>
      <c r="O1690" s="66" t="s">
        <v>26</v>
      </c>
      <c r="P1690" s="84" t="str">
        <f>IF(AND('331-CT'!$E$7=TH!H1674,OR(N1690="331",O1690="331")),"x","")</f>
        <v/>
      </c>
      <c r="Q1690" s="84" t="str">
        <f>IF(AND(B1690='111'!$L$11,OR($N1690=$Q$7,$O1690=$Q$7)),"x","")</f>
        <v/>
      </c>
      <c r="R1690" s="84" t="str">
        <f>IF(AND($N1690=$Q$7,$B1690&lt;'111'!$L$11),"x","")</f>
        <v/>
      </c>
      <c r="S1690" s="84" t="str">
        <f>IF(AND($O1690=$Q$7,$B1690&lt;'111'!$L$11),"x","")</f>
        <v/>
      </c>
      <c r="T1690" s="84" t="str">
        <f>IF(ISERROR(FIND('112'!$M$9,G1690,1)),"",IF((AND(FIND('112'!$M$9,G1690,1)&gt;=1,B1690='112'!$K$9,OR($N1690='112'!$I$6,$O1690='112'!$I$6))),"x",""))</f>
        <v>x</v>
      </c>
      <c r="U1690" s="84" t="str">
        <f>IF(ISERROR(FIND('112'!$M$9,G1690,1)),"",IF((AND(LEFT(G1690,2)=LEFT('112'!$M$9,2),B1690&lt;'112'!$K$9,$N1690='112'!$I$6)),"x",""))</f>
        <v/>
      </c>
      <c r="V1690" s="84" t="str">
        <f>IF(ISERROR(FIND('112'!$M$9,G1690,1)),"",IF((AND(RIGHT(G1690,2)=RIGHT('112'!$M$9,2),B1690&lt;'112'!$K$9,$O1690='112'!$I$6)),"x",""))</f>
        <v/>
      </c>
      <c r="W1690" s="84" t="str">
        <f>IF(AND('341-CT'!$H$9=H1690,OR(LEFT(N1690,3)=$W$7,LEFT(O1690,3)=$W$7)),"x","")</f>
        <v/>
      </c>
      <c r="X1690" s="84" t="str">
        <f>IF(OR(TH!N1674=TH!$X$7,O1690=TH!$X$7),"x","")</f>
        <v/>
      </c>
      <c r="Y1690" s="84" t="str">
        <f>IF(AND(OR(N1690="131",O1690="131"),H1690='131-CT'!$H$9),"x","")</f>
        <v/>
      </c>
      <c r="Z1690" s="84"/>
      <c r="AA1690" s="84" t="str">
        <f>IF(AND(MONTH(E1690)='IN-NX'!$J$5,'IN-NX'!$D$7=D1690),"x","")</f>
        <v/>
      </c>
      <c r="AB1690" s="84" t="str">
        <f>IF(AND(OR(LEFT(TH!N1674,2)="15",LEFT(TH!O1674,2)="15"),LEFT(TH!O1674,3)&lt;&gt;"111",'152-CT'!$J$8=TH!F1674),"x","")</f>
        <v/>
      </c>
      <c r="AC1690" s="84" t="str">
        <f>IF(AND(OR(LEFT(TH!N1674,2)="15",LEFT(TH!O1674,2)="15"),TK!$E$7=TH!F1674),"x","")</f>
        <v/>
      </c>
      <c r="AD1690" s="84" t="str">
        <f>IF(AND(N1690="1521",MONTH(C1690)='BK-NL'!$M$11),"x","")</f>
        <v/>
      </c>
    </row>
    <row r="1691" spans="1:32" ht="15.75" hidden="1" customHeight="1">
      <c r="A1691" s="336" t="str">
        <f>IF(B1691&lt;&gt;"",IF(AND(B1691='IN-TC'!$S$4,OR(TH!N1687="1111",TH!O1687="1111")),TH!D1687,""),"")</f>
        <v/>
      </c>
      <c r="B1691" s="1003">
        <f t="shared" si="231"/>
        <v>6</v>
      </c>
      <c r="C1691" s="80">
        <v>42543</v>
      </c>
      <c r="D1691" s="64" t="s">
        <v>705</v>
      </c>
      <c r="E1691" s="80">
        <f t="shared" si="232"/>
        <v>42543</v>
      </c>
      <c r="F1691" s="81" t="s">
        <v>1883</v>
      </c>
      <c r="G1691" s="81" t="s">
        <v>919</v>
      </c>
      <c r="H1691" s="82" t="s">
        <v>728</v>
      </c>
      <c r="I1691" s="437"/>
      <c r="J1691" s="437"/>
      <c r="K1691" s="428">
        <v>88000</v>
      </c>
      <c r="L1691" s="437">
        <v>22308</v>
      </c>
      <c r="M1691" s="83">
        <f>ROUND(K1691*L1691,0)</f>
        <v>1963104000</v>
      </c>
      <c r="N1691" s="84" t="s">
        <v>260</v>
      </c>
      <c r="O1691" s="84" t="s">
        <v>266</v>
      </c>
      <c r="P1691" s="84" t="str">
        <f>IF(AND('331-CT'!$E$7=TH!H1687,OR(N1691="331",O1691="331")),"x","")</f>
        <v/>
      </c>
      <c r="Q1691" s="84" t="str">
        <f>IF(AND(B1691='111'!$L$11,OR($N1691=$Q$7,$O1691=$Q$7)),"x","")</f>
        <v/>
      </c>
      <c r="R1691" s="84" t="str">
        <f>IF(AND($N1691=$Q$7,$B1691&lt;'111'!$L$11),"x","")</f>
        <v/>
      </c>
      <c r="S1691" s="84" t="str">
        <f>IF(AND($O1691=$Q$7,$B1691&lt;'111'!$L$11),"x","")</f>
        <v/>
      </c>
      <c r="T1691" s="84" t="str">
        <f>IF(ISERROR(FIND('112'!$M$9,G1691,1)),"",IF((AND(FIND('112'!$M$9,G1691,1)&gt;=1,B1691='112'!$K$9,OR($N1691='112'!$I$6,$O1691='112'!$I$6))),"x",""))</f>
        <v/>
      </c>
      <c r="U1691" s="84" t="str">
        <f>IF(ISERROR(FIND('112'!$M$9,G1691,1)),"",IF((AND(LEFT(G1691,2)=LEFT('112'!$M$9,2),B1691&lt;'112'!$K$9,$N1691='112'!$I$6)),"x",""))</f>
        <v/>
      </c>
      <c r="V1691" s="84" t="str">
        <f>IF(ISERROR(FIND('112'!$M$9,G1691,1)),"",IF((AND(RIGHT(G1691,2)=RIGHT('112'!$M$9,2),B1691&lt;'112'!$K$9,$O1691='112'!$I$6)),"x",""))</f>
        <v/>
      </c>
      <c r="W1691" s="84" t="str">
        <f>IF(AND('341-CT'!$H$9=H1691,OR(LEFT(N1691,3)=$W$7,LEFT(O1691,3)=$W$7)),"x","")</f>
        <v/>
      </c>
      <c r="X1691" s="84" t="str">
        <f>IF(OR(TH!N1687=TH!$X$7,O1691=TH!$X$7),"x","")</f>
        <v/>
      </c>
      <c r="Y1691" s="84" t="str">
        <f>IF(AND(OR(N1691="131",O1691="131"),H1691='131-CT'!$H$9),"x","")</f>
        <v/>
      </c>
      <c r="Z1691" s="84"/>
      <c r="AA1691" s="84" t="str">
        <f>IF(AND(MONTH(E1691)='IN-NX'!$J$5,'IN-NX'!$D$7=D1691),"x","")</f>
        <v/>
      </c>
      <c r="AB1691" s="84" t="str">
        <f>IF(AND(OR(LEFT(TH!N1687,2)="15",LEFT(TH!O1687,2)="15"),LEFT(TH!O1687,3)&lt;&gt;"111",'152-CT'!$J$8=TH!F1687),"x","")</f>
        <v/>
      </c>
      <c r="AC1691" s="84" t="str">
        <f>IF(AND(OR(LEFT(TH!N1687,2)="15",LEFT(TH!O1687,2)="15"),TK!$E$7=TH!F1687),"x","")</f>
        <v/>
      </c>
      <c r="AD1691" s="84" t="str">
        <f>IF(AND(N1691="1521",MONTH(C1691)='BK-NL'!$M$11),"x","")</f>
        <v/>
      </c>
      <c r="AE1691" s="347"/>
      <c r="AF1691" s="347"/>
    </row>
    <row r="1692" spans="1:32" ht="15.75" hidden="1" customHeight="1">
      <c r="A1692" s="336" t="str">
        <f>IF(B1692&lt;&gt;"",IF(AND(B1692='IN-TC'!$S$4,OR(TH!N1697="1111",TH!O1697="1111")),TH!D1697,""),"")</f>
        <v/>
      </c>
      <c r="B1692" s="1003">
        <f t="shared" si="231"/>
        <v>6</v>
      </c>
      <c r="C1692" s="80">
        <v>42543</v>
      </c>
      <c r="D1692" s="80" t="s">
        <v>582</v>
      </c>
      <c r="E1692" s="80">
        <f t="shared" si="232"/>
        <v>42543</v>
      </c>
      <c r="F1692" s="81" t="s">
        <v>1068</v>
      </c>
      <c r="G1692" s="81"/>
      <c r="H1692" s="82" t="s">
        <v>728</v>
      </c>
      <c r="I1692" s="437"/>
      <c r="J1692" s="437"/>
      <c r="K1692" s="428"/>
      <c r="L1692" s="437"/>
      <c r="M1692" s="83">
        <v>20416000</v>
      </c>
      <c r="N1692" s="84" t="s">
        <v>260</v>
      </c>
      <c r="O1692" s="66" t="s">
        <v>43</v>
      </c>
      <c r="P1692" s="84" t="str">
        <f>IF(AND('331-CT'!$E$7=TH!H1697,OR(N1692="331",O1692="331")),"x","")</f>
        <v/>
      </c>
      <c r="Q1692" s="84" t="str">
        <f>IF(AND(B1692='111'!$L$11,OR($N1692=$Q$7,$O1692=$Q$7)),"x","")</f>
        <v/>
      </c>
      <c r="R1692" s="84" t="str">
        <f>IF(AND($N1692=$Q$7,$B1692&lt;'111'!$L$11),"x","")</f>
        <v/>
      </c>
      <c r="S1692" s="84" t="str">
        <f>IF(AND($O1692=$Q$7,$B1692&lt;'111'!$L$11),"x","")</f>
        <v/>
      </c>
      <c r="T1692" s="84" t="str">
        <f>IF(ISERROR(FIND('112'!$M$9,G1692,1)),"",IF((AND(FIND('112'!$M$9,G1692,1)&gt;=1,B1692='112'!$K$9,OR($N1692='112'!$I$6,$O1692='112'!$I$6))),"x",""))</f>
        <v/>
      </c>
      <c r="U1692" s="84" t="str">
        <f>IF(ISERROR(FIND('112'!$M$9,G1692,1)),"",IF((AND(LEFT(G1692,2)=LEFT('112'!$M$9,2),B1692&lt;'112'!$K$9,$N1692='112'!$I$6)),"x",""))</f>
        <v/>
      </c>
      <c r="V1692" s="84" t="str">
        <f>IF(ISERROR(FIND('112'!$M$9,G1692,1)),"",IF((AND(RIGHT(G1692,2)=RIGHT('112'!$M$9,2),B1692&lt;'112'!$K$9,$O1692='112'!$I$6)),"x",""))</f>
        <v/>
      </c>
      <c r="W1692" s="84" t="str">
        <f>IF(AND('341-CT'!$H$9=H1692,OR(LEFT(N1692,3)=$W$7,LEFT(O1692,3)=$W$7)),"x","")</f>
        <v/>
      </c>
      <c r="X1692" s="84" t="str">
        <f>IF(OR(TH!N1697=TH!$X$7,O1692=TH!$X$7),"x","")</f>
        <v/>
      </c>
      <c r="Y1692" s="84" t="str">
        <f>IF(AND(OR(N1692="131",O1692="131"),H1692='131-CT'!$H$9),"x","")</f>
        <v/>
      </c>
      <c r="Z1692" s="84"/>
      <c r="AA1692" s="84" t="str">
        <f>IF(AND(MONTH(E1692)='IN-NX'!$J$5,'IN-NX'!$D$7=D1692),"x","")</f>
        <v/>
      </c>
      <c r="AB1692" s="84" t="str">
        <f>IF(AND(OR(LEFT(TH!N1697,2)="15",LEFT(TH!O1697,2)="15"),LEFT(TH!O1697,3)&lt;&gt;"111",'152-CT'!$J$8=TH!F1697),"x","")</f>
        <v/>
      </c>
      <c r="AC1692" s="84" t="str">
        <f>IF(AND(OR(LEFT(TH!N1697,2)="15",LEFT(TH!O1697,2)="15"),TK!$E$7=TH!F1697),"x","")</f>
        <v/>
      </c>
      <c r="AD1692" s="84" t="str">
        <f>IF(AND(N1692="1521",MONTH(C1692)='BK-NL'!$M$11),"x","")</f>
        <v/>
      </c>
      <c r="AE1692" s="347"/>
      <c r="AF1692" s="347"/>
    </row>
    <row r="1693" spans="1:32" ht="15.75" hidden="1" customHeight="1">
      <c r="A1693" s="336" t="str">
        <f>IF(B1693&lt;&gt;"",IF(AND(B1693='IN-TC'!$S$4,OR(TH!N1675="1111",TH!O1675="1111")),TH!D1675,""),"")</f>
        <v/>
      </c>
      <c r="B1693" s="63">
        <f t="shared" si="231"/>
        <v>6</v>
      </c>
      <c r="C1693" s="64">
        <v>42543</v>
      </c>
      <c r="D1693" s="64" t="s">
        <v>705</v>
      </c>
      <c r="E1693" s="64">
        <f t="shared" si="232"/>
        <v>42543</v>
      </c>
      <c r="F1693" s="73" t="s">
        <v>1652</v>
      </c>
      <c r="G1693" s="67" t="s">
        <v>919</v>
      </c>
      <c r="H1693" s="344" t="s">
        <v>736</v>
      </c>
      <c r="I1693" s="439"/>
      <c r="J1693" s="439"/>
      <c r="K1693" s="430"/>
      <c r="L1693" s="439"/>
      <c r="M1693" s="65">
        <v>962646</v>
      </c>
      <c r="N1693" s="66" t="s">
        <v>99</v>
      </c>
      <c r="O1693" s="66" t="s">
        <v>26</v>
      </c>
      <c r="P1693" s="84" t="str">
        <f>IF(AND('331-CT'!$E$7=TH!H1675,OR(N1693="331",O1693="331")),"x","")</f>
        <v/>
      </c>
      <c r="Q1693" s="84" t="str">
        <f>IF(AND(B1693='111'!$L$11,OR($N1693=$Q$7,$O1693=$Q$7)),"x","")</f>
        <v/>
      </c>
      <c r="R1693" s="84" t="str">
        <f>IF(AND($N1693=$Q$7,$B1693&lt;'111'!$L$11),"x","")</f>
        <v/>
      </c>
      <c r="S1693" s="84" t="str">
        <f>IF(AND($O1693=$Q$7,$B1693&lt;'111'!$L$11),"x","")</f>
        <v/>
      </c>
      <c r="T1693" s="84" t="str">
        <f>IF(ISERROR(FIND('112'!$M$9,G1693,1)),"",IF((AND(FIND('112'!$M$9,G1693,1)&gt;=1,B1693='112'!$K$9,OR($N1693='112'!$I$6,$O1693='112'!$I$6))),"x",""))</f>
        <v>x</v>
      </c>
      <c r="U1693" s="84" t="str">
        <f>IF(ISERROR(FIND('112'!$M$9,G1693,1)),"",IF((AND(LEFT(G1693,2)=LEFT('112'!$M$9,2),B1693&lt;'112'!$K$9,$N1693='112'!$I$6)),"x",""))</f>
        <v/>
      </c>
      <c r="V1693" s="84" t="str">
        <f>IF(ISERROR(FIND('112'!$M$9,G1693,1)),"",IF((AND(RIGHT(G1693,2)=RIGHT('112'!$M$9,2),B1693&lt;'112'!$K$9,$O1693='112'!$I$6)),"x",""))</f>
        <v/>
      </c>
      <c r="W1693" s="84" t="str">
        <f>IF(AND('341-CT'!$H$9=H1693,OR(LEFT(N1693,3)=$W$7,LEFT(O1693,3)=$W$7)),"x","")</f>
        <v/>
      </c>
      <c r="X1693" s="84" t="str">
        <f>IF(OR(TH!N1675=TH!$X$7,O1693=TH!$X$7),"x","")</f>
        <v/>
      </c>
      <c r="Y1693" s="84" t="str">
        <f>IF(AND(OR(N1693="131",O1693="131"),H1693='131-CT'!$H$9),"x","")</f>
        <v/>
      </c>
      <c r="Z1693" s="84"/>
      <c r="AA1693" s="84" t="str">
        <f>IF(AND(MONTH(E1693)='IN-NX'!$J$5,'IN-NX'!$D$7=D1693),"x","")</f>
        <v/>
      </c>
      <c r="AB1693" s="84" t="str">
        <f>IF(AND(OR(LEFT(TH!N1675,2)="15",LEFT(TH!O1675,2)="15"),LEFT(TH!O1675,3)&lt;&gt;"111",'152-CT'!$J$8=TH!F1675),"x","")</f>
        <v/>
      </c>
      <c r="AC1693" s="84" t="str">
        <f>IF(AND(OR(LEFT(TH!N1675,2)="15",LEFT(TH!O1675,2)="15"),TK!$E$7=TH!F1675),"x","")</f>
        <v/>
      </c>
      <c r="AD1693" s="84" t="str">
        <f>IF(AND(N1693="1521",MONTH(C1693)='BK-NL'!$M$11),"x","")</f>
        <v/>
      </c>
    </row>
    <row r="1694" spans="1:32" ht="15.75" hidden="1" customHeight="1">
      <c r="A1694" s="336" t="str">
        <f>IF(B1694&lt;&gt;"",IF(AND(B1694='IN-TC'!$S$4,OR(TH!N1682="1111",TH!O1682="1111")),TH!D1682,""),"")</f>
        <v/>
      </c>
      <c r="B1694" s="1003">
        <f t="shared" si="231"/>
        <v>6</v>
      </c>
      <c r="C1694" s="80">
        <v>42543</v>
      </c>
      <c r="D1694" s="64" t="s">
        <v>705</v>
      </c>
      <c r="E1694" s="80">
        <f t="shared" si="232"/>
        <v>42543</v>
      </c>
      <c r="F1694" s="81" t="s">
        <v>1883</v>
      </c>
      <c r="G1694" s="81" t="s">
        <v>919</v>
      </c>
      <c r="H1694" s="82" t="s">
        <v>736</v>
      </c>
      <c r="I1694" s="437"/>
      <c r="J1694" s="437"/>
      <c r="K1694" s="428">
        <v>97000</v>
      </c>
      <c r="L1694" s="437">
        <v>22308</v>
      </c>
      <c r="M1694" s="83">
        <f>ROUND(K1694*L1694,0)</f>
        <v>2163876000</v>
      </c>
      <c r="N1694" s="84" t="s">
        <v>260</v>
      </c>
      <c r="O1694" s="84" t="s">
        <v>266</v>
      </c>
      <c r="P1694" s="84" t="str">
        <f>IF(AND('331-CT'!$E$7=TH!H1682,OR(N1694="331",O1694="331")),"x","")</f>
        <v/>
      </c>
      <c r="Q1694" s="84" t="str">
        <f>IF(AND(B1694='111'!$L$11,OR($N1694=$Q$7,$O1694=$Q$7)),"x","")</f>
        <v/>
      </c>
      <c r="R1694" s="84" t="str">
        <f>IF(AND($N1694=$Q$7,$B1694&lt;'111'!$L$11),"x","")</f>
        <v/>
      </c>
      <c r="S1694" s="84" t="str">
        <f>IF(AND($O1694=$Q$7,$B1694&lt;'111'!$L$11),"x","")</f>
        <v/>
      </c>
      <c r="T1694" s="84" t="str">
        <f>IF(ISERROR(FIND('112'!$M$9,G1694,1)),"",IF((AND(FIND('112'!$M$9,G1694,1)&gt;=1,B1694='112'!$K$9,OR($N1694='112'!$I$6,$O1694='112'!$I$6))),"x",""))</f>
        <v/>
      </c>
      <c r="U1694" s="84" t="str">
        <f>IF(ISERROR(FIND('112'!$M$9,G1694,1)),"",IF((AND(LEFT(G1694,2)=LEFT('112'!$M$9,2),B1694&lt;'112'!$K$9,$N1694='112'!$I$6)),"x",""))</f>
        <v/>
      </c>
      <c r="V1694" s="84" t="str">
        <f>IF(ISERROR(FIND('112'!$M$9,G1694,1)),"",IF((AND(RIGHT(G1694,2)=RIGHT('112'!$M$9,2),B1694&lt;'112'!$K$9,$O1694='112'!$I$6)),"x",""))</f>
        <v/>
      </c>
      <c r="W1694" s="84" t="str">
        <f>IF(AND('341-CT'!$H$9=H1694,OR(LEFT(N1694,3)=$W$7,LEFT(O1694,3)=$W$7)),"x","")</f>
        <v/>
      </c>
      <c r="X1694" s="84" t="str">
        <f>IF(OR(TH!N1682=TH!$X$7,O1694=TH!$X$7),"x","")</f>
        <v/>
      </c>
      <c r="Y1694" s="84" t="str">
        <f>IF(AND(OR(N1694="131",O1694="131"),H1694='131-CT'!$H$9),"x","")</f>
        <v/>
      </c>
      <c r="Z1694" s="84"/>
      <c r="AA1694" s="84" t="str">
        <f>IF(AND(MONTH(E1694)='IN-NX'!$J$5,'IN-NX'!$D$7=D1694),"x","")</f>
        <v/>
      </c>
      <c r="AB1694" s="84" t="str">
        <f>IF(AND(OR(LEFT(TH!N1682,2)="15",LEFT(TH!O1682,2)="15"),LEFT(TH!O1682,3)&lt;&gt;"111",'152-CT'!$J$8=TH!F1682),"x","")</f>
        <v/>
      </c>
      <c r="AC1694" s="84" t="str">
        <f>IF(AND(OR(LEFT(TH!N1682,2)="15",LEFT(TH!O1682,2)="15"),TK!$E$7=TH!F1682),"x","")</f>
        <v/>
      </c>
      <c r="AD1694" s="84" t="str">
        <f>IF(AND(N1694="1521",MONTH(C1694)='BK-NL'!$M$11),"x","")</f>
        <v/>
      </c>
      <c r="AE1694" s="347"/>
      <c r="AF1694" s="347"/>
    </row>
    <row r="1695" spans="1:32" ht="15.75" hidden="1" customHeight="1">
      <c r="A1695" s="336" t="str">
        <f>IF(B1695&lt;&gt;"",IF(AND(B1695='IN-TC'!$S$4,OR(TH!N1692="1111",TH!O1692="1111")),TH!D1692,""),"")</f>
        <v/>
      </c>
      <c r="B1695" s="1003">
        <f t="shared" si="231"/>
        <v>6</v>
      </c>
      <c r="C1695" s="80">
        <v>42543</v>
      </c>
      <c r="D1695" s="80" t="s">
        <v>582</v>
      </c>
      <c r="E1695" s="80">
        <f t="shared" si="232"/>
        <v>42543</v>
      </c>
      <c r="F1695" s="81" t="s">
        <v>1068</v>
      </c>
      <c r="G1695" s="81"/>
      <c r="H1695" s="82" t="s">
        <v>736</v>
      </c>
      <c r="I1695" s="437"/>
      <c r="J1695" s="437"/>
      <c r="K1695" s="428"/>
      <c r="L1695" s="437"/>
      <c r="M1695" s="83">
        <v>5044000</v>
      </c>
      <c r="N1695" s="84" t="s">
        <v>260</v>
      </c>
      <c r="O1695" s="66" t="s">
        <v>43</v>
      </c>
      <c r="P1695" s="84" t="str">
        <f>IF(AND('331-CT'!$E$7=TH!H1692,OR(N1695="331",O1695="331")),"x","")</f>
        <v/>
      </c>
      <c r="Q1695" s="84" t="str">
        <f>IF(AND(B1695='111'!$L$11,OR($N1695=$Q$7,$O1695=$Q$7)),"x","")</f>
        <v/>
      </c>
      <c r="R1695" s="84" t="str">
        <f>IF(AND($N1695=$Q$7,$B1695&lt;'111'!$L$11),"x","")</f>
        <v/>
      </c>
      <c r="S1695" s="84" t="str">
        <f>IF(AND($O1695=$Q$7,$B1695&lt;'111'!$L$11),"x","")</f>
        <v/>
      </c>
      <c r="T1695" s="84" t="str">
        <f>IF(ISERROR(FIND('112'!$M$9,G1695,1)),"",IF((AND(FIND('112'!$M$9,G1695,1)&gt;=1,B1695='112'!$K$9,OR($N1695='112'!$I$6,$O1695='112'!$I$6))),"x",""))</f>
        <v/>
      </c>
      <c r="U1695" s="84" t="str">
        <f>IF(ISERROR(FIND('112'!$M$9,G1695,1)),"",IF((AND(LEFT(G1695,2)=LEFT('112'!$M$9,2),B1695&lt;'112'!$K$9,$N1695='112'!$I$6)),"x",""))</f>
        <v/>
      </c>
      <c r="V1695" s="84" t="str">
        <f>IF(ISERROR(FIND('112'!$M$9,G1695,1)),"",IF((AND(RIGHT(G1695,2)=RIGHT('112'!$M$9,2),B1695&lt;'112'!$K$9,$O1695='112'!$I$6)),"x",""))</f>
        <v/>
      </c>
      <c r="W1695" s="84" t="str">
        <f>IF(AND('341-CT'!$H$9=H1695,OR(LEFT(N1695,3)=$W$7,LEFT(O1695,3)=$W$7)),"x","")</f>
        <v/>
      </c>
      <c r="X1695" s="84" t="str">
        <f>IF(OR(TH!N1692=TH!$X$7,O1695=TH!$X$7),"x","")</f>
        <v/>
      </c>
      <c r="Y1695" s="84" t="str">
        <f>IF(AND(OR(N1695="131",O1695="131"),H1695='131-CT'!$H$9),"x","")</f>
        <v/>
      </c>
      <c r="Z1695" s="84"/>
      <c r="AA1695" s="84" t="str">
        <f>IF(AND(MONTH(E1695)='IN-NX'!$J$5,'IN-NX'!$D$7=D1695),"x","")</f>
        <v/>
      </c>
      <c r="AB1695" s="84" t="str">
        <f>IF(AND(OR(LEFT(TH!N1692,2)="15",LEFT(TH!O1692,2)="15"),LEFT(TH!O1692,3)&lt;&gt;"111",'152-CT'!$J$8=TH!F1692),"x","")</f>
        <v/>
      </c>
      <c r="AC1695" s="84" t="str">
        <f>IF(AND(OR(LEFT(TH!N1692,2)="15",LEFT(TH!O1692,2)="15"),TK!$E$7=TH!F1692),"x","")</f>
        <v/>
      </c>
      <c r="AD1695" s="84" t="str">
        <f>IF(AND(N1695="1521",MONTH(C1695)='BK-NL'!$M$11),"x","")</f>
        <v/>
      </c>
      <c r="AE1695" s="347"/>
      <c r="AF1695" s="347"/>
    </row>
    <row r="1696" spans="1:32" ht="15.75" hidden="1" customHeight="1">
      <c r="A1696" s="336" t="str">
        <f>IF(B1696&lt;&gt;"",IF(AND(B1696='IN-TC'!$S$4,OR(TH!N1676="1111",TH!O1676="1111")),TH!D1676,""),"")</f>
        <v/>
      </c>
      <c r="B1696" s="63">
        <f t="shared" si="231"/>
        <v>6</v>
      </c>
      <c r="C1696" s="64">
        <v>42543</v>
      </c>
      <c r="D1696" s="64" t="s">
        <v>705</v>
      </c>
      <c r="E1696" s="64">
        <f t="shared" si="232"/>
        <v>42543</v>
      </c>
      <c r="F1696" s="73" t="s">
        <v>1653</v>
      </c>
      <c r="G1696" s="67" t="s">
        <v>919</v>
      </c>
      <c r="H1696" s="344" t="s">
        <v>1188</v>
      </c>
      <c r="I1696" s="439"/>
      <c r="J1696" s="439"/>
      <c r="K1696" s="430"/>
      <c r="L1696" s="439"/>
      <c r="M1696" s="65">
        <v>813705</v>
      </c>
      <c r="N1696" s="66" t="s">
        <v>99</v>
      </c>
      <c r="O1696" s="66" t="s">
        <v>26</v>
      </c>
      <c r="P1696" s="84" t="str">
        <f>IF(AND('331-CT'!$E$7=TH!H1676,OR(N1696="331",O1696="331")),"x","")</f>
        <v/>
      </c>
      <c r="Q1696" s="84" t="str">
        <f>IF(AND(B1696='111'!$L$11,OR($N1696=$Q$7,$O1696=$Q$7)),"x","")</f>
        <v/>
      </c>
      <c r="R1696" s="84" t="str">
        <f>IF(AND($N1696=$Q$7,$B1696&lt;'111'!$L$11),"x","")</f>
        <v/>
      </c>
      <c r="S1696" s="84" t="str">
        <f>IF(AND($O1696=$Q$7,$B1696&lt;'111'!$L$11),"x","")</f>
        <v/>
      </c>
      <c r="T1696" s="84" t="str">
        <f>IF(ISERROR(FIND('112'!$M$9,G1696,1)),"",IF((AND(FIND('112'!$M$9,G1696,1)&gt;=1,B1696='112'!$K$9,OR($N1696='112'!$I$6,$O1696='112'!$I$6))),"x",""))</f>
        <v>x</v>
      </c>
      <c r="U1696" s="84" t="str">
        <f>IF(ISERROR(FIND('112'!$M$9,G1696,1)),"",IF((AND(LEFT(G1696,2)=LEFT('112'!$M$9,2),B1696&lt;'112'!$K$9,$N1696='112'!$I$6)),"x",""))</f>
        <v/>
      </c>
      <c r="V1696" s="84" t="str">
        <f>IF(ISERROR(FIND('112'!$M$9,G1696,1)),"",IF((AND(RIGHT(G1696,2)=RIGHT('112'!$M$9,2),B1696&lt;'112'!$K$9,$O1696='112'!$I$6)),"x",""))</f>
        <v/>
      </c>
      <c r="W1696" s="84" t="str">
        <f>IF(AND('341-CT'!$H$9=H1696,OR(LEFT(N1696,3)=$W$7,LEFT(O1696,3)=$W$7)),"x","")</f>
        <v/>
      </c>
      <c r="X1696" s="84" t="str">
        <f>IF(OR(TH!N1676=TH!$X$7,O1696=TH!$X$7),"x","")</f>
        <v/>
      </c>
      <c r="Y1696" s="84" t="str">
        <f>IF(AND(OR(N1696="131",O1696="131"),H1696='131-CT'!$H$9),"x","")</f>
        <v/>
      </c>
      <c r="Z1696" s="84"/>
      <c r="AA1696" s="84" t="str">
        <f>IF(AND(MONTH(E1696)='IN-NX'!$J$5,'IN-NX'!$D$7=D1696),"x","")</f>
        <v/>
      </c>
      <c r="AB1696" s="84" t="str">
        <f>IF(AND(OR(LEFT(TH!N1676,2)="15",LEFT(TH!O1676,2)="15"),LEFT(TH!O1676,3)&lt;&gt;"111",'152-CT'!$J$8=TH!F1676),"x","")</f>
        <v/>
      </c>
      <c r="AC1696" s="84" t="str">
        <f>IF(AND(OR(LEFT(TH!N1676,2)="15",LEFT(TH!O1676,2)="15"),TK!$E$7=TH!F1676),"x","")</f>
        <v/>
      </c>
      <c r="AD1696" s="84" t="str">
        <f>IF(AND(N1696="1521",MONTH(C1696)='BK-NL'!$M$11),"x","")</f>
        <v/>
      </c>
    </row>
    <row r="1697" spans="1:32" ht="15.75" hidden="1" customHeight="1">
      <c r="A1697" s="336" t="str">
        <f>IF(B1697&lt;&gt;"",IF(AND(B1697='IN-TC'!$S$4,OR(TH!N1680="1111",TH!O1680="1111")),TH!D1680,""),"")</f>
        <v/>
      </c>
      <c r="B1697" s="1003">
        <f t="shared" si="231"/>
        <v>6</v>
      </c>
      <c r="C1697" s="80">
        <v>42543</v>
      </c>
      <c r="D1697" s="64" t="s">
        <v>705</v>
      </c>
      <c r="E1697" s="80">
        <f t="shared" si="232"/>
        <v>42543</v>
      </c>
      <c r="F1697" s="81" t="s">
        <v>1883</v>
      </c>
      <c r="G1697" s="81" t="s">
        <v>919</v>
      </c>
      <c r="H1697" s="82" t="s">
        <v>1188</v>
      </c>
      <c r="I1697" s="437"/>
      <c r="J1697" s="437"/>
      <c r="K1697" s="428">
        <v>82000</v>
      </c>
      <c r="L1697" s="437">
        <v>22308</v>
      </c>
      <c r="M1697" s="83">
        <f>ROUND(K1697*L1697,0)</f>
        <v>1829256000</v>
      </c>
      <c r="N1697" s="84" t="s">
        <v>260</v>
      </c>
      <c r="O1697" s="84" t="s">
        <v>266</v>
      </c>
      <c r="P1697" s="84" t="str">
        <f>IF(AND('331-CT'!$E$7=TH!H1680,OR(N1697="331",O1697="331")),"x","")</f>
        <v/>
      </c>
      <c r="Q1697" s="84" t="str">
        <f>IF(AND(B1697='111'!$L$11,OR($N1697=$Q$7,$O1697=$Q$7)),"x","")</f>
        <v/>
      </c>
      <c r="R1697" s="84" t="str">
        <f>IF(AND($N1697=$Q$7,$B1697&lt;'111'!$L$11),"x","")</f>
        <v/>
      </c>
      <c r="S1697" s="84" t="str">
        <f>IF(AND($O1697=$Q$7,$B1697&lt;'111'!$L$11),"x","")</f>
        <v/>
      </c>
      <c r="T1697" s="84" t="str">
        <f>IF(ISERROR(FIND('112'!$M$9,G1697,1)),"",IF((AND(FIND('112'!$M$9,G1697,1)&gt;=1,B1697='112'!$K$9,OR($N1697='112'!$I$6,$O1697='112'!$I$6))),"x",""))</f>
        <v/>
      </c>
      <c r="U1697" s="84" t="str">
        <f>IF(ISERROR(FIND('112'!$M$9,G1697,1)),"",IF((AND(LEFT(G1697,2)=LEFT('112'!$M$9,2),B1697&lt;'112'!$K$9,$N1697='112'!$I$6)),"x",""))</f>
        <v/>
      </c>
      <c r="V1697" s="84" t="str">
        <f>IF(ISERROR(FIND('112'!$M$9,G1697,1)),"",IF((AND(RIGHT(G1697,2)=RIGHT('112'!$M$9,2),B1697&lt;'112'!$K$9,$O1697='112'!$I$6)),"x",""))</f>
        <v/>
      </c>
      <c r="W1697" s="84" t="str">
        <f>IF(AND('341-CT'!$H$9=H1697,OR(LEFT(N1697,3)=$W$7,LEFT(O1697,3)=$W$7)),"x","")</f>
        <v/>
      </c>
      <c r="X1697" s="84" t="str">
        <f>IF(OR(TH!N1680=TH!$X$7,O1697=TH!$X$7),"x","")</f>
        <v/>
      </c>
      <c r="Y1697" s="84" t="str">
        <f>IF(AND(OR(N1697="131",O1697="131"),H1697='131-CT'!$H$9),"x","")</f>
        <v/>
      </c>
      <c r="Z1697" s="84"/>
      <c r="AA1697" s="84" t="str">
        <f>IF(AND(MONTH(E1697)='IN-NX'!$J$5,'IN-NX'!$D$7=D1697),"x","")</f>
        <v/>
      </c>
      <c r="AB1697" s="84" t="str">
        <f>IF(AND(OR(LEFT(TH!N1680,2)="15",LEFT(TH!O1680,2)="15"),LEFT(TH!O1680,3)&lt;&gt;"111",'152-CT'!$J$8=TH!F1680),"x","")</f>
        <v/>
      </c>
      <c r="AC1697" s="84" t="str">
        <f>IF(AND(OR(LEFT(TH!N1680,2)="15",LEFT(TH!O1680,2)="15"),TK!$E$7=TH!F1680),"x","")</f>
        <v/>
      </c>
      <c r="AD1697" s="84" t="str">
        <f>IF(AND(N1697="1521",MONTH(C1697)='BK-NL'!$M$11),"x","")</f>
        <v/>
      </c>
      <c r="AE1697" s="347"/>
      <c r="AF1697" s="347"/>
    </row>
    <row r="1698" spans="1:32" ht="15.75" hidden="1" customHeight="1">
      <c r="A1698" s="336" t="str">
        <f>IF(B1698&lt;&gt;"",IF(AND(B1698='IN-TC'!$S$4,OR(TH!N1681="1111",TH!O1681="1111")),TH!D1681,""),"")</f>
        <v/>
      </c>
      <c r="B1698" s="1003">
        <f t="shared" si="231"/>
        <v>6</v>
      </c>
      <c r="C1698" s="80">
        <v>42543</v>
      </c>
      <c r="D1698" s="80" t="s">
        <v>582</v>
      </c>
      <c r="E1698" s="80">
        <f t="shared" si="232"/>
        <v>42543</v>
      </c>
      <c r="F1698" s="81" t="s">
        <v>1068</v>
      </c>
      <c r="G1698" s="81"/>
      <c r="H1698" s="82" t="s">
        <v>1188</v>
      </c>
      <c r="I1698" s="437"/>
      <c r="J1698" s="437"/>
      <c r="K1698" s="428"/>
      <c r="L1698" s="437"/>
      <c r="M1698" s="83">
        <v>656000</v>
      </c>
      <c r="N1698" s="66" t="s">
        <v>99</v>
      </c>
      <c r="O1698" s="84" t="s">
        <v>260</v>
      </c>
      <c r="P1698" s="84" t="str">
        <f>IF(AND('331-CT'!$E$7=TH!H1681,OR(N1698="331",O1698="331")),"x","")</f>
        <v/>
      </c>
      <c r="Q1698" s="84" t="str">
        <f>IF(AND(B1698='111'!$L$11,OR($N1698=$Q$7,$O1698=$Q$7)),"x","")</f>
        <v/>
      </c>
      <c r="R1698" s="84" t="str">
        <f>IF(AND($N1698=$Q$7,$B1698&lt;'111'!$L$11),"x","")</f>
        <v/>
      </c>
      <c r="S1698" s="84" t="str">
        <f>IF(AND($O1698=$Q$7,$B1698&lt;'111'!$L$11),"x","")</f>
        <v/>
      </c>
      <c r="T1698" s="84" t="str">
        <f>IF(ISERROR(FIND('112'!$M$9,G1698,1)),"",IF((AND(FIND('112'!$M$9,G1698,1)&gt;=1,B1698='112'!$K$9,OR($N1698='112'!$I$6,$O1698='112'!$I$6))),"x",""))</f>
        <v/>
      </c>
      <c r="U1698" s="84" t="str">
        <f>IF(ISERROR(FIND('112'!$M$9,G1698,1)),"",IF((AND(LEFT(G1698,2)=LEFT('112'!$M$9,2),B1698&lt;'112'!$K$9,$N1698='112'!$I$6)),"x",""))</f>
        <v/>
      </c>
      <c r="V1698" s="84" t="str">
        <f>IF(ISERROR(FIND('112'!$M$9,G1698,1)),"",IF((AND(RIGHT(G1698,2)=RIGHT('112'!$M$9,2),B1698&lt;'112'!$K$9,$O1698='112'!$I$6)),"x",""))</f>
        <v/>
      </c>
      <c r="W1698" s="84" t="str">
        <f>IF(AND('341-CT'!$H$9=H1698,OR(LEFT(N1698,3)=$W$7,LEFT(O1698,3)=$W$7)),"x","")</f>
        <v/>
      </c>
      <c r="X1698" s="84" t="str">
        <f>IF(OR(TH!N1681=TH!$X$7,O1698=TH!$X$7),"x","")</f>
        <v/>
      </c>
      <c r="Y1698" s="84" t="str">
        <f>IF(AND(OR(N1698="131",O1698="131"),H1698='131-CT'!$H$9),"x","")</f>
        <v/>
      </c>
      <c r="Z1698" s="84"/>
      <c r="AA1698" s="84" t="str">
        <f>IF(AND(MONTH(E1698)='IN-NX'!$J$5,'IN-NX'!$D$7=D1698),"x","")</f>
        <v/>
      </c>
      <c r="AB1698" s="84" t="str">
        <f>IF(AND(OR(LEFT(TH!N1681,2)="15",LEFT(TH!O1681,2)="15"),LEFT(TH!O1681,3)&lt;&gt;"111",'152-CT'!$J$8=TH!F1681),"x","")</f>
        <v/>
      </c>
      <c r="AC1698" s="84" t="str">
        <f>IF(AND(OR(LEFT(TH!N1681,2)="15",LEFT(TH!O1681,2)="15"),TK!$E$7=TH!F1681),"x","")</f>
        <v/>
      </c>
      <c r="AD1698" s="84" t="str">
        <f>IF(AND(N1698="1521",MONTH(C1698)='BK-NL'!$M$11),"x","")</f>
        <v/>
      </c>
      <c r="AE1698" s="347"/>
      <c r="AF1698" s="347"/>
    </row>
    <row r="1699" spans="1:32" s="347" customFormat="1" ht="15.75" hidden="1" customHeight="1">
      <c r="A1699" s="336" t="str">
        <f>IF(B1699&lt;&gt;"",IF(AND(B1699='IN-TC'!$S$4,OR(TH!N1677="1111",TH!O1677="1111")),TH!D1677,""),"")</f>
        <v/>
      </c>
      <c r="B1699" s="63">
        <f t="shared" si="231"/>
        <v>6</v>
      </c>
      <c r="C1699" s="64">
        <v>42543</v>
      </c>
      <c r="D1699" s="64" t="s">
        <v>705</v>
      </c>
      <c r="E1699" s="64">
        <f t="shared" si="232"/>
        <v>42543</v>
      </c>
      <c r="F1699" s="73" t="s">
        <v>1654</v>
      </c>
      <c r="G1699" s="67" t="s">
        <v>919</v>
      </c>
      <c r="H1699" s="344" t="s">
        <v>1189</v>
      </c>
      <c r="I1699" s="439"/>
      <c r="J1699" s="439"/>
      <c r="K1699" s="430"/>
      <c r="L1699" s="439"/>
      <c r="M1699" s="65">
        <v>893200</v>
      </c>
      <c r="N1699" s="66" t="s">
        <v>99</v>
      </c>
      <c r="O1699" s="66" t="s">
        <v>26</v>
      </c>
      <c r="P1699" s="84" t="str">
        <f>IF(AND('331-CT'!$E$7=TH!H1677,OR(N1699="331",O1699="331")),"x","")</f>
        <v/>
      </c>
      <c r="Q1699" s="84" t="str">
        <f>IF(AND(B1699='111'!$L$11,OR($N1699=$Q$7,$O1699=$Q$7)),"x","")</f>
        <v/>
      </c>
      <c r="R1699" s="84" t="str">
        <f>IF(AND($N1699=$Q$7,$B1699&lt;'111'!$L$11),"x","")</f>
        <v/>
      </c>
      <c r="S1699" s="84" t="str">
        <f>IF(AND($O1699=$Q$7,$B1699&lt;'111'!$L$11),"x","")</f>
        <v/>
      </c>
      <c r="T1699" s="84" t="str">
        <f>IF(ISERROR(FIND('112'!$M$9,G1699,1)),"",IF((AND(FIND('112'!$M$9,G1699,1)&gt;=1,B1699='112'!$K$9,OR($N1699='112'!$I$6,$O1699='112'!$I$6))),"x",""))</f>
        <v>x</v>
      </c>
      <c r="U1699" s="84" t="str">
        <f>IF(ISERROR(FIND('112'!$M$9,G1699,1)),"",IF((AND(LEFT(G1699,2)=LEFT('112'!$M$9,2),B1699&lt;'112'!$K$9,$N1699='112'!$I$6)),"x",""))</f>
        <v/>
      </c>
      <c r="V1699" s="84" t="str">
        <f>IF(ISERROR(FIND('112'!$M$9,G1699,1)),"",IF((AND(RIGHT(G1699,2)=RIGHT('112'!$M$9,2),B1699&lt;'112'!$K$9,$O1699='112'!$I$6)),"x",""))</f>
        <v/>
      </c>
      <c r="W1699" s="84" t="str">
        <f>IF(AND('341-CT'!$H$9=H1699,OR(LEFT(N1699,3)=$W$7,LEFT(O1699,3)=$W$7)),"x","")</f>
        <v/>
      </c>
      <c r="X1699" s="84" t="str">
        <f>IF(OR(TH!N1677=TH!$X$7,O1699=TH!$X$7),"x","")</f>
        <v/>
      </c>
      <c r="Y1699" s="84" t="str">
        <f>IF(AND(OR(N1699="131",O1699="131"),H1699='131-CT'!$H$9),"x","")</f>
        <v/>
      </c>
      <c r="Z1699" s="84"/>
      <c r="AA1699" s="84" t="str">
        <f>IF(AND(MONTH(E1699)='IN-NX'!$J$5,'IN-NX'!$D$7=D1699),"x","")</f>
        <v/>
      </c>
      <c r="AB1699" s="84" t="str">
        <f>IF(AND(OR(LEFT(TH!N1677,2)="15",LEFT(TH!O1677,2)="15"),LEFT(TH!O1677,3)&lt;&gt;"111",'152-CT'!$J$8=TH!F1677),"x","")</f>
        <v/>
      </c>
      <c r="AC1699" s="84" t="str">
        <f>IF(AND(OR(LEFT(TH!N1677,2)="15",LEFT(TH!O1677,2)="15"),TK!$E$7=TH!F1677),"x","")</f>
        <v/>
      </c>
      <c r="AD1699" s="84" t="str">
        <f>IF(AND(N1699="1521",MONTH(C1699)='BK-NL'!$M$11),"x","")</f>
        <v/>
      </c>
      <c r="AE1699" s="330"/>
      <c r="AF1699" s="330"/>
    </row>
    <row r="1700" spans="1:32" ht="15.75" hidden="1" customHeight="1">
      <c r="A1700" s="336" t="str">
        <f>IF(B1700&lt;&gt;"",IF(AND(B1700='IN-TC'!$S$4,OR(TH!N1678="1111",TH!O1678="1111")),TH!D1678,""),"")</f>
        <v/>
      </c>
      <c r="B1700" s="1003">
        <f t="shared" si="231"/>
        <v>6</v>
      </c>
      <c r="C1700" s="80">
        <v>42543</v>
      </c>
      <c r="D1700" s="64" t="s">
        <v>705</v>
      </c>
      <c r="E1700" s="80">
        <f t="shared" si="232"/>
        <v>42543</v>
      </c>
      <c r="F1700" s="81" t="s">
        <v>1883</v>
      </c>
      <c r="G1700" s="81" t="s">
        <v>919</v>
      </c>
      <c r="H1700" s="82" t="s">
        <v>1189</v>
      </c>
      <c r="I1700" s="437"/>
      <c r="J1700" s="437"/>
      <c r="K1700" s="428">
        <v>90000</v>
      </c>
      <c r="L1700" s="437">
        <v>22308</v>
      </c>
      <c r="M1700" s="83">
        <f>ROUND(K1700*L1700,0)</f>
        <v>2007720000</v>
      </c>
      <c r="N1700" s="84" t="s">
        <v>260</v>
      </c>
      <c r="O1700" s="84" t="s">
        <v>266</v>
      </c>
      <c r="P1700" s="84" t="str">
        <f>IF(AND('331-CT'!$E$7=TH!H1678,OR(N1700="331",O1700="331")),"x","")</f>
        <v/>
      </c>
      <c r="Q1700" s="84" t="str">
        <f>IF(AND(B1700='111'!$L$11,OR($N1700=$Q$7,$O1700=$Q$7)),"x","")</f>
        <v/>
      </c>
      <c r="R1700" s="84" t="str">
        <f>IF(AND($N1700=$Q$7,$B1700&lt;'111'!$L$11),"x","")</f>
        <v/>
      </c>
      <c r="S1700" s="84" t="str">
        <f>IF(AND($O1700=$Q$7,$B1700&lt;'111'!$L$11),"x","")</f>
        <v/>
      </c>
      <c r="T1700" s="84" t="str">
        <f>IF(ISERROR(FIND('112'!$M$9,G1700,1)),"",IF((AND(FIND('112'!$M$9,G1700,1)&gt;=1,B1700='112'!$K$9,OR($N1700='112'!$I$6,$O1700='112'!$I$6))),"x",""))</f>
        <v/>
      </c>
      <c r="U1700" s="84" t="str">
        <f>IF(ISERROR(FIND('112'!$M$9,G1700,1)),"",IF((AND(LEFT(G1700,2)=LEFT('112'!$M$9,2),B1700&lt;'112'!$K$9,$N1700='112'!$I$6)),"x",""))</f>
        <v/>
      </c>
      <c r="V1700" s="84" t="str">
        <f>IF(ISERROR(FIND('112'!$M$9,G1700,1)),"",IF((AND(RIGHT(G1700,2)=RIGHT('112'!$M$9,2),B1700&lt;'112'!$K$9,$O1700='112'!$I$6)),"x",""))</f>
        <v/>
      </c>
      <c r="W1700" s="84" t="str">
        <f>IF(AND('341-CT'!$H$9=H1700,OR(LEFT(N1700,3)=$W$7,LEFT(O1700,3)=$W$7)),"x","")</f>
        <v/>
      </c>
      <c r="X1700" s="84" t="str">
        <f>IF(OR(TH!N1678=TH!$X$7,O1700=TH!$X$7),"x","")</f>
        <v/>
      </c>
      <c r="Y1700" s="84" t="str">
        <f>IF(AND(OR(N1700="131",O1700="131"),H1700='131-CT'!$H$9),"x","")</f>
        <v/>
      </c>
      <c r="Z1700" s="84"/>
      <c r="AA1700" s="84" t="str">
        <f>IF(AND(MONTH(E1700)='IN-NX'!$J$5,'IN-NX'!$D$7=D1700),"x","")</f>
        <v/>
      </c>
      <c r="AB1700" s="84" t="str">
        <f>IF(AND(OR(LEFT(TH!N1678,2)="15",LEFT(TH!O1678,2)="15"),LEFT(TH!O1678,3)&lt;&gt;"111",'152-CT'!$J$8=TH!F1678),"x","")</f>
        <v/>
      </c>
      <c r="AC1700" s="84" t="str">
        <f>IF(AND(OR(LEFT(TH!N1678,2)="15",LEFT(TH!O1678,2)="15"),TK!$E$7=TH!F1678),"x","")</f>
        <v/>
      </c>
      <c r="AD1700" s="84" t="str">
        <f>IF(AND(N1700="1521",MONTH(C1700)='BK-NL'!$M$11),"x","")</f>
        <v/>
      </c>
      <c r="AE1700" s="347"/>
      <c r="AF1700" s="347"/>
    </row>
    <row r="1701" spans="1:32" ht="15.75" hidden="1" customHeight="1">
      <c r="A1701" s="336" t="str">
        <f>IF(B1701&lt;&gt;"",IF(AND(B1701='IN-TC'!$S$4,OR(TH!N1679="1111",TH!O1679="1111")),TH!D1679,""),"")</f>
        <v/>
      </c>
      <c r="B1701" s="1003">
        <f t="shared" si="231"/>
        <v>6</v>
      </c>
      <c r="C1701" s="80">
        <v>42543</v>
      </c>
      <c r="D1701" s="80" t="s">
        <v>582</v>
      </c>
      <c r="E1701" s="80">
        <f t="shared" si="232"/>
        <v>42543</v>
      </c>
      <c r="F1701" s="81" t="s">
        <v>1068</v>
      </c>
      <c r="G1701" s="81"/>
      <c r="H1701" s="82" t="s">
        <v>1189</v>
      </c>
      <c r="I1701" s="437"/>
      <c r="J1701" s="437"/>
      <c r="K1701" s="428"/>
      <c r="L1701" s="437"/>
      <c r="M1701" s="83">
        <v>720000</v>
      </c>
      <c r="N1701" s="66" t="s">
        <v>99</v>
      </c>
      <c r="O1701" s="84" t="s">
        <v>260</v>
      </c>
      <c r="P1701" s="84" t="str">
        <f>IF(AND('331-CT'!$E$7=TH!H1679,OR(N1701="331",O1701="331")),"x","")</f>
        <v/>
      </c>
      <c r="Q1701" s="84" t="str">
        <f>IF(AND(B1701='111'!$L$11,OR($N1701=$Q$7,$O1701=$Q$7)),"x","")</f>
        <v/>
      </c>
      <c r="R1701" s="84" t="str">
        <f>IF(AND($N1701=$Q$7,$B1701&lt;'111'!$L$11),"x","")</f>
        <v/>
      </c>
      <c r="S1701" s="84" t="str">
        <f>IF(AND($O1701=$Q$7,$B1701&lt;'111'!$L$11),"x","")</f>
        <v/>
      </c>
      <c r="T1701" s="84" t="str">
        <f>IF(ISERROR(FIND('112'!$M$9,G1701,1)),"",IF((AND(FIND('112'!$M$9,G1701,1)&gt;=1,B1701='112'!$K$9,OR($N1701='112'!$I$6,$O1701='112'!$I$6))),"x",""))</f>
        <v/>
      </c>
      <c r="U1701" s="84" t="str">
        <f>IF(ISERROR(FIND('112'!$M$9,G1701,1)),"",IF((AND(LEFT(G1701,2)=LEFT('112'!$M$9,2),B1701&lt;'112'!$K$9,$N1701='112'!$I$6)),"x",""))</f>
        <v/>
      </c>
      <c r="V1701" s="84" t="str">
        <f>IF(ISERROR(FIND('112'!$M$9,G1701,1)),"",IF((AND(RIGHT(G1701,2)=RIGHT('112'!$M$9,2),B1701&lt;'112'!$K$9,$O1701='112'!$I$6)),"x",""))</f>
        <v/>
      </c>
      <c r="W1701" s="84" t="str">
        <f>IF(AND('341-CT'!$H$9=H1701,OR(LEFT(N1701,3)=$W$7,LEFT(O1701,3)=$W$7)),"x","")</f>
        <v/>
      </c>
      <c r="X1701" s="84" t="str">
        <f>IF(OR(TH!N1679=TH!$X$7,O1701=TH!$X$7),"x","")</f>
        <v/>
      </c>
      <c r="Y1701" s="84" t="str">
        <f>IF(AND(OR(N1701="131",O1701="131"),H1701='131-CT'!$H$9),"x","")</f>
        <v/>
      </c>
      <c r="Z1701" s="84"/>
      <c r="AA1701" s="84" t="str">
        <f>IF(AND(MONTH(E1701)='IN-NX'!$J$5,'IN-NX'!$D$7=D1701),"x","")</f>
        <v/>
      </c>
      <c r="AB1701" s="84" t="str">
        <f>IF(AND(OR(LEFT(TH!N1679,2)="15",LEFT(TH!O1679,2)="15"),LEFT(TH!O1679,3)&lt;&gt;"111",'152-CT'!$J$8=TH!F1679),"x","")</f>
        <v/>
      </c>
      <c r="AC1701" s="84" t="str">
        <f>IF(AND(OR(LEFT(TH!N1679,2)="15",LEFT(TH!O1679,2)="15"),TK!$E$7=TH!F1679),"x","")</f>
        <v/>
      </c>
      <c r="AD1701" s="84" t="str">
        <f>IF(AND(N1701="1521",MONTH(C1701)='BK-NL'!$M$11),"x","")</f>
        <v/>
      </c>
      <c r="AE1701" s="347"/>
      <c r="AF1701" s="347"/>
    </row>
    <row r="1702" spans="1:32" ht="15.75" hidden="1" customHeight="1">
      <c r="A1702" s="336" t="str">
        <f>IF(B1702&lt;&gt;"",IF(AND(B1702='IN-TC'!$S$4,OR(TH!N1702="1111",TH!O1702="1111")),TH!D1702,""),"")</f>
        <v/>
      </c>
      <c r="B1702" s="63">
        <f t="shared" si="231"/>
        <v>6</v>
      </c>
      <c r="C1702" s="64">
        <v>42543</v>
      </c>
      <c r="D1702" s="64" t="s">
        <v>705</v>
      </c>
      <c r="E1702" s="64">
        <f t="shared" si="232"/>
        <v>42543</v>
      </c>
      <c r="F1702" s="514" t="s">
        <v>1063</v>
      </c>
      <c r="G1702" s="67" t="s">
        <v>918</v>
      </c>
      <c r="H1702" s="73" t="s">
        <v>732</v>
      </c>
      <c r="I1702" s="439"/>
      <c r="J1702" s="439"/>
      <c r="K1702" s="430"/>
      <c r="L1702" s="439"/>
      <c r="M1702" s="65">
        <v>3311092</v>
      </c>
      <c r="N1702" s="66" t="s">
        <v>99</v>
      </c>
      <c r="O1702" s="66" t="s">
        <v>26</v>
      </c>
      <c r="P1702" s="84" t="str">
        <f>IF(AND('331-CT'!$E$7=TH!H1702,OR(N1702="331",O1702="331")),"x","")</f>
        <v/>
      </c>
      <c r="Q1702" s="84" t="str">
        <f>IF(AND(B1702='111'!$L$11,OR($N1702=$Q$7,$O1702=$Q$7)),"x","")</f>
        <v/>
      </c>
      <c r="R1702" s="84" t="str">
        <f>IF(AND($N1702=$Q$7,$B1702&lt;'111'!$L$11),"x","")</f>
        <v/>
      </c>
      <c r="S1702" s="84" t="str">
        <f>IF(AND($O1702=$Q$7,$B1702&lt;'111'!$L$11),"x","")</f>
        <v/>
      </c>
      <c r="T1702" s="84" t="str">
        <f>IF(ISERROR(FIND('112'!$M$9,G1702,1)),"",IF((AND(FIND('112'!$M$9,G1702,1)&gt;=1,B1702='112'!$K$9,OR($N1702='112'!$I$6,$O1702='112'!$I$6))),"x",""))</f>
        <v/>
      </c>
      <c r="U1702" s="84" t="str">
        <f>IF(ISERROR(FIND('112'!$M$9,G1702,1)),"",IF((AND(LEFT(G1702,2)=LEFT('112'!$M$9,2),B1702&lt;'112'!$K$9,$N1702='112'!$I$6)),"x",""))</f>
        <v/>
      </c>
      <c r="V1702" s="84" t="str">
        <f>IF(ISERROR(FIND('112'!$M$9,G1702,1)),"",IF((AND(RIGHT(G1702,2)=RIGHT('112'!$M$9,2),B1702&lt;'112'!$K$9,$O1702='112'!$I$6)),"x",""))</f>
        <v/>
      </c>
      <c r="W1702" s="84" t="str">
        <f>IF(AND('341-CT'!$H$9=H1702,OR(LEFT(N1702,3)=$W$7,LEFT(O1702,3)=$W$7)),"x","")</f>
        <v/>
      </c>
      <c r="X1702" s="84" t="str">
        <f>IF(OR(TH!N1702=TH!$X$7,O1702=TH!$X$7),"x","")</f>
        <v/>
      </c>
      <c r="Y1702" s="84" t="str">
        <f>IF(AND(OR(N1702="131",O1702="131"),H1702='131-CT'!$H$9),"x","")</f>
        <v/>
      </c>
      <c r="Z1702" s="84"/>
      <c r="AA1702" s="84" t="str">
        <f>IF(AND(MONTH(E1702)='IN-NX'!$J$5,'IN-NX'!$D$7=D1702),"x","")</f>
        <v/>
      </c>
      <c r="AB1702" s="84" t="str">
        <f>IF(AND(OR(LEFT(TH!N1702,2)="15",LEFT(TH!O1702,2)="15"),LEFT(TH!O1702,3)&lt;&gt;"111",'152-CT'!$J$8=TH!F1702),"x","")</f>
        <v/>
      </c>
      <c r="AC1702" s="84" t="str">
        <f>IF(AND(OR(LEFT(TH!N1702,2)="15",LEFT(TH!O1702,2)="15"),TK!$E$7=TH!F1702),"x","")</f>
        <v/>
      </c>
      <c r="AD1702" s="84" t="str">
        <f>IF(AND(N1702="1521",MONTH(C1702)='BK-NL'!$M$11),"x","")</f>
        <v/>
      </c>
    </row>
    <row r="1703" spans="1:32" ht="15.75" hidden="1" customHeight="1">
      <c r="A1703" s="336" t="str">
        <f>IF(B1703&lt;&gt;"",IF(AND(B1703='IN-TC'!$S$4,OR(TH!N1703="1111",TH!O1703="1111")),TH!D1703,""),"")</f>
        <v/>
      </c>
      <c r="B1703" s="63">
        <f t="shared" si="231"/>
        <v>6</v>
      </c>
      <c r="C1703" s="64">
        <v>42543</v>
      </c>
      <c r="D1703" s="64" t="s">
        <v>705</v>
      </c>
      <c r="E1703" s="64">
        <f t="shared" si="232"/>
        <v>42543</v>
      </c>
      <c r="F1703" s="514" t="s">
        <v>1705</v>
      </c>
      <c r="G1703" s="67" t="s">
        <v>918</v>
      </c>
      <c r="H1703" s="73" t="s">
        <v>742</v>
      </c>
      <c r="I1703" s="439"/>
      <c r="J1703" s="439"/>
      <c r="K1703" s="430"/>
      <c r="L1703" s="439"/>
      <c r="M1703" s="65">
        <v>4027216</v>
      </c>
      <c r="N1703" s="66" t="s">
        <v>99</v>
      </c>
      <c r="O1703" s="66" t="s">
        <v>26</v>
      </c>
      <c r="P1703" s="84" t="str">
        <f>IF(AND('331-CT'!$E$7=TH!H1703,OR(N1703="331",O1703="331")),"x","")</f>
        <v/>
      </c>
      <c r="Q1703" s="84" t="str">
        <f>IF(AND(B1703='111'!$L$11,OR($N1703=$Q$7,$O1703=$Q$7)),"x","")</f>
        <v/>
      </c>
      <c r="R1703" s="84" t="str">
        <f>IF(AND($N1703=$Q$7,$B1703&lt;'111'!$L$11),"x","")</f>
        <v/>
      </c>
      <c r="S1703" s="84" t="str">
        <f>IF(AND($O1703=$Q$7,$B1703&lt;'111'!$L$11),"x","")</f>
        <v/>
      </c>
      <c r="T1703" s="84" t="str">
        <f>IF(ISERROR(FIND('112'!$M$9,G1703,1)),"",IF((AND(FIND('112'!$M$9,G1703,1)&gt;=1,B1703='112'!$K$9,OR($N1703='112'!$I$6,$O1703='112'!$I$6))),"x",""))</f>
        <v/>
      </c>
      <c r="U1703" s="84" t="str">
        <f>IF(ISERROR(FIND('112'!$M$9,G1703,1)),"",IF((AND(LEFT(G1703,2)=LEFT('112'!$M$9,2),B1703&lt;'112'!$K$9,$N1703='112'!$I$6)),"x",""))</f>
        <v/>
      </c>
      <c r="V1703" s="84" t="str">
        <f>IF(ISERROR(FIND('112'!$M$9,G1703,1)),"",IF((AND(RIGHT(G1703,2)=RIGHT('112'!$M$9,2),B1703&lt;'112'!$K$9,$O1703='112'!$I$6)),"x",""))</f>
        <v/>
      </c>
      <c r="W1703" s="84" t="str">
        <f>IF(AND('341-CT'!$H$9=H1703,OR(LEFT(N1703,3)=$W$7,LEFT(O1703,3)=$W$7)),"x","")</f>
        <v/>
      </c>
      <c r="X1703" s="84" t="str">
        <f>IF(OR(TH!N1703=TH!$X$7,O1703=TH!$X$7),"x","")</f>
        <v/>
      </c>
      <c r="Y1703" s="84" t="str">
        <f>IF(AND(OR(N1703="131",O1703="131"),H1703='131-CT'!$H$9),"x","")</f>
        <v/>
      </c>
      <c r="Z1703" s="84"/>
      <c r="AA1703" s="84" t="str">
        <f>IF(AND(MONTH(E1703)='IN-NX'!$J$5,'IN-NX'!$D$7=D1703),"x","")</f>
        <v/>
      </c>
      <c r="AB1703" s="84" t="str">
        <f>IF(AND(OR(LEFT(TH!N1703,2)="15",LEFT(TH!O1703,2)="15"),LEFT(TH!O1703,3)&lt;&gt;"111",'152-CT'!$J$8=TH!F1703),"x","")</f>
        <v/>
      </c>
      <c r="AC1703" s="84" t="str">
        <f>IF(AND(OR(LEFT(TH!N1703,2)="15",LEFT(TH!O1703,2)="15"),TK!$E$7=TH!F1703),"x","")</f>
        <v/>
      </c>
      <c r="AD1703" s="84" t="str">
        <f>IF(AND(N1703="1521",MONTH(C1703)='BK-NL'!$M$11),"x","")</f>
        <v/>
      </c>
    </row>
    <row r="1704" spans="1:32" ht="15.75" hidden="1" customHeight="1">
      <c r="A1704" s="336" t="str">
        <f>IF(B1704&lt;&gt;"",IF(AND(B1704='IN-TC'!$S$4,OR(TH!N1704="1111",TH!O1704="1111")),TH!D1704,""),"")</f>
        <v/>
      </c>
      <c r="B1704" s="63">
        <f t="shared" ref="B1704:B1736" si="233">IF(C1704&lt;&gt;"",MONTH(C1704),"")</f>
        <v>6</v>
      </c>
      <c r="C1704" s="64">
        <v>42544</v>
      </c>
      <c r="D1704" s="318" t="s">
        <v>891</v>
      </c>
      <c r="E1704" s="318">
        <v>42544</v>
      </c>
      <c r="F1704" s="73" t="s">
        <v>776</v>
      </c>
      <c r="G1704" s="982" t="s">
        <v>1595</v>
      </c>
      <c r="H1704" s="73" t="s">
        <v>808</v>
      </c>
      <c r="I1704" s="439"/>
      <c r="J1704" s="439"/>
      <c r="K1704" s="430"/>
      <c r="L1704" s="439"/>
      <c r="M1704" s="65">
        <v>858327</v>
      </c>
      <c r="N1704" s="66" t="s">
        <v>101</v>
      </c>
      <c r="O1704" s="66" t="s">
        <v>63</v>
      </c>
      <c r="P1704" s="84" t="str">
        <f>IF(AND('331-CT'!$E$7=TH!H1704,OR(N1704="331",O1704="331")),"x","")</f>
        <v/>
      </c>
      <c r="Q1704" s="84" t="str">
        <f>IF(AND(B1704='111'!$L$11,OR($N1704=$Q$7,$O1704=$Q$7)),"x","")</f>
        <v/>
      </c>
      <c r="R1704" s="84" t="str">
        <f>IF(AND($N1704=$Q$7,$B1704&lt;'111'!$L$11),"x","")</f>
        <v/>
      </c>
      <c r="S1704" s="84" t="str">
        <f>IF(AND($O1704=$Q$7,$B1704&lt;'111'!$L$11),"x","")</f>
        <v/>
      </c>
      <c r="T1704" s="84" t="str">
        <f>IF(ISERROR(FIND('112'!$M$9,G1704,1)),"",IF((AND(FIND('112'!$M$9,G1704,1)&gt;=1,B1704='112'!$K$9,OR($N1704='112'!$I$6,$O1704='112'!$I$6))),"x",""))</f>
        <v/>
      </c>
      <c r="U1704" s="84" t="str">
        <f>IF(ISERROR(FIND('112'!$M$9,G1704,1)),"",IF((AND(LEFT(G1704,2)=LEFT('112'!$M$9,2),B1704&lt;'112'!$K$9,$N1704='112'!$I$6)),"x",""))</f>
        <v/>
      </c>
      <c r="V1704" s="84" t="str">
        <f>IF(ISERROR(FIND('112'!$M$9,G1704,1)),"",IF((AND(RIGHT(G1704,2)=RIGHT('112'!$M$9,2),B1704&lt;'112'!$K$9,$O1704='112'!$I$6)),"x",""))</f>
        <v/>
      </c>
      <c r="W1704" s="84" t="str">
        <f>IF(AND('341-CT'!$H$9=H1704,OR(LEFT(N1704,3)=$W$7,LEFT(O1704,3)=$W$7)),"x","")</f>
        <v/>
      </c>
      <c r="X1704" s="84" t="str">
        <f>IF(OR(TH!N1704=TH!$X$7,O1704=TH!$X$7),"x","")</f>
        <v/>
      </c>
      <c r="Y1704" s="84" t="str">
        <f>IF(AND(OR(N1704="131",O1704="131"),H1704='131-CT'!$H$9),"x","")</f>
        <v/>
      </c>
      <c r="Z1704" s="84"/>
      <c r="AA1704" s="84" t="str">
        <f>IF(AND(MONTH(E1704)='IN-NX'!$J$5,'IN-NX'!$D$7=D1704),"x","")</f>
        <v/>
      </c>
      <c r="AB1704" s="84" t="str">
        <f>IF(AND(OR(LEFT(TH!N1704,2)="15",LEFT(TH!O1704,2)="15"),LEFT(TH!O1704,3)&lt;&gt;"111",'152-CT'!$J$8=TH!F1704),"x","")</f>
        <v/>
      </c>
      <c r="AC1704" s="84" t="str">
        <f>IF(AND(OR(LEFT(TH!N1704,2)="15",LEFT(TH!O1704,2)="15"),TK!$E$7=TH!F1704),"x","")</f>
        <v/>
      </c>
      <c r="AD1704" s="84" t="str">
        <f>IF(AND(N1704="1521",MONTH(C1704)='BK-NL'!$M$11),"x","")</f>
        <v/>
      </c>
      <c r="AF1704" s="330">
        <v>1</v>
      </c>
    </row>
    <row r="1705" spans="1:32" s="350" customFormat="1" ht="15.75" hidden="1" customHeight="1">
      <c r="A1705" s="336" t="str">
        <f>IF(B1705&lt;&gt;"",IF(AND(B1705='IN-TC'!$S$4,OR(TH!N1705="1111",TH!O1705="1111")),TH!D1705,""),"")</f>
        <v/>
      </c>
      <c r="B1705" s="63">
        <f t="shared" si="233"/>
        <v>6</v>
      </c>
      <c r="C1705" s="64">
        <v>42544</v>
      </c>
      <c r="D1705" s="318" t="s">
        <v>891</v>
      </c>
      <c r="E1705" s="318">
        <v>42544</v>
      </c>
      <c r="F1705" s="73" t="s">
        <v>777</v>
      </c>
      <c r="G1705" s="982" t="s">
        <v>1595</v>
      </c>
      <c r="H1705" s="73" t="s">
        <v>808</v>
      </c>
      <c r="I1705" s="439"/>
      <c r="J1705" s="439"/>
      <c r="K1705" s="430"/>
      <c r="L1705" s="439"/>
      <c r="M1705" s="65">
        <v>85833</v>
      </c>
      <c r="N1705" s="66" t="s">
        <v>9</v>
      </c>
      <c r="O1705" s="66" t="s">
        <v>63</v>
      </c>
      <c r="P1705" s="84" t="str">
        <f>IF(AND('331-CT'!$E$7=TH!H1705,OR(N1705="331",O1705="331")),"x","")</f>
        <v/>
      </c>
      <c r="Q1705" s="84" t="str">
        <f>IF(AND(B1705='111'!$L$11,OR($N1705=$Q$7,$O1705=$Q$7)),"x","")</f>
        <v/>
      </c>
      <c r="R1705" s="84" t="str">
        <f>IF(AND($N1705=$Q$7,$B1705&lt;'111'!$L$11),"x","")</f>
        <v/>
      </c>
      <c r="S1705" s="84" t="str">
        <f>IF(AND($O1705=$Q$7,$B1705&lt;'111'!$L$11),"x","")</f>
        <v/>
      </c>
      <c r="T1705" s="84" t="str">
        <f>IF(ISERROR(FIND('112'!$M$9,G1705,1)),"",IF((AND(FIND('112'!$M$9,G1705,1)&gt;=1,B1705='112'!$K$9,OR($N1705='112'!$I$6,$O1705='112'!$I$6))),"x",""))</f>
        <v/>
      </c>
      <c r="U1705" s="84" t="str">
        <f>IF(ISERROR(FIND('112'!$M$9,G1705,1)),"",IF((AND(LEFT(G1705,2)=LEFT('112'!$M$9,2),B1705&lt;'112'!$K$9,$N1705='112'!$I$6)),"x",""))</f>
        <v/>
      </c>
      <c r="V1705" s="84" t="str">
        <f>IF(ISERROR(FIND('112'!$M$9,G1705,1)),"",IF((AND(RIGHT(G1705,2)=RIGHT('112'!$M$9,2),B1705&lt;'112'!$K$9,$O1705='112'!$I$6)),"x",""))</f>
        <v/>
      </c>
      <c r="W1705" s="84" t="str">
        <f>IF(AND('341-CT'!$H$9=H1705,OR(LEFT(N1705,3)=$W$7,LEFT(O1705,3)=$W$7)),"x","")</f>
        <v/>
      </c>
      <c r="X1705" s="84" t="str">
        <f>IF(OR(TH!N1705=TH!$X$7,O1705=TH!$X$7),"x","")</f>
        <v/>
      </c>
      <c r="Y1705" s="84" t="str">
        <f>IF(AND(OR(N1705="131",O1705="131"),H1705='131-CT'!$H$9),"x","")</f>
        <v/>
      </c>
      <c r="Z1705" s="84"/>
      <c r="AA1705" s="84" t="str">
        <f>IF(AND(MONTH(E1705)='IN-NX'!$J$5,'IN-NX'!$D$7=D1705),"x","")</f>
        <v/>
      </c>
      <c r="AB1705" s="84" t="str">
        <f>IF(AND(OR(LEFT(TH!N1705,2)="15",LEFT(TH!O1705,2)="15"),LEFT(TH!O1705,3)&lt;&gt;"111",'152-CT'!$J$8=TH!F1705),"x","")</f>
        <v/>
      </c>
      <c r="AC1705" s="84" t="str">
        <f>IF(AND(OR(LEFT(TH!N1705,2)="15",LEFT(TH!O1705,2)="15"),TK!$E$7=TH!F1705),"x","")</f>
        <v/>
      </c>
      <c r="AD1705" s="84" t="str">
        <f>IF(AND(N1705="1521",MONTH(C1705)='BK-NL'!$M$11),"x","")</f>
        <v/>
      </c>
      <c r="AE1705" s="330"/>
      <c r="AF1705" s="330"/>
    </row>
    <row r="1706" spans="1:32" s="350" customFormat="1" ht="15.75" hidden="1" customHeight="1">
      <c r="A1706" s="336" t="str">
        <f>IF(B1706&lt;&gt;"",IF(AND(B1706='IN-TC'!$S$4,OR(TH!N1706="1111",TH!O1706="1111")),TH!D1706,""),"")</f>
        <v/>
      </c>
      <c r="B1706" s="63">
        <f t="shared" si="233"/>
        <v>6</v>
      </c>
      <c r="C1706" s="64">
        <v>42544</v>
      </c>
      <c r="D1706" s="64" t="s">
        <v>892</v>
      </c>
      <c r="E1706" s="64">
        <v>42544</v>
      </c>
      <c r="F1706" s="73" t="s">
        <v>1606</v>
      </c>
      <c r="G1706" s="982" t="s">
        <v>1608</v>
      </c>
      <c r="H1706" s="73" t="s">
        <v>1593</v>
      </c>
      <c r="I1706" s="439"/>
      <c r="J1706" s="439"/>
      <c r="K1706" s="430"/>
      <c r="L1706" s="439"/>
      <c r="M1706" s="65">
        <v>51927</v>
      </c>
      <c r="N1706" s="66" t="s">
        <v>591</v>
      </c>
      <c r="O1706" s="66" t="s">
        <v>63</v>
      </c>
      <c r="P1706" s="84" t="str">
        <f>IF(AND('331-CT'!$E$7=TH!H1706,OR(N1706="331",O1706="331")),"x","")</f>
        <v/>
      </c>
      <c r="Q1706" s="84" t="str">
        <f>IF(AND(B1706='111'!$L$11,OR($N1706=$Q$7,$O1706=$Q$7)),"x","")</f>
        <v/>
      </c>
      <c r="R1706" s="84" t="str">
        <f>IF(AND($N1706=$Q$7,$B1706&lt;'111'!$L$11),"x","")</f>
        <v/>
      </c>
      <c r="S1706" s="84" t="str">
        <f>IF(AND($O1706=$Q$7,$B1706&lt;'111'!$L$11),"x","")</f>
        <v/>
      </c>
      <c r="T1706" s="84" t="str">
        <f>IF(ISERROR(FIND('112'!$M$9,G1706,1)),"",IF((AND(FIND('112'!$M$9,G1706,1)&gt;=1,B1706='112'!$K$9,OR($N1706='112'!$I$6,$O1706='112'!$I$6))),"x",""))</f>
        <v/>
      </c>
      <c r="U1706" s="84" t="str">
        <f>IF(ISERROR(FIND('112'!$M$9,G1706,1)),"",IF((AND(LEFT(G1706,2)=LEFT('112'!$M$9,2),B1706&lt;'112'!$K$9,$N1706='112'!$I$6)),"x",""))</f>
        <v/>
      </c>
      <c r="V1706" s="84" t="str">
        <f>IF(ISERROR(FIND('112'!$M$9,G1706,1)),"",IF((AND(RIGHT(G1706,2)=RIGHT('112'!$M$9,2),B1706&lt;'112'!$K$9,$O1706='112'!$I$6)),"x",""))</f>
        <v/>
      </c>
      <c r="W1706" s="84" t="str">
        <f>IF(AND('341-CT'!$H$9=H1706,OR(LEFT(N1706,3)=$W$7,LEFT(O1706,3)=$W$7)),"x","")</f>
        <v/>
      </c>
      <c r="X1706" s="84" t="str">
        <f>IF(OR(TH!N1706=TH!$X$7,O1706=TH!$X$7),"x","")</f>
        <v/>
      </c>
      <c r="Y1706" s="84" t="str">
        <f>IF(AND(OR(N1706="131",O1706="131"),H1706='131-CT'!$H$9),"x","")</f>
        <v/>
      </c>
      <c r="Z1706" s="84"/>
      <c r="AA1706" s="84" t="str">
        <f>IF(AND(MONTH(E1706)='IN-NX'!$J$5,'IN-NX'!$D$7=D1706),"x","")</f>
        <v/>
      </c>
      <c r="AB1706" s="84" t="str">
        <f>IF(AND(OR(LEFT(TH!N1706,2)="15",LEFT(TH!O1706,2)="15"),LEFT(TH!O1706,3)&lt;&gt;"111",'152-CT'!$J$8=TH!F1706),"x","")</f>
        <v/>
      </c>
      <c r="AC1706" s="84" t="str">
        <f>IF(AND(OR(LEFT(TH!N1706,2)="15",LEFT(TH!O1706,2)="15"),TK!$E$7=TH!F1706),"x","")</f>
        <v/>
      </c>
      <c r="AD1706" s="84" t="str">
        <f>IF(AND(N1706="1521",MONTH(C1706)='BK-NL'!$M$11),"x","")</f>
        <v/>
      </c>
      <c r="AE1706" s="330"/>
      <c r="AF1706" s="330">
        <v>1</v>
      </c>
    </row>
    <row r="1707" spans="1:32" s="350" customFormat="1" ht="15.75" hidden="1" customHeight="1">
      <c r="A1707" s="336" t="str">
        <f>IF(B1707&lt;&gt;"",IF(AND(B1707='IN-TC'!$S$4,OR(TH!N1707="1111",TH!O1707="1111")),TH!D1707,""),"")</f>
        <v/>
      </c>
      <c r="B1707" s="63">
        <f t="shared" si="233"/>
        <v>6</v>
      </c>
      <c r="C1707" s="64">
        <v>42544</v>
      </c>
      <c r="D1707" s="64" t="s">
        <v>892</v>
      </c>
      <c r="E1707" s="64">
        <v>42544</v>
      </c>
      <c r="F1707" s="73" t="s">
        <v>1607</v>
      </c>
      <c r="G1707" s="982" t="s">
        <v>1608</v>
      </c>
      <c r="H1707" s="73" t="s">
        <v>1593</v>
      </c>
      <c r="I1707" s="439"/>
      <c r="J1707" s="439"/>
      <c r="K1707" s="430"/>
      <c r="L1707" s="439"/>
      <c r="M1707" s="65">
        <v>5193</v>
      </c>
      <c r="N1707" s="66" t="s">
        <v>9</v>
      </c>
      <c r="O1707" s="66" t="s">
        <v>63</v>
      </c>
      <c r="P1707" s="84" t="str">
        <f>IF(AND('331-CT'!$E$7=TH!H1707,OR(N1707="331",O1707="331")),"x","")</f>
        <v/>
      </c>
      <c r="Q1707" s="84" t="str">
        <f>IF(AND(B1707='111'!$L$11,OR($N1707=$Q$7,$O1707=$Q$7)),"x","")</f>
        <v/>
      </c>
      <c r="R1707" s="84" t="str">
        <f>IF(AND($N1707=$Q$7,$B1707&lt;'111'!$L$11),"x","")</f>
        <v/>
      </c>
      <c r="S1707" s="84" t="str">
        <f>IF(AND($O1707=$Q$7,$B1707&lt;'111'!$L$11),"x","")</f>
        <v/>
      </c>
      <c r="T1707" s="84" t="str">
        <f>IF(ISERROR(FIND('112'!$M$9,G1707,1)),"",IF((AND(FIND('112'!$M$9,G1707,1)&gt;=1,B1707='112'!$K$9,OR($N1707='112'!$I$6,$O1707='112'!$I$6))),"x",""))</f>
        <v/>
      </c>
      <c r="U1707" s="84" t="str">
        <f>IF(ISERROR(FIND('112'!$M$9,G1707,1)),"",IF((AND(LEFT(G1707,2)=LEFT('112'!$M$9,2),B1707&lt;'112'!$K$9,$N1707='112'!$I$6)),"x",""))</f>
        <v/>
      </c>
      <c r="V1707" s="84" t="str">
        <f>IF(ISERROR(FIND('112'!$M$9,G1707,1)),"",IF((AND(RIGHT(G1707,2)=RIGHT('112'!$M$9,2),B1707&lt;'112'!$K$9,$O1707='112'!$I$6)),"x",""))</f>
        <v/>
      </c>
      <c r="W1707" s="84" t="str">
        <f>IF(AND('341-CT'!$H$9=H1707,OR(LEFT(N1707,3)=$W$7,LEFT(O1707,3)=$W$7)),"x","")</f>
        <v/>
      </c>
      <c r="X1707" s="84" t="str">
        <f>IF(OR(TH!N1707=TH!$X$7,O1707=TH!$X$7),"x","")</f>
        <v/>
      </c>
      <c r="Y1707" s="84" t="str">
        <f>IF(AND(OR(N1707="131",O1707="131"),H1707='131-CT'!$H$9),"x","")</f>
        <v/>
      </c>
      <c r="Z1707" s="84"/>
      <c r="AA1707" s="84" t="str">
        <f>IF(AND(MONTH(E1707)='IN-NX'!$J$5,'IN-NX'!$D$7=D1707),"x","")</f>
        <v/>
      </c>
      <c r="AB1707" s="84" t="str">
        <f>IF(AND(OR(LEFT(TH!N1707,2)="15",LEFT(TH!O1707,2)="15"),LEFT(TH!O1707,3)&lt;&gt;"111",'152-CT'!$J$8=TH!F1707),"x","")</f>
        <v/>
      </c>
      <c r="AC1707" s="84" t="str">
        <f>IF(AND(OR(LEFT(TH!N1707,2)="15",LEFT(TH!O1707,2)="15"),TK!$E$7=TH!F1707),"x","")</f>
        <v/>
      </c>
      <c r="AD1707" s="84" t="str">
        <f>IF(AND(N1707="1521",MONTH(C1707)='BK-NL'!$M$11),"x","")</f>
        <v/>
      </c>
      <c r="AE1707" s="330"/>
      <c r="AF1707" s="330"/>
    </row>
    <row r="1708" spans="1:32" ht="15.75" hidden="1" customHeight="1">
      <c r="A1708" s="336" t="str">
        <f>IF(B1708&lt;&gt;"",IF(AND(B1708='IN-TC'!$S$4,OR(TH!N1708="1111",TH!O1708="1111")),TH!D1708,""),"")</f>
        <v/>
      </c>
      <c r="B1708" s="63">
        <f t="shared" si="233"/>
        <v>6</v>
      </c>
      <c r="C1708" s="64">
        <v>42544</v>
      </c>
      <c r="D1708" s="64" t="s">
        <v>893</v>
      </c>
      <c r="E1708" s="64">
        <v>42544</v>
      </c>
      <c r="F1708" s="73" t="s">
        <v>1609</v>
      </c>
      <c r="G1708" s="982" t="s">
        <v>1611</v>
      </c>
      <c r="H1708" s="73" t="s">
        <v>1612</v>
      </c>
      <c r="I1708" s="439"/>
      <c r="J1708" s="439"/>
      <c r="K1708" s="430"/>
      <c r="L1708" s="439"/>
      <c r="M1708" s="65">
        <v>800000</v>
      </c>
      <c r="N1708" s="66" t="s">
        <v>591</v>
      </c>
      <c r="O1708" s="66" t="s">
        <v>63</v>
      </c>
      <c r="P1708" s="84" t="str">
        <f>IF(AND('331-CT'!$E$7=TH!H1708,OR(N1708="331",O1708="331")),"x","")</f>
        <v/>
      </c>
      <c r="Q1708" s="84" t="str">
        <f>IF(AND(B1708='111'!$L$11,OR($N1708=$Q$7,$O1708=$Q$7)),"x","")</f>
        <v/>
      </c>
      <c r="R1708" s="84" t="str">
        <f>IF(AND($N1708=$Q$7,$B1708&lt;'111'!$L$11),"x","")</f>
        <v/>
      </c>
      <c r="S1708" s="84" t="str">
        <f>IF(AND($O1708=$Q$7,$B1708&lt;'111'!$L$11),"x","")</f>
        <v/>
      </c>
      <c r="T1708" s="84" t="str">
        <f>IF(ISERROR(FIND('112'!$M$9,G1708,1)),"",IF((AND(FIND('112'!$M$9,G1708,1)&gt;=1,B1708='112'!$K$9,OR($N1708='112'!$I$6,$O1708='112'!$I$6))),"x",""))</f>
        <v/>
      </c>
      <c r="U1708" s="84" t="str">
        <f>IF(ISERROR(FIND('112'!$M$9,G1708,1)),"",IF((AND(LEFT(G1708,2)=LEFT('112'!$M$9,2),B1708&lt;'112'!$K$9,$N1708='112'!$I$6)),"x",""))</f>
        <v/>
      </c>
      <c r="V1708" s="84" t="str">
        <f>IF(ISERROR(FIND('112'!$M$9,G1708,1)),"",IF((AND(RIGHT(G1708,2)=RIGHT('112'!$M$9,2),B1708&lt;'112'!$K$9,$O1708='112'!$I$6)),"x",""))</f>
        <v/>
      </c>
      <c r="W1708" s="84" t="str">
        <f>IF(AND('341-CT'!$H$9=H1708,OR(LEFT(N1708,3)=$W$7,LEFT(O1708,3)=$W$7)),"x","")</f>
        <v/>
      </c>
      <c r="X1708" s="84" t="str">
        <f>IF(OR(TH!N1708=TH!$X$7,O1708=TH!$X$7),"x","")</f>
        <v/>
      </c>
      <c r="Y1708" s="84" t="str">
        <f>IF(AND(OR(N1708="131",O1708="131"),H1708='131-CT'!$H$9),"x","")</f>
        <v/>
      </c>
      <c r="Z1708" s="84"/>
      <c r="AA1708" s="84" t="str">
        <f>IF(AND(MONTH(E1708)='IN-NX'!$J$5,'IN-NX'!$D$7=D1708),"x","")</f>
        <v/>
      </c>
      <c r="AB1708" s="84" t="str">
        <f>IF(AND(OR(LEFT(TH!N1708,2)="15",LEFT(TH!O1708,2)="15"),LEFT(TH!O1708,3)&lt;&gt;"111",'152-CT'!$J$8=TH!F1708),"x","")</f>
        <v/>
      </c>
      <c r="AC1708" s="84" t="str">
        <f>IF(AND(OR(LEFT(TH!N1708,2)="15",LEFT(TH!O1708,2)="15"),TK!$E$7=TH!F1708),"x","")</f>
        <v/>
      </c>
      <c r="AD1708" s="84" t="str">
        <f>IF(AND(N1708="1521",MONTH(C1708)='BK-NL'!$M$11),"x","")</f>
        <v/>
      </c>
      <c r="AF1708" s="330">
        <v>1</v>
      </c>
    </row>
    <row r="1709" spans="1:32" ht="15.75" hidden="1" customHeight="1">
      <c r="A1709" s="336" t="str">
        <f>IF(B1709&lt;&gt;"",IF(AND(B1709='IN-TC'!$S$4,OR(TH!N1709="1111",TH!O1709="1111")),TH!D1709,""),"")</f>
        <v/>
      </c>
      <c r="B1709" s="63">
        <f t="shared" si="233"/>
        <v>6</v>
      </c>
      <c r="C1709" s="64">
        <v>42544</v>
      </c>
      <c r="D1709" s="64" t="s">
        <v>893</v>
      </c>
      <c r="E1709" s="64">
        <v>42544</v>
      </c>
      <c r="F1709" s="73" t="s">
        <v>1610</v>
      </c>
      <c r="G1709" s="982" t="s">
        <v>1611</v>
      </c>
      <c r="H1709" s="73" t="s">
        <v>1612</v>
      </c>
      <c r="I1709" s="439"/>
      <c r="J1709" s="439"/>
      <c r="K1709" s="430"/>
      <c r="L1709" s="439"/>
      <c r="M1709" s="65">
        <v>80000</v>
      </c>
      <c r="N1709" s="66" t="s">
        <v>9</v>
      </c>
      <c r="O1709" s="66" t="s">
        <v>63</v>
      </c>
      <c r="P1709" s="84" t="str">
        <f>IF(AND('331-CT'!$E$7=TH!H1709,OR(N1709="331",O1709="331")),"x","")</f>
        <v/>
      </c>
      <c r="Q1709" s="84" t="str">
        <f>IF(AND(B1709='111'!$L$11,OR($N1709=$Q$7,$O1709=$Q$7)),"x","")</f>
        <v/>
      </c>
      <c r="R1709" s="84" t="str">
        <f>IF(AND($N1709=$Q$7,$B1709&lt;'111'!$L$11),"x","")</f>
        <v/>
      </c>
      <c r="S1709" s="84" t="str">
        <f>IF(AND($O1709=$Q$7,$B1709&lt;'111'!$L$11),"x","")</f>
        <v/>
      </c>
      <c r="T1709" s="84" t="str">
        <f>IF(ISERROR(FIND('112'!$M$9,G1709,1)),"",IF((AND(FIND('112'!$M$9,G1709,1)&gt;=1,B1709='112'!$K$9,OR($N1709='112'!$I$6,$O1709='112'!$I$6))),"x",""))</f>
        <v/>
      </c>
      <c r="U1709" s="84" t="str">
        <f>IF(ISERROR(FIND('112'!$M$9,G1709,1)),"",IF((AND(LEFT(G1709,2)=LEFT('112'!$M$9,2),B1709&lt;'112'!$K$9,$N1709='112'!$I$6)),"x",""))</f>
        <v/>
      </c>
      <c r="V1709" s="84" t="str">
        <f>IF(ISERROR(FIND('112'!$M$9,G1709,1)),"",IF((AND(RIGHT(G1709,2)=RIGHT('112'!$M$9,2),B1709&lt;'112'!$K$9,$O1709='112'!$I$6)),"x",""))</f>
        <v/>
      </c>
      <c r="W1709" s="84" t="str">
        <f>IF(AND('341-CT'!$H$9=H1709,OR(LEFT(N1709,3)=$W$7,LEFT(O1709,3)=$W$7)),"x","")</f>
        <v/>
      </c>
      <c r="X1709" s="84" t="str">
        <f>IF(OR(TH!N1709=TH!$X$7,O1709=TH!$X$7),"x","")</f>
        <v/>
      </c>
      <c r="Y1709" s="84" t="str">
        <f>IF(AND(OR(N1709="131",O1709="131"),H1709='131-CT'!$H$9),"x","")</f>
        <v/>
      </c>
      <c r="Z1709" s="84"/>
      <c r="AA1709" s="84" t="str">
        <f>IF(AND(MONTH(E1709)='IN-NX'!$J$5,'IN-NX'!$D$7=D1709),"x","")</f>
        <v/>
      </c>
      <c r="AB1709" s="84" t="str">
        <f>IF(AND(OR(LEFT(TH!N1709,2)="15",LEFT(TH!O1709,2)="15"),LEFT(TH!O1709,3)&lt;&gt;"111",'152-CT'!$J$8=TH!F1709),"x","")</f>
        <v/>
      </c>
      <c r="AC1709" s="84" t="str">
        <f>IF(AND(OR(LEFT(TH!N1709,2)="15",LEFT(TH!O1709,2)="15"),TK!$E$7=TH!F1709),"x","")</f>
        <v/>
      </c>
      <c r="AD1709" s="84" t="str">
        <f>IF(AND(N1709="1521",MONTH(C1709)='BK-NL'!$M$11),"x","")</f>
        <v/>
      </c>
    </row>
    <row r="1710" spans="1:32" ht="15.75" hidden="1" customHeight="1">
      <c r="A1710" s="336" t="str">
        <f>IF(B1710&lt;&gt;"",IF(AND(B1710='IN-TC'!$S$4,OR(TH!N1710="1111",TH!O1710="1111")),TH!D1710,""),"")</f>
        <v/>
      </c>
      <c r="B1710" s="1158">
        <f t="shared" si="233"/>
        <v>6</v>
      </c>
      <c r="C1710" s="1159">
        <v>42545</v>
      </c>
      <c r="D1710" s="1159" t="s">
        <v>1564</v>
      </c>
      <c r="E1710" s="1159">
        <v>42545</v>
      </c>
      <c r="F1710" s="1160" t="s">
        <v>1146</v>
      </c>
      <c r="G1710" s="1161" t="s">
        <v>1565</v>
      </c>
      <c r="H1710" s="1160" t="s">
        <v>763</v>
      </c>
      <c r="I1710" s="1162"/>
      <c r="J1710" s="1162"/>
      <c r="K1710" s="1163"/>
      <c r="L1710" s="1162"/>
      <c r="M1710" s="1164">
        <v>3348750000</v>
      </c>
      <c r="N1710" s="1165" t="s">
        <v>63</v>
      </c>
      <c r="O1710" s="66" t="s">
        <v>26</v>
      </c>
      <c r="P1710" s="84" t="str">
        <f>IF(AND('331-CT'!$E$7=TH!H1710,OR(N1710="331",O1710="331")),"x","")</f>
        <v/>
      </c>
      <c r="Q1710" s="84" t="str">
        <f>IF(AND(B1710='111'!$L$11,OR($N1710=$Q$7,$O1710=$Q$7)),"x","")</f>
        <v/>
      </c>
      <c r="R1710" s="84" t="str">
        <f>IF(AND($N1710=$Q$7,$B1710&lt;'111'!$L$11),"x","")</f>
        <v/>
      </c>
      <c r="S1710" s="84" t="str">
        <f>IF(AND($O1710=$Q$7,$B1710&lt;'111'!$L$11),"x","")</f>
        <v/>
      </c>
      <c r="T1710" s="84" t="str">
        <f>IF(ISERROR(FIND('112'!$M$9,G1710,1)),"",IF((AND(FIND('112'!$M$9,G1710,1)&gt;=1,B1710='112'!$K$9,OR($N1710='112'!$I$6,$O1710='112'!$I$6))),"x",""))</f>
        <v/>
      </c>
      <c r="U1710" s="84" t="str">
        <f>IF(ISERROR(FIND('112'!$M$9,G1710,1)),"",IF((AND(LEFT(G1710,2)=LEFT('112'!$M$9,2),B1710&lt;'112'!$K$9,$N1710='112'!$I$6)),"x",""))</f>
        <v/>
      </c>
      <c r="V1710" s="84" t="str">
        <f>IF(ISERROR(FIND('112'!$M$9,G1710,1)),"",IF((AND(RIGHT(G1710,2)=RIGHT('112'!$M$9,2),B1710&lt;'112'!$K$9,$O1710='112'!$I$6)),"x",""))</f>
        <v/>
      </c>
      <c r="W1710" s="84" t="str">
        <f>IF(AND('341-CT'!$H$9=H1710,OR(LEFT(N1710,3)=$W$7,LEFT(O1710,3)=$W$7)),"x","")</f>
        <v/>
      </c>
      <c r="X1710" s="84" t="str">
        <f>IF(OR(TH!N1710=TH!$X$7,O1710=TH!$X$7),"x","")</f>
        <v/>
      </c>
      <c r="Y1710" s="84" t="str">
        <f>IF(AND(OR(N1710="131",O1710="131"),H1710='131-CT'!$H$9),"x","")</f>
        <v/>
      </c>
      <c r="Z1710" s="84"/>
      <c r="AA1710" s="84" t="str">
        <f>IF(AND(MONTH(E1710)='IN-NX'!$J$5,'IN-NX'!$D$7=D1710),"x","")</f>
        <v/>
      </c>
      <c r="AB1710" s="84" t="str">
        <f>IF(AND(OR(LEFT(TH!N1710,2)="15",LEFT(TH!O1710,2)="15"),LEFT(TH!O1710,3)&lt;&gt;"111",'152-CT'!$J$8=TH!F1710),"x","")</f>
        <v/>
      </c>
      <c r="AC1710" s="84" t="str">
        <f>IF(AND(OR(LEFT(TH!N1710,2)="15",LEFT(TH!O1710,2)="15"),TK!$E$7=TH!F1710),"x","")</f>
        <v/>
      </c>
      <c r="AD1710" s="84" t="str">
        <f>IF(AND(N1710="1521",MONTH(C1710)='BK-NL'!$M$11),"x","")</f>
        <v/>
      </c>
      <c r="AE1710" s="1166"/>
      <c r="AF1710" s="1166"/>
    </row>
    <row r="1711" spans="1:32" ht="15.75" hidden="1" customHeight="1">
      <c r="A1711" s="336" t="str">
        <f>IF(B1711&lt;&gt;"",IF(AND(B1711='IN-TC'!$S$4,OR(TH!N1711="1111",TH!O1711="1111")),TH!D1711,""),"")</f>
        <v/>
      </c>
      <c r="B1711" s="1158">
        <f t="shared" si="233"/>
        <v>6</v>
      </c>
      <c r="C1711" s="1159">
        <v>42545</v>
      </c>
      <c r="D1711" s="64" t="s">
        <v>705</v>
      </c>
      <c r="E1711" s="1159">
        <f t="shared" ref="E1711:E1723" si="234">C1711</f>
        <v>42545</v>
      </c>
      <c r="F1711" s="1161" t="s">
        <v>1888</v>
      </c>
      <c r="G1711" s="1161" t="s">
        <v>1565</v>
      </c>
      <c r="H1711" s="1160" t="s">
        <v>1889</v>
      </c>
      <c r="I1711" s="1162"/>
      <c r="J1711" s="1162"/>
      <c r="K1711" s="1163">
        <v>150000</v>
      </c>
      <c r="L1711" s="1162">
        <v>22325</v>
      </c>
      <c r="M1711" s="1164">
        <v>3348750000</v>
      </c>
      <c r="N1711" s="1165" t="s">
        <v>266</v>
      </c>
      <c r="O1711" s="1165" t="s">
        <v>260</v>
      </c>
      <c r="P1711" s="84" t="str">
        <f>IF(AND('331-CT'!$E$7=TH!H1711,OR(N1711="331",O1711="331")),"x","")</f>
        <v/>
      </c>
      <c r="Q1711" s="84" t="str">
        <f>IF(AND(B1711='111'!$L$11,OR($N1711=$Q$7,$O1711=$Q$7)),"x","")</f>
        <v/>
      </c>
      <c r="R1711" s="84" t="str">
        <f>IF(AND($N1711=$Q$7,$B1711&lt;'111'!$L$11),"x","")</f>
        <v/>
      </c>
      <c r="S1711" s="84" t="str">
        <f>IF(AND($O1711=$Q$7,$B1711&lt;'111'!$L$11),"x","")</f>
        <v/>
      </c>
      <c r="T1711" s="84" t="str">
        <f>IF(ISERROR(FIND('112'!$M$9,G1711,1)),"",IF((AND(FIND('112'!$M$9,G1711,1)&gt;=1,B1711='112'!$K$9,OR($N1711='112'!$I$6,$O1711='112'!$I$6))),"x",""))</f>
        <v/>
      </c>
      <c r="U1711" s="84" t="str">
        <f>IF(ISERROR(FIND('112'!$M$9,G1711,1)),"",IF((AND(LEFT(G1711,2)=LEFT('112'!$M$9,2),B1711&lt;'112'!$K$9,$N1711='112'!$I$6)),"x",""))</f>
        <v/>
      </c>
      <c r="V1711" s="84" t="str">
        <f>IF(ISERROR(FIND('112'!$M$9,G1711,1)),"",IF((AND(RIGHT(G1711,2)=RIGHT('112'!$M$9,2),B1711&lt;'112'!$K$9,$O1711='112'!$I$6)),"x",""))</f>
        <v/>
      </c>
      <c r="W1711" s="84" t="str">
        <f>IF(AND('341-CT'!$H$9=H1711,OR(LEFT(N1711,3)=$W$7,LEFT(O1711,3)=$W$7)),"x","")</f>
        <v/>
      </c>
      <c r="X1711" s="84" t="str">
        <f>IF(OR(TH!N1711=TH!$X$7,O1711=TH!$X$7),"x","")</f>
        <v/>
      </c>
      <c r="Y1711" s="84" t="str">
        <f>IF(AND(OR(N1711="131",O1711="131"),H1711='131-CT'!$H$9),"x","")</f>
        <v/>
      </c>
      <c r="Z1711" s="84"/>
      <c r="AA1711" s="84" t="str">
        <f>IF(AND(MONTH(E1711)='IN-NX'!$J$5,'IN-NX'!$D$7=D1711),"x","")</f>
        <v/>
      </c>
      <c r="AB1711" s="84" t="str">
        <f>IF(AND(OR(LEFT(TH!N1711,2)="15",LEFT(TH!O1711,2)="15"),LEFT(TH!O1711,3)&lt;&gt;"111",'152-CT'!$J$8=TH!F1711),"x","")</f>
        <v/>
      </c>
      <c r="AC1711" s="84" t="str">
        <f>IF(AND(OR(LEFT(TH!N1711,2)="15",LEFT(TH!O1711,2)="15"),TK!$E$7=TH!F1711),"x","")</f>
        <v/>
      </c>
      <c r="AD1711" s="84" t="str">
        <f>IF(AND(N1711="1521",MONTH(C1711)='BK-NL'!$M$11),"x","")</f>
        <v/>
      </c>
      <c r="AE1711" s="1166"/>
      <c r="AF1711" s="1166"/>
    </row>
    <row r="1712" spans="1:32" ht="15.75" hidden="1" customHeight="1">
      <c r="A1712" s="336" t="str">
        <f>IF(B1712&lt;&gt;"",IF(AND(B1712='IN-TC'!$S$4,OR(TH!N1712="1111",TH!O1712="1111")),TH!D1712,""),"")</f>
        <v/>
      </c>
      <c r="B1712" s="1158">
        <f t="shared" si="233"/>
        <v>6</v>
      </c>
      <c r="C1712" s="1159">
        <v>42545</v>
      </c>
      <c r="D1712" s="64" t="s">
        <v>705</v>
      </c>
      <c r="E1712" s="1159">
        <f t="shared" si="234"/>
        <v>42545</v>
      </c>
      <c r="F1712" s="1161" t="s">
        <v>1445</v>
      </c>
      <c r="G1712" s="1161" t="s">
        <v>1565</v>
      </c>
      <c r="H1712" s="1160"/>
      <c r="I1712" s="1162"/>
      <c r="J1712" s="1162"/>
      <c r="K1712" s="1163">
        <v>150000</v>
      </c>
      <c r="L1712" s="1162">
        <v>22325</v>
      </c>
      <c r="M1712" s="1164">
        <v>3348750000</v>
      </c>
      <c r="N1712" s="66" t="s">
        <v>26</v>
      </c>
      <c r="O1712" s="1165" t="s">
        <v>266</v>
      </c>
      <c r="P1712" s="84" t="str">
        <f>IF(AND('331-CT'!$E$7=TH!H1712,OR(N1712="331",O1712="331")),"x","")</f>
        <v/>
      </c>
      <c r="Q1712" s="84" t="str">
        <f>IF(AND(B1712='111'!$L$11,OR($N1712=$Q$7,$O1712=$Q$7)),"x","")</f>
        <v/>
      </c>
      <c r="R1712" s="84" t="str">
        <f>IF(AND($N1712=$Q$7,$B1712&lt;'111'!$L$11),"x","")</f>
        <v/>
      </c>
      <c r="S1712" s="84" t="str">
        <f>IF(AND($O1712=$Q$7,$B1712&lt;'111'!$L$11),"x","")</f>
        <v/>
      </c>
      <c r="T1712" s="84" t="str">
        <f>IF(ISERROR(FIND('112'!$M$9,G1712,1)),"",IF((AND(FIND('112'!$M$9,G1712,1)&gt;=1,B1712='112'!$K$9,OR($N1712='112'!$I$6,$O1712='112'!$I$6))),"x",""))</f>
        <v/>
      </c>
      <c r="U1712" s="84" t="str">
        <f>IF(ISERROR(FIND('112'!$M$9,G1712,1)),"",IF((AND(LEFT(G1712,2)=LEFT('112'!$M$9,2),B1712&lt;'112'!$K$9,$N1712='112'!$I$6)),"x",""))</f>
        <v/>
      </c>
      <c r="V1712" s="84" t="str">
        <f>IF(ISERROR(FIND('112'!$M$9,G1712,1)),"",IF((AND(RIGHT(G1712,2)=RIGHT('112'!$M$9,2),B1712&lt;'112'!$K$9,$O1712='112'!$I$6)),"x",""))</f>
        <v/>
      </c>
      <c r="W1712" s="84" t="str">
        <f>IF(AND('341-CT'!$H$9=H1712,OR(LEFT(N1712,3)=$W$7,LEFT(O1712,3)=$W$7)),"x","")</f>
        <v/>
      </c>
      <c r="X1712" s="84" t="str">
        <f>IF(OR(TH!N1712=TH!$X$7,O1712=TH!$X$7),"x","")</f>
        <v/>
      </c>
      <c r="Y1712" s="84" t="str">
        <f>IF(AND(OR(N1712="131",O1712="131"),H1712='131-CT'!$H$9),"x","")</f>
        <v/>
      </c>
      <c r="Z1712" s="84"/>
      <c r="AA1712" s="84" t="str">
        <f>IF(AND(MONTH(E1712)='IN-NX'!$J$5,'IN-NX'!$D$7=D1712),"x","")</f>
        <v/>
      </c>
      <c r="AB1712" s="84" t="str">
        <f>IF(AND(OR(LEFT(TH!N1712,2)="15",LEFT(TH!O1712,2)="15"),LEFT(TH!O1712,3)&lt;&gt;"111",'152-CT'!$J$8=TH!F1712),"x","")</f>
        <v/>
      </c>
      <c r="AC1712" s="84" t="str">
        <f>IF(AND(OR(LEFT(TH!N1712,2)="15",LEFT(TH!O1712,2)="15"),TK!$E$7=TH!F1712),"x","")</f>
        <v/>
      </c>
      <c r="AD1712" s="84" t="str">
        <f>IF(AND(N1712="1521",MONTH(C1712)='BK-NL'!$M$11),"x","")</f>
        <v/>
      </c>
      <c r="AE1712" s="1166"/>
      <c r="AF1712" s="1166"/>
    </row>
    <row r="1713" spans="1:32" ht="15.75" hidden="1" customHeight="1">
      <c r="A1713" s="336" t="str">
        <f>IF(B1713&lt;&gt;"",IF(AND(B1713='IN-TC'!$S$4,OR(TH!N1713="1111",TH!O1713="1111")),TH!D1713,""),"")</f>
        <v/>
      </c>
      <c r="B1713" s="63">
        <f t="shared" si="233"/>
        <v>6</v>
      </c>
      <c r="C1713" s="64">
        <v>42545</v>
      </c>
      <c r="D1713" s="64" t="s">
        <v>702</v>
      </c>
      <c r="E1713" s="64">
        <f t="shared" si="234"/>
        <v>42545</v>
      </c>
      <c r="F1713" s="73" t="s">
        <v>1655</v>
      </c>
      <c r="G1713" s="67" t="s">
        <v>919</v>
      </c>
      <c r="H1713" s="344"/>
      <c r="I1713" s="439"/>
      <c r="J1713" s="439"/>
      <c r="K1713" s="430"/>
      <c r="L1713" s="439"/>
      <c r="M1713" s="65">
        <v>9632</v>
      </c>
      <c r="N1713" s="66" t="s">
        <v>26</v>
      </c>
      <c r="O1713" s="66" t="s">
        <v>43</v>
      </c>
      <c r="P1713" s="84" t="str">
        <f>IF(AND('331-CT'!$E$7=TH!H1713,OR(N1713="331",O1713="331")),"x","")</f>
        <v/>
      </c>
      <c r="Q1713" s="84" t="str">
        <f>IF(AND(B1713='111'!$L$11,OR($N1713=$Q$7,$O1713=$Q$7)),"x","")</f>
        <v/>
      </c>
      <c r="R1713" s="84" t="str">
        <f>IF(AND($N1713=$Q$7,$B1713&lt;'111'!$L$11),"x","")</f>
        <v/>
      </c>
      <c r="S1713" s="84" t="str">
        <f>IF(AND($O1713=$Q$7,$B1713&lt;'111'!$L$11),"x","")</f>
        <v/>
      </c>
      <c r="T1713" s="84" t="str">
        <f>IF(ISERROR(FIND('112'!$M$9,G1713,1)),"",IF((AND(FIND('112'!$M$9,G1713,1)&gt;=1,B1713='112'!$K$9,OR($N1713='112'!$I$6,$O1713='112'!$I$6))),"x",""))</f>
        <v>x</v>
      </c>
      <c r="U1713" s="84" t="str">
        <f>IF(ISERROR(FIND('112'!$M$9,G1713,1)),"",IF((AND(LEFT(G1713,2)=LEFT('112'!$M$9,2),B1713&lt;'112'!$K$9,$N1713='112'!$I$6)),"x",""))</f>
        <v/>
      </c>
      <c r="V1713" s="84" t="str">
        <f>IF(ISERROR(FIND('112'!$M$9,G1713,1)),"",IF((AND(RIGHT(G1713,2)=RIGHT('112'!$M$9,2),B1713&lt;'112'!$K$9,$O1713='112'!$I$6)),"x",""))</f>
        <v/>
      </c>
      <c r="W1713" s="84" t="str">
        <f>IF(AND('341-CT'!$H$9=H1713,OR(LEFT(N1713,3)=$W$7,LEFT(O1713,3)=$W$7)),"x","")</f>
        <v/>
      </c>
      <c r="X1713" s="84" t="str">
        <f>IF(OR(TH!N1713=TH!$X$7,O1713=TH!$X$7),"x","")</f>
        <v/>
      </c>
      <c r="Y1713" s="84" t="str">
        <f>IF(AND(OR(N1713="131",O1713="131"),H1713='131-CT'!$H$9),"x","")</f>
        <v/>
      </c>
      <c r="Z1713" s="84"/>
      <c r="AA1713" s="84" t="str">
        <f>IF(AND(MONTH(E1713)='IN-NX'!$J$5,'IN-NX'!$D$7=D1713),"x","")</f>
        <v/>
      </c>
      <c r="AB1713" s="84" t="str">
        <f>IF(AND(OR(LEFT(TH!N1713,2)="15",LEFT(TH!O1713,2)="15"),LEFT(TH!O1713,3)&lt;&gt;"111",'152-CT'!$J$8=TH!F1713),"x","")</f>
        <v/>
      </c>
      <c r="AC1713" s="84" t="str">
        <f>IF(AND(OR(LEFT(TH!N1713,2)="15",LEFT(TH!O1713,2)="15"),TK!$E$7=TH!F1713),"x","")</f>
        <v/>
      </c>
      <c r="AD1713" s="84" t="str">
        <f>IF(AND(N1713="1521",MONTH(C1713)='BK-NL'!$M$11),"x","")</f>
        <v/>
      </c>
    </row>
    <row r="1714" spans="1:32" s="347" customFormat="1" ht="15.75" hidden="1" customHeight="1">
      <c r="A1714" s="336" t="str">
        <f>IF(B1714&lt;&gt;"",IF(AND(B1714='IN-TC'!$S$4,OR(TH!N1714="1111",TH!O1714="1111")),TH!D1714,""),"")</f>
        <v/>
      </c>
      <c r="B1714" s="63">
        <f t="shared" si="233"/>
        <v>6</v>
      </c>
      <c r="C1714" s="64">
        <v>42545</v>
      </c>
      <c r="D1714" s="64" t="s">
        <v>702</v>
      </c>
      <c r="E1714" s="64">
        <f t="shared" si="234"/>
        <v>42545</v>
      </c>
      <c r="F1714" s="73" t="s">
        <v>1655</v>
      </c>
      <c r="G1714" s="67" t="s">
        <v>918</v>
      </c>
      <c r="H1714" s="73"/>
      <c r="I1714" s="439"/>
      <c r="J1714" s="439"/>
      <c r="K1714" s="430"/>
      <c r="L1714" s="439"/>
      <c r="M1714" s="65">
        <v>5688</v>
      </c>
      <c r="N1714" s="66" t="s">
        <v>26</v>
      </c>
      <c r="O1714" s="66" t="s">
        <v>43</v>
      </c>
      <c r="P1714" s="84" t="str">
        <f>IF(AND('331-CT'!$E$7=TH!H1714,OR(N1714="331",O1714="331")),"x","")</f>
        <v/>
      </c>
      <c r="Q1714" s="84" t="str">
        <f>IF(AND(B1714='111'!$L$11,OR($N1714=$Q$7,$O1714=$Q$7)),"x","")</f>
        <v/>
      </c>
      <c r="R1714" s="84" t="str">
        <f>IF(AND($N1714=$Q$7,$B1714&lt;'111'!$L$11),"x","")</f>
        <v/>
      </c>
      <c r="S1714" s="84" t="str">
        <f>IF(AND($O1714=$Q$7,$B1714&lt;'111'!$L$11),"x","")</f>
        <v/>
      </c>
      <c r="T1714" s="84" t="str">
        <f>IF(ISERROR(FIND('112'!$M$9,G1714,1)),"",IF((AND(FIND('112'!$M$9,G1714,1)&gt;=1,B1714='112'!$K$9,OR($N1714='112'!$I$6,$O1714='112'!$I$6))),"x",""))</f>
        <v/>
      </c>
      <c r="U1714" s="84" t="str">
        <f>IF(ISERROR(FIND('112'!$M$9,G1714,1)),"",IF((AND(LEFT(G1714,2)=LEFT('112'!$M$9,2),B1714&lt;'112'!$K$9,$N1714='112'!$I$6)),"x",""))</f>
        <v/>
      </c>
      <c r="V1714" s="84" t="str">
        <f>IF(ISERROR(FIND('112'!$M$9,G1714,1)),"",IF((AND(RIGHT(G1714,2)=RIGHT('112'!$M$9,2),B1714&lt;'112'!$K$9,$O1714='112'!$I$6)),"x",""))</f>
        <v/>
      </c>
      <c r="W1714" s="84" t="str">
        <f>IF(AND('341-CT'!$H$9=H1714,OR(LEFT(N1714,3)=$W$7,LEFT(O1714,3)=$W$7)),"x","")</f>
        <v/>
      </c>
      <c r="X1714" s="84" t="str">
        <f>IF(OR(TH!N1714=TH!$X$7,O1714=TH!$X$7),"x","")</f>
        <v/>
      </c>
      <c r="Y1714" s="84" t="str">
        <f>IF(AND(OR(N1714="131",O1714="131"),H1714='131-CT'!$H$9),"x","")</f>
        <v/>
      </c>
      <c r="Z1714" s="84"/>
      <c r="AA1714" s="84" t="str">
        <f>IF(AND(MONTH(E1714)='IN-NX'!$J$5,'IN-NX'!$D$7=D1714),"x","")</f>
        <v/>
      </c>
      <c r="AB1714" s="84" t="str">
        <f>IF(AND(OR(LEFT(TH!N1714,2)="15",LEFT(TH!O1714,2)="15"),LEFT(TH!O1714,3)&lt;&gt;"111",'152-CT'!$J$8=TH!F1714),"x","")</f>
        <v/>
      </c>
      <c r="AC1714" s="84" t="str">
        <f>IF(AND(OR(LEFT(TH!N1714,2)="15",LEFT(TH!O1714,2)="15"),TK!$E$7=TH!F1714),"x","")</f>
        <v/>
      </c>
      <c r="AD1714" s="84" t="str">
        <f>IF(AND(N1714="1521",MONTH(C1714)='BK-NL'!$M$11),"x","")</f>
        <v/>
      </c>
      <c r="AE1714" s="330"/>
      <c r="AF1714" s="330"/>
    </row>
    <row r="1715" spans="1:32" s="347" customFormat="1" ht="15.75" hidden="1" customHeight="1">
      <c r="A1715" s="336" t="str">
        <f>IF(B1715&lt;&gt;"",IF(AND(B1715='IN-TC'!$S$4,OR(TH!N1715="1111",TH!O1715="1111")),TH!D1715,""),"")</f>
        <v/>
      </c>
      <c r="B1715" s="1158">
        <f t="shared" si="233"/>
        <v>6</v>
      </c>
      <c r="C1715" s="1159">
        <v>42546</v>
      </c>
      <c r="D1715" s="1159" t="s">
        <v>702</v>
      </c>
      <c r="E1715" s="1159">
        <f t="shared" si="234"/>
        <v>42546</v>
      </c>
      <c r="F1715" s="1161" t="s">
        <v>1655</v>
      </c>
      <c r="G1715" s="1161" t="s">
        <v>1565</v>
      </c>
      <c r="H1715" s="1160"/>
      <c r="I1715" s="1162"/>
      <c r="J1715" s="1162"/>
      <c r="K1715" s="1163"/>
      <c r="L1715" s="1162"/>
      <c r="M1715" s="1164">
        <v>26</v>
      </c>
      <c r="N1715" s="66" t="s">
        <v>26</v>
      </c>
      <c r="O1715" s="66" t="s">
        <v>43</v>
      </c>
      <c r="P1715" s="84" t="str">
        <f>IF(AND('331-CT'!$E$7=TH!H1715,OR(N1715="331",O1715="331")),"x","")</f>
        <v/>
      </c>
      <c r="Q1715" s="84" t="str">
        <f>IF(AND(B1715='111'!$L$11,OR($N1715=$Q$7,$O1715=$Q$7)),"x","")</f>
        <v/>
      </c>
      <c r="R1715" s="84" t="str">
        <f>IF(AND($N1715=$Q$7,$B1715&lt;'111'!$L$11),"x","")</f>
        <v/>
      </c>
      <c r="S1715" s="84" t="str">
        <f>IF(AND($O1715=$Q$7,$B1715&lt;'111'!$L$11),"x","")</f>
        <v/>
      </c>
      <c r="T1715" s="84" t="str">
        <f>IF(ISERROR(FIND('112'!$M$9,G1715,1)),"",IF((AND(FIND('112'!$M$9,G1715,1)&gt;=1,B1715='112'!$K$9,OR($N1715='112'!$I$6,$O1715='112'!$I$6))),"x",""))</f>
        <v/>
      </c>
      <c r="U1715" s="84" t="str">
        <f>IF(ISERROR(FIND('112'!$M$9,G1715,1)),"",IF((AND(LEFT(G1715,2)=LEFT('112'!$M$9,2),B1715&lt;'112'!$K$9,$N1715='112'!$I$6)),"x",""))</f>
        <v/>
      </c>
      <c r="V1715" s="84" t="str">
        <f>IF(ISERROR(FIND('112'!$M$9,G1715,1)),"",IF((AND(RIGHT(G1715,2)=RIGHT('112'!$M$9,2),B1715&lt;'112'!$K$9,$O1715='112'!$I$6)),"x",""))</f>
        <v/>
      </c>
      <c r="W1715" s="84" t="str">
        <f>IF(AND('341-CT'!$H$9=H1715,OR(LEFT(N1715,3)=$W$7,LEFT(O1715,3)=$W$7)),"x","")</f>
        <v/>
      </c>
      <c r="X1715" s="84" t="str">
        <f>IF(OR(TH!N1715=TH!$X$7,O1715=TH!$X$7),"x","")</f>
        <v/>
      </c>
      <c r="Y1715" s="84" t="str">
        <f>IF(AND(OR(N1715="131",O1715="131"),H1715='131-CT'!$H$9),"x","")</f>
        <v/>
      </c>
      <c r="Z1715" s="84"/>
      <c r="AA1715" s="84" t="str">
        <f>IF(AND(MONTH(E1715)='IN-NX'!$J$5,'IN-NX'!$D$7=D1715),"x","")</f>
        <v/>
      </c>
      <c r="AB1715" s="84" t="str">
        <f>IF(AND(OR(LEFT(TH!N1715,2)="15",LEFT(TH!O1715,2)="15"),LEFT(TH!O1715,3)&lt;&gt;"111",'152-CT'!$J$8=TH!F1715),"x","")</f>
        <v/>
      </c>
      <c r="AC1715" s="84" t="str">
        <f>IF(AND(OR(LEFT(TH!N1715,2)="15",LEFT(TH!O1715,2)="15"),TK!$E$7=TH!F1715),"x","")</f>
        <v/>
      </c>
      <c r="AD1715" s="84" t="str">
        <f>IF(AND(N1715="1521",MONTH(C1715)='BK-NL'!$M$11),"x","")</f>
        <v/>
      </c>
      <c r="AE1715" s="1166"/>
      <c r="AF1715" s="1166"/>
    </row>
    <row r="1716" spans="1:32" ht="15.75" hidden="1" customHeight="1">
      <c r="A1716" s="336" t="str">
        <f>IF(B1716&lt;&gt;"",IF(AND(B1716='IN-TC'!$S$4,OR(TH!N1716="1111",TH!O1716="1111")),TH!D1716,""),"")</f>
        <v/>
      </c>
      <c r="B1716" s="63">
        <f t="shared" si="233"/>
        <v>6</v>
      </c>
      <c r="C1716" s="64">
        <v>42546</v>
      </c>
      <c r="D1716" s="64" t="s">
        <v>705</v>
      </c>
      <c r="E1716" s="64">
        <f t="shared" si="234"/>
        <v>42546</v>
      </c>
      <c r="F1716" s="73" t="s">
        <v>1656</v>
      </c>
      <c r="G1716" s="67" t="s">
        <v>919</v>
      </c>
      <c r="H1716" s="344"/>
      <c r="I1716" s="439"/>
      <c r="J1716" s="439"/>
      <c r="K1716" s="430"/>
      <c r="L1716" s="439"/>
      <c r="M1716" s="65">
        <v>50000</v>
      </c>
      <c r="N1716" s="66" t="s">
        <v>101</v>
      </c>
      <c r="O1716" s="66" t="s">
        <v>26</v>
      </c>
      <c r="P1716" s="84" t="str">
        <f>IF(AND('331-CT'!$E$7=TH!H1716,OR(N1716="331",O1716="331")),"x","")</f>
        <v/>
      </c>
      <c r="Q1716" s="84" t="str">
        <f>IF(AND(B1716='111'!$L$11,OR($N1716=$Q$7,$O1716=$Q$7)),"x","")</f>
        <v/>
      </c>
      <c r="R1716" s="84" t="str">
        <f>IF(AND($N1716=$Q$7,$B1716&lt;'111'!$L$11),"x","")</f>
        <v/>
      </c>
      <c r="S1716" s="84" t="str">
        <f>IF(AND($O1716=$Q$7,$B1716&lt;'111'!$L$11),"x","")</f>
        <v/>
      </c>
      <c r="T1716" s="84" t="str">
        <f>IF(ISERROR(FIND('112'!$M$9,G1716,1)),"",IF((AND(FIND('112'!$M$9,G1716,1)&gt;=1,B1716='112'!$K$9,OR($N1716='112'!$I$6,$O1716='112'!$I$6))),"x",""))</f>
        <v>x</v>
      </c>
      <c r="U1716" s="84" t="str">
        <f>IF(ISERROR(FIND('112'!$M$9,G1716,1)),"",IF((AND(LEFT(G1716,2)=LEFT('112'!$M$9,2),B1716&lt;'112'!$K$9,$N1716='112'!$I$6)),"x",""))</f>
        <v/>
      </c>
      <c r="V1716" s="84" t="str">
        <f>IF(ISERROR(FIND('112'!$M$9,G1716,1)),"",IF((AND(RIGHT(G1716,2)=RIGHT('112'!$M$9,2),B1716&lt;'112'!$K$9,$O1716='112'!$I$6)),"x",""))</f>
        <v/>
      </c>
      <c r="W1716" s="84" t="str">
        <f>IF(AND('341-CT'!$H$9=H1716,OR(LEFT(N1716,3)=$W$7,LEFT(O1716,3)=$W$7)),"x","")</f>
        <v/>
      </c>
      <c r="X1716" s="84" t="str">
        <f>IF(OR(TH!N1716=TH!$X$7,O1716=TH!$X$7),"x","")</f>
        <v/>
      </c>
      <c r="Y1716" s="84" t="str">
        <f>IF(AND(OR(N1716="131",O1716="131"),H1716='131-CT'!$H$9),"x","")</f>
        <v/>
      </c>
      <c r="Z1716" s="84"/>
      <c r="AA1716" s="84" t="str">
        <f>IF(AND(MONTH(E1716)='IN-NX'!$J$5,'IN-NX'!$D$7=D1716),"x","")</f>
        <v/>
      </c>
      <c r="AB1716" s="84" t="str">
        <f>IF(AND(OR(LEFT(TH!N1716,2)="15",LEFT(TH!O1716,2)="15"),LEFT(TH!O1716,3)&lt;&gt;"111",'152-CT'!$J$8=TH!F1716),"x","")</f>
        <v/>
      </c>
      <c r="AC1716" s="84" t="str">
        <f>IF(AND(OR(LEFT(TH!N1716,2)="15",LEFT(TH!O1716,2)="15"),TK!$E$7=TH!F1716),"x","")</f>
        <v/>
      </c>
      <c r="AD1716" s="84" t="str">
        <f>IF(AND(N1716="1521",MONTH(C1716)='BK-NL'!$M$11),"x","")</f>
        <v/>
      </c>
      <c r="AF1716" s="330">
        <v>1</v>
      </c>
    </row>
    <row r="1717" spans="1:32" ht="15.75" hidden="1" customHeight="1">
      <c r="A1717" s="336" t="str">
        <f>IF(B1717&lt;&gt;"",IF(AND(B1717='IN-TC'!$S$4,OR(TH!N1717="1111",TH!O1717="1111")),TH!D1717,""),"")</f>
        <v/>
      </c>
      <c r="B1717" s="63">
        <f t="shared" si="233"/>
        <v>6</v>
      </c>
      <c r="C1717" s="64">
        <v>42546</v>
      </c>
      <c r="D1717" s="64" t="s">
        <v>705</v>
      </c>
      <c r="E1717" s="64">
        <f t="shared" si="234"/>
        <v>42546</v>
      </c>
      <c r="F1717" s="73" t="s">
        <v>1657</v>
      </c>
      <c r="G1717" s="67" t="s">
        <v>919</v>
      </c>
      <c r="H1717" s="344"/>
      <c r="I1717" s="439"/>
      <c r="J1717" s="439"/>
      <c r="K1717" s="430"/>
      <c r="L1717" s="439"/>
      <c r="M1717" s="65">
        <v>5000</v>
      </c>
      <c r="N1717" s="66" t="s">
        <v>9</v>
      </c>
      <c r="O1717" s="66" t="s">
        <v>26</v>
      </c>
      <c r="P1717" s="84" t="str">
        <f>IF(AND('331-CT'!$E$7=TH!H1717,OR(N1717="331",O1717="331")),"x","")</f>
        <v/>
      </c>
      <c r="Q1717" s="84" t="str">
        <f>IF(AND(B1717='111'!$L$11,OR($N1717=$Q$7,$O1717=$Q$7)),"x","")</f>
        <v/>
      </c>
      <c r="R1717" s="84" t="str">
        <f>IF(AND($N1717=$Q$7,$B1717&lt;'111'!$L$11),"x","")</f>
        <v/>
      </c>
      <c r="S1717" s="84" t="str">
        <f>IF(AND($O1717=$Q$7,$B1717&lt;'111'!$L$11),"x","")</f>
        <v/>
      </c>
      <c r="T1717" s="84" t="str">
        <f>IF(ISERROR(FIND('112'!$M$9,G1717,1)),"",IF((AND(FIND('112'!$M$9,G1717,1)&gt;=1,B1717='112'!$K$9,OR($N1717='112'!$I$6,$O1717='112'!$I$6))),"x",""))</f>
        <v>x</v>
      </c>
      <c r="U1717" s="84" t="str">
        <f>IF(ISERROR(FIND('112'!$M$9,G1717,1)),"",IF((AND(LEFT(G1717,2)=LEFT('112'!$M$9,2),B1717&lt;'112'!$K$9,$N1717='112'!$I$6)),"x",""))</f>
        <v/>
      </c>
      <c r="V1717" s="84" t="str">
        <f>IF(ISERROR(FIND('112'!$M$9,G1717,1)),"",IF((AND(RIGHT(G1717,2)=RIGHT('112'!$M$9,2),B1717&lt;'112'!$K$9,$O1717='112'!$I$6)),"x",""))</f>
        <v/>
      </c>
      <c r="W1717" s="84" t="str">
        <f>IF(AND('341-CT'!$H$9=H1717,OR(LEFT(N1717,3)=$W$7,LEFT(O1717,3)=$W$7)),"x","")</f>
        <v/>
      </c>
      <c r="X1717" s="84" t="str">
        <f>IF(OR(TH!N1717=TH!$X$7,O1717=TH!$X$7),"x","")</f>
        <v/>
      </c>
      <c r="Y1717" s="84" t="str">
        <f>IF(AND(OR(N1717="131",O1717="131"),H1717='131-CT'!$H$9),"x","")</f>
        <v/>
      </c>
      <c r="Z1717" s="84"/>
      <c r="AA1717" s="84" t="str">
        <f>IF(AND(MONTH(E1717)='IN-NX'!$J$5,'IN-NX'!$D$7=D1717),"x","")</f>
        <v/>
      </c>
      <c r="AB1717" s="84" t="str">
        <f>IF(AND(OR(LEFT(TH!N1717,2)="15",LEFT(TH!O1717,2)="15"),LEFT(TH!O1717,3)&lt;&gt;"111",'152-CT'!$J$8=TH!F1717),"x","")</f>
        <v/>
      </c>
      <c r="AC1717" s="84" t="str">
        <f>IF(AND(OR(LEFT(TH!N1717,2)="15",LEFT(TH!O1717,2)="15"),TK!$E$7=TH!F1717),"x","")</f>
        <v/>
      </c>
      <c r="AD1717" s="84" t="str">
        <f>IF(AND(N1717="1521",MONTH(C1717)='BK-NL'!$M$11),"x","")</f>
        <v/>
      </c>
    </row>
    <row r="1718" spans="1:32" ht="15.75" hidden="1" customHeight="1">
      <c r="A1718" s="336" t="str">
        <f>IF(B1718&lt;&gt;"",IF(AND(B1718='IN-TC'!$S$4,OR(TH!N1718="1111",TH!O1718="1111")),TH!D1718,""),"")</f>
        <v/>
      </c>
      <c r="B1718" s="63">
        <f t="shared" si="233"/>
        <v>6</v>
      </c>
      <c r="C1718" s="64">
        <v>42546</v>
      </c>
      <c r="D1718" s="64" t="s">
        <v>705</v>
      </c>
      <c r="E1718" s="64">
        <f t="shared" si="234"/>
        <v>42546</v>
      </c>
      <c r="F1718" s="73" t="s">
        <v>1656</v>
      </c>
      <c r="G1718" s="67" t="s">
        <v>919</v>
      </c>
      <c r="H1718" s="344"/>
      <c r="I1718" s="439"/>
      <c r="J1718" s="439"/>
      <c r="K1718" s="430"/>
      <c r="L1718" s="439"/>
      <c r="M1718" s="65">
        <v>50000</v>
      </c>
      <c r="N1718" s="66" t="s">
        <v>101</v>
      </c>
      <c r="O1718" s="66" t="s">
        <v>26</v>
      </c>
      <c r="P1718" s="84" t="str">
        <f>IF(AND('331-CT'!$E$7=TH!H1718,OR(N1718="331",O1718="331")),"x","")</f>
        <v/>
      </c>
      <c r="Q1718" s="84" t="str">
        <f>IF(AND(B1718='111'!$L$11,OR($N1718=$Q$7,$O1718=$Q$7)),"x","")</f>
        <v/>
      </c>
      <c r="R1718" s="84" t="str">
        <f>IF(AND($N1718=$Q$7,$B1718&lt;'111'!$L$11),"x","")</f>
        <v/>
      </c>
      <c r="S1718" s="84" t="str">
        <f>IF(AND($O1718=$Q$7,$B1718&lt;'111'!$L$11),"x","")</f>
        <v/>
      </c>
      <c r="T1718" s="84" t="str">
        <f>IF(ISERROR(FIND('112'!$M$9,G1718,1)),"",IF((AND(FIND('112'!$M$9,G1718,1)&gt;=1,B1718='112'!$K$9,OR($N1718='112'!$I$6,$O1718='112'!$I$6))),"x",""))</f>
        <v>x</v>
      </c>
      <c r="U1718" s="84" t="str">
        <f>IF(ISERROR(FIND('112'!$M$9,G1718,1)),"",IF((AND(LEFT(G1718,2)=LEFT('112'!$M$9,2),B1718&lt;'112'!$K$9,$N1718='112'!$I$6)),"x",""))</f>
        <v/>
      </c>
      <c r="V1718" s="84" t="str">
        <f>IF(ISERROR(FIND('112'!$M$9,G1718,1)),"",IF((AND(RIGHT(G1718,2)=RIGHT('112'!$M$9,2),B1718&lt;'112'!$K$9,$O1718='112'!$I$6)),"x",""))</f>
        <v/>
      </c>
      <c r="W1718" s="84" t="str">
        <f>IF(AND('341-CT'!$H$9=H1718,OR(LEFT(N1718,3)=$W$7,LEFT(O1718,3)=$W$7)),"x","")</f>
        <v/>
      </c>
      <c r="X1718" s="84" t="str">
        <f>IF(OR(TH!N1718=TH!$X$7,O1718=TH!$X$7),"x","")</f>
        <v/>
      </c>
      <c r="Y1718" s="84" t="str">
        <f>IF(AND(OR(N1718="131",O1718="131"),H1718='131-CT'!$H$9),"x","")</f>
        <v/>
      </c>
      <c r="Z1718" s="84"/>
      <c r="AA1718" s="84" t="str">
        <f>IF(AND(MONTH(E1718)='IN-NX'!$J$5,'IN-NX'!$D$7=D1718),"x","")</f>
        <v/>
      </c>
      <c r="AB1718" s="84" t="str">
        <f>IF(AND(OR(LEFT(TH!N1718,2)="15",LEFT(TH!O1718,2)="15"),LEFT(TH!O1718,3)&lt;&gt;"111",'152-CT'!$J$8=TH!F1718),"x","")</f>
        <v/>
      </c>
      <c r="AC1718" s="84" t="str">
        <f>IF(AND(OR(LEFT(TH!N1718,2)="15",LEFT(TH!O1718,2)="15"),TK!$E$7=TH!F1718),"x","")</f>
        <v/>
      </c>
      <c r="AD1718" s="84" t="str">
        <f>IF(AND(N1718="1521",MONTH(C1718)='BK-NL'!$M$11),"x","")</f>
        <v/>
      </c>
      <c r="AF1718" s="330">
        <v>1</v>
      </c>
    </row>
    <row r="1719" spans="1:32" ht="15.75" hidden="1" customHeight="1">
      <c r="A1719" s="336" t="str">
        <f>IF(B1719&lt;&gt;"",IF(AND(B1719='IN-TC'!$S$4,OR(TH!N1719="1111",TH!O1719="1111")),TH!D1719,""),"")</f>
        <v/>
      </c>
      <c r="B1719" s="63">
        <f t="shared" si="233"/>
        <v>6</v>
      </c>
      <c r="C1719" s="64">
        <v>42546</v>
      </c>
      <c r="D1719" s="64" t="s">
        <v>705</v>
      </c>
      <c r="E1719" s="64">
        <f t="shared" si="234"/>
        <v>42546</v>
      </c>
      <c r="F1719" s="73" t="s">
        <v>1657</v>
      </c>
      <c r="G1719" s="67" t="s">
        <v>919</v>
      </c>
      <c r="H1719" s="344"/>
      <c r="I1719" s="439"/>
      <c r="J1719" s="439"/>
      <c r="K1719" s="430"/>
      <c r="L1719" s="439"/>
      <c r="M1719" s="65">
        <v>5000</v>
      </c>
      <c r="N1719" s="66" t="s">
        <v>9</v>
      </c>
      <c r="O1719" s="66" t="s">
        <v>26</v>
      </c>
      <c r="P1719" s="84" t="str">
        <f>IF(AND('331-CT'!$E$7=TH!H1719,OR(N1719="331",O1719="331")),"x","")</f>
        <v/>
      </c>
      <c r="Q1719" s="84" t="str">
        <f>IF(AND(B1719='111'!$L$11,OR($N1719=$Q$7,$O1719=$Q$7)),"x","")</f>
        <v/>
      </c>
      <c r="R1719" s="84" t="str">
        <f>IF(AND($N1719=$Q$7,$B1719&lt;'111'!$L$11),"x","")</f>
        <v/>
      </c>
      <c r="S1719" s="84" t="str">
        <f>IF(AND($O1719=$Q$7,$B1719&lt;'111'!$L$11),"x","")</f>
        <v/>
      </c>
      <c r="T1719" s="84" t="str">
        <f>IF(ISERROR(FIND('112'!$M$9,G1719,1)),"",IF((AND(FIND('112'!$M$9,G1719,1)&gt;=1,B1719='112'!$K$9,OR($N1719='112'!$I$6,$O1719='112'!$I$6))),"x",""))</f>
        <v>x</v>
      </c>
      <c r="U1719" s="84" t="str">
        <f>IF(ISERROR(FIND('112'!$M$9,G1719,1)),"",IF((AND(LEFT(G1719,2)=LEFT('112'!$M$9,2),B1719&lt;'112'!$K$9,$N1719='112'!$I$6)),"x",""))</f>
        <v/>
      </c>
      <c r="V1719" s="84" t="str">
        <f>IF(ISERROR(FIND('112'!$M$9,G1719,1)),"",IF((AND(RIGHT(G1719,2)=RIGHT('112'!$M$9,2),B1719&lt;'112'!$K$9,$O1719='112'!$I$6)),"x",""))</f>
        <v/>
      </c>
      <c r="W1719" s="84" t="str">
        <f>IF(AND('341-CT'!$H$9=H1719,OR(LEFT(N1719,3)=$W$7,LEFT(O1719,3)=$W$7)),"x","")</f>
        <v/>
      </c>
      <c r="X1719" s="84" t="str">
        <f>IF(OR(TH!N1719=TH!$X$7,O1719=TH!$X$7),"x","")</f>
        <v/>
      </c>
      <c r="Y1719" s="84" t="str">
        <f>IF(AND(OR(N1719="131",O1719="131"),H1719='131-CT'!$H$9),"x","")</f>
        <v/>
      </c>
      <c r="Z1719" s="84"/>
      <c r="AA1719" s="84" t="str">
        <f>IF(AND(MONTH(E1719)='IN-NX'!$J$5,'IN-NX'!$D$7=D1719),"x","")</f>
        <v/>
      </c>
      <c r="AB1719" s="84" t="str">
        <f>IF(AND(OR(LEFT(TH!N1719,2)="15",LEFT(TH!O1719,2)="15"),LEFT(TH!O1719,3)&lt;&gt;"111",'152-CT'!$J$8=TH!F1719),"x","")</f>
        <v/>
      </c>
      <c r="AC1719" s="84" t="str">
        <f>IF(AND(OR(LEFT(TH!N1719,2)="15",LEFT(TH!O1719,2)="15"),TK!$E$7=TH!F1719),"x","")</f>
        <v/>
      </c>
      <c r="AD1719" s="84" t="str">
        <f>IF(AND(N1719="1521",MONTH(C1719)='BK-NL'!$M$11),"x","")</f>
        <v/>
      </c>
    </row>
    <row r="1720" spans="1:32" ht="15.75" hidden="1" customHeight="1">
      <c r="A1720" s="336" t="str">
        <f>IF(B1720&lt;&gt;"",IF(AND(B1720='IN-TC'!$S$4,OR(TH!N1720="1111",TH!O1720="1111")),TH!D1720,""),"")</f>
        <v/>
      </c>
      <c r="B1720" s="63">
        <f t="shared" si="233"/>
        <v>6</v>
      </c>
      <c r="C1720" s="64">
        <v>42546</v>
      </c>
      <c r="D1720" s="64" t="s">
        <v>705</v>
      </c>
      <c r="E1720" s="64">
        <f t="shared" si="234"/>
        <v>42546</v>
      </c>
      <c r="F1720" s="73" t="s">
        <v>1656</v>
      </c>
      <c r="G1720" s="67" t="s">
        <v>919</v>
      </c>
      <c r="H1720" s="344"/>
      <c r="I1720" s="439"/>
      <c r="J1720" s="439"/>
      <c r="K1720" s="430"/>
      <c r="L1720" s="439"/>
      <c r="M1720" s="65">
        <v>50000</v>
      </c>
      <c r="N1720" s="66" t="s">
        <v>101</v>
      </c>
      <c r="O1720" s="66" t="s">
        <v>26</v>
      </c>
      <c r="P1720" s="84" t="str">
        <f>IF(AND('331-CT'!$E$7=TH!H1720,OR(N1720="331",O1720="331")),"x","")</f>
        <v/>
      </c>
      <c r="Q1720" s="84" t="str">
        <f>IF(AND(B1720='111'!$L$11,OR($N1720=$Q$7,$O1720=$Q$7)),"x","")</f>
        <v/>
      </c>
      <c r="R1720" s="84" t="str">
        <f>IF(AND($N1720=$Q$7,$B1720&lt;'111'!$L$11),"x","")</f>
        <v/>
      </c>
      <c r="S1720" s="84" t="str">
        <f>IF(AND($O1720=$Q$7,$B1720&lt;'111'!$L$11),"x","")</f>
        <v/>
      </c>
      <c r="T1720" s="84" t="str">
        <f>IF(ISERROR(FIND('112'!$M$9,G1720,1)),"",IF((AND(FIND('112'!$M$9,G1720,1)&gt;=1,B1720='112'!$K$9,OR($N1720='112'!$I$6,$O1720='112'!$I$6))),"x",""))</f>
        <v>x</v>
      </c>
      <c r="U1720" s="84" t="str">
        <f>IF(ISERROR(FIND('112'!$M$9,G1720,1)),"",IF((AND(LEFT(G1720,2)=LEFT('112'!$M$9,2),B1720&lt;'112'!$K$9,$N1720='112'!$I$6)),"x",""))</f>
        <v/>
      </c>
      <c r="V1720" s="84" t="str">
        <f>IF(ISERROR(FIND('112'!$M$9,G1720,1)),"",IF((AND(RIGHT(G1720,2)=RIGHT('112'!$M$9,2),B1720&lt;'112'!$K$9,$O1720='112'!$I$6)),"x",""))</f>
        <v/>
      </c>
      <c r="W1720" s="84" t="str">
        <f>IF(AND('341-CT'!$H$9=H1720,OR(LEFT(N1720,3)=$W$7,LEFT(O1720,3)=$W$7)),"x","")</f>
        <v/>
      </c>
      <c r="X1720" s="84" t="str">
        <f>IF(OR(TH!N1720=TH!$X$7,O1720=TH!$X$7),"x","")</f>
        <v/>
      </c>
      <c r="Y1720" s="84" t="str">
        <f>IF(AND(OR(N1720="131",O1720="131"),H1720='131-CT'!$H$9),"x","")</f>
        <v/>
      </c>
      <c r="Z1720" s="84"/>
      <c r="AA1720" s="84" t="str">
        <f>IF(AND(MONTH(E1720)='IN-NX'!$J$5,'IN-NX'!$D$7=D1720),"x","")</f>
        <v/>
      </c>
      <c r="AB1720" s="84" t="str">
        <f>IF(AND(OR(LEFT(TH!N1720,2)="15",LEFT(TH!O1720,2)="15"),LEFT(TH!O1720,3)&lt;&gt;"111",'152-CT'!$J$8=TH!F1720),"x","")</f>
        <v/>
      </c>
      <c r="AC1720" s="84" t="str">
        <f>IF(AND(OR(LEFT(TH!N1720,2)="15",LEFT(TH!O1720,2)="15"),TK!$E$7=TH!F1720),"x","")</f>
        <v/>
      </c>
      <c r="AD1720" s="84" t="str">
        <f>IF(AND(N1720="1521",MONTH(C1720)='BK-NL'!$M$11),"x","")</f>
        <v/>
      </c>
      <c r="AF1720" s="330">
        <v>1</v>
      </c>
    </row>
    <row r="1721" spans="1:32" ht="15.75" hidden="1" customHeight="1">
      <c r="A1721" s="336" t="str">
        <f>IF(B1721&lt;&gt;"",IF(AND(B1721='IN-TC'!$S$4,OR(TH!N1721="1111",TH!O1721="1111")),TH!D1721,""),"")</f>
        <v/>
      </c>
      <c r="B1721" s="63">
        <f t="shared" si="233"/>
        <v>6</v>
      </c>
      <c r="C1721" s="64">
        <v>42546</v>
      </c>
      <c r="D1721" s="64" t="s">
        <v>705</v>
      </c>
      <c r="E1721" s="64">
        <f t="shared" si="234"/>
        <v>42546</v>
      </c>
      <c r="F1721" s="73" t="s">
        <v>1657</v>
      </c>
      <c r="G1721" s="67" t="s">
        <v>919</v>
      </c>
      <c r="H1721" s="344"/>
      <c r="I1721" s="439"/>
      <c r="J1721" s="439"/>
      <c r="K1721" s="430"/>
      <c r="L1721" s="439"/>
      <c r="M1721" s="65">
        <v>5000</v>
      </c>
      <c r="N1721" s="66" t="s">
        <v>9</v>
      </c>
      <c r="O1721" s="66" t="s">
        <v>26</v>
      </c>
      <c r="P1721" s="84" t="str">
        <f>IF(AND('331-CT'!$E$7=TH!H1721,OR(N1721="331",O1721="331")),"x","")</f>
        <v/>
      </c>
      <c r="Q1721" s="84" t="str">
        <f>IF(AND(B1721='111'!$L$11,OR($N1721=$Q$7,$O1721=$Q$7)),"x","")</f>
        <v/>
      </c>
      <c r="R1721" s="84" t="str">
        <f>IF(AND($N1721=$Q$7,$B1721&lt;'111'!$L$11),"x","")</f>
        <v/>
      </c>
      <c r="S1721" s="84" t="str">
        <f>IF(AND($O1721=$Q$7,$B1721&lt;'111'!$L$11),"x","")</f>
        <v/>
      </c>
      <c r="T1721" s="84" t="str">
        <f>IF(ISERROR(FIND('112'!$M$9,G1721,1)),"",IF((AND(FIND('112'!$M$9,G1721,1)&gt;=1,B1721='112'!$K$9,OR($N1721='112'!$I$6,$O1721='112'!$I$6))),"x",""))</f>
        <v>x</v>
      </c>
      <c r="U1721" s="84" t="str">
        <f>IF(ISERROR(FIND('112'!$M$9,G1721,1)),"",IF((AND(LEFT(G1721,2)=LEFT('112'!$M$9,2),B1721&lt;'112'!$K$9,$N1721='112'!$I$6)),"x",""))</f>
        <v/>
      </c>
      <c r="V1721" s="84" t="str">
        <f>IF(ISERROR(FIND('112'!$M$9,G1721,1)),"",IF((AND(RIGHT(G1721,2)=RIGHT('112'!$M$9,2),B1721&lt;'112'!$K$9,$O1721='112'!$I$6)),"x",""))</f>
        <v/>
      </c>
      <c r="W1721" s="84" t="str">
        <f>IF(AND('341-CT'!$H$9=H1721,OR(LEFT(N1721,3)=$W$7,LEFT(O1721,3)=$W$7)),"x","")</f>
        <v/>
      </c>
      <c r="X1721" s="84" t="str">
        <f>IF(OR(TH!N1721=TH!$X$7,O1721=TH!$X$7),"x","")</f>
        <v/>
      </c>
      <c r="Y1721" s="84" t="str">
        <f>IF(AND(OR(N1721="131",O1721="131"),H1721='131-CT'!$H$9),"x","")</f>
        <v/>
      </c>
      <c r="Z1721" s="84"/>
      <c r="AA1721" s="84" t="str">
        <f>IF(AND(MONTH(E1721)='IN-NX'!$J$5,'IN-NX'!$D$7=D1721),"x","")</f>
        <v/>
      </c>
      <c r="AB1721" s="84" t="str">
        <f>IF(AND(OR(LEFT(TH!N1721,2)="15",LEFT(TH!O1721,2)="15"),LEFT(TH!O1721,3)&lt;&gt;"111",'152-CT'!$J$8=TH!F1721),"x","")</f>
        <v/>
      </c>
      <c r="AC1721" s="84" t="str">
        <f>IF(AND(OR(LEFT(TH!N1721,2)="15",LEFT(TH!O1721,2)="15"),TK!$E$7=TH!F1721),"x","")</f>
        <v/>
      </c>
      <c r="AD1721" s="84" t="str">
        <f>IF(AND(N1721="1521",MONTH(C1721)='BK-NL'!$M$11),"x","")</f>
        <v/>
      </c>
    </row>
    <row r="1722" spans="1:32" s="347" customFormat="1" ht="15.75" hidden="1" customHeight="1">
      <c r="A1722" s="336" t="str">
        <f>IF(B1722&lt;&gt;"",IF(AND(B1722='IN-TC'!$S$4,OR(TH!N1722="1111",TH!O1722="1111")),TH!D1722,""),"")</f>
        <v/>
      </c>
      <c r="B1722" s="63">
        <f t="shared" si="233"/>
        <v>6</v>
      </c>
      <c r="C1722" s="64">
        <v>42546</v>
      </c>
      <c r="D1722" s="64" t="s">
        <v>705</v>
      </c>
      <c r="E1722" s="64">
        <f t="shared" si="234"/>
        <v>42546</v>
      </c>
      <c r="F1722" s="73" t="s">
        <v>1656</v>
      </c>
      <c r="G1722" s="67" t="s">
        <v>919</v>
      </c>
      <c r="H1722" s="344"/>
      <c r="I1722" s="439"/>
      <c r="J1722" s="439"/>
      <c r="K1722" s="430"/>
      <c r="L1722" s="439"/>
      <c r="M1722" s="65">
        <v>50000</v>
      </c>
      <c r="N1722" s="66" t="s">
        <v>101</v>
      </c>
      <c r="O1722" s="66" t="s">
        <v>26</v>
      </c>
      <c r="P1722" s="84" t="str">
        <f>IF(AND('331-CT'!$E$7=TH!H1722,OR(N1722="331",O1722="331")),"x","")</f>
        <v/>
      </c>
      <c r="Q1722" s="84" t="str">
        <f>IF(AND(B1722='111'!$L$11,OR($N1722=$Q$7,$O1722=$Q$7)),"x","")</f>
        <v/>
      </c>
      <c r="R1722" s="84" t="str">
        <f>IF(AND($N1722=$Q$7,$B1722&lt;'111'!$L$11),"x","")</f>
        <v/>
      </c>
      <c r="S1722" s="84" t="str">
        <f>IF(AND($O1722=$Q$7,$B1722&lt;'111'!$L$11),"x","")</f>
        <v/>
      </c>
      <c r="T1722" s="84" t="str">
        <f>IF(ISERROR(FIND('112'!$M$9,G1722,1)),"",IF((AND(FIND('112'!$M$9,G1722,1)&gt;=1,B1722='112'!$K$9,OR($N1722='112'!$I$6,$O1722='112'!$I$6))),"x",""))</f>
        <v>x</v>
      </c>
      <c r="U1722" s="84" t="str">
        <f>IF(ISERROR(FIND('112'!$M$9,G1722,1)),"",IF((AND(LEFT(G1722,2)=LEFT('112'!$M$9,2),B1722&lt;'112'!$K$9,$N1722='112'!$I$6)),"x",""))</f>
        <v/>
      </c>
      <c r="V1722" s="84" t="str">
        <f>IF(ISERROR(FIND('112'!$M$9,G1722,1)),"",IF((AND(RIGHT(G1722,2)=RIGHT('112'!$M$9,2),B1722&lt;'112'!$K$9,$O1722='112'!$I$6)),"x",""))</f>
        <v/>
      </c>
      <c r="W1722" s="84" t="str">
        <f>IF(AND('341-CT'!$H$9=H1722,OR(LEFT(N1722,3)=$W$7,LEFT(O1722,3)=$W$7)),"x","")</f>
        <v/>
      </c>
      <c r="X1722" s="84" t="str">
        <f>IF(OR(TH!N1722=TH!$X$7,O1722=TH!$X$7),"x","")</f>
        <v/>
      </c>
      <c r="Y1722" s="84" t="str">
        <f>IF(AND(OR(N1722="131",O1722="131"),H1722='131-CT'!$H$9),"x","")</f>
        <v/>
      </c>
      <c r="Z1722" s="84"/>
      <c r="AA1722" s="84" t="str">
        <f>IF(AND(MONTH(E1722)='IN-NX'!$J$5,'IN-NX'!$D$7=D1722),"x","")</f>
        <v/>
      </c>
      <c r="AB1722" s="84" t="str">
        <f>IF(AND(OR(LEFT(TH!N1722,2)="15",LEFT(TH!O1722,2)="15"),LEFT(TH!O1722,3)&lt;&gt;"111",'152-CT'!$J$8=TH!F1722),"x","")</f>
        <v/>
      </c>
      <c r="AC1722" s="84" t="str">
        <f>IF(AND(OR(LEFT(TH!N1722,2)="15",LEFT(TH!O1722,2)="15"),TK!$E$7=TH!F1722),"x","")</f>
        <v/>
      </c>
      <c r="AD1722" s="84" t="str">
        <f>IF(AND(N1722="1521",MONTH(C1722)='BK-NL'!$M$11),"x","")</f>
        <v/>
      </c>
      <c r="AE1722" s="330"/>
      <c r="AF1722" s="330">
        <v>1</v>
      </c>
    </row>
    <row r="1723" spans="1:32" s="347" customFormat="1" ht="15.75" hidden="1" customHeight="1">
      <c r="A1723" s="336" t="str">
        <f>IF(B1723&lt;&gt;"",IF(AND(B1723='IN-TC'!$S$4,OR(TH!N1723="1111",TH!O1723="1111")),TH!D1723,""),"")</f>
        <v/>
      </c>
      <c r="B1723" s="63">
        <f t="shared" si="233"/>
        <v>6</v>
      </c>
      <c r="C1723" s="64">
        <v>42546</v>
      </c>
      <c r="D1723" s="64" t="s">
        <v>705</v>
      </c>
      <c r="E1723" s="64">
        <f t="shared" si="234"/>
        <v>42546</v>
      </c>
      <c r="F1723" s="73" t="s">
        <v>1657</v>
      </c>
      <c r="G1723" s="67" t="s">
        <v>919</v>
      </c>
      <c r="H1723" s="344"/>
      <c r="I1723" s="439"/>
      <c r="J1723" s="439"/>
      <c r="K1723" s="430"/>
      <c r="L1723" s="439"/>
      <c r="M1723" s="65">
        <v>5000</v>
      </c>
      <c r="N1723" s="66" t="s">
        <v>9</v>
      </c>
      <c r="O1723" s="66" t="s">
        <v>26</v>
      </c>
      <c r="P1723" s="84" t="str">
        <f>IF(AND('331-CT'!$E$7=TH!H1723,OR(N1723="331",O1723="331")),"x","")</f>
        <v/>
      </c>
      <c r="Q1723" s="84" t="str">
        <f>IF(AND(B1723='111'!$L$11,OR($N1723=$Q$7,$O1723=$Q$7)),"x","")</f>
        <v/>
      </c>
      <c r="R1723" s="84" t="str">
        <f>IF(AND($N1723=$Q$7,$B1723&lt;'111'!$L$11),"x","")</f>
        <v/>
      </c>
      <c r="S1723" s="84" t="str">
        <f>IF(AND($O1723=$Q$7,$B1723&lt;'111'!$L$11),"x","")</f>
        <v/>
      </c>
      <c r="T1723" s="84" t="str">
        <f>IF(ISERROR(FIND('112'!$M$9,G1723,1)),"",IF((AND(FIND('112'!$M$9,G1723,1)&gt;=1,B1723='112'!$K$9,OR($N1723='112'!$I$6,$O1723='112'!$I$6))),"x",""))</f>
        <v>x</v>
      </c>
      <c r="U1723" s="84" t="str">
        <f>IF(ISERROR(FIND('112'!$M$9,G1723,1)),"",IF((AND(LEFT(G1723,2)=LEFT('112'!$M$9,2),B1723&lt;'112'!$K$9,$N1723='112'!$I$6)),"x",""))</f>
        <v/>
      </c>
      <c r="V1723" s="84" t="str">
        <f>IF(ISERROR(FIND('112'!$M$9,G1723,1)),"",IF((AND(RIGHT(G1723,2)=RIGHT('112'!$M$9,2),B1723&lt;'112'!$K$9,$O1723='112'!$I$6)),"x",""))</f>
        <v/>
      </c>
      <c r="W1723" s="84" t="str">
        <f>IF(AND('341-CT'!$H$9=H1723,OR(LEFT(N1723,3)=$W$7,LEFT(O1723,3)=$W$7)),"x","")</f>
        <v/>
      </c>
      <c r="X1723" s="84" t="str">
        <f>IF(OR(TH!N1723=TH!$X$7,O1723=TH!$X$7),"x","")</f>
        <v/>
      </c>
      <c r="Y1723" s="84" t="str">
        <f>IF(AND(OR(N1723="131",O1723="131"),H1723='131-CT'!$H$9),"x","")</f>
        <v/>
      </c>
      <c r="Z1723" s="84"/>
      <c r="AA1723" s="84" t="str">
        <f>IF(AND(MONTH(E1723)='IN-NX'!$J$5,'IN-NX'!$D$7=D1723),"x","")</f>
        <v/>
      </c>
      <c r="AB1723" s="84" t="str">
        <f>IF(AND(OR(LEFT(TH!N1723,2)="15",LEFT(TH!O1723,2)="15"),LEFT(TH!O1723,3)&lt;&gt;"111",'152-CT'!$J$8=TH!F1723),"x","")</f>
        <v/>
      </c>
      <c r="AC1723" s="84" t="str">
        <f>IF(AND(OR(LEFT(TH!N1723,2)="15",LEFT(TH!O1723,2)="15"),TK!$E$7=TH!F1723),"x","")</f>
        <v/>
      </c>
      <c r="AD1723" s="84" t="str">
        <f>IF(AND(N1723="1521",MONTH(C1723)='BK-NL'!$M$11),"x","")</f>
        <v/>
      </c>
      <c r="AE1723" s="330"/>
      <c r="AF1723" s="330"/>
    </row>
    <row r="1724" spans="1:32" s="347" customFormat="1" ht="15.75" hidden="1" customHeight="1">
      <c r="A1724" s="336" t="str">
        <f>IF(B1724&lt;&gt;"",IF(AND(B1724='IN-TC'!$S$4,OR(TH!N1724="1111",TH!O1724="1111")),TH!D1724,""),"")</f>
        <v/>
      </c>
      <c r="B1724" s="63">
        <f t="shared" si="233"/>
        <v>6</v>
      </c>
      <c r="C1724" s="64">
        <v>42548</v>
      </c>
      <c r="D1724" s="64" t="s">
        <v>894</v>
      </c>
      <c r="E1724" s="64">
        <v>42548</v>
      </c>
      <c r="F1724" s="73" t="s">
        <v>1107</v>
      </c>
      <c r="G1724" s="67" t="s">
        <v>919</v>
      </c>
      <c r="H1724" s="73" t="s">
        <v>763</v>
      </c>
      <c r="I1724" s="439"/>
      <c r="J1724" s="439"/>
      <c r="K1724" s="430"/>
      <c r="L1724" s="439"/>
      <c r="M1724" s="65">
        <v>1170000000</v>
      </c>
      <c r="N1724" s="66" t="s">
        <v>26</v>
      </c>
      <c r="O1724" s="66" t="s">
        <v>63</v>
      </c>
      <c r="P1724" s="84" t="str">
        <f>IF(AND('331-CT'!$E$7=TH!H1724,OR(N1724="331",O1724="331")),"x","")</f>
        <v/>
      </c>
      <c r="Q1724" s="84" t="str">
        <f>IF(AND(B1724='111'!$L$11,OR($N1724=$Q$7,$O1724=$Q$7)),"x","")</f>
        <v/>
      </c>
      <c r="R1724" s="84" t="str">
        <f>IF(AND($N1724=$Q$7,$B1724&lt;'111'!$L$11),"x","")</f>
        <v/>
      </c>
      <c r="S1724" s="84" t="str">
        <f>IF(AND($O1724=$Q$7,$B1724&lt;'111'!$L$11),"x","")</f>
        <v/>
      </c>
      <c r="T1724" s="84" t="str">
        <f>IF(ISERROR(FIND('112'!$M$9,G1724,1)),"",IF((AND(FIND('112'!$M$9,G1724,1)&gt;=1,B1724='112'!$K$9,OR($N1724='112'!$I$6,$O1724='112'!$I$6))),"x",""))</f>
        <v>x</v>
      </c>
      <c r="U1724" s="84" t="str">
        <f>IF(ISERROR(FIND('112'!$M$9,G1724,1)),"",IF((AND(LEFT(G1724,2)=LEFT('112'!$M$9,2),B1724&lt;'112'!$K$9,$N1724='112'!$I$6)),"x",""))</f>
        <v/>
      </c>
      <c r="V1724" s="84" t="str">
        <f>IF(ISERROR(FIND('112'!$M$9,G1724,1)),"",IF((AND(RIGHT(G1724,2)=RIGHT('112'!$M$9,2),B1724&lt;'112'!$K$9,$O1724='112'!$I$6)),"x",""))</f>
        <v/>
      </c>
      <c r="W1724" s="84" t="str">
        <f>IF(AND('341-CT'!$H$9=H1724,OR(LEFT(N1724,3)=$W$7,LEFT(O1724,3)=$W$7)),"x","")</f>
        <v/>
      </c>
      <c r="X1724" s="84" t="str">
        <f>IF(OR(TH!N1724=TH!$X$7,O1724=TH!$X$7),"x","")</f>
        <v/>
      </c>
      <c r="Y1724" s="84" t="str">
        <f>IF(AND(OR(N1724="131",O1724="131"),H1724='131-CT'!$H$9),"x","")</f>
        <v/>
      </c>
      <c r="Z1724" s="84"/>
      <c r="AA1724" s="84" t="str">
        <f>IF(AND(MONTH(E1724)='IN-NX'!$J$5,'IN-NX'!$D$7=D1724),"x","")</f>
        <v/>
      </c>
      <c r="AB1724" s="84" t="str">
        <f>IF(AND(OR(LEFT(TH!N1724,2)="15",LEFT(TH!O1724,2)="15"),LEFT(TH!O1724,3)&lt;&gt;"111",'152-CT'!$J$8=TH!F1724),"x","")</f>
        <v/>
      </c>
      <c r="AC1724" s="84" t="str">
        <f>IF(AND(OR(LEFT(TH!N1724,2)="15",LEFT(TH!O1724,2)="15"),TK!$E$7=TH!F1724),"x","")</f>
        <v/>
      </c>
      <c r="AD1724" s="84" t="str">
        <f>IF(AND(N1724="1521",MONTH(C1724)='BK-NL'!$M$11),"x","")</f>
        <v/>
      </c>
      <c r="AE1724" s="330"/>
      <c r="AF1724" s="330"/>
    </row>
    <row r="1725" spans="1:32" s="347" customFormat="1" ht="15.75" hidden="1" customHeight="1">
      <c r="A1725" s="336" t="str">
        <f>IF(B1725&lt;&gt;"",IF(AND(B1725='IN-TC'!$S$4,OR(TH!N1725="1111",TH!O1725="1111")),TH!D1725,""),"")</f>
        <v/>
      </c>
      <c r="B1725" s="63">
        <f t="shared" si="233"/>
        <v>6</v>
      </c>
      <c r="C1725" s="64">
        <v>42548</v>
      </c>
      <c r="D1725" s="64" t="s">
        <v>895</v>
      </c>
      <c r="E1725" s="64">
        <v>42548</v>
      </c>
      <c r="F1725" s="73" t="s">
        <v>1015</v>
      </c>
      <c r="G1725" s="982" t="s">
        <v>1613</v>
      </c>
      <c r="H1725" s="73" t="s">
        <v>808</v>
      </c>
      <c r="I1725" s="439"/>
      <c r="J1725" s="439"/>
      <c r="K1725" s="430"/>
      <c r="L1725" s="439"/>
      <c r="M1725" s="65">
        <v>1225009</v>
      </c>
      <c r="N1725" s="66" t="s">
        <v>101</v>
      </c>
      <c r="O1725" s="66" t="s">
        <v>63</v>
      </c>
      <c r="P1725" s="84" t="str">
        <f>IF(AND('331-CT'!$E$7=TH!H1725,OR(N1725="331",O1725="331")),"x","")</f>
        <v/>
      </c>
      <c r="Q1725" s="84" t="str">
        <f>IF(AND(B1725='111'!$L$11,OR($N1725=$Q$7,$O1725=$Q$7)),"x","")</f>
        <v/>
      </c>
      <c r="R1725" s="84" t="str">
        <f>IF(AND($N1725=$Q$7,$B1725&lt;'111'!$L$11),"x","")</f>
        <v/>
      </c>
      <c r="S1725" s="84" t="str">
        <f>IF(AND($O1725=$Q$7,$B1725&lt;'111'!$L$11),"x","")</f>
        <v/>
      </c>
      <c r="T1725" s="84" t="str">
        <f>IF(ISERROR(FIND('112'!$M$9,G1725,1)),"",IF((AND(FIND('112'!$M$9,G1725,1)&gt;=1,B1725='112'!$K$9,OR($N1725='112'!$I$6,$O1725='112'!$I$6))),"x",""))</f>
        <v/>
      </c>
      <c r="U1725" s="84" t="str">
        <f>IF(ISERROR(FIND('112'!$M$9,G1725,1)),"",IF((AND(LEFT(G1725,2)=LEFT('112'!$M$9,2),B1725&lt;'112'!$K$9,$N1725='112'!$I$6)),"x",""))</f>
        <v/>
      </c>
      <c r="V1725" s="84" t="str">
        <f>IF(ISERROR(FIND('112'!$M$9,G1725,1)),"",IF((AND(RIGHT(G1725,2)=RIGHT('112'!$M$9,2),B1725&lt;'112'!$K$9,$O1725='112'!$I$6)),"x",""))</f>
        <v/>
      </c>
      <c r="W1725" s="84" t="str">
        <f>IF(AND('341-CT'!$H$9=H1725,OR(LEFT(N1725,3)=$W$7,LEFT(O1725,3)=$W$7)),"x","")</f>
        <v/>
      </c>
      <c r="X1725" s="84" t="str">
        <f>IF(OR(TH!N1725=TH!$X$7,O1725=TH!$X$7),"x","")</f>
        <v/>
      </c>
      <c r="Y1725" s="84" t="str">
        <f>IF(AND(OR(N1725="131",O1725="131"),H1725='131-CT'!$H$9),"x","")</f>
        <v/>
      </c>
      <c r="Z1725" s="84"/>
      <c r="AA1725" s="84" t="str">
        <f>IF(AND(MONTH(E1725)='IN-NX'!$J$5,'IN-NX'!$D$7=D1725),"x","")</f>
        <v/>
      </c>
      <c r="AB1725" s="84" t="str">
        <f>IF(AND(OR(LEFT(TH!N1725,2)="15",LEFT(TH!O1725,2)="15"),LEFT(TH!O1725,3)&lt;&gt;"111",'152-CT'!$J$8=TH!F1725),"x","")</f>
        <v/>
      </c>
      <c r="AC1725" s="84" t="str">
        <f>IF(AND(OR(LEFT(TH!N1725,2)="15",LEFT(TH!O1725,2)="15"),TK!$E$7=TH!F1725),"x","")</f>
        <v/>
      </c>
      <c r="AD1725" s="84" t="str">
        <f>IF(AND(N1725="1521",MONTH(C1725)='BK-NL'!$M$11),"x","")</f>
        <v/>
      </c>
      <c r="AE1725" s="330"/>
      <c r="AF1725" s="330">
        <v>1</v>
      </c>
    </row>
    <row r="1726" spans="1:32" s="347" customFormat="1" ht="15.75" hidden="1" customHeight="1">
      <c r="A1726" s="336" t="str">
        <f>IF(B1726&lt;&gt;"",IF(AND(B1726='IN-TC'!$S$4,OR(TH!N1726="1111",TH!O1726="1111")),TH!D1726,""),"")</f>
        <v/>
      </c>
      <c r="B1726" s="63">
        <f t="shared" si="233"/>
        <v>6</v>
      </c>
      <c r="C1726" s="64">
        <v>42548</v>
      </c>
      <c r="D1726" s="64" t="s">
        <v>895</v>
      </c>
      <c r="E1726" s="64">
        <v>42548</v>
      </c>
      <c r="F1726" s="73" t="s">
        <v>1016</v>
      </c>
      <c r="G1726" s="982" t="s">
        <v>1613</v>
      </c>
      <c r="H1726" s="73" t="s">
        <v>808</v>
      </c>
      <c r="I1726" s="439"/>
      <c r="J1726" s="439"/>
      <c r="K1726" s="430"/>
      <c r="L1726" s="439"/>
      <c r="M1726" s="65">
        <v>122501</v>
      </c>
      <c r="N1726" s="66" t="s">
        <v>9</v>
      </c>
      <c r="O1726" s="66" t="s">
        <v>63</v>
      </c>
      <c r="P1726" s="84" t="str">
        <f>IF(AND('331-CT'!$E$7=TH!H1726,OR(N1726="331",O1726="331")),"x","")</f>
        <v/>
      </c>
      <c r="Q1726" s="84" t="str">
        <f>IF(AND(B1726='111'!$L$11,OR($N1726=$Q$7,$O1726=$Q$7)),"x","")</f>
        <v/>
      </c>
      <c r="R1726" s="84" t="str">
        <f>IF(AND($N1726=$Q$7,$B1726&lt;'111'!$L$11),"x","")</f>
        <v/>
      </c>
      <c r="S1726" s="84" t="str">
        <f>IF(AND($O1726=$Q$7,$B1726&lt;'111'!$L$11),"x","")</f>
        <v/>
      </c>
      <c r="T1726" s="84" t="str">
        <f>IF(ISERROR(FIND('112'!$M$9,G1726,1)),"",IF((AND(FIND('112'!$M$9,G1726,1)&gt;=1,B1726='112'!$K$9,OR($N1726='112'!$I$6,$O1726='112'!$I$6))),"x",""))</f>
        <v/>
      </c>
      <c r="U1726" s="84" t="str">
        <f>IF(ISERROR(FIND('112'!$M$9,G1726,1)),"",IF((AND(LEFT(G1726,2)=LEFT('112'!$M$9,2),B1726&lt;'112'!$K$9,$N1726='112'!$I$6)),"x",""))</f>
        <v/>
      </c>
      <c r="V1726" s="84" t="str">
        <f>IF(ISERROR(FIND('112'!$M$9,G1726,1)),"",IF((AND(RIGHT(G1726,2)=RIGHT('112'!$M$9,2),B1726&lt;'112'!$K$9,$O1726='112'!$I$6)),"x",""))</f>
        <v/>
      </c>
      <c r="W1726" s="84" t="str">
        <f>IF(AND('341-CT'!$H$9=H1726,OR(LEFT(N1726,3)=$W$7,LEFT(O1726,3)=$W$7)),"x","")</f>
        <v/>
      </c>
      <c r="X1726" s="84" t="str">
        <f>IF(OR(TH!N1726=TH!$X$7,O1726=TH!$X$7),"x","")</f>
        <v/>
      </c>
      <c r="Y1726" s="84" t="str">
        <f>IF(AND(OR(N1726="131",O1726="131"),H1726='131-CT'!$H$9),"x","")</f>
        <v/>
      </c>
      <c r="Z1726" s="84"/>
      <c r="AA1726" s="84" t="str">
        <f>IF(AND(MONTH(E1726)='IN-NX'!$J$5,'IN-NX'!$D$7=D1726),"x","")</f>
        <v/>
      </c>
      <c r="AB1726" s="84" t="str">
        <f>IF(AND(OR(LEFT(TH!N1726,2)="15",LEFT(TH!O1726,2)="15"),LEFT(TH!O1726,3)&lt;&gt;"111",'152-CT'!$J$8=TH!F1726),"x","")</f>
        <v/>
      </c>
      <c r="AC1726" s="84" t="str">
        <f>IF(AND(OR(LEFT(TH!N1726,2)="15",LEFT(TH!O1726,2)="15"),TK!$E$7=TH!F1726),"x","")</f>
        <v/>
      </c>
      <c r="AD1726" s="84" t="str">
        <f>IF(AND(N1726="1521",MONTH(C1726)='BK-NL'!$M$11),"x","")</f>
        <v/>
      </c>
      <c r="AE1726" s="330"/>
      <c r="AF1726" s="330"/>
    </row>
    <row r="1727" spans="1:32" s="347" customFormat="1" ht="15.75" hidden="1" customHeight="1">
      <c r="A1727" s="336" t="str">
        <f>IF(B1727&lt;&gt;"",IF(AND(B1727='IN-TC'!$S$4,OR(TH!N1727="1111",TH!O1727="1111")),TH!D1727,""),"")</f>
        <v/>
      </c>
      <c r="B1727" s="63">
        <f t="shared" si="233"/>
        <v>6</v>
      </c>
      <c r="C1727" s="64">
        <v>42548</v>
      </c>
      <c r="D1727" s="64" t="s">
        <v>896</v>
      </c>
      <c r="E1727" s="64">
        <v>42548</v>
      </c>
      <c r="F1727" s="73" t="s">
        <v>1614</v>
      </c>
      <c r="G1727" s="982" t="s">
        <v>1616</v>
      </c>
      <c r="H1727" s="73" t="s">
        <v>1617</v>
      </c>
      <c r="I1727" s="439"/>
      <c r="J1727" s="439"/>
      <c r="K1727" s="430"/>
      <c r="L1727" s="439"/>
      <c r="M1727" s="1157">
        <v>16200000</v>
      </c>
      <c r="N1727" s="66" t="s">
        <v>101</v>
      </c>
      <c r="O1727" s="66" t="s">
        <v>63</v>
      </c>
      <c r="P1727" s="84" t="str">
        <f>IF(AND('331-CT'!$E$7=TH!H1727,OR(N1727="331",O1727="331")),"x","")</f>
        <v/>
      </c>
      <c r="Q1727" s="84" t="str">
        <f>IF(AND(B1727='111'!$L$11,OR($N1727=$Q$7,$O1727=$Q$7)),"x","")</f>
        <v/>
      </c>
      <c r="R1727" s="84" t="str">
        <f>IF(AND($N1727=$Q$7,$B1727&lt;'111'!$L$11),"x","")</f>
        <v/>
      </c>
      <c r="S1727" s="84" t="str">
        <f>IF(AND($O1727=$Q$7,$B1727&lt;'111'!$L$11),"x","")</f>
        <v/>
      </c>
      <c r="T1727" s="84" t="str">
        <f>IF(ISERROR(FIND('112'!$M$9,G1727,1)),"",IF((AND(FIND('112'!$M$9,G1727,1)&gt;=1,B1727='112'!$K$9,OR($N1727='112'!$I$6,$O1727='112'!$I$6))),"x",""))</f>
        <v/>
      </c>
      <c r="U1727" s="84" t="str">
        <f>IF(ISERROR(FIND('112'!$M$9,G1727,1)),"",IF((AND(LEFT(G1727,2)=LEFT('112'!$M$9,2),B1727&lt;'112'!$K$9,$N1727='112'!$I$6)),"x",""))</f>
        <v/>
      </c>
      <c r="V1727" s="84" t="str">
        <f>IF(ISERROR(FIND('112'!$M$9,G1727,1)),"",IF((AND(RIGHT(G1727,2)=RIGHT('112'!$M$9,2),B1727&lt;'112'!$K$9,$O1727='112'!$I$6)),"x",""))</f>
        <v/>
      </c>
      <c r="W1727" s="84" t="str">
        <f>IF(AND('341-CT'!$H$9=H1727,OR(LEFT(N1727,3)=$W$7,LEFT(O1727,3)=$W$7)),"x","")</f>
        <v/>
      </c>
      <c r="X1727" s="84" t="str">
        <f>IF(OR(TH!N1727=TH!$X$7,O1727=TH!$X$7),"x","")</f>
        <v/>
      </c>
      <c r="Y1727" s="84" t="str">
        <f>IF(AND(OR(N1727="131",O1727="131"),H1727='131-CT'!$H$9),"x","")</f>
        <v/>
      </c>
      <c r="Z1727" s="84"/>
      <c r="AA1727" s="84" t="str">
        <f>IF(AND(MONTH(E1727)='IN-NX'!$J$5,'IN-NX'!$D$7=D1727),"x","")</f>
        <v/>
      </c>
      <c r="AB1727" s="84" t="str">
        <f>IF(AND(OR(LEFT(TH!N1727,2)="15",LEFT(TH!O1727,2)="15"),LEFT(TH!O1727,3)&lt;&gt;"111",'152-CT'!$J$8=TH!F1727),"x","")</f>
        <v/>
      </c>
      <c r="AC1727" s="84" t="str">
        <f>IF(AND(OR(LEFT(TH!N1727,2)="15",LEFT(TH!O1727,2)="15"),TK!$E$7=TH!F1727),"x","")</f>
        <v/>
      </c>
      <c r="AD1727" s="84" t="str">
        <f>IF(AND(N1727="1521",MONTH(C1727)='BK-NL'!$M$11),"x","")</f>
        <v/>
      </c>
      <c r="AE1727" s="330"/>
      <c r="AF1727" s="330">
        <v>1</v>
      </c>
    </row>
    <row r="1728" spans="1:32" s="347" customFormat="1" ht="15.75" hidden="1" customHeight="1">
      <c r="A1728" s="336" t="str">
        <f>IF(B1728&lt;&gt;"",IF(AND(B1728='IN-TC'!$S$4,OR(TH!N1728="1111",TH!O1728="1111")),TH!D1728,""),"")</f>
        <v/>
      </c>
      <c r="B1728" s="63">
        <f t="shared" si="233"/>
        <v>6</v>
      </c>
      <c r="C1728" s="64">
        <v>42548</v>
      </c>
      <c r="D1728" s="64" t="s">
        <v>896</v>
      </c>
      <c r="E1728" s="64">
        <v>42548</v>
      </c>
      <c r="F1728" s="73" t="s">
        <v>1615</v>
      </c>
      <c r="G1728" s="982" t="s">
        <v>1616</v>
      </c>
      <c r="H1728" s="73" t="s">
        <v>1617</v>
      </c>
      <c r="I1728" s="439"/>
      <c r="J1728" s="439"/>
      <c r="K1728" s="430"/>
      <c r="L1728" s="439"/>
      <c r="M1728" s="1157">
        <v>1620000</v>
      </c>
      <c r="N1728" s="66" t="s">
        <v>9</v>
      </c>
      <c r="O1728" s="66" t="s">
        <v>63</v>
      </c>
      <c r="P1728" s="84" t="str">
        <f>IF(AND('331-CT'!$E$7=TH!H1728,OR(N1728="331",O1728="331")),"x","")</f>
        <v/>
      </c>
      <c r="Q1728" s="84" t="str">
        <f>IF(AND(B1728='111'!$L$11,OR($N1728=$Q$7,$O1728=$Q$7)),"x","")</f>
        <v/>
      </c>
      <c r="R1728" s="84" t="str">
        <f>IF(AND($N1728=$Q$7,$B1728&lt;'111'!$L$11),"x","")</f>
        <v/>
      </c>
      <c r="S1728" s="84" t="str">
        <f>IF(AND($O1728=$Q$7,$B1728&lt;'111'!$L$11),"x","")</f>
        <v/>
      </c>
      <c r="T1728" s="84" t="str">
        <f>IF(ISERROR(FIND('112'!$M$9,G1728,1)),"",IF((AND(FIND('112'!$M$9,G1728,1)&gt;=1,B1728='112'!$K$9,OR($N1728='112'!$I$6,$O1728='112'!$I$6))),"x",""))</f>
        <v/>
      </c>
      <c r="U1728" s="84" t="str">
        <f>IF(ISERROR(FIND('112'!$M$9,G1728,1)),"",IF((AND(LEFT(G1728,2)=LEFT('112'!$M$9,2),B1728&lt;'112'!$K$9,$N1728='112'!$I$6)),"x",""))</f>
        <v/>
      </c>
      <c r="V1728" s="84" t="str">
        <f>IF(ISERROR(FIND('112'!$M$9,G1728,1)),"",IF((AND(RIGHT(G1728,2)=RIGHT('112'!$M$9,2),B1728&lt;'112'!$K$9,$O1728='112'!$I$6)),"x",""))</f>
        <v/>
      </c>
      <c r="W1728" s="84" t="str">
        <f>IF(AND('341-CT'!$H$9=H1728,OR(LEFT(N1728,3)=$W$7,LEFT(O1728,3)=$W$7)),"x","")</f>
        <v/>
      </c>
      <c r="X1728" s="84" t="str">
        <f>IF(OR(TH!N1728=TH!$X$7,O1728=TH!$X$7),"x","")</f>
        <v/>
      </c>
      <c r="Y1728" s="84" t="str">
        <f>IF(AND(OR(N1728="131",O1728="131"),H1728='131-CT'!$H$9),"x","")</f>
        <v/>
      </c>
      <c r="Z1728" s="84"/>
      <c r="AA1728" s="84" t="str">
        <f>IF(AND(MONTH(E1728)='IN-NX'!$J$5,'IN-NX'!$D$7=D1728),"x","")</f>
        <v/>
      </c>
      <c r="AB1728" s="84" t="str">
        <f>IF(AND(OR(LEFT(TH!N1728,2)="15",LEFT(TH!O1728,2)="15"),LEFT(TH!O1728,3)&lt;&gt;"111",'152-CT'!$J$8=TH!F1728),"x","")</f>
        <v/>
      </c>
      <c r="AC1728" s="84" t="str">
        <f>IF(AND(OR(LEFT(TH!N1728,2)="15",LEFT(TH!O1728,2)="15"),TK!$E$7=TH!F1728),"x","")</f>
        <v/>
      </c>
      <c r="AD1728" s="84" t="str">
        <f>IF(AND(N1728="1521",MONTH(C1728)='BK-NL'!$M$11),"x","")</f>
        <v/>
      </c>
      <c r="AE1728" s="330"/>
      <c r="AF1728" s="330"/>
    </row>
    <row r="1729" spans="1:32" s="347" customFormat="1" ht="15.75" hidden="1" customHeight="1">
      <c r="A1729" s="336" t="str">
        <f>IF(B1729&lt;&gt;"",IF(AND(B1729='IN-TC'!$S$4,OR(TH!N1729="1111",TH!O1729="1111")),TH!D1729,""),"")</f>
        <v/>
      </c>
      <c r="B1729" s="63">
        <f t="shared" si="233"/>
        <v>6</v>
      </c>
      <c r="C1729" s="64">
        <v>42548</v>
      </c>
      <c r="D1729" s="64" t="s">
        <v>897</v>
      </c>
      <c r="E1729" s="64">
        <v>42548</v>
      </c>
      <c r="F1729" s="73" t="s">
        <v>1620</v>
      </c>
      <c r="G1729" s="982" t="s">
        <v>1622</v>
      </c>
      <c r="H1729" s="73" t="s">
        <v>839</v>
      </c>
      <c r="I1729" s="439"/>
      <c r="J1729" s="439"/>
      <c r="K1729" s="430"/>
      <c r="L1729" s="439"/>
      <c r="M1729" s="1157">
        <v>16050000</v>
      </c>
      <c r="N1729" s="66" t="s">
        <v>101</v>
      </c>
      <c r="O1729" s="66" t="s">
        <v>63</v>
      </c>
      <c r="P1729" s="84" t="str">
        <f>IF(AND('331-CT'!$E$7=TH!H1729,OR(N1729="331",O1729="331")),"x","")</f>
        <v/>
      </c>
      <c r="Q1729" s="84" t="str">
        <f>IF(AND(B1729='111'!$L$11,OR($N1729=$Q$7,$O1729=$Q$7)),"x","")</f>
        <v/>
      </c>
      <c r="R1729" s="84" t="str">
        <f>IF(AND($N1729=$Q$7,$B1729&lt;'111'!$L$11),"x","")</f>
        <v/>
      </c>
      <c r="S1729" s="84" t="str">
        <f>IF(AND($O1729=$Q$7,$B1729&lt;'111'!$L$11),"x","")</f>
        <v/>
      </c>
      <c r="T1729" s="84" t="str">
        <f>IF(ISERROR(FIND('112'!$M$9,G1729,1)),"",IF((AND(FIND('112'!$M$9,G1729,1)&gt;=1,B1729='112'!$K$9,OR($N1729='112'!$I$6,$O1729='112'!$I$6))),"x",""))</f>
        <v/>
      </c>
      <c r="U1729" s="84" t="str">
        <f>IF(ISERROR(FIND('112'!$M$9,G1729,1)),"",IF((AND(LEFT(G1729,2)=LEFT('112'!$M$9,2),B1729&lt;'112'!$K$9,$N1729='112'!$I$6)),"x",""))</f>
        <v/>
      </c>
      <c r="V1729" s="84" t="str">
        <f>IF(ISERROR(FIND('112'!$M$9,G1729,1)),"",IF((AND(RIGHT(G1729,2)=RIGHT('112'!$M$9,2),B1729&lt;'112'!$K$9,$O1729='112'!$I$6)),"x",""))</f>
        <v/>
      </c>
      <c r="W1729" s="84" t="str">
        <f>IF(AND('341-CT'!$H$9=H1729,OR(LEFT(N1729,3)=$W$7,LEFT(O1729,3)=$W$7)),"x","")</f>
        <v/>
      </c>
      <c r="X1729" s="84" t="str">
        <f>IF(OR(TH!N1729=TH!$X$7,O1729=TH!$X$7),"x","")</f>
        <v/>
      </c>
      <c r="Y1729" s="84" t="str">
        <f>IF(AND(OR(N1729="131",O1729="131"),H1729='131-CT'!$H$9),"x","")</f>
        <v/>
      </c>
      <c r="Z1729" s="84"/>
      <c r="AA1729" s="84" t="str">
        <f>IF(AND(MONTH(E1729)='IN-NX'!$J$5,'IN-NX'!$D$7=D1729),"x","")</f>
        <v/>
      </c>
      <c r="AB1729" s="84" t="str">
        <f>IF(AND(OR(LEFT(TH!N1729,2)="15",LEFT(TH!O1729,2)="15"),LEFT(TH!O1729,3)&lt;&gt;"111",'152-CT'!$J$8=TH!F1729),"x","")</f>
        <v/>
      </c>
      <c r="AC1729" s="84" t="str">
        <f>IF(AND(OR(LEFT(TH!N1729,2)="15",LEFT(TH!O1729,2)="15"),TK!$E$7=TH!F1729),"x","")</f>
        <v/>
      </c>
      <c r="AD1729" s="84" t="str">
        <f>IF(AND(N1729="1521",MONTH(C1729)='BK-NL'!$M$11),"x","")</f>
        <v/>
      </c>
      <c r="AE1729" s="330"/>
      <c r="AF1729" s="330">
        <v>1</v>
      </c>
    </row>
    <row r="1730" spans="1:32" s="347" customFormat="1" ht="15.75" hidden="1" customHeight="1">
      <c r="A1730" s="336" t="str">
        <f>IF(B1730&lt;&gt;"",IF(AND(B1730='IN-TC'!$S$4,OR(TH!N1730="1111",TH!O1730="1111")),TH!D1730,""),"")</f>
        <v/>
      </c>
      <c r="B1730" s="63">
        <f t="shared" si="233"/>
        <v>6</v>
      </c>
      <c r="C1730" s="64">
        <v>42548</v>
      </c>
      <c r="D1730" s="64" t="s">
        <v>897</v>
      </c>
      <c r="E1730" s="64">
        <v>42548</v>
      </c>
      <c r="F1730" s="73" t="s">
        <v>1621</v>
      </c>
      <c r="G1730" s="982" t="s">
        <v>1622</v>
      </c>
      <c r="H1730" s="73" t="s">
        <v>839</v>
      </c>
      <c r="I1730" s="439"/>
      <c r="J1730" s="439"/>
      <c r="K1730" s="430"/>
      <c r="L1730" s="439"/>
      <c r="M1730" s="1157">
        <v>1605000</v>
      </c>
      <c r="N1730" s="66" t="s">
        <v>9</v>
      </c>
      <c r="O1730" s="66" t="s">
        <v>63</v>
      </c>
      <c r="P1730" s="84" t="str">
        <f>IF(AND('331-CT'!$E$7=TH!H1730,OR(N1730="331",O1730="331")),"x","")</f>
        <v/>
      </c>
      <c r="Q1730" s="84" t="str">
        <f>IF(AND(B1730='111'!$L$11,OR($N1730=$Q$7,$O1730=$Q$7)),"x","")</f>
        <v/>
      </c>
      <c r="R1730" s="84" t="str">
        <f>IF(AND($N1730=$Q$7,$B1730&lt;'111'!$L$11),"x","")</f>
        <v/>
      </c>
      <c r="S1730" s="84" t="str">
        <f>IF(AND($O1730=$Q$7,$B1730&lt;'111'!$L$11),"x","")</f>
        <v/>
      </c>
      <c r="T1730" s="84" t="str">
        <f>IF(ISERROR(FIND('112'!$M$9,G1730,1)),"",IF((AND(FIND('112'!$M$9,G1730,1)&gt;=1,B1730='112'!$K$9,OR($N1730='112'!$I$6,$O1730='112'!$I$6))),"x",""))</f>
        <v/>
      </c>
      <c r="U1730" s="84" t="str">
        <f>IF(ISERROR(FIND('112'!$M$9,G1730,1)),"",IF((AND(LEFT(G1730,2)=LEFT('112'!$M$9,2),B1730&lt;'112'!$K$9,$N1730='112'!$I$6)),"x",""))</f>
        <v/>
      </c>
      <c r="V1730" s="84" t="str">
        <f>IF(ISERROR(FIND('112'!$M$9,G1730,1)),"",IF((AND(RIGHT(G1730,2)=RIGHT('112'!$M$9,2),B1730&lt;'112'!$K$9,$O1730='112'!$I$6)),"x",""))</f>
        <v/>
      </c>
      <c r="W1730" s="84" t="str">
        <f>IF(AND('341-CT'!$H$9=H1730,OR(LEFT(N1730,3)=$W$7,LEFT(O1730,3)=$W$7)),"x","")</f>
        <v/>
      </c>
      <c r="X1730" s="84" t="str">
        <f>IF(OR(TH!N1730=TH!$X$7,O1730=TH!$X$7),"x","")</f>
        <v/>
      </c>
      <c r="Y1730" s="84" t="str">
        <f>IF(AND(OR(N1730="131",O1730="131"),H1730='131-CT'!$H$9),"x","")</f>
        <v/>
      </c>
      <c r="Z1730" s="84"/>
      <c r="AA1730" s="84" t="str">
        <f>IF(AND(MONTH(E1730)='IN-NX'!$J$5,'IN-NX'!$D$7=D1730),"x","")</f>
        <v/>
      </c>
      <c r="AB1730" s="84" t="str">
        <f>IF(AND(OR(LEFT(TH!N1730,2)="15",LEFT(TH!O1730,2)="15"),LEFT(TH!O1730,3)&lt;&gt;"111",'152-CT'!$J$8=TH!F1730),"x","")</f>
        <v/>
      </c>
      <c r="AC1730" s="84" t="str">
        <f>IF(AND(OR(LEFT(TH!N1730,2)="15",LEFT(TH!O1730,2)="15"),TK!$E$7=TH!F1730),"x","")</f>
        <v/>
      </c>
      <c r="AD1730" s="84" t="str">
        <f>IF(AND(N1730="1521",MONTH(C1730)='BK-NL'!$M$11),"x","")</f>
        <v/>
      </c>
      <c r="AE1730" s="330"/>
      <c r="AF1730" s="330"/>
    </row>
    <row r="1731" spans="1:32" s="347" customFormat="1" ht="15.75" hidden="1" customHeight="1">
      <c r="A1731" s="336" t="str">
        <f>IF(B1731&lt;&gt;"",IF(AND(B1731='IN-TC'!$S$4,OR(TH!N1731="1111",TH!O1731="1111")),TH!D1731,""),"")</f>
        <v/>
      </c>
      <c r="B1731" s="63">
        <f t="shared" si="233"/>
        <v>6</v>
      </c>
      <c r="C1731" s="64">
        <v>42549</v>
      </c>
      <c r="D1731" s="64" t="s">
        <v>898</v>
      </c>
      <c r="E1731" s="64">
        <v>42549</v>
      </c>
      <c r="F1731" s="73" t="s">
        <v>1618</v>
      </c>
      <c r="G1731" s="982" t="s">
        <v>1322</v>
      </c>
      <c r="H1731" s="73" t="s">
        <v>1617</v>
      </c>
      <c r="I1731" s="439"/>
      <c r="J1731" s="439"/>
      <c r="K1731" s="430"/>
      <c r="L1731" s="439"/>
      <c r="M1731" s="65">
        <v>3450000</v>
      </c>
      <c r="N1731" s="66" t="s">
        <v>101</v>
      </c>
      <c r="O1731" s="66" t="s">
        <v>63</v>
      </c>
      <c r="P1731" s="84" t="str">
        <f>IF(AND('331-CT'!$E$7=TH!H1731,OR(N1731="331",O1731="331")),"x","")</f>
        <v/>
      </c>
      <c r="Q1731" s="84" t="str">
        <f>IF(AND(B1731='111'!$L$11,OR($N1731=$Q$7,$O1731=$Q$7)),"x","")</f>
        <v/>
      </c>
      <c r="R1731" s="84" t="str">
        <f>IF(AND($N1731=$Q$7,$B1731&lt;'111'!$L$11),"x","")</f>
        <v/>
      </c>
      <c r="S1731" s="84" t="str">
        <f>IF(AND($O1731=$Q$7,$B1731&lt;'111'!$L$11),"x","")</f>
        <v/>
      </c>
      <c r="T1731" s="84" t="str">
        <f>IF(ISERROR(FIND('112'!$M$9,G1731,1)),"",IF((AND(FIND('112'!$M$9,G1731,1)&gt;=1,B1731='112'!$K$9,OR($N1731='112'!$I$6,$O1731='112'!$I$6))),"x",""))</f>
        <v/>
      </c>
      <c r="U1731" s="84" t="str">
        <f>IF(ISERROR(FIND('112'!$M$9,G1731,1)),"",IF((AND(LEFT(G1731,2)=LEFT('112'!$M$9,2),B1731&lt;'112'!$K$9,$N1731='112'!$I$6)),"x",""))</f>
        <v/>
      </c>
      <c r="V1731" s="84" t="str">
        <f>IF(ISERROR(FIND('112'!$M$9,G1731,1)),"",IF((AND(RIGHT(G1731,2)=RIGHT('112'!$M$9,2),B1731&lt;'112'!$K$9,$O1731='112'!$I$6)),"x",""))</f>
        <v/>
      </c>
      <c r="W1731" s="84" t="str">
        <f>IF(AND('341-CT'!$H$9=H1731,OR(LEFT(N1731,3)=$W$7,LEFT(O1731,3)=$W$7)),"x","")</f>
        <v/>
      </c>
      <c r="X1731" s="84" t="str">
        <f>IF(OR(TH!N1731=TH!$X$7,O1731=TH!$X$7),"x","")</f>
        <v/>
      </c>
      <c r="Y1731" s="84" t="str">
        <f>IF(AND(OR(N1731="131",O1731="131"),H1731='131-CT'!$H$9),"x","")</f>
        <v/>
      </c>
      <c r="Z1731" s="84"/>
      <c r="AA1731" s="84" t="str">
        <f>IF(AND(MONTH(E1731)='IN-NX'!$J$5,'IN-NX'!$D$7=D1731),"x","")</f>
        <v/>
      </c>
      <c r="AB1731" s="84" t="str">
        <f>IF(AND(OR(LEFT(TH!N1731,2)="15",LEFT(TH!O1731,2)="15"),LEFT(TH!O1731,3)&lt;&gt;"111",'152-CT'!$J$8=TH!F1731),"x","")</f>
        <v/>
      </c>
      <c r="AC1731" s="84" t="str">
        <f>IF(AND(OR(LEFT(TH!N1731,2)="15",LEFT(TH!O1731,2)="15"),TK!$E$7=TH!F1731),"x","")</f>
        <v/>
      </c>
      <c r="AD1731" s="84" t="str">
        <f>IF(AND(N1731="1521",MONTH(C1731)='BK-NL'!$M$11),"x","")</f>
        <v/>
      </c>
      <c r="AE1731" s="330"/>
      <c r="AF1731" s="330">
        <v>1</v>
      </c>
    </row>
    <row r="1732" spans="1:32" s="347" customFormat="1" ht="15.75" hidden="1" customHeight="1">
      <c r="A1732" s="336" t="str">
        <f>IF(B1732&lt;&gt;"",IF(AND(B1732='IN-TC'!$S$4,OR(TH!N1732="1111",TH!O1732="1111")),TH!D1732,""),"")</f>
        <v/>
      </c>
      <c r="B1732" s="63">
        <f t="shared" si="233"/>
        <v>6</v>
      </c>
      <c r="C1732" s="64">
        <v>42549</v>
      </c>
      <c r="D1732" s="64" t="s">
        <v>898</v>
      </c>
      <c r="E1732" s="64">
        <v>42549</v>
      </c>
      <c r="F1732" s="73" t="s">
        <v>1619</v>
      </c>
      <c r="G1732" s="982" t="s">
        <v>1322</v>
      </c>
      <c r="H1732" s="73" t="s">
        <v>1617</v>
      </c>
      <c r="I1732" s="439"/>
      <c r="J1732" s="439"/>
      <c r="K1732" s="430"/>
      <c r="L1732" s="439"/>
      <c r="M1732" s="65">
        <v>345000</v>
      </c>
      <c r="N1732" s="66" t="s">
        <v>9</v>
      </c>
      <c r="O1732" s="66" t="s">
        <v>63</v>
      </c>
      <c r="P1732" s="84" t="str">
        <f>IF(AND('331-CT'!$E$7=TH!H1732,OR(N1732="331",O1732="331")),"x","")</f>
        <v/>
      </c>
      <c r="Q1732" s="84" t="str">
        <f>IF(AND(B1732='111'!$L$11,OR($N1732=$Q$7,$O1732=$Q$7)),"x","")</f>
        <v/>
      </c>
      <c r="R1732" s="84" t="str">
        <f>IF(AND($N1732=$Q$7,$B1732&lt;'111'!$L$11),"x","")</f>
        <v/>
      </c>
      <c r="S1732" s="84" t="str">
        <f>IF(AND($O1732=$Q$7,$B1732&lt;'111'!$L$11),"x","")</f>
        <v/>
      </c>
      <c r="T1732" s="84" t="str">
        <f>IF(ISERROR(FIND('112'!$M$9,G1732,1)),"",IF((AND(FIND('112'!$M$9,G1732,1)&gt;=1,B1732='112'!$K$9,OR($N1732='112'!$I$6,$O1732='112'!$I$6))),"x",""))</f>
        <v/>
      </c>
      <c r="U1732" s="84" t="str">
        <f>IF(ISERROR(FIND('112'!$M$9,G1732,1)),"",IF((AND(LEFT(G1732,2)=LEFT('112'!$M$9,2),B1732&lt;'112'!$K$9,$N1732='112'!$I$6)),"x",""))</f>
        <v/>
      </c>
      <c r="V1732" s="84" t="str">
        <f>IF(ISERROR(FIND('112'!$M$9,G1732,1)),"",IF((AND(RIGHT(G1732,2)=RIGHT('112'!$M$9,2),B1732&lt;'112'!$K$9,$O1732='112'!$I$6)),"x",""))</f>
        <v/>
      </c>
      <c r="W1732" s="84" t="str">
        <f>IF(AND('341-CT'!$H$9=H1732,OR(LEFT(N1732,3)=$W$7,LEFT(O1732,3)=$W$7)),"x","")</f>
        <v/>
      </c>
      <c r="X1732" s="84" t="str">
        <f>IF(OR(TH!N1732=TH!$X$7,O1732=TH!$X$7),"x","")</f>
        <v/>
      </c>
      <c r="Y1732" s="84" t="str">
        <f>IF(AND(OR(N1732="131",O1732="131"),H1732='131-CT'!$H$9),"x","")</f>
        <v/>
      </c>
      <c r="Z1732" s="84"/>
      <c r="AA1732" s="84" t="str">
        <f>IF(AND(MONTH(E1732)='IN-NX'!$J$5,'IN-NX'!$D$7=D1732),"x","")</f>
        <v/>
      </c>
      <c r="AB1732" s="84" t="str">
        <f>IF(AND(OR(LEFT(TH!N1732,2)="15",LEFT(TH!O1732,2)="15"),LEFT(TH!O1732,3)&lt;&gt;"111",'152-CT'!$J$8=TH!F1732),"x","")</f>
        <v/>
      </c>
      <c r="AC1732" s="84" t="str">
        <f>IF(AND(OR(LEFT(TH!N1732,2)="15",LEFT(TH!O1732,2)="15"),TK!$E$7=TH!F1732),"x","")</f>
        <v/>
      </c>
      <c r="AD1732" s="84" t="str">
        <f>IF(AND(N1732="1521",MONTH(C1732)='BK-NL'!$M$11),"x","")</f>
        <v/>
      </c>
      <c r="AE1732" s="330"/>
      <c r="AF1732" s="330"/>
    </row>
    <row r="1733" spans="1:32" s="347" customFormat="1" ht="15.75" hidden="1" customHeight="1">
      <c r="A1733" s="336" t="str">
        <f>IF(B1733&lt;&gt;"",IF(AND(B1733='IN-TC'!$S$4,OR(TH!N1733="1111",TH!O1733="1111")),TH!D1733,""),"")</f>
        <v/>
      </c>
      <c r="B1733" s="63">
        <f t="shared" si="233"/>
        <v>6</v>
      </c>
      <c r="C1733" s="64">
        <v>42549</v>
      </c>
      <c r="D1733" s="64" t="s">
        <v>705</v>
      </c>
      <c r="E1733" s="64">
        <f t="shared" ref="E1733:E1757" si="235">C1733</f>
        <v>42549</v>
      </c>
      <c r="F1733" s="73" t="s">
        <v>1658</v>
      </c>
      <c r="G1733" s="67" t="s">
        <v>919</v>
      </c>
      <c r="H1733" s="344"/>
      <c r="I1733" s="439"/>
      <c r="J1733" s="439"/>
      <c r="K1733" s="430"/>
      <c r="L1733" s="439"/>
      <c r="M1733" s="65">
        <v>290993</v>
      </c>
      <c r="N1733" s="66" t="s">
        <v>101</v>
      </c>
      <c r="O1733" s="66" t="s">
        <v>26</v>
      </c>
      <c r="P1733" s="84" t="str">
        <f>IF(AND('331-CT'!$E$7=TH!H1733,OR(N1733="331",O1733="331")),"x","")</f>
        <v/>
      </c>
      <c r="Q1733" s="84" t="str">
        <f>IF(AND(B1733='111'!$L$11,OR($N1733=$Q$7,$O1733=$Q$7)),"x","")</f>
        <v/>
      </c>
      <c r="R1733" s="84" t="str">
        <f>IF(AND($N1733=$Q$7,$B1733&lt;'111'!$L$11),"x","")</f>
        <v/>
      </c>
      <c r="S1733" s="84" t="str">
        <f>IF(AND($O1733=$Q$7,$B1733&lt;'111'!$L$11),"x","")</f>
        <v/>
      </c>
      <c r="T1733" s="84" t="str">
        <f>IF(ISERROR(FIND('112'!$M$9,G1733,1)),"",IF((AND(FIND('112'!$M$9,G1733,1)&gt;=1,B1733='112'!$K$9,OR($N1733='112'!$I$6,$O1733='112'!$I$6))),"x",""))</f>
        <v>x</v>
      </c>
      <c r="U1733" s="84" t="str">
        <f>IF(ISERROR(FIND('112'!$M$9,G1733,1)),"",IF((AND(LEFT(G1733,2)=LEFT('112'!$M$9,2),B1733&lt;'112'!$K$9,$N1733='112'!$I$6)),"x",""))</f>
        <v/>
      </c>
      <c r="V1733" s="84" t="str">
        <f>IF(ISERROR(FIND('112'!$M$9,G1733,1)),"",IF((AND(RIGHT(G1733,2)=RIGHT('112'!$M$9,2),B1733&lt;'112'!$K$9,$O1733='112'!$I$6)),"x",""))</f>
        <v/>
      </c>
      <c r="W1733" s="84" t="str">
        <f>IF(AND('341-CT'!$H$9=H1733,OR(LEFT(N1733,3)=$W$7,LEFT(O1733,3)=$W$7)),"x","")</f>
        <v/>
      </c>
      <c r="X1733" s="84" t="str">
        <f>IF(OR(TH!N1733=TH!$X$7,O1733=TH!$X$7),"x","")</f>
        <v/>
      </c>
      <c r="Y1733" s="84" t="str">
        <f>IF(AND(OR(N1733="131",O1733="131"),H1733='131-CT'!$H$9),"x","")</f>
        <v/>
      </c>
      <c r="Z1733" s="84"/>
      <c r="AA1733" s="84" t="str">
        <f>IF(AND(MONTH(E1733)='IN-NX'!$J$5,'IN-NX'!$D$7=D1733),"x","")</f>
        <v/>
      </c>
      <c r="AB1733" s="84" t="str">
        <f>IF(AND(OR(LEFT(TH!N1733,2)="15",LEFT(TH!O1733,2)="15"),LEFT(TH!O1733,3)&lt;&gt;"111",'152-CT'!$J$8=TH!F1733),"x","")</f>
        <v/>
      </c>
      <c r="AC1733" s="84" t="str">
        <f>IF(AND(OR(LEFT(TH!N1733,2)="15",LEFT(TH!O1733,2)="15"),TK!$E$7=TH!F1733),"x","")</f>
        <v/>
      </c>
      <c r="AD1733" s="84" t="str">
        <f>IF(AND(N1733="1521",MONTH(C1733)='BK-NL'!$M$11),"x","")</f>
        <v/>
      </c>
      <c r="AE1733" s="330"/>
      <c r="AF1733" s="330">
        <v>1</v>
      </c>
    </row>
    <row r="1734" spans="1:32" s="347" customFormat="1" ht="15.75" hidden="1" customHeight="1">
      <c r="A1734" s="336" t="str">
        <f>IF(B1734&lt;&gt;"",IF(AND(B1734='IN-TC'!$S$4,OR(TH!N1734="1111",TH!O1734="1111")),TH!D1734,""),"")</f>
        <v/>
      </c>
      <c r="B1734" s="63">
        <f t="shared" si="233"/>
        <v>6</v>
      </c>
      <c r="C1734" s="64">
        <v>42549</v>
      </c>
      <c r="D1734" s="64" t="s">
        <v>705</v>
      </c>
      <c r="E1734" s="64">
        <f t="shared" si="235"/>
        <v>42549</v>
      </c>
      <c r="F1734" s="73" t="s">
        <v>1697</v>
      </c>
      <c r="G1734" s="67" t="s">
        <v>919</v>
      </c>
      <c r="H1734" s="344"/>
      <c r="I1734" s="439"/>
      <c r="J1734" s="439"/>
      <c r="K1734" s="430"/>
      <c r="L1734" s="439"/>
      <c r="M1734" s="65">
        <v>29099</v>
      </c>
      <c r="N1734" s="66" t="s">
        <v>9</v>
      </c>
      <c r="O1734" s="66" t="s">
        <v>26</v>
      </c>
      <c r="P1734" s="84" t="str">
        <f>IF(AND('331-CT'!$E$7=TH!H1734,OR(N1734="331",O1734="331")),"x","")</f>
        <v/>
      </c>
      <c r="Q1734" s="84" t="str">
        <f>IF(AND(B1734='111'!$L$11,OR($N1734=$Q$7,$O1734=$Q$7)),"x","")</f>
        <v/>
      </c>
      <c r="R1734" s="84" t="str">
        <f>IF(AND($N1734=$Q$7,$B1734&lt;'111'!$L$11),"x","")</f>
        <v/>
      </c>
      <c r="S1734" s="84" t="str">
        <f>IF(AND($O1734=$Q$7,$B1734&lt;'111'!$L$11),"x","")</f>
        <v/>
      </c>
      <c r="T1734" s="84" t="str">
        <f>IF(ISERROR(FIND('112'!$M$9,G1734,1)),"",IF((AND(FIND('112'!$M$9,G1734,1)&gt;=1,B1734='112'!$K$9,OR($N1734='112'!$I$6,$O1734='112'!$I$6))),"x",""))</f>
        <v>x</v>
      </c>
      <c r="U1734" s="84" t="str">
        <f>IF(ISERROR(FIND('112'!$M$9,G1734,1)),"",IF((AND(LEFT(G1734,2)=LEFT('112'!$M$9,2),B1734&lt;'112'!$K$9,$N1734='112'!$I$6)),"x",""))</f>
        <v/>
      </c>
      <c r="V1734" s="84" t="str">
        <f>IF(ISERROR(FIND('112'!$M$9,G1734,1)),"",IF((AND(RIGHT(G1734,2)=RIGHT('112'!$M$9,2),B1734&lt;'112'!$K$9,$O1734='112'!$I$6)),"x",""))</f>
        <v/>
      </c>
      <c r="W1734" s="84" t="str">
        <f>IF(AND('341-CT'!$H$9=H1734,OR(LEFT(N1734,3)=$W$7,LEFT(O1734,3)=$W$7)),"x","")</f>
        <v/>
      </c>
      <c r="X1734" s="84" t="str">
        <f>IF(OR(TH!N1734=TH!$X$7,O1734=TH!$X$7),"x","")</f>
        <v/>
      </c>
      <c r="Y1734" s="84" t="str">
        <f>IF(AND(OR(N1734="131",O1734="131"),H1734='131-CT'!$H$9),"x","")</f>
        <v/>
      </c>
      <c r="Z1734" s="84"/>
      <c r="AA1734" s="84" t="str">
        <f>IF(AND(MONTH(E1734)='IN-NX'!$J$5,'IN-NX'!$D$7=D1734),"x","")</f>
        <v/>
      </c>
      <c r="AB1734" s="84" t="str">
        <f>IF(AND(OR(LEFT(TH!N1734,2)="15",LEFT(TH!O1734,2)="15"),LEFT(TH!O1734,3)&lt;&gt;"111",'152-CT'!$J$8=TH!F1734),"x","")</f>
        <v/>
      </c>
      <c r="AC1734" s="84" t="str">
        <f>IF(AND(OR(LEFT(TH!N1734,2)="15",LEFT(TH!O1734,2)="15"),TK!$E$7=TH!F1734),"x","")</f>
        <v/>
      </c>
      <c r="AD1734" s="84" t="str">
        <f>IF(AND(N1734="1521",MONTH(C1734)='BK-NL'!$M$11),"x","")</f>
        <v/>
      </c>
      <c r="AE1734" s="330"/>
      <c r="AF1734" s="330"/>
    </row>
    <row r="1735" spans="1:32" s="347" customFormat="1" ht="15.75" hidden="1" customHeight="1">
      <c r="A1735" s="336" t="str">
        <f>IF(B1735&lt;&gt;"",IF(AND(B1735='IN-TC'!$S$4,OR(TH!N1735="1111",TH!O1735="1111")),TH!D1735,""),"")</f>
        <v/>
      </c>
      <c r="B1735" s="63">
        <f t="shared" si="233"/>
        <v>6</v>
      </c>
      <c r="C1735" s="64">
        <v>42549</v>
      </c>
      <c r="D1735" s="64" t="s">
        <v>705</v>
      </c>
      <c r="E1735" s="64">
        <f t="shared" si="235"/>
        <v>42549</v>
      </c>
      <c r="F1735" s="73" t="s">
        <v>1659</v>
      </c>
      <c r="G1735" s="67" t="s">
        <v>919</v>
      </c>
      <c r="H1735" s="344" t="s">
        <v>630</v>
      </c>
      <c r="I1735" s="439"/>
      <c r="J1735" s="439"/>
      <c r="K1735" s="430"/>
      <c r="L1735" s="439"/>
      <c r="M1735" s="65">
        <v>139997985</v>
      </c>
      <c r="N1735" s="66" t="s">
        <v>8</v>
      </c>
      <c r="O1735" s="66" t="s">
        <v>26</v>
      </c>
      <c r="P1735" s="84" t="str">
        <f>IF(AND('331-CT'!$E$7=TH!H1735,OR(N1735="331",O1735="331")),"x","")</f>
        <v/>
      </c>
      <c r="Q1735" s="84" t="str">
        <f>IF(AND(B1735='111'!$L$11,OR($N1735=$Q$7,$O1735=$Q$7)),"x","")</f>
        <v/>
      </c>
      <c r="R1735" s="84" t="str">
        <f>IF(AND($N1735=$Q$7,$B1735&lt;'111'!$L$11),"x","")</f>
        <v/>
      </c>
      <c r="S1735" s="84" t="str">
        <f>IF(AND($O1735=$Q$7,$B1735&lt;'111'!$L$11),"x","")</f>
        <v/>
      </c>
      <c r="T1735" s="84" t="str">
        <f>IF(ISERROR(FIND('112'!$M$9,G1735,1)),"",IF((AND(FIND('112'!$M$9,G1735,1)&gt;=1,B1735='112'!$K$9,OR($N1735='112'!$I$6,$O1735='112'!$I$6))),"x",""))</f>
        <v>x</v>
      </c>
      <c r="U1735" s="84" t="str">
        <f>IF(ISERROR(FIND('112'!$M$9,G1735,1)),"",IF((AND(LEFT(G1735,2)=LEFT('112'!$M$9,2),B1735&lt;'112'!$K$9,$N1735='112'!$I$6)),"x",""))</f>
        <v/>
      </c>
      <c r="V1735" s="84" t="str">
        <f>IF(ISERROR(FIND('112'!$M$9,G1735,1)),"",IF((AND(RIGHT(G1735,2)=RIGHT('112'!$M$9,2),B1735&lt;'112'!$K$9,$O1735='112'!$I$6)),"x",""))</f>
        <v/>
      </c>
      <c r="W1735" s="84" t="str">
        <f>IF(AND('341-CT'!$H$9=H1735,OR(LEFT(N1735,3)=$W$7,LEFT(O1735,3)=$W$7)),"x","")</f>
        <v/>
      </c>
      <c r="X1735" s="84" t="str">
        <f>IF(OR(TH!N1735=TH!$X$7,O1735=TH!$X$7),"x","")</f>
        <v/>
      </c>
      <c r="Y1735" s="84" t="str">
        <f>IF(AND(OR(N1735="131",O1735="131"),H1735='131-CT'!$H$9),"x","")</f>
        <v/>
      </c>
      <c r="Z1735" s="84"/>
      <c r="AA1735" s="84" t="str">
        <f>IF(AND(MONTH(E1735)='IN-NX'!$J$5,'IN-NX'!$D$7=D1735),"x","")</f>
        <v/>
      </c>
      <c r="AB1735" s="84" t="str">
        <f>IF(AND(OR(LEFT(TH!N1735,2)="15",LEFT(TH!O1735,2)="15"),LEFT(TH!O1735,3)&lt;&gt;"111",'152-CT'!$J$8=TH!F1735),"x","")</f>
        <v/>
      </c>
      <c r="AC1735" s="84" t="str">
        <f>IF(AND(OR(LEFT(TH!N1735,2)="15",LEFT(TH!O1735,2)="15"),TK!$E$7=TH!F1735),"x","")</f>
        <v/>
      </c>
      <c r="AD1735" s="84" t="str">
        <f>IF(AND(N1735="1521",MONTH(C1735)='BK-NL'!$M$11),"x","")</f>
        <v/>
      </c>
      <c r="AE1735" s="1146" t="str">
        <f>IF(H1735&lt;&gt;VLOOKUP(H1735,DSKH,1,0),"","x")</f>
        <v>x</v>
      </c>
      <c r="AF1735" s="330"/>
    </row>
    <row r="1736" spans="1:32" s="347" customFormat="1" ht="15.75" hidden="1" customHeight="1">
      <c r="A1736" s="336" t="str">
        <f>IF(B1736&lt;&gt;"",IF(AND(B1736='IN-TC'!$S$4,OR(TH!N1736="1111",TH!O1736="1111")),TH!D1736,""),"")</f>
        <v/>
      </c>
      <c r="B1736" s="63">
        <f t="shared" si="233"/>
        <v>6</v>
      </c>
      <c r="C1736" s="64">
        <v>42549</v>
      </c>
      <c r="D1736" s="64" t="s">
        <v>705</v>
      </c>
      <c r="E1736" s="64">
        <f t="shared" si="235"/>
        <v>42549</v>
      </c>
      <c r="F1736" s="73" t="s">
        <v>1176</v>
      </c>
      <c r="G1736" s="67" t="s">
        <v>919</v>
      </c>
      <c r="H1736" s="344"/>
      <c r="I1736" s="439"/>
      <c r="J1736" s="439"/>
      <c r="K1736" s="430"/>
      <c r="L1736" s="439"/>
      <c r="M1736" s="65">
        <v>69999</v>
      </c>
      <c r="N1736" s="66" t="s">
        <v>101</v>
      </c>
      <c r="O1736" s="66" t="s">
        <v>26</v>
      </c>
      <c r="P1736" s="84" t="str">
        <f>IF(AND('331-CT'!$E$7=TH!H1736,OR(N1736="331",O1736="331")),"x","")</f>
        <v/>
      </c>
      <c r="Q1736" s="84" t="str">
        <f>IF(AND(B1736='111'!$L$11,OR($N1736=$Q$7,$O1736=$Q$7)),"x","")</f>
        <v/>
      </c>
      <c r="R1736" s="84" t="str">
        <f>IF(AND($N1736=$Q$7,$B1736&lt;'111'!$L$11),"x","")</f>
        <v/>
      </c>
      <c r="S1736" s="84" t="str">
        <f>IF(AND($O1736=$Q$7,$B1736&lt;'111'!$L$11),"x","")</f>
        <v/>
      </c>
      <c r="T1736" s="84" t="str">
        <f>IF(ISERROR(FIND('112'!$M$9,G1736,1)),"",IF((AND(FIND('112'!$M$9,G1736,1)&gt;=1,B1736='112'!$K$9,OR($N1736='112'!$I$6,$O1736='112'!$I$6))),"x",""))</f>
        <v>x</v>
      </c>
      <c r="U1736" s="84" t="str">
        <f>IF(ISERROR(FIND('112'!$M$9,G1736,1)),"",IF((AND(LEFT(G1736,2)=LEFT('112'!$M$9,2),B1736&lt;'112'!$K$9,$N1736='112'!$I$6)),"x",""))</f>
        <v/>
      </c>
      <c r="V1736" s="84" t="str">
        <f>IF(ISERROR(FIND('112'!$M$9,G1736,1)),"",IF((AND(RIGHT(G1736,2)=RIGHT('112'!$M$9,2),B1736&lt;'112'!$K$9,$O1736='112'!$I$6)),"x",""))</f>
        <v/>
      </c>
      <c r="W1736" s="84" t="str">
        <f>IF(AND('341-CT'!$H$9=H1736,OR(LEFT(N1736,3)=$W$7,LEFT(O1736,3)=$W$7)),"x","")</f>
        <v/>
      </c>
      <c r="X1736" s="84" t="str">
        <f>IF(OR(TH!N1736=TH!$X$7,O1736=TH!$X$7),"x","")</f>
        <v/>
      </c>
      <c r="Y1736" s="84" t="str">
        <f>IF(AND(OR(N1736="131",O1736="131"),H1736='131-CT'!$H$9),"x","")</f>
        <v/>
      </c>
      <c r="Z1736" s="84"/>
      <c r="AA1736" s="84" t="str">
        <f>IF(AND(MONTH(E1736)='IN-NX'!$J$5,'IN-NX'!$D$7=D1736),"x","")</f>
        <v/>
      </c>
      <c r="AB1736" s="84" t="str">
        <f>IF(AND(OR(LEFT(TH!N1736,2)="15",LEFT(TH!O1736,2)="15"),LEFT(TH!O1736,3)&lt;&gt;"111",'152-CT'!$J$8=TH!F1736),"x","")</f>
        <v/>
      </c>
      <c r="AC1736" s="84" t="str">
        <f>IF(AND(OR(LEFT(TH!N1736,2)="15",LEFT(TH!O1736,2)="15"),TK!$E$7=TH!F1736),"x","")</f>
        <v/>
      </c>
      <c r="AD1736" s="84" t="str">
        <f>IF(AND(N1736="1521",MONTH(C1736)='BK-NL'!$M$11),"x","")</f>
        <v/>
      </c>
      <c r="AE1736" s="330"/>
      <c r="AF1736" s="330">
        <v>1</v>
      </c>
    </row>
    <row r="1737" spans="1:32" s="347" customFormat="1" ht="15.75" hidden="1" customHeight="1">
      <c r="A1737" s="336" t="str">
        <f>IF(B1737&lt;&gt;"",IF(AND(B1737='IN-TC'!$S$4,OR(TH!N1737="1111",TH!O1737="1111")),TH!D1737,""),"")</f>
        <v/>
      </c>
      <c r="B1737" s="63">
        <f t="shared" ref="B1737:B1798" si="236">IF(C1737&lt;&gt;"",MONTH(C1737),"")</f>
        <v>6</v>
      </c>
      <c r="C1737" s="64">
        <v>42549</v>
      </c>
      <c r="D1737" s="64" t="s">
        <v>705</v>
      </c>
      <c r="E1737" s="64">
        <f t="shared" si="235"/>
        <v>42549</v>
      </c>
      <c r="F1737" s="73" t="s">
        <v>1638</v>
      </c>
      <c r="G1737" s="67" t="s">
        <v>919</v>
      </c>
      <c r="H1737" s="344"/>
      <c r="I1737" s="439"/>
      <c r="J1737" s="439"/>
      <c r="K1737" s="430"/>
      <c r="L1737" s="439"/>
      <c r="M1737" s="65">
        <v>7000</v>
      </c>
      <c r="N1737" s="66" t="s">
        <v>9</v>
      </c>
      <c r="O1737" s="66" t="s">
        <v>26</v>
      </c>
      <c r="P1737" s="84" t="str">
        <f>IF(AND('331-CT'!$E$7=TH!H1737,OR(N1737="331",O1737="331")),"x","")</f>
        <v/>
      </c>
      <c r="Q1737" s="84" t="str">
        <f>IF(AND(B1737='111'!$L$11,OR($N1737=$Q$7,$O1737=$Q$7)),"x","")</f>
        <v/>
      </c>
      <c r="R1737" s="84" t="str">
        <f>IF(AND($N1737=$Q$7,$B1737&lt;'111'!$L$11),"x","")</f>
        <v/>
      </c>
      <c r="S1737" s="84" t="str">
        <f>IF(AND($O1737=$Q$7,$B1737&lt;'111'!$L$11),"x","")</f>
        <v/>
      </c>
      <c r="T1737" s="84" t="str">
        <f>IF(ISERROR(FIND('112'!$M$9,G1737,1)),"",IF((AND(FIND('112'!$M$9,G1737,1)&gt;=1,B1737='112'!$K$9,OR($N1737='112'!$I$6,$O1737='112'!$I$6))),"x",""))</f>
        <v>x</v>
      </c>
      <c r="U1737" s="84" t="str">
        <f>IF(ISERROR(FIND('112'!$M$9,G1737,1)),"",IF((AND(LEFT(G1737,2)=LEFT('112'!$M$9,2),B1737&lt;'112'!$K$9,$N1737='112'!$I$6)),"x",""))</f>
        <v/>
      </c>
      <c r="V1737" s="84" t="str">
        <f>IF(ISERROR(FIND('112'!$M$9,G1737,1)),"",IF((AND(RIGHT(G1737,2)=RIGHT('112'!$M$9,2),B1737&lt;'112'!$K$9,$O1737='112'!$I$6)),"x",""))</f>
        <v/>
      </c>
      <c r="W1737" s="84" t="str">
        <f>IF(AND('341-CT'!$H$9=H1737,OR(LEFT(N1737,3)=$W$7,LEFT(O1737,3)=$W$7)),"x","")</f>
        <v/>
      </c>
      <c r="X1737" s="84" t="str">
        <f>IF(OR(TH!N1737=TH!$X$7,O1737=TH!$X$7),"x","")</f>
        <v/>
      </c>
      <c r="Y1737" s="84" t="str">
        <f>IF(AND(OR(N1737="131",O1737="131"),H1737='131-CT'!$H$9),"x","")</f>
        <v/>
      </c>
      <c r="Z1737" s="84"/>
      <c r="AA1737" s="84" t="str">
        <f>IF(AND(MONTH(E1737)='IN-NX'!$J$5,'IN-NX'!$D$7=D1737),"x","")</f>
        <v/>
      </c>
      <c r="AB1737" s="84" t="str">
        <f>IF(AND(OR(LEFT(TH!N1737,2)="15",LEFT(TH!O1737,2)="15"),LEFT(TH!O1737,3)&lt;&gt;"111",'152-CT'!$J$8=TH!F1737),"x","")</f>
        <v/>
      </c>
      <c r="AC1737" s="84" t="str">
        <f>IF(AND(OR(LEFT(TH!N1737,2)="15",LEFT(TH!O1737,2)="15"),TK!$E$7=TH!F1737),"x","")</f>
        <v/>
      </c>
      <c r="AD1737" s="84" t="str">
        <f>IF(AND(N1737="1521",MONTH(C1737)='BK-NL'!$M$11),"x","")</f>
        <v/>
      </c>
      <c r="AE1737" s="330"/>
      <c r="AF1737" s="330"/>
    </row>
    <row r="1738" spans="1:32" s="347" customFormat="1" ht="15.75" hidden="1" customHeight="1">
      <c r="A1738" s="336" t="str">
        <f>IF(B1738&lt;&gt;"",IF(AND(B1738='IN-TC'!$S$4,OR(TH!N1738="1111",TH!O1738="1111")),TH!D1738,""),"")</f>
        <v/>
      </c>
      <c r="B1738" s="63">
        <f t="shared" si="236"/>
        <v>6</v>
      </c>
      <c r="C1738" s="64">
        <v>42549</v>
      </c>
      <c r="D1738" s="64" t="s">
        <v>705</v>
      </c>
      <c r="E1738" s="64">
        <f t="shared" si="235"/>
        <v>42549</v>
      </c>
      <c r="F1738" s="73" t="s">
        <v>1660</v>
      </c>
      <c r="G1738" s="67" t="s">
        <v>919</v>
      </c>
      <c r="H1738" s="344" t="s">
        <v>1632</v>
      </c>
      <c r="I1738" s="439"/>
      <c r="J1738" s="439"/>
      <c r="K1738" s="430"/>
      <c r="L1738" s="439"/>
      <c r="M1738" s="65">
        <v>20293420</v>
      </c>
      <c r="N1738" s="66" t="s">
        <v>8</v>
      </c>
      <c r="O1738" s="66" t="s">
        <v>26</v>
      </c>
      <c r="P1738" s="84" t="str">
        <f>IF(AND('331-CT'!$E$7=TH!H1738,OR(N1738="331",O1738="331")),"x","")</f>
        <v/>
      </c>
      <c r="Q1738" s="84" t="str">
        <f>IF(AND(B1738='111'!$L$11,OR($N1738=$Q$7,$O1738=$Q$7)),"x","")</f>
        <v/>
      </c>
      <c r="R1738" s="84" t="str">
        <f>IF(AND($N1738=$Q$7,$B1738&lt;'111'!$L$11),"x","")</f>
        <v/>
      </c>
      <c r="S1738" s="84" t="str">
        <f>IF(AND($O1738=$Q$7,$B1738&lt;'111'!$L$11),"x","")</f>
        <v/>
      </c>
      <c r="T1738" s="84" t="str">
        <f>IF(ISERROR(FIND('112'!$M$9,G1738,1)),"",IF((AND(FIND('112'!$M$9,G1738,1)&gt;=1,B1738='112'!$K$9,OR($N1738='112'!$I$6,$O1738='112'!$I$6))),"x",""))</f>
        <v>x</v>
      </c>
      <c r="U1738" s="84" t="str">
        <f>IF(ISERROR(FIND('112'!$M$9,G1738,1)),"",IF((AND(LEFT(G1738,2)=LEFT('112'!$M$9,2),B1738&lt;'112'!$K$9,$N1738='112'!$I$6)),"x",""))</f>
        <v/>
      </c>
      <c r="V1738" s="84" t="str">
        <f>IF(ISERROR(FIND('112'!$M$9,G1738,1)),"",IF((AND(RIGHT(G1738,2)=RIGHT('112'!$M$9,2),B1738&lt;'112'!$K$9,$O1738='112'!$I$6)),"x",""))</f>
        <v/>
      </c>
      <c r="W1738" s="84" t="str">
        <f>IF(AND('341-CT'!$H$9=H1738,OR(LEFT(N1738,3)=$W$7,LEFT(O1738,3)=$W$7)),"x","")</f>
        <v/>
      </c>
      <c r="X1738" s="84" t="str">
        <f>IF(OR(TH!N1738=TH!$X$7,O1738=TH!$X$7),"x","")</f>
        <v/>
      </c>
      <c r="Y1738" s="84" t="str">
        <f>IF(AND(OR(N1738="131",O1738="131"),H1738='131-CT'!$H$9),"x","")</f>
        <v/>
      </c>
      <c r="Z1738" s="84"/>
      <c r="AA1738" s="84" t="str">
        <f>IF(AND(MONTH(E1738)='IN-NX'!$J$5,'IN-NX'!$D$7=D1738),"x","")</f>
        <v/>
      </c>
      <c r="AB1738" s="84" t="str">
        <f>IF(AND(OR(LEFT(TH!N1738,2)="15",LEFT(TH!O1738,2)="15"),LEFT(TH!O1738,3)&lt;&gt;"111",'152-CT'!$J$8=TH!F1738),"x","")</f>
        <v/>
      </c>
      <c r="AC1738" s="84" t="str">
        <f>IF(AND(OR(LEFT(TH!N1738,2)="15",LEFT(TH!O1738,2)="15"),TK!$E$7=TH!F1738),"x","")</f>
        <v/>
      </c>
      <c r="AD1738" s="84" t="str">
        <f>IF(AND(N1738="1521",MONTH(C1738)='BK-NL'!$M$11),"x","")</f>
        <v/>
      </c>
      <c r="AE1738" s="1146" t="str">
        <f>IF(H1738&lt;&gt;VLOOKUP(H1738,DSKH,1,0),"","x")</f>
        <v>x</v>
      </c>
      <c r="AF1738" s="330"/>
    </row>
    <row r="1739" spans="1:32" s="347" customFormat="1" ht="15.75" hidden="1" customHeight="1">
      <c r="A1739" s="336" t="str">
        <f>IF(B1739&lt;&gt;"",IF(AND(B1739='IN-TC'!$S$4,OR(TH!N1739="1111",TH!O1739="1111")),TH!D1739,""),"")</f>
        <v/>
      </c>
      <c r="B1739" s="63">
        <f t="shared" si="236"/>
        <v>6</v>
      </c>
      <c r="C1739" s="64">
        <v>42549</v>
      </c>
      <c r="D1739" s="64" t="s">
        <v>705</v>
      </c>
      <c r="E1739" s="64">
        <f t="shared" si="235"/>
        <v>42549</v>
      </c>
      <c r="F1739" s="73" t="s">
        <v>1176</v>
      </c>
      <c r="G1739" s="67" t="s">
        <v>919</v>
      </c>
      <c r="H1739" s="344"/>
      <c r="I1739" s="439"/>
      <c r="J1739" s="439"/>
      <c r="K1739" s="430"/>
      <c r="L1739" s="439"/>
      <c r="M1739" s="65">
        <v>20000</v>
      </c>
      <c r="N1739" s="66" t="s">
        <v>101</v>
      </c>
      <c r="O1739" s="66" t="s">
        <v>26</v>
      </c>
      <c r="P1739" s="84" t="str">
        <f>IF(AND('331-CT'!$E$7=TH!H1739,OR(N1739="331",O1739="331")),"x","")</f>
        <v/>
      </c>
      <c r="Q1739" s="84" t="str">
        <f>IF(AND(B1739='111'!$L$11,OR($N1739=$Q$7,$O1739=$Q$7)),"x","")</f>
        <v/>
      </c>
      <c r="R1739" s="84" t="str">
        <f>IF(AND($N1739=$Q$7,$B1739&lt;'111'!$L$11),"x","")</f>
        <v/>
      </c>
      <c r="S1739" s="84" t="str">
        <f>IF(AND($O1739=$Q$7,$B1739&lt;'111'!$L$11),"x","")</f>
        <v/>
      </c>
      <c r="T1739" s="84" t="str">
        <f>IF(ISERROR(FIND('112'!$M$9,G1739,1)),"",IF((AND(FIND('112'!$M$9,G1739,1)&gt;=1,B1739='112'!$K$9,OR($N1739='112'!$I$6,$O1739='112'!$I$6))),"x",""))</f>
        <v>x</v>
      </c>
      <c r="U1739" s="84" t="str">
        <f>IF(ISERROR(FIND('112'!$M$9,G1739,1)),"",IF((AND(LEFT(G1739,2)=LEFT('112'!$M$9,2),B1739&lt;'112'!$K$9,$N1739='112'!$I$6)),"x",""))</f>
        <v/>
      </c>
      <c r="V1739" s="84" t="str">
        <f>IF(ISERROR(FIND('112'!$M$9,G1739,1)),"",IF((AND(RIGHT(G1739,2)=RIGHT('112'!$M$9,2),B1739&lt;'112'!$K$9,$O1739='112'!$I$6)),"x",""))</f>
        <v/>
      </c>
      <c r="W1739" s="84" t="str">
        <f>IF(AND('341-CT'!$H$9=H1739,OR(LEFT(N1739,3)=$W$7,LEFT(O1739,3)=$W$7)),"x","")</f>
        <v/>
      </c>
      <c r="X1739" s="84" t="str">
        <f>IF(OR(TH!N1739=TH!$X$7,O1739=TH!$X$7),"x","")</f>
        <v/>
      </c>
      <c r="Y1739" s="84" t="str">
        <f>IF(AND(OR(N1739="131",O1739="131"),H1739='131-CT'!$H$9),"x","")</f>
        <v/>
      </c>
      <c r="Z1739" s="84"/>
      <c r="AA1739" s="84" t="str">
        <f>IF(AND(MONTH(E1739)='IN-NX'!$J$5,'IN-NX'!$D$7=D1739),"x","")</f>
        <v/>
      </c>
      <c r="AB1739" s="84" t="str">
        <f>IF(AND(OR(LEFT(TH!N1739,2)="15",LEFT(TH!O1739,2)="15"),LEFT(TH!O1739,3)&lt;&gt;"111",'152-CT'!$J$8=TH!F1739),"x","")</f>
        <v/>
      </c>
      <c r="AC1739" s="84" t="str">
        <f>IF(AND(OR(LEFT(TH!N1739,2)="15",LEFT(TH!O1739,2)="15"),TK!$E$7=TH!F1739),"x","")</f>
        <v/>
      </c>
      <c r="AD1739" s="84" t="str">
        <f>IF(AND(N1739="1521",MONTH(C1739)='BK-NL'!$M$11),"x","")</f>
        <v/>
      </c>
      <c r="AE1739" s="330"/>
      <c r="AF1739" s="330">
        <v>1</v>
      </c>
    </row>
    <row r="1740" spans="1:32" s="347" customFormat="1" ht="15.75" hidden="1" customHeight="1">
      <c r="A1740" s="336" t="str">
        <f>IF(B1740&lt;&gt;"",IF(AND(B1740='IN-TC'!$S$4,OR(TH!N1740="1111",TH!O1740="1111")),TH!D1740,""),"")</f>
        <v/>
      </c>
      <c r="B1740" s="63">
        <f t="shared" si="236"/>
        <v>6</v>
      </c>
      <c r="C1740" s="64">
        <v>42549</v>
      </c>
      <c r="D1740" s="64" t="s">
        <v>705</v>
      </c>
      <c r="E1740" s="64">
        <f t="shared" si="235"/>
        <v>42549</v>
      </c>
      <c r="F1740" s="73" t="s">
        <v>1638</v>
      </c>
      <c r="G1740" s="67" t="s">
        <v>919</v>
      </c>
      <c r="H1740" s="344"/>
      <c r="I1740" s="439"/>
      <c r="J1740" s="439"/>
      <c r="K1740" s="430"/>
      <c r="L1740" s="439"/>
      <c r="M1740" s="65">
        <v>2000</v>
      </c>
      <c r="N1740" s="66" t="s">
        <v>9</v>
      </c>
      <c r="O1740" s="66" t="s">
        <v>26</v>
      </c>
      <c r="P1740" s="84" t="str">
        <f>IF(AND('331-CT'!$E$7=TH!H1740,OR(N1740="331",O1740="331")),"x","")</f>
        <v/>
      </c>
      <c r="Q1740" s="84" t="str">
        <f>IF(AND(B1740='111'!$L$11,OR($N1740=$Q$7,$O1740=$Q$7)),"x","")</f>
        <v/>
      </c>
      <c r="R1740" s="84" t="str">
        <f>IF(AND($N1740=$Q$7,$B1740&lt;'111'!$L$11),"x","")</f>
        <v/>
      </c>
      <c r="S1740" s="84" t="str">
        <f>IF(AND($O1740=$Q$7,$B1740&lt;'111'!$L$11),"x","")</f>
        <v/>
      </c>
      <c r="T1740" s="84" t="str">
        <f>IF(ISERROR(FIND('112'!$M$9,G1740,1)),"",IF((AND(FIND('112'!$M$9,G1740,1)&gt;=1,B1740='112'!$K$9,OR($N1740='112'!$I$6,$O1740='112'!$I$6))),"x",""))</f>
        <v>x</v>
      </c>
      <c r="U1740" s="84" t="str">
        <f>IF(ISERROR(FIND('112'!$M$9,G1740,1)),"",IF((AND(LEFT(G1740,2)=LEFT('112'!$M$9,2),B1740&lt;'112'!$K$9,$N1740='112'!$I$6)),"x",""))</f>
        <v/>
      </c>
      <c r="V1740" s="84" t="str">
        <f>IF(ISERROR(FIND('112'!$M$9,G1740,1)),"",IF((AND(RIGHT(G1740,2)=RIGHT('112'!$M$9,2),B1740&lt;'112'!$K$9,$O1740='112'!$I$6)),"x",""))</f>
        <v/>
      </c>
      <c r="W1740" s="84" t="str">
        <f>IF(AND('341-CT'!$H$9=H1740,OR(LEFT(N1740,3)=$W$7,LEFT(O1740,3)=$W$7)),"x","")</f>
        <v/>
      </c>
      <c r="X1740" s="84" t="str">
        <f>IF(OR(TH!N1740=TH!$X$7,O1740=TH!$X$7),"x","")</f>
        <v/>
      </c>
      <c r="Y1740" s="84" t="str">
        <f>IF(AND(OR(N1740="131",O1740="131"),H1740='131-CT'!$H$9),"x","")</f>
        <v/>
      </c>
      <c r="Z1740" s="84"/>
      <c r="AA1740" s="84" t="str">
        <f>IF(AND(MONTH(E1740)='IN-NX'!$J$5,'IN-NX'!$D$7=D1740),"x","")</f>
        <v/>
      </c>
      <c r="AB1740" s="84" t="str">
        <f>IF(AND(OR(LEFT(TH!N1740,2)="15",LEFT(TH!O1740,2)="15"),LEFT(TH!O1740,3)&lt;&gt;"111",'152-CT'!$J$8=TH!F1740),"x","")</f>
        <v/>
      </c>
      <c r="AC1740" s="84" t="str">
        <f>IF(AND(OR(LEFT(TH!N1740,2)="15",LEFT(TH!O1740,2)="15"),TK!$E$7=TH!F1740),"x","")</f>
        <v/>
      </c>
      <c r="AD1740" s="84" t="str">
        <f>IF(AND(N1740="1521",MONTH(C1740)='BK-NL'!$M$11),"x","")</f>
        <v/>
      </c>
      <c r="AE1740" s="330"/>
      <c r="AF1740" s="330"/>
    </row>
    <row r="1741" spans="1:32" s="347" customFormat="1" ht="15.75" hidden="1" customHeight="1">
      <c r="A1741" s="336" t="str">
        <f>IF(B1741&lt;&gt;"",IF(AND(B1741='IN-TC'!$S$4,OR(TH!N1741="1111",TH!O1741="1111")),TH!D1741,""),"")</f>
        <v/>
      </c>
      <c r="B1741" s="63">
        <f t="shared" si="236"/>
        <v>6</v>
      </c>
      <c r="C1741" s="64">
        <v>42549</v>
      </c>
      <c r="D1741" s="64" t="s">
        <v>705</v>
      </c>
      <c r="E1741" s="64">
        <f t="shared" si="235"/>
        <v>42549</v>
      </c>
      <c r="F1741" s="73" t="s">
        <v>1450</v>
      </c>
      <c r="G1741" s="67" t="s">
        <v>919</v>
      </c>
      <c r="H1741" s="344" t="s">
        <v>1218</v>
      </c>
      <c r="I1741" s="439"/>
      <c r="J1741" s="439"/>
      <c r="K1741" s="430"/>
      <c r="L1741" s="439"/>
      <c r="M1741" s="65">
        <v>31000000</v>
      </c>
      <c r="N1741" s="66" t="s">
        <v>72</v>
      </c>
      <c r="O1741" s="66" t="s">
        <v>26</v>
      </c>
      <c r="P1741" s="84" t="str">
        <f>IF(AND('331-CT'!$E$7=TH!H1741,OR(N1741="331",O1741="331")),"x","")</f>
        <v/>
      </c>
      <c r="Q1741" s="84" t="str">
        <f>IF(AND(B1741='111'!$L$11,OR($N1741=$Q$7,$O1741=$Q$7)),"x","")</f>
        <v/>
      </c>
      <c r="R1741" s="84" t="str">
        <f>IF(AND($N1741=$Q$7,$B1741&lt;'111'!$L$11),"x","")</f>
        <v/>
      </c>
      <c r="S1741" s="84" t="str">
        <f>IF(AND($O1741=$Q$7,$B1741&lt;'111'!$L$11),"x","")</f>
        <v/>
      </c>
      <c r="T1741" s="84" t="str">
        <f>IF(ISERROR(FIND('112'!$M$9,G1741,1)),"",IF((AND(FIND('112'!$M$9,G1741,1)&gt;=1,B1741='112'!$K$9,OR($N1741='112'!$I$6,$O1741='112'!$I$6))),"x",""))</f>
        <v>x</v>
      </c>
      <c r="U1741" s="84" t="str">
        <f>IF(ISERROR(FIND('112'!$M$9,G1741,1)),"",IF((AND(LEFT(G1741,2)=LEFT('112'!$M$9,2),B1741&lt;'112'!$K$9,$N1741='112'!$I$6)),"x",""))</f>
        <v/>
      </c>
      <c r="V1741" s="84" t="str">
        <f>IF(ISERROR(FIND('112'!$M$9,G1741,1)),"",IF((AND(RIGHT(G1741,2)=RIGHT('112'!$M$9,2),B1741&lt;'112'!$K$9,$O1741='112'!$I$6)),"x",""))</f>
        <v/>
      </c>
      <c r="W1741" s="84" t="str">
        <f>IF(AND('341-CT'!$H$9=H1741,OR(LEFT(N1741,3)=$W$7,LEFT(O1741,3)=$W$7)),"x","")</f>
        <v/>
      </c>
      <c r="X1741" s="84" t="str">
        <f>IF(OR(TH!N1741=TH!$X$7,O1741=TH!$X$7),"x","")</f>
        <v>x</v>
      </c>
      <c r="Y1741" s="84" t="str">
        <f>IF(AND(OR(N1741="131",O1741="131"),H1741='131-CT'!$H$9),"x","")</f>
        <v/>
      </c>
      <c r="Z1741" s="84"/>
      <c r="AA1741" s="84" t="str">
        <f>IF(AND(MONTH(E1741)='IN-NX'!$J$5,'IN-NX'!$D$7=D1741),"x","")</f>
        <v/>
      </c>
      <c r="AB1741" s="84" t="str">
        <f>IF(AND(OR(LEFT(TH!N1741,2)="15",LEFT(TH!O1741,2)="15"),LEFT(TH!O1741,3)&lt;&gt;"111",'152-CT'!$J$8=TH!F1741),"x","")</f>
        <v/>
      </c>
      <c r="AC1741" s="84" t="str">
        <f>IF(AND(OR(LEFT(TH!N1741,2)="15",LEFT(TH!O1741,2)="15"),TK!$E$7=TH!F1741),"x","")</f>
        <v/>
      </c>
      <c r="AD1741" s="84" t="str">
        <f>IF(AND(N1741="1521",MONTH(C1741)='BK-NL'!$M$11),"x","")</f>
        <v/>
      </c>
      <c r="AE1741" s="330"/>
      <c r="AF1741" s="330"/>
    </row>
    <row r="1742" spans="1:32" s="347" customFormat="1" ht="15.75" hidden="1" customHeight="1">
      <c r="A1742" s="336" t="str">
        <f>IF(B1742&lt;&gt;"",IF(AND(B1742='IN-TC'!$S$4,OR(TH!N1742="1111",TH!O1742="1111")),TH!D1742,""),"")</f>
        <v/>
      </c>
      <c r="B1742" s="63">
        <f t="shared" si="236"/>
        <v>6</v>
      </c>
      <c r="C1742" s="64">
        <v>42549</v>
      </c>
      <c r="D1742" s="64" t="s">
        <v>702</v>
      </c>
      <c r="E1742" s="64">
        <f t="shared" si="235"/>
        <v>42549</v>
      </c>
      <c r="F1742" s="73" t="s">
        <v>1197</v>
      </c>
      <c r="G1742" s="67" t="s">
        <v>919</v>
      </c>
      <c r="H1742" s="73" t="s">
        <v>1695</v>
      </c>
      <c r="I1742" s="439"/>
      <c r="J1742" s="439"/>
      <c r="K1742" s="430">
        <v>8231.92</v>
      </c>
      <c r="L1742" s="439">
        <v>22280</v>
      </c>
      <c r="M1742" s="65">
        <f>ROUND(K1742*L1742,0)</f>
        <v>183407178</v>
      </c>
      <c r="N1742" s="66" t="s">
        <v>266</v>
      </c>
      <c r="O1742" s="66" t="s">
        <v>588</v>
      </c>
      <c r="P1742" s="84" t="str">
        <f>IF(AND('331-CT'!$E$7=TH!H1742,OR(N1742="331",O1742="331")),"x","")</f>
        <v/>
      </c>
      <c r="Q1742" s="84" t="str">
        <f>IF(AND(B1742='111'!$L$11,OR($N1742=$Q$7,$O1742=$Q$7)),"x","")</f>
        <v/>
      </c>
      <c r="R1742" s="84" t="str">
        <f>IF(AND($N1742=$Q$7,$B1742&lt;'111'!$L$11),"x","")</f>
        <v/>
      </c>
      <c r="S1742" s="84" t="str">
        <f>IF(AND($O1742=$Q$7,$B1742&lt;'111'!$L$11),"x","")</f>
        <v/>
      </c>
      <c r="T1742" s="84" t="str">
        <f>IF(ISERROR(FIND('112'!$M$9,G1742,1)),"",IF((AND(FIND('112'!$M$9,G1742,1)&gt;=1,B1742='112'!$K$9,OR($N1742='112'!$I$6,$O1742='112'!$I$6))),"x",""))</f>
        <v/>
      </c>
      <c r="U1742" s="84" t="str">
        <f>IF(ISERROR(FIND('112'!$M$9,G1742,1)),"",IF((AND(LEFT(G1742,2)=LEFT('112'!$M$9,2),B1742&lt;'112'!$K$9,$N1742='112'!$I$6)),"x",""))</f>
        <v/>
      </c>
      <c r="V1742" s="84" t="str">
        <f>IF(ISERROR(FIND('112'!$M$9,G1742,1)),"",IF((AND(RIGHT(G1742,2)=RIGHT('112'!$M$9,2),B1742&lt;'112'!$K$9,$O1742='112'!$I$6)),"x",""))</f>
        <v/>
      </c>
      <c r="W1742" s="84" t="str">
        <f>IF(AND('341-CT'!$H$9=H1742,OR(LEFT(N1742,3)=$W$7,LEFT(O1742,3)=$W$7)),"x","")</f>
        <v/>
      </c>
      <c r="X1742" s="84" t="str">
        <f>IF(OR(TH!N1742=TH!$X$7,O1742=TH!$X$7),"x","")</f>
        <v/>
      </c>
      <c r="Y1742" s="84" t="str">
        <f>IF(AND(OR(N1742="131",O1742="131"),H1742='131-CT'!$H$9),"x","")</f>
        <v/>
      </c>
      <c r="Z1742" s="84"/>
      <c r="AA1742" s="84" t="str">
        <f>IF(AND(MONTH(E1742)='IN-NX'!$J$5,'IN-NX'!$D$7=D1742),"x","")</f>
        <v/>
      </c>
      <c r="AB1742" s="84" t="str">
        <f>IF(AND(OR(LEFT(TH!N1742,2)="15",LEFT(TH!O1742,2)="15"),LEFT(TH!O1742,3)&lt;&gt;"111",'152-CT'!$J$8=TH!F1742),"x","")</f>
        <v/>
      </c>
      <c r="AC1742" s="84" t="str">
        <f>IF(AND(OR(LEFT(TH!N1742,2)="15",LEFT(TH!O1742,2)="15"),TK!$E$7=TH!F1742),"x","")</f>
        <v/>
      </c>
      <c r="AD1742" s="84" t="str">
        <f>IF(AND(N1742="1521",MONTH(C1742)='BK-NL'!$M$11),"x","")</f>
        <v/>
      </c>
      <c r="AE1742" s="330"/>
      <c r="AF1742" s="330"/>
    </row>
    <row r="1743" spans="1:32" s="347" customFormat="1" ht="15.75" hidden="1" customHeight="1">
      <c r="A1743" s="336" t="str">
        <f>IF(B1743&lt;&gt;"",IF(AND(B1743='IN-TC'!$S$4,OR(TH!N1743="1111",TH!O1743="1111")),TH!D1743,""),"")</f>
        <v/>
      </c>
      <c r="B1743" s="63">
        <f t="shared" si="236"/>
        <v>6</v>
      </c>
      <c r="C1743" s="64">
        <v>42549</v>
      </c>
      <c r="D1743" s="64" t="s">
        <v>582</v>
      </c>
      <c r="E1743" s="64">
        <f t="shared" si="235"/>
        <v>42549</v>
      </c>
      <c r="F1743" s="73" t="s">
        <v>1064</v>
      </c>
      <c r="G1743" s="67" t="s">
        <v>919</v>
      </c>
      <c r="H1743" s="73" t="s">
        <v>1695</v>
      </c>
      <c r="I1743" s="439"/>
      <c r="J1743" s="439"/>
      <c r="K1743" s="430">
        <v>200</v>
      </c>
      <c r="L1743" s="439">
        <v>22280</v>
      </c>
      <c r="M1743" s="65">
        <f>ROUND(K1743*L1743,0)</f>
        <v>4456000</v>
      </c>
      <c r="N1743" s="66" t="s">
        <v>101</v>
      </c>
      <c r="O1743" s="66" t="s">
        <v>588</v>
      </c>
      <c r="P1743" s="84" t="str">
        <f>IF(AND('331-CT'!$E$7=TH!H1743,OR(N1743="331",O1743="331")),"x","")</f>
        <v/>
      </c>
      <c r="Q1743" s="84" t="str">
        <f>IF(AND(B1743='111'!$L$11,OR($N1743=$Q$7,$O1743=$Q$7)),"x","")</f>
        <v/>
      </c>
      <c r="R1743" s="84" t="str">
        <f>IF(AND($N1743=$Q$7,$B1743&lt;'111'!$L$11),"x","")</f>
        <v/>
      </c>
      <c r="S1743" s="84" t="str">
        <f>IF(AND($O1743=$Q$7,$B1743&lt;'111'!$L$11),"x","")</f>
        <v/>
      </c>
      <c r="T1743" s="84" t="str">
        <f>IF(ISERROR(FIND('112'!$M$9,G1743,1)),"",IF((AND(FIND('112'!$M$9,G1743,1)&gt;=1,B1743='112'!$K$9,OR($N1743='112'!$I$6,$O1743='112'!$I$6))),"x",""))</f>
        <v/>
      </c>
      <c r="U1743" s="84" t="str">
        <f>IF(ISERROR(FIND('112'!$M$9,G1743,1)),"",IF((AND(LEFT(G1743,2)=LEFT('112'!$M$9,2),B1743&lt;'112'!$K$9,$N1743='112'!$I$6)),"x",""))</f>
        <v/>
      </c>
      <c r="V1743" s="84" t="str">
        <f>IF(ISERROR(FIND('112'!$M$9,G1743,1)),"",IF((AND(RIGHT(G1743,2)=RIGHT('112'!$M$9,2),B1743&lt;'112'!$K$9,$O1743='112'!$I$6)),"x",""))</f>
        <v/>
      </c>
      <c r="W1743" s="84" t="str">
        <f>IF(AND('341-CT'!$H$9=H1743,OR(LEFT(N1743,3)=$W$7,LEFT(O1743,3)=$W$7)),"x","")</f>
        <v/>
      </c>
      <c r="X1743" s="84" t="str">
        <f>IF(OR(TH!N1743=TH!$X$7,O1743=TH!$X$7),"x","")</f>
        <v/>
      </c>
      <c r="Y1743" s="84" t="str">
        <f>IF(AND(OR(N1743="131",O1743="131"),H1743='131-CT'!$H$9),"x","")</f>
        <v/>
      </c>
      <c r="Z1743" s="84"/>
      <c r="AA1743" s="84" t="str">
        <f>IF(AND(MONTH(E1743)='IN-NX'!$J$5,'IN-NX'!$D$7=D1743),"x","")</f>
        <v/>
      </c>
      <c r="AB1743" s="84" t="str">
        <f>IF(AND(OR(LEFT(TH!N1743,2)="15",LEFT(TH!O1743,2)="15"),LEFT(TH!O1743,3)&lt;&gt;"111",'152-CT'!$J$8=TH!F1743),"x","")</f>
        <v/>
      </c>
      <c r="AC1743" s="84" t="str">
        <f>IF(AND(OR(LEFT(TH!N1743,2)="15",LEFT(TH!O1743,2)="15"),TK!$E$7=TH!F1743),"x","")</f>
        <v/>
      </c>
      <c r="AD1743" s="84" t="str">
        <f>IF(AND(N1743="1521",MONTH(C1743)='BK-NL'!$M$11),"x","")</f>
        <v/>
      </c>
      <c r="AE1743" s="330"/>
      <c r="AF1743" s="330"/>
    </row>
    <row r="1744" spans="1:32" s="1132" customFormat="1" ht="15.75" hidden="1" customHeight="1">
      <c r="A1744" s="336" t="str">
        <f>IF(B1744&lt;&gt;"",IF(AND(B1744='IN-TC'!$S$4,OR(TH!N1744="1111",TH!O1744="1111")),TH!D1744,""),"")</f>
        <v/>
      </c>
      <c r="B1744" s="63">
        <f t="shared" si="236"/>
        <v>6</v>
      </c>
      <c r="C1744" s="64">
        <v>42549</v>
      </c>
      <c r="D1744" s="64" t="s">
        <v>582</v>
      </c>
      <c r="E1744" s="64">
        <f t="shared" si="235"/>
        <v>42549</v>
      </c>
      <c r="F1744" s="73" t="s">
        <v>1065</v>
      </c>
      <c r="G1744" s="67" t="s">
        <v>919</v>
      </c>
      <c r="H1744" s="73" t="s">
        <v>1695</v>
      </c>
      <c r="I1744" s="439"/>
      <c r="J1744" s="439"/>
      <c r="K1744" s="430">
        <v>20</v>
      </c>
      <c r="L1744" s="439">
        <v>22280</v>
      </c>
      <c r="M1744" s="65">
        <f>ROUND(K1744*L1744,0)</f>
        <v>445600</v>
      </c>
      <c r="N1744" s="66" t="s">
        <v>9</v>
      </c>
      <c r="O1744" s="66" t="s">
        <v>588</v>
      </c>
      <c r="P1744" s="84" t="str">
        <f>IF(AND('331-CT'!$E$7=TH!H1744,OR(N1744="331",O1744="331")),"x","")</f>
        <v/>
      </c>
      <c r="Q1744" s="84" t="str">
        <f>IF(AND(B1744='111'!$L$11,OR($N1744=$Q$7,$O1744=$Q$7)),"x","")</f>
        <v/>
      </c>
      <c r="R1744" s="84" t="str">
        <f>IF(AND($N1744=$Q$7,$B1744&lt;'111'!$L$11),"x","")</f>
        <v/>
      </c>
      <c r="S1744" s="84" t="str">
        <f>IF(AND($O1744=$Q$7,$B1744&lt;'111'!$L$11),"x","")</f>
        <v/>
      </c>
      <c r="T1744" s="84" t="str">
        <f>IF(ISERROR(FIND('112'!$M$9,G1744,1)),"",IF((AND(FIND('112'!$M$9,G1744,1)&gt;=1,B1744='112'!$K$9,OR($N1744='112'!$I$6,$O1744='112'!$I$6))),"x",""))</f>
        <v/>
      </c>
      <c r="U1744" s="84" t="str">
        <f>IF(ISERROR(FIND('112'!$M$9,G1744,1)),"",IF((AND(LEFT(G1744,2)=LEFT('112'!$M$9,2),B1744&lt;'112'!$K$9,$N1744='112'!$I$6)),"x",""))</f>
        <v/>
      </c>
      <c r="V1744" s="84" t="str">
        <f>IF(ISERROR(FIND('112'!$M$9,G1744,1)),"",IF((AND(RIGHT(G1744,2)=RIGHT('112'!$M$9,2),B1744&lt;'112'!$K$9,$O1744='112'!$I$6)),"x",""))</f>
        <v/>
      </c>
      <c r="W1744" s="84" t="str">
        <f>IF(AND('341-CT'!$H$9=H1744,OR(LEFT(N1744,3)=$W$7,LEFT(O1744,3)=$W$7)),"x","")</f>
        <v/>
      </c>
      <c r="X1744" s="84" t="str">
        <f>IF(OR(TH!N1744=TH!$X$7,O1744=TH!$X$7),"x","")</f>
        <v/>
      </c>
      <c r="Y1744" s="84" t="str">
        <f>IF(AND(OR(N1744="131",O1744="131"),H1744='131-CT'!$H$9),"x","")</f>
        <v/>
      </c>
      <c r="Z1744" s="84"/>
      <c r="AA1744" s="84" t="str">
        <f>IF(AND(MONTH(E1744)='IN-NX'!$J$5,'IN-NX'!$D$7=D1744),"x","")</f>
        <v/>
      </c>
      <c r="AB1744" s="84" t="str">
        <f>IF(AND(OR(LEFT(TH!N1744,2)="15",LEFT(TH!O1744,2)="15"),LEFT(TH!O1744,3)&lt;&gt;"111",'152-CT'!$J$8=TH!F1744),"x","")</f>
        <v/>
      </c>
      <c r="AC1744" s="84" t="str">
        <f>IF(AND(OR(LEFT(TH!N1744,2)="15",LEFT(TH!O1744,2)="15"),TK!$E$7=TH!F1744),"x","")</f>
        <v/>
      </c>
      <c r="AD1744" s="84" t="str">
        <f>IF(AND(N1744="1521",MONTH(C1744)='BK-NL'!$M$11),"x","")</f>
        <v/>
      </c>
      <c r="AE1744" s="330"/>
      <c r="AF1744" s="330"/>
    </row>
    <row r="1745" spans="1:32" s="1132" customFormat="1" ht="15.75" hidden="1" customHeight="1">
      <c r="A1745" s="336" t="str">
        <f>IF(B1745&lt;&gt;"",IF(AND(B1745='IN-TC'!$S$4,OR(TH!N1745="1111",TH!O1745="1111")),TH!D1745,""),"")</f>
        <v/>
      </c>
      <c r="B1745" s="63">
        <f t="shared" si="236"/>
        <v>6</v>
      </c>
      <c r="C1745" s="64">
        <v>42549</v>
      </c>
      <c r="D1745" s="64" t="s">
        <v>582</v>
      </c>
      <c r="E1745" s="64">
        <f t="shared" si="235"/>
        <v>42549</v>
      </c>
      <c r="F1745" s="73" t="s">
        <v>1066</v>
      </c>
      <c r="G1745" s="67" t="s">
        <v>919</v>
      </c>
      <c r="H1745" s="73" t="s">
        <v>1695</v>
      </c>
      <c r="I1745" s="439"/>
      <c r="J1745" s="439"/>
      <c r="K1745" s="430">
        <v>203.08</v>
      </c>
      <c r="L1745" s="439">
        <v>22280</v>
      </c>
      <c r="M1745" s="65">
        <f>ROUND(K1745*L1745,0)</f>
        <v>4524622</v>
      </c>
      <c r="N1745" s="66" t="s">
        <v>99</v>
      </c>
      <c r="O1745" s="66" t="s">
        <v>588</v>
      </c>
      <c r="P1745" s="84" t="str">
        <f>IF(AND('331-CT'!$E$7=TH!H1745,OR(N1745="331",O1745="331")),"x","")</f>
        <v/>
      </c>
      <c r="Q1745" s="84" t="str">
        <f>IF(AND(B1745='111'!$L$11,OR($N1745=$Q$7,$O1745=$Q$7)),"x","")</f>
        <v/>
      </c>
      <c r="R1745" s="84" t="str">
        <f>IF(AND($N1745=$Q$7,$B1745&lt;'111'!$L$11),"x","")</f>
        <v/>
      </c>
      <c r="S1745" s="84" t="str">
        <f>IF(AND($O1745=$Q$7,$B1745&lt;'111'!$L$11),"x","")</f>
        <v/>
      </c>
      <c r="T1745" s="84" t="str">
        <f>IF(ISERROR(FIND('112'!$M$9,G1745,1)),"",IF((AND(FIND('112'!$M$9,G1745,1)&gt;=1,B1745='112'!$K$9,OR($N1745='112'!$I$6,$O1745='112'!$I$6))),"x",""))</f>
        <v/>
      </c>
      <c r="U1745" s="84" t="str">
        <f>IF(ISERROR(FIND('112'!$M$9,G1745,1)),"",IF((AND(LEFT(G1745,2)=LEFT('112'!$M$9,2),B1745&lt;'112'!$K$9,$N1745='112'!$I$6)),"x",""))</f>
        <v/>
      </c>
      <c r="V1745" s="84" t="str">
        <f>IF(ISERROR(FIND('112'!$M$9,G1745,1)),"",IF((AND(RIGHT(G1745,2)=RIGHT('112'!$M$9,2),B1745&lt;'112'!$K$9,$O1745='112'!$I$6)),"x",""))</f>
        <v/>
      </c>
      <c r="W1745" s="84" t="str">
        <f>IF(AND('341-CT'!$H$9=H1745,OR(LEFT(N1745,3)=$W$7,LEFT(O1745,3)=$W$7)),"x","")</f>
        <v/>
      </c>
      <c r="X1745" s="84" t="str">
        <f>IF(OR(TH!N1745=TH!$X$7,O1745=TH!$X$7),"x","")</f>
        <v/>
      </c>
      <c r="Y1745" s="84" t="str">
        <f>IF(AND(OR(N1745="131",O1745="131"),H1745='131-CT'!$H$9),"x","")</f>
        <v/>
      </c>
      <c r="Z1745" s="84"/>
      <c r="AA1745" s="84" t="str">
        <f>IF(AND(MONTH(E1745)='IN-NX'!$J$5,'IN-NX'!$D$7=D1745),"x","")</f>
        <v/>
      </c>
      <c r="AB1745" s="84" t="str">
        <f>IF(AND(OR(LEFT(TH!N1745,2)="15",LEFT(TH!O1745,2)="15"),LEFT(TH!O1745,3)&lt;&gt;"111",'152-CT'!$J$8=TH!F1745),"x","")</f>
        <v/>
      </c>
      <c r="AC1745" s="84" t="str">
        <f>IF(AND(OR(LEFT(TH!N1745,2)="15",LEFT(TH!O1745,2)="15"),TK!$E$7=TH!F1745),"x","")</f>
        <v/>
      </c>
      <c r="AD1745" s="84" t="str">
        <f>IF(AND(N1745="1521",MONTH(C1745)='BK-NL'!$M$11),"x","")</f>
        <v/>
      </c>
      <c r="AE1745" s="330"/>
      <c r="AF1745" s="330"/>
    </row>
    <row r="1746" spans="1:32" ht="15.75" hidden="1" customHeight="1">
      <c r="A1746" s="336" t="str">
        <f>IF(B1746&lt;&gt;"",IF(AND(B1746='IN-TC'!$S$4,OR(TH!N1746="1111",TH!O1746="1111")),TH!D1746,""),"")</f>
        <v/>
      </c>
      <c r="B1746" s="63">
        <f t="shared" si="236"/>
        <v>6</v>
      </c>
      <c r="C1746" s="64">
        <v>42549</v>
      </c>
      <c r="D1746" s="64" t="s">
        <v>705</v>
      </c>
      <c r="E1746" s="64">
        <f t="shared" si="235"/>
        <v>42549</v>
      </c>
      <c r="F1746" s="73" t="s">
        <v>1201</v>
      </c>
      <c r="G1746" s="67" t="s">
        <v>925</v>
      </c>
      <c r="H1746" s="344"/>
      <c r="I1746" s="439"/>
      <c r="J1746" s="439"/>
      <c r="K1746" s="430"/>
      <c r="L1746" s="439"/>
      <c r="M1746" s="65">
        <v>970000000</v>
      </c>
      <c r="N1746" s="66" t="s">
        <v>26</v>
      </c>
      <c r="O1746" s="66" t="s">
        <v>26</v>
      </c>
      <c r="P1746" s="84" t="str">
        <f>IF(AND('331-CT'!$E$7=TH!H1746,OR(N1746="331",O1746="331")),"x","")</f>
        <v/>
      </c>
      <c r="Q1746" s="84" t="str">
        <f>IF(AND(B1746='111'!$L$11,OR($N1746=$Q$7,$O1746=$Q$7)),"x","")</f>
        <v/>
      </c>
      <c r="R1746" s="84" t="str">
        <f>IF(AND($N1746=$Q$7,$B1746&lt;'111'!$L$11),"x","")</f>
        <v/>
      </c>
      <c r="S1746" s="84" t="str">
        <f>IF(AND($O1746=$Q$7,$B1746&lt;'111'!$L$11),"x","")</f>
        <v/>
      </c>
      <c r="T1746" s="84" t="str">
        <f>IF(ISERROR(FIND('112'!$M$9,G1746,1)),"",IF((AND(FIND('112'!$M$9,G1746,1)&gt;=1,B1746='112'!$K$9,OR($N1746='112'!$I$6,$O1746='112'!$I$6))),"x",""))</f>
        <v>x</v>
      </c>
      <c r="U1746" s="84" t="str">
        <f>IF(ISERROR(FIND('112'!$M$9,G1746,1)),"",IF((AND(LEFT(G1746,2)=LEFT('112'!$M$9,2),B1746&lt;'112'!$K$9,$N1746='112'!$I$6)),"x",""))</f>
        <v/>
      </c>
      <c r="V1746" s="84" t="str">
        <f>IF(ISERROR(FIND('112'!$M$9,G1746,1)),"",IF((AND(RIGHT(G1746,2)=RIGHT('112'!$M$9,2),B1746&lt;'112'!$K$9,$O1746='112'!$I$6)),"x",""))</f>
        <v/>
      </c>
      <c r="W1746" s="84" t="str">
        <f>IF(AND('341-CT'!$H$9=H1746,OR(LEFT(N1746,3)=$W$7,LEFT(O1746,3)=$W$7)),"x","")</f>
        <v/>
      </c>
      <c r="X1746" s="84" t="str">
        <f>IF(OR(TH!N1746=TH!$X$7,O1746=TH!$X$7),"x","")</f>
        <v/>
      </c>
      <c r="Y1746" s="84" t="str">
        <f>IF(AND(OR(N1746="131",O1746="131"),H1746='131-CT'!$H$9),"x","")</f>
        <v/>
      </c>
      <c r="Z1746" s="84"/>
      <c r="AA1746" s="84" t="str">
        <f>IF(AND(MONTH(E1746)='IN-NX'!$J$5,'IN-NX'!$D$7=D1746),"x","")</f>
        <v/>
      </c>
      <c r="AB1746" s="84" t="str">
        <f>IF(AND(OR(LEFT(TH!N1746,2)="15",LEFT(TH!O1746,2)="15"),LEFT(TH!O1746,3)&lt;&gt;"111",'152-CT'!$J$8=TH!F1746),"x","")</f>
        <v/>
      </c>
      <c r="AC1746" s="84" t="str">
        <f>IF(AND(OR(LEFT(TH!N1746,2)="15",LEFT(TH!O1746,2)="15"),TK!$E$7=TH!F1746),"x","")</f>
        <v/>
      </c>
      <c r="AD1746" s="84" t="str">
        <f>IF(AND(N1746="1521",MONTH(C1746)='BK-NL'!$M$11),"x","")</f>
        <v/>
      </c>
    </row>
    <row r="1747" spans="1:32" ht="15.75" hidden="1" customHeight="1">
      <c r="A1747" s="336" t="str">
        <f>IF(B1747&lt;&gt;"",IF(AND(B1747='IN-TC'!$S$4,OR(TH!N1747="1111",TH!O1747="1111")),TH!D1747,""),"")</f>
        <v/>
      </c>
      <c r="B1747" s="63">
        <f t="shared" si="236"/>
        <v>6</v>
      </c>
      <c r="C1747" s="64">
        <v>42549</v>
      </c>
      <c r="D1747" s="64" t="s">
        <v>702</v>
      </c>
      <c r="E1747" s="64">
        <f t="shared" si="235"/>
        <v>42549</v>
      </c>
      <c r="F1747" s="73" t="s">
        <v>1187</v>
      </c>
      <c r="G1747" s="67" t="s">
        <v>918</v>
      </c>
      <c r="H1747" s="73"/>
      <c r="I1747" s="439"/>
      <c r="J1747" s="439"/>
      <c r="K1747" s="430">
        <v>43000</v>
      </c>
      <c r="L1747" s="439">
        <v>22340</v>
      </c>
      <c r="M1747" s="65">
        <f>ROUND(K1747*L1747,0)</f>
        <v>960620000</v>
      </c>
      <c r="N1747" s="66" t="s">
        <v>266</v>
      </c>
      <c r="O1747" s="66" t="s">
        <v>26</v>
      </c>
      <c r="P1747" s="84" t="str">
        <f>IF(AND('331-CT'!$E$7=TH!H1747,OR(N1747="331",O1747="331")),"x","")</f>
        <v/>
      </c>
      <c r="Q1747" s="84" t="str">
        <f>IF(AND(B1747='111'!$L$11,OR($N1747=$Q$7,$O1747=$Q$7)),"x","")</f>
        <v/>
      </c>
      <c r="R1747" s="84" t="str">
        <f>IF(AND($N1747=$Q$7,$B1747&lt;'111'!$L$11),"x","")</f>
        <v/>
      </c>
      <c r="S1747" s="84" t="str">
        <f>IF(AND($O1747=$Q$7,$B1747&lt;'111'!$L$11),"x","")</f>
        <v/>
      </c>
      <c r="T1747" s="84" t="str">
        <f>IF(ISERROR(FIND('112'!$M$9,G1747,1)),"",IF((AND(FIND('112'!$M$9,G1747,1)&gt;=1,B1747='112'!$K$9,OR($N1747='112'!$I$6,$O1747='112'!$I$6))),"x",""))</f>
        <v/>
      </c>
      <c r="U1747" s="84" t="str">
        <f>IF(ISERROR(FIND('112'!$M$9,G1747,1)),"",IF((AND(LEFT(G1747,2)=LEFT('112'!$M$9,2),B1747&lt;'112'!$K$9,$N1747='112'!$I$6)),"x",""))</f>
        <v/>
      </c>
      <c r="V1747" s="84" t="str">
        <f>IF(ISERROR(FIND('112'!$M$9,G1747,1)),"",IF((AND(RIGHT(G1747,2)=RIGHT('112'!$M$9,2),B1747&lt;'112'!$K$9,$O1747='112'!$I$6)),"x",""))</f>
        <v/>
      </c>
      <c r="W1747" s="84" t="str">
        <f>IF(AND('341-CT'!$H$9=H1747,OR(LEFT(N1747,3)=$W$7,LEFT(O1747,3)=$W$7)),"x","")</f>
        <v/>
      </c>
      <c r="X1747" s="84" t="str">
        <f>IF(OR(TH!N1747=TH!$X$7,O1747=TH!$X$7),"x","")</f>
        <v/>
      </c>
      <c r="Y1747" s="84" t="str">
        <f>IF(AND(OR(N1747="131",O1747="131"),H1747='131-CT'!$H$9),"x","")</f>
        <v/>
      </c>
      <c r="Z1747" s="84"/>
      <c r="AA1747" s="84" t="str">
        <f>IF(AND(MONTH(E1747)='IN-NX'!$J$5,'IN-NX'!$D$7=D1747),"x","")</f>
        <v/>
      </c>
      <c r="AB1747" s="84" t="str">
        <f>IF(AND(OR(LEFT(TH!N1747,2)="15",LEFT(TH!O1747,2)="15"),LEFT(TH!O1747,3)&lt;&gt;"111",'152-CT'!$J$8=TH!F1747),"x","")</f>
        <v/>
      </c>
      <c r="AC1747" s="84" t="str">
        <f>IF(AND(OR(LEFT(TH!N1747,2)="15",LEFT(TH!O1747,2)="15"),TK!$E$7=TH!F1747),"x","")</f>
        <v/>
      </c>
      <c r="AD1747" s="84" t="str">
        <f>IF(AND(N1747="1521",MONTH(C1747)='BK-NL'!$M$11),"x","")</f>
        <v/>
      </c>
    </row>
    <row r="1748" spans="1:32" ht="15.75" hidden="1" customHeight="1">
      <c r="A1748" s="336" t="str">
        <f>IF(B1748&lt;&gt;"",IF(AND(B1748='IN-TC'!$S$4,OR(TH!N1748="1111",TH!O1748="1111")),TH!D1748,""),"")</f>
        <v/>
      </c>
      <c r="B1748" s="63">
        <f t="shared" si="236"/>
        <v>6</v>
      </c>
      <c r="C1748" s="64">
        <v>42549</v>
      </c>
      <c r="D1748" s="64" t="s">
        <v>705</v>
      </c>
      <c r="E1748" s="64">
        <f t="shared" si="235"/>
        <v>42549</v>
      </c>
      <c r="F1748" s="514" t="s">
        <v>1063</v>
      </c>
      <c r="G1748" s="67" t="s">
        <v>918</v>
      </c>
      <c r="H1748" s="73" t="s">
        <v>732</v>
      </c>
      <c r="I1748" s="439"/>
      <c r="J1748" s="439"/>
      <c r="K1748" s="430"/>
      <c r="L1748" s="439"/>
      <c r="M1748" s="65">
        <v>2403700</v>
      </c>
      <c r="N1748" s="66" t="s">
        <v>99</v>
      </c>
      <c r="O1748" s="66" t="s">
        <v>26</v>
      </c>
      <c r="P1748" s="84" t="str">
        <f>IF(AND('331-CT'!$E$7=TH!H1748,OR(N1748="331",O1748="331")),"x","")</f>
        <v/>
      </c>
      <c r="Q1748" s="84" t="str">
        <f>IF(AND(B1748='111'!$L$11,OR($N1748=$Q$7,$O1748=$Q$7)),"x","")</f>
        <v/>
      </c>
      <c r="R1748" s="84" t="str">
        <f>IF(AND($N1748=$Q$7,$B1748&lt;'111'!$L$11),"x","")</f>
        <v/>
      </c>
      <c r="S1748" s="84" t="str">
        <f>IF(AND($O1748=$Q$7,$B1748&lt;'111'!$L$11),"x","")</f>
        <v/>
      </c>
      <c r="T1748" s="84" t="str">
        <f>IF(ISERROR(FIND('112'!$M$9,G1748,1)),"",IF((AND(FIND('112'!$M$9,G1748,1)&gt;=1,B1748='112'!$K$9,OR($N1748='112'!$I$6,$O1748='112'!$I$6))),"x",""))</f>
        <v/>
      </c>
      <c r="U1748" s="84" t="str">
        <f>IF(ISERROR(FIND('112'!$M$9,G1748,1)),"",IF((AND(LEFT(G1748,2)=LEFT('112'!$M$9,2),B1748&lt;'112'!$K$9,$N1748='112'!$I$6)),"x",""))</f>
        <v/>
      </c>
      <c r="V1748" s="84" t="str">
        <f>IF(ISERROR(FIND('112'!$M$9,G1748,1)),"",IF((AND(RIGHT(G1748,2)=RIGHT('112'!$M$9,2),B1748&lt;'112'!$K$9,$O1748='112'!$I$6)),"x",""))</f>
        <v/>
      </c>
      <c r="W1748" s="84" t="str">
        <f>IF(AND('341-CT'!$H$9=H1748,OR(LEFT(N1748,3)=$W$7,LEFT(O1748,3)=$W$7)),"x","")</f>
        <v/>
      </c>
      <c r="X1748" s="84" t="str">
        <f>IF(OR(TH!N1748=TH!$X$7,O1748=TH!$X$7),"x","")</f>
        <v/>
      </c>
      <c r="Y1748" s="84" t="str">
        <f>IF(AND(OR(N1748="131",O1748="131"),H1748='131-CT'!$H$9),"x","")</f>
        <v/>
      </c>
      <c r="Z1748" s="84"/>
      <c r="AA1748" s="84" t="str">
        <f>IF(AND(MONTH(E1748)='IN-NX'!$J$5,'IN-NX'!$D$7=D1748),"x","")</f>
        <v/>
      </c>
      <c r="AB1748" s="84" t="str">
        <f>IF(AND(OR(LEFT(TH!N1748,2)="15",LEFT(TH!O1748,2)="15"),LEFT(TH!O1748,3)&lt;&gt;"111",'152-CT'!$J$8=TH!F1748),"x","")</f>
        <v/>
      </c>
      <c r="AC1748" s="84" t="str">
        <f>IF(AND(OR(LEFT(TH!N1748,2)="15",LEFT(TH!O1748,2)="15"),TK!$E$7=TH!F1748),"x","")</f>
        <v/>
      </c>
      <c r="AD1748" s="84" t="str">
        <f>IF(AND(N1748="1521",MONTH(C1748)='BK-NL'!$M$11),"x","")</f>
        <v/>
      </c>
    </row>
    <row r="1749" spans="1:32" ht="15.75" hidden="1" customHeight="1">
      <c r="A1749" s="336" t="str">
        <f>IF(B1749&lt;&gt;"",IF(AND(B1749='IN-TC'!$S$4,OR(TH!N1749="1111",TH!O1749="1111")),TH!D1749,""),"")</f>
        <v/>
      </c>
      <c r="B1749" s="63">
        <f t="shared" si="236"/>
        <v>6</v>
      </c>
      <c r="C1749" s="64">
        <v>42549</v>
      </c>
      <c r="D1749" s="64" t="s">
        <v>705</v>
      </c>
      <c r="E1749" s="64">
        <f t="shared" si="235"/>
        <v>42549</v>
      </c>
      <c r="F1749" s="73" t="s">
        <v>1678</v>
      </c>
      <c r="G1749" s="67" t="s">
        <v>918</v>
      </c>
      <c r="H1749" s="344" t="s">
        <v>629</v>
      </c>
      <c r="I1749" s="439"/>
      <c r="J1749" s="439"/>
      <c r="K1749" s="430"/>
      <c r="L1749" s="439"/>
      <c r="M1749" s="65">
        <v>600000</v>
      </c>
      <c r="N1749" s="66" t="s">
        <v>8</v>
      </c>
      <c r="O1749" s="66" t="s">
        <v>26</v>
      </c>
      <c r="P1749" s="84" t="str">
        <f>IF(AND('331-CT'!$E$7=TH!H1749,OR(N1749="331",O1749="331")),"x","")</f>
        <v/>
      </c>
      <c r="Q1749" s="84" t="str">
        <f>IF(AND(B1749='111'!$L$11,OR($N1749=$Q$7,$O1749=$Q$7)),"x","")</f>
        <v/>
      </c>
      <c r="R1749" s="84" t="str">
        <f>IF(AND($N1749=$Q$7,$B1749&lt;'111'!$L$11),"x","")</f>
        <v/>
      </c>
      <c r="S1749" s="84" t="str">
        <f>IF(AND($O1749=$Q$7,$B1749&lt;'111'!$L$11),"x","")</f>
        <v/>
      </c>
      <c r="T1749" s="84" t="str">
        <f>IF(ISERROR(FIND('112'!$M$9,G1749,1)),"",IF((AND(FIND('112'!$M$9,G1749,1)&gt;=1,B1749='112'!$K$9,OR($N1749='112'!$I$6,$O1749='112'!$I$6))),"x",""))</f>
        <v/>
      </c>
      <c r="U1749" s="84" t="str">
        <f>IF(ISERROR(FIND('112'!$M$9,G1749,1)),"",IF((AND(LEFT(G1749,2)=LEFT('112'!$M$9,2),B1749&lt;'112'!$K$9,$N1749='112'!$I$6)),"x",""))</f>
        <v/>
      </c>
      <c r="V1749" s="84" t="str">
        <f>IF(ISERROR(FIND('112'!$M$9,G1749,1)),"",IF((AND(RIGHT(G1749,2)=RIGHT('112'!$M$9,2),B1749&lt;'112'!$K$9,$O1749='112'!$I$6)),"x",""))</f>
        <v/>
      </c>
      <c r="W1749" s="84" t="str">
        <f>IF(AND('341-CT'!$H$9=H1749,OR(LEFT(N1749,3)=$W$7,LEFT(O1749,3)=$W$7)),"x","")</f>
        <v/>
      </c>
      <c r="X1749" s="84" t="str">
        <f>IF(OR(TH!N1749=TH!$X$7,O1749=TH!$X$7),"x","")</f>
        <v/>
      </c>
      <c r="Y1749" s="84" t="str">
        <f>IF(AND(OR(N1749="131",O1749="131"),H1749='131-CT'!$H$9),"x","")</f>
        <v/>
      </c>
      <c r="Z1749" s="84"/>
      <c r="AA1749" s="84" t="str">
        <f>IF(AND(MONTH(E1749)='IN-NX'!$J$5,'IN-NX'!$D$7=D1749),"x","")</f>
        <v/>
      </c>
      <c r="AB1749" s="84" t="str">
        <f>IF(AND(OR(LEFT(TH!N1749,2)="15",LEFT(TH!O1749,2)="15"),LEFT(TH!O1749,3)&lt;&gt;"111",'152-CT'!$J$8=TH!F1749),"x","")</f>
        <v/>
      </c>
      <c r="AC1749" s="84" t="str">
        <f>IF(AND(OR(LEFT(TH!N1749,2)="15",LEFT(TH!O1749,2)="15"),TK!$E$7=TH!F1749),"x","")</f>
        <v/>
      </c>
      <c r="AD1749" s="84" t="str">
        <f>IF(AND(N1749="1521",MONTH(C1749)='BK-NL'!$M$11),"x","")</f>
        <v/>
      </c>
      <c r="AE1749" s="1146" t="str">
        <f>IF(H1749&lt;&gt;VLOOKUP(H1749,DSKH,1,0),"","x")</f>
        <v>x</v>
      </c>
    </row>
    <row r="1750" spans="1:32" ht="15.75" hidden="1" customHeight="1">
      <c r="A1750" s="336" t="str">
        <f>IF(B1750&lt;&gt;"",IF(AND(B1750='IN-TC'!$S$4,OR(TH!N1750="1111",TH!O1750="1111")),TH!D1750,""),"")</f>
        <v/>
      </c>
      <c r="B1750" s="63">
        <f t="shared" si="236"/>
        <v>6</v>
      </c>
      <c r="C1750" s="64">
        <v>42549</v>
      </c>
      <c r="D1750" s="64" t="s">
        <v>705</v>
      </c>
      <c r="E1750" s="64">
        <f t="shared" si="235"/>
        <v>42549</v>
      </c>
      <c r="F1750" s="73" t="s">
        <v>1176</v>
      </c>
      <c r="G1750" s="67" t="s">
        <v>918</v>
      </c>
      <c r="H1750" s="344"/>
      <c r="I1750" s="439"/>
      <c r="J1750" s="439"/>
      <c r="K1750" s="430"/>
      <c r="L1750" s="439"/>
      <c r="M1750" s="65">
        <v>20000</v>
      </c>
      <c r="N1750" s="66" t="s">
        <v>101</v>
      </c>
      <c r="O1750" s="66" t="s">
        <v>26</v>
      </c>
      <c r="P1750" s="84" t="str">
        <f>IF(AND('331-CT'!$E$7=TH!H1750,OR(N1750="331",O1750="331")),"x","")</f>
        <v/>
      </c>
      <c r="Q1750" s="84" t="str">
        <f>IF(AND(B1750='111'!$L$11,OR($N1750=$Q$7,$O1750=$Q$7)),"x","")</f>
        <v/>
      </c>
      <c r="R1750" s="84" t="str">
        <f>IF(AND($N1750=$Q$7,$B1750&lt;'111'!$L$11),"x","")</f>
        <v/>
      </c>
      <c r="S1750" s="84" t="str">
        <f>IF(AND($O1750=$Q$7,$B1750&lt;'111'!$L$11),"x","")</f>
        <v/>
      </c>
      <c r="T1750" s="84" t="str">
        <f>IF(ISERROR(FIND('112'!$M$9,G1750,1)),"",IF((AND(FIND('112'!$M$9,G1750,1)&gt;=1,B1750='112'!$K$9,OR($N1750='112'!$I$6,$O1750='112'!$I$6))),"x",""))</f>
        <v/>
      </c>
      <c r="U1750" s="84" t="str">
        <f>IF(ISERROR(FIND('112'!$M$9,G1750,1)),"",IF((AND(LEFT(G1750,2)=LEFT('112'!$M$9,2),B1750&lt;'112'!$K$9,$N1750='112'!$I$6)),"x",""))</f>
        <v/>
      </c>
      <c r="V1750" s="84" t="str">
        <f>IF(ISERROR(FIND('112'!$M$9,G1750,1)),"",IF((AND(RIGHT(G1750,2)=RIGHT('112'!$M$9,2),B1750&lt;'112'!$K$9,$O1750='112'!$I$6)),"x",""))</f>
        <v/>
      </c>
      <c r="W1750" s="84" t="str">
        <f>IF(AND('341-CT'!$H$9=H1750,OR(LEFT(N1750,3)=$W$7,LEFT(O1750,3)=$W$7)),"x","")</f>
        <v/>
      </c>
      <c r="X1750" s="84" t="str">
        <f>IF(OR(TH!N1750=TH!$X$7,O1750=TH!$X$7),"x","")</f>
        <v/>
      </c>
      <c r="Y1750" s="84" t="str">
        <f>IF(AND(OR(N1750="131",O1750="131"),H1750='131-CT'!$H$9),"x","")</f>
        <v/>
      </c>
      <c r="Z1750" s="84"/>
      <c r="AA1750" s="84" t="str">
        <f>IF(AND(MONTH(E1750)='IN-NX'!$J$5,'IN-NX'!$D$7=D1750),"x","")</f>
        <v/>
      </c>
      <c r="AB1750" s="84" t="str">
        <f>IF(AND(OR(LEFT(TH!N1750,2)="15",LEFT(TH!O1750,2)="15"),LEFT(TH!O1750,3)&lt;&gt;"111",'152-CT'!$J$8=TH!F1750),"x","")</f>
        <v/>
      </c>
      <c r="AC1750" s="84" t="str">
        <f>IF(AND(OR(LEFT(TH!N1750,2)="15",LEFT(TH!O1750,2)="15"),TK!$E$7=TH!F1750),"x","")</f>
        <v/>
      </c>
      <c r="AD1750" s="84" t="str">
        <f>IF(AND(N1750="1521",MONTH(C1750)='BK-NL'!$M$11),"x","")</f>
        <v/>
      </c>
      <c r="AF1750" s="330">
        <v>1</v>
      </c>
    </row>
    <row r="1751" spans="1:32" ht="15.75" hidden="1" customHeight="1">
      <c r="A1751" s="336" t="str">
        <f>IF(B1751&lt;&gt;"",IF(AND(B1751='IN-TC'!$S$4,OR(TH!N1751="1111",TH!O1751="1111")),TH!D1751,""),"")</f>
        <v/>
      </c>
      <c r="B1751" s="63">
        <f t="shared" si="236"/>
        <v>6</v>
      </c>
      <c r="C1751" s="64">
        <v>42549</v>
      </c>
      <c r="D1751" s="64" t="s">
        <v>705</v>
      </c>
      <c r="E1751" s="64">
        <f t="shared" si="235"/>
        <v>42549</v>
      </c>
      <c r="F1751" s="73" t="s">
        <v>1638</v>
      </c>
      <c r="G1751" s="67" t="s">
        <v>918</v>
      </c>
      <c r="H1751" s="344"/>
      <c r="I1751" s="439"/>
      <c r="J1751" s="439"/>
      <c r="K1751" s="430"/>
      <c r="L1751" s="439"/>
      <c r="M1751" s="65">
        <v>2000</v>
      </c>
      <c r="N1751" s="66" t="s">
        <v>9</v>
      </c>
      <c r="O1751" s="66" t="s">
        <v>26</v>
      </c>
      <c r="P1751" s="84" t="str">
        <f>IF(AND('331-CT'!$E$7=TH!H1751,OR(N1751="331",O1751="331")),"x","")</f>
        <v/>
      </c>
      <c r="Q1751" s="84" t="str">
        <f>IF(AND(B1751='111'!$L$11,OR($N1751=$Q$7,$O1751=$Q$7)),"x","")</f>
        <v/>
      </c>
      <c r="R1751" s="84" t="str">
        <f>IF(AND($N1751=$Q$7,$B1751&lt;'111'!$L$11),"x","")</f>
        <v/>
      </c>
      <c r="S1751" s="84" t="str">
        <f>IF(AND($O1751=$Q$7,$B1751&lt;'111'!$L$11),"x","")</f>
        <v/>
      </c>
      <c r="T1751" s="84" t="str">
        <f>IF(ISERROR(FIND('112'!$M$9,G1751,1)),"",IF((AND(FIND('112'!$M$9,G1751,1)&gt;=1,B1751='112'!$K$9,OR($N1751='112'!$I$6,$O1751='112'!$I$6))),"x",""))</f>
        <v/>
      </c>
      <c r="U1751" s="84" t="str">
        <f>IF(ISERROR(FIND('112'!$M$9,G1751,1)),"",IF((AND(LEFT(G1751,2)=LEFT('112'!$M$9,2),B1751&lt;'112'!$K$9,$N1751='112'!$I$6)),"x",""))</f>
        <v/>
      </c>
      <c r="V1751" s="84" t="str">
        <f>IF(ISERROR(FIND('112'!$M$9,G1751,1)),"",IF((AND(RIGHT(G1751,2)=RIGHT('112'!$M$9,2),B1751&lt;'112'!$K$9,$O1751='112'!$I$6)),"x",""))</f>
        <v/>
      </c>
      <c r="W1751" s="84" t="str">
        <f>IF(AND('341-CT'!$H$9=H1751,OR(LEFT(N1751,3)=$W$7,LEFT(O1751,3)=$W$7)),"x","")</f>
        <v/>
      </c>
      <c r="X1751" s="84" t="str">
        <f>IF(OR(TH!N1751=TH!$X$7,O1751=TH!$X$7),"x","")</f>
        <v/>
      </c>
      <c r="Y1751" s="84" t="str">
        <f>IF(AND(OR(N1751="131",O1751="131"),H1751='131-CT'!$H$9),"x","")</f>
        <v/>
      </c>
      <c r="Z1751" s="84"/>
      <c r="AA1751" s="84" t="str">
        <f>IF(AND(MONTH(E1751)='IN-NX'!$J$5,'IN-NX'!$D$7=D1751),"x","")</f>
        <v/>
      </c>
      <c r="AB1751" s="84" t="str">
        <f>IF(AND(OR(LEFT(TH!N1751,2)="15",LEFT(TH!O1751,2)="15"),LEFT(TH!O1751,3)&lt;&gt;"111",'152-CT'!$J$8=TH!F1751),"x","")</f>
        <v/>
      </c>
      <c r="AC1751" s="84" t="str">
        <f>IF(AND(OR(LEFT(TH!N1751,2)="15",LEFT(TH!O1751,2)="15"),TK!$E$7=TH!F1751),"x","")</f>
        <v/>
      </c>
      <c r="AD1751" s="84" t="str">
        <f>IF(AND(N1751="1521",MONTH(C1751)='BK-NL'!$M$11),"x","")</f>
        <v/>
      </c>
    </row>
    <row r="1752" spans="1:32" ht="15.75" hidden="1" customHeight="1">
      <c r="A1752" s="336" t="str">
        <f>IF(B1752&lt;&gt;"",IF(AND(B1752='IN-TC'!$S$4,OR(TH!N1752="1111",TH!O1752="1111")),TH!D1752,""),"")</f>
        <v/>
      </c>
      <c r="B1752" s="63">
        <f t="shared" si="236"/>
        <v>6</v>
      </c>
      <c r="C1752" s="64">
        <v>42549</v>
      </c>
      <c r="D1752" s="64" t="s">
        <v>705</v>
      </c>
      <c r="E1752" s="64">
        <f t="shared" si="235"/>
        <v>42549</v>
      </c>
      <c r="F1752" s="73" t="s">
        <v>1678</v>
      </c>
      <c r="G1752" s="67" t="s">
        <v>918</v>
      </c>
      <c r="H1752" s="344" t="s">
        <v>629</v>
      </c>
      <c r="I1752" s="439"/>
      <c r="J1752" s="439"/>
      <c r="K1752" s="430"/>
      <c r="L1752" s="439"/>
      <c r="M1752" s="65">
        <v>9785000</v>
      </c>
      <c r="N1752" s="66" t="s">
        <v>8</v>
      </c>
      <c r="O1752" s="66" t="s">
        <v>26</v>
      </c>
      <c r="P1752" s="84" t="str">
        <f>IF(AND('331-CT'!$E$7=TH!H1752,OR(N1752="331",O1752="331")),"x","")</f>
        <v/>
      </c>
      <c r="Q1752" s="84" t="str">
        <f>IF(AND(B1752='111'!$L$11,OR($N1752=$Q$7,$O1752=$Q$7)),"x","")</f>
        <v/>
      </c>
      <c r="R1752" s="84" t="str">
        <f>IF(AND($N1752=$Q$7,$B1752&lt;'111'!$L$11),"x","")</f>
        <v/>
      </c>
      <c r="S1752" s="84" t="str">
        <f>IF(AND($O1752=$Q$7,$B1752&lt;'111'!$L$11),"x","")</f>
        <v/>
      </c>
      <c r="T1752" s="84" t="str">
        <f>IF(ISERROR(FIND('112'!$M$9,G1752,1)),"",IF((AND(FIND('112'!$M$9,G1752,1)&gt;=1,B1752='112'!$K$9,OR($N1752='112'!$I$6,$O1752='112'!$I$6))),"x",""))</f>
        <v/>
      </c>
      <c r="U1752" s="84" t="str">
        <f>IF(ISERROR(FIND('112'!$M$9,G1752,1)),"",IF((AND(LEFT(G1752,2)=LEFT('112'!$M$9,2),B1752&lt;'112'!$K$9,$N1752='112'!$I$6)),"x",""))</f>
        <v/>
      </c>
      <c r="V1752" s="84" t="str">
        <f>IF(ISERROR(FIND('112'!$M$9,G1752,1)),"",IF((AND(RIGHT(G1752,2)=RIGHT('112'!$M$9,2),B1752&lt;'112'!$K$9,$O1752='112'!$I$6)),"x",""))</f>
        <v/>
      </c>
      <c r="W1752" s="84" t="str">
        <f>IF(AND('341-CT'!$H$9=H1752,OR(LEFT(N1752,3)=$W$7,LEFT(O1752,3)=$W$7)),"x","")</f>
        <v/>
      </c>
      <c r="X1752" s="84" t="str">
        <f>IF(OR(TH!N1752=TH!$X$7,O1752=TH!$X$7),"x","")</f>
        <v/>
      </c>
      <c r="Y1752" s="84" t="str">
        <f>IF(AND(OR(N1752="131",O1752="131"),H1752='131-CT'!$H$9),"x","")</f>
        <v/>
      </c>
      <c r="Z1752" s="84"/>
      <c r="AA1752" s="84" t="str">
        <f>IF(AND(MONTH(E1752)='IN-NX'!$J$5,'IN-NX'!$D$7=D1752),"x","")</f>
        <v/>
      </c>
      <c r="AB1752" s="84" t="str">
        <f>IF(AND(OR(LEFT(TH!N1752,2)="15",LEFT(TH!O1752,2)="15"),LEFT(TH!O1752,3)&lt;&gt;"111",'152-CT'!$J$8=TH!F1752),"x","")</f>
        <v/>
      </c>
      <c r="AC1752" s="84" t="str">
        <f>IF(AND(OR(LEFT(TH!N1752,2)="15",LEFT(TH!O1752,2)="15"),TK!$E$7=TH!F1752),"x","")</f>
        <v/>
      </c>
      <c r="AD1752" s="84" t="str">
        <f>IF(AND(N1752="1521",MONTH(C1752)='BK-NL'!$M$11),"x","")</f>
        <v/>
      </c>
      <c r="AE1752" s="1146" t="str">
        <f>IF(H1752&lt;&gt;VLOOKUP(H1752,DSKH,1,0),"","x")</f>
        <v>x</v>
      </c>
    </row>
    <row r="1753" spans="1:32" ht="15.75" hidden="1" customHeight="1">
      <c r="A1753" s="336" t="str">
        <f>IF(B1753&lt;&gt;"",IF(AND(B1753='IN-TC'!$S$4,OR(TH!N1753="1111",TH!O1753="1111")),TH!D1753,""),"")</f>
        <v/>
      </c>
      <c r="B1753" s="63">
        <f t="shared" si="236"/>
        <v>6</v>
      </c>
      <c r="C1753" s="64">
        <v>42549</v>
      </c>
      <c r="D1753" s="64" t="s">
        <v>705</v>
      </c>
      <c r="E1753" s="64">
        <f t="shared" si="235"/>
        <v>42549</v>
      </c>
      <c r="F1753" s="73" t="s">
        <v>1176</v>
      </c>
      <c r="G1753" s="67" t="s">
        <v>918</v>
      </c>
      <c r="H1753" s="344"/>
      <c r="I1753" s="439"/>
      <c r="J1753" s="439"/>
      <c r="K1753" s="430"/>
      <c r="L1753" s="439"/>
      <c r="M1753" s="65">
        <v>20000</v>
      </c>
      <c r="N1753" s="66" t="s">
        <v>101</v>
      </c>
      <c r="O1753" s="66" t="s">
        <v>26</v>
      </c>
      <c r="P1753" s="84" t="str">
        <f>IF(AND('331-CT'!$E$7=TH!H1753,OR(N1753="331",O1753="331")),"x","")</f>
        <v/>
      </c>
      <c r="Q1753" s="84" t="str">
        <f>IF(AND(B1753='111'!$L$11,OR($N1753=$Q$7,$O1753=$Q$7)),"x","")</f>
        <v/>
      </c>
      <c r="R1753" s="84" t="str">
        <f>IF(AND($N1753=$Q$7,$B1753&lt;'111'!$L$11),"x","")</f>
        <v/>
      </c>
      <c r="S1753" s="84" t="str">
        <f>IF(AND($O1753=$Q$7,$B1753&lt;'111'!$L$11),"x","")</f>
        <v/>
      </c>
      <c r="T1753" s="84" t="str">
        <f>IF(ISERROR(FIND('112'!$M$9,G1753,1)),"",IF((AND(FIND('112'!$M$9,G1753,1)&gt;=1,B1753='112'!$K$9,OR($N1753='112'!$I$6,$O1753='112'!$I$6))),"x",""))</f>
        <v/>
      </c>
      <c r="U1753" s="84" t="str">
        <f>IF(ISERROR(FIND('112'!$M$9,G1753,1)),"",IF((AND(LEFT(G1753,2)=LEFT('112'!$M$9,2),B1753&lt;'112'!$K$9,$N1753='112'!$I$6)),"x",""))</f>
        <v/>
      </c>
      <c r="V1753" s="84" t="str">
        <f>IF(ISERROR(FIND('112'!$M$9,G1753,1)),"",IF((AND(RIGHT(G1753,2)=RIGHT('112'!$M$9,2),B1753&lt;'112'!$K$9,$O1753='112'!$I$6)),"x",""))</f>
        <v/>
      </c>
      <c r="W1753" s="84" t="str">
        <f>IF(AND('341-CT'!$H$9=H1753,OR(LEFT(N1753,3)=$W$7,LEFT(O1753,3)=$W$7)),"x","")</f>
        <v/>
      </c>
      <c r="X1753" s="84" t="str">
        <f>IF(OR(TH!N1753=TH!$X$7,O1753=TH!$X$7),"x","")</f>
        <v/>
      </c>
      <c r="Y1753" s="84" t="str">
        <f>IF(AND(OR(N1753="131",O1753="131"),H1753='131-CT'!$H$9),"x","")</f>
        <v/>
      </c>
      <c r="Z1753" s="84"/>
      <c r="AA1753" s="84" t="str">
        <f>IF(AND(MONTH(E1753)='IN-NX'!$J$5,'IN-NX'!$D$7=D1753),"x","")</f>
        <v/>
      </c>
      <c r="AB1753" s="84" t="str">
        <f>IF(AND(OR(LEFT(TH!N1753,2)="15",LEFT(TH!O1753,2)="15"),LEFT(TH!O1753,3)&lt;&gt;"111",'152-CT'!$J$8=TH!F1753),"x","")</f>
        <v/>
      </c>
      <c r="AC1753" s="84" t="str">
        <f>IF(AND(OR(LEFT(TH!N1753,2)="15",LEFT(TH!O1753,2)="15"),TK!$E$7=TH!F1753),"x","")</f>
        <v/>
      </c>
      <c r="AD1753" s="84" t="str">
        <f>IF(AND(N1753="1521",MONTH(C1753)='BK-NL'!$M$11),"x","")</f>
        <v/>
      </c>
      <c r="AF1753" s="330">
        <v>1</v>
      </c>
    </row>
    <row r="1754" spans="1:32" ht="15.75" hidden="1" customHeight="1">
      <c r="A1754" s="336" t="str">
        <f>IF(B1754&lt;&gt;"",IF(AND(B1754='IN-TC'!$S$4,OR(TH!N1754="1111",TH!O1754="1111")),TH!D1754,""),"")</f>
        <v/>
      </c>
      <c r="B1754" s="63">
        <f t="shared" si="236"/>
        <v>6</v>
      </c>
      <c r="C1754" s="64">
        <v>42549</v>
      </c>
      <c r="D1754" s="64" t="s">
        <v>705</v>
      </c>
      <c r="E1754" s="64">
        <f t="shared" si="235"/>
        <v>42549</v>
      </c>
      <c r="F1754" s="73" t="s">
        <v>1638</v>
      </c>
      <c r="G1754" s="67" t="s">
        <v>918</v>
      </c>
      <c r="H1754" s="344"/>
      <c r="I1754" s="439"/>
      <c r="J1754" s="439"/>
      <c r="K1754" s="430"/>
      <c r="L1754" s="439"/>
      <c r="M1754" s="65">
        <v>2000</v>
      </c>
      <c r="N1754" s="66" t="s">
        <v>9</v>
      </c>
      <c r="O1754" s="66" t="s">
        <v>26</v>
      </c>
      <c r="P1754" s="84" t="str">
        <f>IF(AND('331-CT'!$E$7=TH!H1754,OR(N1754="331",O1754="331")),"x","")</f>
        <v/>
      </c>
      <c r="Q1754" s="84" t="str">
        <f>IF(AND(B1754='111'!$L$11,OR($N1754=$Q$7,$O1754=$Q$7)),"x","")</f>
        <v/>
      </c>
      <c r="R1754" s="84" t="str">
        <f>IF(AND($N1754=$Q$7,$B1754&lt;'111'!$L$11),"x","")</f>
        <v/>
      </c>
      <c r="S1754" s="84" t="str">
        <f>IF(AND($O1754=$Q$7,$B1754&lt;'111'!$L$11),"x","")</f>
        <v/>
      </c>
      <c r="T1754" s="84" t="str">
        <f>IF(ISERROR(FIND('112'!$M$9,G1754,1)),"",IF((AND(FIND('112'!$M$9,G1754,1)&gt;=1,B1754='112'!$K$9,OR($N1754='112'!$I$6,$O1754='112'!$I$6))),"x",""))</f>
        <v/>
      </c>
      <c r="U1754" s="84" t="str">
        <f>IF(ISERROR(FIND('112'!$M$9,G1754,1)),"",IF((AND(LEFT(G1754,2)=LEFT('112'!$M$9,2),B1754&lt;'112'!$K$9,$N1754='112'!$I$6)),"x",""))</f>
        <v/>
      </c>
      <c r="V1754" s="84" t="str">
        <f>IF(ISERROR(FIND('112'!$M$9,G1754,1)),"",IF((AND(RIGHT(G1754,2)=RIGHT('112'!$M$9,2),B1754&lt;'112'!$K$9,$O1754='112'!$I$6)),"x",""))</f>
        <v/>
      </c>
      <c r="W1754" s="84" t="str">
        <f>IF(AND('341-CT'!$H$9=H1754,OR(LEFT(N1754,3)=$W$7,LEFT(O1754,3)=$W$7)),"x","")</f>
        <v/>
      </c>
      <c r="X1754" s="84" t="str">
        <f>IF(OR(TH!N1754=TH!$X$7,O1754=TH!$X$7),"x","")</f>
        <v/>
      </c>
      <c r="Y1754" s="84" t="str">
        <f>IF(AND(OR(N1754="131",O1754="131"),H1754='131-CT'!$H$9),"x","")</f>
        <v/>
      </c>
      <c r="Z1754" s="84"/>
      <c r="AA1754" s="84" t="str">
        <f>IF(AND(MONTH(E1754)='IN-NX'!$J$5,'IN-NX'!$D$7=D1754),"x","")</f>
        <v/>
      </c>
      <c r="AB1754" s="84" t="str">
        <f>IF(AND(OR(LEFT(TH!N1754,2)="15",LEFT(TH!O1754,2)="15"),LEFT(TH!O1754,3)&lt;&gt;"111",'152-CT'!$J$8=TH!F1754),"x","")</f>
        <v/>
      </c>
      <c r="AC1754" s="84" t="str">
        <f>IF(AND(OR(LEFT(TH!N1754,2)="15",LEFT(TH!O1754,2)="15"),TK!$E$7=TH!F1754),"x","")</f>
        <v/>
      </c>
      <c r="AD1754" s="84" t="str">
        <f>IF(AND(N1754="1521",MONTH(C1754)='BK-NL'!$M$11),"x","")</f>
        <v/>
      </c>
    </row>
    <row r="1755" spans="1:32" ht="15.75" hidden="1" customHeight="1">
      <c r="A1755" s="336" t="str">
        <f>IF(B1755&lt;&gt;"",IF(AND(B1755='IN-TC'!$S$4,OR(TH!N1755="1111",TH!O1755="1111")),TH!D1755,""),"")</f>
        <v/>
      </c>
      <c r="B1755" s="63">
        <f t="shared" si="236"/>
        <v>6</v>
      </c>
      <c r="C1755" s="64">
        <v>42549</v>
      </c>
      <c r="D1755" s="64" t="s">
        <v>705</v>
      </c>
      <c r="E1755" s="64">
        <f t="shared" si="235"/>
        <v>42549</v>
      </c>
      <c r="F1755" s="73" t="s">
        <v>1190</v>
      </c>
      <c r="G1755" s="67" t="s">
        <v>918</v>
      </c>
      <c r="H1755" s="73" t="s">
        <v>732</v>
      </c>
      <c r="I1755" s="439"/>
      <c r="J1755" s="439"/>
      <c r="K1755" s="430">
        <v>43000</v>
      </c>
      <c r="L1755" s="439">
        <v>22360</v>
      </c>
      <c r="M1755" s="65">
        <f>ROUND(K1755*L1755,0)</f>
        <v>961480000</v>
      </c>
      <c r="N1755" s="66" t="s">
        <v>260</v>
      </c>
      <c r="O1755" s="66" t="s">
        <v>266</v>
      </c>
      <c r="P1755" s="84" t="str">
        <f>IF(AND('331-CT'!$E$7=TH!H1755,OR(N1755="331",O1755="331")),"x","")</f>
        <v/>
      </c>
      <c r="Q1755" s="84" t="str">
        <f>IF(AND(B1755='111'!$L$11,OR($N1755=$Q$7,$O1755=$Q$7)),"x","")</f>
        <v/>
      </c>
      <c r="R1755" s="84" t="str">
        <f>IF(AND($N1755=$Q$7,$B1755&lt;'111'!$L$11),"x","")</f>
        <v/>
      </c>
      <c r="S1755" s="84" t="str">
        <f>IF(AND($O1755=$Q$7,$B1755&lt;'111'!$L$11),"x","")</f>
        <v/>
      </c>
      <c r="T1755" s="84" t="str">
        <f>IF(ISERROR(FIND('112'!$M$9,G1755,1)),"",IF((AND(FIND('112'!$M$9,G1755,1)&gt;=1,B1755='112'!$K$9,OR($N1755='112'!$I$6,$O1755='112'!$I$6))),"x",""))</f>
        <v/>
      </c>
      <c r="U1755" s="84" t="str">
        <f>IF(ISERROR(FIND('112'!$M$9,G1755,1)),"",IF((AND(LEFT(G1755,2)=LEFT('112'!$M$9,2),B1755&lt;'112'!$K$9,$N1755='112'!$I$6)),"x",""))</f>
        <v/>
      </c>
      <c r="V1755" s="84" t="str">
        <f>IF(ISERROR(FIND('112'!$M$9,G1755,1)),"",IF((AND(RIGHT(G1755,2)=RIGHT('112'!$M$9,2),B1755&lt;'112'!$K$9,$O1755='112'!$I$6)),"x",""))</f>
        <v/>
      </c>
      <c r="W1755" s="84" t="str">
        <f>IF(AND('341-CT'!$H$9=H1755,OR(LEFT(N1755,3)=$W$7,LEFT(O1755,3)=$W$7)),"x","")</f>
        <v/>
      </c>
      <c r="X1755" s="84" t="str">
        <f>IF(OR(TH!N1755=TH!$X$7,O1755=TH!$X$7),"x","")</f>
        <v/>
      </c>
      <c r="Y1755" s="84" t="str">
        <f>IF(AND(OR(N1755="131",O1755="131"),H1755='131-CT'!$H$9),"x","")</f>
        <v/>
      </c>
      <c r="Z1755" s="84"/>
      <c r="AA1755" s="84" t="str">
        <f>IF(AND(MONTH(E1755)='IN-NX'!$J$5,'IN-NX'!$D$7=D1755),"x","")</f>
        <v/>
      </c>
      <c r="AB1755" s="84" t="str">
        <f>IF(AND(OR(LEFT(TH!N1755,2)="15",LEFT(TH!O1755,2)="15"),LEFT(TH!O1755,3)&lt;&gt;"111",'152-CT'!$J$8=TH!F1755),"x","")</f>
        <v/>
      </c>
      <c r="AC1755" s="84" t="str">
        <f>IF(AND(OR(LEFT(TH!N1755,2)="15",LEFT(TH!O1755,2)="15"),TK!$E$7=TH!F1755),"x","")</f>
        <v/>
      </c>
      <c r="AD1755" s="84" t="str">
        <f>IF(AND(N1755="1521",MONTH(C1755)='BK-NL'!$M$11),"x","")</f>
        <v/>
      </c>
    </row>
    <row r="1756" spans="1:32" ht="15.75" hidden="1" customHeight="1">
      <c r="A1756" s="336" t="str">
        <f>IF(B1756&lt;&gt;"",IF(AND(B1756='IN-TC'!$S$4,OR(TH!N1756="1111",TH!O1756="1111")),TH!D1756,""),"")</f>
        <v/>
      </c>
      <c r="B1756" s="63">
        <f t="shared" si="236"/>
        <v>6</v>
      </c>
      <c r="C1756" s="64">
        <v>42549</v>
      </c>
      <c r="D1756" s="64" t="s">
        <v>582</v>
      </c>
      <c r="E1756" s="64">
        <f t="shared" si="235"/>
        <v>42549</v>
      </c>
      <c r="F1756" s="73" t="s">
        <v>1068</v>
      </c>
      <c r="G1756" s="67" t="s">
        <v>918</v>
      </c>
      <c r="H1756" s="73" t="s">
        <v>732</v>
      </c>
      <c r="I1756" s="439"/>
      <c r="J1756" s="439"/>
      <c r="K1756" s="430"/>
      <c r="L1756" s="439"/>
      <c r="M1756" s="65">
        <v>7310000</v>
      </c>
      <c r="N1756" s="66" t="s">
        <v>260</v>
      </c>
      <c r="O1756" s="66" t="s">
        <v>43</v>
      </c>
      <c r="P1756" s="84" t="str">
        <f>IF(AND('331-CT'!$E$7=TH!H1756,OR(N1756="331",O1756="331")),"x","")</f>
        <v/>
      </c>
      <c r="Q1756" s="84" t="str">
        <f>IF(AND(B1756='111'!$L$11,OR($N1756=$Q$7,$O1756=$Q$7)),"x","")</f>
        <v/>
      </c>
      <c r="R1756" s="84" t="str">
        <f>IF(AND($N1756=$Q$7,$B1756&lt;'111'!$L$11),"x","")</f>
        <v/>
      </c>
      <c r="S1756" s="84" t="str">
        <f>IF(AND($O1756=$Q$7,$B1756&lt;'111'!$L$11),"x","")</f>
        <v/>
      </c>
      <c r="T1756" s="84" t="str">
        <f>IF(ISERROR(FIND('112'!$M$9,G1756,1)),"",IF((AND(FIND('112'!$M$9,G1756,1)&gt;=1,B1756='112'!$K$9,OR($N1756='112'!$I$6,$O1756='112'!$I$6))),"x",""))</f>
        <v/>
      </c>
      <c r="U1756" s="84" t="str">
        <f>IF(ISERROR(FIND('112'!$M$9,G1756,1)),"",IF((AND(LEFT(G1756,2)=LEFT('112'!$M$9,2),B1756&lt;'112'!$K$9,$N1756='112'!$I$6)),"x",""))</f>
        <v/>
      </c>
      <c r="V1756" s="84" t="str">
        <f>IF(ISERROR(FIND('112'!$M$9,G1756,1)),"",IF((AND(RIGHT(G1756,2)=RIGHT('112'!$M$9,2),B1756&lt;'112'!$K$9,$O1756='112'!$I$6)),"x",""))</f>
        <v/>
      </c>
      <c r="W1756" s="84" t="str">
        <f>IF(AND('341-CT'!$H$9=H1756,OR(LEFT(N1756,3)=$W$7,LEFT(O1756,3)=$W$7)),"x","")</f>
        <v/>
      </c>
      <c r="X1756" s="84" t="str">
        <f>IF(OR(TH!N1756=TH!$X$7,O1756=TH!$X$7),"x","")</f>
        <v/>
      </c>
      <c r="Y1756" s="84" t="str">
        <f>IF(AND(OR(N1756="131",O1756="131"),H1756='131-CT'!$H$9),"x","")</f>
        <v/>
      </c>
      <c r="Z1756" s="84"/>
      <c r="AA1756" s="84" t="str">
        <f>IF(AND(MONTH(E1756)='IN-NX'!$J$5,'IN-NX'!$D$7=D1756),"x","")</f>
        <v/>
      </c>
      <c r="AB1756" s="84" t="str">
        <f>IF(AND(OR(LEFT(TH!N1756,2)="15",LEFT(TH!O1756,2)="15"),LEFT(TH!O1756,3)&lt;&gt;"111",'152-CT'!$J$8=TH!F1756),"x","")</f>
        <v/>
      </c>
      <c r="AC1756" s="84" t="str">
        <f>IF(AND(OR(LEFT(TH!N1756,2)="15",LEFT(TH!O1756,2)="15"),TK!$E$7=TH!F1756),"x","")</f>
        <v/>
      </c>
      <c r="AD1756" s="84" t="str">
        <f>IF(AND(N1756="1521",MONTH(C1756)='BK-NL'!$M$11),"x","")</f>
        <v/>
      </c>
    </row>
    <row r="1757" spans="1:32" ht="15.75" hidden="1" customHeight="1">
      <c r="A1757" s="336" t="str">
        <f>IF(B1757&lt;&gt;"",IF(AND(B1757='IN-TC'!$S$4,OR(TH!N1757="1111",TH!O1757="1111")),TH!D1757,""),"")</f>
        <v/>
      </c>
      <c r="B1757" s="63">
        <f t="shared" si="236"/>
        <v>6</v>
      </c>
      <c r="C1757" s="64">
        <v>42550</v>
      </c>
      <c r="D1757" s="64" t="s">
        <v>705</v>
      </c>
      <c r="E1757" s="64">
        <f t="shared" si="235"/>
        <v>42550</v>
      </c>
      <c r="F1757" s="73" t="s">
        <v>1670</v>
      </c>
      <c r="G1757" s="67" t="s">
        <v>919</v>
      </c>
      <c r="H1757" s="73"/>
      <c r="I1757" s="439"/>
      <c r="J1757" s="439"/>
      <c r="K1757" s="430">
        <v>12</v>
      </c>
      <c r="L1757" s="439">
        <v>22280</v>
      </c>
      <c r="M1757" s="65">
        <f>ROUND(K1757*L1757,0)</f>
        <v>267360</v>
      </c>
      <c r="N1757" s="66" t="s">
        <v>101</v>
      </c>
      <c r="O1757" s="66" t="s">
        <v>266</v>
      </c>
      <c r="P1757" s="84" t="str">
        <f>IF(AND('331-CT'!$E$7=TH!H1757,OR(N1757="331",O1757="331")),"x","")</f>
        <v/>
      </c>
      <c r="Q1757" s="84" t="str">
        <f>IF(AND(B1757='111'!$L$11,OR($N1757=$Q$7,$O1757=$Q$7)),"x","")</f>
        <v/>
      </c>
      <c r="R1757" s="84" t="str">
        <f>IF(AND($N1757=$Q$7,$B1757&lt;'111'!$L$11),"x","")</f>
        <v/>
      </c>
      <c r="S1757" s="84" t="str">
        <f>IF(AND($O1757=$Q$7,$B1757&lt;'111'!$L$11),"x","")</f>
        <v/>
      </c>
      <c r="T1757" s="84" t="str">
        <f>IF(ISERROR(FIND('112'!$M$9,G1757,1)),"",IF((AND(FIND('112'!$M$9,G1757,1)&gt;=1,B1757='112'!$K$9,OR($N1757='112'!$I$6,$O1757='112'!$I$6))),"x",""))</f>
        <v/>
      </c>
      <c r="U1757" s="84" t="str">
        <f>IF(ISERROR(FIND('112'!$M$9,G1757,1)),"",IF((AND(LEFT(G1757,2)=LEFT('112'!$M$9,2),B1757&lt;'112'!$K$9,$N1757='112'!$I$6)),"x",""))</f>
        <v/>
      </c>
      <c r="V1757" s="84" t="str">
        <f>IF(ISERROR(FIND('112'!$M$9,G1757,1)),"",IF((AND(RIGHT(G1757,2)=RIGHT('112'!$M$9,2),B1757&lt;'112'!$K$9,$O1757='112'!$I$6)),"x",""))</f>
        <v/>
      </c>
      <c r="W1757" s="84" t="str">
        <f>IF(AND('341-CT'!$H$9=H1757,OR(LEFT(N1757,3)=$W$7,LEFT(O1757,3)=$W$7)),"x","")</f>
        <v/>
      </c>
      <c r="X1757" s="84" t="str">
        <f>IF(OR(TH!N1757=TH!$X$7,O1757=TH!$X$7),"x","")</f>
        <v/>
      </c>
      <c r="Y1757" s="84" t="str">
        <f>IF(AND(OR(N1757="131",O1757="131"),H1757='131-CT'!$H$9),"x","")</f>
        <v/>
      </c>
      <c r="Z1757" s="84"/>
      <c r="AA1757" s="84" t="str">
        <f>IF(AND(MONTH(E1757)='IN-NX'!$J$5,'IN-NX'!$D$7=D1757),"x","")</f>
        <v/>
      </c>
      <c r="AB1757" s="84" t="str">
        <f>IF(AND(OR(LEFT(TH!N1757,2)="15",LEFT(TH!O1757,2)="15"),LEFT(TH!O1757,3)&lt;&gt;"111",'152-CT'!$J$8=TH!F1757),"x","")</f>
        <v/>
      </c>
      <c r="AC1757" s="84" t="str">
        <f>IF(AND(OR(LEFT(TH!N1757,2)="15",LEFT(TH!O1757,2)="15"),TK!$E$7=TH!F1757),"x","")</f>
        <v/>
      </c>
      <c r="AD1757" s="84" t="str">
        <f>IF(AND(N1757="1521",MONTH(C1757)='BK-NL'!$M$11),"x","")</f>
        <v/>
      </c>
    </row>
    <row r="1758" spans="1:32" ht="15.75" hidden="1" customHeight="1">
      <c r="A1758" s="336" t="str">
        <f>IF(B1758&lt;&gt;"",IF(AND(B1758='IN-TC'!$S$4,OR(TH!N1758="1111",TH!O1758="1111")),TH!D1758,""),"")</f>
        <v/>
      </c>
      <c r="B1758" s="63">
        <f t="shared" si="236"/>
        <v>6</v>
      </c>
      <c r="C1758" s="64">
        <v>42551</v>
      </c>
      <c r="D1758" s="64" t="s">
        <v>900</v>
      </c>
      <c r="E1758" s="64">
        <v>42551</v>
      </c>
      <c r="F1758" s="73" t="s">
        <v>1623</v>
      </c>
      <c r="G1758" s="982" t="s">
        <v>1624</v>
      </c>
      <c r="H1758" s="73" t="s">
        <v>1438</v>
      </c>
      <c r="I1758" s="439"/>
      <c r="J1758" s="439"/>
      <c r="K1758" s="430"/>
      <c r="L1758" s="439"/>
      <c r="M1758" s="65">
        <v>1413000</v>
      </c>
      <c r="N1758" s="66" t="s">
        <v>101</v>
      </c>
      <c r="O1758" s="66" t="s">
        <v>63</v>
      </c>
      <c r="P1758" s="84" t="str">
        <f>IF(AND('331-CT'!$E$7=TH!H1758,OR(N1758="331",O1758="331")),"x","")</f>
        <v/>
      </c>
      <c r="Q1758" s="84" t="str">
        <f>IF(AND(B1758='111'!$L$11,OR($N1758=$Q$7,$O1758=$Q$7)),"x","")</f>
        <v/>
      </c>
      <c r="R1758" s="84" t="str">
        <f>IF(AND($N1758=$Q$7,$B1758&lt;'111'!$L$11),"x","")</f>
        <v/>
      </c>
      <c r="S1758" s="84" t="str">
        <f>IF(AND($O1758=$Q$7,$B1758&lt;'111'!$L$11),"x","")</f>
        <v/>
      </c>
      <c r="T1758" s="84" t="str">
        <f>IF(ISERROR(FIND('112'!$M$9,G1758,1)),"",IF((AND(FIND('112'!$M$9,G1758,1)&gt;=1,B1758='112'!$K$9,OR($N1758='112'!$I$6,$O1758='112'!$I$6))),"x",""))</f>
        <v/>
      </c>
      <c r="U1758" s="84" t="str">
        <f>IF(ISERROR(FIND('112'!$M$9,G1758,1)),"",IF((AND(LEFT(G1758,2)=LEFT('112'!$M$9,2),B1758&lt;'112'!$K$9,$N1758='112'!$I$6)),"x",""))</f>
        <v/>
      </c>
      <c r="V1758" s="84" t="str">
        <f>IF(ISERROR(FIND('112'!$M$9,G1758,1)),"",IF((AND(RIGHT(G1758,2)=RIGHT('112'!$M$9,2),B1758&lt;'112'!$K$9,$O1758='112'!$I$6)),"x",""))</f>
        <v/>
      </c>
      <c r="W1758" s="84" t="str">
        <f>IF(AND('341-CT'!$H$9=H1758,OR(LEFT(N1758,3)=$W$7,LEFT(O1758,3)=$W$7)),"x","")</f>
        <v/>
      </c>
      <c r="X1758" s="84" t="str">
        <f>IF(OR(TH!N1758=TH!$X$7,O1758=TH!$X$7),"x","")</f>
        <v/>
      </c>
      <c r="Y1758" s="84" t="str">
        <f>IF(AND(OR(N1758="131",O1758="131"),H1758='131-CT'!$H$9),"x","")</f>
        <v/>
      </c>
      <c r="Z1758" s="84"/>
      <c r="AA1758" s="84" t="str">
        <f>IF(AND(MONTH(E1758)='IN-NX'!$J$5,'IN-NX'!$D$7=D1758),"x","")</f>
        <v/>
      </c>
      <c r="AB1758" s="84" t="str">
        <f>IF(AND(OR(LEFT(TH!N1758,2)="15",LEFT(TH!O1758,2)="15"),LEFT(TH!O1758,3)&lt;&gt;"111",'152-CT'!$J$8=TH!F1758),"x","")</f>
        <v/>
      </c>
      <c r="AC1758" s="84" t="str">
        <f>IF(AND(OR(LEFT(TH!N1758,2)="15",LEFT(TH!O1758,2)="15"),TK!$E$7=TH!F1758),"x","")</f>
        <v/>
      </c>
      <c r="AD1758" s="84" t="str">
        <f>IF(AND(N1758="1521",MONTH(C1758)='BK-NL'!$M$11),"x","")</f>
        <v/>
      </c>
      <c r="AF1758" s="330">
        <v>1</v>
      </c>
    </row>
    <row r="1759" spans="1:32" ht="15.75" hidden="1" customHeight="1">
      <c r="A1759" s="336" t="str">
        <f>IF(B1759&lt;&gt;"",IF(AND(B1759='IN-TC'!$S$4,OR(TH!N1759="1111",TH!O1759="1111")),TH!D1759,""),"")</f>
        <v/>
      </c>
      <c r="B1759" s="63">
        <f t="shared" si="236"/>
        <v>6</v>
      </c>
      <c r="C1759" s="64">
        <v>42551</v>
      </c>
      <c r="D1759" s="64" t="s">
        <v>900</v>
      </c>
      <c r="E1759" s="64">
        <v>42551</v>
      </c>
      <c r="F1759" s="73" t="s">
        <v>1625</v>
      </c>
      <c r="G1759" s="982" t="s">
        <v>1624</v>
      </c>
      <c r="H1759" s="73" t="s">
        <v>1438</v>
      </c>
      <c r="I1759" s="439"/>
      <c r="J1759" s="439"/>
      <c r="K1759" s="430"/>
      <c r="L1759" s="439"/>
      <c r="M1759" s="65">
        <v>141300</v>
      </c>
      <c r="N1759" s="66" t="s">
        <v>9</v>
      </c>
      <c r="O1759" s="66" t="s">
        <v>63</v>
      </c>
      <c r="P1759" s="84" t="str">
        <f>IF(AND('331-CT'!$E$7=TH!H1759,OR(N1759="331",O1759="331")),"x","")</f>
        <v/>
      </c>
      <c r="Q1759" s="84" t="str">
        <f>IF(AND(B1759='111'!$L$11,OR($N1759=$Q$7,$O1759=$Q$7)),"x","")</f>
        <v/>
      </c>
      <c r="R1759" s="84" t="str">
        <f>IF(AND($N1759=$Q$7,$B1759&lt;'111'!$L$11),"x","")</f>
        <v/>
      </c>
      <c r="S1759" s="84" t="str">
        <f>IF(AND($O1759=$Q$7,$B1759&lt;'111'!$L$11),"x","")</f>
        <v/>
      </c>
      <c r="T1759" s="84" t="str">
        <f>IF(ISERROR(FIND('112'!$M$9,G1759,1)),"",IF((AND(FIND('112'!$M$9,G1759,1)&gt;=1,B1759='112'!$K$9,OR($N1759='112'!$I$6,$O1759='112'!$I$6))),"x",""))</f>
        <v/>
      </c>
      <c r="U1759" s="84" t="str">
        <f>IF(ISERROR(FIND('112'!$M$9,G1759,1)),"",IF((AND(LEFT(G1759,2)=LEFT('112'!$M$9,2),B1759&lt;'112'!$K$9,$N1759='112'!$I$6)),"x",""))</f>
        <v/>
      </c>
      <c r="V1759" s="84" t="str">
        <f>IF(ISERROR(FIND('112'!$M$9,G1759,1)),"",IF((AND(RIGHT(G1759,2)=RIGHT('112'!$M$9,2),B1759&lt;'112'!$K$9,$O1759='112'!$I$6)),"x",""))</f>
        <v/>
      </c>
      <c r="W1759" s="84" t="str">
        <f>IF(AND('341-CT'!$H$9=H1759,OR(LEFT(N1759,3)=$W$7,LEFT(O1759,3)=$W$7)),"x","")</f>
        <v/>
      </c>
      <c r="X1759" s="84" t="str">
        <f>IF(OR(TH!N1759=TH!$X$7,O1759=TH!$X$7),"x","")</f>
        <v/>
      </c>
      <c r="Y1759" s="84" t="str">
        <f>IF(AND(OR(N1759="131",O1759="131"),H1759='131-CT'!$H$9),"x","")</f>
        <v/>
      </c>
      <c r="Z1759" s="84"/>
      <c r="AA1759" s="84" t="str">
        <f>IF(AND(MONTH(E1759)='IN-NX'!$J$5,'IN-NX'!$D$7=D1759),"x","")</f>
        <v/>
      </c>
      <c r="AB1759" s="84" t="str">
        <f>IF(AND(OR(LEFT(TH!N1759,2)="15",LEFT(TH!O1759,2)="15"),LEFT(TH!O1759,3)&lt;&gt;"111",'152-CT'!$J$8=TH!F1759),"x","")</f>
        <v/>
      </c>
      <c r="AC1759" s="84" t="str">
        <f>IF(AND(OR(LEFT(TH!N1759,2)="15",LEFT(TH!O1759,2)="15"),TK!$E$7=TH!F1759),"x","")</f>
        <v/>
      </c>
      <c r="AD1759" s="84" t="str">
        <f>IF(AND(N1759="1521",MONTH(C1759)='BK-NL'!$M$11),"x","")</f>
        <v/>
      </c>
    </row>
    <row r="1760" spans="1:32" ht="15.75" hidden="1" customHeight="1">
      <c r="A1760" s="336" t="str">
        <f>IF(B1760&lt;&gt;"",IF(AND(B1760='IN-TC'!$S$4,OR(TH!N1760="1111",TH!O1760="1111")),TH!D1760,""),"")</f>
        <v/>
      </c>
      <c r="B1760" s="63">
        <f t="shared" si="236"/>
        <v>6</v>
      </c>
      <c r="C1760" s="64">
        <v>42551</v>
      </c>
      <c r="D1760" s="64" t="s">
        <v>901</v>
      </c>
      <c r="E1760" s="64">
        <v>42551</v>
      </c>
      <c r="F1760" s="73" t="s">
        <v>1492</v>
      </c>
      <c r="G1760" s="982"/>
      <c r="H1760" s="73" t="s">
        <v>1363</v>
      </c>
      <c r="I1760" s="439"/>
      <c r="J1760" s="439"/>
      <c r="K1760" s="430"/>
      <c r="L1760" s="439"/>
      <c r="M1760" s="65">
        <v>1133636</v>
      </c>
      <c r="N1760" s="321" t="s">
        <v>101</v>
      </c>
      <c r="O1760" s="66" t="s">
        <v>63</v>
      </c>
      <c r="P1760" s="84" t="str">
        <f>IF(AND('331-CT'!$E$7=TH!H1760,OR(N1760="331",O1760="331")),"x","")</f>
        <v/>
      </c>
      <c r="Q1760" s="84" t="str">
        <f>IF(AND(B1760='111'!$L$11,OR($N1760=$Q$7,$O1760=$Q$7)),"x","")</f>
        <v/>
      </c>
      <c r="R1760" s="84" t="str">
        <f>IF(AND($N1760=$Q$7,$B1760&lt;'111'!$L$11),"x","")</f>
        <v/>
      </c>
      <c r="S1760" s="84" t="str">
        <f>IF(AND($O1760=$Q$7,$B1760&lt;'111'!$L$11),"x","")</f>
        <v/>
      </c>
      <c r="T1760" s="84" t="str">
        <f>IF(ISERROR(FIND('112'!$M$9,G1760,1)),"",IF((AND(FIND('112'!$M$9,G1760,1)&gt;=1,B1760='112'!$K$9,OR($N1760='112'!$I$6,$O1760='112'!$I$6))),"x",""))</f>
        <v/>
      </c>
      <c r="U1760" s="84" t="str">
        <f>IF(ISERROR(FIND('112'!$M$9,G1760,1)),"",IF((AND(LEFT(G1760,2)=LEFT('112'!$M$9,2),B1760&lt;'112'!$K$9,$N1760='112'!$I$6)),"x",""))</f>
        <v/>
      </c>
      <c r="V1760" s="84" t="str">
        <f>IF(ISERROR(FIND('112'!$M$9,G1760,1)),"",IF((AND(RIGHT(G1760,2)=RIGHT('112'!$M$9,2),B1760&lt;'112'!$K$9,$O1760='112'!$I$6)),"x",""))</f>
        <v/>
      </c>
      <c r="W1760" s="84" t="str">
        <f>IF(AND('341-CT'!$H$9=H1760,OR(LEFT(N1760,3)=$W$7,LEFT(O1760,3)=$W$7)),"x","")</f>
        <v/>
      </c>
      <c r="X1760" s="84" t="str">
        <f>IF(OR(TH!N1760=TH!$X$7,O1760=TH!$X$7),"x","")</f>
        <v/>
      </c>
      <c r="Y1760" s="84" t="str">
        <f>IF(AND(OR(N1760="131",O1760="131"),H1760='131-CT'!$H$9),"x","")</f>
        <v/>
      </c>
      <c r="Z1760" s="84"/>
      <c r="AA1760" s="84" t="str">
        <f>IF(AND(MONTH(E1760)='IN-NX'!$J$5,'IN-NX'!$D$7=D1760),"x","")</f>
        <v/>
      </c>
      <c r="AB1760" s="84" t="str">
        <f>IF(AND(OR(LEFT(TH!N1760,2)="15",LEFT(TH!O1760,2)="15"),LEFT(TH!O1760,3)&lt;&gt;"111",'152-CT'!$J$8=TH!F1760),"x","")</f>
        <v/>
      </c>
      <c r="AC1760" s="84" t="str">
        <f>IF(AND(OR(LEFT(TH!N1760,2)="15",LEFT(TH!O1760,2)="15"),TK!$E$7=TH!F1760),"x","")</f>
        <v/>
      </c>
      <c r="AD1760" s="84" t="str">
        <f>IF(AND(N1760="1521",MONTH(C1760)='BK-NL'!$M$11),"x","")</f>
        <v/>
      </c>
      <c r="AF1760" s="330">
        <v>1</v>
      </c>
    </row>
    <row r="1761" spans="1:32" ht="15.75" hidden="1" customHeight="1">
      <c r="A1761" s="336" t="str">
        <f>IF(B1761&lt;&gt;"",IF(AND(B1761='IN-TC'!$S$4,OR(TH!N1761="1111",TH!O1761="1111")),TH!D1761,""),"")</f>
        <v/>
      </c>
      <c r="B1761" s="63">
        <f t="shared" si="236"/>
        <v>6</v>
      </c>
      <c r="C1761" s="64">
        <v>42551</v>
      </c>
      <c r="D1761" s="64" t="s">
        <v>901</v>
      </c>
      <c r="E1761" s="64">
        <v>42551</v>
      </c>
      <c r="F1761" s="73" t="s">
        <v>1493</v>
      </c>
      <c r="G1761" s="982"/>
      <c r="H1761" s="73" t="s">
        <v>1363</v>
      </c>
      <c r="I1761" s="439"/>
      <c r="J1761" s="439"/>
      <c r="K1761" s="430"/>
      <c r="L1761" s="439"/>
      <c r="M1761" s="65">
        <v>113364</v>
      </c>
      <c r="N1761" s="321" t="s">
        <v>9</v>
      </c>
      <c r="O1761" s="66" t="s">
        <v>63</v>
      </c>
      <c r="P1761" s="84" t="str">
        <f>IF(AND('331-CT'!$E$7=TH!H1761,OR(N1761="331",O1761="331")),"x","")</f>
        <v/>
      </c>
      <c r="Q1761" s="84" t="str">
        <f>IF(AND(B1761='111'!$L$11,OR($N1761=$Q$7,$O1761=$Q$7)),"x","")</f>
        <v/>
      </c>
      <c r="R1761" s="84" t="str">
        <f>IF(AND($N1761=$Q$7,$B1761&lt;'111'!$L$11),"x","")</f>
        <v/>
      </c>
      <c r="S1761" s="84" t="str">
        <f>IF(AND($O1761=$Q$7,$B1761&lt;'111'!$L$11),"x","")</f>
        <v/>
      </c>
      <c r="T1761" s="84" t="str">
        <f>IF(ISERROR(FIND('112'!$M$9,G1761,1)),"",IF((AND(FIND('112'!$M$9,G1761,1)&gt;=1,B1761='112'!$K$9,OR($N1761='112'!$I$6,$O1761='112'!$I$6))),"x",""))</f>
        <v/>
      </c>
      <c r="U1761" s="84" t="str">
        <f>IF(ISERROR(FIND('112'!$M$9,G1761,1)),"",IF((AND(LEFT(G1761,2)=LEFT('112'!$M$9,2),B1761&lt;'112'!$K$9,$N1761='112'!$I$6)),"x",""))</f>
        <v/>
      </c>
      <c r="V1761" s="84" t="str">
        <f>IF(ISERROR(FIND('112'!$M$9,G1761,1)),"",IF((AND(RIGHT(G1761,2)=RIGHT('112'!$M$9,2),B1761&lt;'112'!$K$9,$O1761='112'!$I$6)),"x",""))</f>
        <v/>
      </c>
      <c r="W1761" s="84" t="str">
        <f>IF(AND('341-CT'!$H$9=H1761,OR(LEFT(N1761,3)=$W$7,LEFT(O1761,3)=$W$7)),"x","")</f>
        <v/>
      </c>
      <c r="X1761" s="84" t="str">
        <f>IF(OR(TH!N1761=TH!$X$7,O1761=TH!$X$7),"x","")</f>
        <v/>
      </c>
      <c r="Y1761" s="84" t="str">
        <f>IF(AND(OR(N1761="131",O1761="131"),H1761='131-CT'!$H$9),"x","")</f>
        <v/>
      </c>
      <c r="Z1761" s="84"/>
      <c r="AA1761" s="84" t="str">
        <f>IF(AND(MONTH(E1761)='IN-NX'!$J$5,'IN-NX'!$D$7=D1761),"x","")</f>
        <v/>
      </c>
      <c r="AB1761" s="84" t="str">
        <f>IF(AND(OR(LEFT(TH!N1761,2)="15",LEFT(TH!O1761,2)="15"),LEFT(TH!O1761,3)&lt;&gt;"111",'152-CT'!$J$8=TH!F1761),"x","")</f>
        <v/>
      </c>
      <c r="AC1761" s="84" t="str">
        <f>IF(AND(OR(LEFT(TH!N1761,2)="15",LEFT(TH!O1761,2)="15"),TK!$E$7=TH!F1761),"x","")</f>
        <v/>
      </c>
      <c r="AD1761" s="84" t="str">
        <f>IF(AND(N1761="1521",MONTH(C1761)='BK-NL'!$M$11),"x","")</f>
        <v/>
      </c>
    </row>
    <row r="1762" spans="1:32" ht="15.75" hidden="1" customHeight="1">
      <c r="A1762" s="336" t="str">
        <f>IF(B1762&lt;&gt;"",IF(AND(B1762='IN-TC'!$S$4,OR(TH!N1762="1111",TH!O1762="1111")),TH!D1762,""),"")</f>
        <v/>
      </c>
      <c r="B1762" s="63">
        <f t="shared" si="236"/>
        <v>6</v>
      </c>
      <c r="C1762" s="64">
        <v>42551</v>
      </c>
      <c r="D1762" s="64" t="s">
        <v>902</v>
      </c>
      <c r="E1762" s="64">
        <v>42551</v>
      </c>
      <c r="F1762" s="73" t="s">
        <v>1709</v>
      </c>
      <c r="G1762" s="982" t="s">
        <v>1710</v>
      </c>
      <c r="H1762" s="73" t="s">
        <v>1711</v>
      </c>
      <c r="I1762" s="439"/>
      <c r="J1762" s="439"/>
      <c r="K1762" s="430"/>
      <c r="L1762" s="439"/>
      <c r="M1762" s="65">
        <v>1000000</v>
      </c>
      <c r="N1762" s="321" t="s">
        <v>101</v>
      </c>
      <c r="O1762" s="66" t="s">
        <v>63</v>
      </c>
      <c r="P1762" s="84" t="str">
        <f>IF(AND('331-CT'!$E$7=TH!H1762,OR(N1762="331",O1762="331")),"x","")</f>
        <v/>
      </c>
      <c r="Q1762" s="84" t="str">
        <f>IF(AND(B1762='111'!$L$11,OR($N1762=$Q$7,$O1762=$Q$7)),"x","")</f>
        <v/>
      </c>
      <c r="R1762" s="84" t="str">
        <f>IF(AND($N1762=$Q$7,$B1762&lt;'111'!$L$11),"x","")</f>
        <v/>
      </c>
      <c r="S1762" s="84" t="str">
        <f>IF(AND($O1762=$Q$7,$B1762&lt;'111'!$L$11),"x","")</f>
        <v/>
      </c>
      <c r="T1762" s="84" t="str">
        <f>IF(ISERROR(FIND('112'!$M$9,G1762,1)),"",IF((AND(FIND('112'!$M$9,G1762,1)&gt;=1,B1762='112'!$K$9,OR($N1762='112'!$I$6,$O1762='112'!$I$6))),"x",""))</f>
        <v/>
      </c>
      <c r="U1762" s="84" t="str">
        <f>IF(ISERROR(FIND('112'!$M$9,G1762,1)),"",IF((AND(LEFT(G1762,2)=LEFT('112'!$M$9,2),B1762&lt;'112'!$K$9,$N1762='112'!$I$6)),"x",""))</f>
        <v/>
      </c>
      <c r="V1762" s="84" t="str">
        <f>IF(ISERROR(FIND('112'!$M$9,G1762,1)),"",IF((AND(RIGHT(G1762,2)=RIGHT('112'!$M$9,2),B1762&lt;'112'!$K$9,$O1762='112'!$I$6)),"x",""))</f>
        <v/>
      </c>
      <c r="W1762" s="84" t="str">
        <f>IF(AND('341-CT'!$H$9=H1762,OR(LEFT(N1762,3)=$W$7,LEFT(O1762,3)=$W$7)),"x","")</f>
        <v/>
      </c>
      <c r="X1762" s="84" t="str">
        <f>IF(OR(TH!N1762=TH!$X$7,O1762=TH!$X$7),"x","")</f>
        <v/>
      </c>
      <c r="Y1762" s="84" t="str">
        <f>IF(AND(OR(N1762="131",O1762="131"),H1762='131-CT'!$H$9),"x","")</f>
        <v/>
      </c>
      <c r="Z1762" s="84"/>
      <c r="AA1762" s="84" t="str">
        <f>IF(AND(MONTH(E1762)='IN-NX'!$J$5,'IN-NX'!$D$7=D1762),"x","")</f>
        <v/>
      </c>
      <c r="AB1762" s="84" t="str">
        <f>IF(AND(OR(LEFT(TH!N1762,2)="15",LEFT(TH!O1762,2)="15"),LEFT(TH!O1762,3)&lt;&gt;"111",'152-CT'!$J$8=TH!F1762),"x","")</f>
        <v/>
      </c>
      <c r="AC1762" s="84" t="str">
        <f>IF(AND(OR(LEFT(TH!N1762,2)="15",LEFT(TH!O1762,2)="15"),TK!$E$7=TH!F1762),"x","")</f>
        <v/>
      </c>
      <c r="AD1762" s="84" t="str">
        <f>IF(AND(N1762="1521",MONTH(C1762)='BK-NL'!$M$11),"x","")</f>
        <v/>
      </c>
    </row>
    <row r="1763" spans="1:32" s="1132" customFormat="1" ht="15.75" hidden="1" customHeight="1">
      <c r="A1763" s="1213" t="str">
        <f>IF(B1763&lt;&gt;"",IF(AND(B1763='IN-TC'!$S$4,OR(TH!N1763="1111",TH!O1763="1111")),TH!D1763,""),"")</f>
        <v/>
      </c>
      <c r="B1763" s="1129">
        <f t="shared" si="236"/>
        <v>6</v>
      </c>
      <c r="C1763" s="975">
        <v>42551</v>
      </c>
      <c r="D1763" s="865" t="s">
        <v>904</v>
      </c>
      <c r="E1763" s="865">
        <v>42551</v>
      </c>
      <c r="F1763" s="971" t="s">
        <v>1626</v>
      </c>
      <c r="G1763" s="1169"/>
      <c r="H1763" s="971" t="s">
        <v>849</v>
      </c>
      <c r="I1763" s="972"/>
      <c r="J1763" s="972"/>
      <c r="K1763" s="973"/>
      <c r="L1763" s="972"/>
      <c r="M1763" s="1130">
        <v>141177990</v>
      </c>
      <c r="N1763" s="1131" t="s">
        <v>592</v>
      </c>
      <c r="O1763" s="1131" t="s">
        <v>63</v>
      </c>
      <c r="P1763" s="1131" t="str">
        <f>IF(AND('331-CT'!$E$7=TH!H1763,OR(N1763="331",O1763="331")),"x","")</f>
        <v/>
      </c>
      <c r="Q1763" s="1131" t="str">
        <f>IF(AND(B1763='111'!$L$11,OR($N1763=$Q$7,$O1763=$Q$7)),"x","")</f>
        <v/>
      </c>
      <c r="R1763" s="1131" t="str">
        <f>IF(AND($N1763=$Q$7,$B1763&lt;'111'!$L$11),"x","")</f>
        <v/>
      </c>
      <c r="S1763" s="1131" t="str">
        <f>IF(AND($O1763=$Q$7,$B1763&lt;'111'!$L$11),"x","")</f>
        <v/>
      </c>
      <c r="T1763" s="1131" t="str">
        <f>IF(ISERROR(FIND('112'!$M$9,G1763,1)),"",IF((AND(FIND('112'!$M$9,G1763,1)&gt;=1,B1763='112'!$K$9,OR($N1763='112'!$I$6,$O1763='112'!$I$6))),"x",""))</f>
        <v/>
      </c>
      <c r="U1763" s="1131" t="str">
        <f>IF(ISERROR(FIND('112'!$M$9,G1763,1)),"",IF((AND(LEFT(G1763,2)=LEFT('112'!$M$9,2),B1763&lt;'112'!$K$9,$N1763='112'!$I$6)),"x",""))</f>
        <v/>
      </c>
      <c r="V1763" s="1131" t="str">
        <f>IF(ISERROR(FIND('112'!$M$9,G1763,1)),"",IF((AND(RIGHT(G1763,2)=RIGHT('112'!$M$9,2),B1763&lt;'112'!$K$9,$O1763='112'!$I$6)),"x",""))</f>
        <v/>
      </c>
      <c r="W1763" s="1131" t="str">
        <f>IF(AND('341-CT'!$H$9=H1763,OR(LEFT(N1763,3)=$W$7,LEFT(O1763,3)=$W$7)),"x","")</f>
        <v/>
      </c>
      <c r="X1763" s="1131" t="str">
        <f>IF(OR(TH!N1763=TH!$X$7,O1763=TH!$X$7),"x","")</f>
        <v/>
      </c>
      <c r="Y1763" s="1131" t="str">
        <f>IF(AND(OR(N1763="131",O1763="131"),H1763='131-CT'!$H$9),"x","")</f>
        <v/>
      </c>
      <c r="Z1763" s="1131"/>
      <c r="AA1763" s="1131" t="str">
        <f>IF(AND(MONTH(E1763)='IN-NX'!$J$5,'IN-NX'!$D$7=D1763),"x","")</f>
        <v/>
      </c>
      <c r="AB1763" s="1131" t="str">
        <f>IF(AND(OR(LEFT(TH!N1763,2)="15",LEFT(TH!O1763,2)="15"),LEFT(TH!O1763,3)&lt;&gt;"111",'152-CT'!$J$8=TH!F1763),"x","")</f>
        <v/>
      </c>
      <c r="AC1763" s="1131" t="str">
        <f>IF(AND(OR(LEFT(TH!N1763,2)="15",LEFT(TH!O1763,2)="15"),TK!$E$7=TH!F1763),"x","")</f>
        <v/>
      </c>
      <c r="AD1763" s="1131" t="str">
        <f>IF(AND(N1763="1521",MONTH(C1763)='BK-NL'!$M$11),"x","")</f>
        <v/>
      </c>
    </row>
    <row r="1764" spans="1:32" ht="15.75" hidden="1" customHeight="1">
      <c r="A1764" s="336" t="str">
        <f>IF(B1764&lt;&gt;"",IF(AND(B1764='IN-TC'!$S$4,OR(TH!N1764="1111",TH!O1764="1111")),TH!D1764,""),"")</f>
        <v/>
      </c>
      <c r="B1764" s="63">
        <f t="shared" si="236"/>
        <v>6</v>
      </c>
      <c r="C1764" s="64">
        <v>42551</v>
      </c>
      <c r="D1764" s="64" t="s">
        <v>582</v>
      </c>
      <c r="E1764" s="64">
        <v>42551</v>
      </c>
      <c r="F1764" s="73" t="s">
        <v>1994</v>
      </c>
      <c r="G1764" s="982"/>
      <c r="H1764" s="73"/>
      <c r="I1764" s="439"/>
      <c r="J1764" s="439"/>
      <c r="K1764" s="430"/>
      <c r="L1764" s="439"/>
      <c r="M1764" s="65">
        <v>4898300</v>
      </c>
      <c r="N1764" s="66" t="s">
        <v>9</v>
      </c>
      <c r="O1764" s="66" t="s">
        <v>1590</v>
      </c>
      <c r="P1764" s="84" t="str">
        <f>IF(AND('331-CT'!$E$7=TH!H1764,OR(N1764="331",O1764="331")),"x","")</f>
        <v/>
      </c>
      <c r="Q1764" s="84" t="str">
        <f>IF(AND(B1764='111'!$L$11,OR($N1764=$Q$7,$O1764=$Q$7)),"x","")</f>
        <v/>
      </c>
      <c r="R1764" s="84" t="str">
        <f>IF(AND($N1764=$Q$7,$B1764&lt;'111'!$L$11),"x","")</f>
        <v/>
      </c>
      <c r="S1764" s="84" t="str">
        <f>IF(AND($O1764=$Q$7,$B1764&lt;'111'!$L$11),"x","")</f>
        <v/>
      </c>
      <c r="T1764" s="84" t="str">
        <f>IF(ISERROR(FIND('112'!$M$9,G1764,1)),"",IF((AND(FIND('112'!$M$9,G1764,1)&gt;=1,B1764='112'!$K$9,OR($N1764='112'!$I$6,$O1764='112'!$I$6))),"x",""))</f>
        <v/>
      </c>
      <c r="U1764" s="84" t="str">
        <f>IF(ISERROR(FIND('112'!$M$9,G1764,1)),"",IF((AND(LEFT(G1764,2)=LEFT('112'!$M$9,2),B1764&lt;'112'!$K$9,$N1764='112'!$I$6)),"x",""))</f>
        <v/>
      </c>
      <c r="V1764" s="84" t="str">
        <f>IF(ISERROR(FIND('112'!$M$9,G1764,1)),"",IF((AND(RIGHT(G1764,2)=RIGHT('112'!$M$9,2),B1764&lt;'112'!$K$9,$O1764='112'!$I$6)),"x",""))</f>
        <v/>
      </c>
      <c r="W1764" s="84" t="str">
        <f>IF(AND('341-CT'!$H$9=H1764,OR(LEFT(N1764,3)=$W$7,LEFT(O1764,3)=$W$7)),"x","")</f>
        <v/>
      </c>
      <c r="X1764" s="84" t="str">
        <f>IF(OR(TH!N1764=TH!$X$7,O1764=TH!$X$7),"x","")</f>
        <v/>
      </c>
      <c r="Y1764" s="84" t="str">
        <f>IF(AND(OR(N1764="131",O1764="131"),H1764='131-CT'!$H$9),"x","")</f>
        <v/>
      </c>
      <c r="Z1764" s="84"/>
      <c r="AA1764" s="84" t="str">
        <f>IF(AND(MONTH(E1764)='IN-NX'!$J$5,'IN-NX'!$D$7=D1764),"x","")</f>
        <v/>
      </c>
      <c r="AB1764" s="84" t="str">
        <f>IF(AND(OR(LEFT(TH!N1764,2)="15",LEFT(TH!O1764,2)="15"),LEFT(TH!O1764,3)&lt;&gt;"111",'152-CT'!$J$8=TH!F1764),"x","")</f>
        <v/>
      </c>
      <c r="AC1764" s="84" t="str">
        <f>IF(AND(OR(LEFT(TH!N1764,2)="15",LEFT(TH!O1764,2)="15"),TK!$E$7=TH!F1764),"x","")</f>
        <v/>
      </c>
      <c r="AD1764" s="84" t="str">
        <f>IF(AND(N1764="1521",MONTH(C1764)='BK-NL'!$M$11),"x","")</f>
        <v/>
      </c>
    </row>
    <row r="1765" spans="1:32" s="347" customFormat="1" ht="15.75" hidden="1" customHeight="1">
      <c r="A1765" s="1176" t="str">
        <f>IF(B1765&lt;&gt;"",IF(AND(B1765='IN-TC'!$S$4,OR(TH!N1765="1111",TH!O1765="1111")),TH!D1765,""),"")</f>
        <v/>
      </c>
      <c r="B1765" s="1003">
        <f>IF(C1765&lt;&gt;"",MONTH(C1765),"")</f>
        <v>6</v>
      </c>
      <c r="C1765" s="80">
        <v>42551</v>
      </c>
      <c r="D1765" s="80" t="s">
        <v>582</v>
      </c>
      <c r="E1765" s="80">
        <v>42530</v>
      </c>
      <c r="F1765" s="82" t="s">
        <v>1507</v>
      </c>
      <c r="G1765" s="985" t="s">
        <v>1596</v>
      </c>
      <c r="H1765" s="82" t="s">
        <v>1505</v>
      </c>
      <c r="I1765" s="437"/>
      <c r="J1765" s="437"/>
      <c r="K1765" s="428"/>
      <c r="L1765" s="437"/>
      <c r="M1765" s="83">
        <v>9399600</v>
      </c>
      <c r="N1765" s="84" t="s">
        <v>591</v>
      </c>
      <c r="O1765" s="84" t="s">
        <v>8</v>
      </c>
      <c r="P1765" s="84" t="str">
        <f>IF(AND('331-CT'!$E$7=TH!H1765,OR(N1765="331",O1765="331")),"x","")</f>
        <v/>
      </c>
      <c r="Q1765" s="84" t="str">
        <f>IF(AND(B1765='111'!$L$11,OR($N1765=$Q$7,$O1765=$Q$7)),"x","")</f>
        <v/>
      </c>
      <c r="R1765" s="84" t="str">
        <f>IF(AND($N1765=$Q$7,$B1765&lt;'111'!$L$11),"x","")</f>
        <v/>
      </c>
      <c r="S1765" s="84" t="str">
        <f>IF(AND($O1765=$Q$7,$B1765&lt;'111'!$L$11),"x","")</f>
        <v/>
      </c>
      <c r="T1765" s="84" t="str">
        <f>IF(ISERROR(FIND('112'!$M$9,G1765,1)),"",IF((AND(FIND('112'!$M$9,G1765,1)&gt;=1,B1765='112'!$K$9,OR($N1765='112'!$I$6,$O1765='112'!$I$6))),"x",""))</f>
        <v/>
      </c>
      <c r="U1765" s="84" t="str">
        <f>IF(ISERROR(FIND('112'!$M$9,G1765,1)),"",IF((AND(LEFT(G1765,2)=LEFT('112'!$M$9,2),B1765&lt;'112'!$K$9,$N1765='112'!$I$6)),"x",""))</f>
        <v/>
      </c>
      <c r="V1765" s="84" t="str">
        <f>IF(ISERROR(FIND('112'!$M$9,G1765,1)),"",IF((AND(RIGHT(G1765,2)=RIGHT('112'!$M$9,2),B1765&lt;'112'!$K$9,$O1765='112'!$I$6)),"x",""))</f>
        <v/>
      </c>
      <c r="W1765" s="84" t="str">
        <f>IF(AND('341-CT'!$H$9=H1765,OR(LEFT(N1765,3)=$W$7,LEFT(O1765,3)=$W$7)),"x","")</f>
        <v/>
      </c>
      <c r="X1765" s="84" t="str">
        <f>IF(OR(TH!N1765=TH!$X$7,O1765=TH!$X$7),"x","")</f>
        <v/>
      </c>
      <c r="Y1765" s="84" t="str">
        <f>IF(AND(OR(N1765="131",O1765="131"),H1765='131-CT'!$H$9),"x","")</f>
        <v/>
      </c>
      <c r="Z1765" s="84"/>
      <c r="AA1765" s="84" t="str">
        <f>IF(AND(MONTH(E1765)='IN-NX'!$J$5,'IN-NX'!$D$7=D1765),"x","")</f>
        <v/>
      </c>
      <c r="AB1765" s="84" t="str">
        <f>IF(AND(OR(LEFT(TH!N1765,2)="15",LEFT(TH!O1765,2)="15"),LEFT(TH!O1765,3)&lt;&gt;"111",'152-CT'!$J$8=TH!F1765),"x","")</f>
        <v/>
      </c>
      <c r="AC1765" s="84" t="str">
        <f>IF(AND(OR(LEFT(TH!N1765,2)="15",LEFT(TH!O1765,2)="15"),TK!$E$7=TH!F1765),"x","")</f>
        <v/>
      </c>
      <c r="AD1765" s="84" t="str">
        <f>IF(AND(N1765="1521",MONTH(C1765)='BK-NL'!$M$11),"x","")</f>
        <v/>
      </c>
      <c r="AE1765" s="343" t="str">
        <f t="shared" ref="AE1765:AE1785" si="237">IF(H1765&lt;&gt;VLOOKUP(H1765,DSKH,1,0),"","x")</f>
        <v>x</v>
      </c>
    </row>
    <row r="1766" spans="1:32" s="347" customFormat="1" ht="15.75" hidden="1" customHeight="1">
      <c r="A1766" s="1176" t="str">
        <f>IF(B1766&lt;&gt;"",IF(AND(B1766='IN-TC'!$S$4,OR(TH!N1766="1111",TH!O1766="1111")),TH!D1766,""),"")</f>
        <v/>
      </c>
      <c r="B1766" s="1003">
        <f t="shared" si="236"/>
        <v>6</v>
      </c>
      <c r="C1766" s="80">
        <v>42551</v>
      </c>
      <c r="D1766" s="80" t="s">
        <v>582</v>
      </c>
      <c r="E1766" s="80">
        <v>42530</v>
      </c>
      <c r="F1766" s="82" t="s">
        <v>1597</v>
      </c>
      <c r="G1766" s="985" t="s">
        <v>1599</v>
      </c>
      <c r="H1766" s="82" t="s">
        <v>1505</v>
      </c>
      <c r="I1766" s="437"/>
      <c r="J1766" s="437"/>
      <c r="K1766" s="428"/>
      <c r="L1766" s="437"/>
      <c r="M1766" s="83">
        <v>7855380</v>
      </c>
      <c r="N1766" s="84" t="s">
        <v>591</v>
      </c>
      <c r="O1766" s="84" t="s">
        <v>8</v>
      </c>
      <c r="P1766" s="84" t="str">
        <f>IF(AND('331-CT'!$E$7=TH!H1766,OR(N1766="331",O1766="331")),"x","")</f>
        <v/>
      </c>
      <c r="Q1766" s="84" t="str">
        <f>IF(AND(B1766='111'!$L$11,OR($N1766=$Q$7,$O1766=$Q$7)),"x","")</f>
        <v/>
      </c>
      <c r="R1766" s="84" t="str">
        <f>IF(AND($N1766=$Q$7,$B1766&lt;'111'!$L$11),"x","")</f>
        <v/>
      </c>
      <c r="S1766" s="84" t="str">
        <f>IF(AND($O1766=$Q$7,$B1766&lt;'111'!$L$11),"x","")</f>
        <v/>
      </c>
      <c r="T1766" s="84" t="str">
        <f>IF(ISERROR(FIND('112'!$M$9,G1766,1)),"",IF((AND(FIND('112'!$M$9,G1766,1)&gt;=1,B1766='112'!$K$9,OR($N1766='112'!$I$6,$O1766='112'!$I$6))),"x",""))</f>
        <v/>
      </c>
      <c r="U1766" s="84" t="str">
        <f>IF(ISERROR(FIND('112'!$M$9,G1766,1)),"",IF((AND(LEFT(G1766,2)=LEFT('112'!$M$9,2),B1766&lt;'112'!$K$9,$N1766='112'!$I$6)),"x",""))</f>
        <v/>
      </c>
      <c r="V1766" s="84" t="str">
        <f>IF(ISERROR(FIND('112'!$M$9,G1766,1)),"",IF((AND(RIGHT(G1766,2)=RIGHT('112'!$M$9,2),B1766&lt;'112'!$K$9,$O1766='112'!$I$6)),"x",""))</f>
        <v/>
      </c>
      <c r="W1766" s="84" t="str">
        <f>IF(AND('341-CT'!$H$9=H1766,OR(LEFT(N1766,3)=$W$7,LEFT(O1766,3)=$W$7)),"x","")</f>
        <v/>
      </c>
      <c r="X1766" s="84" t="str">
        <f>IF(OR(TH!N1766=TH!$X$7,O1766=TH!$X$7),"x","")</f>
        <v/>
      </c>
      <c r="Y1766" s="84" t="str">
        <f>IF(AND(OR(N1766="131",O1766="131"),H1766='131-CT'!$H$9),"x","")</f>
        <v/>
      </c>
      <c r="Z1766" s="84"/>
      <c r="AA1766" s="84" t="str">
        <f>IF(AND(MONTH(E1766)='IN-NX'!$J$5,'IN-NX'!$D$7=D1766),"x","")</f>
        <v/>
      </c>
      <c r="AB1766" s="84" t="str">
        <f>IF(AND(OR(LEFT(TH!N1766,2)="15",LEFT(TH!O1766,2)="15"),LEFT(TH!O1766,3)&lt;&gt;"111",'152-CT'!$J$8=TH!F1766),"x","")</f>
        <v/>
      </c>
      <c r="AC1766" s="84" t="str">
        <f>IF(AND(OR(LEFT(TH!N1766,2)="15",LEFT(TH!O1766,2)="15"),TK!$E$7=TH!F1766),"x","")</f>
        <v/>
      </c>
      <c r="AD1766" s="84" t="str">
        <f>IF(AND(N1766="1521",MONTH(C1766)='BK-NL'!$M$11),"x","")</f>
        <v/>
      </c>
      <c r="AE1766" s="343" t="str">
        <f t="shared" si="237"/>
        <v>x</v>
      </c>
      <c r="AF1766" s="347">
        <v>1</v>
      </c>
    </row>
    <row r="1767" spans="1:32" s="347" customFormat="1" ht="15.75" hidden="1" customHeight="1">
      <c r="A1767" s="1176" t="str">
        <f>IF(B1767&lt;&gt;"",IF(AND(B1767='IN-TC'!$S$4,OR(TH!N1767="1111",TH!O1767="1111")),TH!D1767,""),"")</f>
        <v/>
      </c>
      <c r="B1767" s="1003">
        <f t="shared" si="236"/>
        <v>6</v>
      </c>
      <c r="C1767" s="80">
        <v>42551</v>
      </c>
      <c r="D1767" s="80" t="s">
        <v>582</v>
      </c>
      <c r="E1767" s="80">
        <v>42530</v>
      </c>
      <c r="F1767" s="82" t="s">
        <v>1598</v>
      </c>
      <c r="G1767" s="985" t="s">
        <v>1599</v>
      </c>
      <c r="H1767" s="82" t="s">
        <v>1505</v>
      </c>
      <c r="I1767" s="437"/>
      <c r="J1767" s="437"/>
      <c r="K1767" s="428"/>
      <c r="L1767" s="437"/>
      <c r="M1767" s="83">
        <v>785538</v>
      </c>
      <c r="N1767" s="84" t="s">
        <v>9</v>
      </c>
      <c r="O1767" s="84" t="s">
        <v>8</v>
      </c>
      <c r="P1767" s="84" t="str">
        <f>IF(AND('331-CT'!$E$7=TH!H1767,OR(N1767="331",O1767="331")),"x","")</f>
        <v/>
      </c>
      <c r="Q1767" s="84" t="str">
        <f>IF(AND(B1767='111'!$L$11,OR($N1767=$Q$7,$O1767=$Q$7)),"x","")</f>
        <v/>
      </c>
      <c r="R1767" s="84" t="str">
        <f>IF(AND($N1767=$Q$7,$B1767&lt;'111'!$L$11),"x","")</f>
        <v/>
      </c>
      <c r="S1767" s="84" t="str">
        <f>IF(AND($O1767=$Q$7,$B1767&lt;'111'!$L$11),"x","")</f>
        <v/>
      </c>
      <c r="T1767" s="84" t="str">
        <f>IF(ISERROR(FIND('112'!$M$9,G1767,1)),"",IF((AND(FIND('112'!$M$9,G1767,1)&gt;=1,B1767='112'!$K$9,OR($N1767='112'!$I$6,$O1767='112'!$I$6))),"x",""))</f>
        <v/>
      </c>
      <c r="U1767" s="84" t="str">
        <f>IF(ISERROR(FIND('112'!$M$9,G1767,1)),"",IF((AND(LEFT(G1767,2)=LEFT('112'!$M$9,2),B1767&lt;'112'!$K$9,$N1767='112'!$I$6)),"x",""))</f>
        <v/>
      </c>
      <c r="V1767" s="84" t="str">
        <f>IF(ISERROR(FIND('112'!$M$9,G1767,1)),"",IF((AND(RIGHT(G1767,2)=RIGHT('112'!$M$9,2),B1767&lt;'112'!$K$9,$O1767='112'!$I$6)),"x",""))</f>
        <v/>
      </c>
      <c r="W1767" s="84" t="str">
        <f>IF(AND('341-CT'!$H$9=H1767,OR(LEFT(N1767,3)=$W$7,LEFT(O1767,3)=$W$7)),"x","")</f>
        <v/>
      </c>
      <c r="X1767" s="84" t="str">
        <f>IF(OR(TH!N1767=TH!$X$7,O1767=TH!$X$7),"x","")</f>
        <v/>
      </c>
      <c r="Y1767" s="84" t="str">
        <f>IF(AND(OR(N1767="131",O1767="131"),H1767='131-CT'!$H$9),"x","")</f>
        <v/>
      </c>
      <c r="Z1767" s="84"/>
      <c r="AA1767" s="84" t="str">
        <f>IF(AND(MONTH(E1767)='IN-NX'!$J$5,'IN-NX'!$D$7=D1767),"x","")</f>
        <v/>
      </c>
      <c r="AB1767" s="84" t="str">
        <f>IF(AND(OR(LEFT(TH!N1767,2)="15",LEFT(TH!O1767,2)="15"),LEFT(TH!O1767,3)&lt;&gt;"111",'152-CT'!$J$8=TH!F1767),"x","")</f>
        <v/>
      </c>
      <c r="AC1767" s="84" t="str">
        <f>IF(AND(OR(LEFT(TH!N1767,2)="15",LEFT(TH!O1767,2)="15"),TK!$E$7=TH!F1767),"x","")</f>
        <v/>
      </c>
      <c r="AD1767" s="84" t="str">
        <f>IF(AND(N1767="1521",MONTH(C1767)='BK-NL'!$M$11),"x","")</f>
        <v/>
      </c>
      <c r="AE1767" s="343" t="str">
        <f t="shared" si="237"/>
        <v>x</v>
      </c>
    </row>
    <row r="1768" spans="1:32" s="347" customFormat="1" ht="15.75" hidden="1" customHeight="1">
      <c r="A1768" s="1176" t="str">
        <f>IF(B1768&lt;&gt;"",IF(AND(B1768='IN-TC'!$S$4,OR(TH!N1768="1111",TH!O1768="1111")),TH!D1768,""),"")</f>
        <v/>
      </c>
      <c r="B1768" s="1003">
        <f t="shared" si="236"/>
        <v>6</v>
      </c>
      <c r="C1768" s="80">
        <v>42551</v>
      </c>
      <c r="D1768" s="80" t="s">
        <v>582</v>
      </c>
      <c r="E1768" s="80">
        <v>42536</v>
      </c>
      <c r="F1768" s="82" t="s">
        <v>1600</v>
      </c>
      <c r="G1768" s="985" t="s">
        <v>1602</v>
      </c>
      <c r="H1768" s="82" t="s">
        <v>1505</v>
      </c>
      <c r="I1768" s="437"/>
      <c r="J1768" s="437"/>
      <c r="K1768" s="428"/>
      <c r="L1768" s="437"/>
      <c r="M1768" s="83">
        <v>8519160</v>
      </c>
      <c r="N1768" s="84" t="s">
        <v>591</v>
      </c>
      <c r="O1768" s="84" t="s">
        <v>8</v>
      </c>
      <c r="P1768" s="84" t="str">
        <f>IF(AND('331-CT'!$E$7=TH!H1768,OR(N1768="331",O1768="331")),"x","")</f>
        <v/>
      </c>
      <c r="Q1768" s="84" t="str">
        <f>IF(AND(B1768='111'!$L$11,OR($N1768=$Q$7,$O1768=$Q$7)),"x","")</f>
        <v/>
      </c>
      <c r="R1768" s="84" t="str">
        <f>IF(AND($N1768=$Q$7,$B1768&lt;'111'!$L$11),"x","")</f>
        <v/>
      </c>
      <c r="S1768" s="84" t="str">
        <f>IF(AND($O1768=$Q$7,$B1768&lt;'111'!$L$11),"x","")</f>
        <v/>
      </c>
      <c r="T1768" s="84" t="str">
        <f>IF(ISERROR(FIND('112'!$M$9,G1768,1)),"",IF((AND(FIND('112'!$M$9,G1768,1)&gt;=1,B1768='112'!$K$9,OR($N1768='112'!$I$6,$O1768='112'!$I$6))),"x",""))</f>
        <v/>
      </c>
      <c r="U1768" s="84" t="str">
        <f>IF(ISERROR(FIND('112'!$M$9,G1768,1)),"",IF((AND(LEFT(G1768,2)=LEFT('112'!$M$9,2),B1768&lt;'112'!$K$9,$N1768='112'!$I$6)),"x",""))</f>
        <v/>
      </c>
      <c r="V1768" s="84" t="str">
        <f>IF(ISERROR(FIND('112'!$M$9,G1768,1)),"",IF((AND(RIGHT(G1768,2)=RIGHT('112'!$M$9,2),B1768&lt;'112'!$K$9,$O1768='112'!$I$6)),"x",""))</f>
        <v/>
      </c>
      <c r="W1768" s="84" t="str">
        <f>IF(AND('341-CT'!$H$9=H1768,OR(LEFT(N1768,3)=$W$7,LEFT(O1768,3)=$W$7)),"x","")</f>
        <v/>
      </c>
      <c r="X1768" s="84" t="str">
        <f>IF(OR(TH!N1768=TH!$X$7,O1768=TH!$X$7),"x","")</f>
        <v/>
      </c>
      <c r="Y1768" s="84" t="str">
        <f>IF(AND(OR(N1768="131",O1768="131"),H1768='131-CT'!$H$9),"x","")</f>
        <v/>
      </c>
      <c r="Z1768" s="84"/>
      <c r="AA1768" s="84" t="str">
        <f>IF(AND(MONTH(E1768)='IN-NX'!$J$5,'IN-NX'!$D$7=D1768),"x","")</f>
        <v/>
      </c>
      <c r="AB1768" s="84" t="str">
        <f>IF(AND(OR(LEFT(TH!N1768,2)="15",LEFT(TH!O1768,2)="15"),LEFT(TH!O1768,3)&lt;&gt;"111",'152-CT'!$J$8=TH!F1768),"x","")</f>
        <v/>
      </c>
      <c r="AC1768" s="84" t="str">
        <f>IF(AND(OR(LEFT(TH!N1768,2)="15",LEFT(TH!O1768,2)="15"),TK!$E$7=TH!F1768),"x","")</f>
        <v/>
      </c>
      <c r="AD1768" s="84" t="str">
        <f>IF(AND(N1768="1521",MONTH(C1768)='BK-NL'!$M$11),"x","")</f>
        <v/>
      </c>
      <c r="AE1768" s="343" t="str">
        <f t="shared" si="237"/>
        <v>x</v>
      </c>
      <c r="AF1768" s="347">
        <v>1</v>
      </c>
    </row>
    <row r="1769" spans="1:32" s="347" customFormat="1" ht="15.75" hidden="1" customHeight="1">
      <c r="A1769" s="1176" t="str">
        <f>IF(B1769&lt;&gt;"",IF(AND(B1769='IN-TC'!$S$4,OR(TH!N1769="1111",TH!O1769="1111")),TH!D1769,""),"")</f>
        <v/>
      </c>
      <c r="B1769" s="1003">
        <f t="shared" si="236"/>
        <v>6</v>
      </c>
      <c r="C1769" s="80">
        <v>42551</v>
      </c>
      <c r="D1769" s="80" t="s">
        <v>582</v>
      </c>
      <c r="E1769" s="80">
        <v>42536</v>
      </c>
      <c r="F1769" s="82" t="s">
        <v>1601</v>
      </c>
      <c r="G1769" s="985" t="s">
        <v>1602</v>
      </c>
      <c r="H1769" s="82" t="s">
        <v>1505</v>
      </c>
      <c r="I1769" s="437"/>
      <c r="J1769" s="437"/>
      <c r="K1769" s="428"/>
      <c r="L1769" s="437"/>
      <c r="M1769" s="83">
        <v>851916</v>
      </c>
      <c r="N1769" s="84" t="s">
        <v>9</v>
      </c>
      <c r="O1769" s="84" t="s">
        <v>8</v>
      </c>
      <c r="P1769" s="84" t="str">
        <f>IF(AND('331-CT'!$E$7=TH!H1769,OR(N1769="331",O1769="331")),"x","")</f>
        <v/>
      </c>
      <c r="Q1769" s="84" t="str">
        <f>IF(AND(B1769='111'!$L$11,OR($N1769=$Q$7,$O1769=$Q$7)),"x","")</f>
        <v/>
      </c>
      <c r="R1769" s="84" t="str">
        <f>IF(AND($N1769=$Q$7,$B1769&lt;'111'!$L$11),"x","")</f>
        <v/>
      </c>
      <c r="S1769" s="84" t="str">
        <f>IF(AND($O1769=$Q$7,$B1769&lt;'111'!$L$11),"x","")</f>
        <v/>
      </c>
      <c r="T1769" s="84" t="str">
        <f>IF(ISERROR(FIND('112'!$M$9,G1769,1)),"",IF((AND(FIND('112'!$M$9,G1769,1)&gt;=1,B1769='112'!$K$9,OR($N1769='112'!$I$6,$O1769='112'!$I$6))),"x",""))</f>
        <v/>
      </c>
      <c r="U1769" s="84" t="str">
        <f>IF(ISERROR(FIND('112'!$M$9,G1769,1)),"",IF((AND(LEFT(G1769,2)=LEFT('112'!$M$9,2),B1769&lt;'112'!$K$9,$N1769='112'!$I$6)),"x",""))</f>
        <v/>
      </c>
      <c r="V1769" s="84" t="str">
        <f>IF(ISERROR(FIND('112'!$M$9,G1769,1)),"",IF((AND(RIGHT(G1769,2)=RIGHT('112'!$M$9,2),B1769&lt;'112'!$K$9,$O1769='112'!$I$6)),"x",""))</f>
        <v/>
      </c>
      <c r="W1769" s="84" t="str">
        <f>IF(AND('341-CT'!$H$9=H1769,OR(LEFT(N1769,3)=$W$7,LEFT(O1769,3)=$W$7)),"x","")</f>
        <v/>
      </c>
      <c r="X1769" s="84" t="str">
        <f>IF(OR(TH!N1769=TH!$X$7,O1769=TH!$X$7),"x","")</f>
        <v/>
      </c>
      <c r="Y1769" s="84" t="str">
        <f>IF(AND(OR(N1769="131",O1769="131"),H1769='131-CT'!$H$9),"x","")</f>
        <v/>
      </c>
      <c r="Z1769" s="84"/>
      <c r="AA1769" s="84" t="str">
        <f>IF(AND(MONTH(E1769)='IN-NX'!$J$5,'IN-NX'!$D$7=D1769),"x","")</f>
        <v/>
      </c>
      <c r="AB1769" s="84" t="str">
        <f>IF(AND(OR(LEFT(TH!N1769,2)="15",LEFT(TH!O1769,2)="15"),LEFT(TH!O1769,3)&lt;&gt;"111",'152-CT'!$J$8=TH!F1769),"x","")</f>
        <v/>
      </c>
      <c r="AC1769" s="84" t="str">
        <f>IF(AND(OR(LEFT(TH!N1769,2)="15",LEFT(TH!O1769,2)="15"),TK!$E$7=TH!F1769),"x","")</f>
        <v/>
      </c>
      <c r="AD1769" s="84" t="str">
        <f>IF(AND(N1769="1521",MONTH(C1769)='BK-NL'!$M$11),"x","")</f>
        <v/>
      </c>
      <c r="AE1769" s="343" t="str">
        <f t="shared" si="237"/>
        <v>x</v>
      </c>
    </row>
    <row r="1770" spans="1:32" s="347" customFormat="1" ht="15.75" hidden="1" customHeight="1">
      <c r="A1770" s="1176" t="str">
        <f>IF(B1770&lt;&gt;"",IF(AND(B1770='IN-TC'!$S$4,OR(TH!N1770="1111",TH!O1770="1111")),TH!D1770,""),"")</f>
        <v/>
      </c>
      <c r="B1770" s="1003">
        <f t="shared" si="236"/>
        <v>6</v>
      </c>
      <c r="C1770" s="80">
        <v>42551</v>
      </c>
      <c r="D1770" s="80" t="s">
        <v>582</v>
      </c>
      <c r="E1770" s="80">
        <v>42536</v>
      </c>
      <c r="F1770" s="82" t="s">
        <v>1507</v>
      </c>
      <c r="G1770" s="985" t="s">
        <v>1603</v>
      </c>
      <c r="H1770" s="82" t="s">
        <v>1505</v>
      </c>
      <c r="I1770" s="437"/>
      <c r="J1770" s="437"/>
      <c r="K1770" s="428"/>
      <c r="L1770" s="437"/>
      <c r="M1770" s="83">
        <v>20124000</v>
      </c>
      <c r="N1770" s="84" t="s">
        <v>591</v>
      </c>
      <c r="O1770" s="84" t="s">
        <v>8</v>
      </c>
      <c r="P1770" s="84" t="str">
        <f>IF(AND('331-CT'!$E$7=TH!H1770,OR(N1770="331",O1770="331")),"x","")</f>
        <v/>
      </c>
      <c r="Q1770" s="84" t="str">
        <f>IF(AND(B1770='111'!$L$11,OR($N1770=$Q$7,$O1770=$Q$7)),"x","")</f>
        <v/>
      </c>
      <c r="R1770" s="84" t="str">
        <f>IF(AND($N1770=$Q$7,$B1770&lt;'111'!$L$11),"x","")</f>
        <v/>
      </c>
      <c r="S1770" s="84" t="str">
        <f>IF(AND($O1770=$Q$7,$B1770&lt;'111'!$L$11),"x","")</f>
        <v/>
      </c>
      <c r="T1770" s="84" t="str">
        <f>IF(ISERROR(FIND('112'!$M$9,G1770,1)),"",IF((AND(FIND('112'!$M$9,G1770,1)&gt;=1,B1770='112'!$K$9,OR($N1770='112'!$I$6,$O1770='112'!$I$6))),"x",""))</f>
        <v/>
      </c>
      <c r="U1770" s="84" t="str">
        <f>IF(ISERROR(FIND('112'!$M$9,G1770,1)),"",IF((AND(LEFT(G1770,2)=LEFT('112'!$M$9,2),B1770&lt;'112'!$K$9,$N1770='112'!$I$6)),"x",""))</f>
        <v/>
      </c>
      <c r="V1770" s="84" t="str">
        <f>IF(ISERROR(FIND('112'!$M$9,G1770,1)),"",IF((AND(RIGHT(G1770,2)=RIGHT('112'!$M$9,2),B1770&lt;'112'!$K$9,$O1770='112'!$I$6)),"x",""))</f>
        <v/>
      </c>
      <c r="W1770" s="84" t="str">
        <f>IF(AND('341-CT'!$H$9=H1770,OR(LEFT(N1770,3)=$W$7,LEFT(O1770,3)=$W$7)),"x","")</f>
        <v/>
      </c>
      <c r="X1770" s="84" t="str">
        <f>IF(OR(TH!N1770=TH!$X$7,O1770=TH!$X$7),"x","")</f>
        <v/>
      </c>
      <c r="Y1770" s="84" t="str">
        <f>IF(AND(OR(N1770="131",O1770="131"),H1770='131-CT'!$H$9),"x","")</f>
        <v/>
      </c>
      <c r="Z1770" s="84"/>
      <c r="AA1770" s="84" t="str">
        <f>IF(AND(MONTH(E1770)='IN-NX'!$J$5,'IN-NX'!$D$7=D1770),"x","")</f>
        <v/>
      </c>
      <c r="AB1770" s="84" t="str">
        <f>IF(AND(OR(LEFT(TH!N1770,2)="15",LEFT(TH!O1770,2)="15"),LEFT(TH!O1770,3)&lt;&gt;"111",'152-CT'!$J$8=TH!F1770),"x","")</f>
        <v/>
      </c>
      <c r="AC1770" s="84" t="str">
        <f>IF(AND(OR(LEFT(TH!N1770,2)="15",LEFT(TH!O1770,2)="15"),TK!$E$7=TH!F1770),"x","")</f>
        <v/>
      </c>
      <c r="AD1770" s="84" t="str">
        <f>IF(AND(N1770="1521",MONTH(C1770)='BK-NL'!$M$11),"x","")</f>
        <v/>
      </c>
      <c r="AE1770" s="343" t="str">
        <f t="shared" si="237"/>
        <v>x</v>
      </c>
    </row>
    <row r="1771" spans="1:32" s="347" customFormat="1" ht="15.75" hidden="1" customHeight="1">
      <c r="A1771" s="1176" t="str">
        <f>IF(B1771&lt;&gt;"",IF(AND(B1771='IN-TC'!$S$4,OR(TH!N1771="1111",TH!O1771="1111")),TH!D1771,""),"")</f>
        <v/>
      </c>
      <c r="B1771" s="1003">
        <f t="shared" si="236"/>
        <v>6</v>
      </c>
      <c r="C1771" s="80">
        <v>42551</v>
      </c>
      <c r="D1771" s="80" t="s">
        <v>582</v>
      </c>
      <c r="E1771" s="80">
        <v>42537</v>
      </c>
      <c r="F1771" s="82" t="s">
        <v>1597</v>
      </c>
      <c r="G1771" s="985" t="s">
        <v>1604</v>
      </c>
      <c r="H1771" s="82" t="s">
        <v>1505</v>
      </c>
      <c r="I1771" s="437"/>
      <c r="J1771" s="437"/>
      <c r="K1771" s="428"/>
      <c r="L1771" s="437"/>
      <c r="M1771" s="83">
        <v>7844850</v>
      </c>
      <c r="N1771" s="84" t="s">
        <v>591</v>
      </c>
      <c r="O1771" s="84" t="s">
        <v>8</v>
      </c>
      <c r="P1771" s="84" t="str">
        <f>IF(AND('331-CT'!$E$7=TH!H1771,OR(N1771="331",O1771="331")),"x","")</f>
        <v/>
      </c>
      <c r="Q1771" s="84" t="str">
        <f>IF(AND(B1771='111'!$L$11,OR($N1771=$Q$7,$O1771=$Q$7)),"x","")</f>
        <v/>
      </c>
      <c r="R1771" s="84" t="str">
        <f>IF(AND($N1771=$Q$7,$B1771&lt;'111'!$L$11),"x","")</f>
        <v/>
      </c>
      <c r="S1771" s="84" t="str">
        <f>IF(AND($O1771=$Q$7,$B1771&lt;'111'!$L$11),"x","")</f>
        <v/>
      </c>
      <c r="T1771" s="84" t="str">
        <f>IF(ISERROR(FIND('112'!$M$9,G1771,1)),"",IF((AND(FIND('112'!$M$9,G1771,1)&gt;=1,B1771='112'!$K$9,OR($N1771='112'!$I$6,$O1771='112'!$I$6))),"x",""))</f>
        <v/>
      </c>
      <c r="U1771" s="84" t="str">
        <f>IF(ISERROR(FIND('112'!$M$9,G1771,1)),"",IF((AND(LEFT(G1771,2)=LEFT('112'!$M$9,2),B1771&lt;'112'!$K$9,$N1771='112'!$I$6)),"x",""))</f>
        <v/>
      </c>
      <c r="V1771" s="84" t="str">
        <f>IF(ISERROR(FIND('112'!$M$9,G1771,1)),"",IF((AND(RIGHT(G1771,2)=RIGHT('112'!$M$9,2),B1771&lt;'112'!$K$9,$O1771='112'!$I$6)),"x",""))</f>
        <v/>
      </c>
      <c r="W1771" s="84" t="str">
        <f>IF(AND('341-CT'!$H$9=H1771,OR(LEFT(N1771,3)=$W$7,LEFT(O1771,3)=$W$7)),"x","")</f>
        <v/>
      </c>
      <c r="X1771" s="84" t="str">
        <f>IF(OR(TH!N1771=TH!$X$7,O1771=TH!$X$7),"x","")</f>
        <v/>
      </c>
      <c r="Y1771" s="84" t="str">
        <f>IF(AND(OR(N1771="131",O1771="131"),H1771='131-CT'!$H$9),"x","")</f>
        <v/>
      </c>
      <c r="Z1771" s="84"/>
      <c r="AA1771" s="84" t="str">
        <f>IF(AND(MONTH(E1771)='IN-NX'!$J$5,'IN-NX'!$D$7=D1771),"x","")</f>
        <v/>
      </c>
      <c r="AB1771" s="84" t="str">
        <f>IF(AND(OR(LEFT(TH!N1771,2)="15",LEFT(TH!O1771,2)="15"),LEFT(TH!O1771,3)&lt;&gt;"111",'152-CT'!$J$8=TH!F1771),"x","")</f>
        <v/>
      </c>
      <c r="AC1771" s="84" t="str">
        <f>IF(AND(OR(LEFT(TH!N1771,2)="15",LEFT(TH!O1771,2)="15"),TK!$E$7=TH!F1771),"x","")</f>
        <v/>
      </c>
      <c r="AD1771" s="84" t="str">
        <f>IF(AND(N1771="1521",MONTH(C1771)='BK-NL'!$M$11),"x","")</f>
        <v/>
      </c>
      <c r="AE1771" s="343" t="str">
        <f t="shared" si="237"/>
        <v>x</v>
      </c>
      <c r="AF1771" s="347">
        <v>1</v>
      </c>
    </row>
    <row r="1772" spans="1:32" s="347" customFormat="1" ht="15.75" hidden="1" customHeight="1">
      <c r="A1772" s="1176" t="str">
        <f>IF(B1772&lt;&gt;"",IF(AND(B1772='IN-TC'!$S$4,OR(TH!N1772="1111",TH!O1772="1111")),TH!D1772,""),"")</f>
        <v/>
      </c>
      <c r="B1772" s="1003">
        <f t="shared" si="236"/>
        <v>6</v>
      </c>
      <c r="C1772" s="80">
        <v>42551</v>
      </c>
      <c r="D1772" s="80" t="s">
        <v>582</v>
      </c>
      <c r="E1772" s="80">
        <v>42537</v>
      </c>
      <c r="F1772" s="82" t="s">
        <v>1598</v>
      </c>
      <c r="G1772" s="985" t="s">
        <v>1604</v>
      </c>
      <c r="H1772" s="82" t="s">
        <v>1505</v>
      </c>
      <c r="I1772" s="437"/>
      <c r="J1772" s="437"/>
      <c r="K1772" s="428"/>
      <c r="L1772" s="437"/>
      <c r="M1772" s="83">
        <v>784485</v>
      </c>
      <c r="N1772" s="84" t="s">
        <v>9</v>
      </c>
      <c r="O1772" s="84" t="s">
        <v>8</v>
      </c>
      <c r="P1772" s="84" t="str">
        <f>IF(AND('331-CT'!$E$7=TH!H1772,OR(N1772="331",O1772="331")),"x","")</f>
        <v/>
      </c>
      <c r="Q1772" s="84" t="str">
        <f>IF(AND(B1772='111'!$L$11,OR($N1772=$Q$7,$O1772=$Q$7)),"x","")</f>
        <v/>
      </c>
      <c r="R1772" s="84" t="str">
        <f>IF(AND($N1772=$Q$7,$B1772&lt;'111'!$L$11),"x","")</f>
        <v/>
      </c>
      <c r="S1772" s="84" t="str">
        <f>IF(AND($O1772=$Q$7,$B1772&lt;'111'!$L$11),"x","")</f>
        <v/>
      </c>
      <c r="T1772" s="84" t="str">
        <f>IF(ISERROR(FIND('112'!$M$9,G1772,1)),"",IF((AND(FIND('112'!$M$9,G1772,1)&gt;=1,B1772='112'!$K$9,OR($N1772='112'!$I$6,$O1772='112'!$I$6))),"x",""))</f>
        <v/>
      </c>
      <c r="U1772" s="84" t="str">
        <f>IF(ISERROR(FIND('112'!$M$9,G1772,1)),"",IF((AND(LEFT(G1772,2)=LEFT('112'!$M$9,2),B1772&lt;'112'!$K$9,$N1772='112'!$I$6)),"x",""))</f>
        <v/>
      </c>
      <c r="V1772" s="84" t="str">
        <f>IF(ISERROR(FIND('112'!$M$9,G1772,1)),"",IF((AND(RIGHT(G1772,2)=RIGHT('112'!$M$9,2),B1772&lt;'112'!$K$9,$O1772='112'!$I$6)),"x",""))</f>
        <v/>
      </c>
      <c r="W1772" s="84" t="str">
        <f>IF(AND('341-CT'!$H$9=H1772,OR(LEFT(N1772,3)=$W$7,LEFT(O1772,3)=$W$7)),"x","")</f>
        <v/>
      </c>
      <c r="X1772" s="84" t="str">
        <f>IF(OR(TH!N1772=TH!$X$7,O1772=TH!$X$7),"x","")</f>
        <v/>
      </c>
      <c r="Y1772" s="84" t="str">
        <f>IF(AND(OR(N1772="131",O1772="131"),H1772='131-CT'!$H$9),"x","")</f>
        <v/>
      </c>
      <c r="Z1772" s="84"/>
      <c r="AA1772" s="84" t="str">
        <f>IF(AND(MONTH(E1772)='IN-NX'!$J$5,'IN-NX'!$D$7=D1772),"x","")</f>
        <v/>
      </c>
      <c r="AB1772" s="84" t="str">
        <f>IF(AND(OR(LEFT(TH!N1772,2)="15",LEFT(TH!O1772,2)="15"),LEFT(TH!O1772,3)&lt;&gt;"111",'152-CT'!$J$8=TH!F1772),"x","")</f>
        <v/>
      </c>
      <c r="AC1772" s="84" t="str">
        <f>IF(AND(OR(LEFT(TH!N1772,2)="15",LEFT(TH!O1772,2)="15"),TK!$E$7=TH!F1772),"x","")</f>
        <v/>
      </c>
      <c r="AD1772" s="84" t="str">
        <f>IF(AND(N1772="1521",MONTH(C1772)='BK-NL'!$M$11),"x","")</f>
        <v/>
      </c>
      <c r="AE1772" s="343" t="str">
        <f t="shared" si="237"/>
        <v>x</v>
      </c>
    </row>
    <row r="1773" spans="1:32" s="347" customFormat="1" ht="15.75" hidden="1" customHeight="1">
      <c r="A1773" s="1176" t="str">
        <f>IF(B1773&lt;&gt;"",IF(AND(B1773='IN-TC'!$S$4,OR(TH!N1773="1111",TH!O1773="1111")),TH!D1773,""),"")</f>
        <v/>
      </c>
      <c r="B1773" s="1003">
        <f t="shared" si="236"/>
        <v>6</v>
      </c>
      <c r="C1773" s="80">
        <v>42551</v>
      </c>
      <c r="D1773" s="80" t="s">
        <v>582</v>
      </c>
      <c r="E1773" s="80">
        <v>42537</v>
      </c>
      <c r="F1773" s="82" t="s">
        <v>1507</v>
      </c>
      <c r="G1773" s="985" t="s">
        <v>1605</v>
      </c>
      <c r="H1773" s="82" t="s">
        <v>1505</v>
      </c>
      <c r="I1773" s="437"/>
      <c r="J1773" s="437"/>
      <c r="K1773" s="428"/>
      <c r="L1773" s="437"/>
      <c r="M1773" s="83">
        <v>9387000</v>
      </c>
      <c r="N1773" s="84" t="s">
        <v>591</v>
      </c>
      <c r="O1773" s="84" t="s">
        <v>8</v>
      </c>
      <c r="P1773" s="84" t="str">
        <f>IF(AND('331-CT'!$E$7=TH!H1773,OR(N1773="331",O1773="331")),"x","")</f>
        <v/>
      </c>
      <c r="Q1773" s="84" t="str">
        <f>IF(AND(B1773='111'!$L$11,OR($N1773=$Q$7,$O1773=$Q$7)),"x","")</f>
        <v/>
      </c>
      <c r="R1773" s="84" t="str">
        <f>IF(AND($N1773=$Q$7,$B1773&lt;'111'!$L$11),"x","")</f>
        <v/>
      </c>
      <c r="S1773" s="84" t="str">
        <f>IF(AND($O1773=$Q$7,$B1773&lt;'111'!$L$11),"x","")</f>
        <v/>
      </c>
      <c r="T1773" s="84" t="str">
        <f>IF(ISERROR(FIND('112'!$M$9,G1773,1)),"",IF((AND(FIND('112'!$M$9,G1773,1)&gt;=1,B1773='112'!$K$9,OR($N1773='112'!$I$6,$O1773='112'!$I$6))),"x",""))</f>
        <v/>
      </c>
      <c r="U1773" s="84" t="str">
        <f>IF(ISERROR(FIND('112'!$M$9,G1773,1)),"",IF((AND(LEFT(G1773,2)=LEFT('112'!$M$9,2),B1773&lt;'112'!$K$9,$N1773='112'!$I$6)),"x",""))</f>
        <v/>
      </c>
      <c r="V1773" s="84" t="str">
        <f>IF(ISERROR(FIND('112'!$M$9,G1773,1)),"",IF((AND(RIGHT(G1773,2)=RIGHT('112'!$M$9,2),B1773&lt;'112'!$K$9,$O1773='112'!$I$6)),"x",""))</f>
        <v/>
      </c>
      <c r="W1773" s="84" t="str">
        <f>IF(AND('341-CT'!$H$9=H1773,OR(LEFT(N1773,3)=$W$7,LEFT(O1773,3)=$W$7)),"x","")</f>
        <v/>
      </c>
      <c r="X1773" s="84" t="str">
        <f>IF(OR(TH!N1773=TH!$X$7,O1773=TH!$X$7),"x","")</f>
        <v/>
      </c>
      <c r="Y1773" s="84" t="str">
        <f>IF(AND(OR(N1773="131",O1773="131"),H1773='131-CT'!$H$9),"x","")</f>
        <v/>
      </c>
      <c r="Z1773" s="84"/>
      <c r="AA1773" s="84" t="str">
        <f>IF(AND(MONTH(E1773)='IN-NX'!$J$5,'IN-NX'!$D$7=D1773),"x","")</f>
        <v/>
      </c>
      <c r="AB1773" s="84" t="str">
        <f>IF(AND(OR(LEFT(TH!N1773,2)="15",LEFT(TH!O1773,2)="15"),LEFT(TH!O1773,3)&lt;&gt;"111",'152-CT'!$J$8=TH!F1773),"x","")</f>
        <v/>
      </c>
      <c r="AC1773" s="84" t="str">
        <f>IF(AND(OR(LEFT(TH!N1773,2)="15",LEFT(TH!O1773,2)="15"),TK!$E$7=TH!F1773),"x","")</f>
        <v/>
      </c>
      <c r="AD1773" s="84" t="str">
        <f>IF(AND(N1773="1521",MONTH(C1773)='BK-NL'!$M$11),"x","")</f>
        <v/>
      </c>
      <c r="AE1773" s="343" t="str">
        <f t="shared" si="237"/>
        <v>x</v>
      </c>
    </row>
    <row r="1774" spans="1:32" s="347" customFormat="1" ht="15.75" hidden="1" customHeight="1">
      <c r="A1774" s="1176" t="str">
        <f>IF(B1774&lt;&gt;"",IF(AND(B1774='IN-TC'!$S$4,OR(TH!N1774="1111",TH!O1774="1111")),TH!D1774,""),"")</f>
        <v/>
      </c>
      <c r="B1774" s="1003">
        <f t="shared" si="236"/>
        <v>6</v>
      </c>
      <c r="C1774" s="80">
        <v>42551</v>
      </c>
      <c r="D1774" s="80" t="s">
        <v>582</v>
      </c>
      <c r="E1774" s="80">
        <v>42537</v>
      </c>
      <c r="F1774" s="82" t="s">
        <v>1176</v>
      </c>
      <c r="G1774" s="985" t="s">
        <v>1627</v>
      </c>
      <c r="H1774" s="82" t="s">
        <v>629</v>
      </c>
      <c r="I1774" s="437"/>
      <c r="J1774" s="437"/>
      <c r="K1774" s="428"/>
      <c r="L1774" s="437"/>
      <c r="M1774" s="83">
        <v>5500000</v>
      </c>
      <c r="N1774" s="84" t="s">
        <v>591</v>
      </c>
      <c r="O1774" s="84" t="s">
        <v>8</v>
      </c>
      <c r="P1774" s="84" t="str">
        <f>IF(AND('331-CT'!$E$7=TH!H1774,OR(N1774="331",O1774="331")),"x","")</f>
        <v/>
      </c>
      <c r="Q1774" s="84" t="str">
        <f>IF(AND(B1774='111'!$L$11,OR($N1774=$Q$7,$O1774=$Q$7)),"x","")</f>
        <v/>
      </c>
      <c r="R1774" s="84" t="str">
        <f>IF(AND($N1774=$Q$7,$B1774&lt;'111'!$L$11),"x","")</f>
        <v/>
      </c>
      <c r="S1774" s="84" t="str">
        <f>IF(AND($O1774=$Q$7,$B1774&lt;'111'!$L$11),"x","")</f>
        <v/>
      </c>
      <c r="T1774" s="84" t="str">
        <f>IF(ISERROR(FIND('112'!$M$9,G1774,1)),"",IF((AND(FIND('112'!$M$9,G1774,1)&gt;=1,B1774='112'!$K$9,OR($N1774='112'!$I$6,$O1774='112'!$I$6))),"x",""))</f>
        <v/>
      </c>
      <c r="U1774" s="84" t="str">
        <f>IF(ISERROR(FIND('112'!$M$9,G1774,1)),"",IF((AND(LEFT(G1774,2)=LEFT('112'!$M$9,2),B1774&lt;'112'!$K$9,$N1774='112'!$I$6)),"x",""))</f>
        <v/>
      </c>
      <c r="V1774" s="84" t="str">
        <f>IF(ISERROR(FIND('112'!$M$9,G1774,1)),"",IF((AND(RIGHT(G1774,2)=RIGHT('112'!$M$9,2),B1774&lt;'112'!$K$9,$O1774='112'!$I$6)),"x",""))</f>
        <v/>
      </c>
      <c r="W1774" s="84" t="str">
        <f>IF(AND('341-CT'!$H$9=H1774,OR(LEFT(N1774,3)=$W$7,LEFT(O1774,3)=$W$7)),"x","")</f>
        <v/>
      </c>
      <c r="X1774" s="84" t="str">
        <f>IF(OR(TH!N1774=TH!$X$7,O1774=TH!$X$7),"x","")</f>
        <v/>
      </c>
      <c r="Y1774" s="84" t="str">
        <f>IF(AND(OR(N1774="131",O1774="131"),H1774='131-CT'!$H$9),"x","")</f>
        <v/>
      </c>
      <c r="Z1774" s="84"/>
      <c r="AA1774" s="84" t="str">
        <f>IF(AND(MONTH(E1774)='IN-NX'!$J$5,'IN-NX'!$D$7=D1774),"x","")</f>
        <v/>
      </c>
      <c r="AB1774" s="84" t="str">
        <f>IF(AND(OR(LEFT(TH!N1774,2)="15",LEFT(TH!O1774,2)="15"),LEFT(TH!O1774,3)&lt;&gt;"111",'152-CT'!$J$8=TH!F1774),"x","")</f>
        <v/>
      </c>
      <c r="AC1774" s="84" t="str">
        <f>IF(AND(OR(LEFT(TH!N1774,2)="15",LEFT(TH!O1774,2)="15"),TK!$E$7=TH!F1774),"x","")</f>
        <v/>
      </c>
      <c r="AD1774" s="84" t="str">
        <f>IF(AND(N1774="1521",MONTH(C1774)='BK-NL'!$M$11),"x","")</f>
        <v/>
      </c>
      <c r="AE1774" s="343" t="str">
        <f t="shared" si="237"/>
        <v>x</v>
      </c>
    </row>
    <row r="1775" spans="1:32" s="347" customFormat="1" ht="15.75" hidden="1" customHeight="1">
      <c r="A1775" s="1176" t="str">
        <f>IF(B1775&lt;&gt;"",IF(AND(B1775='IN-TC'!$S$4,OR(TH!N1775="1111",TH!O1775="1111")),TH!D1775,""),"")</f>
        <v/>
      </c>
      <c r="B1775" s="1003">
        <f t="shared" si="236"/>
        <v>6</v>
      </c>
      <c r="C1775" s="80">
        <v>42551</v>
      </c>
      <c r="D1775" s="80" t="s">
        <v>582</v>
      </c>
      <c r="E1775" s="80">
        <v>42544</v>
      </c>
      <c r="F1775" s="82" t="s">
        <v>638</v>
      </c>
      <c r="G1775" s="985" t="s">
        <v>1628</v>
      </c>
      <c r="H1775" s="82" t="s">
        <v>629</v>
      </c>
      <c r="I1775" s="437"/>
      <c r="J1775" s="437"/>
      <c r="K1775" s="428"/>
      <c r="L1775" s="437"/>
      <c r="M1775" s="83">
        <v>990000</v>
      </c>
      <c r="N1775" s="84" t="s">
        <v>591</v>
      </c>
      <c r="O1775" s="84" t="s">
        <v>8</v>
      </c>
      <c r="P1775" s="84" t="str">
        <f>IF(AND('331-CT'!$E$7=TH!H1775,OR(N1775="331",O1775="331")),"x","")</f>
        <v/>
      </c>
      <c r="Q1775" s="84" t="str">
        <f>IF(AND(B1775='111'!$L$11,OR($N1775=$Q$7,$O1775=$Q$7)),"x","")</f>
        <v/>
      </c>
      <c r="R1775" s="84" t="str">
        <f>IF(AND($N1775=$Q$7,$B1775&lt;'111'!$L$11),"x","")</f>
        <v/>
      </c>
      <c r="S1775" s="84" t="str">
        <f>IF(AND($O1775=$Q$7,$B1775&lt;'111'!$L$11),"x","")</f>
        <v/>
      </c>
      <c r="T1775" s="84" t="str">
        <f>IF(ISERROR(FIND('112'!$M$9,G1775,1)),"",IF((AND(FIND('112'!$M$9,G1775,1)&gt;=1,B1775='112'!$K$9,OR($N1775='112'!$I$6,$O1775='112'!$I$6))),"x",""))</f>
        <v/>
      </c>
      <c r="U1775" s="84" t="str">
        <f>IF(ISERROR(FIND('112'!$M$9,G1775,1)),"",IF((AND(LEFT(G1775,2)=LEFT('112'!$M$9,2),B1775&lt;'112'!$K$9,$N1775='112'!$I$6)),"x",""))</f>
        <v/>
      </c>
      <c r="V1775" s="84" t="str">
        <f>IF(ISERROR(FIND('112'!$M$9,G1775,1)),"",IF((AND(RIGHT(G1775,2)=RIGHT('112'!$M$9,2),B1775&lt;'112'!$K$9,$O1775='112'!$I$6)),"x",""))</f>
        <v/>
      </c>
      <c r="W1775" s="84" t="str">
        <f>IF(AND('341-CT'!$H$9=H1775,OR(LEFT(N1775,3)=$W$7,LEFT(O1775,3)=$W$7)),"x","")</f>
        <v/>
      </c>
      <c r="X1775" s="84" t="str">
        <f>IF(OR(TH!N1775=TH!$X$7,O1775=TH!$X$7),"x","")</f>
        <v/>
      </c>
      <c r="Y1775" s="84" t="str">
        <f>IF(AND(OR(N1775="131",O1775="131"),H1775='131-CT'!$H$9),"x","")</f>
        <v/>
      </c>
      <c r="Z1775" s="84"/>
      <c r="AA1775" s="84" t="str">
        <f>IF(AND(MONTH(E1775)='IN-NX'!$J$5,'IN-NX'!$D$7=D1775),"x","")</f>
        <v/>
      </c>
      <c r="AB1775" s="84" t="str">
        <f>IF(AND(OR(LEFT(TH!N1775,2)="15",LEFT(TH!O1775,2)="15"),LEFT(TH!O1775,3)&lt;&gt;"111",'152-CT'!$J$8=TH!F1775),"x","")</f>
        <v/>
      </c>
      <c r="AC1775" s="84" t="str">
        <f>IF(AND(OR(LEFT(TH!N1775,2)="15",LEFT(TH!O1775,2)="15"),TK!$E$7=TH!F1775),"x","")</f>
        <v/>
      </c>
      <c r="AD1775" s="84" t="str">
        <f>IF(AND(N1775="1521",MONTH(C1775)='BK-NL'!$M$11),"x","")</f>
        <v/>
      </c>
      <c r="AE1775" s="343" t="str">
        <f t="shared" si="237"/>
        <v>x</v>
      </c>
    </row>
    <row r="1776" spans="1:32" s="347" customFormat="1" ht="15.75" hidden="1" customHeight="1">
      <c r="A1776" s="1176" t="str">
        <f>IF(B1776&lt;&gt;"",IF(AND(B1776='IN-TC'!$S$4,OR(TH!N1776="1111",TH!O1776="1111")),TH!D1776,""),"")</f>
        <v/>
      </c>
      <c r="B1776" s="1003">
        <f t="shared" si="236"/>
        <v>6</v>
      </c>
      <c r="C1776" s="80">
        <v>42551</v>
      </c>
      <c r="D1776" s="80" t="s">
        <v>582</v>
      </c>
      <c r="E1776" s="80">
        <v>42541</v>
      </c>
      <c r="F1776" s="82" t="s">
        <v>1629</v>
      </c>
      <c r="G1776" s="985" t="s">
        <v>1630</v>
      </c>
      <c r="H1776" s="322" t="s">
        <v>1632</v>
      </c>
      <c r="I1776" s="437"/>
      <c r="J1776" s="437"/>
      <c r="K1776" s="428"/>
      <c r="L1776" s="437"/>
      <c r="M1776" s="83">
        <v>18448564</v>
      </c>
      <c r="N1776" s="84" t="s">
        <v>101</v>
      </c>
      <c r="O1776" s="84" t="s">
        <v>8</v>
      </c>
      <c r="P1776" s="84" t="str">
        <f>IF(AND('331-CT'!$E$7=TH!H1776,OR(N1776="331",O1776="331")),"x","")</f>
        <v/>
      </c>
      <c r="Q1776" s="84" t="str">
        <f>IF(AND(B1776='111'!$L$11,OR($N1776=$Q$7,$O1776=$Q$7)),"x","")</f>
        <v/>
      </c>
      <c r="R1776" s="84" t="str">
        <f>IF(AND($N1776=$Q$7,$B1776&lt;'111'!$L$11),"x","")</f>
        <v/>
      </c>
      <c r="S1776" s="84" t="str">
        <f>IF(AND($O1776=$Q$7,$B1776&lt;'111'!$L$11),"x","")</f>
        <v/>
      </c>
      <c r="T1776" s="84" t="str">
        <f>IF(ISERROR(FIND('112'!$M$9,G1776,1)),"",IF((AND(FIND('112'!$M$9,G1776,1)&gt;=1,B1776='112'!$K$9,OR($N1776='112'!$I$6,$O1776='112'!$I$6))),"x",""))</f>
        <v/>
      </c>
      <c r="U1776" s="84" t="str">
        <f>IF(ISERROR(FIND('112'!$M$9,G1776,1)),"",IF((AND(LEFT(G1776,2)=LEFT('112'!$M$9,2),B1776&lt;'112'!$K$9,$N1776='112'!$I$6)),"x",""))</f>
        <v/>
      </c>
      <c r="V1776" s="84" t="str">
        <f>IF(ISERROR(FIND('112'!$M$9,G1776,1)),"",IF((AND(RIGHT(G1776,2)=RIGHT('112'!$M$9,2),B1776&lt;'112'!$K$9,$O1776='112'!$I$6)),"x",""))</f>
        <v/>
      </c>
      <c r="W1776" s="84" t="str">
        <f>IF(AND('341-CT'!$H$9=H1776,OR(LEFT(N1776,3)=$W$7,LEFT(O1776,3)=$W$7)),"x","")</f>
        <v/>
      </c>
      <c r="X1776" s="84" t="str">
        <f>IF(OR(TH!N1776=TH!$X$7,O1776=TH!$X$7),"x","")</f>
        <v/>
      </c>
      <c r="Y1776" s="84" t="str">
        <f>IF(AND(OR(N1776="131",O1776="131"),H1776='131-CT'!$H$9),"x","")</f>
        <v/>
      </c>
      <c r="Z1776" s="84"/>
      <c r="AA1776" s="84" t="str">
        <f>IF(AND(MONTH(E1776)='IN-NX'!$J$5,'IN-NX'!$D$7=D1776),"x","")</f>
        <v/>
      </c>
      <c r="AB1776" s="84" t="str">
        <f>IF(AND(OR(LEFT(TH!N1776,2)="15",LEFT(TH!O1776,2)="15"),LEFT(TH!O1776,3)&lt;&gt;"111",'152-CT'!$J$8=TH!F1776),"x","")</f>
        <v/>
      </c>
      <c r="AC1776" s="84" t="str">
        <f>IF(AND(OR(LEFT(TH!N1776,2)="15",LEFT(TH!O1776,2)="15"),TK!$E$7=TH!F1776),"x","")</f>
        <v/>
      </c>
      <c r="AD1776" s="84" t="str">
        <f>IF(AND(N1776="1521",MONTH(C1776)='BK-NL'!$M$11),"x","")</f>
        <v/>
      </c>
      <c r="AE1776" s="343" t="str">
        <f t="shared" si="237"/>
        <v>x</v>
      </c>
      <c r="AF1776" s="347">
        <v>1</v>
      </c>
    </row>
    <row r="1777" spans="1:32" s="347" customFormat="1" ht="15.75" hidden="1" customHeight="1">
      <c r="A1777" s="1176" t="str">
        <f>IF(B1777&lt;&gt;"",IF(AND(B1777='IN-TC'!$S$4,OR(TH!N1777="1111",TH!O1777="1111")),TH!D1777,""),"")</f>
        <v/>
      </c>
      <c r="B1777" s="1003">
        <f t="shared" si="236"/>
        <v>6</v>
      </c>
      <c r="C1777" s="80">
        <v>42551</v>
      </c>
      <c r="D1777" s="80" t="s">
        <v>582</v>
      </c>
      <c r="E1777" s="80">
        <v>42541</v>
      </c>
      <c r="F1777" s="82" t="s">
        <v>1631</v>
      </c>
      <c r="G1777" s="985" t="s">
        <v>1630</v>
      </c>
      <c r="H1777" s="322" t="s">
        <v>1632</v>
      </c>
      <c r="I1777" s="437"/>
      <c r="J1777" s="437"/>
      <c r="K1777" s="428"/>
      <c r="L1777" s="437"/>
      <c r="M1777" s="83">
        <v>1844856</v>
      </c>
      <c r="N1777" s="84" t="s">
        <v>9</v>
      </c>
      <c r="O1777" s="84" t="s">
        <v>8</v>
      </c>
      <c r="P1777" s="84" t="str">
        <f>IF(AND('331-CT'!$E$7=TH!H1777,OR(N1777="331",O1777="331")),"x","")</f>
        <v/>
      </c>
      <c r="Q1777" s="84" t="str">
        <f>IF(AND(B1777='111'!$L$11,OR($N1777=$Q$7,$O1777=$Q$7)),"x","")</f>
        <v/>
      </c>
      <c r="R1777" s="84" t="str">
        <f>IF(AND($N1777=$Q$7,$B1777&lt;'111'!$L$11),"x","")</f>
        <v/>
      </c>
      <c r="S1777" s="84" t="str">
        <f>IF(AND($O1777=$Q$7,$B1777&lt;'111'!$L$11),"x","")</f>
        <v/>
      </c>
      <c r="T1777" s="84" t="str">
        <f>IF(ISERROR(FIND('112'!$M$9,G1777,1)),"",IF((AND(FIND('112'!$M$9,G1777,1)&gt;=1,B1777='112'!$K$9,OR($N1777='112'!$I$6,$O1777='112'!$I$6))),"x",""))</f>
        <v/>
      </c>
      <c r="U1777" s="84" t="str">
        <f>IF(ISERROR(FIND('112'!$M$9,G1777,1)),"",IF((AND(LEFT(G1777,2)=LEFT('112'!$M$9,2),B1777&lt;'112'!$K$9,$N1777='112'!$I$6)),"x",""))</f>
        <v/>
      </c>
      <c r="V1777" s="84" t="str">
        <f>IF(ISERROR(FIND('112'!$M$9,G1777,1)),"",IF((AND(RIGHT(G1777,2)=RIGHT('112'!$M$9,2),B1777&lt;'112'!$K$9,$O1777='112'!$I$6)),"x",""))</f>
        <v/>
      </c>
      <c r="W1777" s="84" t="str">
        <f>IF(AND('341-CT'!$H$9=H1777,OR(LEFT(N1777,3)=$W$7,LEFT(O1777,3)=$W$7)),"x","")</f>
        <v/>
      </c>
      <c r="X1777" s="84" t="str">
        <f>IF(OR(TH!N1777=TH!$X$7,O1777=TH!$X$7),"x","")</f>
        <v/>
      </c>
      <c r="Y1777" s="84" t="str">
        <f>IF(AND(OR(N1777="131",O1777="131"),H1777='131-CT'!$H$9),"x","")</f>
        <v/>
      </c>
      <c r="Z1777" s="84"/>
      <c r="AA1777" s="84" t="str">
        <f>IF(AND(MONTH(E1777)='IN-NX'!$J$5,'IN-NX'!$D$7=D1777),"x","")</f>
        <v/>
      </c>
      <c r="AB1777" s="84" t="str">
        <f>IF(AND(OR(LEFT(TH!N1777,2)="15",LEFT(TH!O1777,2)="15"),LEFT(TH!O1777,3)&lt;&gt;"111",'152-CT'!$J$8=TH!F1777),"x","")</f>
        <v/>
      </c>
      <c r="AC1777" s="84" t="str">
        <f>IF(AND(OR(LEFT(TH!N1777,2)="15",LEFT(TH!O1777,2)="15"),TK!$E$7=TH!F1777),"x","")</f>
        <v/>
      </c>
      <c r="AD1777" s="84" t="str">
        <f>IF(AND(N1777="1521",MONTH(C1777)='BK-NL'!$M$11),"x","")</f>
        <v/>
      </c>
      <c r="AE1777" s="343" t="str">
        <f t="shared" si="237"/>
        <v>x</v>
      </c>
    </row>
    <row r="1778" spans="1:32" s="347" customFormat="1" ht="15.75" hidden="1" customHeight="1">
      <c r="A1778" s="1176" t="str">
        <f>IF(B1778&lt;&gt;"",IF(AND(B1778='IN-TC'!$S$4,OR(TH!N1778="1111",TH!O1778="1111")),TH!D1778,""),"")</f>
        <v/>
      </c>
      <c r="B1778" s="1003">
        <f t="shared" si="236"/>
        <v>6</v>
      </c>
      <c r="C1778" s="80">
        <v>42551</v>
      </c>
      <c r="D1778" s="80" t="s">
        <v>582</v>
      </c>
      <c r="E1778" s="80">
        <v>42527</v>
      </c>
      <c r="F1778" s="82" t="s">
        <v>1667</v>
      </c>
      <c r="G1778" s="985" t="s">
        <v>1706</v>
      </c>
      <c r="H1778" s="82" t="s">
        <v>632</v>
      </c>
      <c r="I1778" s="437"/>
      <c r="J1778" s="437"/>
      <c r="K1778" s="428"/>
      <c r="L1778" s="437"/>
      <c r="M1778" s="83">
        <v>33334900</v>
      </c>
      <c r="N1778" s="84" t="s">
        <v>282</v>
      </c>
      <c r="O1778" s="84" t="s">
        <v>8</v>
      </c>
      <c r="P1778" s="84" t="str">
        <f>IF(AND('331-CT'!$E$7=TH!H1778,OR(N1778="331",O1778="331")),"x","")</f>
        <v/>
      </c>
      <c r="Q1778" s="84" t="str">
        <f>IF(AND(B1778='111'!$L$11,OR($N1778=$Q$7,$O1778=$Q$7)),"x","")</f>
        <v/>
      </c>
      <c r="R1778" s="84" t="str">
        <f>IF(AND($N1778=$Q$7,$B1778&lt;'111'!$L$11),"x","")</f>
        <v/>
      </c>
      <c r="S1778" s="84" t="str">
        <f>IF(AND($O1778=$Q$7,$B1778&lt;'111'!$L$11),"x","")</f>
        <v/>
      </c>
      <c r="T1778" s="84" t="str">
        <f>IF(ISERROR(FIND('112'!$M$9,G1778,1)),"",IF((AND(FIND('112'!$M$9,G1778,1)&gt;=1,B1778='112'!$K$9,OR($N1778='112'!$I$6,$O1778='112'!$I$6))),"x",""))</f>
        <v/>
      </c>
      <c r="U1778" s="84" t="str">
        <f>IF(ISERROR(FIND('112'!$M$9,G1778,1)),"",IF((AND(LEFT(G1778,2)=LEFT('112'!$M$9,2),B1778&lt;'112'!$K$9,$N1778='112'!$I$6)),"x",""))</f>
        <v/>
      </c>
      <c r="V1778" s="84" t="str">
        <f>IF(ISERROR(FIND('112'!$M$9,G1778,1)),"",IF((AND(RIGHT(G1778,2)=RIGHT('112'!$M$9,2),B1778&lt;'112'!$K$9,$O1778='112'!$I$6)),"x",""))</f>
        <v/>
      </c>
      <c r="W1778" s="84" t="str">
        <f>IF(AND('341-CT'!$H$9=H1778,OR(LEFT(N1778,3)=$W$7,LEFT(O1778,3)=$W$7)),"x","")</f>
        <v/>
      </c>
      <c r="X1778" s="84" t="str">
        <f>IF(OR(TH!N1778=TH!$X$7,O1778=TH!$X$7),"x","")</f>
        <v/>
      </c>
      <c r="Y1778" s="84" t="str">
        <f>IF(AND(OR(N1778="131",O1778="131"),H1778='131-CT'!$H$9),"x","")</f>
        <v/>
      </c>
      <c r="Z1778" s="84"/>
      <c r="AA1778" s="84" t="str">
        <f>IF(AND(MONTH(E1778)='IN-NX'!$J$5,'IN-NX'!$D$7=D1778),"x","")</f>
        <v/>
      </c>
      <c r="AB1778" s="84" t="str">
        <f>IF(AND(OR(LEFT(TH!N1778,2)="15",LEFT(TH!O1778,2)="15"),LEFT(TH!O1778,3)&lt;&gt;"111",'152-CT'!$J$8=TH!F1778),"x","")</f>
        <v/>
      </c>
      <c r="AC1778" s="84" t="str">
        <f>IF(AND(OR(LEFT(TH!N1778,2)="15",LEFT(TH!O1778,2)="15"),TK!$E$7=TH!F1778),"x","")</f>
        <v/>
      </c>
      <c r="AD1778" s="84" t="str">
        <f>IF(AND(N1778="1521",MONTH(C1778)='BK-NL'!$M$11),"x","")</f>
        <v/>
      </c>
      <c r="AE1778" s="343" t="str">
        <f t="shared" si="237"/>
        <v>x</v>
      </c>
      <c r="AF1778" s="347">
        <v>1</v>
      </c>
    </row>
    <row r="1779" spans="1:32" s="347" customFormat="1" ht="15.75" hidden="1" customHeight="1">
      <c r="A1779" s="1176" t="str">
        <f>IF(B1779&lt;&gt;"",IF(AND(B1779='IN-TC'!$S$4,OR(TH!N1779="1111",TH!O1779="1111")),TH!D1779,""),"")</f>
        <v/>
      </c>
      <c r="B1779" s="1003">
        <f t="shared" si="236"/>
        <v>6</v>
      </c>
      <c r="C1779" s="80">
        <v>42551</v>
      </c>
      <c r="D1779" s="80" t="s">
        <v>582</v>
      </c>
      <c r="E1779" s="80">
        <v>42527</v>
      </c>
      <c r="F1779" s="82" t="s">
        <v>1664</v>
      </c>
      <c r="G1779" s="985" t="s">
        <v>1706</v>
      </c>
      <c r="H1779" s="82" t="s">
        <v>632</v>
      </c>
      <c r="I1779" s="437"/>
      <c r="J1779" s="437"/>
      <c r="K1779" s="428"/>
      <c r="L1779" s="437"/>
      <c r="M1779" s="83">
        <v>3333490</v>
      </c>
      <c r="N1779" s="84" t="s">
        <v>9</v>
      </c>
      <c r="O1779" s="84" t="s">
        <v>8</v>
      </c>
      <c r="P1779" s="84" t="str">
        <f>IF(AND('331-CT'!$E$7=TH!H1779,OR(N1779="331",O1779="331")),"x","")</f>
        <v/>
      </c>
      <c r="Q1779" s="84" t="str">
        <f>IF(AND(B1779='111'!$L$11,OR($N1779=$Q$7,$O1779=$Q$7)),"x","")</f>
        <v/>
      </c>
      <c r="R1779" s="84" t="str">
        <f>IF(AND($N1779=$Q$7,$B1779&lt;'111'!$L$11),"x","")</f>
        <v/>
      </c>
      <c r="S1779" s="84" t="str">
        <f>IF(AND($O1779=$Q$7,$B1779&lt;'111'!$L$11),"x","")</f>
        <v/>
      </c>
      <c r="T1779" s="84" t="str">
        <f>IF(ISERROR(FIND('112'!$M$9,G1779,1)),"",IF((AND(FIND('112'!$M$9,G1779,1)&gt;=1,B1779='112'!$K$9,OR($N1779='112'!$I$6,$O1779='112'!$I$6))),"x",""))</f>
        <v/>
      </c>
      <c r="U1779" s="84" t="str">
        <f>IF(ISERROR(FIND('112'!$M$9,G1779,1)),"",IF((AND(LEFT(G1779,2)=LEFT('112'!$M$9,2),B1779&lt;'112'!$K$9,$N1779='112'!$I$6)),"x",""))</f>
        <v/>
      </c>
      <c r="V1779" s="84" t="str">
        <f>IF(ISERROR(FIND('112'!$M$9,G1779,1)),"",IF((AND(RIGHT(G1779,2)=RIGHT('112'!$M$9,2),B1779&lt;'112'!$K$9,$O1779='112'!$I$6)),"x",""))</f>
        <v/>
      </c>
      <c r="W1779" s="84" t="str">
        <f>IF(AND('341-CT'!$H$9=H1779,OR(LEFT(N1779,3)=$W$7,LEFT(O1779,3)=$W$7)),"x","")</f>
        <v/>
      </c>
      <c r="X1779" s="84" t="str">
        <f>IF(OR(TH!N1779=TH!$X$7,O1779=TH!$X$7),"x","")</f>
        <v/>
      </c>
      <c r="Y1779" s="84" t="str">
        <f>IF(AND(OR(N1779="131",O1779="131"),H1779='131-CT'!$H$9),"x","")</f>
        <v/>
      </c>
      <c r="Z1779" s="84"/>
      <c r="AA1779" s="84" t="str">
        <f>IF(AND(MONTH(E1779)='IN-NX'!$J$5,'IN-NX'!$D$7=D1779),"x","")</f>
        <v/>
      </c>
      <c r="AB1779" s="84" t="str">
        <f>IF(AND(OR(LEFT(TH!N1779,2)="15",LEFT(TH!O1779,2)="15"),LEFT(TH!O1779,3)&lt;&gt;"111",'152-CT'!$J$8=TH!F1779),"x","")</f>
        <v/>
      </c>
      <c r="AC1779" s="84" t="str">
        <f>IF(AND(OR(LEFT(TH!N1779,2)="15",LEFT(TH!O1779,2)="15"),TK!$E$7=TH!F1779),"x","")</f>
        <v/>
      </c>
      <c r="AD1779" s="84" t="str">
        <f>IF(AND(N1779="1521",MONTH(C1779)='BK-NL'!$M$11),"x","")</f>
        <v/>
      </c>
      <c r="AE1779" s="343" t="str">
        <f t="shared" si="237"/>
        <v>x</v>
      </c>
    </row>
    <row r="1780" spans="1:32" s="347" customFormat="1" ht="15.75" hidden="1" customHeight="1">
      <c r="A1780" s="1176" t="str">
        <f>IF(B1780&lt;&gt;"",IF(AND(B1780='IN-TC'!$S$4,OR(TH!N1780="1111",TH!O1780="1111")),TH!D1780,""),"")</f>
        <v/>
      </c>
      <c r="B1780" s="1003">
        <f t="shared" si="236"/>
        <v>6</v>
      </c>
      <c r="C1780" s="80">
        <v>42551</v>
      </c>
      <c r="D1780" s="80" t="s">
        <v>582</v>
      </c>
      <c r="E1780" s="80">
        <v>42537</v>
      </c>
      <c r="F1780" s="82" t="s">
        <v>1668</v>
      </c>
      <c r="G1780" s="985" t="s">
        <v>1707</v>
      </c>
      <c r="H1780" s="82" t="s">
        <v>632</v>
      </c>
      <c r="I1780" s="437"/>
      <c r="J1780" s="437"/>
      <c r="K1780" s="428"/>
      <c r="L1780" s="437"/>
      <c r="M1780" s="83">
        <v>26409100</v>
      </c>
      <c r="N1780" s="84" t="s">
        <v>282</v>
      </c>
      <c r="O1780" s="84" t="s">
        <v>8</v>
      </c>
      <c r="P1780" s="84" t="str">
        <f>IF(AND('331-CT'!$E$7=TH!H1780,OR(N1780="331",O1780="331")),"x","")</f>
        <v/>
      </c>
      <c r="Q1780" s="84" t="str">
        <f>IF(AND(B1780='111'!$L$11,OR($N1780=$Q$7,$O1780=$Q$7)),"x","")</f>
        <v/>
      </c>
      <c r="R1780" s="84" t="str">
        <f>IF(AND($N1780=$Q$7,$B1780&lt;'111'!$L$11),"x","")</f>
        <v/>
      </c>
      <c r="S1780" s="84" t="str">
        <f>IF(AND($O1780=$Q$7,$B1780&lt;'111'!$L$11),"x","")</f>
        <v/>
      </c>
      <c r="T1780" s="84" t="str">
        <f>IF(ISERROR(FIND('112'!$M$9,G1780,1)),"",IF((AND(FIND('112'!$M$9,G1780,1)&gt;=1,B1780='112'!$K$9,OR($N1780='112'!$I$6,$O1780='112'!$I$6))),"x",""))</f>
        <v/>
      </c>
      <c r="U1780" s="84" t="str">
        <f>IF(ISERROR(FIND('112'!$M$9,G1780,1)),"",IF((AND(LEFT(G1780,2)=LEFT('112'!$M$9,2),B1780&lt;'112'!$K$9,$N1780='112'!$I$6)),"x",""))</f>
        <v/>
      </c>
      <c r="V1780" s="84" t="str">
        <f>IF(ISERROR(FIND('112'!$M$9,G1780,1)),"",IF((AND(RIGHT(G1780,2)=RIGHT('112'!$M$9,2),B1780&lt;'112'!$K$9,$O1780='112'!$I$6)),"x",""))</f>
        <v/>
      </c>
      <c r="W1780" s="84" t="str">
        <f>IF(AND('341-CT'!$H$9=H1780,OR(LEFT(N1780,3)=$W$7,LEFT(O1780,3)=$W$7)),"x","")</f>
        <v/>
      </c>
      <c r="X1780" s="84" t="str">
        <f>IF(OR(TH!N1780=TH!$X$7,O1780=TH!$X$7),"x","")</f>
        <v/>
      </c>
      <c r="Y1780" s="84" t="str">
        <f>IF(AND(OR(N1780="131",O1780="131"),H1780='131-CT'!$H$9),"x","")</f>
        <v/>
      </c>
      <c r="Z1780" s="84"/>
      <c r="AA1780" s="84" t="str">
        <f>IF(AND(MONTH(E1780)='IN-NX'!$J$5,'IN-NX'!$D$7=D1780),"x","")</f>
        <v/>
      </c>
      <c r="AB1780" s="84" t="str">
        <f>IF(AND(OR(LEFT(TH!N1780,2)="15",LEFT(TH!O1780,2)="15"),LEFT(TH!O1780,3)&lt;&gt;"111",'152-CT'!$J$8=TH!F1780),"x","")</f>
        <v/>
      </c>
      <c r="AC1780" s="84" t="str">
        <f>IF(AND(OR(LEFT(TH!N1780,2)="15",LEFT(TH!O1780,2)="15"),TK!$E$7=TH!F1780),"x","")</f>
        <v/>
      </c>
      <c r="AD1780" s="84" t="str">
        <f>IF(AND(N1780="1521",MONTH(C1780)='BK-NL'!$M$11),"x","")</f>
        <v/>
      </c>
      <c r="AE1780" s="343" t="str">
        <f t="shared" si="237"/>
        <v>x</v>
      </c>
      <c r="AF1780" s="347">
        <v>1</v>
      </c>
    </row>
    <row r="1781" spans="1:32" s="347" customFormat="1" ht="15.75" hidden="1" customHeight="1">
      <c r="A1781" s="1176" t="str">
        <f>IF(B1781&lt;&gt;"",IF(AND(B1781='IN-TC'!$S$4,OR(TH!N1781="1111",TH!O1781="1111")),TH!D1781,""),"")</f>
        <v/>
      </c>
      <c r="B1781" s="1003">
        <f t="shared" si="236"/>
        <v>6</v>
      </c>
      <c r="C1781" s="80">
        <v>42551</v>
      </c>
      <c r="D1781" s="80" t="s">
        <v>582</v>
      </c>
      <c r="E1781" s="80">
        <v>42537</v>
      </c>
      <c r="F1781" s="82" t="s">
        <v>1665</v>
      </c>
      <c r="G1781" s="985" t="s">
        <v>1707</v>
      </c>
      <c r="H1781" s="82" t="s">
        <v>632</v>
      </c>
      <c r="I1781" s="437"/>
      <c r="J1781" s="437"/>
      <c r="K1781" s="428"/>
      <c r="L1781" s="437"/>
      <c r="M1781" s="83">
        <v>2640910</v>
      </c>
      <c r="N1781" s="84" t="s">
        <v>9</v>
      </c>
      <c r="O1781" s="84" t="s">
        <v>8</v>
      </c>
      <c r="P1781" s="84" t="str">
        <f>IF(AND('331-CT'!$E$7=TH!H1781,OR(N1781="331",O1781="331")),"x","")</f>
        <v/>
      </c>
      <c r="Q1781" s="84" t="str">
        <f>IF(AND(B1781='111'!$L$11,OR($N1781=$Q$7,$O1781=$Q$7)),"x","")</f>
        <v/>
      </c>
      <c r="R1781" s="84" t="str">
        <f>IF(AND($N1781=$Q$7,$B1781&lt;'111'!$L$11),"x","")</f>
        <v/>
      </c>
      <c r="S1781" s="84" t="str">
        <f>IF(AND($O1781=$Q$7,$B1781&lt;'111'!$L$11),"x","")</f>
        <v/>
      </c>
      <c r="T1781" s="84" t="str">
        <f>IF(ISERROR(FIND('112'!$M$9,G1781,1)),"",IF((AND(FIND('112'!$M$9,G1781,1)&gt;=1,B1781='112'!$K$9,OR($N1781='112'!$I$6,$O1781='112'!$I$6))),"x",""))</f>
        <v/>
      </c>
      <c r="U1781" s="84" t="str">
        <f>IF(ISERROR(FIND('112'!$M$9,G1781,1)),"",IF((AND(LEFT(G1781,2)=LEFT('112'!$M$9,2),B1781&lt;'112'!$K$9,$N1781='112'!$I$6)),"x",""))</f>
        <v/>
      </c>
      <c r="V1781" s="84" t="str">
        <f>IF(ISERROR(FIND('112'!$M$9,G1781,1)),"",IF((AND(RIGHT(G1781,2)=RIGHT('112'!$M$9,2),B1781&lt;'112'!$K$9,$O1781='112'!$I$6)),"x",""))</f>
        <v/>
      </c>
      <c r="W1781" s="84" t="str">
        <f>IF(AND('341-CT'!$H$9=H1781,OR(LEFT(N1781,3)=$W$7,LEFT(O1781,3)=$W$7)),"x","")</f>
        <v/>
      </c>
      <c r="X1781" s="84" t="str">
        <f>IF(OR(TH!N1781=TH!$X$7,O1781=TH!$X$7),"x","")</f>
        <v/>
      </c>
      <c r="Y1781" s="84" t="str">
        <f>IF(AND(OR(N1781="131",O1781="131"),H1781='131-CT'!$H$9),"x","")</f>
        <v/>
      </c>
      <c r="Z1781" s="84"/>
      <c r="AA1781" s="84" t="str">
        <f>IF(AND(MONTH(E1781)='IN-NX'!$J$5,'IN-NX'!$D$7=D1781),"x","")</f>
        <v/>
      </c>
      <c r="AB1781" s="84" t="str">
        <f>IF(AND(OR(LEFT(TH!N1781,2)="15",LEFT(TH!O1781,2)="15"),LEFT(TH!O1781,3)&lt;&gt;"111",'152-CT'!$J$8=TH!F1781),"x","")</f>
        <v/>
      </c>
      <c r="AC1781" s="84" t="str">
        <f>IF(AND(OR(LEFT(TH!N1781,2)="15",LEFT(TH!O1781,2)="15"),TK!$E$7=TH!F1781),"x","")</f>
        <v/>
      </c>
      <c r="AD1781" s="84" t="str">
        <f>IF(AND(N1781="1521",MONTH(C1781)='BK-NL'!$M$11),"x","")</f>
        <v/>
      </c>
      <c r="AE1781" s="343" t="str">
        <f t="shared" si="237"/>
        <v>x</v>
      </c>
    </row>
    <row r="1782" spans="1:32" s="347" customFormat="1" ht="15.75" hidden="1" customHeight="1">
      <c r="A1782" s="1176" t="str">
        <f>IF(B1782&lt;&gt;"",IF(AND(B1782='IN-TC'!$S$4,OR(TH!N1782="1111",TH!O1782="1111")),TH!D1782,""),"")</f>
        <v/>
      </c>
      <c r="B1782" s="1003">
        <f t="shared" si="236"/>
        <v>6</v>
      </c>
      <c r="C1782" s="80">
        <v>42551</v>
      </c>
      <c r="D1782" s="80" t="s">
        <v>582</v>
      </c>
      <c r="E1782" s="80">
        <v>42547</v>
      </c>
      <c r="F1782" s="82" t="s">
        <v>1669</v>
      </c>
      <c r="G1782" s="985" t="s">
        <v>1708</v>
      </c>
      <c r="H1782" s="82" t="s">
        <v>632</v>
      </c>
      <c r="I1782" s="437"/>
      <c r="J1782" s="437"/>
      <c r="K1782" s="428"/>
      <c r="L1782" s="437"/>
      <c r="M1782" s="83">
        <v>25426100</v>
      </c>
      <c r="N1782" s="84" t="s">
        <v>282</v>
      </c>
      <c r="O1782" s="84" t="s">
        <v>8</v>
      </c>
      <c r="P1782" s="84" t="str">
        <f>IF(AND('331-CT'!$E$7=TH!H1782,OR(N1782="331",O1782="331")),"x","")</f>
        <v/>
      </c>
      <c r="Q1782" s="84" t="str">
        <f>IF(AND(B1782='111'!$L$11,OR($N1782=$Q$7,$O1782=$Q$7)),"x","")</f>
        <v/>
      </c>
      <c r="R1782" s="84" t="str">
        <f>IF(AND($N1782=$Q$7,$B1782&lt;'111'!$L$11),"x","")</f>
        <v/>
      </c>
      <c r="S1782" s="84" t="str">
        <f>IF(AND($O1782=$Q$7,$B1782&lt;'111'!$L$11),"x","")</f>
        <v/>
      </c>
      <c r="T1782" s="84" t="str">
        <f>IF(ISERROR(FIND('112'!$M$9,G1782,1)),"",IF((AND(FIND('112'!$M$9,G1782,1)&gt;=1,B1782='112'!$K$9,OR($N1782='112'!$I$6,$O1782='112'!$I$6))),"x",""))</f>
        <v/>
      </c>
      <c r="U1782" s="84" t="str">
        <f>IF(ISERROR(FIND('112'!$M$9,G1782,1)),"",IF((AND(LEFT(G1782,2)=LEFT('112'!$M$9,2),B1782&lt;'112'!$K$9,$N1782='112'!$I$6)),"x",""))</f>
        <v/>
      </c>
      <c r="V1782" s="84" t="str">
        <f>IF(ISERROR(FIND('112'!$M$9,G1782,1)),"",IF((AND(RIGHT(G1782,2)=RIGHT('112'!$M$9,2),B1782&lt;'112'!$K$9,$O1782='112'!$I$6)),"x",""))</f>
        <v/>
      </c>
      <c r="W1782" s="84" t="str">
        <f>IF(AND('341-CT'!$H$9=H1782,OR(LEFT(N1782,3)=$W$7,LEFT(O1782,3)=$W$7)),"x","")</f>
        <v/>
      </c>
      <c r="X1782" s="84" t="str">
        <f>IF(OR(TH!N1782=TH!$X$7,O1782=TH!$X$7),"x","")</f>
        <v/>
      </c>
      <c r="Y1782" s="84" t="str">
        <f>IF(AND(OR(N1782="131",O1782="131"),H1782='131-CT'!$H$9),"x","")</f>
        <v/>
      </c>
      <c r="Z1782" s="84"/>
      <c r="AA1782" s="84" t="str">
        <f>IF(AND(MONTH(E1782)='IN-NX'!$J$5,'IN-NX'!$D$7=D1782),"x","")</f>
        <v/>
      </c>
      <c r="AB1782" s="84" t="str">
        <f>IF(AND(OR(LEFT(TH!N1782,2)="15",LEFT(TH!O1782,2)="15"),LEFT(TH!O1782,3)&lt;&gt;"111",'152-CT'!$J$8=TH!F1782),"x","")</f>
        <v/>
      </c>
      <c r="AC1782" s="84" t="str">
        <f>IF(AND(OR(LEFT(TH!N1782,2)="15",LEFT(TH!O1782,2)="15"),TK!$E$7=TH!F1782),"x","")</f>
        <v/>
      </c>
      <c r="AD1782" s="84" t="str">
        <f>IF(AND(N1782="1521",MONTH(C1782)='BK-NL'!$M$11),"x","")</f>
        <v/>
      </c>
      <c r="AE1782" s="343" t="str">
        <f t="shared" si="237"/>
        <v>x</v>
      </c>
      <c r="AF1782" s="347">
        <v>1</v>
      </c>
    </row>
    <row r="1783" spans="1:32" s="347" customFormat="1" ht="15.75" hidden="1" customHeight="1">
      <c r="A1783" s="1176" t="str">
        <f>IF(B1783&lt;&gt;"",IF(AND(B1783='IN-TC'!$S$4,OR(TH!N1783="1111",TH!O1783="1111")),TH!D1783,""),"")</f>
        <v/>
      </c>
      <c r="B1783" s="1003">
        <f t="shared" si="236"/>
        <v>6</v>
      </c>
      <c r="C1783" s="80">
        <v>42551</v>
      </c>
      <c r="D1783" s="80" t="s">
        <v>582</v>
      </c>
      <c r="E1783" s="80">
        <v>42547</v>
      </c>
      <c r="F1783" s="82" t="s">
        <v>1666</v>
      </c>
      <c r="G1783" s="985" t="s">
        <v>1708</v>
      </c>
      <c r="H1783" s="82" t="s">
        <v>632</v>
      </c>
      <c r="I1783" s="437"/>
      <c r="J1783" s="437"/>
      <c r="K1783" s="428"/>
      <c r="L1783" s="437"/>
      <c r="M1783" s="83">
        <v>2542610</v>
      </c>
      <c r="N1783" s="84" t="s">
        <v>9</v>
      </c>
      <c r="O1783" s="84" t="s">
        <v>8</v>
      </c>
      <c r="P1783" s="84" t="str">
        <f>IF(AND('331-CT'!$E$7=TH!H1783,OR(N1783="331",O1783="331")),"x","")</f>
        <v/>
      </c>
      <c r="Q1783" s="84" t="str">
        <f>IF(AND(B1783='111'!$L$11,OR($N1783=$Q$7,$O1783=$Q$7)),"x","")</f>
        <v/>
      </c>
      <c r="R1783" s="84" t="str">
        <f>IF(AND($N1783=$Q$7,$B1783&lt;'111'!$L$11),"x","")</f>
        <v/>
      </c>
      <c r="S1783" s="84" t="str">
        <f>IF(AND($O1783=$Q$7,$B1783&lt;'111'!$L$11),"x","")</f>
        <v/>
      </c>
      <c r="T1783" s="84" t="str">
        <f>IF(ISERROR(FIND('112'!$M$9,G1783,1)),"",IF((AND(FIND('112'!$M$9,G1783,1)&gt;=1,B1783='112'!$K$9,OR($N1783='112'!$I$6,$O1783='112'!$I$6))),"x",""))</f>
        <v/>
      </c>
      <c r="U1783" s="84" t="str">
        <f>IF(ISERROR(FIND('112'!$M$9,G1783,1)),"",IF((AND(LEFT(G1783,2)=LEFT('112'!$M$9,2),B1783&lt;'112'!$K$9,$N1783='112'!$I$6)),"x",""))</f>
        <v/>
      </c>
      <c r="V1783" s="84" t="str">
        <f>IF(ISERROR(FIND('112'!$M$9,G1783,1)),"",IF((AND(RIGHT(G1783,2)=RIGHT('112'!$M$9,2),B1783&lt;'112'!$K$9,$O1783='112'!$I$6)),"x",""))</f>
        <v/>
      </c>
      <c r="W1783" s="84" t="str">
        <f>IF(AND('341-CT'!$H$9=H1783,OR(LEFT(N1783,3)=$W$7,LEFT(O1783,3)=$W$7)),"x","")</f>
        <v/>
      </c>
      <c r="X1783" s="84" t="str">
        <f>IF(OR(TH!N1783=TH!$X$7,O1783=TH!$X$7),"x","")</f>
        <v/>
      </c>
      <c r="Y1783" s="84" t="str">
        <f>IF(AND(OR(N1783="131",O1783="131"),H1783='131-CT'!$H$9),"x","")</f>
        <v/>
      </c>
      <c r="Z1783" s="84"/>
      <c r="AA1783" s="84" t="str">
        <f>IF(AND(MONTH(E1783)='IN-NX'!$J$5,'IN-NX'!$D$7=D1783),"x","")</f>
        <v/>
      </c>
      <c r="AB1783" s="84" t="str">
        <f>IF(AND(OR(LEFT(TH!N1783,2)="15",LEFT(TH!O1783,2)="15"),LEFT(TH!O1783,3)&lt;&gt;"111",'152-CT'!$J$8=TH!F1783),"x","")</f>
        <v/>
      </c>
      <c r="AC1783" s="84" t="str">
        <f>IF(AND(OR(LEFT(TH!N1783,2)="15",LEFT(TH!O1783,2)="15"),TK!$E$7=TH!F1783),"x","")</f>
        <v/>
      </c>
      <c r="AD1783" s="84" t="str">
        <f>IF(AND(N1783="1521",MONTH(C1783)='BK-NL'!$M$11),"x","")</f>
        <v/>
      </c>
      <c r="AE1783" s="343" t="str">
        <f t="shared" si="237"/>
        <v>x</v>
      </c>
    </row>
    <row r="1784" spans="1:32" s="347" customFormat="1" ht="15.75" hidden="1" customHeight="1">
      <c r="A1784" s="1176" t="str">
        <f>IF(B1784&lt;&gt;"",IF(AND(B1784='IN-TC'!$S$4,OR(TH!N1784="1111",TH!O1784="1111")),TH!D1784,""),"")</f>
        <v/>
      </c>
      <c r="B1784" s="1003">
        <f t="shared" si="236"/>
        <v>6</v>
      </c>
      <c r="C1784" s="80">
        <v>42551</v>
      </c>
      <c r="D1784" s="80" t="s">
        <v>582</v>
      </c>
      <c r="E1784" s="80">
        <v>42549</v>
      </c>
      <c r="F1784" s="82" t="s">
        <v>1698</v>
      </c>
      <c r="G1784" s="985" t="s">
        <v>1699</v>
      </c>
      <c r="H1784" s="82" t="s">
        <v>629</v>
      </c>
      <c r="I1784" s="437"/>
      <c r="J1784" s="437"/>
      <c r="K1784" s="428"/>
      <c r="L1784" s="437"/>
      <c r="M1784" s="83">
        <v>9785000</v>
      </c>
      <c r="N1784" s="84" t="s">
        <v>591</v>
      </c>
      <c r="O1784" s="84" t="s">
        <v>8</v>
      </c>
      <c r="P1784" s="84" t="str">
        <f>IF(AND('331-CT'!$E$7=TH!H1784,OR(N1784="331",O1784="331")),"x","")</f>
        <v/>
      </c>
      <c r="Q1784" s="84" t="str">
        <f>IF(AND(B1784='111'!$L$11,OR($N1784=$Q$7,$O1784=$Q$7)),"x","")</f>
        <v/>
      </c>
      <c r="R1784" s="84" t="str">
        <f>IF(AND($N1784=$Q$7,$B1784&lt;'111'!$L$11),"x","")</f>
        <v/>
      </c>
      <c r="S1784" s="84" t="str">
        <f>IF(AND($O1784=$Q$7,$B1784&lt;'111'!$L$11),"x","")</f>
        <v/>
      </c>
      <c r="T1784" s="84" t="str">
        <f>IF(ISERROR(FIND('112'!$M$9,G1784,1)),"",IF((AND(FIND('112'!$M$9,G1784,1)&gt;=1,B1784='112'!$K$9,OR($N1784='112'!$I$6,$O1784='112'!$I$6))),"x",""))</f>
        <v/>
      </c>
      <c r="U1784" s="84" t="str">
        <f>IF(ISERROR(FIND('112'!$M$9,G1784,1)),"",IF((AND(LEFT(G1784,2)=LEFT('112'!$M$9,2),B1784&lt;'112'!$K$9,$N1784='112'!$I$6)),"x",""))</f>
        <v/>
      </c>
      <c r="V1784" s="84" t="str">
        <f>IF(ISERROR(FIND('112'!$M$9,G1784,1)),"",IF((AND(RIGHT(G1784,2)=RIGHT('112'!$M$9,2),B1784&lt;'112'!$K$9,$O1784='112'!$I$6)),"x",""))</f>
        <v/>
      </c>
      <c r="W1784" s="84" t="str">
        <f>IF(AND('341-CT'!$H$9=H1784,OR(LEFT(N1784,3)=$W$7,LEFT(O1784,3)=$W$7)),"x","")</f>
        <v/>
      </c>
      <c r="X1784" s="84" t="str">
        <f>IF(OR(TH!N1784=TH!$X$7,O1784=TH!$X$7),"x","")</f>
        <v/>
      </c>
      <c r="Y1784" s="84" t="str">
        <f>IF(AND(OR(N1784="131",O1784="131"),H1784='131-CT'!$H$9),"x","")</f>
        <v/>
      </c>
      <c r="Z1784" s="84"/>
      <c r="AA1784" s="84" t="str">
        <f>IF(AND(MONTH(E1784)='IN-NX'!$J$5,'IN-NX'!$D$7=D1784),"x","")</f>
        <v/>
      </c>
      <c r="AB1784" s="84" t="str">
        <f>IF(AND(OR(LEFT(TH!N1784,2)="15",LEFT(TH!O1784,2)="15"),LEFT(TH!O1784,3)&lt;&gt;"111",'152-CT'!$J$8=TH!F1784),"x","")</f>
        <v/>
      </c>
      <c r="AC1784" s="84" t="str">
        <f>IF(AND(OR(LEFT(TH!N1784,2)="15",LEFT(TH!O1784,2)="15"),TK!$E$7=TH!F1784),"x","")</f>
        <v/>
      </c>
      <c r="AD1784" s="84" t="str">
        <f>IF(AND(N1784="1521",MONTH(C1784)='BK-NL'!$M$11),"x","")</f>
        <v/>
      </c>
      <c r="AE1784" s="343" t="str">
        <f t="shared" si="237"/>
        <v>x</v>
      </c>
    </row>
    <row r="1785" spans="1:32" s="347" customFormat="1" ht="15.75" hidden="1" customHeight="1">
      <c r="A1785" s="1176" t="str">
        <f>IF(B1785&lt;&gt;"",IF(AND(B1785='IN-TC'!$S$4,OR(TH!N1785="1111",TH!O1785="1111")),TH!D1785,""),"")</f>
        <v/>
      </c>
      <c r="B1785" s="1003">
        <f t="shared" si="236"/>
        <v>6</v>
      </c>
      <c r="C1785" s="80">
        <v>42551</v>
      </c>
      <c r="D1785" s="80" t="s">
        <v>582</v>
      </c>
      <c r="E1785" s="80">
        <v>42550</v>
      </c>
      <c r="F1785" s="82" t="s">
        <v>638</v>
      </c>
      <c r="G1785" s="985" t="s">
        <v>1700</v>
      </c>
      <c r="H1785" s="82" t="s">
        <v>629</v>
      </c>
      <c r="I1785" s="437"/>
      <c r="J1785" s="437"/>
      <c r="K1785" s="428"/>
      <c r="L1785" s="437"/>
      <c r="M1785" s="83">
        <v>600000</v>
      </c>
      <c r="N1785" s="84" t="s">
        <v>591</v>
      </c>
      <c r="O1785" s="84" t="s">
        <v>8</v>
      </c>
      <c r="P1785" s="84" t="str">
        <f>IF(AND('331-CT'!$E$7=TH!H1785,OR(N1785="331",O1785="331")),"x","")</f>
        <v/>
      </c>
      <c r="Q1785" s="84" t="str">
        <f>IF(AND(B1785='111'!$L$11,OR($N1785=$Q$7,$O1785=$Q$7)),"x","")</f>
        <v/>
      </c>
      <c r="R1785" s="84" t="str">
        <f>IF(AND($N1785=$Q$7,$B1785&lt;'111'!$L$11),"x","")</f>
        <v/>
      </c>
      <c r="S1785" s="84" t="str">
        <f>IF(AND($O1785=$Q$7,$B1785&lt;'111'!$L$11),"x","")</f>
        <v/>
      </c>
      <c r="T1785" s="84" t="str">
        <f>IF(ISERROR(FIND('112'!$M$9,G1785,1)),"",IF((AND(FIND('112'!$M$9,G1785,1)&gt;=1,B1785='112'!$K$9,OR($N1785='112'!$I$6,$O1785='112'!$I$6))),"x",""))</f>
        <v/>
      </c>
      <c r="U1785" s="84" t="str">
        <f>IF(ISERROR(FIND('112'!$M$9,G1785,1)),"",IF((AND(LEFT(G1785,2)=LEFT('112'!$M$9,2),B1785&lt;'112'!$K$9,$N1785='112'!$I$6)),"x",""))</f>
        <v/>
      </c>
      <c r="V1785" s="84" t="str">
        <f>IF(ISERROR(FIND('112'!$M$9,G1785,1)),"",IF((AND(RIGHT(G1785,2)=RIGHT('112'!$M$9,2),B1785&lt;'112'!$K$9,$O1785='112'!$I$6)),"x",""))</f>
        <v/>
      </c>
      <c r="W1785" s="84" t="str">
        <f>IF(AND('341-CT'!$H$9=H1785,OR(LEFT(N1785,3)=$W$7,LEFT(O1785,3)=$W$7)),"x","")</f>
        <v/>
      </c>
      <c r="X1785" s="84" t="str">
        <f>IF(OR(TH!N1785=TH!$X$7,O1785=TH!$X$7),"x","")</f>
        <v/>
      </c>
      <c r="Y1785" s="84" t="str">
        <f>IF(AND(OR(N1785="131",O1785="131"),H1785='131-CT'!$H$9),"x","")</f>
        <v/>
      </c>
      <c r="Z1785" s="84"/>
      <c r="AA1785" s="84" t="str">
        <f>IF(AND(MONTH(E1785)='IN-NX'!$J$5,'IN-NX'!$D$7=D1785),"x","")</f>
        <v/>
      </c>
      <c r="AB1785" s="84" t="str">
        <f>IF(AND(OR(LEFT(TH!N1785,2)="15",LEFT(TH!O1785,2)="15"),LEFT(TH!O1785,3)&lt;&gt;"111",'152-CT'!$J$8=TH!F1785),"x","")</f>
        <v/>
      </c>
      <c r="AC1785" s="84" t="str">
        <f>IF(AND(OR(LEFT(TH!N1785,2)="15",LEFT(TH!O1785,2)="15"),TK!$E$7=TH!F1785),"x","")</f>
        <v/>
      </c>
      <c r="AD1785" s="84" t="str">
        <f>IF(AND(N1785="1521",MONTH(C1785)='BK-NL'!$M$11),"x","")</f>
        <v/>
      </c>
      <c r="AE1785" s="343" t="str">
        <f t="shared" si="237"/>
        <v>x</v>
      </c>
    </row>
    <row r="1786" spans="1:32" ht="15.75" hidden="1" customHeight="1">
      <c r="A1786" s="336" t="str">
        <f>IF(B1786&lt;&gt;"",IF(AND(B1786='IN-TC'!$S$4,OR(TH!N1786="1111",TH!O1786="1111")),TH!D1786,""),"")</f>
        <v/>
      </c>
      <c r="B1786" s="63">
        <f t="shared" si="236"/>
        <v>6</v>
      </c>
      <c r="C1786" s="64">
        <v>42551</v>
      </c>
      <c r="D1786" s="64" t="s">
        <v>702</v>
      </c>
      <c r="E1786" s="64">
        <f>C1786</f>
        <v>42551</v>
      </c>
      <c r="F1786" s="73" t="s">
        <v>1671</v>
      </c>
      <c r="G1786" s="67" t="s">
        <v>1881</v>
      </c>
      <c r="H1786" s="73"/>
      <c r="I1786" s="439"/>
      <c r="J1786" s="439"/>
      <c r="K1786" s="430">
        <v>8350</v>
      </c>
      <c r="L1786" s="439">
        <v>22280</v>
      </c>
      <c r="M1786" s="65">
        <f>ROUND(K1786*L1786,0)</f>
        <v>186038000</v>
      </c>
      <c r="N1786" s="66" t="s">
        <v>266</v>
      </c>
      <c r="O1786" s="66" t="s">
        <v>266</v>
      </c>
      <c r="P1786" s="84" t="str">
        <f>IF(AND('331-CT'!$E$7=TH!H1786,OR(N1786="331",O1786="331")),"x","")</f>
        <v/>
      </c>
      <c r="Q1786" s="84" t="str">
        <f>IF(AND(B1786='111'!$L$11,OR($N1786=$Q$7,$O1786=$Q$7)),"x","")</f>
        <v/>
      </c>
      <c r="R1786" s="84" t="str">
        <f>IF(AND($N1786=$Q$7,$B1786&lt;'111'!$L$11),"x","")</f>
        <v/>
      </c>
      <c r="S1786" s="84" t="str">
        <f>IF(AND($O1786=$Q$7,$B1786&lt;'111'!$L$11),"x","")</f>
        <v/>
      </c>
      <c r="T1786" s="84" t="str">
        <f>IF(ISERROR(FIND('112'!$M$9,G1786,1)),"",IF((AND(FIND('112'!$M$9,G1786,1)&gt;=1,B1786='112'!$K$9,OR($N1786='112'!$I$6,$O1786='112'!$I$6))),"x",""))</f>
        <v/>
      </c>
      <c r="U1786" s="84" t="str">
        <f>IF(ISERROR(FIND('112'!$M$9,G1786,1)),"",IF((AND(LEFT(G1786,2)=LEFT('112'!$M$9,2),B1786&lt;'112'!$K$9,$N1786='112'!$I$6)),"x",""))</f>
        <v/>
      </c>
      <c r="V1786" s="84" t="str">
        <f>IF(ISERROR(FIND('112'!$M$9,G1786,1)),"",IF((AND(RIGHT(G1786,2)=RIGHT('112'!$M$9,2),B1786&lt;'112'!$K$9,$O1786='112'!$I$6)),"x",""))</f>
        <v/>
      </c>
      <c r="W1786" s="84" t="str">
        <f>IF(AND('341-CT'!$H$9=H1786,OR(LEFT(N1786,3)=$W$7,LEFT(O1786,3)=$W$7)),"x","")</f>
        <v/>
      </c>
      <c r="X1786" s="84" t="str">
        <f>IF(OR(TH!N1786=TH!$X$7,O1786=TH!$X$7),"x","")</f>
        <v/>
      </c>
      <c r="Y1786" s="84" t="str">
        <f>IF(AND(OR(N1786="131",O1786="131"),H1786='131-CT'!$H$9),"x","")</f>
        <v/>
      </c>
      <c r="Z1786" s="84"/>
      <c r="AA1786" s="84" t="str">
        <f>IF(AND(MONTH(E1786)='IN-NX'!$J$5,'IN-NX'!$D$7=D1786),"x","")</f>
        <v/>
      </c>
      <c r="AB1786" s="84" t="str">
        <f>IF(AND(OR(LEFT(TH!N1786,2)="15",LEFT(TH!O1786,2)="15"),LEFT(TH!O1786,3)&lt;&gt;"111",'152-CT'!$J$8=TH!F1786),"x","")</f>
        <v/>
      </c>
      <c r="AC1786" s="84" t="str">
        <f>IF(AND(OR(LEFT(TH!N1786,2)="15",LEFT(TH!O1786,2)="15"),TK!$E$7=TH!F1786),"x","")</f>
        <v/>
      </c>
      <c r="AD1786" s="84" t="str">
        <f>IF(AND(N1786="1521",MONTH(C1786)='BK-NL'!$M$11),"x","")</f>
        <v/>
      </c>
    </row>
    <row r="1787" spans="1:32" ht="15.75" hidden="1" customHeight="1">
      <c r="A1787" s="336" t="str">
        <f>IF(B1787&lt;&gt;"",IF(AND(B1787='IN-TC'!$S$4,OR(TH!N1787="1111",TH!O1787="1111")),TH!D1787,""),"")</f>
        <v/>
      </c>
      <c r="B1787" s="63">
        <f t="shared" si="236"/>
        <v>6</v>
      </c>
      <c r="C1787" s="64">
        <v>42551</v>
      </c>
      <c r="D1787" s="64" t="s">
        <v>705</v>
      </c>
      <c r="E1787" s="64">
        <f>C1787</f>
        <v>42551</v>
      </c>
      <c r="F1787" s="73" t="s">
        <v>1199</v>
      </c>
      <c r="G1787" s="67" t="s">
        <v>919</v>
      </c>
      <c r="H1787" s="344"/>
      <c r="I1787" s="439"/>
      <c r="J1787" s="439"/>
      <c r="K1787" s="430"/>
      <c r="L1787" s="439"/>
      <c r="M1787" s="65">
        <v>67020</v>
      </c>
      <c r="N1787" s="66" t="s">
        <v>101</v>
      </c>
      <c r="O1787" s="66" t="s">
        <v>26</v>
      </c>
      <c r="P1787" s="84" t="str">
        <f>IF(AND('331-CT'!$E$7=TH!H1787,OR(N1787="331",O1787="331")),"x","")</f>
        <v/>
      </c>
      <c r="Q1787" s="84" t="str">
        <f>IF(AND(B1787='111'!$L$11,OR($N1787=$Q$7,$O1787=$Q$7)),"x","")</f>
        <v/>
      </c>
      <c r="R1787" s="84" t="str">
        <f>IF(AND($N1787=$Q$7,$B1787&lt;'111'!$L$11),"x","")</f>
        <v/>
      </c>
      <c r="S1787" s="84" t="str">
        <f>IF(AND($O1787=$Q$7,$B1787&lt;'111'!$L$11),"x","")</f>
        <v/>
      </c>
      <c r="T1787" s="84" t="str">
        <f>IF(ISERROR(FIND('112'!$M$9,G1787,1)),"",IF((AND(FIND('112'!$M$9,G1787,1)&gt;=1,B1787='112'!$K$9,OR($N1787='112'!$I$6,$O1787='112'!$I$6))),"x",""))</f>
        <v>x</v>
      </c>
      <c r="U1787" s="84" t="str">
        <f>IF(ISERROR(FIND('112'!$M$9,G1787,1)),"",IF((AND(LEFT(G1787,2)=LEFT('112'!$M$9,2),B1787&lt;'112'!$K$9,$N1787='112'!$I$6)),"x",""))</f>
        <v/>
      </c>
      <c r="V1787" s="84" t="str">
        <f>IF(ISERROR(FIND('112'!$M$9,G1787,1)),"",IF((AND(RIGHT(G1787,2)=RIGHT('112'!$M$9,2),B1787&lt;'112'!$K$9,$O1787='112'!$I$6)),"x",""))</f>
        <v/>
      </c>
      <c r="W1787" s="84" t="str">
        <f>IF(AND('341-CT'!$H$9=H1787,OR(LEFT(N1787,3)=$W$7,LEFT(O1787,3)=$W$7)),"x","")</f>
        <v/>
      </c>
      <c r="X1787" s="84" t="str">
        <f>IF(OR(TH!N1787=TH!$X$7,O1787=TH!$X$7),"x","")</f>
        <v/>
      </c>
      <c r="Y1787" s="84" t="str">
        <f>IF(AND(OR(N1787="131",O1787="131"),H1787='131-CT'!$H$9),"x","")</f>
        <v/>
      </c>
      <c r="Z1787" s="84"/>
      <c r="AA1787" s="84" t="str">
        <f>IF(AND(MONTH(E1787)='IN-NX'!$J$5,'IN-NX'!$D$7=D1787),"x","")</f>
        <v/>
      </c>
      <c r="AB1787" s="84" t="str">
        <f>IF(AND(OR(LEFT(TH!N1787,2)="15",LEFT(TH!O1787,2)="15"),LEFT(TH!O1787,3)&lt;&gt;"111",'152-CT'!$J$8=TH!F1787),"x","")</f>
        <v/>
      </c>
      <c r="AC1787" s="84" t="str">
        <f>IF(AND(OR(LEFT(TH!N1787,2)="15",LEFT(TH!O1787,2)="15"),TK!$E$7=TH!F1787),"x","")</f>
        <v/>
      </c>
      <c r="AD1787" s="84" t="str">
        <f>IF(AND(N1787="1521",MONTH(C1787)='BK-NL'!$M$11),"x","")</f>
        <v/>
      </c>
      <c r="AF1787" s="330">
        <v>1</v>
      </c>
    </row>
    <row r="1788" spans="1:32" ht="15.75" hidden="1" customHeight="1">
      <c r="A1788" s="336" t="str">
        <f>IF(B1788&lt;&gt;"",IF(AND(B1788='IN-TC'!$S$4,OR(TH!N1788="1111",TH!O1788="1111")),TH!D1788,""),"")</f>
        <v/>
      </c>
      <c r="B1788" s="63">
        <f t="shared" si="236"/>
        <v>6</v>
      </c>
      <c r="C1788" s="64">
        <v>42551</v>
      </c>
      <c r="D1788" s="64" t="s">
        <v>705</v>
      </c>
      <c r="E1788" s="64">
        <f>C1788</f>
        <v>42551</v>
      </c>
      <c r="F1788" s="73" t="s">
        <v>1200</v>
      </c>
      <c r="G1788" s="67" t="s">
        <v>919</v>
      </c>
      <c r="H1788" s="344"/>
      <c r="I1788" s="439"/>
      <c r="J1788" s="439"/>
      <c r="K1788" s="430"/>
      <c r="L1788" s="439"/>
      <c r="M1788" s="65">
        <v>6702</v>
      </c>
      <c r="N1788" s="66" t="s">
        <v>9</v>
      </c>
      <c r="O1788" s="66" t="s">
        <v>26</v>
      </c>
      <c r="P1788" s="84" t="str">
        <f>IF(AND('331-CT'!$E$7=TH!H1788,OR(N1788="331",O1788="331")),"x","")</f>
        <v/>
      </c>
      <c r="Q1788" s="84" t="str">
        <f>IF(AND(B1788='111'!$L$11,OR($N1788=$Q$7,$O1788=$Q$7)),"x","")</f>
        <v/>
      </c>
      <c r="R1788" s="84" t="str">
        <f>IF(AND($N1788=$Q$7,$B1788&lt;'111'!$L$11),"x","")</f>
        <v/>
      </c>
      <c r="S1788" s="84" t="str">
        <f>IF(AND($O1788=$Q$7,$B1788&lt;'111'!$L$11),"x","")</f>
        <v/>
      </c>
      <c r="T1788" s="84" t="str">
        <f>IF(ISERROR(FIND('112'!$M$9,G1788,1)),"",IF((AND(FIND('112'!$M$9,G1788,1)&gt;=1,B1788='112'!$K$9,OR($N1788='112'!$I$6,$O1788='112'!$I$6))),"x",""))</f>
        <v>x</v>
      </c>
      <c r="U1788" s="84" t="str">
        <f>IF(ISERROR(FIND('112'!$M$9,G1788,1)),"",IF((AND(LEFT(G1788,2)=LEFT('112'!$M$9,2),B1788&lt;'112'!$K$9,$N1788='112'!$I$6)),"x",""))</f>
        <v/>
      </c>
      <c r="V1788" s="84" t="str">
        <f>IF(ISERROR(FIND('112'!$M$9,G1788,1)),"",IF((AND(RIGHT(G1788,2)=RIGHT('112'!$M$9,2),B1788&lt;'112'!$K$9,$O1788='112'!$I$6)),"x",""))</f>
        <v/>
      </c>
      <c r="W1788" s="84" t="str">
        <f>IF(AND('341-CT'!$H$9=H1788,OR(LEFT(N1788,3)=$W$7,LEFT(O1788,3)=$W$7)),"x","")</f>
        <v/>
      </c>
      <c r="X1788" s="84" t="str">
        <f>IF(OR(TH!N1788=TH!$X$7,O1788=TH!$X$7),"x","")</f>
        <v/>
      </c>
      <c r="Y1788" s="84" t="str">
        <f>IF(AND(OR(N1788="131",O1788="131"),H1788='131-CT'!$H$9),"x","")</f>
        <v/>
      </c>
      <c r="Z1788" s="84"/>
      <c r="AA1788" s="84" t="str">
        <f>IF(AND(MONTH(E1788)='IN-NX'!$J$5,'IN-NX'!$D$7=D1788),"x","")</f>
        <v/>
      </c>
      <c r="AB1788" s="84" t="str">
        <f>IF(AND(OR(LEFT(TH!N1788,2)="15",LEFT(TH!O1788,2)="15"),LEFT(TH!O1788,3)&lt;&gt;"111",'152-CT'!$J$8=TH!F1788),"x","")</f>
        <v/>
      </c>
      <c r="AC1788" s="84" t="str">
        <f>IF(AND(OR(LEFT(TH!N1788,2)="15",LEFT(TH!O1788,2)="15"),TK!$E$7=TH!F1788),"x","")</f>
        <v/>
      </c>
      <c r="AD1788" s="84" t="str">
        <f>IF(AND(N1788="1521",MONTH(C1788)='BK-NL'!$M$11),"x","")</f>
        <v/>
      </c>
    </row>
    <row r="1789" spans="1:32" s="1166" customFormat="1" ht="15.75" hidden="1" customHeight="1">
      <c r="A1789" s="336" t="str">
        <f>IF(B1789&lt;&gt;"",IF(AND(B1789='IN-TC'!$S$4,OR(TH!N1789="1111",TH!O1789="1111")),TH!D1789,""),"")</f>
        <v/>
      </c>
      <c r="B1789" s="1158">
        <f t="shared" si="236"/>
        <v>6</v>
      </c>
      <c r="C1789" s="1159">
        <v>42551</v>
      </c>
      <c r="D1789" s="1159" t="s">
        <v>899</v>
      </c>
      <c r="E1789" s="1159">
        <v>42551</v>
      </c>
      <c r="F1789" s="1160" t="s">
        <v>1107</v>
      </c>
      <c r="G1789" s="1161" t="s">
        <v>1565</v>
      </c>
      <c r="H1789" s="1160" t="s">
        <v>763</v>
      </c>
      <c r="I1789" s="1162"/>
      <c r="J1789" s="1162"/>
      <c r="K1789" s="1163"/>
      <c r="L1789" s="1162"/>
      <c r="M1789" s="1164">
        <v>1000000000</v>
      </c>
      <c r="N1789" s="66" t="s">
        <v>26</v>
      </c>
      <c r="O1789" s="66" t="s">
        <v>63</v>
      </c>
      <c r="P1789" s="84" t="str">
        <f>IF(AND('331-CT'!$E$7=TH!H1789,OR(N1789="331",O1789="331")),"x","")</f>
        <v/>
      </c>
      <c r="Q1789" s="84" t="str">
        <f>IF(AND(B1789='111'!$L$11,OR($N1789=$Q$7,$O1789=$Q$7)),"x","")</f>
        <v/>
      </c>
      <c r="R1789" s="84" t="str">
        <f>IF(AND($N1789=$Q$7,$B1789&lt;'111'!$L$11),"x","")</f>
        <v/>
      </c>
      <c r="S1789" s="84" t="str">
        <f>IF(AND($O1789=$Q$7,$B1789&lt;'111'!$L$11),"x","")</f>
        <v/>
      </c>
      <c r="T1789" s="84" t="str">
        <f>IF(ISERROR(FIND('112'!$M$9,G1789,1)),"",IF((AND(FIND('112'!$M$9,G1789,1)&gt;=1,B1789='112'!$K$9,OR($N1789='112'!$I$6,$O1789='112'!$I$6))),"x",""))</f>
        <v/>
      </c>
      <c r="U1789" s="84" t="str">
        <f>IF(ISERROR(FIND('112'!$M$9,G1789,1)),"",IF((AND(LEFT(G1789,2)=LEFT('112'!$M$9,2),B1789&lt;'112'!$K$9,$N1789='112'!$I$6)),"x",""))</f>
        <v/>
      </c>
      <c r="V1789" s="84" t="str">
        <f>IF(ISERROR(FIND('112'!$M$9,G1789,1)),"",IF((AND(RIGHT(G1789,2)=RIGHT('112'!$M$9,2),B1789&lt;'112'!$K$9,$O1789='112'!$I$6)),"x",""))</f>
        <v/>
      </c>
      <c r="W1789" s="84" t="str">
        <f>IF(AND('341-CT'!$H$9=H1789,OR(LEFT(N1789,3)=$W$7,LEFT(O1789,3)=$W$7)),"x","")</f>
        <v/>
      </c>
      <c r="X1789" s="84" t="str">
        <f>IF(OR(TH!N1789=TH!$X$7,O1789=TH!$X$7),"x","")</f>
        <v/>
      </c>
      <c r="Y1789" s="84" t="str">
        <f>IF(AND(OR(N1789="131",O1789="131"),H1789='131-CT'!$H$9),"x","")</f>
        <v/>
      </c>
      <c r="Z1789" s="84"/>
      <c r="AA1789" s="84" t="str">
        <f>IF(AND(MONTH(E1789)='IN-NX'!$J$5,'IN-NX'!$D$7=D1789),"x","")</f>
        <v/>
      </c>
      <c r="AB1789" s="84" t="str">
        <f>IF(AND(OR(LEFT(TH!N1789,2)="15",LEFT(TH!O1789,2)="15"),LEFT(TH!O1789,3)&lt;&gt;"111",'152-CT'!$J$8=TH!F1789),"x","")</f>
        <v/>
      </c>
      <c r="AC1789" s="84" t="str">
        <f>IF(AND(OR(LEFT(TH!N1789,2)="15",LEFT(TH!O1789,2)="15"),TK!$E$7=TH!F1789),"x","")</f>
        <v/>
      </c>
      <c r="AD1789" s="84" t="str">
        <f>IF(AND(N1789="1521",MONTH(C1789)='BK-NL'!$M$11),"x","")</f>
        <v/>
      </c>
    </row>
    <row r="1790" spans="1:32" ht="15.75" hidden="1" customHeight="1">
      <c r="A1790" s="336" t="str">
        <f>IF(B1790&lt;&gt;"",IF(AND(B1790='IN-TC'!$S$4,OR(TH!N1790="1111",TH!O1790="1111")),TH!D1790,""),"")</f>
        <v/>
      </c>
      <c r="B1790" s="63">
        <f t="shared" si="236"/>
        <v>7</v>
      </c>
      <c r="C1790" s="64">
        <v>42552</v>
      </c>
      <c r="D1790" s="64" t="s">
        <v>874</v>
      </c>
      <c r="E1790" s="64">
        <f t="shared" ref="E1790:E1817" si="238">C1790</f>
        <v>42552</v>
      </c>
      <c r="F1790" s="67" t="s">
        <v>1146</v>
      </c>
      <c r="G1790" s="67" t="s">
        <v>918</v>
      </c>
      <c r="H1790" s="73" t="s">
        <v>763</v>
      </c>
      <c r="I1790" s="439"/>
      <c r="J1790" s="439"/>
      <c r="K1790" s="430"/>
      <c r="L1790" s="439"/>
      <c r="M1790" s="65">
        <v>960000000</v>
      </c>
      <c r="N1790" s="66" t="s">
        <v>63</v>
      </c>
      <c r="O1790" s="66" t="s">
        <v>26</v>
      </c>
      <c r="P1790" s="84" t="str">
        <f>IF(AND('331-CT'!$E$7=TH!H1790,OR(N1790="331",O1790="331")),"x","")</f>
        <v/>
      </c>
      <c r="Q1790" s="84" t="str">
        <f>IF(AND(B1790='111'!$L$11,OR($N1790=$Q$7,$O1790=$Q$7)),"x","")</f>
        <v/>
      </c>
      <c r="R1790" s="84" t="str">
        <f>IF(AND($N1790=$Q$7,$B1790&lt;'111'!$L$11),"x","")</f>
        <v/>
      </c>
      <c r="S1790" s="84" t="str">
        <f>IF(AND($O1790=$Q$7,$B1790&lt;'111'!$L$11),"x","")</f>
        <v/>
      </c>
      <c r="T1790" s="84" t="str">
        <f>IF(ISERROR(FIND('112'!$M$9,G1790,1)),"",IF((AND(FIND('112'!$M$9,G1790,1)&gt;=1,B1790='112'!$K$9,OR($N1790='112'!$I$6,$O1790='112'!$I$6))),"x",""))</f>
        <v/>
      </c>
      <c r="U1790" s="84" t="str">
        <f>IF(ISERROR(FIND('112'!$M$9,G1790,1)),"",IF((AND(LEFT(G1790,2)=LEFT('112'!$M$9,2),B1790&lt;'112'!$K$9,$N1790='112'!$I$6)),"x",""))</f>
        <v/>
      </c>
      <c r="V1790" s="84" t="str">
        <f>IF(ISERROR(FIND('112'!$M$9,G1790,1)),"",IF((AND(RIGHT(G1790,2)=RIGHT('112'!$M$9,2),B1790&lt;'112'!$K$9,$O1790='112'!$I$6)),"x",""))</f>
        <v/>
      </c>
      <c r="W1790" s="84" t="str">
        <f>IF(AND('341-CT'!$H$9=H1790,OR(LEFT(N1790,3)=$W$7,LEFT(O1790,3)=$W$7)),"x","")</f>
        <v/>
      </c>
      <c r="X1790" s="84" t="str">
        <f>IF(OR(TH!N1790=TH!$X$7,O1790=TH!$X$7),"x","")</f>
        <v/>
      </c>
      <c r="Y1790" s="84" t="str">
        <f>IF(AND(OR(N1790="131",O1790="131"),H1790='131-CT'!$H$9),"x","")</f>
        <v/>
      </c>
      <c r="Z1790" s="84"/>
      <c r="AA1790" s="84" t="str">
        <f>IF(AND(MONTH(E1790)='IN-NX'!$J$5,'IN-NX'!$D$7=D1790),"x","")</f>
        <v/>
      </c>
      <c r="AB1790" s="84" t="str">
        <f>IF(AND(OR(LEFT(TH!N1790,2)="15",LEFT(TH!O1790,2)="15"),LEFT(TH!O1790,3)&lt;&gt;"111",'152-CT'!$J$8=TH!F1790),"x","")</f>
        <v/>
      </c>
      <c r="AC1790" s="84" t="str">
        <f>IF(AND(OR(LEFT(TH!N1790,2)="15",LEFT(TH!O1790,2)="15"),TK!$E$7=TH!F1790),"x","")</f>
        <v/>
      </c>
      <c r="AD1790" s="84" t="str">
        <f>IF(AND(N1790="1521",MONTH(C1790)='BK-NL'!$M$11),"x","")</f>
        <v/>
      </c>
    </row>
    <row r="1791" spans="1:32" ht="15.75" hidden="1" customHeight="1">
      <c r="A1791" s="336" t="str">
        <f>IF(B1791&lt;&gt;"",IF(AND(B1791='IN-TC'!$S$4,OR(TH!N1791="1111",TH!O1791="1111")),TH!D1791,""),"")</f>
        <v/>
      </c>
      <c r="B1791" s="1158">
        <f t="shared" si="236"/>
        <v>7</v>
      </c>
      <c r="C1791" s="1159">
        <v>42552</v>
      </c>
      <c r="D1791" s="1159" t="s">
        <v>903</v>
      </c>
      <c r="E1791" s="1159">
        <f t="shared" si="238"/>
        <v>42552</v>
      </c>
      <c r="F1791" s="1161" t="s">
        <v>1146</v>
      </c>
      <c r="G1791" s="1161" t="s">
        <v>1565</v>
      </c>
      <c r="H1791" s="1160" t="s">
        <v>763</v>
      </c>
      <c r="I1791" s="1162"/>
      <c r="J1791" s="1162"/>
      <c r="K1791" s="1163"/>
      <c r="L1791" s="1162"/>
      <c r="M1791" s="1164">
        <v>2000000000</v>
      </c>
      <c r="N1791" s="1165" t="s">
        <v>63</v>
      </c>
      <c r="O1791" s="66" t="s">
        <v>26</v>
      </c>
      <c r="P1791" s="84" t="str">
        <f>IF(AND('331-CT'!$E$7=TH!H1791,OR(N1791="331",O1791="331")),"x","")</f>
        <v/>
      </c>
      <c r="Q1791" s="84" t="str">
        <f>IF(AND(B1791='111'!$L$11,OR($N1791=$Q$7,$O1791=$Q$7)),"x","")</f>
        <v/>
      </c>
      <c r="R1791" s="84" t="str">
        <f>IF(AND($N1791=$Q$7,$B1791&lt;'111'!$L$11),"x","")</f>
        <v/>
      </c>
      <c r="S1791" s="84" t="str">
        <f>IF(AND($O1791=$Q$7,$B1791&lt;'111'!$L$11),"x","")</f>
        <v/>
      </c>
      <c r="T1791" s="84" t="str">
        <f>IF(ISERROR(FIND('112'!$M$9,G1791,1)),"",IF((AND(FIND('112'!$M$9,G1791,1)&gt;=1,B1791='112'!$K$9,OR($N1791='112'!$I$6,$O1791='112'!$I$6))),"x",""))</f>
        <v/>
      </c>
      <c r="U1791" s="84" t="str">
        <f>IF(ISERROR(FIND('112'!$M$9,G1791,1)),"",IF((AND(LEFT(G1791,2)=LEFT('112'!$M$9,2),B1791&lt;'112'!$K$9,$N1791='112'!$I$6)),"x",""))</f>
        <v/>
      </c>
      <c r="V1791" s="84" t="str">
        <f>IF(ISERROR(FIND('112'!$M$9,G1791,1)),"",IF((AND(RIGHT(G1791,2)=RIGHT('112'!$M$9,2),B1791&lt;'112'!$K$9,$O1791='112'!$I$6)),"x",""))</f>
        <v/>
      </c>
      <c r="W1791" s="84" t="str">
        <f>IF(AND('341-CT'!$H$9=H1791,OR(LEFT(N1791,3)=$W$7,LEFT(O1791,3)=$W$7)),"x","")</f>
        <v/>
      </c>
      <c r="X1791" s="84" t="str">
        <f>IF(OR(TH!N1791=TH!$X$7,O1791=TH!$X$7),"x","")</f>
        <v/>
      </c>
      <c r="Y1791" s="84" t="str">
        <f>IF(AND(OR(N1791="131",O1791="131"),H1791='131-CT'!$H$9),"x","")</f>
        <v/>
      </c>
      <c r="Z1791" s="84"/>
      <c r="AA1791" s="84" t="str">
        <f>IF(AND(MONTH(E1791)='IN-NX'!$J$5,'IN-NX'!$D$7=D1791),"x","")</f>
        <v/>
      </c>
      <c r="AB1791" s="84" t="str">
        <f>IF(AND(OR(LEFT(TH!N1791,2)="15",LEFT(TH!O1791,2)="15"),LEFT(TH!O1791,3)&lt;&gt;"111",'152-CT'!$J$8=TH!F1791),"x","")</f>
        <v/>
      </c>
      <c r="AC1791" s="84" t="str">
        <f>IF(AND(OR(LEFT(TH!N1791,2)="15",LEFT(TH!O1791,2)="15"),TK!$E$7=TH!F1791),"x","")</f>
        <v/>
      </c>
      <c r="AD1791" s="84" t="str">
        <f>IF(AND(N1791="1521",MONTH(C1791)='BK-NL'!$M$11),"x","")</f>
        <v/>
      </c>
      <c r="AE1791" s="1166"/>
      <c r="AF1791" s="1166"/>
    </row>
    <row r="1792" spans="1:32" ht="15.75" hidden="1" customHeight="1">
      <c r="A1792" s="336" t="str">
        <f>IF(B1792&lt;&gt;"",IF(AND(B1792='IN-TC'!$S$4,OR(TH!N1792="1111",TH!O1792="1111")),TH!D1792,""),"")</f>
        <v/>
      </c>
      <c r="B1792" s="63">
        <f t="shared" si="236"/>
        <v>7</v>
      </c>
      <c r="C1792" s="64">
        <v>42552</v>
      </c>
      <c r="D1792" s="64" t="s">
        <v>702</v>
      </c>
      <c r="E1792" s="64">
        <f t="shared" si="238"/>
        <v>42552</v>
      </c>
      <c r="F1792" s="67" t="s">
        <v>1107</v>
      </c>
      <c r="G1792" s="67" t="s">
        <v>1565</v>
      </c>
      <c r="H1792" s="73" t="s">
        <v>125</v>
      </c>
      <c r="I1792" s="439"/>
      <c r="J1792" s="439"/>
      <c r="K1792" s="430"/>
      <c r="L1792" s="439"/>
      <c r="M1792" s="65">
        <v>800000000</v>
      </c>
      <c r="N1792" s="66" t="s">
        <v>26</v>
      </c>
      <c r="O1792" s="66" t="s">
        <v>63</v>
      </c>
      <c r="P1792" s="84" t="str">
        <f>IF(AND('331-CT'!$E$7=TH!H1792,OR(N1792="331",O1792="331")),"x","")</f>
        <v/>
      </c>
      <c r="Q1792" s="84" t="str">
        <f>IF(AND(B1792='111'!$L$11,OR($N1792=$Q$7,$O1792=$Q$7)),"x","")</f>
        <v/>
      </c>
      <c r="R1792" s="84" t="str">
        <f>IF(AND($N1792=$Q$7,$B1792&lt;'111'!$L$11),"x","")</f>
        <v/>
      </c>
      <c r="S1792" s="84" t="str">
        <f>IF(AND($O1792=$Q$7,$B1792&lt;'111'!$L$11),"x","")</f>
        <v/>
      </c>
      <c r="T1792" s="84" t="str">
        <f>IF(ISERROR(FIND('112'!$M$9,G1792,1)),"",IF((AND(FIND('112'!$M$9,G1792,1)&gt;=1,B1792='112'!$K$9,OR($N1792='112'!$I$6,$O1792='112'!$I$6))),"x",""))</f>
        <v/>
      </c>
      <c r="U1792" s="84" t="str">
        <f>IF(ISERROR(FIND('112'!$M$9,G1792,1)),"",IF((AND(LEFT(G1792,2)=LEFT('112'!$M$9,2),B1792&lt;'112'!$K$9,$N1792='112'!$I$6)),"x",""))</f>
        <v/>
      </c>
      <c r="V1792" s="84" t="str">
        <f>IF(ISERROR(FIND('112'!$M$9,G1792,1)),"",IF((AND(RIGHT(G1792,2)=RIGHT('112'!$M$9,2),B1792&lt;'112'!$K$9,$O1792='112'!$I$6)),"x",""))</f>
        <v/>
      </c>
      <c r="W1792" s="84" t="str">
        <f>IF(AND('341-CT'!$H$9=H1792,OR(LEFT(N1792,3)=$W$7,LEFT(O1792,3)=$W$7)),"x","")</f>
        <v/>
      </c>
      <c r="X1792" s="84" t="str">
        <f>IF(OR(TH!N1792=TH!$X$7,O1792=TH!$X$7),"x","")</f>
        <v/>
      </c>
      <c r="Y1792" s="84" t="str">
        <f>IF(AND(OR(N1792="131",O1792="131"),H1792='131-CT'!$H$9),"x","")</f>
        <v/>
      </c>
      <c r="Z1792" s="84"/>
      <c r="AA1792" s="84" t="str">
        <f>IF(AND(MONTH(E1792)='IN-NX'!$J$5,'IN-NX'!$D$7=D1792),"x","")</f>
        <v/>
      </c>
      <c r="AB1792" s="84" t="str">
        <f>IF(AND(OR(LEFT(TH!N1792,2)="15",LEFT(TH!O1792,2)="15"),LEFT(TH!O1792,3)&lt;&gt;"111",'152-CT'!$J$8=TH!F1792),"x","")</f>
        <v/>
      </c>
      <c r="AC1792" s="84" t="str">
        <f>IF(AND(OR(LEFT(TH!N1792,2)="15",LEFT(TH!O1792,2)="15"),TK!$E$7=TH!F1792),"x","")</f>
        <v/>
      </c>
      <c r="AD1792" s="84" t="str">
        <f>IF(AND(N1792="1521",MONTH(C1792)='BK-NL'!$M$11),"x","")</f>
        <v/>
      </c>
      <c r="AE1792" s="351"/>
      <c r="AF1792" s="351"/>
    </row>
    <row r="1793" spans="1:32" ht="15.75" hidden="1" customHeight="1">
      <c r="A1793" s="336" t="str">
        <f>IF(B1793&lt;&gt;"",IF(AND(B1793='IN-TC'!$S$4,OR(TH!N1793="1111",TH!O1793="1111")),TH!D1793,""),"")</f>
        <v/>
      </c>
      <c r="B1793" s="63">
        <f t="shared" si="236"/>
        <v>7</v>
      </c>
      <c r="C1793" s="64">
        <v>42552</v>
      </c>
      <c r="D1793" s="64" t="s">
        <v>702</v>
      </c>
      <c r="E1793" s="64">
        <f t="shared" si="238"/>
        <v>42552</v>
      </c>
      <c r="F1793" s="67" t="s">
        <v>1457</v>
      </c>
      <c r="G1793" s="67" t="s">
        <v>1565</v>
      </c>
      <c r="H1793" s="73" t="s">
        <v>1887</v>
      </c>
      <c r="I1793" s="439"/>
      <c r="J1793" s="439"/>
      <c r="K1793" s="430">
        <v>2761.29</v>
      </c>
      <c r="L1793" s="439">
        <v>22300</v>
      </c>
      <c r="M1793" s="65">
        <f>ROUND(K1793*L1793,0)</f>
        <v>61576767</v>
      </c>
      <c r="N1793" s="66" t="s">
        <v>266</v>
      </c>
      <c r="O1793" s="66" t="s">
        <v>588</v>
      </c>
      <c r="P1793" s="84" t="str">
        <f>IF(AND('331-CT'!$E$7=TH!H1793,OR(N1793="331",O1793="331")),"x","")</f>
        <v/>
      </c>
      <c r="Q1793" s="84" t="str">
        <f>IF(AND(B1793='111'!$L$11,OR($N1793=$Q$7,$O1793=$Q$7)),"x","")</f>
        <v/>
      </c>
      <c r="R1793" s="84" t="str">
        <f>IF(AND($N1793=$Q$7,$B1793&lt;'111'!$L$11),"x","")</f>
        <v/>
      </c>
      <c r="S1793" s="84" t="str">
        <f>IF(AND($O1793=$Q$7,$B1793&lt;'111'!$L$11),"x","")</f>
        <v/>
      </c>
      <c r="T1793" s="84" t="str">
        <f>IF(ISERROR(FIND('112'!$M$9,G1793,1)),"",IF((AND(FIND('112'!$M$9,G1793,1)&gt;=1,B1793='112'!$K$9,OR($N1793='112'!$I$6,$O1793='112'!$I$6))),"x",""))</f>
        <v/>
      </c>
      <c r="U1793" s="84" t="str">
        <f>IF(ISERROR(FIND('112'!$M$9,G1793,1)),"",IF((AND(LEFT(G1793,2)=LEFT('112'!$M$9,2),B1793&lt;'112'!$K$9,$N1793='112'!$I$6)),"x",""))</f>
        <v/>
      </c>
      <c r="V1793" s="84" t="str">
        <f>IF(ISERROR(FIND('112'!$M$9,G1793,1)),"",IF((AND(RIGHT(G1793,2)=RIGHT('112'!$M$9,2),B1793&lt;'112'!$K$9,$O1793='112'!$I$6)),"x",""))</f>
        <v/>
      </c>
      <c r="W1793" s="84" t="str">
        <f>IF(AND('341-CT'!$H$9=H1793,OR(LEFT(N1793,3)=$W$7,LEFT(O1793,3)=$W$7)),"x","")</f>
        <v/>
      </c>
      <c r="X1793" s="84" t="str">
        <f>IF(OR(TH!N1793=TH!$X$7,O1793=TH!$X$7),"x","")</f>
        <v/>
      </c>
      <c r="Y1793" s="84" t="str">
        <f>IF(AND(OR(N1793="131",O1793="131"),H1793='131-CT'!$H$9),"x","")</f>
        <v/>
      </c>
      <c r="Z1793" s="84"/>
      <c r="AA1793" s="84" t="str">
        <f>IF(AND(MONTH(E1793)='IN-NX'!$J$5,'IN-NX'!$D$7=D1793),"x","")</f>
        <v/>
      </c>
      <c r="AB1793" s="84" t="str">
        <f>IF(AND(OR(LEFT(TH!N1793,2)="15",LEFT(TH!O1793,2)="15"),LEFT(TH!O1793,3)&lt;&gt;"111",'152-CT'!$J$8=TH!F1793),"x","")</f>
        <v/>
      </c>
      <c r="AC1793" s="84" t="str">
        <f>IF(AND(OR(LEFT(TH!N1793,2)="15",LEFT(TH!O1793,2)="15"),TK!$E$7=TH!F1793),"x","")</f>
        <v/>
      </c>
      <c r="AD1793" s="84" t="str">
        <f>IF(AND(N1793="1521",MONTH(C1793)='BK-NL'!$M$11),"x","")</f>
        <v/>
      </c>
      <c r="AE1793" s="351"/>
      <c r="AF1793" s="351"/>
    </row>
    <row r="1794" spans="1:32" ht="15.75" hidden="1" customHeight="1">
      <c r="A1794" s="336" t="str">
        <f>IF(B1794&lt;&gt;"",IF(AND(B1794='IN-TC'!$S$4,OR(TH!N1794="1111",TH!O1794="1111")),TH!D1794,""),"")</f>
        <v/>
      </c>
      <c r="B1794" s="63">
        <f t="shared" si="236"/>
        <v>7</v>
      </c>
      <c r="C1794" s="64">
        <v>42552</v>
      </c>
      <c r="D1794" s="64" t="s">
        <v>705</v>
      </c>
      <c r="E1794" s="64">
        <f t="shared" si="238"/>
        <v>42552</v>
      </c>
      <c r="F1794" s="67" t="s">
        <v>1789</v>
      </c>
      <c r="G1794" s="67" t="s">
        <v>1565</v>
      </c>
      <c r="H1794" s="73" t="s">
        <v>1803</v>
      </c>
      <c r="I1794" s="439"/>
      <c r="J1794" s="439"/>
      <c r="K1794" s="430"/>
      <c r="L1794" s="439"/>
      <c r="M1794" s="65">
        <v>44700</v>
      </c>
      <c r="N1794" s="66" t="s">
        <v>101</v>
      </c>
      <c r="O1794" s="66" t="s">
        <v>26</v>
      </c>
      <c r="P1794" s="84" t="str">
        <f>IF(AND('331-CT'!$E$7=TH!H1794,OR(N1794="331",O1794="331")),"x","")</f>
        <v/>
      </c>
      <c r="Q1794" s="84" t="str">
        <f>IF(AND(B1794='111'!$L$11,OR($N1794=$Q$7,$O1794=$Q$7)),"x","")</f>
        <v/>
      </c>
      <c r="R1794" s="84" t="str">
        <f>IF(AND($N1794=$Q$7,$B1794&lt;'111'!$L$11),"x","")</f>
        <v/>
      </c>
      <c r="S1794" s="84" t="str">
        <f>IF(AND($O1794=$Q$7,$B1794&lt;'111'!$L$11),"x","")</f>
        <v/>
      </c>
      <c r="T1794" s="84" t="str">
        <f>IF(ISERROR(FIND('112'!$M$9,G1794,1)),"",IF((AND(FIND('112'!$M$9,G1794,1)&gt;=1,B1794='112'!$K$9,OR($N1794='112'!$I$6,$O1794='112'!$I$6))),"x",""))</f>
        <v/>
      </c>
      <c r="U1794" s="84" t="str">
        <f>IF(ISERROR(FIND('112'!$M$9,G1794,1)),"",IF((AND(LEFT(G1794,2)=LEFT('112'!$M$9,2),B1794&lt;'112'!$K$9,$N1794='112'!$I$6)),"x",""))</f>
        <v/>
      </c>
      <c r="V1794" s="84" t="str">
        <f>IF(ISERROR(FIND('112'!$M$9,G1794,1)),"",IF((AND(RIGHT(G1794,2)=RIGHT('112'!$M$9,2),B1794&lt;'112'!$K$9,$O1794='112'!$I$6)),"x",""))</f>
        <v/>
      </c>
      <c r="W1794" s="84" t="str">
        <f>IF(AND('341-CT'!$H$9=H1794,OR(LEFT(N1794,3)=$W$7,LEFT(O1794,3)=$W$7)),"x","")</f>
        <v/>
      </c>
      <c r="X1794" s="84" t="str">
        <f>IF(OR(TH!N1794=TH!$X$7,O1794=TH!$X$7),"x","")</f>
        <v/>
      </c>
      <c r="Y1794" s="84" t="str">
        <f>IF(AND(OR(N1794="131",O1794="131"),H1794='131-CT'!$H$9),"x","")</f>
        <v/>
      </c>
      <c r="Z1794" s="84"/>
      <c r="AA1794" s="84" t="str">
        <f>IF(AND(MONTH(E1794)='IN-NX'!$J$5,'IN-NX'!$D$7=D1794),"x","")</f>
        <v/>
      </c>
      <c r="AB1794" s="84" t="str">
        <f>IF(AND(OR(LEFT(TH!N1794,2)="15",LEFT(TH!O1794,2)="15"),LEFT(TH!O1794,3)&lt;&gt;"111",'152-CT'!$J$8=TH!F1794),"x","")</f>
        <v/>
      </c>
      <c r="AC1794" s="84" t="str">
        <f>IF(AND(OR(LEFT(TH!N1794,2)="15",LEFT(TH!O1794,2)="15"),TK!$E$7=TH!F1794),"x","")</f>
        <v/>
      </c>
      <c r="AD1794" s="84" t="str">
        <f>IF(AND(N1794="1521",MONTH(C1794)='BK-NL'!$M$11),"x","")</f>
        <v/>
      </c>
      <c r="AE1794" s="351"/>
      <c r="AF1794" s="351">
        <v>7</v>
      </c>
    </row>
    <row r="1795" spans="1:32" ht="15.75" hidden="1" customHeight="1">
      <c r="A1795" s="336" t="str">
        <f>IF(B1795&lt;&gt;"",IF(AND(B1795='IN-TC'!$S$4,OR(TH!N1795="1111",TH!O1795="1111")),TH!D1795,""),"")</f>
        <v/>
      </c>
      <c r="B1795" s="63">
        <f t="shared" ref="B1795" si="239">IF(C1795&lt;&gt;"",MONTH(C1795),"")</f>
        <v>7</v>
      </c>
      <c r="C1795" s="64">
        <v>42552</v>
      </c>
      <c r="D1795" s="64" t="s">
        <v>705</v>
      </c>
      <c r="E1795" s="64">
        <f t="shared" ref="E1795" si="240">C1795</f>
        <v>42552</v>
      </c>
      <c r="F1795" s="67" t="s">
        <v>2005</v>
      </c>
      <c r="G1795" s="67" t="s">
        <v>1565</v>
      </c>
      <c r="H1795" s="73" t="s">
        <v>1804</v>
      </c>
      <c r="I1795" s="439"/>
      <c r="J1795" s="439"/>
      <c r="K1795" s="430"/>
      <c r="L1795" s="439"/>
      <c r="M1795" s="65">
        <v>4470</v>
      </c>
      <c r="N1795" s="66" t="s">
        <v>9</v>
      </c>
      <c r="O1795" s="66" t="s">
        <v>26</v>
      </c>
      <c r="P1795" s="84" t="str">
        <f>IF(AND('331-CT'!$E$7=TH!H1795,OR(N1795="331",O1795="331")),"x","")</f>
        <v/>
      </c>
      <c r="Q1795" s="84" t="str">
        <f>IF(AND(B1795='111'!$L$11,OR($N1795=$Q$7,$O1795=$Q$7)),"x","")</f>
        <v/>
      </c>
      <c r="R1795" s="84" t="str">
        <f>IF(AND($N1795=$Q$7,$B1795&lt;'111'!$L$11),"x","")</f>
        <v/>
      </c>
      <c r="S1795" s="84" t="str">
        <f>IF(AND($O1795=$Q$7,$B1795&lt;'111'!$L$11),"x","")</f>
        <v/>
      </c>
      <c r="T1795" s="84" t="str">
        <f>IF(ISERROR(FIND('112'!$M$9,G1795,1)),"",IF((AND(FIND('112'!$M$9,G1795,1)&gt;=1,B1795='112'!$K$9,OR($N1795='112'!$I$6,$O1795='112'!$I$6))),"x",""))</f>
        <v/>
      </c>
      <c r="U1795" s="84" t="str">
        <f>IF(ISERROR(FIND('112'!$M$9,G1795,1)),"",IF((AND(LEFT(G1795,2)=LEFT('112'!$M$9,2),B1795&lt;'112'!$K$9,$N1795='112'!$I$6)),"x",""))</f>
        <v/>
      </c>
      <c r="V1795" s="84" t="str">
        <f>IF(ISERROR(FIND('112'!$M$9,G1795,1)),"",IF((AND(RIGHT(G1795,2)=RIGHT('112'!$M$9,2),B1795&lt;'112'!$K$9,$O1795='112'!$I$6)),"x",""))</f>
        <v/>
      </c>
      <c r="W1795" s="84" t="str">
        <f>IF(AND('341-CT'!$H$9=H1795,OR(LEFT(N1795,3)=$W$7,LEFT(O1795,3)=$W$7)),"x","")</f>
        <v/>
      </c>
      <c r="X1795" s="84" t="str">
        <f>IF(OR(TH!N1795=TH!$X$7,O1795=TH!$X$7),"x","")</f>
        <v/>
      </c>
      <c r="Y1795" s="84" t="str">
        <f>IF(AND(OR(N1795="131",O1795="131"),H1795='131-CT'!$H$9),"x","")</f>
        <v/>
      </c>
      <c r="Z1795" s="84"/>
      <c r="AA1795" s="84" t="str">
        <f>IF(AND(MONTH(E1795)='IN-NX'!$J$5,'IN-NX'!$D$7=D1795),"x","")</f>
        <v/>
      </c>
      <c r="AB1795" s="84" t="str">
        <f>IF(AND(OR(LEFT(TH!N1795,2)="15",LEFT(TH!O1795,2)="15"),LEFT(TH!O1795,3)&lt;&gt;"111",'152-CT'!$J$8=TH!F1795),"x","")</f>
        <v/>
      </c>
      <c r="AC1795" s="84" t="str">
        <f>IF(AND(OR(LEFT(TH!N1795,2)="15",LEFT(TH!O1795,2)="15"),TK!$E$7=TH!F1795),"x","")</f>
        <v/>
      </c>
      <c r="AD1795" s="84" t="str">
        <f>IF(AND(N1795="1521",MONTH(C1795)='BK-NL'!$M$11),"x","")</f>
        <v/>
      </c>
      <c r="AE1795" s="351"/>
      <c r="AF1795" s="351">
        <v>7</v>
      </c>
    </row>
    <row r="1796" spans="1:32" ht="15.75" hidden="1" customHeight="1">
      <c r="A1796" s="336" t="str">
        <f>IF(B1796&lt;&gt;"",IF(AND(B1796='IN-TC'!$S$4,OR(TH!N1796="1111",TH!O1796="1111")),TH!D1796,""),"")</f>
        <v/>
      </c>
      <c r="B1796" s="63">
        <f t="shared" si="236"/>
        <v>7</v>
      </c>
      <c r="C1796" s="64">
        <v>42552</v>
      </c>
      <c r="D1796" s="64" t="s">
        <v>705</v>
      </c>
      <c r="E1796" s="64">
        <f t="shared" si="238"/>
        <v>42552</v>
      </c>
      <c r="F1796" s="67" t="s">
        <v>1445</v>
      </c>
      <c r="G1796" s="67" t="s">
        <v>1565</v>
      </c>
      <c r="H1796" s="73"/>
      <c r="I1796" s="439"/>
      <c r="J1796" s="439"/>
      <c r="K1796" s="430">
        <v>11000</v>
      </c>
      <c r="L1796" s="439">
        <v>22270</v>
      </c>
      <c r="M1796" s="65">
        <f>ROUND(K1796*L1796,0)</f>
        <v>244970000</v>
      </c>
      <c r="N1796" s="66" t="s">
        <v>26</v>
      </c>
      <c r="O1796" s="66" t="s">
        <v>266</v>
      </c>
      <c r="P1796" s="84" t="str">
        <f>IF(AND('331-CT'!$E$7=TH!H1796,OR(N1796="331",O1796="331")),"x","")</f>
        <v/>
      </c>
      <c r="Q1796" s="84" t="str">
        <f>IF(AND(B1796='111'!$L$11,OR($N1796=$Q$7,$O1796=$Q$7)),"x","")</f>
        <v/>
      </c>
      <c r="R1796" s="84" t="str">
        <f>IF(AND($N1796=$Q$7,$B1796&lt;'111'!$L$11),"x","")</f>
        <v/>
      </c>
      <c r="S1796" s="84" t="str">
        <f>IF(AND($O1796=$Q$7,$B1796&lt;'111'!$L$11),"x","")</f>
        <v/>
      </c>
      <c r="T1796" s="84" t="str">
        <f>IF(ISERROR(FIND('112'!$M$9,G1796,1)),"",IF((AND(FIND('112'!$M$9,G1796,1)&gt;=1,B1796='112'!$K$9,OR($N1796='112'!$I$6,$O1796='112'!$I$6))),"x",""))</f>
        <v/>
      </c>
      <c r="U1796" s="84" t="str">
        <f>IF(ISERROR(FIND('112'!$M$9,G1796,1)),"",IF((AND(LEFT(G1796,2)=LEFT('112'!$M$9,2),B1796&lt;'112'!$K$9,$N1796='112'!$I$6)),"x",""))</f>
        <v/>
      </c>
      <c r="V1796" s="84" t="str">
        <f>IF(ISERROR(FIND('112'!$M$9,G1796,1)),"",IF((AND(RIGHT(G1796,2)=RIGHT('112'!$M$9,2),B1796&lt;'112'!$K$9,$O1796='112'!$I$6)),"x",""))</f>
        <v/>
      </c>
      <c r="W1796" s="84" t="str">
        <f>IF(AND('341-CT'!$H$9=H1796,OR(LEFT(N1796,3)=$W$7,LEFT(O1796,3)=$W$7)),"x","")</f>
        <v/>
      </c>
      <c r="X1796" s="84" t="str">
        <f>IF(OR(TH!N1796=TH!$X$7,O1796=TH!$X$7),"x","")</f>
        <v/>
      </c>
      <c r="Y1796" s="84" t="str">
        <f>IF(AND(OR(N1796="131",O1796="131"),H1796='131-CT'!$H$9),"x","")</f>
        <v/>
      </c>
      <c r="Z1796" s="84"/>
      <c r="AA1796" s="84" t="str">
        <f>IF(AND(MONTH(E1796)='IN-NX'!$J$5,'IN-NX'!$D$7=D1796),"x","")</f>
        <v/>
      </c>
      <c r="AB1796" s="84" t="str">
        <f>IF(AND(OR(LEFT(TH!N1796,2)="15",LEFT(TH!O1796,2)="15"),LEFT(TH!O1796,3)&lt;&gt;"111",'152-CT'!$J$8=TH!F1796),"x","")</f>
        <v/>
      </c>
      <c r="AC1796" s="84" t="str">
        <f>IF(AND(OR(LEFT(TH!N1796,2)="15",LEFT(TH!O1796,2)="15"),TK!$E$7=TH!F1796),"x","")</f>
        <v/>
      </c>
      <c r="AD1796" s="84" t="str">
        <f>IF(AND(N1796="1521",MONTH(C1796)='BK-NL'!$M$11),"x","")</f>
        <v/>
      </c>
      <c r="AE1796" s="351"/>
      <c r="AF1796" s="351"/>
    </row>
    <row r="1797" spans="1:32" ht="15.75" hidden="1" customHeight="1">
      <c r="A1797" s="336" t="str">
        <f>IF(B1797&lt;&gt;"",IF(AND(B1797='IN-TC'!$S$4,OR(TH!N1797="1111",TH!O1797="1111")),TH!D1797,""),"")</f>
        <v/>
      </c>
      <c r="B1797" s="63">
        <f t="shared" si="236"/>
        <v>7</v>
      </c>
      <c r="C1797" s="64">
        <v>42552</v>
      </c>
      <c r="D1797" s="64" t="s">
        <v>705</v>
      </c>
      <c r="E1797" s="64">
        <f t="shared" si="238"/>
        <v>42552</v>
      </c>
      <c r="F1797" s="67" t="s">
        <v>1891</v>
      </c>
      <c r="G1797" s="67" t="s">
        <v>1565</v>
      </c>
      <c r="H1797" s="971" t="s">
        <v>1885</v>
      </c>
      <c r="I1797" s="439"/>
      <c r="J1797" s="439"/>
      <c r="K1797" s="430">
        <v>89500</v>
      </c>
      <c r="L1797" s="439">
        <v>22308</v>
      </c>
      <c r="M1797" s="65">
        <f>ROUND(K1797*L1797,0)</f>
        <v>1996566000</v>
      </c>
      <c r="N1797" s="66" t="s">
        <v>260</v>
      </c>
      <c r="O1797" s="66" t="s">
        <v>26</v>
      </c>
      <c r="P1797" s="84" t="str">
        <f>IF(AND('331-CT'!$E$7=TH!H1797,OR(N1797="331",O1797="331")),"x","")</f>
        <v/>
      </c>
      <c r="Q1797" s="84" t="str">
        <f>IF(AND(B1797='111'!$L$11,OR($N1797=$Q$7,$O1797=$Q$7)),"x","")</f>
        <v/>
      </c>
      <c r="R1797" s="84" t="str">
        <f>IF(AND($N1797=$Q$7,$B1797&lt;'111'!$L$11),"x","")</f>
        <v/>
      </c>
      <c r="S1797" s="84" t="str">
        <f>IF(AND($O1797=$Q$7,$B1797&lt;'111'!$L$11),"x","")</f>
        <v/>
      </c>
      <c r="T1797" s="84" t="str">
        <f>IF(ISERROR(FIND('112'!$M$9,G1797,1)),"",IF((AND(FIND('112'!$M$9,G1797,1)&gt;=1,B1797='112'!$K$9,OR($N1797='112'!$I$6,$O1797='112'!$I$6))),"x",""))</f>
        <v/>
      </c>
      <c r="U1797" s="84" t="str">
        <f>IF(ISERROR(FIND('112'!$M$9,G1797,1)),"",IF((AND(LEFT(G1797,2)=LEFT('112'!$M$9,2),B1797&lt;'112'!$K$9,$N1797='112'!$I$6)),"x",""))</f>
        <v/>
      </c>
      <c r="V1797" s="84" t="str">
        <f>IF(ISERROR(FIND('112'!$M$9,G1797,1)),"",IF((AND(RIGHT(G1797,2)=RIGHT('112'!$M$9,2),B1797&lt;'112'!$K$9,$O1797='112'!$I$6)),"x",""))</f>
        <v/>
      </c>
      <c r="W1797" s="84" t="str">
        <f>IF(AND('341-CT'!$H$9=H1797,OR(LEFT(N1797,3)=$W$7,LEFT(O1797,3)=$W$7)),"x","")</f>
        <v/>
      </c>
      <c r="X1797" s="84" t="str">
        <f>IF(OR(TH!N1797=TH!$X$7,O1797=TH!$X$7),"x","")</f>
        <v/>
      </c>
      <c r="Y1797" s="84" t="str">
        <f>IF(AND(OR(N1797="131",O1797="131"),H1797='131-CT'!$H$9),"x","")</f>
        <v/>
      </c>
      <c r="Z1797" s="84"/>
      <c r="AA1797" s="84" t="str">
        <f>IF(AND(MONTH(E1797)='IN-NX'!$J$5,'IN-NX'!$D$7=D1797),"x","")</f>
        <v/>
      </c>
      <c r="AB1797" s="84" t="str">
        <f>IF(AND(OR(LEFT(TH!N1797,2)="15",LEFT(TH!O1797,2)="15"),LEFT(TH!O1797,3)&lt;&gt;"111",'152-CT'!$J$8=TH!F1797),"x","")</f>
        <v/>
      </c>
      <c r="AC1797" s="84" t="str">
        <f>IF(AND(OR(LEFT(TH!N1797,2)="15",LEFT(TH!O1797,2)="15"),TK!$E$7=TH!F1797),"x","")</f>
        <v/>
      </c>
      <c r="AD1797" s="84" t="str">
        <f>IF(AND(N1797="1521",MONTH(C1797)='BK-NL'!$M$11),"x","")</f>
        <v/>
      </c>
      <c r="AE1797" s="351"/>
      <c r="AF1797" s="351"/>
    </row>
    <row r="1798" spans="1:32" ht="15.75" hidden="1" customHeight="1">
      <c r="A1798" s="336" t="str">
        <f>IF(B1798&lt;&gt;"",IF(AND(B1798='IN-TC'!$S$4,OR(TH!N1798="1111",TH!O1798="1111")),TH!D1798,""),"")</f>
        <v/>
      </c>
      <c r="B1798" s="63">
        <f t="shared" si="236"/>
        <v>7</v>
      </c>
      <c r="C1798" s="64">
        <v>42552</v>
      </c>
      <c r="D1798" s="64" t="s">
        <v>705</v>
      </c>
      <c r="E1798" s="64">
        <f t="shared" si="238"/>
        <v>42552</v>
      </c>
      <c r="F1798" s="67" t="s">
        <v>1890</v>
      </c>
      <c r="G1798" s="67" t="s">
        <v>1565</v>
      </c>
      <c r="H1798" s="971" t="s">
        <v>1885</v>
      </c>
      <c r="I1798" s="439"/>
      <c r="J1798" s="439"/>
      <c r="K1798" s="430"/>
      <c r="L1798" s="439"/>
      <c r="M1798" s="65">
        <v>6584231</v>
      </c>
      <c r="N1798" s="66" t="s">
        <v>99</v>
      </c>
      <c r="O1798" s="66" t="s">
        <v>26</v>
      </c>
      <c r="P1798" s="84" t="str">
        <f>IF(AND('331-CT'!$E$7=TH!H1798,OR(N1798="331",O1798="331")),"x","")</f>
        <v/>
      </c>
      <c r="Q1798" s="84" t="str">
        <f>IF(AND(B1798='111'!$L$11,OR($N1798=$Q$7,$O1798=$Q$7)),"x","")</f>
        <v/>
      </c>
      <c r="R1798" s="84" t="str">
        <f>IF(AND($N1798=$Q$7,$B1798&lt;'111'!$L$11),"x","")</f>
        <v/>
      </c>
      <c r="S1798" s="84" t="str">
        <f>IF(AND($O1798=$Q$7,$B1798&lt;'111'!$L$11),"x","")</f>
        <v/>
      </c>
      <c r="T1798" s="84" t="str">
        <f>IF(ISERROR(FIND('112'!$M$9,G1798,1)),"",IF((AND(FIND('112'!$M$9,G1798,1)&gt;=1,B1798='112'!$K$9,OR($N1798='112'!$I$6,$O1798='112'!$I$6))),"x",""))</f>
        <v/>
      </c>
      <c r="U1798" s="84" t="str">
        <f>IF(ISERROR(FIND('112'!$M$9,G1798,1)),"",IF((AND(LEFT(G1798,2)=LEFT('112'!$M$9,2),B1798&lt;'112'!$K$9,$N1798='112'!$I$6)),"x",""))</f>
        <v/>
      </c>
      <c r="V1798" s="84" t="str">
        <f>IF(ISERROR(FIND('112'!$M$9,G1798,1)),"",IF((AND(RIGHT(G1798,2)=RIGHT('112'!$M$9,2),B1798&lt;'112'!$K$9,$O1798='112'!$I$6)),"x",""))</f>
        <v/>
      </c>
      <c r="W1798" s="84" t="str">
        <f>IF(AND('341-CT'!$H$9=H1798,OR(LEFT(N1798,3)=$W$7,LEFT(O1798,3)=$W$7)),"x","")</f>
        <v/>
      </c>
      <c r="X1798" s="84" t="str">
        <f>IF(OR(TH!N1798=TH!$X$7,O1798=TH!$X$7),"x","")</f>
        <v/>
      </c>
      <c r="Y1798" s="84" t="str">
        <f>IF(AND(OR(N1798="131",O1798="131"),H1798='131-CT'!$H$9),"x","")</f>
        <v/>
      </c>
      <c r="Z1798" s="84"/>
      <c r="AA1798" s="84" t="str">
        <f>IF(AND(MONTH(E1798)='IN-NX'!$J$5,'IN-NX'!$D$7=D1798),"x","")</f>
        <v/>
      </c>
      <c r="AB1798" s="84" t="str">
        <f>IF(AND(OR(LEFT(TH!N1798,2)="15",LEFT(TH!O1798,2)="15"),LEFT(TH!O1798,3)&lt;&gt;"111",'152-CT'!$J$8=TH!F1798),"x","")</f>
        <v/>
      </c>
      <c r="AC1798" s="84" t="str">
        <f>IF(AND(OR(LEFT(TH!N1798,2)="15",LEFT(TH!O1798,2)="15"),TK!$E$7=TH!F1798),"x","")</f>
        <v/>
      </c>
      <c r="AD1798" s="84" t="str">
        <f>IF(AND(N1798="1521",MONTH(C1798)='BK-NL'!$M$11),"x","")</f>
        <v/>
      </c>
      <c r="AE1798" s="351"/>
      <c r="AF1798" s="351"/>
    </row>
    <row r="1799" spans="1:32" ht="15.75" hidden="1" customHeight="1">
      <c r="A1799" s="336" t="str">
        <f>IF(B1799&lt;&gt;"",IF(AND(B1799='IN-TC'!$S$4,OR(TH!N1799="1111",TH!O1799="1111")),TH!D1799,""),"")</f>
        <v/>
      </c>
      <c r="B1799" s="63">
        <f t="shared" ref="B1799:B1852" si="241">IF(C1799&lt;&gt;"",MONTH(C1799),"")</f>
        <v>7</v>
      </c>
      <c r="C1799" s="64">
        <v>42552</v>
      </c>
      <c r="D1799" s="64" t="s">
        <v>705</v>
      </c>
      <c r="E1799" s="64">
        <f t="shared" si="238"/>
        <v>42552</v>
      </c>
      <c r="F1799" s="67" t="s">
        <v>1882</v>
      </c>
      <c r="G1799" s="67" t="s">
        <v>1565</v>
      </c>
      <c r="H1799" s="971" t="s">
        <v>1885</v>
      </c>
      <c r="I1799" s="439"/>
      <c r="J1799" s="439"/>
      <c r="K1799" s="430"/>
      <c r="L1799" s="439"/>
      <c r="M1799" s="65">
        <v>597810</v>
      </c>
      <c r="N1799" s="66" t="s">
        <v>99</v>
      </c>
      <c r="O1799" s="66" t="s">
        <v>26</v>
      </c>
      <c r="P1799" s="84" t="str">
        <f>IF(AND('331-CT'!$E$7=TH!H1799,OR(N1799="331",O1799="331")),"x","")</f>
        <v/>
      </c>
      <c r="Q1799" s="84" t="str">
        <f>IF(AND(B1799='111'!$L$11,OR($N1799=$Q$7,$O1799=$Q$7)),"x","")</f>
        <v/>
      </c>
      <c r="R1799" s="84" t="str">
        <f>IF(AND($N1799=$Q$7,$B1799&lt;'111'!$L$11),"x","")</f>
        <v/>
      </c>
      <c r="S1799" s="84" t="str">
        <f>IF(AND($O1799=$Q$7,$B1799&lt;'111'!$L$11),"x","")</f>
        <v/>
      </c>
      <c r="T1799" s="84" t="str">
        <f>IF(ISERROR(FIND('112'!$M$9,G1799,1)),"",IF((AND(FIND('112'!$M$9,G1799,1)&gt;=1,B1799='112'!$K$9,OR($N1799='112'!$I$6,$O1799='112'!$I$6))),"x",""))</f>
        <v/>
      </c>
      <c r="U1799" s="84" t="str">
        <f>IF(ISERROR(FIND('112'!$M$9,G1799,1)),"",IF((AND(LEFT(G1799,2)=LEFT('112'!$M$9,2),B1799&lt;'112'!$K$9,$N1799='112'!$I$6)),"x",""))</f>
        <v/>
      </c>
      <c r="V1799" s="84" t="str">
        <f>IF(ISERROR(FIND('112'!$M$9,G1799,1)),"",IF((AND(RIGHT(G1799,2)=RIGHT('112'!$M$9,2),B1799&lt;'112'!$K$9,$O1799='112'!$I$6)),"x",""))</f>
        <v/>
      </c>
      <c r="W1799" s="84" t="str">
        <f>IF(AND('341-CT'!$H$9=H1799,OR(LEFT(N1799,3)=$W$7,LEFT(O1799,3)=$W$7)),"x","")</f>
        <v/>
      </c>
      <c r="X1799" s="84" t="str">
        <f>IF(OR(TH!N1799=TH!$X$7,O1799=TH!$X$7),"x","")</f>
        <v/>
      </c>
      <c r="Y1799" s="84" t="str">
        <f>IF(AND(OR(N1799="131",O1799="131"),H1799='131-CT'!$H$9),"x","")</f>
        <v/>
      </c>
      <c r="Z1799" s="84"/>
      <c r="AA1799" s="84" t="str">
        <f>IF(AND(MONTH(E1799)='IN-NX'!$J$5,'IN-NX'!$D$7=D1799),"x","")</f>
        <v/>
      </c>
      <c r="AB1799" s="84" t="str">
        <f>IF(AND(OR(LEFT(TH!N1799,2)="15",LEFT(TH!O1799,2)="15"),LEFT(TH!O1799,3)&lt;&gt;"111",'152-CT'!$J$8=TH!F1799),"x","")</f>
        <v/>
      </c>
      <c r="AC1799" s="84" t="str">
        <f>IF(AND(OR(LEFT(TH!N1799,2)="15",LEFT(TH!O1799,2)="15"),TK!$E$7=TH!F1799),"x","")</f>
        <v/>
      </c>
      <c r="AD1799" s="84" t="str">
        <f>IF(AND(N1799="1521",MONTH(C1799)='BK-NL'!$M$11),"x","")</f>
        <v/>
      </c>
      <c r="AE1799" s="351"/>
      <c r="AF1799" s="351"/>
    </row>
    <row r="1800" spans="1:32" ht="15.75" hidden="1" customHeight="1">
      <c r="A1800" s="336" t="str">
        <f>IF(B1800&lt;&gt;"",IF(AND(B1800='IN-TC'!$S$4,OR(TH!N1800="1111",TH!O1800="1111")),TH!D1800,""),"")</f>
        <v/>
      </c>
      <c r="B1800" s="63">
        <f t="shared" si="241"/>
        <v>7</v>
      </c>
      <c r="C1800" s="64">
        <v>42552</v>
      </c>
      <c r="D1800" s="64" t="s">
        <v>705</v>
      </c>
      <c r="E1800" s="64">
        <f t="shared" si="238"/>
        <v>42552</v>
      </c>
      <c r="F1800" s="67" t="s">
        <v>1892</v>
      </c>
      <c r="G1800" s="67" t="s">
        <v>1565</v>
      </c>
      <c r="H1800" s="73" t="s">
        <v>1893</v>
      </c>
      <c r="I1800" s="439"/>
      <c r="J1800" s="439"/>
      <c r="K1800" s="430">
        <v>89500</v>
      </c>
      <c r="L1800" s="439">
        <v>22292</v>
      </c>
      <c r="M1800" s="65">
        <f>ROUND(K1800*L1800,0)</f>
        <v>1995134000</v>
      </c>
      <c r="N1800" s="66" t="s">
        <v>266</v>
      </c>
      <c r="O1800" s="66" t="s">
        <v>260</v>
      </c>
      <c r="P1800" s="84" t="str">
        <f>IF(AND('331-CT'!$E$7=TH!H1800,OR(N1800="331",O1800="331")),"x","")</f>
        <v/>
      </c>
      <c r="Q1800" s="84" t="str">
        <f>IF(AND(B1800='111'!$L$11,OR($N1800=$Q$7,$O1800=$Q$7)),"x","")</f>
        <v/>
      </c>
      <c r="R1800" s="84" t="str">
        <f>IF(AND($N1800=$Q$7,$B1800&lt;'111'!$L$11),"x","")</f>
        <v/>
      </c>
      <c r="S1800" s="84" t="str">
        <f>IF(AND($O1800=$Q$7,$B1800&lt;'111'!$L$11),"x","")</f>
        <v/>
      </c>
      <c r="T1800" s="84" t="str">
        <f>IF(ISERROR(FIND('112'!$M$9,G1800,1)),"",IF((AND(FIND('112'!$M$9,G1800,1)&gt;=1,B1800='112'!$K$9,OR($N1800='112'!$I$6,$O1800='112'!$I$6))),"x",""))</f>
        <v/>
      </c>
      <c r="U1800" s="84" t="str">
        <f>IF(ISERROR(FIND('112'!$M$9,G1800,1)),"",IF((AND(LEFT(G1800,2)=LEFT('112'!$M$9,2),B1800&lt;'112'!$K$9,$N1800='112'!$I$6)),"x",""))</f>
        <v/>
      </c>
      <c r="V1800" s="84" t="str">
        <f>IF(ISERROR(FIND('112'!$M$9,G1800,1)),"",IF((AND(RIGHT(G1800,2)=RIGHT('112'!$M$9,2),B1800&lt;'112'!$K$9,$O1800='112'!$I$6)),"x",""))</f>
        <v/>
      </c>
      <c r="W1800" s="84" t="str">
        <f>IF(AND('341-CT'!$H$9=H1800,OR(LEFT(N1800,3)=$W$7,LEFT(O1800,3)=$W$7)),"x","")</f>
        <v/>
      </c>
      <c r="X1800" s="84" t="str">
        <f>IF(OR(TH!N1800=TH!$X$7,O1800=TH!$X$7),"x","")</f>
        <v/>
      </c>
      <c r="Y1800" s="84" t="str">
        <f>IF(AND(OR(N1800="131",O1800="131"),H1800='131-CT'!$H$9),"x","")</f>
        <v/>
      </c>
      <c r="Z1800" s="84"/>
      <c r="AA1800" s="84" t="str">
        <f>IF(AND(MONTH(E1800)='IN-NX'!$J$5,'IN-NX'!$D$7=D1800),"x","")</f>
        <v/>
      </c>
      <c r="AB1800" s="84" t="str">
        <f>IF(AND(OR(LEFT(TH!N1800,2)="15",LEFT(TH!O1800,2)="15"),LEFT(TH!O1800,3)&lt;&gt;"111",'152-CT'!$J$8=TH!F1800),"x","")</f>
        <v/>
      </c>
      <c r="AC1800" s="84" t="str">
        <f>IF(AND(OR(LEFT(TH!N1800,2)="15",LEFT(TH!O1800,2)="15"),TK!$E$7=TH!F1800),"x","")</f>
        <v/>
      </c>
      <c r="AD1800" s="84" t="str">
        <f>IF(AND(N1800="1521",MONTH(C1800)='BK-NL'!$M$11),"x","")</f>
        <v/>
      </c>
      <c r="AE1800" s="351"/>
      <c r="AF1800" s="351"/>
    </row>
    <row r="1801" spans="1:32" ht="15.75" hidden="1" customHeight="1">
      <c r="A1801" s="336" t="str">
        <f>IF(B1801&lt;&gt;"",IF(AND(B1801='IN-TC'!$S$4,OR(TH!N1801="1111",TH!O1801="1111")),TH!D1801,""),"")</f>
        <v/>
      </c>
      <c r="B1801" s="63">
        <f t="shared" si="241"/>
        <v>7</v>
      </c>
      <c r="C1801" s="64">
        <v>42552</v>
      </c>
      <c r="D1801" s="64" t="s">
        <v>705</v>
      </c>
      <c r="E1801" s="64">
        <f t="shared" si="238"/>
        <v>42552</v>
      </c>
      <c r="F1801" s="67" t="s">
        <v>1445</v>
      </c>
      <c r="G1801" s="67" t="s">
        <v>1565</v>
      </c>
      <c r="H1801" s="73"/>
      <c r="I1801" s="439"/>
      <c r="J1801" s="439"/>
      <c r="K1801" s="430">
        <v>89500</v>
      </c>
      <c r="L1801" s="439">
        <v>22292</v>
      </c>
      <c r="M1801" s="65">
        <f>ROUND(K1801*L1801,0)</f>
        <v>1995134000</v>
      </c>
      <c r="N1801" s="66" t="s">
        <v>26</v>
      </c>
      <c r="O1801" s="66" t="s">
        <v>266</v>
      </c>
      <c r="P1801" s="84" t="str">
        <f>IF(AND('331-CT'!$E$7=TH!H1801,OR(N1801="331",O1801="331")),"x","")</f>
        <v/>
      </c>
      <c r="Q1801" s="84" t="str">
        <f>IF(AND(B1801='111'!$L$11,OR($N1801=$Q$7,$O1801=$Q$7)),"x","")</f>
        <v/>
      </c>
      <c r="R1801" s="84" t="str">
        <f>IF(AND($N1801=$Q$7,$B1801&lt;'111'!$L$11),"x","")</f>
        <v/>
      </c>
      <c r="S1801" s="84" t="str">
        <f>IF(AND($O1801=$Q$7,$B1801&lt;'111'!$L$11),"x","")</f>
        <v/>
      </c>
      <c r="T1801" s="84" t="str">
        <f>IF(ISERROR(FIND('112'!$M$9,G1801,1)),"",IF((AND(FIND('112'!$M$9,G1801,1)&gt;=1,B1801='112'!$K$9,OR($N1801='112'!$I$6,$O1801='112'!$I$6))),"x",""))</f>
        <v/>
      </c>
      <c r="U1801" s="84" t="str">
        <f>IF(ISERROR(FIND('112'!$M$9,G1801,1)),"",IF((AND(LEFT(G1801,2)=LEFT('112'!$M$9,2),B1801&lt;'112'!$K$9,$N1801='112'!$I$6)),"x",""))</f>
        <v/>
      </c>
      <c r="V1801" s="84" t="str">
        <f>IF(ISERROR(FIND('112'!$M$9,G1801,1)),"",IF((AND(RIGHT(G1801,2)=RIGHT('112'!$M$9,2),B1801&lt;'112'!$K$9,$O1801='112'!$I$6)),"x",""))</f>
        <v/>
      </c>
      <c r="W1801" s="84" t="str">
        <f>IF(AND('341-CT'!$H$9=H1801,OR(LEFT(N1801,3)=$W$7,LEFT(O1801,3)=$W$7)),"x","")</f>
        <v/>
      </c>
      <c r="X1801" s="84" t="str">
        <f>IF(OR(TH!N1801=TH!$X$7,O1801=TH!$X$7),"x","")</f>
        <v/>
      </c>
      <c r="Y1801" s="84" t="str">
        <f>IF(AND(OR(N1801="131",O1801="131"),H1801='131-CT'!$H$9),"x","")</f>
        <v/>
      </c>
      <c r="Z1801" s="84"/>
      <c r="AA1801" s="84" t="str">
        <f>IF(AND(MONTH(E1801)='IN-NX'!$J$5,'IN-NX'!$D$7=D1801),"x","")</f>
        <v/>
      </c>
      <c r="AB1801" s="84" t="str">
        <f>IF(AND(OR(LEFT(TH!N1801,2)="15",LEFT(TH!O1801,2)="15"),LEFT(TH!O1801,3)&lt;&gt;"111",'152-CT'!$J$8=TH!F1801),"x","")</f>
        <v/>
      </c>
      <c r="AC1801" s="84" t="str">
        <f>IF(AND(OR(LEFT(TH!N1801,2)="15",LEFT(TH!O1801,2)="15"),TK!$E$7=TH!F1801),"x","")</f>
        <v/>
      </c>
      <c r="AD1801" s="84" t="str">
        <f>IF(AND(N1801="1521",MONTH(C1801)='BK-NL'!$M$11),"x","")</f>
        <v/>
      </c>
      <c r="AE1801" s="351"/>
      <c r="AF1801" s="351"/>
    </row>
    <row r="1802" spans="1:32" ht="15.75" hidden="1" customHeight="1">
      <c r="A1802" s="336" t="str">
        <f>IF(B1802&lt;&gt;"",IF(AND(B1802='IN-TC'!$S$4,OR(TH!N1802="1111",TH!O1802="1111")),TH!D1802,""),"")</f>
        <v/>
      </c>
      <c r="B1802" s="63">
        <f t="shared" si="241"/>
        <v>7</v>
      </c>
      <c r="C1802" s="64">
        <v>42552</v>
      </c>
      <c r="D1802" s="64" t="s">
        <v>705</v>
      </c>
      <c r="E1802" s="64">
        <f t="shared" si="238"/>
        <v>42552</v>
      </c>
      <c r="F1802" s="67" t="s">
        <v>1551</v>
      </c>
      <c r="G1802" s="67" t="s">
        <v>1565</v>
      </c>
      <c r="H1802" s="73" t="s">
        <v>1804</v>
      </c>
      <c r="I1802" s="439"/>
      <c r="J1802" s="439"/>
      <c r="K1802" s="430"/>
      <c r="L1802" s="439"/>
      <c r="M1802" s="65">
        <v>10000</v>
      </c>
      <c r="N1802" s="66" t="s">
        <v>101</v>
      </c>
      <c r="O1802" s="66" t="s">
        <v>26</v>
      </c>
      <c r="P1802" s="84" t="str">
        <f>IF(AND('331-CT'!$E$7=TH!H1802,OR(N1802="331",O1802="331")),"x","")</f>
        <v/>
      </c>
      <c r="Q1802" s="84" t="str">
        <f>IF(AND(B1802='111'!$L$11,OR($N1802=$Q$7,$O1802=$Q$7)),"x","")</f>
        <v/>
      </c>
      <c r="R1802" s="84" t="str">
        <f>IF(AND($N1802=$Q$7,$B1802&lt;'111'!$L$11),"x","")</f>
        <v/>
      </c>
      <c r="S1802" s="84" t="str">
        <f>IF(AND($O1802=$Q$7,$B1802&lt;'111'!$L$11),"x","")</f>
        <v/>
      </c>
      <c r="T1802" s="84" t="str">
        <f>IF(ISERROR(FIND('112'!$M$9,G1802,1)),"",IF((AND(FIND('112'!$M$9,G1802,1)&gt;=1,B1802='112'!$K$9,OR($N1802='112'!$I$6,$O1802='112'!$I$6))),"x",""))</f>
        <v/>
      </c>
      <c r="U1802" s="84" t="str">
        <f>IF(ISERROR(FIND('112'!$M$9,G1802,1)),"",IF((AND(LEFT(G1802,2)=LEFT('112'!$M$9,2),B1802&lt;'112'!$K$9,$N1802='112'!$I$6)),"x",""))</f>
        <v/>
      </c>
      <c r="V1802" s="84" t="str">
        <f>IF(ISERROR(FIND('112'!$M$9,G1802,1)),"",IF((AND(RIGHT(G1802,2)=RIGHT('112'!$M$9,2),B1802&lt;'112'!$K$9,$O1802='112'!$I$6)),"x",""))</f>
        <v/>
      </c>
      <c r="W1802" s="84" t="str">
        <f>IF(AND('341-CT'!$H$9=H1802,OR(LEFT(N1802,3)=$W$7,LEFT(O1802,3)=$W$7)),"x","")</f>
        <v/>
      </c>
      <c r="X1802" s="84" t="str">
        <f>IF(OR(TH!N1802=TH!$X$7,O1802=TH!$X$7),"x","")</f>
        <v/>
      </c>
      <c r="Y1802" s="84" t="str">
        <f>IF(AND(OR(N1802="131",O1802="131"),H1802='131-CT'!$H$9),"x","")</f>
        <v/>
      </c>
      <c r="Z1802" s="84"/>
      <c r="AA1802" s="84" t="str">
        <f>IF(AND(MONTH(E1802)='IN-NX'!$J$5,'IN-NX'!$D$7=D1802),"x","")</f>
        <v/>
      </c>
      <c r="AB1802" s="84" t="str">
        <f>IF(AND(OR(LEFT(TH!N1802,2)="15",LEFT(TH!O1802,2)="15"),LEFT(TH!O1802,3)&lt;&gt;"111",'152-CT'!$J$8=TH!F1802),"x","")</f>
        <v/>
      </c>
      <c r="AC1802" s="84" t="str">
        <f>IF(AND(OR(LEFT(TH!N1802,2)="15",LEFT(TH!O1802,2)="15"),TK!$E$7=TH!F1802),"x","")</f>
        <v/>
      </c>
      <c r="AD1802" s="84" t="str">
        <f>IF(AND(N1802="1521",MONTH(C1802)='BK-NL'!$M$11),"x","")</f>
        <v/>
      </c>
      <c r="AE1802" s="351"/>
      <c r="AF1802" s="330">
        <v>7</v>
      </c>
    </row>
    <row r="1803" spans="1:32" ht="15.75" hidden="1" customHeight="1">
      <c r="A1803" s="336" t="str">
        <f>IF(B1803&lt;&gt;"",IF(AND(B1803='IN-TC'!$S$4,OR(TH!N1803="1111",TH!O1803="1111")),TH!D1803,""),"")</f>
        <v/>
      </c>
      <c r="B1803" s="63">
        <f t="shared" si="241"/>
        <v>7</v>
      </c>
      <c r="C1803" s="64">
        <v>42552</v>
      </c>
      <c r="D1803" s="64" t="s">
        <v>705</v>
      </c>
      <c r="E1803" s="64">
        <f t="shared" si="238"/>
        <v>42552</v>
      </c>
      <c r="F1803" s="67" t="s">
        <v>1552</v>
      </c>
      <c r="G1803" s="67" t="s">
        <v>1565</v>
      </c>
      <c r="H1803" s="73" t="s">
        <v>1804</v>
      </c>
      <c r="I1803" s="439"/>
      <c r="J1803" s="439"/>
      <c r="K1803" s="430"/>
      <c r="L1803" s="439"/>
      <c r="M1803" s="65">
        <v>1000</v>
      </c>
      <c r="N1803" s="66" t="s">
        <v>9</v>
      </c>
      <c r="O1803" s="66" t="s">
        <v>26</v>
      </c>
      <c r="P1803" s="84" t="str">
        <f>IF(AND('331-CT'!$E$7=TH!H1803,OR(N1803="331",O1803="331")),"x","")</f>
        <v/>
      </c>
      <c r="Q1803" s="84" t="str">
        <f>IF(AND(B1803='111'!$L$11,OR($N1803=$Q$7,$O1803=$Q$7)),"x","")</f>
        <v/>
      </c>
      <c r="R1803" s="84" t="str">
        <f>IF(AND($N1803=$Q$7,$B1803&lt;'111'!$L$11),"x","")</f>
        <v/>
      </c>
      <c r="S1803" s="84" t="str">
        <f>IF(AND($O1803=$Q$7,$B1803&lt;'111'!$L$11),"x","")</f>
        <v/>
      </c>
      <c r="T1803" s="84" t="str">
        <f>IF(ISERROR(FIND('112'!$M$9,G1803,1)),"",IF((AND(FIND('112'!$M$9,G1803,1)&gt;=1,B1803='112'!$K$9,OR($N1803='112'!$I$6,$O1803='112'!$I$6))),"x",""))</f>
        <v/>
      </c>
      <c r="U1803" s="84" t="str">
        <f>IF(ISERROR(FIND('112'!$M$9,G1803,1)),"",IF((AND(LEFT(G1803,2)=LEFT('112'!$M$9,2),B1803&lt;'112'!$K$9,$N1803='112'!$I$6)),"x",""))</f>
        <v/>
      </c>
      <c r="V1803" s="84" t="str">
        <f>IF(ISERROR(FIND('112'!$M$9,G1803,1)),"",IF((AND(RIGHT(G1803,2)=RIGHT('112'!$M$9,2),B1803&lt;'112'!$K$9,$O1803='112'!$I$6)),"x",""))</f>
        <v/>
      </c>
      <c r="W1803" s="84" t="str">
        <f>IF(AND('341-CT'!$H$9=H1803,OR(LEFT(N1803,3)=$W$7,LEFT(O1803,3)=$W$7)),"x","")</f>
        <v/>
      </c>
      <c r="X1803" s="84" t="str">
        <f>IF(OR(TH!N1803=TH!$X$7,O1803=TH!$X$7),"x","")</f>
        <v/>
      </c>
      <c r="Y1803" s="84" t="str">
        <f>IF(AND(OR(N1803="131",O1803="131"),H1803='131-CT'!$H$9),"x","")</f>
        <v/>
      </c>
      <c r="Z1803" s="84"/>
      <c r="AA1803" s="84" t="str">
        <f>IF(AND(MONTH(E1803)='IN-NX'!$J$5,'IN-NX'!$D$7=D1803),"x","")</f>
        <v/>
      </c>
      <c r="AB1803" s="84" t="str">
        <f>IF(AND(OR(LEFT(TH!N1803,2)="15",LEFT(TH!O1803,2)="15"),LEFT(TH!O1803,3)&lt;&gt;"111",'152-CT'!$J$8=TH!F1803),"x","")</f>
        <v/>
      </c>
      <c r="AC1803" s="84" t="str">
        <f>IF(AND(OR(LEFT(TH!N1803,2)="15",LEFT(TH!O1803,2)="15"),TK!$E$7=TH!F1803),"x","")</f>
        <v/>
      </c>
      <c r="AD1803" s="84" t="str">
        <f>IF(AND(N1803="1521",MONTH(C1803)='BK-NL'!$M$11),"x","")</f>
        <v/>
      </c>
      <c r="AE1803" s="351"/>
      <c r="AF1803" s="330">
        <v>7</v>
      </c>
    </row>
    <row r="1804" spans="1:32" ht="15.75" hidden="1" customHeight="1">
      <c r="A1804" s="336" t="str">
        <f>IF(B1804&lt;&gt;"",IF(AND(B1804='IN-TC'!$S$4,OR(TH!N1804="1111",TH!O1804="1111")),TH!D1804,""),"")</f>
        <v/>
      </c>
      <c r="B1804" s="63">
        <f t="shared" si="241"/>
        <v>7</v>
      </c>
      <c r="C1804" s="64">
        <v>42552</v>
      </c>
      <c r="D1804" s="64" t="s">
        <v>705</v>
      </c>
      <c r="E1804" s="64">
        <f t="shared" si="238"/>
        <v>42552</v>
      </c>
      <c r="F1804" s="67" t="s">
        <v>1773</v>
      </c>
      <c r="G1804" s="67" t="s">
        <v>919</v>
      </c>
      <c r="H1804" s="73" t="s">
        <v>1803</v>
      </c>
      <c r="I1804" s="439"/>
      <c r="J1804" s="439"/>
      <c r="K1804" s="430"/>
      <c r="L1804" s="439"/>
      <c r="M1804" s="65">
        <v>100000</v>
      </c>
      <c r="N1804" s="66" t="s">
        <v>101</v>
      </c>
      <c r="O1804" s="66" t="s">
        <v>26</v>
      </c>
      <c r="P1804" s="84" t="str">
        <f>IF(AND('331-CT'!$E$7=TH!H1804,OR(N1804="331",O1804="331")),"x","")</f>
        <v/>
      </c>
      <c r="Q1804" s="84" t="str">
        <f>IF(AND(B1804='111'!$L$11,OR($N1804=$Q$7,$O1804=$Q$7)),"x","")</f>
        <v/>
      </c>
      <c r="R1804" s="84" t="str">
        <f>IF(AND($N1804=$Q$7,$B1804&lt;'111'!$L$11),"x","")</f>
        <v/>
      </c>
      <c r="S1804" s="84" t="str">
        <f>IF(AND($O1804=$Q$7,$B1804&lt;'111'!$L$11),"x","")</f>
        <v/>
      </c>
      <c r="T1804" s="84" t="str">
        <f>IF(ISERROR(FIND('112'!$M$9,G1804,1)),"",IF((AND(FIND('112'!$M$9,G1804,1)&gt;=1,B1804='112'!$K$9,OR($N1804='112'!$I$6,$O1804='112'!$I$6))),"x",""))</f>
        <v/>
      </c>
      <c r="U1804" s="84" t="str">
        <f>IF(ISERROR(FIND('112'!$M$9,G1804,1)),"",IF((AND(LEFT(G1804,2)=LEFT('112'!$M$9,2),B1804&lt;'112'!$K$9,$N1804='112'!$I$6)),"x",""))</f>
        <v/>
      </c>
      <c r="V1804" s="84" t="str">
        <f>IF(ISERROR(FIND('112'!$M$9,G1804,1)),"",IF((AND(RIGHT(G1804,2)=RIGHT('112'!$M$9,2),B1804&lt;'112'!$K$9,$O1804='112'!$I$6)),"x",""))</f>
        <v/>
      </c>
      <c r="W1804" s="84" t="str">
        <f>IF(AND('341-CT'!$H$9=H1804,OR(LEFT(N1804,3)=$W$7,LEFT(O1804,3)=$W$7)),"x","")</f>
        <v/>
      </c>
      <c r="X1804" s="84" t="str">
        <f>IF(OR(TH!N1804=TH!$X$7,O1804=TH!$X$7),"x","")</f>
        <v/>
      </c>
      <c r="Y1804" s="84" t="str">
        <f>IF(AND(OR(N1804="131",O1804="131"),H1804='131-CT'!$H$9),"x","")</f>
        <v/>
      </c>
      <c r="Z1804" s="84"/>
      <c r="AA1804" s="84" t="str">
        <f>IF(AND(MONTH(E1804)='IN-NX'!$J$5,'IN-NX'!$D$7=D1804),"x","")</f>
        <v/>
      </c>
      <c r="AB1804" s="84" t="str">
        <f>IF(AND(OR(LEFT(TH!N1804,2)="15",LEFT(TH!O1804,2)="15"),LEFT(TH!O1804,3)&lt;&gt;"111",'152-CT'!$J$8=TH!F1804),"x","")</f>
        <v/>
      </c>
      <c r="AC1804" s="84" t="str">
        <f>IF(AND(OR(LEFT(TH!N1804,2)="15",LEFT(TH!O1804,2)="15"),TK!$E$7=TH!F1804),"x","")</f>
        <v/>
      </c>
      <c r="AD1804" s="84" t="str">
        <f>IF(AND(N1804="1521",MONTH(C1804)='BK-NL'!$M$11),"x","")</f>
        <v/>
      </c>
      <c r="AE1804" s="351"/>
      <c r="AF1804" s="330">
        <v>7</v>
      </c>
    </row>
    <row r="1805" spans="1:32" ht="15.75" hidden="1" customHeight="1">
      <c r="A1805" s="336" t="str">
        <f>IF(B1805&lt;&gt;"",IF(AND(B1805='IN-TC'!$S$4,OR(TH!N1805="1111",TH!O1805="1111")),TH!D1805,""),"")</f>
        <v/>
      </c>
      <c r="B1805" s="63">
        <f t="shared" si="241"/>
        <v>7</v>
      </c>
      <c r="C1805" s="64">
        <v>42552</v>
      </c>
      <c r="D1805" s="64" t="s">
        <v>705</v>
      </c>
      <c r="E1805" s="64">
        <f t="shared" si="238"/>
        <v>42552</v>
      </c>
      <c r="F1805" s="67" t="s">
        <v>1774</v>
      </c>
      <c r="G1805" s="67" t="s">
        <v>919</v>
      </c>
      <c r="H1805" s="73" t="s">
        <v>1803</v>
      </c>
      <c r="I1805" s="439"/>
      <c r="J1805" s="439"/>
      <c r="K1805" s="430"/>
      <c r="L1805" s="439"/>
      <c r="M1805" s="65">
        <v>10000</v>
      </c>
      <c r="N1805" s="66" t="s">
        <v>9</v>
      </c>
      <c r="O1805" s="66" t="s">
        <v>26</v>
      </c>
      <c r="P1805" s="84" t="str">
        <f>IF(AND('331-CT'!$E$7=TH!H1805,OR(N1805="331",O1805="331")),"x","")</f>
        <v/>
      </c>
      <c r="Q1805" s="84" t="str">
        <f>IF(AND(B1805='111'!$L$11,OR($N1805=$Q$7,$O1805=$Q$7)),"x","")</f>
        <v/>
      </c>
      <c r="R1805" s="84" t="str">
        <f>IF(AND($N1805=$Q$7,$B1805&lt;'111'!$L$11),"x","")</f>
        <v/>
      </c>
      <c r="S1805" s="84" t="str">
        <f>IF(AND($O1805=$Q$7,$B1805&lt;'111'!$L$11),"x","")</f>
        <v/>
      </c>
      <c r="T1805" s="84" t="str">
        <f>IF(ISERROR(FIND('112'!$M$9,G1805,1)),"",IF((AND(FIND('112'!$M$9,G1805,1)&gt;=1,B1805='112'!$K$9,OR($N1805='112'!$I$6,$O1805='112'!$I$6))),"x",""))</f>
        <v/>
      </c>
      <c r="U1805" s="84" t="str">
        <f>IF(ISERROR(FIND('112'!$M$9,G1805,1)),"",IF((AND(LEFT(G1805,2)=LEFT('112'!$M$9,2),B1805&lt;'112'!$K$9,$N1805='112'!$I$6)),"x",""))</f>
        <v/>
      </c>
      <c r="V1805" s="84" t="str">
        <f>IF(ISERROR(FIND('112'!$M$9,G1805,1)),"",IF((AND(RIGHT(G1805,2)=RIGHT('112'!$M$9,2),B1805&lt;'112'!$K$9,$O1805='112'!$I$6)),"x",""))</f>
        <v/>
      </c>
      <c r="W1805" s="84" t="str">
        <f>IF(AND('341-CT'!$H$9=H1805,OR(LEFT(N1805,3)=$W$7,LEFT(O1805,3)=$W$7)),"x","")</f>
        <v/>
      </c>
      <c r="X1805" s="84" t="str">
        <f>IF(OR(TH!N1805=TH!$X$7,O1805=TH!$X$7),"x","")</f>
        <v/>
      </c>
      <c r="Y1805" s="84" t="str">
        <f>IF(AND(OR(N1805="131",O1805="131"),H1805='131-CT'!$H$9),"x","")</f>
        <v/>
      </c>
      <c r="Z1805" s="84"/>
      <c r="AA1805" s="84" t="str">
        <f>IF(AND(MONTH(E1805)='IN-NX'!$J$5,'IN-NX'!$D$7=D1805),"x","")</f>
        <v/>
      </c>
      <c r="AB1805" s="84" t="str">
        <f>IF(AND(OR(LEFT(TH!N1805,2)="15",LEFT(TH!O1805,2)="15"),LEFT(TH!O1805,3)&lt;&gt;"111",'152-CT'!$J$8=TH!F1805),"x","")</f>
        <v/>
      </c>
      <c r="AC1805" s="84" t="str">
        <f>IF(AND(OR(LEFT(TH!N1805,2)="15",LEFT(TH!O1805,2)="15"),TK!$E$7=TH!F1805),"x","")</f>
        <v/>
      </c>
      <c r="AD1805" s="84" t="str">
        <f>IF(AND(N1805="1521",MONTH(C1805)='BK-NL'!$M$11),"x","")</f>
        <v/>
      </c>
      <c r="AE1805" s="351"/>
      <c r="AF1805" s="330">
        <v>7</v>
      </c>
    </row>
    <row r="1806" spans="1:32" ht="15.75" hidden="1" customHeight="1">
      <c r="A1806" s="336" t="str">
        <f>IF(B1806&lt;&gt;"",IF(AND(B1806='IN-TC'!$S$4,OR(TH!N1806="1111",TH!O1806="1111")),TH!D1806,""),"")</f>
        <v/>
      </c>
      <c r="B1806" s="63">
        <f t="shared" si="241"/>
        <v>7</v>
      </c>
      <c r="C1806" s="64">
        <v>42552</v>
      </c>
      <c r="D1806" s="80" t="s">
        <v>705</v>
      </c>
      <c r="E1806" s="64">
        <f t="shared" si="238"/>
        <v>42552</v>
      </c>
      <c r="F1806" s="81" t="s">
        <v>1903</v>
      </c>
      <c r="G1806" s="81" t="s">
        <v>918</v>
      </c>
      <c r="H1806" s="73" t="s">
        <v>1902</v>
      </c>
      <c r="I1806" s="439"/>
      <c r="J1806" s="439"/>
      <c r="K1806" s="430">
        <v>43000</v>
      </c>
      <c r="L1806" s="437">
        <v>22310</v>
      </c>
      <c r="M1806" s="83">
        <f>ROUND(K1806*L1806,0)</f>
        <v>959330000</v>
      </c>
      <c r="N1806" s="66" t="s">
        <v>26</v>
      </c>
      <c r="O1806" s="84" t="s">
        <v>260</v>
      </c>
      <c r="P1806" s="84" t="str">
        <f>IF(AND('331-CT'!$E$7=TH!H1806,OR(N1806="331",O1806="331")),"x","")</f>
        <v/>
      </c>
      <c r="Q1806" s="84" t="str">
        <f>IF(AND(B1806='111'!$L$11,OR($N1806=$Q$7,$O1806=$Q$7)),"x","")</f>
        <v/>
      </c>
      <c r="R1806" s="84" t="str">
        <f>IF(AND($N1806=$Q$7,$B1806&lt;'111'!$L$11),"x","")</f>
        <v/>
      </c>
      <c r="S1806" s="84" t="str">
        <f>IF(AND($O1806=$Q$7,$B1806&lt;'111'!$L$11),"x","")</f>
        <v/>
      </c>
      <c r="T1806" s="84" t="str">
        <f>IF(ISERROR(FIND('112'!$M$9,G1806,1)),"",IF((AND(FIND('112'!$M$9,G1806,1)&gt;=1,B1806='112'!$K$9,OR($N1806='112'!$I$6,$O1806='112'!$I$6))),"x",""))</f>
        <v/>
      </c>
      <c r="U1806" s="84" t="str">
        <f>IF(ISERROR(FIND('112'!$M$9,G1806,1)),"",IF((AND(LEFT(G1806,2)=LEFT('112'!$M$9,2),B1806&lt;'112'!$K$9,$N1806='112'!$I$6)),"x",""))</f>
        <v/>
      </c>
      <c r="V1806" s="84" t="str">
        <f>IF(ISERROR(FIND('112'!$M$9,G1806,1)),"",IF((AND(RIGHT(G1806,2)=RIGHT('112'!$M$9,2),B1806&lt;'112'!$K$9,$O1806='112'!$I$6)),"x",""))</f>
        <v/>
      </c>
      <c r="W1806" s="84" t="str">
        <f>IF(AND('341-CT'!$H$9=H1806,OR(LEFT(N1806,3)=$W$7,LEFT(O1806,3)=$W$7)),"x","")</f>
        <v/>
      </c>
      <c r="X1806" s="84" t="str">
        <f>IF(OR(TH!N1806=TH!$X$7,O1806=TH!$X$7),"x","")</f>
        <v/>
      </c>
      <c r="Y1806" s="84" t="str">
        <f>IF(AND(OR(N1806="131",O1806="131"),H1806='131-CT'!$H$9),"x","")</f>
        <v/>
      </c>
      <c r="Z1806" s="84"/>
      <c r="AA1806" s="84" t="str">
        <f>IF(AND(MONTH(E1806)='IN-NX'!$J$5,'IN-NX'!$D$7=D1806),"x","")</f>
        <v/>
      </c>
      <c r="AB1806" s="84" t="str">
        <f>IF(AND(OR(LEFT(TH!N1806,2)="15",LEFT(TH!O1806,2)="15"),LEFT(TH!O1806,3)&lt;&gt;"111",'152-CT'!$J$8=TH!F1806),"x","")</f>
        <v/>
      </c>
      <c r="AC1806" s="84" t="str">
        <f>IF(AND(OR(LEFT(TH!N1806,2)="15",LEFT(TH!O1806,2)="15"),TK!$E$7=TH!F1806),"x","")</f>
        <v/>
      </c>
      <c r="AD1806" s="84" t="str">
        <f>IF(AND(N1806="1521",MONTH(C1806)='BK-NL'!$M$11),"x","")</f>
        <v/>
      </c>
      <c r="AE1806" s="351"/>
      <c r="AF1806" s="351"/>
    </row>
    <row r="1807" spans="1:32" ht="15.75" hidden="1" customHeight="1">
      <c r="A1807" s="336" t="str">
        <f>IF(B1807&lt;&gt;"",IF(AND(B1807='IN-TC'!$S$4,OR(TH!N1807="1111",TH!O1807="1111")),TH!D1807,""),"")</f>
        <v/>
      </c>
      <c r="B1807" s="63">
        <f t="shared" si="241"/>
        <v>7</v>
      </c>
      <c r="C1807" s="64">
        <v>42553</v>
      </c>
      <c r="D1807" s="64" t="s">
        <v>4</v>
      </c>
      <c r="E1807" s="64">
        <f t="shared" si="238"/>
        <v>42553</v>
      </c>
      <c r="F1807" s="67" t="s">
        <v>224</v>
      </c>
      <c r="G1807" s="982" t="s">
        <v>1712</v>
      </c>
      <c r="H1807" s="344" t="s">
        <v>621</v>
      </c>
      <c r="I1807" s="439">
        <v>450</v>
      </c>
      <c r="J1807" s="439">
        <f>M1807/I1807</f>
        <v>18404.04</v>
      </c>
      <c r="K1807" s="430"/>
      <c r="L1807" s="439"/>
      <c r="M1807" s="65">
        <v>8281818</v>
      </c>
      <c r="N1807" s="66" t="s">
        <v>282</v>
      </c>
      <c r="O1807" s="66" t="s">
        <v>63</v>
      </c>
      <c r="P1807" s="84" t="str">
        <f>IF(AND('331-CT'!$E$7=TH!H1807,OR(N1807="331",O1807="331")),"x","")</f>
        <v/>
      </c>
      <c r="Q1807" s="84" t="str">
        <f>IF(AND(B1807='111'!$L$11,OR($N1807=$Q$7,$O1807=$Q$7)),"x","")</f>
        <v/>
      </c>
      <c r="R1807" s="84" t="str">
        <f>IF(AND($N1807=$Q$7,$B1807&lt;'111'!$L$11),"x","")</f>
        <v/>
      </c>
      <c r="S1807" s="84" t="str">
        <f>IF(AND($O1807=$Q$7,$B1807&lt;'111'!$L$11),"x","")</f>
        <v/>
      </c>
      <c r="T1807" s="84" t="str">
        <f>IF(ISERROR(FIND('112'!$M$9,G1807,1)),"",IF((AND(FIND('112'!$M$9,G1807,1)&gt;=1,B1807='112'!$K$9,OR($N1807='112'!$I$6,$O1807='112'!$I$6))),"x",""))</f>
        <v/>
      </c>
      <c r="U1807" s="84" t="str">
        <f>IF(ISERROR(FIND('112'!$M$9,G1807,1)),"",IF((AND(LEFT(G1807,2)=LEFT('112'!$M$9,2),B1807&lt;'112'!$K$9,$N1807='112'!$I$6)),"x",""))</f>
        <v/>
      </c>
      <c r="V1807" s="84" t="str">
        <f>IF(ISERROR(FIND('112'!$M$9,G1807,1)),"",IF((AND(RIGHT(G1807,2)=RIGHT('112'!$M$9,2),B1807&lt;'112'!$K$9,$O1807='112'!$I$6)),"x",""))</f>
        <v/>
      </c>
      <c r="W1807" s="84" t="str">
        <f>IF(AND('341-CT'!$H$9=H1807,OR(LEFT(N1807,3)=$W$7,LEFT(O1807,3)=$W$7)),"x","")</f>
        <v/>
      </c>
      <c r="X1807" s="84" t="str">
        <f>IF(OR(TH!N1807=TH!$X$7,O1807=TH!$X$7),"x","")</f>
        <v/>
      </c>
      <c r="Y1807" s="84" t="str">
        <f>IF(AND(OR(N1807="131",O1807="131"),H1807='131-CT'!$H$9),"x","")</f>
        <v/>
      </c>
      <c r="Z1807" s="84"/>
      <c r="AA1807" s="84" t="str">
        <f>IF(AND(MONTH(E1807)='IN-NX'!$J$5,'IN-NX'!$D$7=D1807),"x","")</f>
        <v/>
      </c>
      <c r="AB1807" s="84" t="str">
        <f>IF(AND(OR(LEFT(TH!N1807,2)="15",LEFT(TH!O1807,2)="15"),LEFT(TH!O1807,3)&lt;&gt;"111",'152-CT'!$J$8=TH!F1807),"x","")</f>
        <v/>
      </c>
      <c r="AC1807" s="84" t="str">
        <f>IF(AND(OR(LEFT(TH!N1807,2)="15",LEFT(TH!O1807,2)="15"),TK!$E$7=TH!F1807),"x","")</f>
        <v/>
      </c>
      <c r="AD1807" s="84" t="str">
        <f>IF(AND(N1807="1521",MONTH(C1807)='BK-NL'!$M$11),"x","")</f>
        <v/>
      </c>
      <c r="AF1807" s="330">
        <v>7</v>
      </c>
    </row>
    <row r="1808" spans="1:32" s="350" customFormat="1" ht="15.75" hidden="1" customHeight="1">
      <c r="A1808" s="336" t="str">
        <f>IF(B1808&lt;&gt;"",IF(AND(B1808='IN-TC'!$S$4,OR(TH!N1808="1111",TH!O1808="1111")),TH!D1808,""),"")</f>
        <v/>
      </c>
      <c r="B1808" s="63">
        <f t="shared" si="241"/>
        <v>7</v>
      </c>
      <c r="C1808" s="64">
        <v>42553</v>
      </c>
      <c r="D1808" s="64"/>
      <c r="E1808" s="64">
        <f t="shared" si="238"/>
        <v>42553</v>
      </c>
      <c r="F1808" s="67" t="s">
        <v>1355</v>
      </c>
      <c r="G1808" s="982" t="s">
        <v>1712</v>
      </c>
      <c r="H1808" s="344" t="s">
        <v>621</v>
      </c>
      <c r="I1808" s="439"/>
      <c r="J1808" s="439"/>
      <c r="K1808" s="430"/>
      <c r="L1808" s="439"/>
      <c r="M1808" s="65">
        <v>828182</v>
      </c>
      <c r="N1808" s="66" t="s">
        <v>9</v>
      </c>
      <c r="O1808" s="66" t="s">
        <v>63</v>
      </c>
      <c r="P1808" s="84" t="str">
        <f>IF(AND('331-CT'!$E$7=TH!H1808,OR(N1808="331",O1808="331")),"x","")</f>
        <v/>
      </c>
      <c r="Q1808" s="84" t="str">
        <f>IF(AND(B1808='111'!$L$11,OR($N1808=$Q$7,$O1808=$Q$7)),"x","")</f>
        <v/>
      </c>
      <c r="R1808" s="84" t="str">
        <f>IF(AND($N1808=$Q$7,$B1808&lt;'111'!$L$11),"x","")</f>
        <v/>
      </c>
      <c r="S1808" s="84" t="str">
        <f>IF(AND($O1808=$Q$7,$B1808&lt;'111'!$L$11),"x","")</f>
        <v/>
      </c>
      <c r="T1808" s="84" t="str">
        <f>IF(ISERROR(FIND('112'!$M$9,G1808,1)),"",IF((AND(FIND('112'!$M$9,G1808,1)&gt;=1,B1808='112'!$K$9,OR($N1808='112'!$I$6,$O1808='112'!$I$6))),"x",""))</f>
        <v/>
      </c>
      <c r="U1808" s="84" t="str">
        <f>IF(ISERROR(FIND('112'!$M$9,G1808,1)),"",IF((AND(LEFT(G1808,2)=LEFT('112'!$M$9,2),B1808&lt;'112'!$K$9,$N1808='112'!$I$6)),"x",""))</f>
        <v/>
      </c>
      <c r="V1808" s="84" t="str">
        <f>IF(ISERROR(FIND('112'!$M$9,G1808,1)),"",IF((AND(RIGHT(G1808,2)=RIGHT('112'!$M$9,2),B1808&lt;'112'!$K$9,$O1808='112'!$I$6)),"x",""))</f>
        <v/>
      </c>
      <c r="W1808" s="84" t="str">
        <f>IF(AND('341-CT'!$H$9=H1808,OR(LEFT(N1808,3)=$W$7,LEFT(O1808,3)=$W$7)),"x","")</f>
        <v/>
      </c>
      <c r="X1808" s="84" t="str">
        <f>IF(OR(TH!N1808=TH!$X$7,O1808=TH!$X$7),"x","")</f>
        <v/>
      </c>
      <c r="Y1808" s="84" t="str">
        <f>IF(AND(OR(N1808="131",O1808="131"),H1808='131-CT'!$H$9),"x","")</f>
        <v/>
      </c>
      <c r="Z1808" s="84"/>
      <c r="AA1808" s="84" t="str">
        <f>IF(AND(MONTH(E1808)='IN-NX'!$J$5,'IN-NX'!$D$7=D1808),"x","")</f>
        <v/>
      </c>
      <c r="AB1808" s="84" t="str">
        <f>IF(AND(OR(LEFT(TH!N1808,2)="15",LEFT(TH!O1808,2)="15"),LEFT(TH!O1808,3)&lt;&gt;"111",'152-CT'!$J$8=TH!F1808),"x","")</f>
        <v/>
      </c>
      <c r="AC1808" s="84" t="str">
        <f>IF(AND(OR(LEFT(TH!N1808,2)="15",LEFT(TH!O1808,2)="15"),TK!$E$7=TH!F1808),"x","")</f>
        <v/>
      </c>
      <c r="AD1808" s="84" t="str">
        <f>IF(AND(N1808="1521",MONTH(C1808)='BK-NL'!$M$11),"x","")</f>
        <v/>
      </c>
      <c r="AE1808" s="330"/>
      <c r="AF1808" s="330">
        <v>7</v>
      </c>
    </row>
    <row r="1809" spans="1:32" ht="15.75" hidden="1" customHeight="1">
      <c r="A1809" s="336" t="str">
        <f>IF(B1809&lt;&gt;"",IF(AND(B1809='IN-TC'!$S$4,OR(TH!N1809="1111",TH!O1809="1111")),TH!D1809,""),"")</f>
        <v/>
      </c>
      <c r="B1809" s="63">
        <f t="shared" si="241"/>
        <v>7</v>
      </c>
      <c r="C1809" s="64">
        <v>42553</v>
      </c>
      <c r="D1809" s="64" t="s">
        <v>868</v>
      </c>
      <c r="E1809" s="64">
        <f t="shared" si="238"/>
        <v>42553</v>
      </c>
      <c r="F1809" s="67" t="s">
        <v>1107</v>
      </c>
      <c r="G1809" s="67" t="s">
        <v>1565</v>
      </c>
      <c r="H1809" s="73" t="s">
        <v>763</v>
      </c>
      <c r="I1809" s="439"/>
      <c r="J1809" s="439"/>
      <c r="K1809" s="430"/>
      <c r="L1809" s="439"/>
      <c r="M1809" s="65">
        <v>1990000000</v>
      </c>
      <c r="N1809" s="66" t="s">
        <v>26</v>
      </c>
      <c r="O1809" s="66" t="s">
        <v>63</v>
      </c>
      <c r="P1809" s="84" t="str">
        <f>IF(AND('331-CT'!$E$7=TH!H1809,OR(N1809="331",O1809="331")),"x","")</f>
        <v/>
      </c>
      <c r="Q1809" s="84" t="str">
        <f>IF(AND(B1809='111'!$L$11,OR($N1809=$Q$7,$O1809=$Q$7)),"x","")</f>
        <v/>
      </c>
      <c r="R1809" s="84" t="str">
        <f>IF(AND($N1809=$Q$7,$B1809&lt;'111'!$L$11),"x","")</f>
        <v/>
      </c>
      <c r="S1809" s="84" t="str">
        <f>IF(AND($O1809=$Q$7,$B1809&lt;'111'!$L$11),"x","")</f>
        <v/>
      </c>
      <c r="T1809" s="84" t="str">
        <f>IF(ISERROR(FIND('112'!$M$9,G1809,1)),"",IF((AND(FIND('112'!$M$9,G1809,1)&gt;=1,B1809='112'!$K$9,OR($N1809='112'!$I$6,$O1809='112'!$I$6))),"x",""))</f>
        <v/>
      </c>
      <c r="U1809" s="84" t="str">
        <f>IF(ISERROR(FIND('112'!$M$9,G1809,1)),"",IF((AND(LEFT(G1809,2)=LEFT('112'!$M$9,2),B1809&lt;'112'!$K$9,$N1809='112'!$I$6)),"x",""))</f>
        <v/>
      </c>
      <c r="V1809" s="84" t="str">
        <f>IF(ISERROR(FIND('112'!$M$9,G1809,1)),"",IF((AND(RIGHT(G1809,2)=RIGHT('112'!$M$9,2),B1809&lt;'112'!$K$9,$O1809='112'!$I$6)),"x",""))</f>
        <v/>
      </c>
      <c r="W1809" s="84" t="str">
        <f>IF(AND('341-CT'!$H$9=H1809,OR(LEFT(N1809,3)=$W$7,LEFT(O1809,3)=$W$7)),"x","")</f>
        <v/>
      </c>
      <c r="X1809" s="84" t="str">
        <f>IF(OR(TH!N1809=TH!$X$7,O1809=TH!$X$7),"x","")</f>
        <v/>
      </c>
      <c r="Y1809" s="84" t="str">
        <f>IF(AND(OR(N1809="131",O1809="131"),H1809='131-CT'!$H$9),"x","")</f>
        <v/>
      </c>
      <c r="Z1809" s="84"/>
      <c r="AA1809" s="84" t="str">
        <f>IF(AND(MONTH(E1809)='IN-NX'!$J$5,'IN-NX'!$D$7=D1809),"x","")</f>
        <v/>
      </c>
      <c r="AB1809" s="84" t="str">
        <f>IF(AND(OR(LEFT(TH!N1809,2)="15",LEFT(TH!O1809,2)="15"),LEFT(TH!O1809,3)&lt;&gt;"111",'152-CT'!$J$8=TH!F1809),"x","")</f>
        <v/>
      </c>
      <c r="AC1809" s="84" t="str">
        <f>IF(AND(OR(LEFT(TH!N1809,2)="15",LEFT(TH!O1809,2)="15"),TK!$E$7=TH!F1809),"x","")</f>
        <v/>
      </c>
      <c r="AD1809" s="84" t="str">
        <f>IF(AND(N1809="1521",MONTH(C1809)='BK-NL'!$M$11),"x","")</f>
        <v/>
      </c>
      <c r="AE1809" s="351"/>
      <c r="AF1809" s="351"/>
    </row>
    <row r="1810" spans="1:32" ht="15.75" hidden="1" customHeight="1">
      <c r="A1810" s="336" t="str">
        <f>IF(B1810&lt;&gt;"",IF(AND(B1810='IN-TC'!$S$4,OR(TH!N1810="1111",TH!O1810="1111")),TH!D1810,""),"")</f>
        <v/>
      </c>
      <c r="B1810" s="63">
        <f t="shared" si="241"/>
        <v>7</v>
      </c>
      <c r="C1810" s="64">
        <v>42553</v>
      </c>
      <c r="D1810" s="64" t="s">
        <v>705</v>
      </c>
      <c r="E1810" s="64">
        <f t="shared" si="238"/>
        <v>42553</v>
      </c>
      <c r="F1810" s="67" t="s">
        <v>1891</v>
      </c>
      <c r="G1810" s="67" t="s">
        <v>1565</v>
      </c>
      <c r="H1810" s="971" t="s">
        <v>1885</v>
      </c>
      <c r="I1810" s="439"/>
      <c r="J1810" s="439"/>
      <c r="K1810" s="430">
        <v>89000</v>
      </c>
      <c r="L1810" s="439">
        <v>22308</v>
      </c>
      <c r="M1810" s="65">
        <f>ROUND(K1810*L1810,0)</f>
        <v>1985412000</v>
      </c>
      <c r="N1810" s="66" t="s">
        <v>260</v>
      </c>
      <c r="O1810" s="66" t="s">
        <v>26</v>
      </c>
      <c r="P1810" s="84" t="str">
        <f>IF(AND('331-CT'!$E$7=TH!H1810,OR(N1810="331",O1810="331")),"x","")</f>
        <v/>
      </c>
      <c r="Q1810" s="84" t="str">
        <f>IF(AND(B1810='111'!$L$11,OR($N1810=$Q$7,$O1810=$Q$7)),"x","")</f>
        <v/>
      </c>
      <c r="R1810" s="84" t="str">
        <f>IF(AND($N1810=$Q$7,$B1810&lt;'111'!$L$11),"x","")</f>
        <v/>
      </c>
      <c r="S1810" s="84" t="str">
        <f>IF(AND($O1810=$Q$7,$B1810&lt;'111'!$L$11),"x","")</f>
        <v/>
      </c>
      <c r="T1810" s="84" t="str">
        <f>IF(ISERROR(FIND('112'!$M$9,G1810,1)),"",IF((AND(FIND('112'!$M$9,G1810,1)&gt;=1,B1810='112'!$K$9,OR($N1810='112'!$I$6,$O1810='112'!$I$6))),"x",""))</f>
        <v/>
      </c>
      <c r="U1810" s="84" t="str">
        <f>IF(ISERROR(FIND('112'!$M$9,G1810,1)),"",IF((AND(LEFT(G1810,2)=LEFT('112'!$M$9,2),B1810&lt;'112'!$K$9,$N1810='112'!$I$6)),"x",""))</f>
        <v/>
      </c>
      <c r="V1810" s="84" t="str">
        <f>IF(ISERROR(FIND('112'!$M$9,G1810,1)),"",IF((AND(RIGHT(G1810,2)=RIGHT('112'!$M$9,2),B1810&lt;'112'!$K$9,$O1810='112'!$I$6)),"x",""))</f>
        <v/>
      </c>
      <c r="W1810" s="84" t="str">
        <f>IF(AND('341-CT'!$H$9=H1810,OR(LEFT(N1810,3)=$W$7,LEFT(O1810,3)=$W$7)),"x","")</f>
        <v/>
      </c>
      <c r="X1810" s="84" t="str">
        <f>IF(OR(TH!N1810=TH!$X$7,O1810=TH!$X$7),"x","")</f>
        <v/>
      </c>
      <c r="Y1810" s="84" t="str">
        <f>IF(AND(OR(N1810="131",O1810="131"),H1810='131-CT'!$H$9),"x","")</f>
        <v/>
      </c>
      <c r="Z1810" s="84"/>
      <c r="AA1810" s="84" t="str">
        <f>IF(AND(MONTH(E1810)='IN-NX'!$J$5,'IN-NX'!$D$7=D1810),"x","")</f>
        <v/>
      </c>
      <c r="AB1810" s="84" t="str">
        <f>IF(AND(OR(LEFT(TH!N1810,2)="15",LEFT(TH!O1810,2)="15"),LEFT(TH!O1810,3)&lt;&gt;"111",'152-CT'!$J$8=TH!F1810),"x","")</f>
        <v/>
      </c>
      <c r="AC1810" s="84" t="str">
        <f>IF(AND(OR(LEFT(TH!N1810,2)="15",LEFT(TH!O1810,2)="15"),TK!$E$7=TH!F1810),"x","")</f>
        <v/>
      </c>
      <c r="AD1810" s="84" t="str">
        <f>IF(AND(N1810="1521",MONTH(C1810)='BK-NL'!$M$11),"x","")</f>
        <v/>
      </c>
      <c r="AE1810" s="351"/>
      <c r="AF1810" s="351"/>
    </row>
    <row r="1811" spans="1:32" ht="15.75" hidden="1" customHeight="1">
      <c r="A1811" s="336" t="str">
        <f>IF(B1811&lt;&gt;"",IF(AND(B1811='IN-TC'!$S$4,OR(TH!N1811="1111",TH!O1811="1111")),TH!D1811,""),"")</f>
        <v/>
      </c>
      <c r="B1811" s="63">
        <f t="shared" si="241"/>
        <v>7</v>
      </c>
      <c r="C1811" s="64">
        <v>42553</v>
      </c>
      <c r="D1811" s="64" t="s">
        <v>705</v>
      </c>
      <c r="E1811" s="64">
        <f t="shared" si="238"/>
        <v>42553</v>
      </c>
      <c r="F1811" s="67" t="s">
        <v>1890</v>
      </c>
      <c r="G1811" s="67" t="s">
        <v>1565</v>
      </c>
      <c r="H1811" s="971" t="s">
        <v>1885</v>
      </c>
      <c r="I1811" s="439"/>
      <c r="J1811" s="439"/>
      <c r="K1811" s="430"/>
      <c r="L1811" s="439"/>
      <c r="M1811" s="65">
        <v>7522505</v>
      </c>
      <c r="N1811" s="66" t="s">
        <v>99</v>
      </c>
      <c r="O1811" s="66" t="s">
        <v>26</v>
      </c>
      <c r="P1811" s="84" t="str">
        <f>IF(AND('331-CT'!$E$7=TH!H1811,OR(N1811="331",O1811="331")),"x","")</f>
        <v/>
      </c>
      <c r="Q1811" s="84" t="str">
        <f>IF(AND(B1811='111'!$L$11,OR($N1811=$Q$7,$O1811=$Q$7)),"x","")</f>
        <v/>
      </c>
      <c r="R1811" s="84" t="str">
        <f>IF(AND($N1811=$Q$7,$B1811&lt;'111'!$L$11),"x","")</f>
        <v/>
      </c>
      <c r="S1811" s="84" t="str">
        <f>IF(AND($O1811=$Q$7,$B1811&lt;'111'!$L$11),"x","")</f>
        <v/>
      </c>
      <c r="T1811" s="84" t="str">
        <f>IF(ISERROR(FIND('112'!$M$9,G1811,1)),"",IF((AND(FIND('112'!$M$9,G1811,1)&gt;=1,B1811='112'!$K$9,OR($N1811='112'!$I$6,$O1811='112'!$I$6))),"x",""))</f>
        <v/>
      </c>
      <c r="U1811" s="84" t="str">
        <f>IF(ISERROR(FIND('112'!$M$9,G1811,1)),"",IF((AND(LEFT(G1811,2)=LEFT('112'!$M$9,2),B1811&lt;'112'!$K$9,$N1811='112'!$I$6)),"x",""))</f>
        <v/>
      </c>
      <c r="V1811" s="84" t="str">
        <f>IF(ISERROR(FIND('112'!$M$9,G1811,1)),"",IF((AND(RIGHT(G1811,2)=RIGHT('112'!$M$9,2),B1811&lt;'112'!$K$9,$O1811='112'!$I$6)),"x",""))</f>
        <v/>
      </c>
      <c r="W1811" s="84" t="str">
        <f>IF(AND('341-CT'!$H$9=H1811,OR(LEFT(N1811,3)=$W$7,LEFT(O1811,3)=$W$7)),"x","")</f>
        <v/>
      </c>
      <c r="X1811" s="84" t="str">
        <f>IF(OR(TH!N1811=TH!$X$7,O1811=TH!$X$7),"x","")</f>
        <v/>
      </c>
      <c r="Y1811" s="84" t="str">
        <f>IF(AND(OR(N1811="131",O1811="131"),H1811='131-CT'!$H$9),"x","")</f>
        <v/>
      </c>
      <c r="Z1811" s="84"/>
      <c r="AA1811" s="84" t="str">
        <f>IF(AND(MONTH(E1811)='IN-NX'!$J$5,'IN-NX'!$D$7=D1811),"x","")</f>
        <v/>
      </c>
      <c r="AB1811" s="84" t="str">
        <f>IF(AND(OR(LEFT(TH!N1811,2)="15",LEFT(TH!O1811,2)="15"),LEFT(TH!O1811,3)&lt;&gt;"111",'152-CT'!$J$8=TH!F1811),"x","")</f>
        <v/>
      </c>
      <c r="AC1811" s="84" t="str">
        <f>IF(AND(OR(LEFT(TH!N1811,2)="15",LEFT(TH!O1811,2)="15"),TK!$E$7=TH!F1811),"x","")</f>
        <v/>
      </c>
      <c r="AD1811" s="84" t="str">
        <f>IF(AND(N1811="1521",MONTH(C1811)='BK-NL'!$M$11),"x","")</f>
        <v/>
      </c>
      <c r="AE1811" s="351"/>
      <c r="AF1811" s="351"/>
    </row>
    <row r="1812" spans="1:32" ht="15.75" hidden="1" customHeight="1">
      <c r="A1812" s="336" t="str">
        <f>IF(B1812&lt;&gt;"",IF(AND(B1812='IN-TC'!$S$4,OR(TH!N1812="1111",TH!O1812="1111")),TH!D1812,""),"")</f>
        <v/>
      </c>
      <c r="B1812" s="63">
        <f t="shared" si="241"/>
        <v>7</v>
      </c>
      <c r="C1812" s="64">
        <v>42554</v>
      </c>
      <c r="D1812" s="64" t="s">
        <v>870</v>
      </c>
      <c r="E1812" s="64">
        <f t="shared" si="238"/>
        <v>42554</v>
      </c>
      <c r="F1812" s="67" t="s">
        <v>1015</v>
      </c>
      <c r="G1812" s="982" t="s">
        <v>1718</v>
      </c>
      <c r="H1812" s="73" t="s">
        <v>808</v>
      </c>
      <c r="I1812" s="439"/>
      <c r="J1812" s="439"/>
      <c r="K1812" s="430"/>
      <c r="L1812" s="439"/>
      <c r="M1812" s="65">
        <v>1542446</v>
      </c>
      <c r="N1812" s="66" t="s">
        <v>101</v>
      </c>
      <c r="O1812" s="66" t="s">
        <v>63</v>
      </c>
      <c r="P1812" s="84" t="str">
        <f>IF(AND('331-CT'!$E$7=TH!H1812,OR(N1812="331",O1812="331")),"x","")</f>
        <v/>
      </c>
      <c r="Q1812" s="84" t="str">
        <f>IF(AND(B1812='111'!$L$11,OR($N1812=$Q$7,$O1812=$Q$7)),"x","")</f>
        <v/>
      </c>
      <c r="R1812" s="84" t="str">
        <f>IF(AND($N1812=$Q$7,$B1812&lt;'111'!$L$11),"x","")</f>
        <v/>
      </c>
      <c r="S1812" s="84" t="str">
        <f>IF(AND($O1812=$Q$7,$B1812&lt;'111'!$L$11),"x","")</f>
        <v/>
      </c>
      <c r="T1812" s="84" t="str">
        <f>IF(ISERROR(FIND('112'!$M$9,G1812,1)),"",IF((AND(FIND('112'!$M$9,G1812,1)&gt;=1,B1812='112'!$K$9,OR($N1812='112'!$I$6,$O1812='112'!$I$6))),"x",""))</f>
        <v/>
      </c>
      <c r="U1812" s="84" t="str">
        <f>IF(ISERROR(FIND('112'!$M$9,G1812,1)),"",IF((AND(LEFT(G1812,2)=LEFT('112'!$M$9,2),B1812&lt;'112'!$K$9,$N1812='112'!$I$6)),"x",""))</f>
        <v/>
      </c>
      <c r="V1812" s="84" t="str">
        <f>IF(ISERROR(FIND('112'!$M$9,G1812,1)),"",IF((AND(RIGHT(G1812,2)=RIGHT('112'!$M$9,2),B1812&lt;'112'!$K$9,$O1812='112'!$I$6)),"x",""))</f>
        <v/>
      </c>
      <c r="W1812" s="84" t="str">
        <f>IF(AND('341-CT'!$H$9=H1812,OR(LEFT(N1812,3)=$W$7,LEFT(O1812,3)=$W$7)),"x","")</f>
        <v/>
      </c>
      <c r="X1812" s="84" t="str">
        <f>IF(OR(TH!N1812=TH!$X$7,O1812=TH!$X$7),"x","")</f>
        <v/>
      </c>
      <c r="Y1812" s="84" t="str">
        <f>IF(AND(OR(N1812="131",O1812="131"),H1812='131-CT'!$H$9),"x","")</f>
        <v/>
      </c>
      <c r="Z1812" s="84"/>
      <c r="AA1812" s="84" t="str">
        <f>IF(AND(MONTH(E1812)='IN-NX'!$J$5,'IN-NX'!$D$7=D1812),"x","")</f>
        <v/>
      </c>
      <c r="AB1812" s="84" t="str">
        <f>IF(AND(OR(LEFT(TH!N1812,2)="15",LEFT(TH!O1812,2)="15"),LEFT(TH!O1812,3)&lt;&gt;"111",'152-CT'!$J$8=TH!F1812),"x","")</f>
        <v/>
      </c>
      <c r="AC1812" s="84" t="str">
        <f>IF(AND(OR(LEFT(TH!N1812,2)="15",LEFT(TH!O1812,2)="15"),TK!$E$7=TH!F1812),"x","")</f>
        <v/>
      </c>
      <c r="AD1812" s="84" t="str">
        <f>IF(AND(N1812="1521",MONTH(C1812)='BK-NL'!$M$11),"x","")</f>
        <v/>
      </c>
      <c r="AF1812" s="330">
        <v>7</v>
      </c>
    </row>
    <row r="1813" spans="1:32" ht="15.75" hidden="1" customHeight="1">
      <c r="A1813" s="336" t="str">
        <f>IF(B1813&lt;&gt;"",IF(AND(B1813='IN-TC'!$S$4,OR(TH!N1813="1111",TH!O1813="1111")),TH!D1813,""),"")</f>
        <v/>
      </c>
      <c r="B1813" s="63">
        <f t="shared" si="241"/>
        <v>7</v>
      </c>
      <c r="C1813" s="64">
        <v>42554</v>
      </c>
      <c r="D1813" s="64" t="s">
        <v>870</v>
      </c>
      <c r="E1813" s="64">
        <f t="shared" si="238"/>
        <v>42554</v>
      </c>
      <c r="F1813" s="67" t="s">
        <v>1016</v>
      </c>
      <c r="G1813" s="982" t="s">
        <v>1718</v>
      </c>
      <c r="H1813" s="73" t="s">
        <v>808</v>
      </c>
      <c r="I1813" s="439"/>
      <c r="J1813" s="439"/>
      <c r="K1813" s="430"/>
      <c r="L1813" s="439"/>
      <c r="M1813" s="65">
        <v>154244</v>
      </c>
      <c r="N1813" s="66" t="s">
        <v>9</v>
      </c>
      <c r="O1813" s="66" t="s">
        <v>63</v>
      </c>
      <c r="P1813" s="84" t="str">
        <f>IF(AND('331-CT'!$E$7=TH!H1813,OR(N1813="331",O1813="331")),"x","")</f>
        <v/>
      </c>
      <c r="Q1813" s="84" t="str">
        <f>IF(AND(B1813='111'!$L$11,OR($N1813=$Q$7,$O1813=$Q$7)),"x","")</f>
        <v/>
      </c>
      <c r="R1813" s="84" t="str">
        <f>IF(AND($N1813=$Q$7,$B1813&lt;'111'!$L$11),"x","")</f>
        <v/>
      </c>
      <c r="S1813" s="84" t="str">
        <f>IF(AND($O1813=$Q$7,$B1813&lt;'111'!$L$11),"x","")</f>
        <v/>
      </c>
      <c r="T1813" s="84" t="str">
        <f>IF(ISERROR(FIND('112'!$M$9,G1813,1)),"",IF((AND(FIND('112'!$M$9,G1813,1)&gt;=1,B1813='112'!$K$9,OR($N1813='112'!$I$6,$O1813='112'!$I$6))),"x",""))</f>
        <v/>
      </c>
      <c r="U1813" s="84" t="str">
        <f>IF(ISERROR(FIND('112'!$M$9,G1813,1)),"",IF((AND(LEFT(G1813,2)=LEFT('112'!$M$9,2),B1813&lt;'112'!$K$9,$N1813='112'!$I$6)),"x",""))</f>
        <v/>
      </c>
      <c r="V1813" s="84" t="str">
        <f>IF(ISERROR(FIND('112'!$M$9,G1813,1)),"",IF((AND(RIGHT(G1813,2)=RIGHT('112'!$M$9,2),B1813&lt;'112'!$K$9,$O1813='112'!$I$6)),"x",""))</f>
        <v/>
      </c>
      <c r="W1813" s="84" t="str">
        <f>IF(AND('341-CT'!$H$9=H1813,OR(LEFT(N1813,3)=$W$7,LEFT(O1813,3)=$W$7)),"x","")</f>
        <v/>
      </c>
      <c r="X1813" s="84" t="str">
        <f>IF(OR(TH!N1813=TH!$X$7,O1813=TH!$X$7),"x","")</f>
        <v/>
      </c>
      <c r="Y1813" s="84" t="str">
        <f>IF(AND(OR(N1813="131",O1813="131"),H1813='131-CT'!$H$9),"x","")</f>
        <v/>
      </c>
      <c r="Z1813" s="84"/>
      <c r="AA1813" s="84" t="str">
        <f>IF(AND(MONTH(E1813)='IN-NX'!$J$5,'IN-NX'!$D$7=D1813),"x","")</f>
        <v/>
      </c>
      <c r="AB1813" s="84" t="str">
        <f>IF(AND(OR(LEFT(TH!N1813,2)="15",LEFT(TH!O1813,2)="15"),LEFT(TH!O1813,3)&lt;&gt;"111",'152-CT'!$J$8=TH!F1813),"x","")</f>
        <v/>
      </c>
      <c r="AC1813" s="84" t="str">
        <f>IF(AND(OR(LEFT(TH!N1813,2)="15",LEFT(TH!O1813,2)="15"),TK!$E$7=TH!F1813),"x","")</f>
        <v/>
      </c>
      <c r="AD1813" s="84" t="str">
        <f>IF(AND(N1813="1521",MONTH(C1813)='BK-NL'!$M$11),"x","")</f>
        <v/>
      </c>
      <c r="AF1813" s="330">
        <v>7</v>
      </c>
    </row>
    <row r="1814" spans="1:32" ht="15.75" hidden="1" customHeight="1">
      <c r="A1814" s="336" t="str">
        <f>IF(B1814&lt;&gt;"",IF(AND(B1814='IN-TC'!$S$4,OR(TH!N1814="1111",TH!O1814="1111")),TH!D1814,""),"")</f>
        <v/>
      </c>
      <c r="B1814" s="63">
        <f t="shared" si="241"/>
        <v>7</v>
      </c>
      <c r="C1814" s="64">
        <v>42555</v>
      </c>
      <c r="D1814" s="64" t="s">
        <v>702</v>
      </c>
      <c r="E1814" s="64">
        <f t="shared" si="238"/>
        <v>42555</v>
      </c>
      <c r="F1814" s="67" t="s">
        <v>1457</v>
      </c>
      <c r="G1814" s="67" t="s">
        <v>919</v>
      </c>
      <c r="H1814" s="73" t="s">
        <v>1775</v>
      </c>
      <c r="I1814" s="439"/>
      <c r="J1814" s="439"/>
      <c r="K1814" s="430"/>
      <c r="L1814" s="439"/>
      <c r="M1814" s="65">
        <v>300000000</v>
      </c>
      <c r="N1814" s="66" t="s">
        <v>26</v>
      </c>
      <c r="O1814" s="66" t="s">
        <v>588</v>
      </c>
      <c r="P1814" s="84" t="str">
        <f>IF(AND('331-CT'!$E$7=TH!H1814,OR(N1814="331",O1814="331")),"x","")</f>
        <v/>
      </c>
      <c r="Q1814" s="84" t="str">
        <f>IF(AND(B1814='111'!$L$11,OR($N1814=$Q$7,$O1814=$Q$7)),"x","")</f>
        <v/>
      </c>
      <c r="R1814" s="84" t="str">
        <f>IF(AND($N1814=$Q$7,$B1814&lt;'111'!$L$11),"x","")</f>
        <v/>
      </c>
      <c r="S1814" s="84" t="str">
        <f>IF(AND($O1814=$Q$7,$B1814&lt;'111'!$L$11),"x","")</f>
        <v/>
      </c>
      <c r="T1814" s="84" t="str">
        <f>IF(ISERROR(FIND('112'!$M$9,G1814,1)),"",IF((AND(FIND('112'!$M$9,G1814,1)&gt;=1,B1814='112'!$K$9,OR($N1814='112'!$I$6,$O1814='112'!$I$6))),"x",""))</f>
        <v/>
      </c>
      <c r="U1814" s="84" t="str">
        <f>IF(ISERROR(FIND('112'!$M$9,G1814,1)),"",IF((AND(LEFT(G1814,2)=LEFT('112'!$M$9,2),B1814&lt;'112'!$K$9,$N1814='112'!$I$6)),"x",""))</f>
        <v/>
      </c>
      <c r="V1814" s="84" t="str">
        <f>IF(ISERROR(FIND('112'!$M$9,G1814,1)),"",IF((AND(RIGHT(G1814,2)=RIGHT('112'!$M$9,2),B1814&lt;'112'!$K$9,$O1814='112'!$I$6)),"x",""))</f>
        <v/>
      </c>
      <c r="W1814" s="84" t="str">
        <f>IF(AND('341-CT'!$H$9=H1814,OR(LEFT(N1814,3)=$W$7,LEFT(O1814,3)=$W$7)),"x","")</f>
        <v/>
      </c>
      <c r="X1814" s="84" t="str">
        <f>IF(OR(TH!N1814=TH!$X$7,O1814=TH!$X$7),"x","")</f>
        <v/>
      </c>
      <c r="Y1814" s="84" t="str">
        <f>IF(AND(OR(N1814="131",O1814="131"),H1814='131-CT'!$H$9),"x","")</f>
        <v/>
      </c>
      <c r="Z1814" s="84"/>
      <c r="AA1814" s="84" t="str">
        <f>IF(AND(MONTH(E1814)='IN-NX'!$J$5,'IN-NX'!$D$7=D1814),"x","")</f>
        <v/>
      </c>
      <c r="AB1814" s="84" t="str">
        <f>IF(AND(OR(LEFT(TH!N1814,2)="15",LEFT(TH!O1814,2)="15"),LEFT(TH!O1814,3)&lt;&gt;"111",'152-CT'!$J$8=TH!F1814),"x","")</f>
        <v/>
      </c>
      <c r="AC1814" s="84" t="str">
        <f>IF(AND(OR(LEFT(TH!N1814,2)="15",LEFT(TH!O1814,2)="15"),TK!$E$7=TH!F1814),"x","")</f>
        <v/>
      </c>
      <c r="AD1814" s="84" t="str">
        <f>IF(AND(N1814="1521",MONTH(C1814)='BK-NL'!$M$11),"x","")</f>
        <v/>
      </c>
      <c r="AE1814" s="351"/>
      <c r="AF1814" s="351"/>
    </row>
    <row r="1815" spans="1:32" ht="15.75" hidden="1" customHeight="1">
      <c r="A1815" s="336" t="str">
        <f>IF(B1815&lt;&gt;"",IF(AND(B1815='IN-TC'!$S$4,OR(TH!N1815="1111",TH!O1815="1111")),TH!D1815,""),"")</f>
        <v/>
      </c>
      <c r="B1815" s="63">
        <f t="shared" si="241"/>
        <v>7</v>
      </c>
      <c r="C1815" s="64">
        <v>42556</v>
      </c>
      <c r="D1815" s="64" t="s">
        <v>871</v>
      </c>
      <c r="E1815" s="64">
        <f t="shared" si="238"/>
        <v>42556</v>
      </c>
      <c r="F1815" s="67" t="s">
        <v>1717</v>
      </c>
      <c r="G1815" s="982" t="s">
        <v>1719</v>
      </c>
      <c r="H1815" s="73" t="s">
        <v>1720</v>
      </c>
      <c r="I1815" s="439"/>
      <c r="J1815" s="439"/>
      <c r="K1815" s="430"/>
      <c r="L1815" s="439"/>
      <c r="M1815" s="65">
        <v>15792000</v>
      </c>
      <c r="N1815" s="66" t="s">
        <v>101</v>
      </c>
      <c r="O1815" s="66" t="s">
        <v>63</v>
      </c>
      <c r="P1815" s="84" t="str">
        <f>IF(AND('331-CT'!$E$7=TH!H1815,OR(N1815="331",O1815="331")),"x","")</f>
        <v/>
      </c>
      <c r="Q1815" s="84" t="str">
        <f>IF(AND(B1815='111'!$L$11,OR($N1815=$Q$7,$O1815=$Q$7)),"x","")</f>
        <v/>
      </c>
      <c r="R1815" s="84" t="str">
        <f>IF(AND($N1815=$Q$7,$B1815&lt;'111'!$L$11),"x","")</f>
        <v/>
      </c>
      <c r="S1815" s="84" t="str">
        <f>IF(AND($O1815=$Q$7,$B1815&lt;'111'!$L$11),"x","")</f>
        <v/>
      </c>
      <c r="T1815" s="84" t="str">
        <f>IF(ISERROR(FIND('112'!$M$9,G1815,1)),"",IF((AND(FIND('112'!$M$9,G1815,1)&gt;=1,B1815='112'!$K$9,OR($N1815='112'!$I$6,$O1815='112'!$I$6))),"x",""))</f>
        <v/>
      </c>
      <c r="U1815" s="84" t="str">
        <f>IF(ISERROR(FIND('112'!$M$9,G1815,1)),"",IF((AND(LEFT(G1815,2)=LEFT('112'!$M$9,2),B1815&lt;'112'!$K$9,$N1815='112'!$I$6)),"x",""))</f>
        <v/>
      </c>
      <c r="V1815" s="84" t="str">
        <f>IF(ISERROR(FIND('112'!$M$9,G1815,1)),"",IF((AND(RIGHT(G1815,2)=RIGHT('112'!$M$9,2),B1815&lt;'112'!$K$9,$O1815='112'!$I$6)),"x",""))</f>
        <v/>
      </c>
      <c r="W1815" s="84" t="str">
        <f>IF(AND('341-CT'!$H$9=H1815,OR(LEFT(N1815,3)=$W$7,LEFT(O1815,3)=$W$7)),"x","")</f>
        <v/>
      </c>
      <c r="X1815" s="84" t="str">
        <f>IF(OR(TH!N1815=TH!$X$7,O1815=TH!$X$7),"x","")</f>
        <v/>
      </c>
      <c r="Y1815" s="84" t="str">
        <f>IF(AND(OR(N1815="131",O1815="131"),H1815='131-CT'!$H$9),"x","")</f>
        <v/>
      </c>
      <c r="Z1815" s="84"/>
      <c r="AA1815" s="84" t="str">
        <f>IF(AND(MONTH(E1815)='IN-NX'!$J$5,'IN-NX'!$D$7=D1815),"x","")</f>
        <v/>
      </c>
      <c r="AB1815" s="84" t="str">
        <f>IF(AND(OR(LEFT(TH!N1815,2)="15",LEFT(TH!O1815,2)="15"),LEFT(TH!O1815,3)&lt;&gt;"111",'152-CT'!$J$8=TH!F1815),"x","")</f>
        <v/>
      </c>
      <c r="AC1815" s="84" t="str">
        <f>IF(AND(OR(LEFT(TH!N1815,2)="15",LEFT(TH!O1815,2)="15"),TK!$E$7=TH!F1815),"x","")</f>
        <v/>
      </c>
      <c r="AD1815" s="84" t="str">
        <f>IF(AND(N1815="1521",MONTH(C1815)='BK-NL'!$M$11),"x","")</f>
        <v/>
      </c>
      <c r="AF1815" s="330">
        <v>7</v>
      </c>
    </row>
    <row r="1816" spans="1:32" ht="15.75" hidden="1" customHeight="1">
      <c r="A1816" s="336" t="str">
        <f>IF(B1816&lt;&gt;"",IF(AND(B1816='IN-TC'!$S$4,OR(TH!N1816="1111",TH!O1816="1111")),TH!D1816,""),"")</f>
        <v/>
      </c>
      <c r="B1816" s="63">
        <f t="shared" si="241"/>
        <v>7</v>
      </c>
      <c r="C1816" s="64">
        <v>42556</v>
      </c>
      <c r="D1816" s="64" t="s">
        <v>871</v>
      </c>
      <c r="E1816" s="64">
        <f t="shared" si="238"/>
        <v>42556</v>
      </c>
      <c r="F1816" s="67" t="s">
        <v>1721</v>
      </c>
      <c r="G1816" s="982" t="s">
        <v>1719</v>
      </c>
      <c r="H1816" s="73" t="s">
        <v>1720</v>
      </c>
      <c r="I1816" s="439"/>
      <c r="J1816" s="439"/>
      <c r="K1816" s="430"/>
      <c r="L1816" s="439"/>
      <c r="M1816" s="65">
        <v>1579200</v>
      </c>
      <c r="N1816" s="66" t="s">
        <v>9</v>
      </c>
      <c r="O1816" s="66" t="s">
        <v>63</v>
      </c>
      <c r="P1816" s="84" t="str">
        <f>IF(AND('331-CT'!$E$7=TH!H1816,OR(N1816="331",O1816="331")),"x","")</f>
        <v/>
      </c>
      <c r="Q1816" s="84" t="str">
        <f>IF(AND(B1816='111'!$L$11,OR($N1816=$Q$7,$O1816=$Q$7)),"x","")</f>
        <v/>
      </c>
      <c r="R1816" s="84" t="str">
        <f>IF(AND($N1816=$Q$7,$B1816&lt;'111'!$L$11),"x","")</f>
        <v/>
      </c>
      <c r="S1816" s="84" t="str">
        <f>IF(AND($O1816=$Q$7,$B1816&lt;'111'!$L$11),"x","")</f>
        <v/>
      </c>
      <c r="T1816" s="84" t="str">
        <f>IF(ISERROR(FIND('112'!$M$9,G1816,1)),"",IF((AND(FIND('112'!$M$9,G1816,1)&gt;=1,B1816='112'!$K$9,OR($N1816='112'!$I$6,$O1816='112'!$I$6))),"x",""))</f>
        <v/>
      </c>
      <c r="U1816" s="84" t="str">
        <f>IF(ISERROR(FIND('112'!$M$9,G1816,1)),"",IF((AND(LEFT(G1816,2)=LEFT('112'!$M$9,2),B1816&lt;'112'!$K$9,$N1816='112'!$I$6)),"x",""))</f>
        <v/>
      </c>
      <c r="V1816" s="84" t="str">
        <f>IF(ISERROR(FIND('112'!$M$9,G1816,1)),"",IF((AND(RIGHT(G1816,2)=RIGHT('112'!$M$9,2),B1816&lt;'112'!$K$9,$O1816='112'!$I$6)),"x",""))</f>
        <v/>
      </c>
      <c r="W1816" s="84" t="str">
        <f>IF(AND('341-CT'!$H$9=H1816,OR(LEFT(N1816,3)=$W$7,LEFT(O1816,3)=$W$7)),"x","")</f>
        <v/>
      </c>
      <c r="X1816" s="84" t="str">
        <f>IF(OR(TH!N1816=TH!$X$7,O1816=TH!$X$7),"x","")</f>
        <v/>
      </c>
      <c r="Y1816" s="84" t="str">
        <f>IF(AND(OR(N1816="131",O1816="131"),H1816='131-CT'!$H$9),"x","")</f>
        <v/>
      </c>
      <c r="Z1816" s="84"/>
      <c r="AA1816" s="84" t="str">
        <f>IF(AND(MONTH(E1816)='IN-NX'!$J$5,'IN-NX'!$D$7=D1816),"x","")</f>
        <v/>
      </c>
      <c r="AB1816" s="84" t="str">
        <f>IF(AND(OR(LEFT(TH!N1816,2)="15",LEFT(TH!O1816,2)="15"),LEFT(TH!O1816,3)&lt;&gt;"111",'152-CT'!$J$8=TH!F1816),"x","")</f>
        <v/>
      </c>
      <c r="AC1816" s="84" t="str">
        <f>IF(AND(OR(LEFT(TH!N1816,2)="15",LEFT(TH!O1816,2)="15"),TK!$E$7=TH!F1816),"x","")</f>
        <v/>
      </c>
      <c r="AD1816" s="84" t="str">
        <f>IF(AND(N1816="1521",MONTH(C1816)='BK-NL'!$M$11),"x","")</f>
        <v/>
      </c>
      <c r="AF1816" s="330">
        <v>7</v>
      </c>
    </row>
    <row r="1817" spans="1:32" ht="15.75" hidden="1" customHeight="1">
      <c r="A1817" s="336" t="str">
        <f>IF(B1817&lt;&gt;"",IF(AND(B1817='IN-TC'!$S$4,OR(TH!N1817="1111",TH!O1817="1111")),TH!D1817,""),"")</f>
        <v/>
      </c>
      <c r="B1817" s="63">
        <f t="shared" si="241"/>
        <v>7</v>
      </c>
      <c r="C1817" s="64">
        <v>42556</v>
      </c>
      <c r="D1817" s="64" t="s">
        <v>705</v>
      </c>
      <c r="E1817" s="64">
        <f t="shared" si="238"/>
        <v>42556</v>
      </c>
      <c r="F1817" s="67" t="s">
        <v>1894</v>
      </c>
      <c r="G1817" s="67" t="s">
        <v>1565</v>
      </c>
      <c r="H1817" s="73" t="s">
        <v>1895</v>
      </c>
      <c r="I1817" s="439"/>
      <c r="J1817" s="439"/>
      <c r="K1817" s="430">
        <v>89000</v>
      </c>
      <c r="L1817" s="439">
        <v>22292</v>
      </c>
      <c r="M1817" s="65">
        <f>ROUND(K1817*L1817,0)</f>
        <v>1983988000</v>
      </c>
      <c r="N1817" s="66" t="s">
        <v>266</v>
      </c>
      <c r="O1817" s="66" t="s">
        <v>260</v>
      </c>
      <c r="P1817" s="84" t="str">
        <f>IF(AND('331-CT'!$E$7=TH!H1817,OR(N1817="331",O1817="331")),"x","")</f>
        <v/>
      </c>
      <c r="Q1817" s="84" t="str">
        <f>IF(AND(B1817='111'!$L$11,OR($N1817=$Q$7,$O1817=$Q$7)),"x","")</f>
        <v/>
      </c>
      <c r="R1817" s="84" t="str">
        <f>IF(AND($N1817=$Q$7,$B1817&lt;'111'!$L$11),"x","")</f>
        <v/>
      </c>
      <c r="S1817" s="84" t="str">
        <f>IF(AND($O1817=$Q$7,$B1817&lt;'111'!$L$11),"x","")</f>
        <v/>
      </c>
      <c r="T1817" s="84" t="str">
        <f>IF(ISERROR(FIND('112'!$M$9,G1817,1)),"",IF((AND(FIND('112'!$M$9,G1817,1)&gt;=1,B1817='112'!$K$9,OR($N1817='112'!$I$6,$O1817='112'!$I$6))),"x",""))</f>
        <v/>
      </c>
      <c r="U1817" s="84" t="str">
        <f>IF(ISERROR(FIND('112'!$M$9,G1817,1)),"",IF((AND(LEFT(G1817,2)=LEFT('112'!$M$9,2),B1817&lt;'112'!$K$9,$N1817='112'!$I$6)),"x",""))</f>
        <v/>
      </c>
      <c r="V1817" s="84" t="str">
        <f>IF(ISERROR(FIND('112'!$M$9,G1817,1)),"",IF((AND(RIGHT(G1817,2)=RIGHT('112'!$M$9,2),B1817&lt;'112'!$K$9,$O1817='112'!$I$6)),"x",""))</f>
        <v/>
      </c>
      <c r="W1817" s="84" t="str">
        <f>IF(AND('341-CT'!$H$9=H1817,OR(LEFT(N1817,3)=$W$7,LEFT(O1817,3)=$W$7)),"x","")</f>
        <v/>
      </c>
      <c r="X1817" s="84" t="str">
        <f>IF(OR(TH!N1817=TH!$X$7,O1817=TH!$X$7),"x","")</f>
        <v/>
      </c>
      <c r="Y1817" s="84" t="str">
        <f>IF(AND(OR(N1817="131",O1817="131"),H1817='131-CT'!$H$9),"x","")</f>
        <v/>
      </c>
      <c r="Z1817" s="84"/>
      <c r="AA1817" s="84" t="str">
        <f>IF(AND(MONTH(E1817)='IN-NX'!$J$5,'IN-NX'!$D$7=D1817),"x","")</f>
        <v/>
      </c>
      <c r="AB1817" s="84" t="str">
        <f>IF(AND(OR(LEFT(TH!N1817,2)="15",LEFT(TH!O1817,2)="15"),LEFT(TH!O1817,3)&lt;&gt;"111",'152-CT'!$J$8=TH!F1817),"x","")</f>
        <v/>
      </c>
      <c r="AC1817" s="84" t="str">
        <f>IF(AND(OR(LEFT(TH!N1817,2)="15",LEFT(TH!O1817,2)="15"),TK!$E$7=TH!F1817),"x","")</f>
        <v/>
      </c>
      <c r="AD1817" s="84" t="str">
        <f>IF(AND(N1817="1521",MONTH(C1817)='BK-NL'!$M$11),"x","")</f>
        <v/>
      </c>
      <c r="AE1817" s="351"/>
      <c r="AF1817" s="351"/>
    </row>
    <row r="1818" spans="1:32" ht="15.75" hidden="1" customHeight="1">
      <c r="A1818" s="336" t="str">
        <f>IF(B1818&lt;&gt;"",IF(AND(B1818='IN-TC'!$S$4,OR(TH!N1818="1111",TH!O1818="1111")),TH!D1818,""),"")</f>
        <v/>
      </c>
      <c r="B1818" s="63">
        <f t="shared" si="241"/>
        <v>7</v>
      </c>
      <c r="C1818" s="64">
        <v>42556</v>
      </c>
      <c r="D1818" s="64" t="s">
        <v>705</v>
      </c>
      <c r="E1818" s="64">
        <f t="shared" ref="E1818:E1842" si="242">C1818</f>
        <v>42556</v>
      </c>
      <c r="F1818" s="67" t="s">
        <v>1445</v>
      </c>
      <c r="G1818" s="67" t="s">
        <v>1565</v>
      </c>
      <c r="H1818" s="73"/>
      <c r="I1818" s="439"/>
      <c r="J1818" s="439"/>
      <c r="K1818" s="430">
        <v>89000</v>
      </c>
      <c r="L1818" s="439">
        <v>22292</v>
      </c>
      <c r="M1818" s="65">
        <f>ROUND(K1818*L1818,0)</f>
        <v>1983988000</v>
      </c>
      <c r="N1818" s="66" t="s">
        <v>26</v>
      </c>
      <c r="O1818" s="66" t="s">
        <v>266</v>
      </c>
      <c r="P1818" s="84" t="str">
        <f>IF(AND('331-CT'!$E$7=TH!H1818,OR(N1818="331",O1818="331")),"x","")</f>
        <v/>
      </c>
      <c r="Q1818" s="84" t="str">
        <f>IF(AND(B1818='111'!$L$11,OR($N1818=$Q$7,$O1818=$Q$7)),"x","")</f>
        <v/>
      </c>
      <c r="R1818" s="84" t="str">
        <f>IF(AND($N1818=$Q$7,$B1818&lt;'111'!$L$11),"x","")</f>
        <v/>
      </c>
      <c r="S1818" s="84" t="str">
        <f>IF(AND($O1818=$Q$7,$B1818&lt;'111'!$L$11),"x","")</f>
        <v/>
      </c>
      <c r="T1818" s="84" t="str">
        <f>IF(ISERROR(FIND('112'!$M$9,G1818,1)),"",IF((AND(FIND('112'!$M$9,G1818,1)&gt;=1,B1818='112'!$K$9,OR($N1818='112'!$I$6,$O1818='112'!$I$6))),"x",""))</f>
        <v/>
      </c>
      <c r="U1818" s="84" t="str">
        <f>IF(ISERROR(FIND('112'!$M$9,G1818,1)),"",IF((AND(LEFT(G1818,2)=LEFT('112'!$M$9,2),B1818&lt;'112'!$K$9,$N1818='112'!$I$6)),"x",""))</f>
        <v/>
      </c>
      <c r="V1818" s="84" t="str">
        <f>IF(ISERROR(FIND('112'!$M$9,G1818,1)),"",IF((AND(RIGHT(G1818,2)=RIGHT('112'!$M$9,2),B1818&lt;'112'!$K$9,$O1818='112'!$I$6)),"x",""))</f>
        <v/>
      </c>
      <c r="W1818" s="84" t="str">
        <f>IF(AND('341-CT'!$H$9=H1818,OR(LEFT(N1818,3)=$W$7,LEFT(O1818,3)=$W$7)),"x","")</f>
        <v/>
      </c>
      <c r="X1818" s="84" t="str">
        <f>IF(OR(TH!N1818=TH!$X$7,O1818=TH!$X$7),"x","")</f>
        <v/>
      </c>
      <c r="Y1818" s="84" t="str">
        <f>IF(AND(OR(N1818="131",O1818="131"),H1818='131-CT'!$H$9),"x","")</f>
        <v/>
      </c>
      <c r="Z1818" s="84"/>
      <c r="AA1818" s="84" t="str">
        <f>IF(AND(MONTH(E1818)='IN-NX'!$J$5,'IN-NX'!$D$7=D1818),"x","")</f>
        <v/>
      </c>
      <c r="AB1818" s="84" t="str">
        <f>IF(AND(OR(LEFT(TH!N1818,2)="15",LEFT(TH!O1818,2)="15"),LEFT(TH!O1818,3)&lt;&gt;"111",'152-CT'!$J$8=TH!F1818),"x","")</f>
        <v/>
      </c>
      <c r="AC1818" s="84" t="str">
        <f>IF(AND(OR(LEFT(TH!N1818,2)="15",LEFT(TH!O1818,2)="15"),TK!$E$7=TH!F1818),"x","")</f>
        <v/>
      </c>
      <c r="AD1818" s="84" t="str">
        <f>IF(AND(N1818="1521",MONTH(C1818)='BK-NL'!$M$11),"x","")</f>
        <v/>
      </c>
      <c r="AE1818" s="351"/>
      <c r="AF1818" s="351"/>
    </row>
    <row r="1819" spans="1:32" ht="15.75" hidden="1" customHeight="1">
      <c r="A1819" s="336" t="str">
        <f>IF(B1819&lt;&gt;"",IF(AND(B1819='IN-TC'!$S$4,OR(TH!N1819="1111",TH!O1819="1111")),TH!D1819,""),"")</f>
        <v/>
      </c>
      <c r="B1819" s="63">
        <f t="shared" si="241"/>
        <v>7</v>
      </c>
      <c r="C1819" s="64">
        <v>42556</v>
      </c>
      <c r="D1819" s="64" t="s">
        <v>906</v>
      </c>
      <c r="E1819" s="64">
        <f t="shared" si="242"/>
        <v>42556</v>
      </c>
      <c r="F1819" s="67" t="s">
        <v>1146</v>
      </c>
      <c r="G1819" s="67" t="s">
        <v>1565</v>
      </c>
      <c r="H1819" s="73" t="s">
        <v>763</v>
      </c>
      <c r="I1819" s="439"/>
      <c r="J1819" s="439"/>
      <c r="K1819" s="430"/>
      <c r="L1819" s="439"/>
      <c r="M1819" s="65">
        <v>2000000000</v>
      </c>
      <c r="N1819" s="66" t="s">
        <v>63</v>
      </c>
      <c r="O1819" s="66" t="s">
        <v>26</v>
      </c>
      <c r="P1819" s="84" t="str">
        <f>IF(AND('331-CT'!$E$7=TH!H1819,OR(N1819="331",O1819="331")),"x","")</f>
        <v/>
      </c>
      <c r="Q1819" s="84" t="str">
        <f>IF(AND(B1819='111'!$L$11,OR($N1819=$Q$7,$O1819=$Q$7)),"x","")</f>
        <v/>
      </c>
      <c r="R1819" s="84" t="str">
        <f>IF(AND($N1819=$Q$7,$B1819&lt;'111'!$L$11),"x","")</f>
        <v/>
      </c>
      <c r="S1819" s="84" t="str">
        <f>IF(AND($O1819=$Q$7,$B1819&lt;'111'!$L$11),"x","")</f>
        <v/>
      </c>
      <c r="T1819" s="84" t="str">
        <f>IF(ISERROR(FIND('112'!$M$9,G1819,1)),"",IF((AND(FIND('112'!$M$9,G1819,1)&gt;=1,B1819='112'!$K$9,OR($N1819='112'!$I$6,$O1819='112'!$I$6))),"x",""))</f>
        <v/>
      </c>
      <c r="U1819" s="84" t="str">
        <f>IF(ISERROR(FIND('112'!$M$9,G1819,1)),"",IF((AND(LEFT(G1819,2)=LEFT('112'!$M$9,2),B1819&lt;'112'!$K$9,$N1819='112'!$I$6)),"x",""))</f>
        <v/>
      </c>
      <c r="V1819" s="84" t="str">
        <f>IF(ISERROR(FIND('112'!$M$9,G1819,1)),"",IF((AND(RIGHT(G1819,2)=RIGHT('112'!$M$9,2),B1819&lt;'112'!$K$9,$O1819='112'!$I$6)),"x",""))</f>
        <v/>
      </c>
      <c r="W1819" s="84" t="str">
        <f>IF(AND('341-CT'!$H$9=H1819,OR(LEFT(N1819,3)=$W$7,LEFT(O1819,3)=$W$7)),"x","")</f>
        <v/>
      </c>
      <c r="X1819" s="84" t="str">
        <f>IF(OR(TH!N1819=TH!$X$7,O1819=TH!$X$7),"x","")</f>
        <v/>
      </c>
      <c r="Y1819" s="84" t="str">
        <f>IF(AND(OR(N1819="131",O1819="131"),H1819='131-CT'!$H$9),"x","")</f>
        <v/>
      </c>
      <c r="Z1819" s="84"/>
      <c r="AA1819" s="84" t="str">
        <f>IF(AND(MONTH(E1819)='IN-NX'!$J$5,'IN-NX'!$D$7=D1819),"x","")</f>
        <v/>
      </c>
      <c r="AB1819" s="84" t="str">
        <f>IF(AND(OR(LEFT(TH!N1819,2)="15",LEFT(TH!O1819,2)="15"),LEFT(TH!O1819,3)&lt;&gt;"111",'152-CT'!$J$8=TH!F1819),"x","")</f>
        <v/>
      </c>
      <c r="AC1819" s="84" t="str">
        <f>IF(AND(OR(LEFT(TH!N1819,2)="15",LEFT(TH!O1819,2)="15"),TK!$E$7=TH!F1819),"x","")</f>
        <v/>
      </c>
      <c r="AD1819" s="84" t="str">
        <f>IF(AND(N1819="1521",MONTH(C1819)='BK-NL'!$M$11),"x","")</f>
        <v/>
      </c>
      <c r="AE1819" s="351"/>
      <c r="AF1819" s="351"/>
    </row>
    <row r="1820" spans="1:32" ht="15.75" hidden="1" customHeight="1">
      <c r="A1820" s="336" t="str">
        <f>IF(B1820&lt;&gt;"",IF(AND(B1820='IN-TC'!$S$4,OR(TH!N1820="1111",TH!O1820="1111")),TH!D1820,""),"")</f>
        <v/>
      </c>
      <c r="B1820" s="63">
        <f t="shared" si="241"/>
        <v>7</v>
      </c>
      <c r="C1820" s="64">
        <v>42556</v>
      </c>
      <c r="D1820" s="64" t="s">
        <v>705</v>
      </c>
      <c r="E1820" s="64">
        <f t="shared" si="242"/>
        <v>42556</v>
      </c>
      <c r="F1820" s="67" t="s">
        <v>1776</v>
      </c>
      <c r="G1820" s="67" t="s">
        <v>919</v>
      </c>
      <c r="H1820" s="73" t="s">
        <v>632</v>
      </c>
      <c r="I1820" s="439"/>
      <c r="J1820" s="439"/>
      <c r="K1820" s="430"/>
      <c r="L1820" s="439"/>
      <c r="M1820" s="65">
        <v>57018720</v>
      </c>
      <c r="N1820" s="66" t="s">
        <v>8</v>
      </c>
      <c r="O1820" s="66" t="s">
        <v>26</v>
      </c>
      <c r="P1820" s="84" t="str">
        <f>IF(AND('331-CT'!$E$7=TH!H1820,OR(N1820="331",O1820="331")),"x","")</f>
        <v/>
      </c>
      <c r="Q1820" s="84" t="str">
        <f>IF(AND(B1820='111'!$L$11,OR($N1820=$Q$7,$O1820=$Q$7)),"x","")</f>
        <v/>
      </c>
      <c r="R1820" s="84" t="str">
        <f>IF(AND($N1820=$Q$7,$B1820&lt;'111'!$L$11),"x","")</f>
        <v/>
      </c>
      <c r="S1820" s="84" t="str">
        <f>IF(AND($O1820=$Q$7,$B1820&lt;'111'!$L$11),"x","")</f>
        <v/>
      </c>
      <c r="T1820" s="84" t="str">
        <f>IF(ISERROR(FIND('112'!$M$9,G1820,1)),"",IF((AND(FIND('112'!$M$9,G1820,1)&gt;=1,B1820='112'!$K$9,OR($N1820='112'!$I$6,$O1820='112'!$I$6))),"x",""))</f>
        <v/>
      </c>
      <c r="U1820" s="84" t="str">
        <f>IF(ISERROR(FIND('112'!$M$9,G1820,1)),"",IF((AND(LEFT(G1820,2)=LEFT('112'!$M$9,2),B1820&lt;'112'!$K$9,$N1820='112'!$I$6)),"x",""))</f>
        <v/>
      </c>
      <c r="V1820" s="84" t="str">
        <f>IF(ISERROR(FIND('112'!$M$9,G1820,1)),"",IF((AND(RIGHT(G1820,2)=RIGHT('112'!$M$9,2),B1820&lt;'112'!$K$9,$O1820='112'!$I$6)),"x",""))</f>
        <v/>
      </c>
      <c r="W1820" s="84" t="str">
        <f>IF(AND('341-CT'!$H$9=H1820,OR(LEFT(N1820,3)=$W$7,LEFT(O1820,3)=$W$7)),"x","")</f>
        <v/>
      </c>
      <c r="X1820" s="84" t="str">
        <f>IF(OR(TH!N1820=TH!$X$7,O1820=TH!$X$7),"x","")</f>
        <v/>
      </c>
      <c r="Y1820" s="84" t="str">
        <f>IF(AND(OR(N1820="131",O1820="131"),H1820='131-CT'!$H$9),"x","")</f>
        <v/>
      </c>
      <c r="Z1820" s="84"/>
      <c r="AA1820" s="84" t="str">
        <f>IF(AND(MONTH(E1820)='IN-NX'!$J$5,'IN-NX'!$D$7=D1820),"x","")</f>
        <v/>
      </c>
      <c r="AB1820" s="84" t="str">
        <f>IF(AND(OR(LEFT(TH!N1820,2)="15",LEFT(TH!O1820,2)="15"),LEFT(TH!O1820,3)&lt;&gt;"111",'152-CT'!$J$8=TH!F1820),"x","")</f>
        <v/>
      </c>
      <c r="AC1820" s="84" t="str">
        <f>IF(AND(OR(LEFT(TH!N1820,2)="15",LEFT(TH!O1820,2)="15"),TK!$E$7=TH!F1820),"x","")</f>
        <v/>
      </c>
      <c r="AD1820" s="84" t="str">
        <f>IF(AND(N1820="1521",MONTH(C1820)='BK-NL'!$M$11),"x","")</f>
        <v/>
      </c>
      <c r="AE1820" s="1146" t="str">
        <f>IF(H1820&lt;&gt;VLOOKUP(H1820,DSKH,1,0),"","x")</f>
        <v>x</v>
      </c>
      <c r="AF1820" s="351"/>
    </row>
    <row r="1821" spans="1:32" ht="15.75" hidden="1" customHeight="1">
      <c r="A1821" s="336" t="str">
        <f>IF(B1821&lt;&gt;"",IF(AND(B1821='IN-TC'!$S$4,OR(TH!N1821="1111",TH!O1821="1111")),TH!D1821,""),"")</f>
        <v/>
      </c>
      <c r="B1821" s="63">
        <f t="shared" si="241"/>
        <v>7</v>
      </c>
      <c r="C1821" s="64">
        <v>42556</v>
      </c>
      <c r="D1821" s="64" t="s">
        <v>705</v>
      </c>
      <c r="E1821" s="64">
        <f t="shared" si="242"/>
        <v>42556</v>
      </c>
      <c r="F1821" s="67" t="s">
        <v>1176</v>
      </c>
      <c r="G1821" s="67" t="s">
        <v>919</v>
      </c>
      <c r="H1821" s="73" t="s">
        <v>1803</v>
      </c>
      <c r="I1821" s="439"/>
      <c r="J1821" s="439"/>
      <c r="K1821" s="430"/>
      <c r="L1821" s="439"/>
      <c r="M1821" s="65">
        <v>28509</v>
      </c>
      <c r="N1821" s="66" t="s">
        <v>101</v>
      </c>
      <c r="O1821" s="66" t="s">
        <v>26</v>
      </c>
      <c r="P1821" s="84" t="str">
        <f>IF(AND('331-CT'!$E$7=TH!H1821,OR(N1821="331",O1821="331")),"x","")</f>
        <v/>
      </c>
      <c r="Q1821" s="84" t="str">
        <f>IF(AND(B1821='111'!$L$11,OR($N1821=$Q$7,$O1821=$Q$7)),"x","")</f>
        <v/>
      </c>
      <c r="R1821" s="84" t="str">
        <f>IF(AND($N1821=$Q$7,$B1821&lt;'111'!$L$11),"x","")</f>
        <v/>
      </c>
      <c r="S1821" s="84" t="str">
        <f>IF(AND($O1821=$Q$7,$B1821&lt;'111'!$L$11),"x","")</f>
        <v/>
      </c>
      <c r="T1821" s="84" t="str">
        <f>IF(ISERROR(FIND('112'!$M$9,G1821,1)),"",IF((AND(FIND('112'!$M$9,G1821,1)&gt;=1,B1821='112'!$K$9,OR($N1821='112'!$I$6,$O1821='112'!$I$6))),"x",""))</f>
        <v/>
      </c>
      <c r="U1821" s="84" t="str">
        <f>IF(ISERROR(FIND('112'!$M$9,G1821,1)),"",IF((AND(LEFT(G1821,2)=LEFT('112'!$M$9,2),B1821&lt;'112'!$K$9,$N1821='112'!$I$6)),"x",""))</f>
        <v/>
      </c>
      <c r="V1821" s="84" t="str">
        <f>IF(ISERROR(FIND('112'!$M$9,G1821,1)),"",IF((AND(RIGHT(G1821,2)=RIGHT('112'!$M$9,2),B1821&lt;'112'!$K$9,$O1821='112'!$I$6)),"x",""))</f>
        <v/>
      </c>
      <c r="W1821" s="84" t="str">
        <f>IF(AND('341-CT'!$H$9=H1821,OR(LEFT(N1821,3)=$W$7,LEFT(O1821,3)=$W$7)),"x","")</f>
        <v/>
      </c>
      <c r="X1821" s="84" t="str">
        <f>IF(OR(TH!N1821=TH!$X$7,O1821=TH!$X$7),"x","")</f>
        <v/>
      </c>
      <c r="Y1821" s="84" t="str">
        <f>IF(AND(OR(N1821="131",O1821="131"),H1821='131-CT'!$H$9),"x","")</f>
        <v/>
      </c>
      <c r="Z1821" s="84"/>
      <c r="AA1821" s="84" t="str">
        <f>IF(AND(MONTH(E1821)='IN-NX'!$J$5,'IN-NX'!$D$7=D1821),"x","")</f>
        <v/>
      </c>
      <c r="AB1821" s="84" t="str">
        <f>IF(AND(OR(LEFT(TH!N1821,2)="15",LEFT(TH!O1821,2)="15"),LEFT(TH!O1821,3)&lt;&gt;"111",'152-CT'!$J$8=TH!F1821),"x","")</f>
        <v/>
      </c>
      <c r="AC1821" s="84" t="str">
        <f>IF(AND(OR(LEFT(TH!N1821,2)="15",LEFT(TH!O1821,2)="15"),TK!$E$7=TH!F1821),"x","")</f>
        <v/>
      </c>
      <c r="AD1821" s="84" t="str">
        <f>IF(AND(N1821="1521",MONTH(C1821)='BK-NL'!$M$11),"x","")</f>
        <v/>
      </c>
      <c r="AE1821" s="351"/>
      <c r="AF1821" s="330">
        <v>7</v>
      </c>
    </row>
    <row r="1822" spans="1:32" ht="15.75" hidden="1" customHeight="1">
      <c r="A1822" s="336" t="str">
        <f>IF(B1822&lt;&gt;"",IF(AND(B1822='IN-TC'!$S$4,OR(TH!N1822="1111",TH!O1822="1111")),TH!D1822,""),"")</f>
        <v/>
      </c>
      <c r="B1822" s="63">
        <f t="shared" si="241"/>
        <v>7</v>
      </c>
      <c r="C1822" s="64">
        <v>42556</v>
      </c>
      <c r="D1822" s="64" t="s">
        <v>705</v>
      </c>
      <c r="E1822" s="64">
        <f t="shared" si="242"/>
        <v>42556</v>
      </c>
      <c r="F1822" s="67" t="s">
        <v>1638</v>
      </c>
      <c r="G1822" s="67" t="s">
        <v>919</v>
      </c>
      <c r="H1822" s="73" t="s">
        <v>1803</v>
      </c>
      <c r="I1822" s="439"/>
      <c r="J1822" s="439"/>
      <c r="K1822" s="430"/>
      <c r="L1822" s="439"/>
      <c r="M1822" s="65">
        <v>2851</v>
      </c>
      <c r="N1822" s="66" t="s">
        <v>9</v>
      </c>
      <c r="O1822" s="66" t="s">
        <v>26</v>
      </c>
      <c r="P1822" s="84" t="str">
        <f>IF(AND('331-CT'!$E$7=TH!H1822,OR(N1822="331",O1822="331")),"x","")</f>
        <v/>
      </c>
      <c r="Q1822" s="84" t="str">
        <f>IF(AND(B1822='111'!$L$11,OR($N1822=$Q$7,$O1822=$Q$7)),"x","")</f>
        <v/>
      </c>
      <c r="R1822" s="84" t="str">
        <f>IF(AND($N1822=$Q$7,$B1822&lt;'111'!$L$11),"x","")</f>
        <v/>
      </c>
      <c r="S1822" s="84" t="str">
        <f>IF(AND($O1822=$Q$7,$B1822&lt;'111'!$L$11),"x","")</f>
        <v/>
      </c>
      <c r="T1822" s="84" t="str">
        <f>IF(ISERROR(FIND('112'!$M$9,G1822,1)),"",IF((AND(FIND('112'!$M$9,G1822,1)&gt;=1,B1822='112'!$K$9,OR($N1822='112'!$I$6,$O1822='112'!$I$6))),"x",""))</f>
        <v/>
      </c>
      <c r="U1822" s="84" t="str">
        <f>IF(ISERROR(FIND('112'!$M$9,G1822,1)),"",IF((AND(LEFT(G1822,2)=LEFT('112'!$M$9,2),B1822&lt;'112'!$K$9,$N1822='112'!$I$6)),"x",""))</f>
        <v/>
      </c>
      <c r="V1822" s="84" t="str">
        <f>IF(ISERROR(FIND('112'!$M$9,G1822,1)),"",IF((AND(RIGHT(G1822,2)=RIGHT('112'!$M$9,2),B1822&lt;'112'!$K$9,$O1822='112'!$I$6)),"x",""))</f>
        <v/>
      </c>
      <c r="W1822" s="84" t="str">
        <f>IF(AND('341-CT'!$H$9=H1822,OR(LEFT(N1822,3)=$W$7,LEFT(O1822,3)=$W$7)),"x","")</f>
        <v/>
      </c>
      <c r="X1822" s="84" t="str">
        <f>IF(OR(TH!N1822=TH!$X$7,O1822=TH!$X$7),"x","")</f>
        <v/>
      </c>
      <c r="Y1822" s="84" t="str">
        <f>IF(AND(OR(N1822="131",O1822="131"),H1822='131-CT'!$H$9),"x","")</f>
        <v/>
      </c>
      <c r="Z1822" s="84"/>
      <c r="AA1822" s="84" t="str">
        <f>IF(AND(MONTH(E1822)='IN-NX'!$J$5,'IN-NX'!$D$7=D1822),"x","")</f>
        <v/>
      </c>
      <c r="AB1822" s="84" t="str">
        <f>IF(AND(OR(LEFT(TH!N1822,2)="15",LEFT(TH!O1822,2)="15"),LEFT(TH!O1822,3)&lt;&gt;"111",'152-CT'!$J$8=TH!F1822),"x","")</f>
        <v/>
      </c>
      <c r="AC1822" s="84" t="str">
        <f>IF(AND(OR(LEFT(TH!N1822,2)="15",LEFT(TH!O1822,2)="15"),TK!$E$7=TH!F1822),"x","")</f>
        <v/>
      </c>
      <c r="AD1822" s="84" t="str">
        <f>IF(AND(N1822="1521",MONTH(C1822)='BK-NL'!$M$11),"x","")</f>
        <v/>
      </c>
      <c r="AE1822" s="351"/>
      <c r="AF1822" s="330">
        <v>7</v>
      </c>
    </row>
    <row r="1823" spans="1:32" ht="15.75" hidden="1" customHeight="1">
      <c r="A1823" s="336" t="str">
        <f>IF(B1823&lt;&gt;"",IF(AND(B1823='IN-TC'!$S$4,OR(TH!N1823="1111",TH!O1823="1111")),TH!D1823,""),"")</f>
        <v/>
      </c>
      <c r="B1823" s="63">
        <f t="shared" si="241"/>
        <v>7</v>
      </c>
      <c r="C1823" s="64">
        <v>42556</v>
      </c>
      <c r="D1823" s="64" t="s">
        <v>705</v>
      </c>
      <c r="E1823" s="64">
        <f t="shared" si="242"/>
        <v>42556</v>
      </c>
      <c r="F1823" s="67" t="s">
        <v>1645</v>
      </c>
      <c r="G1823" s="67" t="s">
        <v>919</v>
      </c>
      <c r="H1823" s="73" t="s">
        <v>631</v>
      </c>
      <c r="I1823" s="439"/>
      <c r="J1823" s="439"/>
      <c r="K1823" s="430"/>
      <c r="L1823" s="439"/>
      <c r="M1823" s="65">
        <v>32574576</v>
      </c>
      <c r="N1823" s="66" t="s">
        <v>8</v>
      </c>
      <c r="O1823" s="66" t="s">
        <v>26</v>
      </c>
      <c r="P1823" s="84" t="str">
        <f>IF(AND('331-CT'!$E$7=TH!H1823,OR(N1823="331",O1823="331")),"x","")</f>
        <v/>
      </c>
      <c r="Q1823" s="84" t="str">
        <f>IF(AND(B1823='111'!$L$11,OR($N1823=$Q$7,$O1823=$Q$7)),"x","")</f>
        <v/>
      </c>
      <c r="R1823" s="84" t="str">
        <f>IF(AND($N1823=$Q$7,$B1823&lt;'111'!$L$11),"x","")</f>
        <v/>
      </c>
      <c r="S1823" s="84" t="str">
        <f>IF(AND($O1823=$Q$7,$B1823&lt;'111'!$L$11),"x","")</f>
        <v/>
      </c>
      <c r="T1823" s="84" t="str">
        <f>IF(ISERROR(FIND('112'!$M$9,G1823,1)),"",IF((AND(FIND('112'!$M$9,G1823,1)&gt;=1,B1823='112'!$K$9,OR($N1823='112'!$I$6,$O1823='112'!$I$6))),"x",""))</f>
        <v/>
      </c>
      <c r="U1823" s="84" t="str">
        <f>IF(ISERROR(FIND('112'!$M$9,G1823,1)),"",IF((AND(LEFT(G1823,2)=LEFT('112'!$M$9,2),B1823&lt;'112'!$K$9,$N1823='112'!$I$6)),"x",""))</f>
        <v/>
      </c>
      <c r="V1823" s="84" t="str">
        <f>IF(ISERROR(FIND('112'!$M$9,G1823,1)),"",IF((AND(RIGHT(G1823,2)=RIGHT('112'!$M$9,2),B1823&lt;'112'!$K$9,$O1823='112'!$I$6)),"x",""))</f>
        <v/>
      </c>
      <c r="W1823" s="84" t="str">
        <f>IF(AND('341-CT'!$H$9=H1823,OR(LEFT(N1823,3)=$W$7,LEFT(O1823,3)=$W$7)),"x","")</f>
        <v/>
      </c>
      <c r="X1823" s="84" t="str">
        <f>IF(OR(TH!N1823=TH!$X$7,O1823=TH!$X$7),"x","")</f>
        <v/>
      </c>
      <c r="Y1823" s="84" t="str">
        <f>IF(AND(OR(N1823="131",O1823="131"),H1823='131-CT'!$H$9),"x","")</f>
        <v/>
      </c>
      <c r="Z1823" s="84"/>
      <c r="AA1823" s="84" t="str">
        <f>IF(AND(MONTH(E1823)='IN-NX'!$J$5,'IN-NX'!$D$7=D1823),"x","")</f>
        <v/>
      </c>
      <c r="AB1823" s="84" t="str">
        <f>IF(AND(OR(LEFT(TH!N1823,2)="15",LEFT(TH!O1823,2)="15"),LEFT(TH!O1823,3)&lt;&gt;"111",'152-CT'!$J$8=TH!F1823),"x","")</f>
        <v/>
      </c>
      <c r="AC1823" s="84" t="str">
        <f>IF(AND(OR(LEFT(TH!N1823,2)="15",LEFT(TH!O1823,2)="15"),TK!$E$7=TH!F1823),"x","")</f>
        <v/>
      </c>
      <c r="AD1823" s="84" t="str">
        <f>IF(AND(N1823="1521",MONTH(C1823)='BK-NL'!$M$11),"x","")</f>
        <v/>
      </c>
      <c r="AE1823" s="1146" t="str">
        <f>IF(H1823&lt;&gt;VLOOKUP(H1823,DSKH,1,0),"","x")</f>
        <v>x</v>
      </c>
      <c r="AF1823" s="351"/>
    </row>
    <row r="1824" spans="1:32" ht="15.75" hidden="1" customHeight="1">
      <c r="A1824" s="336" t="str">
        <f>IF(B1824&lt;&gt;"",IF(AND(B1824='IN-TC'!$S$4,OR(TH!N1824="1111",TH!O1824="1111")),TH!D1824,""),"")</f>
        <v/>
      </c>
      <c r="B1824" s="63">
        <f t="shared" si="241"/>
        <v>7</v>
      </c>
      <c r="C1824" s="64">
        <v>42556</v>
      </c>
      <c r="D1824" s="64" t="s">
        <v>705</v>
      </c>
      <c r="E1824" s="64">
        <f t="shared" si="242"/>
        <v>42556</v>
      </c>
      <c r="F1824" s="67" t="s">
        <v>1176</v>
      </c>
      <c r="G1824" s="67" t="s">
        <v>919</v>
      </c>
      <c r="H1824" s="73" t="s">
        <v>1803</v>
      </c>
      <c r="I1824" s="439"/>
      <c r="J1824" s="439"/>
      <c r="K1824" s="430"/>
      <c r="L1824" s="439"/>
      <c r="M1824" s="65">
        <v>25000</v>
      </c>
      <c r="N1824" s="66" t="s">
        <v>101</v>
      </c>
      <c r="O1824" s="66" t="s">
        <v>26</v>
      </c>
      <c r="P1824" s="84" t="str">
        <f>IF(AND('331-CT'!$E$7=TH!H1824,OR(N1824="331",O1824="331")),"x","")</f>
        <v/>
      </c>
      <c r="Q1824" s="84" t="str">
        <f>IF(AND(B1824='111'!$L$11,OR($N1824=$Q$7,$O1824=$Q$7)),"x","")</f>
        <v/>
      </c>
      <c r="R1824" s="84" t="str">
        <f>IF(AND($N1824=$Q$7,$B1824&lt;'111'!$L$11),"x","")</f>
        <v/>
      </c>
      <c r="S1824" s="84" t="str">
        <f>IF(AND($O1824=$Q$7,$B1824&lt;'111'!$L$11),"x","")</f>
        <v/>
      </c>
      <c r="T1824" s="84" t="str">
        <f>IF(ISERROR(FIND('112'!$M$9,G1824,1)),"",IF((AND(FIND('112'!$M$9,G1824,1)&gt;=1,B1824='112'!$K$9,OR($N1824='112'!$I$6,$O1824='112'!$I$6))),"x",""))</f>
        <v/>
      </c>
      <c r="U1824" s="84" t="str">
        <f>IF(ISERROR(FIND('112'!$M$9,G1824,1)),"",IF((AND(LEFT(G1824,2)=LEFT('112'!$M$9,2),B1824&lt;'112'!$K$9,$N1824='112'!$I$6)),"x",""))</f>
        <v/>
      </c>
      <c r="V1824" s="84" t="str">
        <f>IF(ISERROR(FIND('112'!$M$9,G1824,1)),"",IF((AND(RIGHT(G1824,2)=RIGHT('112'!$M$9,2),B1824&lt;'112'!$K$9,$O1824='112'!$I$6)),"x",""))</f>
        <v/>
      </c>
      <c r="W1824" s="84" t="str">
        <f>IF(AND('341-CT'!$H$9=H1824,OR(LEFT(N1824,3)=$W$7,LEFT(O1824,3)=$W$7)),"x","")</f>
        <v/>
      </c>
      <c r="X1824" s="84" t="str">
        <f>IF(OR(TH!N1824=TH!$X$7,O1824=TH!$X$7),"x","")</f>
        <v/>
      </c>
      <c r="Y1824" s="84" t="str">
        <f>IF(AND(OR(N1824="131",O1824="131"),H1824='131-CT'!$H$9),"x","")</f>
        <v/>
      </c>
      <c r="Z1824" s="84"/>
      <c r="AA1824" s="84" t="str">
        <f>IF(AND(MONTH(E1824)='IN-NX'!$J$5,'IN-NX'!$D$7=D1824),"x","")</f>
        <v/>
      </c>
      <c r="AB1824" s="84" t="str">
        <f>IF(AND(OR(LEFT(TH!N1824,2)="15",LEFT(TH!O1824,2)="15"),LEFT(TH!O1824,3)&lt;&gt;"111",'152-CT'!$J$8=TH!F1824),"x","")</f>
        <v/>
      </c>
      <c r="AC1824" s="84" t="str">
        <f>IF(AND(OR(LEFT(TH!N1824,2)="15",LEFT(TH!O1824,2)="15"),TK!$E$7=TH!F1824),"x","")</f>
        <v/>
      </c>
      <c r="AD1824" s="84" t="str">
        <f>IF(AND(N1824="1521",MONTH(C1824)='BK-NL'!$M$11),"x","")</f>
        <v/>
      </c>
      <c r="AE1824" s="351"/>
      <c r="AF1824" s="330">
        <v>7</v>
      </c>
    </row>
    <row r="1825" spans="1:32" ht="15.75" hidden="1" customHeight="1">
      <c r="A1825" s="336" t="str">
        <f>IF(B1825&lt;&gt;"",IF(AND(B1825='IN-TC'!$S$4,OR(TH!N1825="1111",TH!O1825="1111")),TH!D1825,""),"")</f>
        <v/>
      </c>
      <c r="B1825" s="63">
        <f t="shared" si="241"/>
        <v>7</v>
      </c>
      <c r="C1825" s="64">
        <v>42556</v>
      </c>
      <c r="D1825" s="64" t="s">
        <v>705</v>
      </c>
      <c r="E1825" s="64">
        <f t="shared" si="242"/>
        <v>42556</v>
      </c>
      <c r="F1825" s="67" t="s">
        <v>1638</v>
      </c>
      <c r="G1825" s="67" t="s">
        <v>919</v>
      </c>
      <c r="H1825" s="73" t="s">
        <v>1803</v>
      </c>
      <c r="I1825" s="439"/>
      <c r="J1825" s="439"/>
      <c r="K1825" s="430"/>
      <c r="L1825" s="439"/>
      <c r="M1825" s="65">
        <v>2500</v>
      </c>
      <c r="N1825" s="66" t="s">
        <v>9</v>
      </c>
      <c r="O1825" s="66" t="s">
        <v>26</v>
      </c>
      <c r="P1825" s="84" t="str">
        <f>IF(AND('331-CT'!$E$7=TH!H1825,OR(N1825="331",O1825="331")),"x","")</f>
        <v/>
      </c>
      <c r="Q1825" s="84" t="str">
        <f>IF(AND(B1825='111'!$L$11,OR($N1825=$Q$7,$O1825=$Q$7)),"x","")</f>
        <v/>
      </c>
      <c r="R1825" s="84" t="str">
        <f>IF(AND($N1825=$Q$7,$B1825&lt;'111'!$L$11),"x","")</f>
        <v/>
      </c>
      <c r="S1825" s="84" t="str">
        <f>IF(AND($O1825=$Q$7,$B1825&lt;'111'!$L$11),"x","")</f>
        <v/>
      </c>
      <c r="T1825" s="84" t="str">
        <f>IF(ISERROR(FIND('112'!$M$9,G1825,1)),"",IF((AND(FIND('112'!$M$9,G1825,1)&gt;=1,B1825='112'!$K$9,OR($N1825='112'!$I$6,$O1825='112'!$I$6))),"x",""))</f>
        <v/>
      </c>
      <c r="U1825" s="84" t="str">
        <f>IF(ISERROR(FIND('112'!$M$9,G1825,1)),"",IF((AND(LEFT(G1825,2)=LEFT('112'!$M$9,2),B1825&lt;'112'!$K$9,$N1825='112'!$I$6)),"x",""))</f>
        <v/>
      </c>
      <c r="V1825" s="84" t="str">
        <f>IF(ISERROR(FIND('112'!$M$9,G1825,1)),"",IF((AND(RIGHT(G1825,2)=RIGHT('112'!$M$9,2),B1825&lt;'112'!$K$9,$O1825='112'!$I$6)),"x",""))</f>
        <v/>
      </c>
      <c r="W1825" s="84" t="str">
        <f>IF(AND('341-CT'!$H$9=H1825,OR(LEFT(N1825,3)=$W$7,LEFT(O1825,3)=$W$7)),"x","")</f>
        <v/>
      </c>
      <c r="X1825" s="84" t="str">
        <f>IF(OR(TH!N1825=TH!$X$7,O1825=TH!$X$7),"x","")</f>
        <v/>
      </c>
      <c r="Y1825" s="84" t="str">
        <f>IF(AND(OR(N1825="131",O1825="131"),H1825='131-CT'!$H$9),"x","")</f>
        <v/>
      </c>
      <c r="Z1825" s="84"/>
      <c r="AA1825" s="84" t="str">
        <f>IF(AND(MONTH(E1825)='IN-NX'!$J$5,'IN-NX'!$D$7=D1825),"x","")</f>
        <v/>
      </c>
      <c r="AB1825" s="84" t="str">
        <f>IF(AND(OR(LEFT(TH!N1825,2)="15",LEFT(TH!O1825,2)="15"),LEFT(TH!O1825,3)&lt;&gt;"111",'152-CT'!$J$8=TH!F1825),"x","")</f>
        <v/>
      </c>
      <c r="AC1825" s="84" t="str">
        <f>IF(AND(OR(LEFT(TH!N1825,2)="15",LEFT(TH!O1825,2)="15"),TK!$E$7=TH!F1825),"x","")</f>
        <v/>
      </c>
      <c r="AD1825" s="84" t="str">
        <f>IF(AND(N1825="1521",MONTH(C1825)='BK-NL'!$M$11),"x","")</f>
        <v/>
      </c>
      <c r="AE1825" s="351"/>
      <c r="AF1825" s="330">
        <v>7</v>
      </c>
    </row>
    <row r="1826" spans="1:32" ht="15.75" hidden="1" customHeight="1">
      <c r="A1826" s="336" t="str">
        <f>IF(B1826&lt;&gt;"",IF(AND(B1826='IN-TC'!$S$4,OR(TH!N1826="1111",TH!O1826="1111")),TH!D1826,""),"")</f>
        <v/>
      </c>
      <c r="B1826" s="63">
        <f t="shared" si="241"/>
        <v>7</v>
      </c>
      <c r="C1826" s="64">
        <v>42556</v>
      </c>
      <c r="D1826" s="64" t="s">
        <v>705</v>
      </c>
      <c r="E1826" s="64">
        <f t="shared" si="242"/>
        <v>42556</v>
      </c>
      <c r="F1826" s="67" t="s">
        <v>1213</v>
      </c>
      <c r="G1826" s="67" t="s">
        <v>919</v>
      </c>
      <c r="H1826" s="73" t="s">
        <v>1777</v>
      </c>
      <c r="I1826" s="439"/>
      <c r="J1826" s="439"/>
      <c r="K1826" s="430"/>
      <c r="L1826" s="439"/>
      <c r="M1826" s="65">
        <v>80000000</v>
      </c>
      <c r="N1826" s="66" t="s">
        <v>593</v>
      </c>
      <c r="O1826" s="66" t="s">
        <v>26</v>
      </c>
      <c r="P1826" s="84" t="str">
        <f>IF(AND('331-CT'!$E$7=TH!H1826,OR(N1826="331",O1826="331")),"x","")</f>
        <v/>
      </c>
      <c r="Q1826" s="84" t="str">
        <f>IF(AND(B1826='111'!$L$11,OR($N1826=$Q$7,$O1826=$Q$7)),"x","")</f>
        <v/>
      </c>
      <c r="R1826" s="84" t="str">
        <f>IF(AND($N1826=$Q$7,$B1826&lt;'111'!$L$11),"x","")</f>
        <v/>
      </c>
      <c r="S1826" s="84" t="str">
        <f>IF(AND($O1826=$Q$7,$B1826&lt;'111'!$L$11),"x","")</f>
        <v/>
      </c>
      <c r="T1826" s="84" t="str">
        <f>IF(ISERROR(FIND('112'!$M$9,G1826,1)),"",IF((AND(FIND('112'!$M$9,G1826,1)&gt;=1,B1826='112'!$K$9,OR($N1826='112'!$I$6,$O1826='112'!$I$6))),"x",""))</f>
        <v/>
      </c>
      <c r="U1826" s="84" t="str">
        <f>IF(ISERROR(FIND('112'!$M$9,G1826,1)),"",IF((AND(LEFT(G1826,2)=LEFT('112'!$M$9,2),B1826&lt;'112'!$K$9,$N1826='112'!$I$6)),"x",""))</f>
        <v/>
      </c>
      <c r="V1826" s="84" t="str">
        <f>IF(ISERROR(FIND('112'!$M$9,G1826,1)),"",IF((AND(RIGHT(G1826,2)=RIGHT('112'!$M$9,2),B1826&lt;'112'!$K$9,$O1826='112'!$I$6)),"x",""))</f>
        <v/>
      </c>
      <c r="W1826" s="84" t="str">
        <f>IF(AND('341-CT'!$H$9=H1826,OR(LEFT(N1826,3)=$W$7,LEFT(O1826,3)=$W$7)),"x","")</f>
        <v/>
      </c>
      <c r="X1826" s="84" t="str">
        <f>IF(OR(TH!N1826=TH!$X$7,O1826=TH!$X$7),"x","")</f>
        <v/>
      </c>
      <c r="Y1826" s="84" t="str">
        <f>IF(AND(OR(N1826="131",O1826="131"),H1826='131-CT'!$H$9),"x","")</f>
        <v/>
      </c>
      <c r="Z1826" s="84"/>
      <c r="AA1826" s="84" t="str">
        <f>IF(AND(MONTH(E1826)='IN-NX'!$J$5,'IN-NX'!$D$7=D1826),"x","")</f>
        <v/>
      </c>
      <c r="AB1826" s="84" t="str">
        <f>IF(AND(OR(LEFT(TH!N1826,2)="15",LEFT(TH!O1826,2)="15"),LEFT(TH!O1826,3)&lt;&gt;"111",'152-CT'!$J$8=TH!F1826),"x","")</f>
        <v/>
      </c>
      <c r="AC1826" s="84" t="str">
        <f>IF(AND(OR(LEFT(TH!N1826,2)="15",LEFT(TH!O1826,2)="15"),TK!$E$7=TH!F1826),"x","")</f>
        <v/>
      </c>
      <c r="AD1826" s="84" t="str">
        <f>IF(AND(N1826="1521",MONTH(C1826)='BK-NL'!$M$11),"x","")</f>
        <v/>
      </c>
      <c r="AE1826" s="351"/>
      <c r="AF1826" s="351"/>
    </row>
    <row r="1827" spans="1:32" ht="15.75" hidden="1" customHeight="1">
      <c r="A1827" s="336" t="str">
        <f>IF(B1827&lt;&gt;"",IF(AND(B1827='IN-TC'!$S$4,OR(TH!N1827="1111",TH!O1827="1111")),TH!D1827,""),"")</f>
        <v/>
      </c>
      <c r="B1827" s="63">
        <f t="shared" si="241"/>
        <v>7</v>
      </c>
      <c r="C1827" s="64">
        <v>42556</v>
      </c>
      <c r="D1827" s="64" t="s">
        <v>705</v>
      </c>
      <c r="E1827" s="64">
        <f t="shared" si="242"/>
        <v>42556</v>
      </c>
      <c r="F1827" s="67" t="s">
        <v>1176</v>
      </c>
      <c r="G1827" s="67" t="s">
        <v>919</v>
      </c>
      <c r="H1827" s="73" t="s">
        <v>1803</v>
      </c>
      <c r="I1827" s="439"/>
      <c r="J1827" s="439"/>
      <c r="K1827" s="430"/>
      <c r="L1827" s="439"/>
      <c r="M1827" s="65">
        <v>40000</v>
      </c>
      <c r="N1827" s="66" t="s">
        <v>101</v>
      </c>
      <c r="O1827" s="66" t="s">
        <v>26</v>
      </c>
      <c r="P1827" s="84" t="str">
        <f>IF(AND('331-CT'!$E$7=TH!H1827,OR(N1827="331",O1827="331")),"x","")</f>
        <v/>
      </c>
      <c r="Q1827" s="84" t="str">
        <f>IF(AND(B1827='111'!$L$11,OR($N1827=$Q$7,$O1827=$Q$7)),"x","")</f>
        <v/>
      </c>
      <c r="R1827" s="84" t="str">
        <f>IF(AND($N1827=$Q$7,$B1827&lt;'111'!$L$11),"x","")</f>
        <v/>
      </c>
      <c r="S1827" s="84" t="str">
        <f>IF(AND($O1827=$Q$7,$B1827&lt;'111'!$L$11),"x","")</f>
        <v/>
      </c>
      <c r="T1827" s="84" t="str">
        <f>IF(ISERROR(FIND('112'!$M$9,G1827,1)),"",IF((AND(FIND('112'!$M$9,G1827,1)&gt;=1,B1827='112'!$K$9,OR($N1827='112'!$I$6,$O1827='112'!$I$6))),"x",""))</f>
        <v/>
      </c>
      <c r="U1827" s="84" t="str">
        <f>IF(ISERROR(FIND('112'!$M$9,G1827,1)),"",IF((AND(LEFT(G1827,2)=LEFT('112'!$M$9,2),B1827&lt;'112'!$K$9,$N1827='112'!$I$6)),"x",""))</f>
        <v/>
      </c>
      <c r="V1827" s="84" t="str">
        <f>IF(ISERROR(FIND('112'!$M$9,G1827,1)),"",IF((AND(RIGHT(G1827,2)=RIGHT('112'!$M$9,2),B1827&lt;'112'!$K$9,$O1827='112'!$I$6)),"x",""))</f>
        <v/>
      </c>
      <c r="W1827" s="84" t="str">
        <f>IF(AND('341-CT'!$H$9=H1827,OR(LEFT(N1827,3)=$W$7,LEFT(O1827,3)=$W$7)),"x","")</f>
        <v/>
      </c>
      <c r="X1827" s="84" t="str">
        <f>IF(OR(TH!N1827=TH!$X$7,O1827=TH!$X$7),"x","")</f>
        <v/>
      </c>
      <c r="Y1827" s="84" t="str">
        <f>IF(AND(OR(N1827="131",O1827="131"),H1827='131-CT'!$H$9),"x","")</f>
        <v/>
      </c>
      <c r="Z1827" s="84"/>
      <c r="AA1827" s="84" t="str">
        <f>IF(AND(MONTH(E1827)='IN-NX'!$J$5,'IN-NX'!$D$7=D1827),"x","")</f>
        <v/>
      </c>
      <c r="AB1827" s="84" t="str">
        <f>IF(AND(OR(LEFT(TH!N1827,2)="15",LEFT(TH!O1827,2)="15"),LEFT(TH!O1827,3)&lt;&gt;"111",'152-CT'!$J$8=TH!F1827),"x","")</f>
        <v/>
      </c>
      <c r="AC1827" s="84" t="str">
        <f>IF(AND(OR(LEFT(TH!N1827,2)="15",LEFT(TH!O1827,2)="15"),TK!$E$7=TH!F1827),"x","")</f>
        <v/>
      </c>
      <c r="AD1827" s="84" t="str">
        <f>IF(AND(N1827="1521",MONTH(C1827)='BK-NL'!$M$11),"x","")</f>
        <v/>
      </c>
      <c r="AE1827" s="351"/>
      <c r="AF1827" s="330">
        <v>7</v>
      </c>
    </row>
    <row r="1828" spans="1:32" ht="15.75" hidden="1" customHeight="1">
      <c r="A1828" s="336" t="str">
        <f>IF(B1828&lt;&gt;"",IF(AND(B1828='IN-TC'!$S$4,OR(TH!N1828="1111",TH!O1828="1111")),TH!D1828,""),"")</f>
        <v/>
      </c>
      <c r="B1828" s="63">
        <f t="shared" si="241"/>
        <v>7</v>
      </c>
      <c r="C1828" s="64">
        <v>42556</v>
      </c>
      <c r="D1828" s="64" t="s">
        <v>705</v>
      </c>
      <c r="E1828" s="64">
        <f t="shared" si="242"/>
        <v>42556</v>
      </c>
      <c r="F1828" s="67" t="s">
        <v>1638</v>
      </c>
      <c r="G1828" s="67" t="s">
        <v>919</v>
      </c>
      <c r="H1828" s="73" t="s">
        <v>1803</v>
      </c>
      <c r="I1828" s="439"/>
      <c r="J1828" s="439"/>
      <c r="K1828" s="430"/>
      <c r="L1828" s="439"/>
      <c r="M1828" s="65">
        <v>4000</v>
      </c>
      <c r="N1828" s="66" t="s">
        <v>9</v>
      </c>
      <c r="O1828" s="66" t="s">
        <v>26</v>
      </c>
      <c r="P1828" s="84" t="str">
        <f>IF(AND('331-CT'!$E$7=TH!H1828,OR(N1828="331",O1828="331")),"x","")</f>
        <v/>
      </c>
      <c r="Q1828" s="84" t="str">
        <f>IF(AND(B1828='111'!$L$11,OR($N1828=$Q$7,$O1828=$Q$7)),"x","")</f>
        <v/>
      </c>
      <c r="R1828" s="84" t="str">
        <f>IF(AND($N1828=$Q$7,$B1828&lt;'111'!$L$11),"x","")</f>
        <v/>
      </c>
      <c r="S1828" s="84" t="str">
        <f>IF(AND($O1828=$Q$7,$B1828&lt;'111'!$L$11),"x","")</f>
        <v/>
      </c>
      <c r="T1828" s="84" t="str">
        <f>IF(ISERROR(FIND('112'!$M$9,G1828,1)),"",IF((AND(FIND('112'!$M$9,G1828,1)&gt;=1,B1828='112'!$K$9,OR($N1828='112'!$I$6,$O1828='112'!$I$6))),"x",""))</f>
        <v/>
      </c>
      <c r="U1828" s="84" t="str">
        <f>IF(ISERROR(FIND('112'!$M$9,G1828,1)),"",IF((AND(LEFT(G1828,2)=LEFT('112'!$M$9,2),B1828&lt;'112'!$K$9,$N1828='112'!$I$6)),"x",""))</f>
        <v/>
      </c>
      <c r="V1828" s="84" t="str">
        <f>IF(ISERROR(FIND('112'!$M$9,G1828,1)),"",IF((AND(RIGHT(G1828,2)=RIGHT('112'!$M$9,2),B1828&lt;'112'!$K$9,$O1828='112'!$I$6)),"x",""))</f>
        <v/>
      </c>
      <c r="W1828" s="84" t="str">
        <f>IF(AND('341-CT'!$H$9=H1828,OR(LEFT(N1828,3)=$W$7,LEFT(O1828,3)=$W$7)),"x","")</f>
        <v/>
      </c>
      <c r="X1828" s="84" t="str">
        <f>IF(OR(TH!N1828=TH!$X$7,O1828=TH!$X$7),"x","")</f>
        <v/>
      </c>
      <c r="Y1828" s="84" t="str">
        <f>IF(AND(OR(N1828="131",O1828="131"),H1828='131-CT'!$H$9),"x","")</f>
        <v/>
      </c>
      <c r="Z1828" s="84"/>
      <c r="AA1828" s="84" t="str">
        <f>IF(AND(MONTH(E1828)='IN-NX'!$J$5,'IN-NX'!$D$7=D1828),"x","")</f>
        <v/>
      </c>
      <c r="AB1828" s="84" t="str">
        <f>IF(AND(OR(LEFT(TH!N1828,2)="15",LEFT(TH!O1828,2)="15"),LEFT(TH!O1828,3)&lt;&gt;"111",'152-CT'!$J$8=TH!F1828),"x","")</f>
        <v/>
      </c>
      <c r="AC1828" s="84" t="str">
        <f>IF(AND(OR(LEFT(TH!N1828,2)="15",LEFT(TH!O1828,2)="15"),TK!$E$7=TH!F1828),"x","")</f>
        <v/>
      </c>
      <c r="AD1828" s="84" t="str">
        <f>IF(AND(N1828="1521",MONTH(C1828)='BK-NL'!$M$11),"x","")</f>
        <v/>
      </c>
      <c r="AE1828" s="351"/>
      <c r="AF1828" s="330">
        <v>7</v>
      </c>
    </row>
    <row r="1829" spans="1:32" ht="15.75" hidden="1" customHeight="1">
      <c r="A1829" s="336" t="str">
        <f>IF(B1829&lt;&gt;"",IF(AND(B1829='IN-TC'!$S$4,OR(TH!N1829="1111",TH!O1829="1111")),TH!D1829,""),"")</f>
        <v/>
      </c>
      <c r="B1829" s="63">
        <f t="shared" si="241"/>
        <v>7</v>
      </c>
      <c r="C1829" s="64">
        <v>42556</v>
      </c>
      <c r="D1829" s="64" t="s">
        <v>705</v>
      </c>
      <c r="E1829" s="64">
        <f t="shared" si="242"/>
        <v>42556</v>
      </c>
      <c r="F1829" s="67" t="s">
        <v>1778</v>
      </c>
      <c r="G1829" s="67" t="s">
        <v>919</v>
      </c>
      <c r="H1829" s="73" t="s">
        <v>1385</v>
      </c>
      <c r="I1829" s="439"/>
      <c r="J1829" s="439"/>
      <c r="K1829" s="430"/>
      <c r="L1829" s="439"/>
      <c r="M1829" s="65">
        <v>28078550</v>
      </c>
      <c r="N1829" s="66" t="s">
        <v>8</v>
      </c>
      <c r="O1829" s="66" t="s">
        <v>26</v>
      </c>
      <c r="P1829" s="84" t="str">
        <f>IF(AND('331-CT'!$E$7=TH!H1829,OR(N1829="331",O1829="331")),"x","")</f>
        <v/>
      </c>
      <c r="Q1829" s="84" t="str">
        <f>IF(AND(B1829='111'!$L$11,OR($N1829=$Q$7,$O1829=$Q$7)),"x","")</f>
        <v/>
      </c>
      <c r="R1829" s="84" t="str">
        <f>IF(AND($N1829=$Q$7,$B1829&lt;'111'!$L$11),"x","")</f>
        <v/>
      </c>
      <c r="S1829" s="84" t="str">
        <f>IF(AND($O1829=$Q$7,$B1829&lt;'111'!$L$11),"x","")</f>
        <v/>
      </c>
      <c r="T1829" s="84" t="str">
        <f>IF(ISERROR(FIND('112'!$M$9,G1829,1)),"",IF((AND(FIND('112'!$M$9,G1829,1)&gt;=1,B1829='112'!$K$9,OR($N1829='112'!$I$6,$O1829='112'!$I$6))),"x",""))</f>
        <v/>
      </c>
      <c r="U1829" s="84" t="str">
        <f>IF(ISERROR(FIND('112'!$M$9,G1829,1)),"",IF((AND(LEFT(G1829,2)=LEFT('112'!$M$9,2),B1829&lt;'112'!$K$9,$N1829='112'!$I$6)),"x",""))</f>
        <v/>
      </c>
      <c r="V1829" s="84" t="str">
        <f>IF(ISERROR(FIND('112'!$M$9,G1829,1)),"",IF((AND(RIGHT(G1829,2)=RIGHT('112'!$M$9,2),B1829&lt;'112'!$K$9,$O1829='112'!$I$6)),"x",""))</f>
        <v/>
      </c>
      <c r="W1829" s="84" t="str">
        <f>IF(AND('341-CT'!$H$9=H1829,OR(LEFT(N1829,3)=$W$7,LEFT(O1829,3)=$W$7)),"x","")</f>
        <v/>
      </c>
      <c r="X1829" s="84" t="str">
        <f>IF(OR(TH!N1829=TH!$X$7,O1829=TH!$X$7),"x","")</f>
        <v/>
      </c>
      <c r="Y1829" s="84" t="str">
        <f>IF(AND(OR(N1829="131",O1829="131"),H1829='131-CT'!$H$9),"x","")</f>
        <v/>
      </c>
      <c r="Z1829" s="84"/>
      <c r="AA1829" s="84" t="str">
        <f>IF(AND(MONTH(E1829)='IN-NX'!$J$5,'IN-NX'!$D$7=D1829),"x","")</f>
        <v/>
      </c>
      <c r="AB1829" s="84" t="str">
        <f>IF(AND(OR(LEFT(TH!N1829,2)="15",LEFT(TH!O1829,2)="15"),LEFT(TH!O1829,3)&lt;&gt;"111",'152-CT'!$J$8=TH!F1829),"x","")</f>
        <v/>
      </c>
      <c r="AC1829" s="84" t="str">
        <f>IF(AND(OR(LEFT(TH!N1829,2)="15",LEFT(TH!O1829,2)="15"),TK!$E$7=TH!F1829),"x","")</f>
        <v/>
      </c>
      <c r="AD1829" s="84" t="str">
        <f>IF(AND(N1829="1521",MONTH(C1829)='BK-NL'!$M$11),"x","")</f>
        <v/>
      </c>
      <c r="AE1829" s="1146" t="str">
        <f>IF(H1829&lt;&gt;VLOOKUP(H1829,DSKH,1,0),"","x")</f>
        <v>x</v>
      </c>
    </row>
    <row r="1830" spans="1:32" ht="15.75" hidden="1" customHeight="1">
      <c r="A1830" s="336" t="str">
        <f>IF(B1830&lt;&gt;"",IF(AND(B1830='IN-TC'!$S$4,OR(TH!N1830="1111",TH!O1830="1111")),TH!D1830,""),"")</f>
        <v/>
      </c>
      <c r="B1830" s="63">
        <f t="shared" si="241"/>
        <v>7</v>
      </c>
      <c r="C1830" s="64">
        <v>42556</v>
      </c>
      <c r="D1830" s="64" t="s">
        <v>705</v>
      </c>
      <c r="E1830" s="64">
        <f t="shared" si="242"/>
        <v>42556</v>
      </c>
      <c r="F1830" s="67" t="s">
        <v>1212</v>
      </c>
      <c r="G1830" s="67" t="s">
        <v>919</v>
      </c>
      <c r="H1830" s="73" t="s">
        <v>1423</v>
      </c>
      <c r="I1830" s="439"/>
      <c r="J1830" s="439"/>
      <c r="K1830" s="430"/>
      <c r="L1830" s="439"/>
      <c r="M1830" s="65">
        <v>50000000</v>
      </c>
      <c r="N1830" s="66" t="s">
        <v>8</v>
      </c>
      <c r="O1830" s="66" t="s">
        <v>26</v>
      </c>
      <c r="P1830" s="84" t="str">
        <f>IF(AND('331-CT'!$E$7=TH!H1830,OR(N1830="331",O1830="331")),"x","")</f>
        <v/>
      </c>
      <c r="Q1830" s="84" t="str">
        <f>IF(AND(B1830='111'!$L$11,OR($N1830=$Q$7,$O1830=$Q$7)),"x","")</f>
        <v/>
      </c>
      <c r="R1830" s="84" t="str">
        <f>IF(AND($N1830=$Q$7,$B1830&lt;'111'!$L$11),"x","")</f>
        <v/>
      </c>
      <c r="S1830" s="84" t="str">
        <f>IF(AND($O1830=$Q$7,$B1830&lt;'111'!$L$11),"x","")</f>
        <v/>
      </c>
      <c r="T1830" s="84" t="str">
        <f>IF(ISERROR(FIND('112'!$M$9,G1830,1)),"",IF((AND(FIND('112'!$M$9,G1830,1)&gt;=1,B1830='112'!$K$9,OR($N1830='112'!$I$6,$O1830='112'!$I$6))),"x",""))</f>
        <v/>
      </c>
      <c r="U1830" s="84" t="str">
        <f>IF(ISERROR(FIND('112'!$M$9,G1830,1)),"",IF((AND(LEFT(G1830,2)=LEFT('112'!$M$9,2),B1830&lt;'112'!$K$9,$N1830='112'!$I$6)),"x",""))</f>
        <v/>
      </c>
      <c r="V1830" s="84" t="str">
        <f>IF(ISERROR(FIND('112'!$M$9,G1830,1)),"",IF((AND(RIGHT(G1830,2)=RIGHT('112'!$M$9,2),B1830&lt;'112'!$K$9,$O1830='112'!$I$6)),"x",""))</f>
        <v/>
      </c>
      <c r="W1830" s="84" t="str">
        <f>IF(AND('341-CT'!$H$9=H1830,OR(LEFT(N1830,3)=$W$7,LEFT(O1830,3)=$W$7)),"x","")</f>
        <v/>
      </c>
      <c r="X1830" s="84" t="str">
        <f>IF(OR(TH!N1830=TH!$X$7,O1830=TH!$X$7),"x","")</f>
        <v/>
      </c>
      <c r="Y1830" s="84" t="str">
        <f>IF(AND(OR(N1830="131",O1830="131"),H1830='131-CT'!$H$9),"x","")</f>
        <v/>
      </c>
      <c r="Z1830" s="84"/>
      <c r="AA1830" s="84" t="str">
        <f>IF(AND(MONTH(E1830)='IN-NX'!$J$5,'IN-NX'!$D$7=D1830),"x","")</f>
        <v/>
      </c>
      <c r="AB1830" s="84" t="str">
        <f>IF(AND(OR(LEFT(TH!N1830,2)="15",LEFT(TH!O1830,2)="15"),LEFT(TH!O1830,3)&lt;&gt;"111",'152-CT'!$J$8=TH!F1830),"x","")</f>
        <v/>
      </c>
      <c r="AC1830" s="84" t="str">
        <f>IF(AND(OR(LEFT(TH!N1830,2)="15",LEFT(TH!O1830,2)="15"),TK!$E$7=TH!F1830),"x","")</f>
        <v/>
      </c>
      <c r="AD1830" s="84" t="str">
        <f>IF(AND(N1830="1521",MONTH(C1830)='BK-NL'!$M$11),"x","")</f>
        <v/>
      </c>
      <c r="AE1830" s="1146" t="str">
        <f>IF(H1830&lt;&gt;VLOOKUP(H1830,DSKH,1,0),"","x")</f>
        <v>x</v>
      </c>
    </row>
    <row r="1831" spans="1:32" ht="15.75" hidden="1" customHeight="1">
      <c r="A1831" s="336" t="str">
        <f>IF(B1831&lt;&gt;"",IF(AND(B1831='IN-TC'!$S$4,OR(TH!N1831="1111",TH!O1831="1111")),TH!D1831,""),"")</f>
        <v/>
      </c>
      <c r="B1831" s="63">
        <f t="shared" si="241"/>
        <v>7</v>
      </c>
      <c r="C1831" s="64">
        <v>42556</v>
      </c>
      <c r="D1831" s="64" t="s">
        <v>705</v>
      </c>
      <c r="E1831" s="64">
        <f t="shared" si="242"/>
        <v>42556</v>
      </c>
      <c r="F1831" s="67" t="s">
        <v>1176</v>
      </c>
      <c r="G1831" s="67" t="s">
        <v>919</v>
      </c>
      <c r="H1831" s="73" t="s">
        <v>1803</v>
      </c>
      <c r="I1831" s="439"/>
      <c r="J1831" s="439"/>
      <c r="K1831" s="430"/>
      <c r="L1831" s="439"/>
      <c r="M1831" s="65">
        <v>20000</v>
      </c>
      <c r="N1831" s="66" t="s">
        <v>101</v>
      </c>
      <c r="O1831" s="66" t="s">
        <v>26</v>
      </c>
      <c r="P1831" s="84" t="str">
        <f>IF(AND('331-CT'!$E$7=TH!H1831,OR(N1831="331",O1831="331")),"x","")</f>
        <v/>
      </c>
      <c r="Q1831" s="84" t="str">
        <f>IF(AND(B1831='111'!$L$11,OR($N1831=$Q$7,$O1831=$Q$7)),"x","")</f>
        <v/>
      </c>
      <c r="R1831" s="84" t="str">
        <f>IF(AND($N1831=$Q$7,$B1831&lt;'111'!$L$11),"x","")</f>
        <v/>
      </c>
      <c r="S1831" s="84" t="str">
        <f>IF(AND($O1831=$Q$7,$B1831&lt;'111'!$L$11),"x","")</f>
        <v/>
      </c>
      <c r="T1831" s="84" t="str">
        <f>IF(ISERROR(FIND('112'!$M$9,G1831,1)),"",IF((AND(FIND('112'!$M$9,G1831,1)&gt;=1,B1831='112'!$K$9,OR($N1831='112'!$I$6,$O1831='112'!$I$6))),"x",""))</f>
        <v/>
      </c>
      <c r="U1831" s="84" t="str">
        <f>IF(ISERROR(FIND('112'!$M$9,G1831,1)),"",IF((AND(LEFT(G1831,2)=LEFT('112'!$M$9,2),B1831&lt;'112'!$K$9,$N1831='112'!$I$6)),"x",""))</f>
        <v/>
      </c>
      <c r="V1831" s="84" t="str">
        <f>IF(ISERROR(FIND('112'!$M$9,G1831,1)),"",IF((AND(RIGHT(G1831,2)=RIGHT('112'!$M$9,2),B1831&lt;'112'!$K$9,$O1831='112'!$I$6)),"x",""))</f>
        <v/>
      </c>
      <c r="W1831" s="84" t="str">
        <f>IF(AND('341-CT'!$H$9=H1831,OR(LEFT(N1831,3)=$W$7,LEFT(O1831,3)=$W$7)),"x","")</f>
        <v/>
      </c>
      <c r="X1831" s="84" t="str">
        <f>IF(OR(TH!N1831=TH!$X$7,O1831=TH!$X$7),"x","")</f>
        <v/>
      </c>
      <c r="Y1831" s="84" t="str">
        <f>IF(AND(OR(N1831="131",O1831="131"),H1831='131-CT'!$H$9),"x","")</f>
        <v/>
      </c>
      <c r="Z1831" s="84"/>
      <c r="AA1831" s="84" t="str">
        <f>IF(AND(MONTH(E1831)='IN-NX'!$J$5,'IN-NX'!$D$7=D1831),"x","")</f>
        <v/>
      </c>
      <c r="AB1831" s="84" t="str">
        <f>IF(AND(OR(LEFT(TH!N1831,2)="15",LEFT(TH!O1831,2)="15"),LEFT(TH!O1831,3)&lt;&gt;"111",'152-CT'!$J$8=TH!F1831),"x","")</f>
        <v/>
      </c>
      <c r="AC1831" s="84" t="str">
        <f>IF(AND(OR(LEFT(TH!N1831,2)="15",LEFT(TH!O1831,2)="15"),TK!$E$7=TH!F1831),"x","")</f>
        <v/>
      </c>
      <c r="AD1831" s="84" t="str">
        <f>IF(AND(N1831="1521",MONTH(C1831)='BK-NL'!$M$11),"x","")</f>
        <v/>
      </c>
      <c r="AF1831" s="330">
        <v>7</v>
      </c>
    </row>
    <row r="1832" spans="1:32" ht="15.75" hidden="1" customHeight="1">
      <c r="A1832" s="336" t="str">
        <f>IF(B1832&lt;&gt;"",IF(AND(B1832='IN-TC'!$S$4,OR(TH!N1832="1111",TH!O1832="1111")),TH!D1832,""),"")</f>
        <v/>
      </c>
      <c r="B1832" s="63">
        <f t="shared" si="241"/>
        <v>7</v>
      </c>
      <c r="C1832" s="64">
        <v>42556</v>
      </c>
      <c r="D1832" s="64" t="s">
        <v>705</v>
      </c>
      <c r="E1832" s="64">
        <f t="shared" si="242"/>
        <v>42556</v>
      </c>
      <c r="F1832" s="67" t="s">
        <v>1638</v>
      </c>
      <c r="G1832" s="67" t="s">
        <v>919</v>
      </c>
      <c r="H1832" s="73" t="s">
        <v>1803</v>
      </c>
      <c r="I1832" s="439"/>
      <c r="J1832" s="439"/>
      <c r="K1832" s="430"/>
      <c r="L1832" s="439"/>
      <c r="M1832" s="65">
        <v>2000</v>
      </c>
      <c r="N1832" s="66" t="s">
        <v>9</v>
      </c>
      <c r="O1832" s="66" t="s">
        <v>26</v>
      </c>
      <c r="P1832" s="84" t="str">
        <f>IF(AND('331-CT'!$E$7=TH!H1832,OR(N1832="331",O1832="331")),"x","")</f>
        <v/>
      </c>
      <c r="Q1832" s="84" t="str">
        <f>IF(AND(B1832='111'!$L$11,OR($N1832=$Q$7,$O1832=$Q$7)),"x","")</f>
        <v/>
      </c>
      <c r="R1832" s="84" t="str">
        <f>IF(AND($N1832=$Q$7,$B1832&lt;'111'!$L$11),"x","")</f>
        <v/>
      </c>
      <c r="S1832" s="84" t="str">
        <f>IF(AND($O1832=$Q$7,$B1832&lt;'111'!$L$11),"x","")</f>
        <v/>
      </c>
      <c r="T1832" s="84" t="str">
        <f>IF(ISERROR(FIND('112'!$M$9,G1832,1)),"",IF((AND(FIND('112'!$M$9,G1832,1)&gt;=1,B1832='112'!$K$9,OR($N1832='112'!$I$6,$O1832='112'!$I$6))),"x",""))</f>
        <v/>
      </c>
      <c r="U1832" s="84" t="str">
        <f>IF(ISERROR(FIND('112'!$M$9,G1832,1)),"",IF((AND(LEFT(G1832,2)=LEFT('112'!$M$9,2),B1832&lt;'112'!$K$9,$N1832='112'!$I$6)),"x",""))</f>
        <v/>
      </c>
      <c r="V1832" s="84" t="str">
        <f>IF(ISERROR(FIND('112'!$M$9,G1832,1)),"",IF((AND(RIGHT(G1832,2)=RIGHT('112'!$M$9,2),B1832&lt;'112'!$K$9,$O1832='112'!$I$6)),"x",""))</f>
        <v/>
      </c>
      <c r="W1832" s="84" t="str">
        <f>IF(AND('341-CT'!$H$9=H1832,OR(LEFT(N1832,3)=$W$7,LEFT(O1832,3)=$W$7)),"x","")</f>
        <v/>
      </c>
      <c r="X1832" s="84" t="str">
        <f>IF(OR(TH!N1832=TH!$X$7,O1832=TH!$X$7),"x","")</f>
        <v/>
      </c>
      <c r="Y1832" s="84" t="str">
        <f>IF(AND(OR(N1832="131",O1832="131"),H1832='131-CT'!$H$9),"x","")</f>
        <v/>
      </c>
      <c r="Z1832" s="84"/>
      <c r="AA1832" s="84" t="str">
        <f>IF(AND(MONTH(E1832)='IN-NX'!$J$5,'IN-NX'!$D$7=D1832),"x","")</f>
        <v/>
      </c>
      <c r="AB1832" s="84" t="str">
        <f>IF(AND(OR(LEFT(TH!N1832,2)="15",LEFT(TH!O1832,2)="15"),LEFT(TH!O1832,3)&lt;&gt;"111",'152-CT'!$J$8=TH!F1832),"x","")</f>
        <v/>
      </c>
      <c r="AC1832" s="84" t="str">
        <f>IF(AND(OR(LEFT(TH!N1832,2)="15",LEFT(TH!O1832,2)="15"),TK!$E$7=TH!F1832),"x","")</f>
        <v/>
      </c>
      <c r="AD1832" s="84" t="str">
        <f>IF(AND(N1832="1521",MONTH(C1832)='BK-NL'!$M$11),"x","")</f>
        <v/>
      </c>
      <c r="AF1832" s="330">
        <v>7</v>
      </c>
    </row>
    <row r="1833" spans="1:32" ht="15.75" hidden="1" customHeight="1">
      <c r="A1833" s="336" t="str">
        <f>IF(B1833&lt;&gt;"",IF(AND(B1833='IN-TC'!$S$4,OR(TH!N1833="1111",TH!O1833="1111")),TH!D1833,""),"")</f>
        <v/>
      </c>
      <c r="B1833" s="63">
        <f t="shared" si="241"/>
        <v>7</v>
      </c>
      <c r="C1833" s="64">
        <v>42556</v>
      </c>
      <c r="D1833" s="64" t="s">
        <v>705</v>
      </c>
      <c r="E1833" s="64">
        <f t="shared" si="242"/>
        <v>42556</v>
      </c>
      <c r="F1833" s="67" t="s">
        <v>1212</v>
      </c>
      <c r="G1833" s="67" t="s">
        <v>919</v>
      </c>
      <c r="H1833" s="73" t="s">
        <v>623</v>
      </c>
      <c r="I1833" s="439"/>
      <c r="J1833" s="439"/>
      <c r="K1833" s="430"/>
      <c r="L1833" s="439"/>
      <c r="M1833" s="65">
        <v>50000000</v>
      </c>
      <c r="N1833" s="66" t="s">
        <v>8</v>
      </c>
      <c r="O1833" s="66" t="s">
        <v>26</v>
      </c>
      <c r="P1833" s="84" t="str">
        <f>IF(AND('331-CT'!$E$7=TH!H1833,OR(N1833="331",O1833="331")),"x","")</f>
        <v/>
      </c>
      <c r="Q1833" s="84" t="str">
        <f>IF(AND(B1833='111'!$L$11,OR($N1833=$Q$7,$O1833=$Q$7)),"x","")</f>
        <v/>
      </c>
      <c r="R1833" s="84" t="str">
        <f>IF(AND($N1833=$Q$7,$B1833&lt;'111'!$L$11),"x","")</f>
        <v/>
      </c>
      <c r="S1833" s="84" t="str">
        <f>IF(AND($O1833=$Q$7,$B1833&lt;'111'!$L$11),"x","")</f>
        <v/>
      </c>
      <c r="T1833" s="84" t="str">
        <f>IF(ISERROR(FIND('112'!$M$9,G1833,1)),"",IF((AND(FIND('112'!$M$9,G1833,1)&gt;=1,B1833='112'!$K$9,OR($N1833='112'!$I$6,$O1833='112'!$I$6))),"x",""))</f>
        <v/>
      </c>
      <c r="U1833" s="84" t="str">
        <f>IF(ISERROR(FIND('112'!$M$9,G1833,1)),"",IF((AND(LEFT(G1833,2)=LEFT('112'!$M$9,2),B1833&lt;'112'!$K$9,$N1833='112'!$I$6)),"x",""))</f>
        <v/>
      </c>
      <c r="V1833" s="84" t="str">
        <f>IF(ISERROR(FIND('112'!$M$9,G1833,1)),"",IF((AND(RIGHT(G1833,2)=RIGHT('112'!$M$9,2),B1833&lt;'112'!$K$9,$O1833='112'!$I$6)),"x",""))</f>
        <v/>
      </c>
      <c r="W1833" s="84" t="str">
        <f>IF(AND('341-CT'!$H$9=H1833,OR(LEFT(N1833,3)=$W$7,LEFT(O1833,3)=$W$7)),"x","")</f>
        <v/>
      </c>
      <c r="X1833" s="84" t="str">
        <f>IF(OR(TH!N1833=TH!$X$7,O1833=TH!$X$7),"x","")</f>
        <v/>
      </c>
      <c r="Y1833" s="84" t="str">
        <f>IF(AND(OR(N1833="131",O1833="131"),H1833='131-CT'!$H$9),"x","")</f>
        <v/>
      </c>
      <c r="Z1833" s="84"/>
      <c r="AA1833" s="84" t="str">
        <f>IF(AND(MONTH(E1833)='IN-NX'!$J$5,'IN-NX'!$D$7=D1833),"x","")</f>
        <v/>
      </c>
      <c r="AB1833" s="84" t="str">
        <f>IF(AND(OR(LEFT(TH!N1833,2)="15",LEFT(TH!O1833,2)="15"),LEFT(TH!O1833,3)&lt;&gt;"111",'152-CT'!$J$8=TH!F1833),"x","")</f>
        <v/>
      </c>
      <c r="AC1833" s="84" t="str">
        <f>IF(AND(OR(LEFT(TH!N1833,2)="15",LEFT(TH!O1833,2)="15"),TK!$E$7=TH!F1833),"x","")</f>
        <v/>
      </c>
      <c r="AD1833" s="84" t="str">
        <f>IF(AND(N1833="1521",MONTH(C1833)='BK-NL'!$M$11),"x","")</f>
        <v/>
      </c>
      <c r="AE1833" s="1146" t="str">
        <f>IF(H1833&lt;&gt;VLOOKUP(H1833,DSKH,1,0),"","x")</f>
        <v>x</v>
      </c>
    </row>
    <row r="1834" spans="1:32" ht="15.75" hidden="1" customHeight="1">
      <c r="A1834" s="336" t="str">
        <f>IF(B1834&lt;&gt;"",IF(AND(B1834='IN-TC'!$S$4,OR(TH!N1834="1111",TH!O1834="1111")),TH!D1834,""),"")</f>
        <v/>
      </c>
      <c r="B1834" s="63">
        <f t="shared" si="241"/>
        <v>7</v>
      </c>
      <c r="C1834" s="64">
        <v>42556</v>
      </c>
      <c r="D1834" s="64" t="s">
        <v>705</v>
      </c>
      <c r="E1834" s="64">
        <f t="shared" si="242"/>
        <v>42556</v>
      </c>
      <c r="F1834" s="67" t="s">
        <v>1176</v>
      </c>
      <c r="G1834" s="67" t="s">
        <v>919</v>
      </c>
      <c r="H1834" s="73" t="s">
        <v>1803</v>
      </c>
      <c r="I1834" s="439"/>
      <c r="J1834" s="439"/>
      <c r="K1834" s="430"/>
      <c r="L1834" s="439"/>
      <c r="M1834" s="65">
        <v>20000</v>
      </c>
      <c r="N1834" s="66" t="s">
        <v>101</v>
      </c>
      <c r="O1834" s="66" t="s">
        <v>26</v>
      </c>
      <c r="P1834" s="84" t="str">
        <f>IF(AND('331-CT'!$E$7=TH!H1834,OR(N1834="331",O1834="331")),"x","")</f>
        <v/>
      </c>
      <c r="Q1834" s="84" t="str">
        <f>IF(AND(B1834='111'!$L$11,OR($N1834=$Q$7,$O1834=$Q$7)),"x","")</f>
        <v/>
      </c>
      <c r="R1834" s="84" t="str">
        <f>IF(AND($N1834=$Q$7,$B1834&lt;'111'!$L$11),"x","")</f>
        <v/>
      </c>
      <c r="S1834" s="84" t="str">
        <f>IF(AND($O1834=$Q$7,$B1834&lt;'111'!$L$11),"x","")</f>
        <v/>
      </c>
      <c r="T1834" s="84" t="str">
        <f>IF(ISERROR(FIND('112'!$M$9,G1834,1)),"",IF((AND(FIND('112'!$M$9,G1834,1)&gt;=1,B1834='112'!$K$9,OR($N1834='112'!$I$6,$O1834='112'!$I$6))),"x",""))</f>
        <v/>
      </c>
      <c r="U1834" s="84" t="str">
        <f>IF(ISERROR(FIND('112'!$M$9,G1834,1)),"",IF((AND(LEFT(G1834,2)=LEFT('112'!$M$9,2),B1834&lt;'112'!$K$9,$N1834='112'!$I$6)),"x",""))</f>
        <v/>
      </c>
      <c r="V1834" s="84" t="str">
        <f>IF(ISERROR(FIND('112'!$M$9,G1834,1)),"",IF((AND(RIGHT(G1834,2)=RIGHT('112'!$M$9,2),B1834&lt;'112'!$K$9,$O1834='112'!$I$6)),"x",""))</f>
        <v/>
      </c>
      <c r="W1834" s="84" t="str">
        <f>IF(AND('341-CT'!$H$9=H1834,OR(LEFT(N1834,3)=$W$7,LEFT(O1834,3)=$W$7)),"x","")</f>
        <v/>
      </c>
      <c r="X1834" s="84" t="str">
        <f>IF(OR(TH!N1834=TH!$X$7,O1834=TH!$X$7),"x","")</f>
        <v/>
      </c>
      <c r="Y1834" s="84" t="str">
        <f>IF(AND(OR(N1834="131",O1834="131"),H1834='131-CT'!$H$9),"x","")</f>
        <v/>
      </c>
      <c r="Z1834" s="84"/>
      <c r="AA1834" s="84" t="str">
        <f>IF(AND(MONTH(E1834)='IN-NX'!$J$5,'IN-NX'!$D$7=D1834),"x","")</f>
        <v/>
      </c>
      <c r="AB1834" s="84" t="str">
        <f>IF(AND(OR(LEFT(TH!N1834,2)="15",LEFT(TH!O1834,2)="15"),LEFT(TH!O1834,3)&lt;&gt;"111",'152-CT'!$J$8=TH!F1834),"x","")</f>
        <v/>
      </c>
      <c r="AC1834" s="84" t="str">
        <f>IF(AND(OR(LEFT(TH!N1834,2)="15",LEFT(TH!O1834,2)="15"),TK!$E$7=TH!F1834),"x","")</f>
        <v/>
      </c>
      <c r="AD1834" s="84" t="str">
        <f>IF(AND(N1834="1521",MONTH(C1834)='BK-NL'!$M$11),"x","")</f>
        <v/>
      </c>
      <c r="AF1834" s="330">
        <v>7</v>
      </c>
    </row>
    <row r="1835" spans="1:32" ht="15.75" hidden="1" customHeight="1">
      <c r="A1835" s="336" t="str">
        <f>IF(B1835&lt;&gt;"",IF(AND(B1835='IN-TC'!$S$4,OR(TH!N1835="1111",TH!O1835="1111")),TH!D1835,""),"")</f>
        <v/>
      </c>
      <c r="B1835" s="63">
        <f t="shared" si="241"/>
        <v>7</v>
      </c>
      <c r="C1835" s="64">
        <v>42556</v>
      </c>
      <c r="D1835" s="64" t="s">
        <v>705</v>
      </c>
      <c r="E1835" s="64">
        <f t="shared" si="242"/>
        <v>42556</v>
      </c>
      <c r="F1835" s="67" t="s">
        <v>1638</v>
      </c>
      <c r="G1835" s="67" t="s">
        <v>919</v>
      </c>
      <c r="H1835" s="73" t="s">
        <v>1803</v>
      </c>
      <c r="I1835" s="439"/>
      <c r="J1835" s="439"/>
      <c r="K1835" s="430"/>
      <c r="L1835" s="439"/>
      <c r="M1835" s="65">
        <v>2000</v>
      </c>
      <c r="N1835" s="66" t="s">
        <v>9</v>
      </c>
      <c r="O1835" s="66" t="s">
        <v>26</v>
      </c>
      <c r="P1835" s="84" t="str">
        <f>IF(AND('331-CT'!$E$7=TH!H1835,OR(N1835="331",O1835="331")),"x","")</f>
        <v/>
      </c>
      <c r="Q1835" s="84" t="str">
        <f>IF(AND(B1835='111'!$L$11,OR($N1835=$Q$7,$O1835=$Q$7)),"x","")</f>
        <v/>
      </c>
      <c r="R1835" s="84" t="str">
        <f>IF(AND($N1835=$Q$7,$B1835&lt;'111'!$L$11),"x","")</f>
        <v/>
      </c>
      <c r="S1835" s="84" t="str">
        <f>IF(AND($O1835=$Q$7,$B1835&lt;'111'!$L$11),"x","")</f>
        <v/>
      </c>
      <c r="T1835" s="84" t="str">
        <f>IF(ISERROR(FIND('112'!$M$9,G1835,1)),"",IF((AND(FIND('112'!$M$9,G1835,1)&gt;=1,B1835='112'!$K$9,OR($N1835='112'!$I$6,$O1835='112'!$I$6))),"x",""))</f>
        <v/>
      </c>
      <c r="U1835" s="84" t="str">
        <f>IF(ISERROR(FIND('112'!$M$9,G1835,1)),"",IF((AND(LEFT(G1835,2)=LEFT('112'!$M$9,2),B1835&lt;'112'!$K$9,$N1835='112'!$I$6)),"x",""))</f>
        <v/>
      </c>
      <c r="V1835" s="84" t="str">
        <f>IF(ISERROR(FIND('112'!$M$9,G1835,1)),"",IF((AND(RIGHT(G1835,2)=RIGHT('112'!$M$9,2),B1835&lt;'112'!$K$9,$O1835='112'!$I$6)),"x",""))</f>
        <v/>
      </c>
      <c r="W1835" s="84" t="str">
        <f>IF(AND('341-CT'!$H$9=H1835,OR(LEFT(N1835,3)=$W$7,LEFT(O1835,3)=$W$7)),"x","")</f>
        <v/>
      </c>
      <c r="X1835" s="84" t="str">
        <f>IF(OR(TH!N1835=TH!$X$7,O1835=TH!$X$7),"x","")</f>
        <v/>
      </c>
      <c r="Y1835" s="84" t="str">
        <f>IF(AND(OR(N1835="131",O1835="131"),H1835='131-CT'!$H$9),"x","")</f>
        <v/>
      </c>
      <c r="Z1835" s="84"/>
      <c r="AA1835" s="84" t="str">
        <f>IF(AND(MONTH(E1835)='IN-NX'!$J$5,'IN-NX'!$D$7=D1835),"x","")</f>
        <v/>
      </c>
      <c r="AB1835" s="84" t="str">
        <f>IF(AND(OR(LEFT(TH!N1835,2)="15",LEFT(TH!O1835,2)="15"),LEFT(TH!O1835,3)&lt;&gt;"111",'152-CT'!$J$8=TH!F1835),"x","")</f>
        <v/>
      </c>
      <c r="AC1835" s="84" t="str">
        <f>IF(AND(OR(LEFT(TH!N1835,2)="15",LEFT(TH!O1835,2)="15"),TK!$E$7=TH!F1835),"x","")</f>
        <v/>
      </c>
      <c r="AD1835" s="84" t="str">
        <f>IF(AND(N1835="1521",MONTH(C1835)='BK-NL'!$M$11),"x","")</f>
        <v/>
      </c>
      <c r="AF1835" s="330">
        <v>7</v>
      </c>
    </row>
    <row r="1836" spans="1:32" s="350" customFormat="1" ht="15.75" hidden="1" customHeight="1">
      <c r="A1836" s="336" t="str">
        <f>IF(B1836&lt;&gt;"",IF(AND(B1836='IN-TC'!$S$4,OR(TH!N1836="1111",TH!O1836="1111")),TH!D1836,""),"")</f>
        <v/>
      </c>
      <c r="B1836" s="63">
        <f t="shared" si="241"/>
        <v>7</v>
      </c>
      <c r="C1836" s="64">
        <v>42556</v>
      </c>
      <c r="D1836" s="64" t="s">
        <v>705</v>
      </c>
      <c r="E1836" s="64">
        <f t="shared" si="242"/>
        <v>42556</v>
      </c>
      <c r="F1836" s="67" t="s">
        <v>1645</v>
      </c>
      <c r="G1836" s="67" t="s">
        <v>919</v>
      </c>
      <c r="H1836" s="73" t="s">
        <v>1780</v>
      </c>
      <c r="I1836" s="439"/>
      <c r="J1836" s="439"/>
      <c r="K1836" s="430"/>
      <c r="L1836" s="439"/>
      <c r="M1836" s="65">
        <v>11852379</v>
      </c>
      <c r="N1836" s="66" t="s">
        <v>8</v>
      </c>
      <c r="O1836" s="66" t="s">
        <v>26</v>
      </c>
      <c r="P1836" s="84" t="str">
        <f>IF(AND('331-CT'!$E$7=TH!H1836,OR(N1836="331",O1836="331")),"x","")</f>
        <v/>
      </c>
      <c r="Q1836" s="84" t="str">
        <f>IF(AND(B1836='111'!$L$11,OR($N1836=$Q$7,$O1836=$Q$7)),"x","")</f>
        <v/>
      </c>
      <c r="R1836" s="84" t="str">
        <f>IF(AND($N1836=$Q$7,$B1836&lt;'111'!$L$11),"x","")</f>
        <v/>
      </c>
      <c r="S1836" s="84" t="str">
        <f>IF(AND($O1836=$Q$7,$B1836&lt;'111'!$L$11),"x","")</f>
        <v/>
      </c>
      <c r="T1836" s="84" t="str">
        <f>IF(ISERROR(FIND('112'!$M$9,G1836,1)),"",IF((AND(FIND('112'!$M$9,G1836,1)&gt;=1,B1836='112'!$K$9,OR($N1836='112'!$I$6,$O1836='112'!$I$6))),"x",""))</f>
        <v/>
      </c>
      <c r="U1836" s="84" t="str">
        <f>IF(ISERROR(FIND('112'!$M$9,G1836,1)),"",IF((AND(LEFT(G1836,2)=LEFT('112'!$M$9,2),B1836&lt;'112'!$K$9,$N1836='112'!$I$6)),"x",""))</f>
        <v/>
      </c>
      <c r="V1836" s="84" t="str">
        <f>IF(ISERROR(FIND('112'!$M$9,G1836,1)),"",IF((AND(RIGHT(G1836,2)=RIGHT('112'!$M$9,2),B1836&lt;'112'!$K$9,$O1836='112'!$I$6)),"x",""))</f>
        <v/>
      </c>
      <c r="W1836" s="84" t="str">
        <f>IF(AND('341-CT'!$H$9=H1836,OR(LEFT(N1836,3)=$W$7,LEFT(O1836,3)=$W$7)),"x","")</f>
        <v/>
      </c>
      <c r="X1836" s="84" t="str">
        <f>IF(OR(TH!N1836=TH!$X$7,O1836=TH!$X$7),"x","")</f>
        <v/>
      </c>
      <c r="Y1836" s="84" t="str">
        <f>IF(AND(OR(N1836="131",O1836="131"),H1836='131-CT'!$H$9),"x","")</f>
        <v/>
      </c>
      <c r="Z1836" s="84"/>
      <c r="AA1836" s="84" t="str">
        <f>IF(AND(MONTH(E1836)='IN-NX'!$J$5,'IN-NX'!$D$7=D1836),"x","")</f>
        <v/>
      </c>
      <c r="AB1836" s="84" t="str">
        <f>IF(AND(OR(LEFT(TH!N1836,2)="15",LEFT(TH!O1836,2)="15"),LEFT(TH!O1836,3)&lt;&gt;"111",'152-CT'!$J$8=TH!F1836),"x","")</f>
        <v/>
      </c>
      <c r="AC1836" s="84" t="str">
        <f>IF(AND(OR(LEFT(TH!N1836,2)="15",LEFT(TH!O1836,2)="15"),TK!$E$7=TH!F1836),"x","")</f>
        <v/>
      </c>
      <c r="AD1836" s="84" t="str">
        <f>IF(AND(N1836="1521",MONTH(C1836)='BK-NL'!$M$11),"x","")</f>
        <v/>
      </c>
      <c r="AE1836" s="1146" t="str">
        <f>IF(H1836&lt;&gt;VLOOKUP(H1836,DSKH,1,0),"","x")</f>
        <v>x</v>
      </c>
      <c r="AF1836" s="330"/>
    </row>
    <row r="1837" spans="1:32" ht="15.75" hidden="1" customHeight="1">
      <c r="A1837" s="336" t="str">
        <f>IF(B1837&lt;&gt;"",IF(AND(B1837='IN-TC'!$S$4,OR(TH!N1837="1111",TH!O1837="1111")),TH!D1837,""),"")</f>
        <v/>
      </c>
      <c r="B1837" s="63">
        <f t="shared" si="241"/>
        <v>7</v>
      </c>
      <c r="C1837" s="64">
        <v>42556</v>
      </c>
      <c r="D1837" s="64" t="s">
        <v>705</v>
      </c>
      <c r="E1837" s="64">
        <f t="shared" si="242"/>
        <v>42556</v>
      </c>
      <c r="F1837" s="67" t="s">
        <v>1176</v>
      </c>
      <c r="G1837" s="67" t="s">
        <v>919</v>
      </c>
      <c r="H1837" s="73" t="s">
        <v>1803</v>
      </c>
      <c r="I1837" s="439"/>
      <c r="J1837" s="439"/>
      <c r="K1837" s="430"/>
      <c r="L1837" s="439"/>
      <c r="M1837" s="65">
        <v>25000</v>
      </c>
      <c r="N1837" s="66" t="s">
        <v>101</v>
      </c>
      <c r="O1837" s="66" t="s">
        <v>26</v>
      </c>
      <c r="P1837" s="84" t="str">
        <f>IF(AND('331-CT'!$E$7=TH!H1837,OR(N1837="331",O1837="331")),"x","")</f>
        <v/>
      </c>
      <c r="Q1837" s="84" t="str">
        <f>IF(AND(B1837='111'!$L$11,OR($N1837=$Q$7,$O1837=$Q$7)),"x","")</f>
        <v/>
      </c>
      <c r="R1837" s="84" t="str">
        <f>IF(AND($N1837=$Q$7,$B1837&lt;'111'!$L$11),"x","")</f>
        <v/>
      </c>
      <c r="S1837" s="84" t="str">
        <f>IF(AND($O1837=$Q$7,$B1837&lt;'111'!$L$11),"x","")</f>
        <v/>
      </c>
      <c r="T1837" s="84" t="str">
        <f>IF(ISERROR(FIND('112'!$M$9,G1837,1)),"",IF((AND(FIND('112'!$M$9,G1837,1)&gt;=1,B1837='112'!$K$9,OR($N1837='112'!$I$6,$O1837='112'!$I$6))),"x",""))</f>
        <v/>
      </c>
      <c r="U1837" s="84" t="str">
        <f>IF(ISERROR(FIND('112'!$M$9,G1837,1)),"",IF((AND(LEFT(G1837,2)=LEFT('112'!$M$9,2),B1837&lt;'112'!$K$9,$N1837='112'!$I$6)),"x",""))</f>
        <v/>
      </c>
      <c r="V1837" s="84" t="str">
        <f>IF(ISERROR(FIND('112'!$M$9,G1837,1)),"",IF((AND(RIGHT(G1837,2)=RIGHT('112'!$M$9,2),B1837&lt;'112'!$K$9,$O1837='112'!$I$6)),"x",""))</f>
        <v/>
      </c>
      <c r="W1837" s="84" t="str">
        <f>IF(AND('341-CT'!$H$9=H1837,OR(LEFT(N1837,3)=$W$7,LEFT(O1837,3)=$W$7)),"x","")</f>
        <v/>
      </c>
      <c r="X1837" s="84" t="str">
        <f>IF(OR(TH!N1837=TH!$X$7,O1837=TH!$X$7),"x","")</f>
        <v/>
      </c>
      <c r="Y1837" s="84" t="str">
        <f>IF(AND(OR(N1837="131",O1837="131"),H1837='131-CT'!$H$9),"x","")</f>
        <v/>
      </c>
      <c r="Z1837" s="84"/>
      <c r="AA1837" s="84" t="str">
        <f>IF(AND(MONTH(E1837)='IN-NX'!$J$5,'IN-NX'!$D$7=D1837),"x","")</f>
        <v/>
      </c>
      <c r="AB1837" s="84" t="str">
        <f>IF(AND(OR(LEFT(TH!N1837,2)="15",LEFT(TH!O1837,2)="15"),LEFT(TH!O1837,3)&lt;&gt;"111",'152-CT'!$J$8=TH!F1837),"x","")</f>
        <v/>
      </c>
      <c r="AC1837" s="84" t="str">
        <f>IF(AND(OR(LEFT(TH!N1837,2)="15",LEFT(TH!O1837,2)="15"),TK!$E$7=TH!F1837),"x","")</f>
        <v/>
      </c>
      <c r="AD1837" s="84" t="str">
        <f>IF(AND(N1837="1521",MONTH(C1837)='BK-NL'!$M$11),"x","")</f>
        <v/>
      </c>
      <c r="AF1837" s="330">
        <v>7</v>
      </c>
    </row>
    <row r="1838" spans="1:32" s="351" customFormat="1" ht="15.75" hidden="1" customHeight="1">
      <c r="A1838" s="336" t="str">
        <f>IF(B1838&lt;&gt;"",IF(AND(B1838='IN-TC'!$S$4,OR(TH!N1838="1111",TH!O1838="1111")),TH!D1838,""),"")</f>
        <v/>
      </c>
      <c r="B1838" s="63">
        <f t="shared" si="241"/>
        <v>7</v>
      </c>
      <c r="C1838" s="64">
        <v>42556</v>
      </c>
      <c r="D1838" s="64" t="s">
        <v>705</v>
      </c>
      <c r="E1838" s="64">
        <f t="shared" si="242"/>
        <v>42556</v>
      </c>
      <c r="F1838" s="67" t="s">
        <v>1638</v>
      </c>
      <c r="G1838" s="67" t="s">
        <v>919</v>
      </c>
      <c r="H1838" s="73" t="s">
        <v>1803</v>
      </c>
      <c r="I1838" s="439"/>
      <c r="J1838" s="439"/>
      <c r="K1838" s="430"/>
      <c r="L1838" s="439"/>
      <c r="M1838" s="65">
        <v>2500</v>
      </c>
      <c r="N1838" s="66" t="s">
        <v>9</v>
      </c>
      <c r="O1838" s="66" t="s">
        <v>26</v>
      </c>
      <c r="P1838" s="66" t="str">
        <f>IF(AND('331-CT'!$E$7=TH!H1838,OR(N1838="331",O1838="331")),"x","")</f>
        <v/>
      </c>
      <c r="Q1838" s="66" t="str">
        <f>IF(AND(B1838='111'!$L$11,OR($N1838=$Q$7,$O1838=$Q$7)),"x","")</f>
        <v/>
      </c>
      <c r="R1838" s="66" t="str">
        <f>IF(AND($N1838=$Q$7,$B1838&lt;'111'!$L$11),"x","")</f>
        <v/>
      </c>
      <c r="S1838" s="66" t="str">
        <f>IF(AND($O1838=$Q$7,$B1838&lt;'111'!$L$11),"x","")</f>
        <v/>
      </c>
      <c r="T1838" s="66" t="str">
        <f>IF(ISERROR(FIND('112'!$M$9,G1838,1)),"",IF((AND(FIND('112'!$M$9,G1838,1)&gt;=1,B1838='112'!$K$9,OR($N1838='112'!$I$6,$O1838='112'!$I$6))),"x",""))</f>
        <v/>
      </c>
      <c r="U1838" s="66" t="str">
        <f>IF(ISERROR(FIND('112'!$M$9,G1838,1)),"",IF((AND(LEFT(G1838,2)=LEFT('112'!$M$9,2),B1838&lt;'112'!$K$9,$N1838='112'!$I$6)),"x",""))</f>
        <v/>
      </c>
      <c r="V1838" s="66" t="str">
        <f>IF(ISERROR(FIND('112'!$M$9,G1838,1)),"",IF((AND(RIGHT(G1838,2)=RIGHT('112'!$M$9,2),B1838&lt;'112'!$K$9,$O1838='112'!$I$6)),"x",""))</f>
        <v/>
      </c>
      <c r="W1838" s="66" t="str">
        <f>IF(AND('341-CT'!$H$9=H1838,OR(LEFT(N1838,3)=$W$7,LEFT(O1838,3)=$W$7)),"x","")</f>
        <v/>
      </c>
      <c r="X1838" s="66" t="str">
        <f>IF(OR(TH!N1838=TH!$X$7,O1838=TH!$X$7),"x","")</f>
        <v/>
      </c>
      <c r="Y1838" s="66" t="str">
        <f>IF(AND(OR(N1838="131",O1838="131"),H1838='131-CT'!$H$9),"x","")</f>
        <v/>
      </c>
      <c r="Z1838" s="66"/>
      <c r="AA1838" s="66" t="str">
        <f>IF(AND(MONTH(E1838)='IN-NX'!$J$5,'IN-NX'!$D$7=D1838),"x","")</f>
        <v/>
      </c>
      <c r="AB1838" s="66" t="str">
        <f>IF(AND(OR(LEFT(TH!N1838,2)="15",LEFT(TH!O1838,2)="15"),LEFT(TH!O1838,3)&lt;&gt;"111",'152-CT'!$J$8=TH!F1838),"x","")</f>
        <v/>
      </c>
      <c r="AC1838" s="66" t="str">
        <f>IF(AND(OR(LEFT(TH!N1838,2)="15",LEFT(TH!O1838,2)="15"),TK!$E$7=TH!F1838),"x","")</f>
        <v/>
      </c>
      <c r="AD1838" s="66" t="str">
        <f>IF(AND(N1838="1521",MONTH(C1838)='BK-NL'!$M$11),"x","")</f>
        <v/>
      </c>
      <c r="AF1838" s="330">
        <v>7</v>
      </c>
    </row>
    <row r="1839" spans="1:32" s="351" customFormat="1" ht="15.75" hidden="1" customHeight="1">
      <c r="A1839" s="336" t="str">
        <f>IF(B1839&lt;&gt;"",IF(AND(B1839='IN-TC'!$S$4,OR(TH!N1839="1111",TH!O1839="1111")),TH!D1839,""),"")</f>
        <v/>
      </c>
      <c r="B1839" s="63">
        <f t="shared" si="241"/>
        <v>7</v>
      </c>
      <c r="C1839" s="64">
        <v>42557</v>
      </c>
      <c r="D1839" s="64" t="s">
        <v>872</v>
      </c>
      <c r="E1839" s="64">
        <f t="shared" si="242"/>
        <v>42557</v>
      </c>
      <c r="F1839" s="67" t="s">
        <v>771</v>
      </c>
      <c r="G1839" s="982" t="s">
        <v>1722</v>
      </c>
      <c r="H1839" s="73" t="s">
        <v>808</v>
      </c>
      <c r="I1839" s="439"/>
      <c r="J1839" s="439"/>
      <c r="K1839" s="430"/>
      <c r="L1839" s="439"/>
      <c r="M1839" s="65">
        <v>726227</v>
      </c>
      <c r="N1839" s="66" t="s">
        <v>101</v>
      </c>
      <c r="O1839" s="66" t="s">
        <v>63</v>
      </c>
      <c r="P1839" s="66" t="str">
        <f>IF(AND('331-CT'!$E$7=TH!H1839,OR(N1839="331",O1839="331")),"x","")</f>
        <v/>
      </c>
      <c r="Q1839" s="66" t="str">
        <f>IF(AND(B1839='111'!$L$11,OR($N1839=$Q$7,$O1839=$Q$7)),"x","")</f>
        <v/>
      </c>
      <c r="R1839" s="66" t="str">
        <f>IF(AND($N1839=$Q$7,$B1839&lt;'111'!$L$11),"x","")</f>
        <v/>
      </c>
      <c r="S1839" s="66" t="str">
        <f>IF(AND($O1839=$Q$7,$B1839&lt;'111'!$L$11),"x","")</f>
        <v/>
      </c>
      <c r="T1839" s="66" t="str">
        <f>IF(ISERROR(FIND('112'!$M$9,G1839,1)),"",IF((AND(FIND('112'!$M$9,G1839,1)&gt;=1,B1839='112'!$K$9,OR($N1839='112'!$I$6,$O1839='112'!$I$6))),"x",""))</f>
        <v/>
      </c>
      <c r="U1839" s="66" t="str">
        <f>IF(ISERROR(FIND('112'!$M$9,G1839,1)),"",IF((AND(LEFT(G1839,2)=LEFT('112'!$M$9,2),B1839&lt;'112'!$K$9,$N1839='112'!$I$6)),"x",""))</f>
        <v/>
      </c>
      <c r="V1839" s="66" t="str">
        <f>IF(ISERROR(FIND('112'!$M$9,G1839,1)),"",IF((AND(RIGHT(G1839,2)=RIGHT('112'!$M$9,2),B1839&lt;'112'!$K$9,$O1839='112'!$I$6)),"x",""))</f>
        <v/>
      </c>
      <c r="W1839" s="66" t="str">
        <f>IF(AND('341-CT'!$H$9=H1839,OR(LEFT(N1839,3)=$W$7,LEFT(O1839,3)=$W$7)),"x","")</f>
        <v/>
      </c>
      <c r="X1839" s="66" t="str">
        <f>IF(OR(TH!N1839=TH!$X$7,O1839=TH!$X$7),"x","")</f>
        <v/>
      </c>
      <c r="Y1839" s="66" t="str">
        <f>IF(AND(OR(N1839="131",O1839="131"),H1839='131-CT'!$H$9),"x","")</f>
        <v/>
      </c>
      <c r="Z1839" s="66"/>
      <c r="AA1839" s="66" t="str">
        <f>IF(AND(MONTH(E1839)='IN-NX'!$J$5,'IN-NX'!$D$7=D1839),"x","")</f>
        <v/>
      </c>
      <c r="AB1839" s="66" t="str">
        <f>IF(AND(OR(LEFT(TH!N1839,2)="15",LEFT(TH!O1839,2)="15"),LEFT(TH!O1839,3)&lt;&gt;"111",'152-CT'!$J$8=TH!F1839),"x","")</f>
        <v/>
      </c>
      <c r="AC1839" s="66" t="str">
        <f>IF(AND(OR(LEFT(TH!N1839,2)="15",LEFT(TH!O1839,2)="15"),TK!$E$7=TH!F1839),"x","")</f>
        <v/>
      </c>
      <c r="AD1839" s="66" t="str">
        <f>IF(AND(N1839="1521",MONTH(C1839)='BK-NL'!$M$11),"x","")</f>
        <v/>
      </c>
      <c r="AF1839" s="330">
        <v>7</v>
      </c>
    </row>
    <row r="1840" spans="1:32" s="351" customFormat="1" ht="15.75" hidden="1" customHeight="1">
      <c r="A1840" s="336" t="str">
        <f>IF(B1840&lt;&gt;"",IF(AND(B1840='IN-TC'!$S$4,OR(TH!N1840="1111",TH!O1840="1111")),TH!D1840,""),"")</f>
        <v/>
      </c>
      <c r="B1840" s="63">
        <f t="shared" si="241"/>
        <v>7</v>
      </c>
      <c r="C1840" s="64">
        <v>42557</v>
      </c>
      <c r="D1840" s="64" t="s">
        <v>872</v>
      </c>
      <c r="E1840" s="64">
        <f t="shared" si="242"/>
        <v>42557</v>
      </c>
      <c r="F1840" s="67" t="s">
        <v>772</v>
      </c>
      <c r="G1840" s="982" t="s">
        <v>1722</v>
      </c>
      <c r="H1840" s="73" t="s">
        <v>808</v>
      </c>
      <c r="I1840" s="439"/>
      <c r="J1840" s="439"/>
      <c r="K1840" s="430"/>
      <c r="L1840" s="439"/>
      <c r="M1840" s="65">
        <v>72623</v>
      </c>
      <c r="N1840" s="66" t="s">
        <v>9</v>
      </c>
      <c r="O1840" s="66" t="s">
        <v>63</v>
      </c>
      <c r="P1840" s="66" t="str">
        <f>IF(AND('331-CT'!$E$7=TH!H1840,OR(N1840="331",O1840="331")),"x","")</f>
        <v/>
      </c>
      <c r="Q1840" s="66" t="str">
        <f>IF(AND(B1840='111'!$L$11,OR($N1840=$Q$7,$O1840=$Q$7)),"x","")</f>
        <v/>
      </c>
      <c r="R1840" s="66" t="str">
        <f>IF(AND($N1840=$Q$7,$B1840&lt;'111'!$L$11),"x","")</f>
        <v/>
      </c>
      <c r="S1840" s="66" t="str">
        <f>IF(AND($O1840=$Q$7,$B1840&lt;'111'!$L$11),"x","")</f>
        <v/>
      </c>
      <c r="T1840" s="66" t="str">
        <f>IF(ISERROR(FIND('112'!$M$9,G1840,1)),"",IF((AND(FIND('112'!$M$9,G1840,1)&gt;=1,B1840='112'!$K$9,OR($N1840='112'!$I$6,$O1840='112'!$I$6))),"x",""))</f>
        <v/>
      </c>
      <c r="U1840" s="66" t="str">
        <f>IF(ISERROR(FIND('112'!$M$9,G1840,1)),"",IF((AND(LEFT(G1840,2)=LEFT('112'!$M$9,2),B1840&lt;'112'!$K$9,$N1840='112'!$I$6)),"x",""))</f>
        <v/>
      </c>
      <c r="V1840" s="66" t="str">
        <f>IF(ISERROR(FIND('112'!$M$9,G1840,1)),"",IF((AND(RIGHT(G1840,2)=RIGHT('112'!$M$9,2),B1840&lt;'112'!$K$9,$O1840='112'!$I$6)),"x",""))</f>
        <v/>
      </c>
      <c r="W1840" s="66" t="str">
        <f>IF(AND('341-CT'!$H$9=H1840,OR(LEFT(N1840,3)=$W$7,LEFT(O1840,3)=$W$7)),"x","")</f>
        <v/>
      </c>
      <c r="X1840" s="66" t="str">
        <f>IF(OR(TH!N1840=TH!$X$7,O1840=TH!$X$7),"x","")</f>
        <v/>
      </c>
      <c r="Y1840" s="66" t="str">
        <f>IF(AND(OR(N1840="131",O1840="131"),H1840='131-CT'!$H$9),"x","")</f>
        <v/>
      </c>
      <c r="Z1840" s="66"/>
      <c r="AA1840" s="66" t="str">
        <f>IF(AND(MONTH(E1840)='IN-NX'!$J$5,'IN-NX'!$D$7=D1840),"x","")</f>
        <v/>
      </c>
      <c r="AB1840" s="66" t="str">
        <f>IF(AND(OR(LEFT(TH!N1840,2)="15",LEFT(TH!O1840,2)="15"),LEFT(TH!O1840,3)&lt;&gt;"111",'152-CT'!$J$8=TH!F1840),"x","")</f>
        <v/>
      </c>
      <c r="AC1840" s="66" t="str">
        <f>IF(AND(OR(LEFT(TH!N1840,2)="15",LEFT(TH!O1840,2)="15"),TK!$E$7=TH!F1840),"x","")</f>
        <v/>
      </c>
      <c r="AD1840" s="66" t="str">
        <f>IF(AND(N1840="1521",MONTH(C1840)='BK-NL'!$M$11),"x","")</f>
        <v/>
      </c>
      <c r="AF1840" s="330">
        <v>7</v>
      </c>
    </row>
    <row r="1841" spans="1:32" s="351" customFormat="1" ht="15.75" hidden="1" customHeight="1">
      <c r="A1841" s="336" t="str">
        <f>IF(B1841&lt;&gt;"",IF(AND(B1841='IN-TC'!$S$4,OR(TH!N1841="1111",TH!O1841="1111")),TH!D1841,""),"")</f>
        <v/>
      </c>
      <c r="B1841" s="63">
        <f t="shared" si="241"/>
        <v>7</v>
      </c>
      <c r="C1841" s="64">
        <v>42557</v>
      </c>
      <c r="D1841" s="64" t="s">
        <v>873</v>
      </c>
      <c r="E1841" s="64">
        <f t="shared" si="242"/>
        <v>42557</v>
      </c>
      <c r="F1841" s="67" t="s">
        <v>1724</v>
      </c>
      <c r="G1841" s="982" t="s">
        <v>1723</v>
      </c>
      <c r="H1841" s="73" t="s">
        <v>846</v>
      </c>
      <c r="I1841" s="439"/>
      <c r="J1841" s="439"/>
      <c r="K1841" s="430"/>
      <c r="L1841" s="439"/>
      <c r="M1841" s="65">
        <v>1994265</v>
      </c>
      <c r="N1841" s="66" t="s">
        <v>101</v>
      </c>
      <c r="O1841" s="66" t="s">
        <v>63</v>
      </c>
      <c r="P1841" s="66" t="str">
        <f>IF(AND('331-CT'!$E$7=TH!H1841,OR(N1841="331",O1841="331")),"x","")</f>
        <v/>
      </c>
      <c r="Q1841" s="66" t="str">
        <f>IF(AND(B1841='111'!$L$11,OR($N1841=$Q$7,$O1841=$Q$7)),"x","")</f>
        <v/>
      </c>
      <c r="R1841" s="66" t="str">
        <f>IF(AND($N1841=$Q$7,$B1841&lt;'111'!$L$11),"x","")</f>
        <v/>
      </c>
      <c r="S1841" s="66" t="str">
        <f>IF(AND($O1841=$Q$7,$B1841&lt;'111'!$L$11),"x","")</f>
        <v/>
      </c>
      <c r="T1841" s="66" t="str">
        <f>IF(ISERROR(FIND('112'!$M$9,G1841,1)),"",IF((AND(FIND('112'!$M$9,G1841,1)&gt;=1,B1841='112'!$K$9,OR($N1841='112'!$I$6,$O1841='112'!$I$6))),"x",""))</f>
        <v/>
      </c>
      <c r="U1841" s="66" t="str">
        <f>IF(ISERROR(FIND('112'!$M$9,G1841,1)),"",IF((AND(LEFT(G1841,2)=LEFT('112'!$M$9,2),B1841&lt;'112'!$K$9,$N1841='112'!$I$6)),"x",""))</f>
        <v/>
      </c>
      <c r="V1841" s="66" t="str">
        <f>IF(ISERROR(FIND('112'!$M$9,G1841,1)),"",IF((AND(RIGHT(G1841,2)=RIGHT('112'!$M$9,2),B1841&lt;'112'!$K$9,$O1841='112'!$I$6)),"x",""))</f>
        <v/>
      </c>
      <c r="W1841" s="66" t="str">
        <f>IF(AND('341-CT'!$H$9=H1841,OR(LEFT(N1841,3)=$W$7,LEFT(O1841,3)=$W$7)),"x","")</f>
        <v/>
      </c>
      <c r="X1841" s="66" t="str">
        <f>IF(OR(TH!N1841=TH!$X$7,O1841=TH!$X$7),"x","")</f>
        <v/>
      </c>
      <c r="Y1841" s="66" t="str">
        <f>IF(AND(OR(N1841="131",O1841="131"),H1841='131-CT'!$H$9),"x","")</f>
        <v/>
      </c>
      <c r="Z1841" s="66"/>
      <c r="AA1841" s="66" t="str">
        <f>IF(AND(MONTH(E1841)='IN-NX'!$J$5,'IN-NX'!$D$7=D1841),"x","")</f>
        <v/>
      </c>
      <c r="AB1841" s="66" t="str">
        <f>IF(AND(OR(LEFT(TH!N1841,2)="15",LEFT(TH!O1841,2)="15"),LEFT(TH!O1841,3)&lt;&gt;"111",'152-CT'!$J$8=TH!F1841),"x","")</f>
        <v/>
      </c>
      <c r="AC1841" s="66" t="str">
        <f>IF(AND(OR(LEFT(TH!N1841,2)="15",LEFT(TH!O1841,2)="15"),TK!$E$7=TH!F1841),"x","")</f>
        <v/>
      </c>
      <c r="AD1841" s="66" t="str">
        <f>IF(AND(N1841="1521",MONTH(C1841)='BK-NL'!$M$11),"x","")</f>
        <v/>
      </c>
      <c r="AF1841" s="330">
        <v>7</v>
      </c>
    </row>
    <row r="1842" spans="1:32" s="351" customFormat="1" ht="15.75" hidden="1" customHeight="1">
      <c r="A1842" s="336" t="str">
        <f>IF(B1842&lt;&gt;"",IF(AND(B1842='IN-TC'!$S$4,OR(TH!N1842="1111",TH!O1842="1111")),TH!D1842,""),"")</f>
        <v/>
      </c>
      <c r="B1842" s="63">
        <f t="shared" si="241"/>
        <v>7</v>
      </c>
      <c r="C1842" s="64">
        <v>42557</v>
      </c>
      <c r="D1842" s="64" t="s">
        <v>873</v>
      </c>
      <c r="E1842" s="64">
        <f t="shared" si="242"/>
        <v>42557</v>
      </c>
      <c r="F1842" s="67" t="s">
        <v>1725</v>
      </c>
      <c r="G1842" s="982" t="s">
        <v>1723</v>
      </c>
      <c r="H1842" s="73" t="s">
        <v>846</v>
      </c>
      <c r="I1842" s="439"/>
      <c r="J1842" s="439"/>
      <c r="K1842" s="430"/>
      <c r="L1842" s="439"/>
      <c r="M1842" s="65">
        <v>199427</v>
      </c>
      <c r="N1842" s="66" t="s">
        <v>9</v>
      </c>
      <c r="O1842" s="66" t="s">
        <v>63</v>
      </c>
      <c r="P1842" s="66" t="str">
        <f>IF(AND('331-CT'!$E$7=TH!H1842,OR(N1842="331",O1842="331")),"x","")</f>
        <v/>
      </c>
      <c r="Q1842" s="66" t="str">
        <f>IF(AND(B1842='111'!$L$11,OR($N1842=$Q$7,$O1842=$Q$7)),"x","")</f>
        <v/>
      </c>
      <c r="R1842" s="66" t="str">
        <f>IF(AND($N1842=$Q$7,$B1842&lt;'111'!$L$11),"x","")</f>
        <v/>
      </c>
      <c r="S1842" s="66" t="str">
        <f>IF(AND($O1842=$Q$7,$B1842&lt;'111'!$L$11),"x","")</f>
        <v/>
      </c>
      <c r="T1842" s="66" t="str">
        <f>IF(ISERROR(FIND('112'!$M$9,G1842,1)),"",IF((AND(FIND('112'!$M$9,G1842,1)&gt;=1,B1842='112'!$K$9,OR($N1842='112'!$I$6,$O1842='112'!$I$6))),"x",""))</f>
        <v/>
      </c>
      <c r="U1842" s="66" t="str">
        <f>IF(ISERROR(FIND('112'!$M$9,G1842,1)),"",IF((AND(LEFT(G1842,2)=LEFT('112'!$M$9,2),B1842&lt;'112'!$K$9,$N1842='112'!$I$6)),"x",""))</f>
        <v/>
      </c>
      <c r="V1842" s="66" t="str">
        <f>IF(ISERROR(FIND('112'!$M$9,G1842,1)),"",IF((AND(RIGHT(G1842,2)=RIGHT('112'!$M$9,2),B1842&lt;'112'!$K$9,$O1842='112'!$I$6)),"x",""))</f>
        <v/>
      </c>
      <c r="W1842" s="66" t="str">
        <f>IF(AND('341-CT'!$H$9=H1842,OR(LEFT(N1842,3)=$W$7,LEFT(O1842,3)=$W$7)),"x","")</f>
        <v/>
      </c>
      <c r="X1842" s="66" t="str">
        <f>IF(OR(TH!N1842=TH!$X$7,O1842=TH!$X$7),"x","")</f>
        <v/>
      </c>
      <c r="Y1842" s="66" t="str">
        <f>IF(AND(OR(N1842="131",O1842="131"),H1842='131-CT'!$H$9),"x","")</f>
        <v/>
      </c>
      <c r="Z1842" s="66"/>
      <c r="AA1842" s="66" t="str">
        <f>IF(AND(MONTH(E1842)='IN-NX'!$J$5,'IN-NX'!$D$7=D1842),"x","")</f>
        <v/>
      </c>
      <c r="AB1842" s="66" t="str">
        <f>IF(AND(OR(LEFT(TH!N1842,2)="15",LEFT(TH!O1842,2)="15"),LEFT(TH!O1842,3)&lt;&gt;"111",'152-CT'!$J$8=TH!F1842),"x","")</f>
        <v/>
      </c>
      <c r="AC1842" s="66" t="str">
        <f>IF(AND(OR(LEFT(TH!N1842,2)="15",LEFT(TH!O1842,2)="15"),TK!$E$7=TH!F1842),"x","")</f>
        <v/>
      </c>
      <c r="AD1842" s="66" t="str">
        <f>IF(AND(N1842="1521",MONTH(C1842)='BK-NL'!$M$11),"x","")</f>
        <v/>
      </c>
      <c r="AF1842" s="330">
        <v>7</v>
      </c>
    </row>
    <row r="1843" spans="1:32" s="351" customFormat="1" ht="15.75" hidden="1" customHeight="1">
      <c r="A1843" s="336" t="str">
        <f>IF(B1843&lt;&gt;"",IF(AND(B1843='IN-TC'!$S$4,OR(TH!N1843="1111",TH!O1843="1111")),TH!D1843,""),"")</f>
        <v/>
      </c>
      <c r="B1843" s="63">
        <f t="shared" si="241"/>
        <v>7</v>
      </c>
      <c r="C1843" s="64">
        <v>42559</v>
      </c>
      <c r="D1843" s="64" t="s">
        <v>702</v>
      </c>
      <c r="E1843" s="64">
        <f t="shared" ref="E1843:E1868" si="243">C1843</f>
        <v>42559</v>
      </c>
      <c r="F1843" s="67" t="s">
        <v>1191</v>
      </c>
      <c r="G1843" s="67" t="s">
        <v>918</v>
      </c>
      <c r="H1843" s="73" t="s">
        <v>598</v>
      </c>
      <c r="I1843" s="439"/>
      <c r="J1843" s="439"/>
      <c r="K1843" s="430">
        <v>39600</v>
      </c>
      <c r="L1843" s="439">
        <v>22300</v>
      </c>
      <c r="M1843" s="65">
        <f>ROUND(K1843*L1843,0)</f>
        <v>883080000</v>
      </c>
      <c r="N1843" s="66" t="s">
        <v>266</v>
      </c>
      <c r="O1843" s="66" t="s">
        <v>588</v>
      </c>
      <c r="P1843" s="66" t="str">
        <f>IF(AND('331-CT'!$E$7=TH!H1843,OR(N1843="331",O1843="331")),"x","")</f>
        <v/>
      </c>
      <c r="Q1843" s="66" t="str">
        <f>IF(AND(B1843='111'!$L$11,OR($N1843=$Q$7,$O1843=$Q$7)),"x","")</f>
        <v/>
      </c>
      <c r="R1843" s="66" t="str">
        <f>IF(AND($N1843=$Q$7,$B1843&lt;'111'!$L$11),"x","")</f>
        <v/>
      </c>
      <c r="S1843" s="66" t="str">
        <f>IF(AND($O1843=$Q$7,$B1843&lt;'111'!$L$11),"x","")</f>
        <v/>
      </c>
      <c r="T1843" s="66" t="str">
        <f>IF(ISERROR(FIND('112'!$M$9,G1843,1)),"",IF((AND(FIND('112'!$M$9,G1843,1)&gt;=1,B1843='112'!$K$9,OR($N1843='112'!$I$6,$O1843='112'!$I$6))),"x",""))</f>
        <v/>
      </c>
      <c r="U1843" s="66" t="str">
        <f>IF(ISERROR(FIND('112'!$M$9,G1843,1)),"",IF((AND(LEFT(G1843,2)=LEFT('112'!$M$9,2),B1843&lt;'112'!$K$9,$N1843='112'!$I$6)),"x",""))</f>
        <v/>
      </c>
      <c r="V1843" s="66" t="str">
        <f>IF(ISERROR(FIND('112'!$M$9,G1843,1)),"",IF((AND(RIGHT(G1843,2)=RIGHT('112'!$M$9,2),B1843&lt;'112'!$K$9,$O1843='112'!$I$6)),"x",""))</f>
        <v/>
      </c>
      <c r="W1843" s="66" t="str">
        <f>IF(AND('341-CT'!$H$9=H1843,OR(LEFT(N1843,3)=$W$7,LEFT(O1843,3)=$W$7)),"x","")</f>
        <v/>
      </c>
      <c r="X1843" s="66" t="str">
        <f>IF(OR(TH!N1843=TH!$X$7,O1843=TH!$X$7),"x","")</f>
        <v/>
      </c>
      <c r="Y1843" s="66" t="str">
        <f>IF(AND(OR(N1843="131",O1843="131"),H1843='131-CT'!$H$9),"x","")</f>
        <v/>
      </c>
      <c r="Z1843" s="66"/>
      <c r="AA1843" s="66" t="str">
        <f>IF(AND(MONTH(E1843)='IN-NX'!$J$5,'IN-NX'!$D$7=D1843),"x","")</f>
        <v/>
      </c>
      <c r="AB1843" s="66" t="str">
        <f>IF(AND(OR(LEFT(TH!N1843,2)="15",LEFT(TH!O1843,2)="15"),LEFT(TH!O1843,3)&lt;&gt;"111",'152-CT'!$J$8=TH!F1843),"x","")</f>
        <v/>
      </c>
      <c r="AC1843" s="66" t="str">
        <f>IF(AND(OR(LEFT(TH!N1843,2)="15",LEFT(TH!O1843,2)="15"),TK!$E$7=TH!F1843),"x","")</f>
        <v/>
      </c>
      <c r="AD1843" s="66" t="str">
        <f>IF(AND(N1843="1521",MONTH(C1843)='BK-NL'!$M$11),"x","")</f>
        <v/>
      </c>
    </row>
    <row r="1844" spans="1:32" s="351" customFormat="1" ht="15.75" hidden="1" customHeight="1">
      <c r="A1844" s="336" t="str">
        <f>IF(B1844&lt;&gt;"",IF(AND(B1844='IN-TC'!$S$4,OR(TH!N1844="1111",TH!O1844="1111")),TH!D1844,""),"")</f>
        <v/>
      </c>
      <c r="B1844" s="63">
        <f t="shared" si="241"/>
        <v>7</v>
      </c>
      <c r="C1844" s="64">
        <v>42559</v>
      </c>
      <c r="D1844" s="64" t="s">
        <v>705</v>
      </c>
      <c r="E1844" s="64">
        <f t="shared" si="243"/>
        <v>42559</v>
      </c>
      <c r="F1844" s="67" t="s">
        <v>1445</v>
      </c>
      <c r="G1844" s="67" t="s">
        <v>918</v>
      </c>
      <c r="H1844" s="73"/>
      <c r="I1844" s="439"/>
      <c r="J1844" s="439"/>
      <c r="K1844" s="430">
        <v>39600</v>
      </c>
      <c r="L1844" s="439">
        <v>22300</v>
      </c>
      <c r="M1844" s="65">
        <f>ROUND(K1844*L1844,0)</f>
        <v>883080000</v>
      </c>
      <c r="N1844" s="66" t="s">
        <v>26</v>
      </c>
      <c r="O1844" s="66" t="s">
        <v>266</v>
      </c>
      <c r="P1844" s="66" t="str">
        <f>IF(AND('331-CT'!$E$7=TH!H1844,OR(N1844="331",O1844="331")),"x","")</f>
        <v/>
      </c>
      <c r="Q1844" s="66" t="str">
        <f>IF(AND(B1844='111'!$L$11,OR($N1844=$Q$7,$O1844=$Q$7)),"x","")</f>
        <v/>
      </c>
      <c r="R1844" s="66" t="str">
        <f>IF(AND($N1844=$Q$7,$B1844&lt;'111'!$L$11),"x","")</f>
        <v/>
      </c>
      <c r="S1844" s="66" t="str">
        <f>IF(AND($O1844=$Q$7,$B1844&lt;'111'!$L$11),"x","")</f>
        <v/>
      </c>
      <c r="T1844" s="66" t="str">
        <f>IF(ISERROR(FIND('112'!$M$9,G1844,1)),"",IF((AND(FIND('112'!$M$9,G1844,1)&gt;=1,B1844='112'!$K$9,OR($N1844='112'!$I$6,$O1844='112'!$I$6))),"x",""))</f>
        <v/>
      </c>
      <c r="U1844" s="66" t="str">
        <f>IF(ISERROR(FIND('112'!$M$9,G1844,1)),"",IF((AND(LEFT(G1844,2)=LEFT('112'!$M$9,2),B1844&lt;'112'!$K$9,$N1844='112'!$I$6)),"x",""))</f>
        <v/>
      </c>
      <c r="V1844" s="66" t="str">
        <f>IF(ISERROR(FIND('112'!$M$9,G1844,1)),"",IF((AND(RIGHT(G1844,2)=RIGHT('112'!$M$9,2),B1844&lt;'112'!$K$9,$O1844='112'!$I$6)),"x",""))</f>
        <v/>
      </c>
      <c r="W1844" s="66" t="str">
        <f>IF(AND('341-CT'!$H$9=H1844,OR(LEFT(N1844,3)=$W$7,LEFT(O1844,3)=$W$7)),"x","")</f>
        <v/>
      </c>
      <c r="X1844" s="66" t="str">
        <f>IF(OR(TH!N1844=TH!$X$7,O1844=TH!$X$7),"x","")</f>
        <v/>
      </c>
      <c r="Y1844" s="66" t="str">
        <f>IF(AND(OR(N1844="131",O1844="131"),H1844='131-CT'!$H$9),"x","")</f>
        <v/>
      </c>
      <c r="Z1844" s="66"/>
      <c r="AA1844" s="66" t="str">
        <f>IF(AND(MONTH(E1844)='IN-NX'!$J$5,'IN-NX'!$D$7=D1844),"x","")</f>
        <v/>
      </c>
      <c r="AB1844" s="66" t="str">
        <f>IF(AND(OR(LEFT(TH!N1844,2)="15",LEFT(TH!O1844,2)="15"),LEFT(TH!O1844,3)&lt;&gt;"111",'152-CT'!$J$8=TH!F1844),"x","")</f>
        <v/>
      </c>
      <c r="AC1844" s="66" t="str">
        <f>IF(AND(OR(LEFT(TH!N1844,2)="15",LEFT(TH!O1844,2)="15"),TK!$E$7=TH!F1844),"x","")</f>
        <v/>
      </c>
      <c r="AD1844" s="66" t="str">
        <f>IF(AND(N1844="1521",MONTH(C1844)='BK-NL'!$M$11),"x","")</f>
        <v/>
      </c>
    </row>
    <row r="1845" spans="1:32" s="351" customFormat="1" ht="15.75" hidden="1" customHeight="1">
      <c r="A1845" s="336" t="str">
        <f>IF(B1845&lt;&gt;"",IF(AND(B1845='IN-TC'!$S$4,OR(TH!N1845="1111",TH!O1845="1111")),TH!D1845,""),"")</f>
        <v/>
      </c>
      <c r="B1845" s="63">
        <f t="shared" si="241"/>
        <v>7</v>
      </c>
      <c r="C1845" s="64">
        <v>42559</v>
      </c>
      <c r="D1845" s="64" t="s">
        <v>705</v>
      </c>
      <c r="E1845" s="64">
        <f t="shared" si="243"/>
        <v>42559</v>
      </c>
      <c r="F1845" s="67" t="s">
        <v>1655</v>
      </c>
      <c r="G1845" s="67" t="s">
        <v>918</v>
      </c>
      <c r="H1845" s="73"/>
      <c r="I1845" s="439"/>
      <c r="J1845" s="439"/>
      <c r="K1845" s="430"/>
      <c r="L1845" s="439"/>
      <c r="M1845" s="65">
        <v>22653</v>
      </c>
      <c r="N1845" s="66" t="s">
        <v>26</v>
      </c>
      <c r="O1845" s="66" t="s">
        <v>43</v>
      </c>
      <c r="P1845" s="66" t="str">
        <f>IF(AND('331-CT'!$E$7=TH!H1845,OR(N1845="331",O1845="331")),"x","")</f>
        <v/>
      </c>
      <c r="Q1845" s="66" t="str">
        <f>IF(AND(B1845='111'!$L$11,OR($N1845=$Q$7,$O1845=$Q$7)),"x","")</f>
        <v/>
      </c>
      <c r="R1845" s="66" t="str">
        <f>IF(AND($N1845=$Q$7,$B1845&lt;'111'!$L$11),"x","")</f>
        <v/>
      </c>
      <c r="S1845" s="66" t="str">
        <f>IF(AND($O1845=$Q$7,$B1845&lt;'111'!$L$11),"x","")</f>
        <v/>
      </c>
      <c r="T1845" s="66" t="str">
        <f>IF(ISERROR(FIND('112'!$M$9,G1845,1)),"",IF((AND(FIND('112'!$M$9,G1845,1)&gt;=1,B1845='112'!$K$9,OR($N1845='112'!$I$6,$O1845='112'!$I$6))),"x",""))</f>
        <v/>
      </c>
      <c r="U1845" s="66" t="str">
        <f>IF(ISERROR(FIND('112'!$M$9,G1845,1)),"",IF((AND(LEFT(G1845,2)=LEFT('112'!$M$9,2),B1845&lt;'112'!$K$9,$N1845='112'!$I$6)),"x",""))</f>
        <v/>
      </c>
      <c r="V1845" s="66" t="str">
        <f>IF(ISERROR(FIND('112'!$M$9,G1845,1)),"",IF((AND(RIGHT(G1845,2)=RIGHT('112'!$M$9,2),B1845&lt;'112'!$K$9,$O1845='112'!$I$6)),"x",""))</f>
        <v/>
      </c>
      <c r="W1845" s="66" t="str">
        <f>IF(AND('341-CT'!$H$9=H1845,OR(LEFT(N1845,3)=$W$7,LEFT(O1845,3)=$W$7)),"x","")</f>
        <v/>
      </c>
      <c r="X1845" s="66" t="str">
        <f>IF(OR(TH!N1845=TH!$X$7,O1845=TH!$X$7),"x","")</f>
        <v/>
      </c>
      <c r="Y1845" s="66" t="str">
        <f>IF(AND(OR(N1845="131",O1845="131"),H1845='131-CT'!$H$9),"x","")</f>
        <v/>
      </c>
      <c r="Z1845" s="66"/>
      <c r="AA1845" s="66" t="str">
        <f>IF(AND(MONTH(E1845)='IN-NX'!$J$5,'IN-NX'!$D$7=D1845),"x","")</f>
        <v/>
      </c>
      <c r="AB1845" s="66" t="str">
        <f>IF(AND(OR(LEFT(TH!N1845,2)="15",LEFT(TH!O1845,2)="15"),LEFT(TH!O1845,3)&lt;&gt;"111",'152-CT'!$J$8=TH!F1845),"x","")</f>
        <v/>
      </c>
      <c r="AC1845" s="66" t="str">
        <f>IF(AND(OR(LEFT(TH!N1845,2)="15",LEFT(TH!O1845,2)="15"),TK!$E$7=TH!F1845),"x","")</f>
        <v/>
      </c>
      <c r="AD1845" s="66" t="str">
        <f>IF(AND(N1845="1521",MONTH(C1845)='BK-NL'!$M$11),"x","")</f>
        <v/>
      </c>
    </row>
    <row r="1846" spans="1:32" s="351" customFormat="1" ht="15.75" hidden="1" customHeight="1">
      <c r="A1846" s="336" t="str">
        <f>IF(B1846&lt;&gt;"",IF(AND(B1846='IN-TC'!$S$4,OR(TH!N1846="1111",TH!O1846="1111")),TH!D1846,""),"")</f>
        <v/>
      </c>
      <c r="B1846" s="63">
        <f t="shared" si="241"/>
        <v>7</v>
      </c>
      <c r="C1846" s="64">
        <v>42560</v>
      </c>
      <c r="D1846" s="64" t="s">
        <v>875</v>
      </c>
      <c r="E1846" s="64">
        <f t="shared" si="243"/>
        <v>42560</v>
      </c>
      <c r="F1846" s="67" t="s">
        <v>1759</v>
      </c>
      <c r="G1846" s="982" t="s">
        <v>1760</v>
      </c>
      <c r="H1846" s="73" t="s">
        <v>1430</v>
      </c>
      <c r="I1846" s="439"/>
      <c r="J1846" s="439"/>
      <c r="K1846" s="430"/>
      <c r="L1846" s="439"/>
      <c r="M1846" s="65">
        <v>1280000</v>
      </c>
      <c r="N1846" s="66" t="s">
        <v>101</v>
      </c>
      <c r="O1846" s="66" t="s">
        <v>63</v>
      </c>
      <c r="P1846" s="66" t="str">
        <f>IF(AND('331-CT'!$E$7=TH!H1846,OR(N1846="331",O1846="331")),"x","")</f>
        <v/>
      </c>
      <c r="Q1846" s="66" t="str">
        <f>IF(AND(B1846='111'!$L$11,OR($N1846=$Q$7,$O1846=$Q$7)),"x","")</f>
        <v/>
      </c>
      <c r="R1846" s="66" t="str">
        <f>IF(AND($N1846=$Q$7,$B1846&lt;'111'!$L$11),"x","")</f>
        <v/>
      </c>
      <c r="S1846" s="66" t="str">
        <f>IF(AND($O1846=$Q$7,$B1846&lt;'111'!$L$11),"x","")</f>
        <v/>
      </c>
      <c r="T1846" s="66" t="str">
        <f>IF(ISERROR(FIND('112'!$M$9,G1846,1)),"",IF((AND(FIND('112'!$M$9,G1846,1)&gt;=1,B1846='112'!$K$9,OR($N1846='112'!$I$6,$O1846='112'!$I$6))),"x",""))</f>
        <v/>
      </c>
      <c r="U1846" s="66" t="str">
        <f>IF(ISERROR(FIND('112'!$M$9,G1846,1)),"",IF((AND(LEFT(G1846,2)=LEFT('112'!$M$9,2),B1846&lt;'112'!$K$9,$N1846='112'!$I$6)),"x",""))</f>
        <v/>
      </c>
      <c r="V1846" s="66" t="str">
        <f>IF(ISERROR(FIND('112'!$M$9,G1846,1)),"",IF((AND(RIGHT(G1846,2)=RIGHT('112'!$M$9,2),B1846&lt;'112'!$K$9,$O1846='112'!$I$6)),"x",""))</f>
        <v/>
      </c>
      <c r="W1846" s="66" t="str">
        <f>IF(AND('341-CT'!$H$9=H1846,OR(LEFT(N1846,3)=$W$7,LEFT(O1846,3)=$W$7)),"x","")</f>
        <v/>
      </c>
      <c r="X1846" s="66" t="str">
        <f>IF(OR(TH!N1846=TH!$X$7,O1846=TH!$X$7),"x","")</f>
        <v/>
      </c>
      <c r="Y1846" s="66" t="str">
        <f>IF(AND(OR(N1846="131",O1846="131"),H1846='131-CT'!$H$9),"x","")</f>
        <v/>
      </c>
      <c r="Z1846" s="66"/>
      <c r="AA1846" s="66" t="str">
        <f>IF(AND(MONTH(E1846)='IN-NX'!$J$5,'IN-NX'!$D$7=D1846),"x","")</f>
        <v/>
      </c>
      <c r="AB1846" s="66" t="str">
        <f>IF(AND(OR(LEFT(TH!N1846,2)="15",LEFT(TH!O1846,2)="15"),LEFT(TH!O1846,3)&lt;&gt;"111",'152-CT'!$J$8=TH!F1846),"x","")</f>
        <v/>
      </c>
      <c r="AC1846" s="66" t="str">
        <f>IF(AND(OR(LEFT(TH!N1846,2)="15",LEFT(TH!O1846,2)="15"),TK!$E$7=TH!F1846),"x","")</f>
        <v/>
      </c>
      <c r="AD1846" s="66" t="str">
        <f>IF(AND(N1846="1521",MONTH(C1846)='BK-NL'!$M$11),"x","")</f>
        <v/>
      </c>
      <c r="AF1846" s="330">
        <v>7</v>
      </c>
    </row>
    <row r="1847" spans="1:32" s="351" customFormat="1" ht="15.75" hidden="1" customHeight="1">
      <c r="A1847" s="336" t="str">
        <f>IF(B1847&lt;&gt;"",IF(AND(B1847='IN-TC'!$S$4,OR(TH!N1847="1111",TH!O1847="1111")),TH!D1847,""),"")</f>
        <v/>
      </c>
      <c r="B1847" s="63">
        <f t="shared" si="241"/>
        <v>7</v>
      </c>
      <c r="C1847" s="64">
        <v>42560</v>
      </c>
      <c r="D1847" s="64" t="s">
        <v>875</v>
      </c>
      <c r="E1847" s="64">
        <f t="shared" si="243"/>
        <v>42560</v>
      </c>
      <c r="F1847" s="67" t="s">
        <v>1761</v>
      </c>
      <c r="G1847" s="982" t="s">
        <v>1760</v>
      </c>
      <c r="H1847" s="73" t="s">
        <v>1430</v>
      </c>
      <c r="I1847" s="439"/>
      <c r="J1847" s="439"/>
      <c r="K1847" s="430"/>
      <c r="L1847" s="439"/>
      <c r="M1847" s="65">
        <v>64000</v>
      </c>
      <c r="N1847" s="66" t="s">
        <v>9</v>
      </c>
      <c r="O1847" s="66" t="s">
        <v>63</v>
      </c>
      <c r="P1847" s="66" t="str">
        <f>IF(AND('331-CT'!$E$7=TH!H1847,OR(N1847="331",O1847="331")),"x","")</f>
        <v/>
      </c>
      <c r="Q1847" s="66" t="str">
        <f>IF(AND(B1847='111'!$L$11,OR($N1847=$Q$7,$O1847=$Q$7)),"x","")</f>
        <v/>
      </c>
      <c r="R1847" s="66" t="str">
        <f>IF(AND($N1847=$Q$7,$B1847&lt;'111'!$L$11),"x","")</f>
        <v/>
      </c>
      <c r="S1847" s="66" t="str">
        <f>IF(AND($O1847=$Q$7,$B1847&lt;'111'!$L$11),"x","")</f>
        <v/>
      </c>
      <c r="T1847" s="66" t="str">
        <f>IF(ISERROR(FIND('112'!$M$9,G1847,1)),"",IF((AND(FIND('112'!$M$9,G1847,1)&gt;=1,B1847='112'!$K$9,OR($N1847='112'!$I$6,$O1847='112'!$I$6))),"x",""))</f>
        <v/>
      </c>
      <c r="U1847" s="66" t="str">
        <f>IF(ISERROR(FIND('112'!$M$9,G1847,1)),"",IF((AND(LEFT(G1847,2)=LEFT('112'!$M$9,2),B1847&lt;'112'!$K$9,$N1847='112'!$I$6)),"x",""))</f>
        <v/>
      </c>
      <c r="V1847" s="66" t="str">
        <f>IF(ISERROR(FIND('112'!$M$9,G1847,1)),"",IF((AND(RIGHT(G1847,2)=RIGHT('112'!$M$9,2),B1847&lt;'112'!$K$9,$O1847='112'!$I$6)),"x",""))</f>
        <v/>
      </c>
      <c r="W1847" s="66" t="str">
        <f>IF(AND('341-CT'!$H$9=H1847,OR(LEFT(N1847,3)=$W$7,LEFT(O1847,3)=$W$7)),"x","")</f>
        <v/>
      </c>
      <c r="X1847" s="66" t="str">
        <f>IF(OR(TH!N1847=TH!$X$7,O1847=TH!$X$7),"x","")</f>
        <v/>
      </c>
      <c r="Y1847" s="66" t="str">
        <f>IF(AND(OR(N1847="131",O1847="131"),H1847='131-CT'!$H$9),"x","")</f>
        <v/>
      </c>
      <c r="Z1847" s="66"/>
      <c r="AA1847" s="66" t="str">
        <f>IF(AND(MONTH(E1847)='IN-NX'!$J$5,'IN-NX'!$D$7=D1847),"x","")</f>
        <v/>
      </c>
      <c r="AB1847" s="66" t="str">
        <f>IF(AND(OR(LEFT(TH!N1847,2)="15",LEFT(TH!O1847,2)="15"),LEFT(TH!O1847,3)&lt;&gt;"111",'152-CT'!$J$8=TH!F1847),"x","")</f>
        <v/>
      </c>
      <c r="AC1847" s="66" t="str">
        <f>IF(AND(OR(LEFT(TH!N1847,2)="15",LEFT(TH!O1847,2)="15"),TK!$E$7=TH!F1847),"x","")</f>
        <v/>
      </c>
      <c r="AD1847" s="66" t="str">
        <f>IF(AND(N1847="1521",MONTH(C1847)='BK-NL'!$M$11),"x","")</f>
        <v/>
      </c>
      <c r="AF1847" s="330">
        <v>7</v>
      </c>
    </row>
    <row r="1848" spans="1:32" ht="15.75" hidden="1" customHeight="1">
      <c r="A1848" s="336" t="str">
        <f>IF(B1848&lt;&gt;"",IF(AND(B1848='IN-TC'!$S$4,OR(TH!N1848="1111",TH!O1848="1111")),TH!D1848,""),"")</f>
        <v/>
      </c>
      <c r="B1848" s="63">
        <f t="shared" si="241"/>
        <v>7</v>
      </c>
      <c r="C1848" s="64">
        <v>42561</v>
      </c>
      <c r="D1848" s="64" t="s">
        <v>876</v>
      </c>
      <c r="E1848" s="64">
        <f t="shared" si="243"/>
        <v>42561</v>
      </c>
      <c r="F1848" s="67" t="s">
        <v>1114</v>
      </c>
      <c r="G1848" s="982" t="s">
        <v>1726</v>
      </c>
      <c r="H1848" s="73" t="s">
        <v>808</v>
      </c>
      <c r="I1848" s="439"/>
      <c r="J1848" s="439"/>
      <c r="K1848" s="430"/>
      <c r="L1848" s="439"/>
      <c r="M1848" s="65">
        <v>757273</v>
      </c>
      <c r="N1848" s="66" t="s">
        <v>101</v>
      </c>
      <c r="O1848" s="66" t="s">
        <v>63</v>
      </c>
      <c r="P1848" s="84" t="str">
        <f>IF(AND('331-CT'!$E$7=TH!H1848,OR(N1848="331",O1848="331")),"x","")</f>
        <v/>
      </c>
      <c r="Q1848" s="84" t="str">
        <f>IF(AND(B1848='111'!$L$11,OR($N1848=$Q$7,$O1848=$Q$7)),"x","")</f>
        <v/>
      </c>
      <c r="R1848" s="84" t="str">
        <f>IF(AND($N1848=$Q$7,$B1848&lt;'111'!$L$11),"x","")</f>
        <v/>
      </c>
      <c r="S1848" s="84" t="str">
        <f>IF(AND($O1848=$Q$7,$B1848&lt;'111'!$L$11),"x","")</f>
        <v/>
      </c>
      <c r="T1848" s="84" t="str">
        <f>IF(ISERROR(FIND('112'!$M$9,G1848,1)),"",IF((AND(FIND('112'!$M$9,G1848,1)&gt;=1,B1848='112'!$K$9,OR($N1848='112'!$I$6,$O1848='112'!$I$6))),"x",""))</f>
        <v/>
      </c>
      <c r="U1848" s="84" t="str">
        <f>IF(ISERROR(FIND('112'!$M$9,G1848,1)),"",IF((AND(LEFT(G1848,2)=LEFT('112'!$M$9,2),B1848&lt;'112'!$K$9,$N1848='112'!$I$6)),"x",""))</f>
        <v/>
      </c>
      <c r="V1848" s="84" t="str">
        <f>IF(ISERROR(FIND('112'!$M$9,G1848,1)),"",IF((AND(RIGHT(G1848,2)=RIGHT('112'!$M$9,2),B1848&lt;'112'!$K$9,$O1848='112'!$I$6)),"x",""))</f>
        <v/>
      </c>
      <c r="W1848" s="84" t="str">
        <f>IF(AND('341-CT'!$H$9=H1848,OR(LEFT(N1848,3)=$W$7,LEFT(O1848,3)=$W$7)),"x","")</f>
        <v/>
      </c>
      <c r="X1848" s="84" t="str">
        <f>IF(OR(TH!N1848=TH!$X$7,O1848=TH!$X$7),"x","")</f>
        <v/>
      </c>
      <c r="Y1848" s="84" t="str">
        <f>IF(AND(OR(N1848="131",O1848="131"),H1848='131-CT'!$H$9),"x","")</f>
        <v/>
      </c>
      <c r="Z1848" s="84"/>
      <c r="AA1848" s="84" t="str">
        <f>IF(AND(MONTH(E1848)='IN-NX'!$J$5,'IN-NX'!$D$7=D1848),"x","")</f>
        <v/>
      </c>
      <c r="AB1848" s="84" t="str">
        <f>IF(AND(OR(LEFT(TH!N1848,2)="15",LEFT(TH!O1848,2)="15"),LEFT(TH!O1848,3)&lt;&gt;"111",'152-CT'!$J$8=TH!F1848),"x","")</f>
        <v/>
      </c>
      <c r="AC1848" s="84" t="str">
        <f>IF(AND(OR(LEFT(TH!N1848,2)="15",LEFT(TH!O1848,2)="15"),TK!$E$7=TH!F1848),"x","")</f>
        <v/>
      </c>
      <c r="AD1848" s="84" t="str">
        <f>IF(AND(N1848="1521",MONTH(C1848)='BK-NL'!$M$11),"x","")</f>
        <v/>
      </c>
      <c r="AF1848" s="330">
        <v>7</v>
      </c>
    </row>
    <row r="1849" spans="1:32" ht="15.75" hidden="1" customHeight="1">
      <c r="A1849" s="336" t="str">
        <f>IF(B1849&lt;&gt;"",IF(AND(B1849='IN-TC'!$S$4,OR(TH!N1849="1111",TH!O1849="1111")),TH!D1849,""),"")</f>
        <v/>
      </c>
      <c r="B1849" s="63">
        <f t="shared" si="241"/>
        <v>7</v>
      </c>
      <c r="C1849" s="64">
        <v>42561</v>
      </c>
      <c r="D1849" s="64" t="s">
        <v>876</v>
      </c>
      <c r="E1849" s="64">
        <f t="shared" si="243"/>
        <v>42561</v>
      </c>
      <c r="F1849" s="67" t="s">
        <v>1344</v>
      </c>
      <c r="G1849" s="982" t="s">
        <v>1726</v>
      </c>
      <c r="H1849" s="73" t="s">
        <v>808</v>
      </c>
      <c r="I1849" s="439"/>
      <c r="J1849" s="439"/>
      <c r="K1849" s="430"/>
      <c r="L1849" s="439"/>
      <c r="M1849" s="65">
        <v>75727</v>
      </c>
      <c r="N1849" s="66" t="s">
        <v>9</v>
      </c>
      <c r="O1849" s="66" t="s">
        <v>63</v>
      </c>
      <c r="P1849" s="84" t="str">
        <f>IF(AND('331-CT'!$E$7=TH!H1849,OR(N1849="331",O1849="331")),"x","")</f>
        <v/>
      </c>
      <c r="Q1849" s="84" t="str">
        <f>IF(AND(B1849='111'!$L$11,OR($N1849=$Q$7,$O1849=$Q$7)),"x","")</f>
        <v/>
      </c>
      <c r="R1849" s="84" t="str">
        <f>IF(AND($N1849=$Q$7,$B1849&lt;'111'!$L$11),"x","")</f>
        <v/>
      </c>
      <c r="S1849" s="84" t="str">
        <f>IF(AND($O1849=$Q$7,$B1849&lt;'111'!$L$11),"x","")</f>
        <v/>
      </c>
      <c r="T1849" s="84" t="str">
        <f>IF(ISERROR(FIND('112'!$M$9,G1849,1)),"",IF((AND(FIND('112'!$M$9,G1849,1)&gt;=1,B1849='112'!$K$9,OR($N1849='112'!$I$6,$O1849='112'!$I$6))),"x",""))</f>
        <v/>
      </c>
      <c r="U1849" s="84" t="str">
        <f>IF(ISERROR(FIND('112'!$M$9,G1849,1)),"",IF((AND(LEFT(G1849,2)=LEFT('112'!$M$9,2),B1849&lt;'112'!$K$9,$N1849='112'!$I$6)),"x",""))</f>
        <v/>
      </c>
      <c r="V1849" s="84" t="str">
        <f>IF(ISERROR(FIND('112'!$M$9,G1849,1)),"",IF((AND(RIGHT(G1849,2)=RIGHT('112'!$M$9,2),B1849&lt;'112'!$K$9,$O1849='112'!$I$6)),"x",""))</f>
        <v/>
      </c>
      <c r="W1849" s="84" t="str">
        <f>IF(AND('341-CT'!$H$9=H1849,OR(LEFT(N1849,3)=$W$7,LEFT(O1849,3)=$W$7)),"x","")</f>
        <v/>
      </c>
      <c r="X1849" s="84" t="str">
        <f>IF(OR(TH!N1849=TH!$X$7,O1849=TH!$X$7),"x","")</f>
        <v/>
      </c>
      <c r="Y1849" s="84" t="str">
        <f>IF(AND(OR(N1849="131",O1849="131"),H1849='131-CT'!$H$9),"x","")</f>
        <v/>
      </c>
      <c r="Z1849" s="84"/>
      <c r="AA1849" s="84" t="str">
        <f>IF(AND(MONTH(E1849)='IN-NX'!$J$5,'IN-NX'!$D$7=D1849),"x","")</f>
        <v/>
      </c>
      <c r="AB1849" s="84" t="str">
        <f>IF(AND(OR(LEFT(TH!N1849,2)="15",LEFT(TH!O1849,2)="15"),LEFT(TH!O1849,3)&lt;&gt;"111",'152-CT'!$J$8=TH!F1849),"x","")</f>
        <v/>
      </c>
      <c r="AC1849" s="84" t="str">
        <f>IF(AND(OR(LEFT(TH!N1849,2)="15",LEFT(TH!O1849,2)="15"),TK!$E$7=TH!F1849),"x","")</f>
        <v/>
      </c>
      <c r="AD1849" s="84" t="str">
        <f>IF(AND(N1849="1521",MONTH(C1849)='BK-NL'!$M$11),"x","")</f>
        <v/>
      </c>
      <c r="AF1849" s="330">
        <v>7</v>
      </c>
    </row>
    <row r="1850" spans="1:32" ht="15.75" hidden="1" customHeight="1">
      <c r="A1850" s="336" t="str">
        <f>IF(B1850&lt;&gt;"",IF(AND(B1850='IN-TC'!$S$4,OR(TH!N1850="1111",TH!O1850="1111")),TH!D1850,""),"")</f>
        <v/>
      </c>
      <c r="B1850" s="63">
        <f t="shared" si="241"/>
        <v>7</v>
      </c>
      <c r="C1850" s="64">
        <v>42562</v>
      </c>
      <c r="D1850" s="64" t="s">
        <v>909</v>
      </c>
      <c r="E1850" s="64">
        <f t="shared" si="243"/>
        <v>42562</v>
      </c>
      <c r="F1850" s="67" t="s">
        <v>1146</v>
      </c>
      <c r="G1850" s="67" t="s">
        <v>918</v>
      </c>
      <c r="H1850" s="73" t="s">
        <v>763</v>
      </c>
      <c r="I1850" s="439"/>
      <c r="J1850" s="439"/>
      <c r="K1850" s="430"/>
      <c r="L1850" s="439"/>
      <c r="M1850" s="65">
        <v>880000000</v>
      </c>
      <c r="N1850" s="66" t="s">
        <v>63</v>
      </c>
      <c r="O1850" s="66" t="s">
        <v>26</v>
      </c>
      <c r="P1850" s="84" t="str">
        <f>IF(AND('331-CT'!$E$7=TH!H1850,OR(N1850="331",O1850="331")),"x","")</f>
        <v/>
      </c>
      <c r="Q1850" s="84" t="str">
        <f>IF(AND(B1850='111'!$L$11,OR($N1850=$Q$7,$O1850=$Q$7)),"x","")</f>
        <v/>
      </c>
      <c r="R1850" s="84" t="str">
        <f>IF(AND($N1850=$Q$7,$B1850&lt;'111'!$L$11),"x","")</f>
        <v/>
      </c>
      <c r="S1850" s="84" t="str">
        <f>IF(AND($O1850=$Q$7,$B1850&lt;'111'!$L$11),"x","")</f>
        <v/>
      </c>
      <c r="T1850" s="84" t="str">
        <f>IF(ISERROR(FIND('112'!$M$9,G1850,1)),"",IF((AND(FIND('112'!$M$9,G1850,1)&gt;=1,B1850='112'!$K$9,OR($N1850='112'!$I$6,$O1850='112'!$I$6))),"x",""))</f>
        <v/>
      </c>
      <c r="U1850" s="84" t="str">
        <f>IF(ISERROR(FIND('112'!$M$9,G1850,1)),"",IF((AND(LEFT(G1850,2)=LEFT('112'!$M$9,2),B1850&lt;'112'!$K$9,$N1850='112'!$I$6)),"x",""))</f>
        <v/>
      </c>
      <c r="V1850" s="84" t="str">
        <f>IF(ISERROR(FIND('112'!$M$9,G1850,1)),"",IF((AND(RIGHT(G1850,2)=RIGHT('112'!$M$9,2),B1850&lt;'112'!$K$9,$O1850='112'!$I$6)),"x",""))</f>
        <v/>
      </c>
      <c r="W1850" s="84" t="str">
        <f>IF(AND('341-CT'!$H$9=H1850,OR(LEFT(N1850,3)=$W$7,LEFT(O1850,3)=$W$7)),"x","")</f>
        <v/>
      </c>
      <c r="X1850" s="84" t="str">
        <f>IF(OR(TH!N1850=TH!$X$7,O1850=TH!$X$7),"x","")</f>
        <v/>
      </c>
      <c r="Y1850" s="84" t="str">
        <f>IF(AND(OR(N1850="131",O1850="131"),H1850='131-CT'!$H$9),"x","")</f>
        <v/>
      </c>
      <c r="Z1850" s="84"/>
      <c r="AA1850" s="84" t="str">
        <f>IF(AND(MONTH(E1850)='IN-NX'!$J$5,'IN-NX'!$D$7=D1850),"x","")</f>
        <v/>
      </c>
      <c r="AB1850" s="84" t="str">
        <f>IF(AND(OR(LEFT(TH!N1850,2)="15",LEFT(TH!O1850,2)="15"),LEFT(TH!O1850,3)&lt;&gt;"111",'152-CT'!$J$8=TH!F1850),"x","")</f>
        <v/>
      </c>
      <c r="AC1850" s="84" t="str">
        <f>IF(AND(OR(LEFT(TH!N1850,2)="15",LEFT(TH!O1850,2)="15"),TK!$E$7=TH!F1850),"x","")</f>
        <v/>
      </c>
      <c r="AD1850" s="84" t="str">
        <f>IF(AND(N1850="1521",MONTH(C1850)='BK-NL'!$M$11),"x","")</f>
        <v/>
      </c>
    </row>
    <row r="1851" spans="1:32" ht="15.75" hidden="1" customHeight="1">
      <c r="A1851" s="336" t="str">
        <f>IF(B1851&lt;&gt;"",IF(AND(B1851='IN-TC'!$S$4,OR(TH!N1851="1111",TH!O1851="1111")),TH!D1851,""),"")</f>
        <v/>
      </c>
      <c r="B1851" s="63">
        <f t="shared" si="241"/>
        <v>7</v>
      </c>
      <c r="C1851" s="64">
        <v>42562</v>
      </c>
      <c r="D1851" s="64" t="s">
        <v>877</v>
      </c>
      <c r="E1851" s="64">
        <f t="shared" si="243"/>
        <v>42562</v>
      </c>
      <c r="F1851" s="67" t="s">
        <v>1729</v>
      </c>
      <c r="G1851" s="982" t="s">
        <v>1727</v>
      </c>
      <c r="H1851" s="73" t="s">
        <v>1728</v>
      </c>
      <c r="I1851" s="439"/>
      <c r="J1851" s="439"/>
      <c r="K1851" s="430"/>
      <c r="L1851" s="439"/>
      <c r="M1851" s="65">
        <v>344545</v>
      </c>
      <c r="N1851" s="66" t="s">
        <v>101</v>
      </c>
      <c r="O1851" s="66" t="s">
        <v>63</v>
      </c>
      <c r="P1851" s="84" t="str">
        <f>IF(AND('331-CT'!$E$7=TH!H1851,OR(N1851="331",O1851="331")),"x","")</f>
        <v/>
      </c>
      <c r="Q1851" s="84" t="str">
        <f>IF(AND(B1851='111'!$L$11,OR($N1851=$Q$7,$O1851=$Q$7)),"x","")</f>
        <v/>
      </c>
      <c r="R1851" s="84" t="str">
        <f>IF(AND($N1851=$Q$7,$B1851&lt;'111'!$L$11),"x","")</f>
        <v/>
      </c>
      <c r="S1851" s="84" t="str">
        <f>IF(AND($O1851=$Q$7,$B1851&lt;'111'!$L$11),"x","")</f>
        <v/>
      </c>
      <c r="T1851" s="84" t="str">
        <f>IF(ISERROR(FIND('112'!$M$9,G1851,1)),"",IF((AND(FIND('112'!$M$9,G1851,1)&gt;=1,B1851='112'!$K$9,OR($N1851='112'!$I$6,$O1851='112'!$I$6))),"x",""))</f>
        <v/>
      </c>
      <c r="U1851" s="84" t="str">
        <f>IF(ISERROR(FIND('112'!$M$9,G1851,1)),"",IF((AND(LEFT(G1851,2)=LEFT('112'!$M$9,2),B1851&lt;'112'!$K$9,$N1851='112'!$I$6)),"x",""))</f>
        <v/>
      </c>
      <c r="V1851" s="84" t="str">
        <f>IF(ISERROR(FIND('112'!$M$9,G1851,1)),"",IF((AND(RIGHT(G1851,2)=RIGHT('112'!$M$9,2),B1851&lt;'112'!$K$9,$O1851='112'!$I$6)),"x",""))</f>
        <v/>
      </c>
      <c r="W1851" s="84" t="str">
        <f>IF(AND('341-CT'!$H$9=H1851,OR(LEFT(N1851,3)=$W$7,LEFT(O1851,3)=$W$7)),"x","")</f>
        <v/>
      </c>
      <c r="X1851" s="84" t="str">
        <f>IF(OR(TH!N1851=TH!$X$7,O1851=TH!$X$7),"x","")</f>
        <v/>
      </c>
      <c r="Y1851" s="84" t="str">
        <f>IF(AND(OR(N1851="131",O1851="131"),H1851='131-CT'!$H$9),"x","")</f>
        <v/>
      </c>
      <c r="Z1851" s="84"/>
      <c r="AA1851" s="84" t="str">
        <f>IF(AND(MONTH(E1851)='IN-NX'!$J$5,'IN-NX'!$D$7=D1851),"x","")</f>
        <v/>
      </c>
      <c r="AB1851" s="84" t="str">
        <f>IF(AND(OR(LEFT(TH!N1851,2)="15",LEFT(TH!O1851,2)="15"),LEFT(TH!O1851,3)&lt;&gt;"111",'152-CT'!$J$8=TH!F1851),"x","")</f>
        <v/>
      </c>
      <c r="AC1851" s="84" t="str">
        <f>IF(AND(OR(LEFT(TH!N1851,2)="15",LEFT(TH!O1851,2)="15"),TK!$E$7=TH!F1851),"x","")</f>
        <v/>
      </c>
      <c r="AD1851" s="84" t="str">
        <f>IF(AND(N1851="1521",MONTH(C1851)='BK-NL'!$M$11),"x","")</f>
        <v/>
      </c>
      <c r="AF1851" s="330">
        <v>7</v>
      </c>
    </row>
    <row r="1852" spans="1:32" ht="15.75" hidden="1" customHeight="1">
      <c r="A1852" s="336" t="str">
        <f>IF(B1852&lt;&gt;"",IF(AND(B1852='IN-TC'!$S$4,OR(TH!N1852="1111",TH!O1852="1111")),TH!D1852,""),"")</f>
        <v/>
      </c>
      <c r="B1852" s="63">
        <f t="shared" si="241"/>
        <v>7</v>
      </c>
      <c r="C1852" s="64">
        <v>42562</v>
      </c>
      <c r="D1852" s="64" t="s">
        <v>877</v>
      </c>
      <c r="E1852" s="64">
        <f t="shared" si="243"/>
        <v>42562</v>
      </c>
      <c r="F1852" s="67" t="s">
        <v>1730</v>
      </c>
      <c r="G1852" s="982" t="s">
        <v>1727</v>
      </c>
      <c r="H1852" s="73" t="s">
        <v>1728</v>
      </c>
      <c r="I1852" s="439"/>
      <c r="J1852" s="439"/>
      <c r="K1852" s="430"/>
      <c r="L1852" s="439"/>
      <c r="M1852" s="65">
        <v>34455</v>
      </c>
      <c r="N1852" s="66" t="s">
        <v>9</v>
      </c>
      <c r="O1852" s="66" t="s">
        <v>63</v>
      </c>
      <c r="P1852" s="84" t="str">
        <f>IF(AND('331-CT'!$E$7=TH!H1852,OR(N1852="331",O1852="331")),"x","")</f>
        <v/>
      </c>
      <c r="Q1852" s="84" t="str">
        <f>IF(AND(B1852='111'!$L$11,OR($N1852=$Q$7,$O1852=$Q$7)),"x","")</f>
        <v/>
      </c>
      <c r="R1852" s="84" t="str">
        <f>IF(AND($N1852=$Q$7,$B1852&lt;'111'!$L$11),"x","")</f>
        <v/>
      </c>
      <c r="S1852" s="84" t="str">
        <f>IF(AND($O1852=$Q$7,$B1852&lt;'111'!$L$11),"x","")</f>
        <v/>
      </c>
      <c r="T1852" s="84" t="str">
        <f>IF(ISERROR(FIND('112'!$M$9,G1852,1)),"",IF((AND(FIND('112'!$M$9,G1852,1)&gt;=1,B1852='112'!$K$9,OR($N1852='112'!$I$6,$O1852='112'!$I$6))),"x",""))</f>
        <v/>
      </c>
      <c r="U1852" s="84" t="str">
        <f>IF(ISERROR(FIND('112'!$M$9,G1852,1)),"",IF((AND(LEFT(G1852,2)=LEFT('112'!$M$9,2),B1852&lt;'112'!$K$9,$N1852='112'!$I$6)),"x",""))</f>
        <v/>
      </c>
      <c r="V1852" s="84" t="str">
        <f>IF(ISERROR(FIND('112'!$M$9,G1852,1)),"",IF((AND(RIGHT(G1852,2)=RIGHT('112'!$M$9,2),B1852&lt;'112'!$K$9,$O1852='112'!$I$6)),"x",""))</f>
        <v/>
      </c>
      <c r="W1852" s="84" t="str">
        <f>IF(AND('341-CT'!$H$9=H1852,OR(LEFT(N1852,3)=$W$7,LEFT(O1852,3)=$W$7)),"x","")</f>
        <v/>
      </c>
      <c r="X1852" s="84" t="str">
        <f>IF(OR(TH!N1852=TH!$X$7,O1852=TH!$X$7),"x","")</f>
        <v/>
      </c>
      <c r="Y1852" s="84" t="str">
        <f>IF(AND(OR(N1852="131",O1852="131"),H1852='131-CT'!$H$9),"x","")</f>
        <v/>
      </c>
      <c r="Z1852" s="84"/>
      <c r="AA1852" s="84" t="str">
        <f>IF(AND(MONTH(E1852)='IN-NX'!$J$5,'IN-NX'!$D$7=D1852),"x","")</f>
        <v/>
      </c>
      <c r="AB1852" s="84" t="str">
        <f>IF(AND(OR(LEFT(TH!N1852,2)="15",LEFT(TH!O1852,2)="15"),LEFT(TH!O1852,3)&lt;&gt;"111",'152-CT'!$J$8=TH!F1852),"x","")</f>
        <v/>
      </c>
      <c r="AC1852" s="84" t="str">
        <f>IF(AND(OR(LEFT(TH!N1852,2)="15",LEFT(TH!O1852,2)="15"),TK!$E$7=TH!F1852),"x","")</f>
        <v/>
      </c>
      <c r="AD1852" s="84" t="str">
        <f>IF(AND(N1852="1521",MONTH(C1852)='BK-NL'!$M$11),"x","")</f>
        <v/>
      </c>
      <c r="AF1852" s="330">
        <v>7</v>
      </c>
    </row>
    <row r="1853" spans="1:32" ht="15.75" hidden="1" customHeight="1">
      <c r="A1853" s="336" t="str">
        <f>IF(B1853&lt;&gt;"",IF(AND(B1853='IN-TC'!$S$4,OR(TH!N1853="1111",TH!O1853="1111")),TH!D1853,""),"")</f>
        <v/>
      </c>
      <c r="B1853" s="1144">
        <f t="shared" ref="B1853:B1908" si="244">IF(C1853&lt;&gt;"",MONTH(C1853),"")</f>
        <v>7</v>
      </c>
      <c r="C1853" s="94">
        <v>42563</v>
      </c>
      <c r="D1853" s="94" t="s">
        <v>878</v>
      </c>
      <c r="E1853" s="94">
        <f t="shared" si="243"/>
        <v>42563</v>
      </c>
      <c r="F1853" s="95" t="s">
        <v>1107</v>
      </c>
      <c r="G1853" s="1148" t="s">
        <v>919</v>
      </c>
      <c r="H1853" s="96" t="s">
        <v>1779</v>
      </c>
      <c r="I1853" s="445"/>
      <c r="J1853" s="445"/>
      <c r="K1853" s="436"/>
      <c r="L1853" s="445"/>
      <c r="M1853" s="97">
        <v>11853000</v>
      </c>
      <c r="N1853" s="66" t="s">
        <v>26</v>
      </c>
      <c r="O1853" s="66" t="s">
        <v>63</v>
      </c>
      <c r="P1853" s="84" t="str">
        <f>IF(AND('331-CT'!$E$7=TH!H1853,OR(N1853="331",O1853="331")),"x","")</f>
        <v/>
      </c>
      <c r="Q1853" s="84" t="str">
        <f>IF(AND(B1853='111'!$L$11,OR($N1853=$Q$7,$O1853=$Q$7)),"x","")</f>
        <v/>
      </c>
      <c r="R1853" s="84" t="str">
        <f>IF(AND($N1853=$Q$7,$B1853&lt;'111'!$L$11),"x","")</f>
        <v/>
      </c>
      <c r="S1853" s="84" t="str">
        <f>IF(AND($O1853=$Q$7,$B1853&lt;'111'!$L$11),"x","")</f>
        <v/>
      </c>
      <c r="T1853" s="84" t="str">
        <f>IF(ISERROR(FIND('112'!$M$9,G1853,1)),"",IF((AND(FIND('112'!$M$9,G1853,1)&gt;=1,B1853='112'!$K$9,OR($N1853='112'!$I$6,$O1853='112'!$I$6))),"x",""))</f>
        <v/>
      </c>
      <c r="U1853" s="84" t="str">
        <f>IF(ISERROR(FIND('112'!$M$9,G1853,1)),"",IF((AND(LEFT(G1853,2)=LEFT('112'!$M$9,2),B1853&lt;'112'!$K$9,$N1853='112'!$I$6)),"x",""))</f>
        <v/>
      </c>
      <c r="V1853" s="84" t="str">
        <f>IF(ISERROR(FIND('112'!$M$9,G1853,1)),"",IF((AND(RIGHT(G1853,2)=RIGHT('112'!$M$9,2),B1853&lt;'112'!$K$9,$O1853='112'!$I$6)),"x",""))</f>
        <v/>
      </c>
      <c r="W1853" s="84" t="str">
        <f>IF(AND('341-CT'!$H$9=H1853,OR(LEFT(N1853,3)=$W$7,LEFT(O1853,3)=$W$7)),"x","")</f>
        <v/>
      </c>
      <c r="X1853" s="84" t="str">
        <f>IF(OR(TH!N1853=TH!$X$7,O1853=TH!$X$7),"x","")</f>
        <v/>
      </c>
      <c r="Y1853" s="84" t="str">
        <f>IF(AND(OR(N1853="131",O1853="131"),H1853='131-CT'!$H$9),"x","")</f>
        <v/>
      </c>
      <c r="Z1853" s="84"/>
      <c r="AA1853" s="84" t="str">
        <f>IF(AND(MONTH(E1853)='IN-NX'!$J$5,'IN-NX'!$D$7=D1853),"x","")</f>
        <v/>
      </c>
      <c r="AB1853" s="84" t="str">
        <f>IF(AND(OR(LEFT(TH!N1853,2)="15",LEFT(TH!O1853,2)="15"),LEFT(TH!O1853,3)&lt;&gt;"111",'152-CT'!$J$8=TH!F1853),"x","")</f>
        <v/>
      </c>
      <c r="AC1853" s="84" t="str">
        <f>IF(AND(OR(LEFT(TH!N1853,2)="15",LEFT(TH!O1853,2)="15"),TK!$E$7=TH!F1853),"x","")</f>
        <v/>
      </c>
      <c r="AD1853" s="84" t="str">
        <f>IF(AND(N1853="1521",MONTH(C1853)='BK-NL'!$M$11),"x","")</f>
        <v/>
      </c>
      <c r="AE1853" s="350"/>
      <c r="AF1853" s="350"/>
    </row>
    <row r="1854" spans="1:32" s="1167" customFormat="1" ht="15.75" hidden="1" customHeight="1">
      <c r="A1854" s="336" t="str">
        <f>IF(B1854&lt;&gt;"",IF(AND(B1854='IN-TC'!$S$4,OR(TH!N1854="1111",TH!O1854="1111")),TH!D1854,""),"")</f>
        <v/>
      </c>
      <c r="B1854" s="63">
        <f t="shared" si="244"/>
        <v>7</v>
      </c>
      <c r="C1854" s="64">
        <v>42564</v>
      </c>
      <c r="D1854" s="64" t="s">
        <v>879</v>
      </c>
      <c r="E1854" s="64">
        <f t="shared" si="243"/>
        <v>42564</v>
      </c>
      <c r="F1854" s="67" t="s">
        <v>1015</v>
      </c>
      <c r="G1854" s="982" t="s">
        <v>1731</v>
      </c>
      <c r="H1854" s="73" t="s">
        <v>808</v>
      </c>
      <c r="I1854" s="439"/>
      <c r="J1854" s="439"/>
      <c r="K1854" s="430"/>
      <c r="L1854" s="439"/>
      <c r="M1854" s="65">
        <v>1098409</v>
      </c>
      <c r="N1854" s="66" t="s">
        <v>101</v>
      </c>
      <c r="O1854" s="66" t="s">
        <v>63</v>
      </c>
      <c r="P1854" s="84" t="str">
        <f>IF(AND('331-CT'!$E$7=TH!H1854,OR(N1854="331",O1854="331")),"x","")</f>
        <v/>
      </c>
      <c r="Q1854" s="84" t="str">
        <f>IF(AND(B1854='111'!$L$11,OR($N1854=$Q$7,$O1854=$Q$7)),"x","")</f>
        <v/>
      </c>
      <c r="R1854" s="84" t="str">
        <f>IF(AND($N1854=$Q$7,$B1854&lt;'111'!$L$11),"x","")</f>
        <v/>
      </c>
      <c r="S1854" s="84" t="str">
        <f>IF(AND($O1854=$Q$7,$B1854&lt;'111'!$L$11),"x","")</f>
        <v/>
      </c>
      <c r="T1854" s="84" t="str">
        <f>IF(ISERROR(FIND('112'!$M$9,G1854,1)),"",IF((AND(FIND('112'!$M$9,G1854,1)&gt;=1,B1854='112'!$K$9,OR($N1854='112'!$I$6,$O1854='112'!$I$6))),"x",""))</f>
        <v/>
      </c>
      <c r="U1854" s="84" t="str">
        <f>IF(ISERROR(FIND('112'!$M$9,G1854,1)),"",IF((AND(LEFT(G1854,2)=LEFT('112'!$M$9,2),B1854&lt;'112'!$K$9,$N1854='112'!$I$6)),"x",""))</f>
        <v/>
      </c>
      <c r="V1854" s="84" t="str">
        <f>IF(ISERROR(FIND('112'!$M$9,G1854,1)),"",IF((AND(RIGHT(G1854,2)=RIGHT('112'!$M$9,2),B1854&lt;'112'!$K$9,$O1854='112'!$I$6)),"x",""))</f>
        <v/>
      </c>
      <c r="W1854" s="84" t="str">
        <f>IF(AND('341-CT'!$H$9=H1854,OR(LEFT(N1854,3)=$W$7,LEFT(O1854,3)=$W$7)),"x","")</f>
        <v/>
      </c>
      <c r="X1854" s="84" t="str">
        <f>IF(OR(TH!N1854=TH!$X$7,O1854=TH!$X$7),"x","")</f>
        <v/>
      </c>
      <c r="Y1854" s="84" t="str">
        <f>IF(AND(OR(N1854="131",O1854="131"),H1854='131-CT'!$H$9),"x","")</f>
        <v/>
      </c>
      <c r="Z1854" s="84"/>
      <c r="AA1854" s="84" t="str">
        <f>IF(AND(MONTH(E1854)='IN-NX'!$J$5,'IN-NX'!$D$7=D1854),"x","")</f>
        <v/>
      </c>
      <c r="AB1854" s="84" t="str">
        <f>IF(AND(OR(LEFT(TH!N1854,2)="15",LEFT(TH!O1854,2)="15"),LEFT(TH!O1854,3)&lt;&gt;"111",'152-CT'!$J$8=TH!F1854),"x","")</f>
        <v/>
      </c>
      <c r="AC1854" s="84" t="str">
        <f>IF(AND(OR(LEFT(TH!N1854,2)="15",LEFT(TH!O1854,2)="15"),TK!$E$7=TH!F1854),"x","")</f>
        <v/>
      </c>
      <c r="AD1854" s="84" t="str">
        <f>IF(AND(N1854="1521",MONTH(C1854)='BK-NL'!$M$11),"x","")</f>
        <v/>
      </c>
      <c r="AE1854" s="330"/>
      <c r="AF1854" s="330">
        <v>7</v>
      </c>
    </row>
    <row r="1855" spans="1:32" s="350" customFormat="1" ht="15.75" hidden="1" customHeight="1">
      <c r="A1855" s="336" t="str">
        <f>IF(B1855&lt;&gt;"",IF(AND(B1855='IN-TC'!$S$4,OR(TH!N1855="1111",TH!O1855="1111")),TH!D1855,""),"")</f>
        <v/>
      </c>
      <c r="B1855" s="63">
        <f t="shared" si="244"/>
        <v>7</v>
      </c>
      <c r="C1855" s="64">
        <v>42564</v>
      </c>
      <c r="D1855" s="64" t="s">
        <v>879</v>
      </c>
      <c r="E1855" s="64">
        <f t="shared" si="243"/>
        <v>42564</v>
      </c>
      <c r="F1855" s="67" t="s">
        <v>1016</v>
      </c>
      <c r="G1855" s="982" t="s">
        <v>1731</v>
      </c>
      <c r="H1855" s="73" t="s">
        <v>808</v>
      </c>
      <c r="I1855" s="439"/>
      <c r="J1855" s="439"/>
      <c r="K1855" s="430"/>
      <c r="L1855" s="439"/>
      <c r="M1855" s="1157">
        <v>109841</v>
      </c>
      <c r="N1855" s="66" t="s">
        <v>9</v>
      </c>
      <c r="O1855" s="66" t="s">
        <v>63</v>
      </c>
      <c r="P1855" s="84" t="str">
        <f>IF(AND('331-CT'!$E$7=TH!H1855,OR(N1855="331",O1855="331")),"x","")</f>
        <v/>
      </c>
      <c r="Q1855" s="84" t="str">
        <f>IF(AND(B1855='111'!$L$11,OR($N1855=$Q$7,$O1855=$Q$7)),"x","")</f>
        <v/>
      </c>
      <c r="R1855" s="84" t="str">
        <f>IF(AND($N1855=$Q$7,$B1855&lt;'111'!$L$11),"x","")</f>
        <v/>
      </c>
      <c r="S1855" s="84" t="str">
        <f>IF(AND($O1855=$Q$7,$B1855&lt;'111'!$L$11),"x","")</f>
        <v/>
      </c>
      <c r="T1855" s="84" t="str">
        <f>IF(ISERROR(FIND('112'!$M$9,G1855,1)),"",IF((AND(FIND('112'!$M$9,G1855,1)&gt;=1,B1855='112'!$K$9,OR($N1855='112'!$I$6,$O1855='112'!$I$6))),"x",""))</f>
        <v/>
      </c>
      <c r="U1855" s="84" t="str">
        <f>IF(ISERROR(FIND('112'!$M$9,G1855,1)),"",IF((AND(LEFT(G1855,2)=LEFT('112'!$M$9,2),B1855&lt;'112'!$K$9,$N1855='112'!$I$6)),"x",""))</f>
        <v/>
      </c>
      <c r="V1855" s="84" t="str">
        <f>IF(ISERROR(FIND('112'!$M$9,G1855,1)),"",IF((AND(RIGHT(G1855,2)=RIGHT('112'!$M$9,2),B1855&lt;'112'!$K$9,$O1855='112'!$I$6)),"x",""))</f>
        <v/>
      </c>
      <c r="W1855" s="84" t="str">
        <f>IF(AND('341-CT'!$H$9=H1855,OR(LEFT(N1855,3)=$W$7,LEFT(O1855,3)=$W$7)),"x","")</f>
        <v/>
      </c>
      <c r="X1855" s="84" t="str">
        <f>IF(OR(TH!N1855=TH!$X$7,O1855=TH!$X$7),"x","")</f>
        <v/>
      </c>
      <c r="Y1855" s="84" t="str">
        <f>IF(AND(OR(N1855="131",O1855="131"),H1855='131-CT'!$H$9),"x","")</f>
        <v/>
      </c>
      <c r="Z1855" s="84"/>
      <c r="AA1855" s="84" t="str">
        <f>IF(AND(MONTH(E1855)='IN-NX'!$J$5,'IN-NX'!$D$7=D1855),"x","")</f>
        <v/>
      </c>
      <c r="AB1855" s="84" t="str">
        <f>IF(AND(OR(LEFT(TH!N1855,2)="15",LEFT(TH!O1855,2)="15"),LEFT(TH!O1855,3)&lt;&gt;"111",'152-CT'!$J$8=TH!F1855),"x","")</f>
        <v/>
      </c>
      <c r="AC1855" s="84" t="str">
        <f>IF(AND(OR(LEFT(TH!N1855,2)="15",LEFT(TH!O1855,2)="15"),TK!$E$7=TH!F1855),"x","")</f>
        <v/>
      </c>
      <c r="AD1855" s="84" t="str">
        <f>IF(AND(N1855="1521",MONTH(C1855)='BK-NL'!$M$11),"x","")</f>
        <v/>
      </c>
      <c r="AE1855" s="330"/>
      <c r="AF1855" s="330">
        <v>7</v>
      </c>
    </row>
    <row r="1856" spans="1:32" s="350" customFormat="1" ht="15.75" hidden="1" customHeight="1">
      <c r="A1856" s="336" t="str">
        <f>IF(B1856&lt;&gt;"",IF(AND(B1856='IN-TC'!$S$4,OR(TH!N1856="1111",TH!O1856="1111")),TH!D1856,""),"")</f>
        <v/>
      </c>
      <c r="B1856" s="63">
        <f t="shared" si="244"/>
        <v>7</v>
      </c>
      <c r="C1856" s="64">
        <v>42564</v>
      </c>
      <c r="D1856" s="64" t="s">
        <v>880</v>
      </c>
      <c r="E1856" s="64">
        <f t="shared" si="243"/>
        <v>42564</v>
      </c>
      <c r="F1856" s="73" t="s">
        <v>1701</v>
      </c>
      <c r="G1856" s="982" t="s">
        <v>1732</v>
      </c>
      <c r="H1856" s="73" t="s">
        <v>831</v>
      </c>
      <c r="I1856" s="439"/>
      <c r="J1856" s="439"/>
      <c r="K1856" s="430"/>
      <c r="L1856" s="439"/>
      <c r="M1856" s="65">
        <f>1000000+2250000+500000</f>
        <v>3750000</v>
      </c>
      <c r="N1856" s="66" t="s">
        <v>101</v>
      </c>
      <c r="O1856" s="66" t="s">
        <v>63</v>
      </c>
      <c r="P1856" s="84" t="str">
        <f>IF(AND('331-CT'!$E$7=TH!H1856,OR(N1856="331",O1856="331")),"x","")</f>
        <v/>
      </c>
      <c r="Q1856" s="84" t="str">
        <f>IF(AND(B1856='111'!$L$11,OR($N1856=$Q$7,$O1856=$Q$7)),"x","")</f>
        <v/>
      </c>
      <c r="R1856" s="84" t="str">
        <f>IF(AND($N1856=$Q$7,$B1856&lt;'111'!$L$11),"x","")</f>
        <v/>
      </c>
      <c r="S1856" s="84" t="str">
        <f>IF(AND($O1856=$Q$7,$B1856&lt;'111'!$L$11),"x","")</f>
        <v/>
      </c>
      <c r="T1856" s="84" t="str">
        <f>IF(ISERROR(FIND('112'!$M$9,G1856,1)),"",IF((AND(FIND('112'!$M$9,G1856,1)&gt;=1,B1856='112'!$K$9,OR($N1856='112'!$I$6,$O1856='112'!$I$6))),"x",""))</f>
        <v/>
      </c>
      <c r="U1856" s="84" t="str">
        <f>IF(ISERROR(FIND('112'!$M$9,G1856,1)),"",IF((AND(LEFT(G1856,2)=LEFT('112'!$M$9,2),B1856&lt;'112'!$K$9,$N1856='112'!$I$6)),"x",""))</f>
        <v/>
      </c>
      <c r="V1856" s="84" t="str">
        <f>IF(ISERROR(FIND('112'!$M$9,G1856,1)),"",IF((AND(RIGHT(G1856,2)=RIGHT('112'!$M$9,2),B1856&lt;'112'!$K$9,$O1856='112'!$I$6)),"x",""))</f>
        <v/>
      </c>
      <c r="W1856" s="84" t="str">
        <f>IF(AND('341-CT'!$H$9=H1856,OR(LEFT(N1856,3)=$W$7,LEFT(O1856,3)=$W$7)),"x","")</f>
        <v/>
      </c>
      <c r="X1856" s="84" t="str">
        <f>IF(OR(TH!N1856=TH!$X$7,O1856=TH!$X$7),"x","")</f>
        <v/>
      </c>
      <c r="Y1856" s="84" t="str">
        <f>IF(AND(OR(N1856="131",O1856="131"),H1856='131-CT'!$H$9),"x","")</f>
        <v/>
      </c>
      <c r="Z1856" s="84"/>
      <c r="AA1856" s="84" t="str">
        <f>IF(AND(MONTH(E1856)='IN-NX'!$J$5,'IN-NX'!$D$7=D1856),"x","")</f>
        <v/>
      </c>
      <c r="AB1856" s="84" t="str">
        <f>IF(AND(OR(LEFT(TH!N1856,2)="15",LEFT(TH!O1856,2)="15"),LEFT(TH!O1856,3)&lt;&gt;"111",'152-CT'!$J$8=TH!F1856),"x","")</f>
        <v/>
      </c>
      <c r="AC1856" s="84" t="str">
        <f>IF(AND(OR(LEFT(TH!N1856,2)="15",LEFT(TH!O1856,2)="15"),TK!$E$7=TH!F1856),"x","")</f>
        <v/>
      </c>
      <c r="AD1856" s="84" t="str">
        <f>IF(AND(N1856="1521",MONTH(C1856)='BK-NL'!$M$11),"x","")</f>
        <v/>
      </c>
      <c r="AE1856" s="330"/>
      <c r="AF1856" s="330">
        <v>7</v>
      </c>
    </row>
    <row r="1857" spans="1:32" s="350" customFormat="1" ht="15.75" hidden="1" customHeight="1">
      <c r="A1857" s="336" t="str">
        <f>IF(B1857&lt;&gt;"",IF(AND(B1857='IN-TC'!$S$4,OR(TH!N1857="1111",TH!O1857="1111")),TH!D1857,""),"")</f>
        <v/>
      </c>
      <c r="B1857" s="63">
        <f t="shared" si="244"/>
        <v>7</v>
      </c>
      <c r="C1857" s="64">
        <v>42564</v>
      </c>
      <c r="D1857" s="64" t="s">
        <v>880</v>
      </c>
      <c r="E1857" s="64">
        <f t="shared" si="243"/>
        <v>42564</v>
      </c>
      <c r="F1857" s="73" t="s">
        <v>1536</v>
      </c>
      <c r="G1857" s="982" t="s">
        <v>1732</v>
      </c>
      <c r="H1857" s="73" t="s">
        <v>831</v>
      </c>
      <c r="I1857" s="439"/>
      <c r="J1857" s="439"/>
      <c r="K1857" s="430"/>
      <c r="L1857" s="439"/>
      <c r="M1857" s="65">
        <f>50000+112500+25000</f>
        <v>187500</v>
      </c>
      <c r="N1857" s="66" t="s">
        <v>9</v>
      </c>
      <c r="O1857" s="66" t="s">
        <v>63</v>
      </c>
      <c r="P1857" s="84" t="str">
        <f>IF(AND('331-CT'!$E$7=TH!H1857,OR(N1857="331",O1857="331")),"x","")</f>
        <v/>
      </c>
      <c r="Q1857" s="84" t="str">
        <f>IF(AND(B1857='111'!$L$11,OR($N1857=$Q$7,$O1857=$Q$7)),"x","")</f>
        <v/>
      </c>
      <c r="R1857" s="84" t="str">
        <f>IF(AND($N1857=$Q$7,$B1857&lt;'111'!$L$11),"x","")</f>
        <v/>
      </c>
      <c r="S1857" s="84" t="str">
        <f>IF(AND($O1857=$Q$7,$B1857&lt;'111'!$L$11),"x","")</f>
        <v/>
      </c>
      <c r="T1857" s="84" t="str">
        <f>IF(ISERROR(FIND('112'!$M$9,G1857,1)),"",IF((AND(FIND('112'!$M$9,G1857,1)&gt;=1,B1857='112'!$K$9,OR($N1857='112'!$I$6,$O1857='112'!$I$6))),"x",""))</f>
        <v/>
      </c>
      <c r="U1857" s="84" t="str">
        <f>IF(ISERROR(FIND('112'!$M$9,G1857,1)),"",IF((AND(LEFT(G1857,2)=LEFT('112'!$M$9,2),B1857&lt;'112'!$K$9,$N1857='112'!$I$6)),"x",""))</f>
        <v/>
      </c>
      <c r="V1857" s="84" t="str">
        <f>IF(ISERROR(FIND('112'!$M$9,G1857,1)),"",IF((AND(RIGHT(G1857,2)=RIGHT('112'!$M$9,2),B1857&lt;'112'!$K$9,$O1857='112'!$I$6)),"x",""))</f>
        <v/>
      </c>
      <c r="W1857" s="84" t="str">
        <f>IF(AND('341-CT'!$H$9=H1857,OR(LEFT(N1857,3)=$W$7,LEFT(O1857,3)=$W$7)),"x","")</f>
        <v/>
      </c>
      <c r="X1857" s="84" t="str">
        <f>IF(OR(TH!N1857=TH!$X$7,O1857=TH!$X$7),"x","")</f>
        <v/>
      </c>
      <c r="Y1857" s="84" t="str">
        <f>IF(AND(OR(N1857="131",O1857="131"),H1857='131-CT'!$H$9),"x","")</f>
        <v/>
      </c>
      <c r="Z1857" s="84"/>
      <c r="AA1857" s="84" t="str">
        <f>IF(AND(MONTH(E1857)='IN-NX'!$J$5,'IN-NX'!$D$7=D1857),"x","")</f>
        <v/>
      </c>
      <c r="AB1857" s="84" t="str">
        <f>IF(AND(OR(LEFT(TH!N1857,2)="15",LEFT(TH!O1857,2)="15"),LEFT(TH!O1857,3)&lt;&gt;"111",'152-CT'!$J$8=TH!F1857),"x","")</f>
        <v/>
      </c>
      <c r="AC1857" s="84" t="str">
        <f>IF(AND(OR(LEFT(TH!N1857,2)="15",LEFT(TH!O1857,2)="15"),TK!$E$7=TH!F1857),"x","")</f>
        <v/>
      </c>
      <c r="AD1857" s="84" t="str">
        <f>IF(AND(N1857="1521",MONTH(C1857)='BK-NL'!$M$11),"x","")</f>
        <v/>
      </c>
      <c r="AE1857" s="330"/>
      <c r="AF1857" s="330">
        <v>7</v>
      </c>
    </row>
    <row r="1858" spans="1:32" s="351" customFormat="1" ht="15.75" hidden="1" customHeight="1">
      <c r="A1858" s="336" t="str">
        <f>IF(B1858&lt;&gt;"",IF(AND(B1858='IN-TC'!$S$4,OR(TH!N1858="1111",TH!O1858="1111")),TH!D1858,""),"")</f>
        <v/>
      </c>
      <c r="B1858" s="63">
        <f t="shared" si="244"/>
        <v>7</v>
      </c>
      <c r="C1858" s="64">
        <v>42564</v>
      </c>
      <c r="D1858" s="64" t="s">
        <v>885</v>
      </c>
      <c r="E1858" s="64">
        <f t="shared" si="243"/>
        <v>42564</v>
      </c>
      <c r="F1858" s="67" t="s">
        <v>1015</v>
      </c>
      <c r="G1858" s="982" t="s">
        <v>1737</v>
      </c>
      <c r="H1858" s="73" t="s">
        <v>808</v>
      </c>
      <c r="I1858" s="439"/>
      <c r="J1858" s="439"/>
      <c r="K1858" s="430"/>
      <c r="L1858" s="439"/>
      <c r="M1858" s="65">
        <v>1319882</v>
      </c>
      <c r="N1858" s="66" t="s">
        <v>101</v>
      </c>
      <c r="O1858" s="66" t="s">
        <v>63</v>
      </c>
      <c r="P1858" s="84" t="str">
        <f>IF(AND('331-CT'!$E$7=TH!H1858,OR(N1858="331",O1858="331")),"x","")</f>
        <v/>
      </c>
      <c r="Q1858" s="84" t="str">
        <f>IF(AND(B1858='111'!$L$11,OR($N1858=$Q$7,$O1858=$Q$7)),"x","")</f>
        <v/>
      </c>
      <c r="R1858" s="84" t="str">
        <f>IF(AND($N1858=$Q$7,$B1858&lt;'111'!$L$11),"x","")</f>
        <v/>
      </c>
      <c r="S1858" s="84" t="str">
        <f>IF(AND($O1858=$Q$7,$B1858&lt;'111'!$L$11),"x","")</f>
        <v/>
      </c>
      <c r="T1858" s="84" t="str">
        <f>IF(ISERROR(FIND('112'!$M$9,G1858,1)),"",IF((AND(FIND('112'!$M$9,G1858,1)&gt;=1,B1858='112'!$K$9,OR($N1858='112'!$I$6,$O1858='112'!$I$6))),"x",""))</f>
        <v/>
      </c>
      <c r="U1858" s="84" t="str">
        <f>IF(ISERROR(FIND('112'!$M$9,G1858,1)),"",IF((AND(LEFT(G1858,2)=LEFT('112'!$M$9,2),B1858&lt;'112'!$K$9,$N1858='112'!$I$6)),"x",""))</f>
        <v/>
      </c>
      <c r="V1858" s="84" t="str">
        <f>IF(ISERROR(FIND('112'!$M$9,G1858,1)),"",IF((AND(RIGHT(G1858,2)=RIGHT('112'!$M$9,2),B1858&lt;'112'!$K$9,$O1858='112'!$I$6)),"x",""))</f>
        <v/>
      </c>
      <c r="W1858" s="84" t="str">
        <f>IF(AND('341-CT'!$H$9=H1858,OR(LEFT(N1858,3)=$W$7,LEFT(O1858,3)=$W$7)),"x","")</f>
        <v/>
      </c>
      <c r="X1858" s="84" t="str">
        <f>IF(OR(TH!N1858=TH!$X$7,O1858=TH!$X$7),"x","")</f>
        <v/>
      </c>
      <c r="Y1858" s="84" t="str">
        <f>IF(AND(OR(N1858="131",O1858="131"),H1858='131-CT'!$H$9),"x","")</f>
        <v/>
      </c>
      <c r="Z1858" s="84"/>
      <c r="AA1858" s="84" t="str">
        <f>IF(AND(MONTH(E1858)='IN-NX'!$J$5,'IN-NX'!$D$7=D1858),"x","")</f>
        <v/>
      </c>
      <c r="AB1858" s="84" t="str">
        <f>IF(AND(OR(LEFT(TH!N1858,2)="15",LEFT(TH!O1858,2)="15"),LEFT(TH!O1858,3)&lt;&gt;"111",'152-CT'!$J$8=TH!F1858),"x","")</f>
        <v/>
      </c>
      <c r="AC1858" s="84" t="str">
        <f>IF(AND(OR(LEFT(TH!N1858,2)="15",LEFT(TH!O1858,2)="15"),TK!$E$7=TH!F1858),"x","")</f>
        <v/>
      </c>
      <c r="AD1858" s="84" t="str">
        <f>IF(AND(N1858="1521",MONTH(C1858)='BK-NL'!$M$11),"x","")</f>
        <v/>
      </c>
      <c r="AE1858" s="330"/>
      <c r="AF1858" s="330">
        <v>7</v>
      </c>
    </row>
    <row r="1859" spans="1:32" s="351" customFormat="1" ht="15.75" hidden="1" customHeight="1">
      <c r="A1859" s="336" t="str">
        <f>IF(B1859&lt;&gt;"",IF(AND(B1859='IN-TC'!$S$4,OR(TH!N1859="1111",TH!O1859="1111")),TH!D1859,""),"")</f>
        <v/>
      </c>
      <c r="B1859" s="63">
        <f t="shared" si="244"/>
        <v>7</v>
      </c>
      <c r="C1859" s="64">
        <v>42564</v>
      </c>
      <c r="D1859" s="64" t="s">
        <v>885</v>
      </c>
      <c r="E1859" s="64">
        <f t="shared" si="243"/>
        <v>42564</v>
      </c>
      <c r="F1859" s="67" t="s">
        <v>1016</v>
      </c>
      <c r="G1859" s="982" t="s">
        <v>1737</v>
      </c>
      <c r="H1859" s="73" t="s">
        <v>808</v>
      </c>
      <c r="I1859" s="439"/>
      <c r="J1859" s="439"/>
      <c r="K1859" s="430"/>
      <c r="L1859" s="439"/>
      <c r="M1859" s="1157">
        <v>131988</v>
      </c>
      <c r="N1859" s="66" t="s">
        <v>9</v>
      </c>
      <c r="O1859" s="66" t="s">
        <v>63</v>
      </c>
      <c r="P1859" s="84" t="str">
        <f>IF(AND('331-CT'!$E$7=TH!H1859,OR(N1859="331",O1859="331")),"x","")</f>
        <v/>
      </c>
      <c r="Q1859" s="84" t="str">
        <f>IF(AND(B1859='111'!$L$11,OR($N1859=$Q$7,$O1859=$Q$7)),"x","")</f>
        <v/>
      </c>
      <c r="R1859" s="84" t="str">
        <f>IF(AND($N1859=$Q$7,$B1859&lt;'111'!$L$11),"x","")</f>
        <v/>
      </c>
      <c r="S1859" s="84" t="str">
        <f>IF(AND($O1859=$Q$7,$B1859&lt;'111'!$L$11),"x","")</f>
        <v/>
      </c>
      <c r="T1859" s="84" t="str">
        <f>IF(ISERROR(FIND('112'!$M$9,G1859,1)),"",IF((AND(FIND('112'!$M$9,G1859,1)&gt;=1,B1859='112'!$K$9,OR($N1859='112'!$I$6,$O1859='112'!$I$6))),"x",""))</f>
        <v/>
      </c>
      <c r="U1859" s="84" t="str">
        <f>IF(ISERROR(FIND('112'!$M$9,G1859,1)),"",IF((AND(LEFT(G1859,2)=LEFT('112'!$M$9,2),B1859&lt;'112'!$K$9,$N1859='112'!$I$6)),"x",""))</f>
        <v/>
      </c>
      <c r="V1859" s="84" t="str">
        <f>IF(ISERROR(FIND('112'!$M$9,G1859,1)),"",IF((AND(RIGHT(G1859,2)=RIGHT('112'!$M$9,2),B1859&lt;'112'!$K$9,$O1859='112'!$I$6)),"x",""))</f>
        <v/>
      </c>
      <c r="W1859" s="84" t="str">
        <f>IF(AND('341-CT'!$H$9=H1859,OR(LEFT(N1859,3)=$W$7,LEFT(O1859,3)=$W$7)),"x","")</f>
        <v/>
      </c>
      <c r="X1859" s="84" t="str">
        <f>IF(OR(TH!N1859=TH!$X$7,O1859=TH!$X$7),"x","")</f>
        <v/>
      </c>
      <c r="Y1859" s="84" t="str">
        <f>IF(AND(OR(N1859="131",O1859="131"),H1859='131-CT'!$H$9),"x","")</f>
        <v/>
      </c>
      <c r="Z1859" s="84"/>
      <c r="AA1859" s="84" t="str">
        <f>IF(AND(MONTH(E1859)='IN-NX'!$J$5,'IN-NX'!$D$7=D1859),"x","")</f>
        <v/>
      </c>
      <c r="AB1859" s="84" t="str">
        <f>IF(AND(OR(LEFT(TH!N1859,2)="15",LEFT(TH!O1859,2)="15"),LEFT(TH!O1859,3)&lt;&gt;"111",'152-CT'!$J$8=TH!F1859),"x","")</f>
        <v/>
      </c>
      <c r="AC1859" s="84" t="str">
        <f>IF(AND(OR(LEFT(TH!N1859,2)="15",LEFT(TH!O1859,2)="15"),TK!$E$7=TH!F1859),"x","")</f>
        <v/>
      </c>
      <c r="AD1859" s="84" t="str">
        <f>IF(AND(N1859="1521",MONTH(C1859)='BK-NL'!$M$11),"x","")</f>
        <v/>
      </c>
      <c r="AE1859" s="330"/>
      <c r="AF1859" s="330">
        <v>7</v>
      </c>
    </row>
    <row r="1860" spans="1:32" s="351" customFormat="1" ht="15.75" hidden="1" customHeight="1">
      <c r="A1860" s="336" t="str">
        <f>IF(B1860&lt;&gt;"",IF(AND(B1860='IN-TC'!$S$4,OR(TH!N1860="1111",TH!O1860="1111")),TH!D1860,""),"")</f>
        <v/>
      </c>
      <c r="B1860" s="63">
        <f t="shared" si="244"/>
        <v>7</v>
      </c>
      <c r="C1860" s="64">
        <v>42564</v>
      </c>
      <c r="D1860" s="64" t="s">
        <v>702</v>
      </c>
      <c r="E1860" s="64">
        <f t="shared" si="243"/>
        <v>42564</v>
      </c>
      <c r="F1860" s="67" t="s">
        <v>1457</v>
      </c>
      <c r="G1860" s="67" t="s">
        <v>919</v>
      </c>
      <c r="H1860" s="73" t="s">
        <v>1775</v>
      </c>
      <c r="I1860" s="439"/>
      <c r="J1860" s="439"/>
      <c r="K1860" s="430"/>
      <c r="L1860" s="439"/>
      <c r="M1860" s="65">
        <v>329501191</v>
      </c>
      <c r="N1860" s="66" t="s">
        <v>26</v>
      </c>
      <c r="O1860" s="66" t="s">
        <v>588</v>
      </c>
      <c r="P1860" s="84" t="str">
        <f>IF(AND('331-CT'!$E$7=TH!H1860,OR(N1860="331",O1860="331")),"x","")</f>
        <v/>
      </c>
      <c r="Q1860" s="84" t="str">
        <f>IF(AND(B1860='111'!$L$11,OR($N1860=$Q$7,$O1860=$Q$7)),"x","")</f>
        <v/>
      </c>
      <c r="R1860" s="84" t="str">
        <f>IF(AND($N1860=$Q$7,$B1860&lt;'111'!$L$11),"x","")</f>
        <v/>
      </c>
      <c r="S1860" s="84" t="str">
        <f>IF(AND($O1860=$Q$7,$B1860&lt;'111'!$L$11),"x","")</f>
        <v/>
      </c>
      <c r="T1860" s="84" t="str">
        <f>IF(ISERROR(FIND('112'!$M$9,G1860,1)),"",IF((AND(FIND('112'!$M$9,G1860,1)&gt;=1,B1860='112'!$K$9,OR($N1860='112'!$I$6,$O1860='112'!$I$6))),"x",""))</f>
        <v/>
      </c>
      <c r="U1860" s="84" t="str">
        <f>IF(ISERROR(FIND('112'!$M$9,G1860,1)),"",IF((AND(LEFT(G1860,2)=LEFT('112'!$M$9,2),B1860&lt;'112'!$K$9,$N1860='112'!$I$6)),"x",""))</f>
        <v/>
      </c>
      <c r="V1860" s="84" t="str">
        <f>IF(ISERROR(FIND('112'!$M$9,G1860,1)),"",IF((AND(RIGHT(G1860,2)=RIGHT('112'!$M$9,2),B1860&lt;'112'!$K$9,$O1860='112'!$I$6)),"x",""))</f>
        <v/>
      </c>
      <c r="W1860" s="84" t="str">
        <f>IF(AND('341-CT'!$H$9=H1860,OR(LEFT(N1860,3)=$W$7,LEFT(O1860,3)=$W$7)),"x","")</f>
        <v/>
      </c>
      <c r="X1860" s="84" t="str">
        <f>IF(OR(TH!N1860=TH!$X$7,O1860=TH!$X$7),"x","")</f>
        <v/>
      </c>
      <c r="Y1860" s="84" t="str">
        <f>IF(AND(OR(N1860="131",O1860="131"),H1860='131-CT'!$H$9),"x","")</f>
        <v/>
      </c>
      <c r="Z1860" s="84"/>
      <c r="AA1860" s="84" t="str">
        <f>IF(AND(MONTH(E1860)='IN-NX'!$J$5,'IN-NX'!$D$7=D1860),"x","")</f>
        <v/>
      </c>
      <c r="AB1860" s="84" t="str">
        <f>IF(AND(OR(LEFT(TH!N1860,2)="15",LEFT(TH!O1860,2)="15"),LEFT(TH!O1860,3)&lt;&gt;"111",'152-CT'!$J$8=TH!F1860),"x","")</f>
        <v/>
      </c>
      <c r="AC1860" s="84" t="str">
        <f>IF(AND(OR(LEFT(TH!N1860,2)="15",LEFT(TH!O1860,2)="15"),TK!$E$7=TH!F1860),"x","")</f>
        <v/>
      </c>
      <c r="AD1860" s="84" t="str">
        <f>IF(AND(N1860="1521",MONTH(C1860)='BK-NL'!$M$11),"x","")</f>
        <v/>
      </c>
      <c r="AE1860" s="330"/>
      <c r="AF1860" s="330"/>
    </row>
    <row r="1861" spans="1:32" s="351" customFormat="1" ht="15.75" hidden="1" customHeight="1">
      <c r="A1861" s="336" t="str">
        <f>IF(B1861&lt;&gt;"",IF(AND(B1861='IN-TC'!$S$4,OR(TH!N1861="1111",TH!O1861="1111")),TH!D1861,""),"")</f>
        <v/>
      </c>
      <c r="B1861" s="63">
        <f t="shared" si="244"/>
        <v>7</v>
      </c>
      <c r="C1861" s="64">
        <v>42565</v>
      </c>
      <c r="D1861" s="64" t="s">
        <v>881</v>
      </c>
      <c r="E1861" s="64">
        <f t="shared" si="243"/>
        <v>42565</v>
      </c>
      <c r="F1861" s="67" t="s">
        <v>1114</v>
      </c>
      <c r="G1861" s="982" t="s">
        <v>1733</v>
      </c>
      <c r="H1861" s="73" t="s">
        <v>808</v>
      </c>
      <c r="I1861" s="439"/>
      <c r="J1861" s="439"/>
      <c r="K1861" s="430"/>
      <c r="L1861" s="439"/>
      <c r="M1861" s="65">
        <v>1160727</v>
      </c>
      <c r="N1861" s="66" t="s">
        <v>101</v>
      </c>
      <c r="O1861" s="66" t="s">
        <v>63</v>
      </c>
      <c r="P1861" s="84" t="str">
        <f>IF(AND('331-CT'!$E$7=TH!H1861,OR(N1861="331",O1861="331")),"x","")</f>
        <v/>
      </c>
      <c r="Q1861" s="84" t="str">
        <f>IF(AND(B1861='111'!$L$11,OR($N1861=$Q$7,$O1861=$Q$7)),"x","")</f>
        <v/>
      </c>
      <c r="R1861" s="84" t="str">
        <f>IF(AND($N1861=$Q$7,$B1861&lt;'111'!$L$11),"x","")</f>
        <v/>
      </c>
      <c r="S1861" s="84" t="str">
        <f>IF(AND($O1861=$Q$7,$B1861&lt;'111'!$L$11),"x","")</f>
        <v/>
      </c>
      <c r="T1861" s="84" t="str">
        <f>IF(ISERROR(FIND('112'!$M$9,G1861,1)),"",IF((AND(FIND('112'!$M$9,G1861,1)&gt;=1,B1861='112'!$K$9,OR($N1861='112'!$I$6,$O1861='112'!$I$6))),"x",""))</f>
        <v/>
      </c>
      <c r="U1861" s="84" t="str">
        <f>IF(ISERROR(FIND('112'!$M$9,G1861,1)),"",IF((AND(LEFT(G1861,2)=LEFT('112'!$M$9,2),B1861&lt;'112'!$K$9,$N1861='112'!$I$6)),"x",""))</f>
        <v/>
      </c>
      <c r="V1861" s="84" t="str">
        <f>IF(ISERROR(FIND('112'!$M$9,G1861,1)),"",IF((AND(RIGHT(G1861,2)=RIGHT('112'!$M$9,2),B1861&lt;'112'!$K$9,$O1861='112'!$I$6)),"x",""))</f>
        <v/>
      </c>
      <c r="W1861" s="84" t="str">
        <f>IF(AND('341-CT'!$H$9=H1861,OR(LEFT(N1861,3)=$W$7,LEFT(O1861,3)=$W$7)),"x","")</f>
        <v/>
      </c>
      <c r="X1861" s="84" t="str">
        <f>IF(OR(TH!N1861=TH!$X$7,O1861=TH!$X$7),"x","")</f>
        <v/>
      </c>
      <c r="Y1861" s="84" t="str">
        <f>IF(AND(OR(N1861="131",O1861="131"),H1861='131-CT'!$H$9),"x","")</f>
        <v/>
      </c>
      <c r="Z1861" s="84"/>
      <c r="AA1861" s="84" t="str">
        <f>IF(AND(MONTH(E1861)='IN-NX'!$J$5,'IN-NX'!$D$7=D1861),"x","")</f>
        <v/>
      </c>
      <c r="AB1861" s="84" t="str">
        <f>IF(AND(OR(LEFT(TH!N1861,2)="15",LEFT(TH!O1861,2)="15"),LEFT(TH!O1861,3)&lt;&gt;"111",'152-CT'!$J$8=TH!F1861),"x","")</f>
        <v/>
      </c>
      <c r="AC1861" s="84" t="str">
        <f>IF(AND(OR(LEFT(TH!N1861,2)="15",LEFT(TH!O1861,2)="15"),TK!$E$7=TH!F1861),"x","")</f>
        <v/>
      </c>
      <c r="AD1861" s="84" t="str">
        <f>IF(AND(N1861="1521",MONTH(C1861)='BK-NL'!$M$11),"x","")</f>
        <v/>
      </c>
      <c r="AE1861" s="330"/>
      <c r="AF1861" s="330">
        <v>7</v>
      </c>
    </row>
    <row r="1862" spans="1:32" s="351" customFormat="1" ht="15.75" hidden="1" customHeight="1">
      <c r="A1862" s="336" t="str">
        <f>IF(B1862&lt;&gt;"",IF(AND(B1862='IN-TC'!$S$4,OR(TH!N1862="1111",TH!O1862="1111")),TH!D1862,""),"")</f>
        <v/>
      </c>
      <c r="B1862" s="63">
        <f t="shared" si="244"/>
        <v>7</v>
      </c>
      <c r="C1862" s="64">
        <v>42565</v>
      </c>
      <c r="D1862" s="64" t="s">
        <v>881</v>
      </c>
      <c r="E1862" s="64">
        <f t="shared" si="243"/>
        <v>42565</v>
      </c>
      <c r="F1862" s="67" t="s">
        <v>1344</v>
      </c>
      <c r="G1862" s="982" t="s">
        <v>1733</v>
      </c>
      <c r="H1862" s="73" t="s">
        <v>808</v>
      </c>
      <c r="I1862" s="439"/>
      <c r="J1862" s="439"/>
      <c r="K1862" s="430"/>
      <c r="L1862" s="439"/>
      <c r="M1862" s="65">
        <v>116073</v>
      </c>
      <c r="N1862" s="66" t="s">
        <v>9</v>
      </c>
      <c r="O1862" s="66" t="s">
        <v>63</v>
      </c>
      <c r="P1862" s="84" t="str">
        <f>IF(AND('331-CT'!$E$7=TH!H1862,OR(N1862="331",O1862="331")),"x","")</f>
        <v/>
      </c>
      <c r="Q1862" s="84" t="str">
        <f>IF(AND(B1862='111'!$L$11,OR($N1862=$Q$7,$O1862=$Q$7)),"x","")</f>
        <v/>
      </c>
      <c r="R1862" s="84" t="str">
        <f>IF(AND($N1862=$Q$7,$B1862&lt;'111'!$L$11),"x","")</f>
        <v/>
      </c>
      <c r="S1862" s="84" t="str">
        <f>IF(AND($O1862=$Q$7,$B1862&lt;'111'!$L$11),"x","")</f>
        <v/>
      </c>
      <c r="T1862" s="84" t="str">
        <f>IF(ISERROR(FIND('112'!$M$9,G1862,1)),"",IF((AND(FIND('112'!$M$9,G1862,1)&gt;=1,B1862='112'!$K$9,OR($N1862='112'!$I$6,$O1862='112'!$I$6))),"x",""))</f>
        <v/>
      </c>
      <c r="U1862" s="84" t="str">
        <f>IF(ISERROR(FIND('112'!$M$9,G1862,1)),"",IF((AND(LEFT(G1862,2)=LEFT('112'!$M$9,2),B1862&lt;'112'!$K$9,$N1862='112'!$I$6)),"x",""))</f>
        <v/>
      </c>
      <c r="V1862" s="84" t="str">
        <f>IF(ISERROR(FIND('112'!$M$9,G1862,1)),"",IF((AND(RIGHT(G1862,2)=RIGHT('112'!$M$9,2),B1862&lt;'112'!$K$9,$O1862='112'!$I$6)),"x",""))</f>
        <v/>
      </c>
      <c r="W1862" s="84" t="str">
        <f>IF(AND('341-CT'!$H$9=H1862,OR(LEFT(N1862,3)=$W$7,LEFT(O1862,3)=$W$7)),"x","")</f>
        <v/>
      </c>
      <c r="X1862" s="84" t="str">
        <f>IF(OR(TH!N1862=TH!$X$7,O1862=TH!$X$7),"x","")</f>
        <v/>
      </c>
      <c r="Y1862" s="84" t="str">
        <f>IF(AND(OR(N1862="131",O1862="131"),H1862='131-CT'!$H$9),"x","")</f>
        <v/>
      </c>
      <c r="Z1862" s="84"/>
      <c r="AA1862" s="84" t="str">
        <f>IF(AND(MONTH(E1862)='IN-NX'!$J$5,'IN-NX'!$D$7=D1862),"x","")</f>
        <v/>
      </c>
      <c r="AB1862" s="84" t="str">
        <f>IF(AND(OR(LEFT(TH!N1862,2)="15",LEFT(TH!O1862,2)="15"),LEFT(TH!O1862,3)&lt;&gt;"111",'152-CT'!$J$8=TH!F1862),"x","")</f>
        <v/>
      </c>
      <c r="AC1862" s="84" t="str">
        <f>IF(AND(OR(LEFT(TH!N1862,2)="15",LEFT(TH!O1862,2)="15"),TK!$E$7=TH!F1862),"x","")</f>
        <v/>
      </c>
      <c r="AD1862" s="84" t="str">
        <f>IF(AND(N1862="1521",MONTH(C1862)='BK-NL'!$M$11),"x","")</f>
        <v/>
      </c>
      <c r="AE1862" s="330"/>
      <c r="AF1862" s="330">
        <v>7</v>
      </c>
    </row>
    <row r="1863" spans="1:32" s="351" customFormat="1" ht="15.75" hidden="1" customHeight="1">
      <c r="A1863" s="336" t="str">
        <f>IF(B1863&lt;&gt;"",IF(AND(B1863='IN-TC'!$S$4,OR(TH!N1863="1111",TH!O1863="1111")),TH!D1863,""),"")</f>
        <v/>
      </c>
      <c r="B1863" s="63">
        <f t="shared" si="244"/>
        <v>7</v>
      </c>
      <c r="C1863" s="64">
        <v>42566</v>
      </c>
      <c r="D1863" s="64" t="s">
        <v>910</v>
      </c>
      <c r="E1863" s="64">
        <f t="shared" si="243"/>
        <v>42566</v>
      </c>
      <c r="F1863" s="67" t="s">
        <v>1146</v>
      </c>
      <c r="G1863" s="67" t="s">
        <v>919</v>
      </c>
      <c r="H1863" s="73" t="s">
        <v>763</v>
      </c>
      <c r="I1863" s="439"/>
      <c r="J1863" s="439"/>
      <c r="K1863" s="430"/>
      <c r="L1863" s="439"/>
      <c r="M1863" s="65">
        <v>290000000</v>
      </c>
      <c r="N1863" s="66" t="s">
        <v>63</v>
      </c>
      <c r="O1863" s="66" t="s">
        <v>26</v>
      </c>
      <c r="P1863" s="84" t="str">
        <f>IF(AND('331-CT'!$E$7=TH!H1863,OR(N1863="331",O1863="331")),"x","")</f>
        <v/>
      </c>
      <c r="Q1863" s="84" t="str">
        <f>IF(AND(B1863='111'!$L$11,OR($N1863=$Q$7,$O1863=$Q$7)),"x","")</f>
        <v/>
      </c>
      <c r="R1863" s="84" t="str">
        <f>IF(AND($N1863=$Q$7,$B1863&lt;'111'!$L$11),"x","")</f>
        <v/>
      </c>
      <c r="S1863" s="84" t="str">
        <f>IF(AND($O1863=$Q$7,$B1863&lt;'111'!$L$11),"x","")</f>
        <v/>
      </c>
      <c r="T1863" s="84" t="str">
        <f>IF(ISERROR(FIND('112'!$M$9,G1863,1)),"",IF((AND(FIND('112'!$M$9,G1863,1)&gt;=1,B1863='112'!$K$9,OR($N1863='112'!$I$6,$O1863='112'!$I$6))),"x",""))</f>
        <v/>
      </c>
      <c r="U1863" s="84" t="str">
        <f>IF(ISERROR(FIND('112'!$M$9,G1863,1)),"",IF((AND(LEFT(G1863,2)=LEFT('112'!$M$9,2),B1863&lt;'112'!$K$9,$N1863='112'!$I$6)),"x",""))</f>
        <v/>
      </c>
      <c r="V1863" s="84" t="str">
        <f>IF(ISERROR(FIND('112'!$M$9,G1863,1)),"",IF((AND(RIGHT(G1863,2)=RIGHT('112'!$M$9,2),B1863&lt;'112'!$K$9,$O1863='112'!$I$6)),"x",""))</f>
        <v/>
      </c>
      <c r="W1863" s="84" t="str">
        <f>IF(AND('341-CT'!$H$9=H1863,OR(LEFT(N1863,3)=$W$7,LEFT(O1863,3)=$W$7)),"x","")</f>
        <v/>
      </c>
      <c r="X1863" s="84" t="str">
        <f>IF(OR(TH!N1863=TH!$X$7,O1863=TH!$X$7),"x","")</f>
        <v/>
      </c>
      <c r="Y1863" s="84" t="str">
        <f>IF(AND(OR(N1863="131",O1863="131"),H1863='131-CT'!$H$9),"x","")</f>
        <v/>
      </c>
      <c r="Z1863" s="84"/>
      <c r="AA1863" s="84" t="str">
        <f>IF(AND(MONTH(E1863)='IN-NX'!$J$5,'IN-NX'!$D$7=D1863),"x","")</f>
        <v/>
      </c>
      <c r="AB1863" s="84" t="str">
        <f>IF(AND(OR(LEFT(TH!N1863,2)="15",LEFT(TH!O1863,2)="15"),LEFT(TH!O1863,3)&lt;&gt;"111",'152-CT'!$J$8=TH!F1863),"x","")</f>
        <v/>
      </c>
      <c r="AC1863" s="84" t="str">
        <f>IF(AND(OR(LEFT(TH!N1863,2)="15",LEFT(TH!O1863,2)="15"),TK!$E$7=TH!F1863),"x","")</f>
        <v/>
      </c>
      <c r="AD1863" s="84" t="str">
        <f>IF(AND(N1863="1521",MONTH(C1863)='BK-NL'!$M$11),"x","")</f>
        <v/>
      </c>
      <c r="AE1863" s="330"/>
      <c r="AF1863" s="330"/>
    </row>
    <row r="1864" spans="1:32" s="351" customFormat="1" ht="15.75" hidden="1" customHeight="1">
      <c r="A1864" s="336" t="str">
        <f>IF(B1864&lt;&gt;"",IF(AND(B1864='IN-TC'!$S$4,OR(TH!N1864="1111",TH!O1864="1111")),TH!D1864,""),"")</f>
        <v/>
      </c>
      <c r="B1864" s="63">
        <f t="shared" si="244"/>
        <v>7</v>
      </c>
      <c r="C1864" s="64">
        <v>42566</v>
      </c>
      <c r="D1864" s="64" t="s">
        <v>882</v>
      </c>
      <c r="E1864" s="64">
        <f t="shared" si="243"/>
        <v>42566</v>
      </c>
      <c r="F1864" s="67" t="s">
        <v>1107</v>
      </c>
      <c r="G1864" s="67" t="s">
        <v>919</v>
      </c>
      <c r="H1864" s="73" t="s">
        <v>763</v>
      </c>
      <c r="I1864" s="439"/>
      <c r="J1864" s="439"/>
      <c r="K1864" s="430"/>
      <c r="L1864" s="439"/>
      <c r="M1864" s="65">
        <v>30000000</v>
      </c>
      <c r="N1864" s="66" t="s">
        <v>26</v>
      </c>
      <c r="O1864" s="66" t="s">
        <v>63</v>
      </c>
      <c r="P1864" s="84" t="str">
        <f>IF(AND('331-CT'!$E$7=TH!H1864,OR(N1864="331",O1864="331")),"x","")</f>
        <v/>
      </c>
      <c r="Q1864" s="84" t="str">
        <f>IF(AND(B1864='111'!$L$11,OR($N1864=$Q$7,$O1864=$Q$7)),"x","")</f>
        <v/>
      </c>
      <c r="R1864" s="84" t="str">
        <f>IF(AND($N1864=$Q$7,$B1864&lt;'111'!$L$11),"x","")</f>
        <v/>
      </c>
      <c r="S1864" s="84" t="str">
        <f>IF(AND($O1864=$Q$7,$B1864&lt;'111'!$L$11),"x","")</f>
        <v/>
      </c>
      <c r="T1864" s="84" t="str">
        <f>IF(ISERROR(FIND('112'!$M$9,G1864,1)),"",IF((AND(FIND('112'!$M$9,G1864,1)&gt;=1,B1864='112'!$K$9,OR($N1864='112'!$I$6,$O1864='112'!$I$6))),"x",""))</f>
        <v/>
      </c>
      <c r="U1864" s="84" t="str">
        <f>IF(ISERROR(FIND('112'!$M$9,G1864,1)),"",IF((AND(LEFT(G1864,2)=LEFT('112'!$M$9,2),B1864&lt;'112'!$K$9,$N1864='112'!$I$6)),"x",""))</f>
        <v/>
      </c>
      <c r="V1864" s="84" t="str">
        <f>IF(ISERROR(FIND('112'!$M$9,G1864,1)),"",IF((AND(RIGHT(G1864,2)=RIGHT('112'!$M$9,2),B1864&lt;'112'!$K$9,$O1864='112'!$I$6)),"x",""))</f>
        <v/>
      </c>
      <c r="W1864" s="84" t="str">
        <f>IF(AND('341-CT'!$H$9=H1864,OR(LEFT(N1864,3)=$W$7,LEFT(O1864,3)=$W$7)),"x","")</f>
        <v/>
      </c>
      <c r="X1864" s="84" t="str">
        <f>IF(OR(TH!N1864=TH!$X$7,O1864=TH!$X$7),"x","")</f>
        <v/>
      </c>
      <c r="Y1864" s="84" t="str">
        <f>IF(AND(OR(N1864="131",O1864="131"),H1864='131-CT'!$H$9),"x","")</f>
        <v/>
      </c>
      <c r="Z1864" s="84"/>
      <c r="AA1864" s="84" t="str">
        <f>IF(AND(MONTH(E1864)='IN-NX'!$J$5,'IN-NX'!$D$7=D1864),"x","")</f>
        <v/>
      </c>
      <c r="AB1864" s="84" t="str">
        <f>IF(AND(OR(LEFT(TH!N1864,2)="15",LEFT(TH!O1864,2)="15"),LEFT(TH!O1864,3)&lt;&gt;"111",'152-CT'!$J$8=TH!F1864),"x","")</f>
        <v/>
      </c>
      <c r="AC1864" s="84" t="str">
        <f>IF(AND(OR(LEFT(TH!N1864,2)="15",LEFT(TH!O1864,2)="15"),TK!$E$7=TH!F1864),"x","")</f>
        <v/>
      </c>
      <c r="AD1864" s="84" t="str">
        <f>IF(AND(N1864="1521",MONTH(C1864)='BK-NL'!$M$11),"x","")</f>
        <v/>
      </c>
      <c r="AE1864" s="330"/>
      <c r="AF1864" s="330"/>
    </row>
    <row r="1865" spans="1:32" s="351" customFormat="1" ht="15.75" hidden="1" customHeight="1">
      <c r="A1865" s="336" t="str">
        <f>IF(B1865&lt;&gt;"",IF(AND(B1865='IN-TC'!$S$4,OR(TH!N1865="1111",TH!O1865="1111")),TH!D1865,""),"")</f>
        <v/>
      </c>
      <c r="B1865" s="63">
        <f t="shared" si="244"/>
        <v>7</v>
      </c>
      <c r="C1865" s="64">
        <v>42566</v>
      </c>
      <c r="D1865" s="64" t="s">
        <v>705</v>
      </c>
      <c r="E1865" s="64">
        <f t="shared" si="243"/>
        <v>42566</v>
      </c>
      <c r="F1865" s="67" t="s">
        <v>1450</v>
      </c>
      <c r="G1865" s="67" t="s">
        <v>919</v>
      </c>
      <c r="H1865" s="73" t="s">
        <v>1218</v>
      </c>
      <c r="I1865" s="439"/>
      <c r="J1865" s="439"/>
      <c r="K1865" s="430"/>
      <c r="L1865" s="439"/>
      <c r="M1865" s="65">
        <v>29000000</v>
      </c>
      <c r="N1865" s="66" t="s">
        <v>72</v>
      </c>
      <c r="O1865" s="66" t="s">
        <v>26</v>
      </c>
      <c r="P1865" s="66" t="str">
        <f>IF(AND('331-CT'!$E$7=TH!H1865,OR(N1865="331",O1865="331")),"x","")</f>
        <v/>
      </c>
      <c r="Q1865" s="66" t="str">
        <f>IF(AND(B1865='111'!$L$11,OR($N1865=$Q$7,$O1865=$Q$7)),"x","")</f>
        <v/>
      </c>
      <c r="R1865" s="66" t="str">
        <f>IF(AND($N1865=$Q$7,$B1865&lt;'111'!$L$11),"x","")</f>
        <v/>
      </c>
      <c r="S1865" s="66" t="str">
        <f>IF(AND($O1865=$Q$7,$B1865&lt;'111'!$L$11),"x","")</f>
        <v/>
      </c>
      <c r="T1865" s="66" t="str">
        <f>IF(ISERROR(FIND('112'!$M$9,G1865,1)),"",IF((AND(FIND('112'!$M$9,G1865,1)&gt;=1,B1865='112'!$K$9,OR($N1865='112'!$I$6,$O1865='112'!$I$6))),"x",""))</f>
        <v/>
      </c>
      <c r="U1865" s="66" t="str">
        <f>IF(ISERROR(FIND('112'!$M$9,G1865,1)),"",IF((AND(LEFT(G1865,2)=LEFT('112'!$M$9,2),B1865&lt;'112'!$K$9,$N1865='112'!$I$6)),"x",""))</f>
        <v/>
      </c>
      <c r="V1865" s="66" t="str">
        <f>IF(ISERROR(FIND('112'!$M$9,G1865,1)),"",IF((AND(RIGHT(G1865,2)=RIGHT('112'!$M$9,2),B1865&lt;'112'!$K$9,$O1865='112'!$I$6)),"x",""))</f>
        <v/>
      </c>
      <c r="W1865" s="66" t="str">
        <f>IF(AND('341-CT'!$H$9=H1865,OR(LEFT(N1865,3)=$W$7,LEFT(O1865,3)=$W$7)),"x","")</f>
        <v/>
      </c>
      <c r="X1865" s="66" t="str">
        <f>IF(OR(TH!N1865=TH!$X$7,O1865=TH!$X$7),"x","")</f>
        <v>x</v>
      </c>
      <c r="Y1865" s="66" t="str">
        <f>IF(AND(OR(N1865="131",O1865="131"),H1865='131-CT'!$H$9),"x","")</f>
        <v/>
      </c>
      <c r="Z1865" s="66"/>
      <c r="AA1865" s="66" t="str">
        <f>IF(AND(MONTH(E1865)='IN-NX'!$J$5,'IN-NX'!$D$7=D1865),"x","")</f>
        <v/>
      </c>
      <c r="AB1865" s="66" t="str">
        <f>IF(AND(OR(LEFT(TH!N1865,2)="15",LEFT(TH!O1865,2)="15"),LEFT(TH!O1865,3)&lt;&gt;"111",'152-CT'!$J$8=TH!F1865),"x","")</f>
        <v/>
      </c>
      <c r="AC1865" s="66" t="str">
        <f>IF(AND(OR(LEFT(TH!N1865,2)="15",LEFT(TH!O1865,2)="15"),TK!$E$7=TH!F1865),"x","")</f>
        <v/>
      </c>
      <c r="AD1865" s="66" t="str">
        <f>IF(AND(N1865="1521",MONTH(C1865)='BK-NL'!$M$11),"x","")</f>
        <v/>
      </c>
    </row>
    <row r="1866" spans="1:32" s="351" customFormat="1" ht="15.75" hidden="1" customHeight="1">
      <c r="A1866" s="336" t="str">
        <f>IF(B1866&lt;&gt;"",IF(AND(B1866='IN-TC'!$S$4,OR(TH!N1866="1111",TH!O1866="1111")),TH!D1866,""),"")</f>
        <v/>
      </c>
      <c r="B1866" s="63">
        <f t="shared" si="244"/>
        <v>7</v>
      </c>
      <c r="C1866" s="64">
        <v>42566</v>
      </c>
      <c r="D1866" s="64" t="s">
        <v>705</v>
      </c>
      <c r="E1866" s="64">
        <f t="shared" si="243"/>
        <v>42566</v>
      </c>
      <c r="F1866" s="67" t="s">
        <v>1216</v>
      </c>
      <c r="G1866" s="67" t="s">
        <v>919</v>
      </c>
      <c r="H1866" s="73" t="s">
        <v>626</v>
      </c>
      <c r="I1866" s="439"/>
      <c r="J1866" s="439"/>
      <c r="K1866" s="430"/>
      <c r="L1866" s="439"/>
      <c r="M1866" s="65">
        <v>50000000</v>
      </c>
      <c r="N1866" s="66" t="s">
        <v>8</v>
      </c>
      <c r="O1866" s="66" t="s">
        <v>26</v>
      </c>
      <c r="P1866" s="66" t="str">
        <f>IF(AND('331-CT'!$E$7=TH!H1866,OR(N1866="331",O1866="331")),"x","")</f>
        <v/>
      </c>
      <c r="Q1866" s="66" t="str">
        <f>IF(AND(B1866='111'!$L$11,OR($N1866=$Q$7,$O1866=$Q$7)),"x","")</f>
        <v/>
      </c>
      <c r="R1866" s="66" t="str">
        <f>IF(AND($N1866=$Q$7,$B1866&lt;'111'!$L$11),"x","")</f>
        <v/>
      </c>
      <c r="S1866" s="66" t="str">
        <f>IF(AND($O1866=$Q$7,$B1866&lt;'111'!$L$11),"x","")</f>
        <v/>
      </c>
      <c r="T1866" s="66" t="str">
        <f>IF(ISERROR(FIND('112'!$M$9,G1866,1)),"",IF((AND(FIND('112'!$M$9,G1866,1)&gt;=1,B1866='112'!$K$9,OR($N1866='112'!$I$6,$O1866='112'!$I$6))),"x",""))</f>
        <v/>
      </c>
      <c r="U1866" s="66" t="str">
        <f>IF(ISERROR(FIND('112'!$M$9,G1866,1)),"",IF((AND(LEFT(G1866,2)=LEFT('112'!$M$9,2),B1866&lt;'112'!$K$9,$N1866='112'!$I$6)),"x",""))</f>
        <v/>
      </c>
      <c r="V1866" s="66" t="str">
        <f>IF(ISERROR(FIND('112'!$M$9,G1866,1)),"",IF((AND(RIGHT(G1866,2)=RIGHT('112'!$M$9,2),B1866&lt;'112'!$K$9,$O1866='112'!$I$6)),"x",""))</f>
        <v/>
      </c>
      <c r="W1866" s="66" t="str">
        <f>IF(AND('341-CT'!$H$9=H1866,OR(LEFT(N1866,3)=$W$7,LEFT(O1866,3)=$W$7)),"x","")</f>
        <v/>
      </c>
      <c r="X1866" s="66" t="str">
        <f>IF(OR(TH!N1866=TH!$X$7,O1866=TH!$X$7),"x","")</f>
        <v/>
      </c>
      <c r="Y1866" s="66" t="str">
        <f>IF(AND(OR(N1866="131",O1866="131"),H1866='131-CT'!$H$9),"x","")</f>
        <v/>
      </c>
      <c r="Z1866" s="66"/>
      <c r="AA1866" s="66" t="str">
        <f>IF(AND(MONTH(E1866)='IN-NX'!$J$5,'IN-NX'!$D$7=D1866),"x","")</f>
        <v/>
      </c>
      <c r="AB1866" s="66" t="str">
        <f>IF(AND(OR(LEFT(TH!N1866,2)="15",LEFT(TH!O1866,2)="15"),LEFT(TH!O1866,3)&lt;&gt;"111",'152-CT'!$J$8=TH!F1866),"x","")</f>
        <v/>
      </c>
      <c r="AC1866" s="66" t="str">
        <f>IF(AND(OR(LEFT(TH!N1866,2)="15",LEFT(TH!O1866,2)="15"),TK!$E$7=TH!F1866),"x","")</f>
        <v/>
      </c>
      <c r="AD1866" s="66" t="str">
        <f>IF(AND(N1866="1521",MONTH(C1866)='BK-NL'!$M$11),"x","")</f>
        <v/>
      </c>
      <c r="AE1866" s="1146" t="str">
        <f>IF(H1866&lt;&gt;VLOOKUP(H1866,DSKH,1,0),"","x")</f>
        <v>x</v>
      </c>
    </row>
    <row r="1867" spans="1:32" s="351" customFormat="1" ht="15.75" hidden="1" customHeight="1">
      <c r="A1867" s="336" t="str">
        <f>IF(B1867&lt;&gt;"",IF(AND(B1867='IN-TC'!$S$4,OR(TH!N1867="1111",TH!O1867="1111")),TH!D1867,""),"")</f>
        <v/>
      </c>
      <c r="B1867" s="63">
        <f t="shared" si="244"/>
        <v>7</v>
      </c>
      <c r="C1867" s="64">
        <v>42566</v>
      </c>
      <c r="D1867" s="64" t="s">
        <v>705</v>
      </c>
      <c r="E1867" s="64">
        <f t="shared" si="243"/>
        <v>42566</v>
      </c>
      <c r="F1867" s="67" t="s">
        <v>1176</v>
      </c>
      <c r="G1867" s="67" t="s">
        <v>919</v>
      </c>
      <c r="H1867" s="73" t="s">
        <v>1803</v>
      </c>
      <c r="I1867" s="439"/>
      <c r="J1867" s="439"/>
      <c r="K1867" s="430"/>
      <c r="L1867" s="439"/>
      <c r="M1867" s="65">
        <v>40000</v>
      </c>
      <c r="N1867" s="66" t="s">
        <v>101</v>
      </c>
      <c r="O1867" s="66" t="s">
        <v>26</v>
      </c>
      <c r="P1867" s="66" t="str">
        <f>IF(AND('331-CT'!$E$7=TH!H1867,OR(N1867="331",O1867="331")),"x","")</f>
        <v/>
      </c>
      <c r="Q1867" s="66" t="str">
        <f>IF(AND(B1867='111'!$L$11,OR($N1867=$Q$7,$O1867=$Q$7)),"x","")</f>
        <v/>
      </c>
      <c r="R1867" s="66" t="str">
        <f>IF(AND($N1867=$Q$7,$B1867&lt;'111'!$L$11),"x","")</f>
        <v/>
      </c>
      <c r="S1867" s="66" t="str">
        <f>IF(AND($O1867=$Q$7,$B1867&lt;'111'!$L$11),"x","")</f>
        <v/>
      </c>
      <c r="T1867" s="66" t="str">
        <f>IF(ISERROR(FIND('112'!$M$9,G1867,1)),"",IF((AND(FIND('112'!$M$9,G1867,1)&gt;=1,B1867='112'!$K$9,OR($N1867='112'!$I$6,$O1867='112'!$I$6))),"x",""))</f>
        <v/>
      </c>
      <c r="U1867" s="66" t="str">
        <f>IF(ISERROR(FIND('112'!$M$9,G1867,1)),"",IF((AND(LEFT(G1867,2)=LEFT('112'!$M$9,2),B1867&lt;'112'!$K$9,$N1867='112'!$I$6)),"x",""))</f>
        <v/>
      </c>
      <c r="V1867" s="66" t="str">
        <f>IF(ISERROR(FIND('112'!$M$9,G1867,1)),"",IF((AND(RIGHT(G1867,2)=RIGHT('112'!$M$9,2),B1867&lt;'112'!$K$9,$O1867='112'!$I$6)),"x",""))</f>
        <v/>
      </c>
      <c r="W1867" s="66" t="str">
        <f>IF(AND('341-CT'!$H$9=H1867,OR(LEFT(N1867,3)=$W$7,LEFT(O1867,3)=$W$7)),"x","")</f>
        <v/>
      </c>
      <c r="X1867" s="66" t="str">
        <f>IF(OR(TH!N1867=TH!$X$7,O1867=TH!$X$7),"x","")</f>
        <v/>
      </c>
      <c r="Y1867" s="66" t="str">
        <f>IF(AND(OR(N1867="131",O1867="131"),H1867='131-CT'!$H$9),"x","")</f>
        <v/>
      </c>
      <c r="Z1867" s="66"/>
      <c r="AA1867" s="66" t="str">
        <f>IF(AND(MONTH(E1867)='IN-NX'!$J$5,'IN-NX'!$D$7=D1867),"x","")</f>
        <v/>
      </c>
      <c r="AB1867" s="66" t="str">
        <f>IF(AND(OR(LEFT(TH!N1867,2)="15",LEFT(TH!O1867,2)="15"),LEFT(TH!O1867,3)&lt;&gt;"111",'152-CT'!$J$8=TH!F1867),"x","")</f>
        <v/>
      </c>
      <c r="AC1867" s="66" t="str">
        <f>IF(AND(OR(LEFT(TH!N1867,2)="15",LEFT(TH!O1867,2)="15"),TK!$E$7=TH!F1867),"x","")</f>
        <v/>
      </c>
      <c r="AD1867" s="66" t="str">
        <f>IF(AND(N1867="1521",MONTH(C1867)='BK-NL'!$M$11),"x","")</f>
        <v/>
      </c>
      <c r="AF1867" s="330">
        <v>7</v>
      </c>
    </row>
    <row r="1868" spans="1:32" s="351" customFormat="1" ht="15.75" hidden="1" customHeight="1">
      <c r="A1868" s="336" t="str">
        <f>IF(B1868&lt;&gt;"",IF(AND(B1868='IN-TC'!$S$4,OR(TH!N1868="1111",TH!O1868="1111")),TH!D1868,""),"")</f>
        <v/>
      </c>
      <c r="B1868" s="63">
        <f t="shared" si="244"/>
        <v>7</v>
      </c>
      <c r="C1868" s="64">
        <v>42566</v>
      </c>
      <c r="D1868" s="64" t="s">
        <v>705</v>
      </c>
      <c r="E1868" s="64">
        <f t="shared" si="243"/>
        <v>42566</v>
      </c>
      <c r="F1868" s="67" t="s">
        <v>1638</v>
      </c>
      <c r="G1868" s="67" t="s">
        <v>919</v>
      </c>
      <c r="H1868" s="73" t="s">
        <v>1803</v>
      </c>
      <c r="I1868" s="439"/>
      <c r="J1868" s="439"/>
      <c r="K1868" s="430"/>
      <c r="L1868" s="439"/>
      <c r="M1868" s="65">
        <v>4000</v>
      </c>
      <c r="N1868" s="66" t="s">
        <v>9</v>
      </c>
      <c r="O1868" s="66" t="s">
        <v>26</v>
      </c>
      <c r="P1868" s="66" t="str">
        <f>IF(AND('331-CT'!$E$7=TH!H1868,OR(N1868="331",O1868="331")),"x","")</f>
        <v/>
      </c>
      <c r="Q1868" s="66" t="str">
        <f>IF(AND(B1868='111'!$L$11,OR($N1868=$Q$7,$O1868=$Q$7)),"x","")</f>
        <v/>
      </c>
      <c r="R1868" s="66" t="str">
        <f>IF(AND($N1868=$Q$7,$B1868&lt;'111'!$L$11),"x","")</f>
        <v/>
      </c>
      <c r="S1868" s="66" t="str">
        <f>IF(AND($O1868=$Q$7,$B1868&lt;'111'!$L$11),"x","")</f>
        <v/>
      </c>
      <c r="T1868" s="66" t="str">
        <f>IF(ISERROR(FIND('112'!$M$9,G1868,1)),"",IF((AND(FIND('112'!$M$9,G1868,1)&gt;=1,B1868='112'!$K$9,OR($N1868='112'!$I$6,$O1868='112'!$I$6))),"x",""))</f>
        <v/>
      </c>
      <c r="U1868" s="66" t="str">
        <f>IF(ISERROR(FIND('112'!$M$9,G1868,1)),"",IF((AND(LEFT(G1868,2)=LEFT('112'!$M$9,2),B1868&lt;'112'!$K$9,$N1868='112'!$I$6)),"x",""))</f>
        <v/>
      </c>
      <c r="V1868" s="66" t="str">
        <f>IF(ISERROR(FIND('112'!$M$9,G1868,1)),"",IF((AND(RIGHT(G1868,2)=RIGHT('112'!$M$9,2),B1868&lt;'112'!$K$9,$O1868='112'!$I$6)),"x",""))</f>
        <v/>
      </c>
      <c r="W1868" s="66" t="str">
        <f>IF(AND('341-CT'!$H$9=H1868,OR(LEFT(N1868,3)=$W$7,LEFT(O1868,3)=$W$7)),"x","")</f>
        <v/>
      </c>
      <c r="X1868" s="66" t="str">
        <f>IF(OR(TH!N1868=TH!$X$7,O1868=TH!$X$7),"x","")</f>
        <v/>
      </c>
      <c r="Y1868" s="66" t="str">
        <f>IF(AND(OR(N1868="131",O1868="131"),H1868='131-CT'!$H$9),"x","")</f>
        <v/>
      </c>
      <c r="Z1868" s="66"/>
      <c r="AA1868" s="66" t="str">
        <f>IF(AND(MONTH(E1868)='IN-NX'!$J$5,'IN-NX'!$D$7=D1868),"x","")</f>
        <v/>
      </c>
      <c r="AB1868" s="66" t="str">
        <f>IF(AND(OR(LEFT(TH!N1868,2)="15",LEFT(TH!O1868,2)="15"),LEFT(TH!O1868,3)&lt;&gt;"111",'152-CT'!$J$8=TH!F1868),"x","")</f>
        <v/>
      </c>
      <c r="AC1868" s="66" t="str">
        <f>IF(AND(OR(LEFT(TH!N1868,2)="15",LEFT(TH!O1868,2)="15"),TK!$E$7=TH!F1868),"x","")</f>
        <v/>
      </c>
      <c r="AD1868" s="66" t="str">
        <f>IF(AND(N1868="1521",MONTH(C1868)='BK-NL'!$M$11),"x","")</f>
        <v/>
      </c>
      <c r="AF1868" s="330">
        <v>7</v>
      </c>
    </row>
    <row r="1869" spans="1:32" s="351" customFormat="1" ht="15.75" hidden="1" customHeight="1">
      <c r="A1869" s="336" t="str">
        <f>IF(B1869&lt;&gt;"",IF(AND(B1869='IN-TC'!$S$4,OR(TH!N1869="1111",TH!O1869="1111")),TH!D1869,""),"")</f>
        <v/>
      </c>
      <c r="B1869" s="63">
        <f t="shared" si="244"/>
        <v>7</v>
      </c>
      <c r="C1869" s="64">
        <v>42566</v>
      </c>
      <c r="D1869" s="64" t="s">
        <v>702</v>
      </c>
      <c r="E1869" s="64">
        <f t="shared" ref="E1869:E1894" si="245">C1869</f>
        <v>42566</v>
      </c>
      <c r="F1869" s="67" t="s">
        <v>1457</v>
      </c>
      <c r="G1869" s="67" t="s">
        <v>918</v>
      </c>
      <c r="H1869" s="73" t="s">
        <v>598</v>
      </c>
      <c r="I1869" s="439"/>
      <c r="J1869" s="439"/>
      <c r="K1869" s="430">
        <v>1850.16</v>
      </c>
      <c r="L1869" s="439">
        <v>22270</v>
      </c>
      <c r="M1869" s="65">
        <f t="shared" ref="M1869:M1877" si="246">ROUND(K1869*L1869,0)</f>
        <v>41203063</v>
      </c>
      <c r="N1869" s="66" t="s">
        <v>266</v>
      </c>
      <c r="O1869" s="66" t="s">
        <v>588</v>
      </c>
      <c r="P1869" s="66" t="str">
        <f>IF(AND('331-CT'!$E$7=TH!H1869,OR(N1869="331",O1869="331")),"x","")</f>
        <v/>
      </c>
      <c r="Q1869" s="66" t="str">
        <f>IF(AND(B1869='111'!$L$11,OR($N1869=$Q$7,$O1869=$Q$7)),"x","")</f>
        <v/>
      </c>
      <c r="R1869" s="66" t="str">
        <f>IF(AND($N1869=$Q$7,$B1869&lt;'111'!$L$11),"x","")</f>
        <v/>
      </c>
      <c r="S1869" s="66" t="str">
        <f>IF(AND($O1869=$Q$7,$B1869&lt;'111'!$L$11),"x","")</f>
        <v/>
      </c>
      <c r="T1869" s="66" t="str">
        <f>IF(ISERROR(FIND('112'!$M$9,G1869,1)),"",IF((AND(FIND('112'!$M$9,G1869,1)&gt;=1,B1869='112'!$K$9,OR($N1869='112'!$I$6,$O1869='112'!$I$6))),"x",""))</f>
        <v/>
      </c>
      <c r="U1869" s="66" t="str">
        <f>IF(ISERROR(FIND('112'!$M$9,G1869,1)),"",IF((AND(LEFT(G1869,2)=LEFT('112'!$M$9,2),B1869&lt;'112'!$K$9,$N1869='112'!$I$6)),"x",""))</f>
        <v/>
      </c>
      <c r="V1869" s="66" t="str">
        <f>IF(ISERROR(FIND('112'!$M$9,G1869,1)),"",IF((AND(RIGHT(G1869,2)=RIGHT('112'!$M$9,2),B1869&lt;'112'!$K$9,$O1869='112'!$I$6)),"x",""))</f>
        <v/>
      </c>
      <c r="W1869" s="66" t="str">
        <f>IF(AND('341-CT'!$H$9=H1869,OR(LEFT(N1869,3)=$W$7,LEFT(O1869,3)=$W$7)),"x","")</f>
        <v/>
      </c>
      <c r="X1869" s="66" t="str">
        <f>IF(OR(TH!N1869=TH!$X$7,O1869=TH!$X$7),"x","")</f>
        <v/>
      </c>
      <c r="Y1869" s="66" t="str">
        <f>IF(AND(OR(N1869="131",O1869="131"),H1869='131-CT'!$H$9),"x","")</f>
        <v/>
      </c>
      <c r="Z1869" s="66"/>
      <c r="AA1869" s="66" t="str">
        <f>IF(AND(MONTH(E1869)='IN-NX'!$J$5,'IN-NX'!$D$7=D1869),"x","")</f>
        <v/>
      </c>
      <c r="AB1869" s="66" t="str">
        <f>IF(AND(OR(LEFT(TH!N1869,2)="15",LEFT(TH!O1869,2)="15"),LEFT(TH!O1869,3)&lt;&gt;"111",'152-CT'!$J$8=TH!F1869),"x","")</f>
        <v/>
      </c>
      <c r="AC1869" s="66" t="str">
        <f>IF(AND(OR(LEFT(TH!N1869,2)="15",LEFT(TH!O1869,2)="15"),TK!$E$7=TH!F1869),"x","")</f>
        <v/>
      </c>
      <c r="AD1869" s="66" t="str">
        <f>IF(AND(N1869="1521",MONTH(C1869)='BK-NL'!$M$11),"x","")</f>
        <v/>
      </c>
    </row>
    <row r="1870" spans="1:32" s="351" customFormat="1" ht="15.75" hidden="1" customHeight="1">
      <c r="A1870" s="336" t="str">
        <f>IF(B1870&lt;&gt;"",IF(AND(B1870='IN-TC'!$S$4,OR(TH!N1870="1111",TH!O1870="1111")),TH!D1870,""),"")</f>
        <v/>
      </c>
      <c r="B1870" s="63">
        <f t="shared" si="244"/>
        <v>7</v>
      </c>
      <c r="C1870" s="64">
        <v>42566</v>
      </c>
      <c r="D1870" s="64" t="s">
        <v>705</v>
      </c>
      <c r="E1870" s="64">
        <f t="shared" si="245"/>
        <v>42566</v>
      </c>
      <c r="F1870" s="67" t="s">
        <v>1195</v>
      </c>
      <c r="G1870" s="67" t="s">
        <v>918</v>
      </c>
      <c r="H1870" s="73" t="s">
        <v>598</v>
      </c>
      <c r="I1870" s="439"/>
      <c r="J1870" s="439"/>
      <c r="K1870" s="430">
        <v>29.22</v>
      </c>
      <c r="L1870" s="439">
        <v>22270</v>
      </c>
      <c r="M1870" s="65">
        <f t="shared" si="246"/>
        <v>650729</v>
      </c>
      <c r="N1870" s="66" t="s">
        <v>101</v>
      </c>
      <c r="O1870" s="66" t="s">
        <v>588</v>
      </c>
      <c r="P1870" s="66" t="str">
        <f>IF(AND('331-CT'!$E$7=TH!H1870,OR(N1870="331",O1870="331")),"x","")</f>
        <v/>
      </c>
      <c r="Q1870" s="66" t="str">
        <f>IF(AND(B1870='111'!$L$11,OR($N1870=$Q$7,$O1870=$Q$7)),"x","")</f>
        <v/>
      </c>
      <c r="R1870" s="66" t="str">
        <f>IF(AND($N1870=$Q$7,$B1870&lt;'111'!$L$11),"x","")</f>
        <v/>
      </c>
      <c r="S1870" s="66" t="str">
        <f>IF(AND($O1870=$Q$7,$B1870&lt;'111'!$L$11),"x","")</f>
        <v/>
      </c>
      <c r="T1870" s="66" t="str">
        <f>IF(ISERROR(FIND('112'!$M$9,G1870,1)),"",IF((AND(FIND('112'!$M$9,G1870,1)&gt;=1,B1870='112'!$K$9,OR($N1870='112'!$I$6,$O1870='112'!$I$6))),"x",""))</f>
        <v/>
      </c>
      <c r="U1870" s="66" t="str">
        <f>IF(ISERROR(FIND('112'!$M$9,G1870,1)),"",IF((AND(LEFT(G1870,2)=LEFT('112'!$M$9,2),B1870&lt;'112'!$K$9,$N1870='112'!$I$6)),"x",""))</f>
        <v/>
      </c>
      <c r="V1870" s="66" t="str">
        <f>IF(ISERROR(FIND('112'!$M$9,G1870,1)),"",IF((AND(RIGHT(G1870,2)=RIGHT('112'!$M$9,2),B1870&lt;'112'!$K$9,$O1870='112'!$I$6)),"x",""))</f>
        <v/>
      </c>
      <c r="W1870" s="66" t="str">
        <f>IF(AND('341-CT'!$H$9=H1870,OR(LEFT(N1870,3)=$W$7,LEFT(O1870,3)=$W$7)),"x","")</f>
        <v/>
      </c>
      <c r="X1870" s="66" t="str">
        <f>IF(OR(TH!N1870=TH!$X$7,O1870=TH!$X$7),"x","")</f>
        <v/>
      </c>
      <c r="Y1870" s="66" t="str">
        <f>IF(AND(OR(N1870="131",O1870="131"),H1870='131-CT'!$H$9),"x","")</f>
        <v/>
      </c>
      <c r="Z1870" s="66"/>
      <c r="AA1870" s="66" t="str">
        <f>IF(AND(MONTH(E1870)='IN-NX'!$J$5,'IN-NX'!$D$7=D1870),"x","")</f>
        <v/>
      </c>
      <c r="AB1870" s="66" t="str">
        <f>IF(AND(OR(LEFT(TH!N1870,2)="15",LEFT(TH!O1870,2)="15"),LEFT(TH!O1870,3)&lt;&gt;"111",'152-CT'!$J$8=TH!F1870),"x","")</f>
        <v/>
      </c>
      <c r="AC1870" s="66" t="str">
        <f>IF(AND(OR(LEFT(TH!N1870,2)="15",LEFT(TH!O1870,2)="15"),TK!$E$7=TH!F1870),"x","")</f>
        <v/>
      </c>
      <c r="AD1870" s="66" t="str">
        <f>IF(AND(N1870="1521",MONTH(C1870)='BK-NL'!$M$11),"x","")</f>
        <v/>
      </c>
      <c r="AF1870" s="330">
        <v>7</v>
      </c>
    </row>
    <row r="1871" spans="1:32" s="351" customFormat="1" ht="15.75" hidden="1" customHeight="1">
      <c r="A1871" s="336" t="str">
        <f>IF(B1871&lt;&gt;"",IF(AND(B1871='IN-TC'!$S$4,OR(TH!N1871="1111",TH!O1871="1111")),TH!D1871,""),"")</f>
        <v/>
      </c>
      <c r="B1871" s="63">
        <f t="shared" ref="B1871" si="247">IF(C1871&lt;&gt;"",MONTH(C1871),"")</f>
        <v>7</v>
      </c>
      <c r="C1871" s="64">
        <v>42566</v>
      </c>
      <c r="D1871" s="64" t="s">
        <v>705</v>
      </c>
      <c r="E1871" s="64">
        <f t="shared" ref="E1871" si="248">C1871</f>
        <v>42566</v>
      </c>
      <c r="F1871" s="67" t="s">
        <v>1196</v>
      </c>
      <c r="G1871" s="67" t="s">
        <v>918</v>
      </c>
      <c r="H1871" s="73" t="s">
        <v>598</v>
      </c>
      <c r="I1871" s="439"/>
      <c r="J1871" s="439"/>
      <c r="K1871" s="430">
        <v>2.92</v>
      </c>
      <c r="L1871" s="439">
        <v>22270</v>
      </c>
      <c r="M1871" s="65">
        <f t="shared" ref="M1871" si="249">ROUND(K1871*L1871,0)</f>
        <v>65028</v>
      </c>
      <c r="N1871" s="66" t="s">
        <v>9</v>
      </c>
      <c r="O1871" s="66" t="s">
        <v>588</v>
      </c>
      <c r="P1871" s="66" t="str">
        <f>IF(AND('331-CT'!$E$7=TH!H1871,OR(N1871="331",O1871="331")),"x","")</f>
        <v/>
      </c>
      <c r="Q1871" s="66" t="str">
        <f>IF(AND(B1871='111'!$L$11,OR($N1871=$Q$7,$O1871=$Q$7)),"x","")</f>
        <v/>
      </c>
      <c r="R1871" s="66" t="str">
        <f>IF(AND($N1871=$Q$7,$B1871&lt;'111'!$L$11),"x","")</f>
        <v/>
      </c>
      <c r="S1871" s="66" t="str">
        <f>IF(AND($O1871=$Q$7,$B1871&lt;'111'!$L$11),"x","")</f>
        <v/>
      </c>
      <c r="T1871" s="66" t="str">
        <f>IF(ISERROR(FIND('112'!$M$9,G1871,1)),"",IF((AND(FIND('112'!$M$9,G1871,1)&gt;=1,B1871='112'!$K$9,OR($N1871='112'!$I$6,$O1871='112'!$I$6))),"x",""))</f>
        <v/>
      </c>
      <c r="U1871" s="66" t="str">
        <f>IF(ISERROR(FIND('112'!$M$9,G1871,1)),"",IF((AND(LEFT(G1871,2)=LEFT('112'!$M$9,2),B1871&lt;'112'!$K$9,$N1871='112'!$I$6)),"x",""))</f>
        <v/>
      </c>
      <c r="V1871" s="66" t="str">
        <f>IF(ISERROR(FIND('112'!$M$9,G1871,1)),"",IF((AND(RIGHT(G1871,2)=RIGHT('112'!$M$9,2),B1871&lt;'112'!$K$9,$O1871='112'!$I$6)),"x",""))</f>
        <v/>
      </c>
      <c r="W1871" s="66" t="str">
        <f>IF(AND('341-CT'!$H$9=H1871,OR(LEFT(N1871,3)=$W$7,LEFT(O1871,3)=$W$7)),"x","")</f>
        <v/>
      </c>
      <c r="X1871" s="66" t="str">
        <f>IF(OR(TH!N1871=TH!$X$7,O1871=TH!$X$7),"x","")</f>
        <v/>
      </c>
      <c r="Y1871" s="66" t="str">
        <f>IF(AND(OR(N1871="131",O1871="131"),H1871='131-CT'!$H$9),"x","")</f>
        <v/>
      </c>
      <c r="Z1871" s="66"/>
      <c r="AA1871" s="66" t="str">
        <f>IF(AND(MONTH(E1871)='IN-NX'!$J$5,'IN-NX'!$D$7=D1871),"x","")</f>
        <v/>
      </c>
      <c r="AB1871" s="66" t="str">
        <f>IF(AND(OR(LEFT(TH!N1871,2)="15",LEFT(TH!O1871,2)="15"),LEFT(TH!O1871,3)&lt;&gt;"111",'152-CT'!$J$8=TH!F1871),"x","")</f>
        <v/>
      </c>
      <c r="AC1871" s="66" t="str">
        <f>IF(AND(OR(LEFT(TH!N1871,2)="15",LEFT(TH!O1871,2)="15"),TK!$E$7=TH!F1871),"x","")</f>
        <v/>
      </c>
      <c r="AD1871" s="66" t="str">
        <f>IF(AND(N1871="1521",MONTH(C1871)='BK-NL'!$M$11),"x","")</f>
        <v/>
      </c>
      <c r="AF1871" s="330">
        <v>7</v>
      </c>
    </row>
    <row r="1872" spans="1:32" s="351" customFormat="1" ht="15.75" hidden="1" customHeight="1">
      <c r="A1872" s="336" t="str">
        <f>IF(B1872&lt;&gt;"",IF(AND(B1872='IN-TC'!$S$4,OR(TH!N1872="1111",TH!O1872="1111")),TH!D1872,""),"")</f>
        <v/>
      </c>
      <c r="B1872" s="63">
        <f t="shared" si="244"/>
        <v>7</v>
      </c>
      <c r="C1872" s="64">
        <v>42566</v>
      </c>
      <c r="D1872" s="64" t="s">
        <v>705</v>
      </c>
      <c r="E1872" s="64">
        <f t="shared" si="245"/>
        <v>42566</v>
      </c>
      <c r="F1872" s="67" t="s">
        <v>614</v>
      </c>
      <c r="G1872" s="67" t="s">
        <v>918</v>
      </c>
      <c r="H1872" s="73" t="s">
        <v>598</v>
      </c>
      <c r="I1872" s="439"/>
      <c r="J1872" s="439"/>
      <c r="K1872" s="430">
        <v>10</v>
      </c>
      <c r="L1872" s="439">
        <v>22270</v>
      </c>
      <c r="M1872" s="65">
        <f t="shared" si="246"/>
        <v>222700</v>
      </c>
      <c r="N1872" s="66" t="s">
        <v>101</v>
      </c>
      <c r="O1872" s="66" t="s">
        <v>588</v>
      </c>
      <c r="P1872" s="66" t="str">
        <f>IF(AND('331-CT'!$E$7=TH!H1872,OR(N1872="331",O1872="331")),"x","")</f>
        <v/>
      </c>
      <c r="Q1872" s="66" t="str">
        <f>IF(AND(B1872='111'!$L$11,OR($N1872=$Q$7,$O1872=$Q$7)),"x","")</f>
        <v/>
      </c>
      <c r="R1872" s="66" t="str">
        <f>IF(AND($N1872=$Q$7,$B1872&lt;'111'!$L$11),"x","")</f>
        <v/>
      </c>
      <c r="S1872" s="66" t="str">
        <f>IF(AND($O1872=$Q$7,$B1872&lt;'111'!$L$11),"x","")</f>
        <v/>
      </c>
      <c r="T1872" s="66" t="str">
        <f>IF(ISERROR(FIND('112'!$M$9,G1872,1)),"",IF((AND(FIND('112'!$M$9,G1872,1)&gt;=1,B1872='112'!$K$9,OR($N1872='112'!$I$6,$O1872='112'!$I$6))),"x",""))</f>
        <v/>
      </c>
      <c r="U1872" s="66" t="str">
        <f>IF(ISERROR(FIND('112'!$M$9,G1872,1)),"",IF((AND(LEFT(G1872,2)=LEFT('112'!$M$9,2),B1872&lt;'112'!$K$9,$N1872='112'!$I$6)),"x",""))</f>
        <v/>
      </c>
      <c r="V1872" s="66" t="str">
        <f>IF(ISERROR(FIND('112'!$M$9,G1872,1)),"",IF((AND(RIGHT(G1872,2)=RIGHT('112'!$M$9,2),B1872&lt;'112'!$K$9,$O1872='112'!$I$6)),"x",""))</f>
        <v/>
      </c>
      <c r="W1872" s="66" t="str">
        <f>IF(AND('341-CT'!$H$9=H1872,OR(LEFT(N1872,3)=$W$7,LEFT(O1872,3)=$W$7)),"x","")</f>
        <v/>
      </c>
      <c r="X1872" s="66" t="str">
        <f>IF(OR(TH!N1872=TH!$X$7,O1872=TH!$X$7),"x","")</f>
        <v/>
      </c>
      <c r="Y1872" s="66" t="str">
        <f>IF(AND(OR(N1872="131",O1872="131"),H1872='131-CT'!$H$9),"x","")</f>
        <v/>
      </c>
      <c r="Z1872" s="66"/>
      <c r="AA1872" s="66" t="str">
        <f>IF(AND(MONTH(E1872)='IN-NX'!$J$5,'IN-NX'!$D$7=D1872),"x","")</f>
        <v/>
      </c>
      <c r="AB1872" s="66" t="str">
        <f>IF(AND(OR(LEFT(TH!N1872,2)="15",LEFT(TH!O1872,2)="15"),LEFT(TH!O1872,3)&lt;&gt;"111",'152-CT'!$J$8=TH!F1872),"x","")</f>
        <v/>
      </c>
      <c r="AC1872" s="66" t="str">
        <f>IF(AND(OR(LEFT(TH!N1872,2)="15",LEFT(TH!O1872,2)="15"),TK!$E$7=TH!F1872),"x","")</f>
        <v/>
      </c>
      <c r="AD1872" s="66" t="str">
        <f>IF(AND(N1872="1521",MONTH(C1872)='BK-NL'!$M$11),"x","")</f>
        <v/>
      </c>
      <c r="AF1872" s="330">
        <v>7</v>
      </c>
    </row>
    <row r="1873" spans="1:32" s="351" customFormat="1" ht="15.75" hidden="1" customHeight="1">
      <c r="A1873" s="336" t="str">
        <f>IF(B1873&lt;&gt;"",IF(AND(B1873='IN-TC'!$S$4,OR(TH!N1873="1111",TH!O1873="1111")),TH!D1873,""),"")</f>
        <v/>
      </c>
      <c r="B1873" s="63">
        <f t="shared" ref="B1873" si="250">IF(C1873&lt;&gt;"",MONTH(C1873),"")</f>
        <v>7</v>
      </c>
      <c r="C1873" s="64">
        <v>42566</v>
      </c>
      <c r="D1873" s="64" t="s">
        <v>705</v>
      </c>
      <c r="E1873" s="64">
        <f t="shared" ref="E1873" si="251">C1873</f>
        <v>42566</v>
      </c>
      <c r="F1873" s="67" t="s">
        <v>1194</v>
      </c>
      <c r="G1873" s="67" t="s">
        <v>918</v>
      </c>
      <c r="H1873" s="73" t="s">
        <v>598</v>
      </c>
      <c r="I1873" s="439"/>
      <c r="J1873" s="439"/>
      <c r="K1873" s="430">
        <v>1</v>
      </c>
      <c r="L1873" s="439">
        <v>22270</v>
      </c>
      <c r="M1873" s="65">
        <f t="shared" ref="M1873" si="252">ROUND(K1873*L1873,0)</f>
        <v>22270</v>
      </c>
      <c r="N1873" s="66" t="s">
        <v>9</v>
      </c>
      <c r="O1873" s="66" t="s">
        <v>588</v>
      </c>
      <c r="P1873" s="66" t="str">
        <f>IF(AND('331-CT'!$E$7=TH!H1873,OR(N1873="331",O1873="331")),"x","")</f>
        <v/>
      </c>
      <c r="Q1873" s="66" t="str">
        <f>IF(AND(B1873='111'!$L$11,OR($N1873=$Q$7,$O1873=$Q$7)),"x","")</f>
        <v/>
      </c>
      <c r="R1873" s="66" t="str">
        <f>IF(AND($N1873=$Q$7,$B1873&lt;'111'!$L$11),"x","")</f>
        <v/>
      </c>
      <c r="S1873" s="66" t="str">
        <f>IF(AND($O1873=$Q$7,$B1873&lt;'111'!$L$11),"x","")</f>
        <v/>
      </c>
      <c r="T1873" s="66" t="str">
        <f>IF(ISERROR(FIND('112'!$M$9,G1873,1)),"",IF((AND(FIND('112'!$M$9,G1873,1)&gt;=1,B1873='112'!$K$9,OR($N1873='112'!$I$6,$O1873='112'!$I$6))),"x",""))</f>
        <v/>
      </c>
      <c r="U1873" s="66" t="str">
        <f>IF(ISERROR(FIND('112'!$M$9,G1873,1)),"",IF((AND(LEFT(G1873,2)=LEFT('112'!$M$9,2),B1873&lt;'112'!$K$9,$N1873='112'!$I$6)),"x",""))</f>
        <v/>
      </c>
      <c r="V1873" s="66" t="str">
        <f>IF(ISERROR(FIND('112'!$M$9,G1873,1)),"",IF((AND(RIGHT(G1873,2)=RIGHT('112'!$M$9,2),B1873&lt;'112'!$K$9,$O1873='112'!$I$6)),"x",""))</f>
        <v/>
      </c>
      <c r="W1873" s="66" t="str">
        <f>IF(AND('341-CT'!$H$9=H1873,OR(LEFT(N1873,3)=$W$7,LEFT(O1873,3)=$W$7)),"x","")</f>
        <v/>
      </c>
      <c r="X1873" s="66" t="str">
        <f>IF(OR(TH!N1873=TH!$X$7,O1873=TH!$X$7),"x","")</f>
        <v/>
      </c>
      <c r="Y1873" s="66" t="str">
        <f>IF(AND(OR(N1873="131",O1873="131"),H1873='131-CT'!$H$9),"x","")</f>
        <v/>
      </c>
      <c r="Z1873" s="66"/>
      <c r="AA1873" s="66" t="str">
        <f>IF(AND(MONTH(E1873)='IN-NX'!$J$5,'IN-NX'!$D$7=D1873),"x","")</f>
        <v/>
      </c>
      <c r="AB1873" s="66" t="str">
        <f>IF(AND(OR(LEFT(TH!N1873,2)="15",LEFT(TH!O1873,2)="15"),LEFT(TH!O1873,3)&lt;&gt;"111",'152-CT'!$J$8=TH!F1873),"x","")</f>
        <v/>
      </c>
      <c r="AC1873" s="66" t="str">
        <f>IF(AND(OR(LEFT(TH!N1873,2)="15",LEFT(TH!O1873,2)="15"),TK!$E$7=TH!F1873),"x","")</f>
        <v/>
      </c>
      <c r="AD1873" s="66" t="str">
        <f>IF(AND(N1873="1521",MONTH(C1873)='BK-NL'!$M$11),"x","")</f>
        <v/>
      </c>
      <c r="AF1873" s="330">
        <v>7</v>
      </c>
    </row>
    <row r="1874" spans="1:32" s="351" customFormat="1" ht="15.75" hidden="1" customHeight="1">
      <c r="A1874" s="336" t="str">
        <f>IF(B1874&lt;&gt;"",IF(AND(B1874='IN-TC'!$S$4,OR(TH!N1874="1111",TH!O1874="1111")),TH!D1874,""),"")</f>
        <v/>
      </c>
      <c r="B1874" s="63">
        <f t="shared" si="244"/>
        <v>7</v>
      </c>
      <c r="C1874" s="64">
        <v>42566</v>
      </c>
      <c r="D1874" s="64" t="s">
        <v>705</v>
      </c>
      <c r="E1874" s="64">
        <f t="shared" si="245"/>
        <v>42566</v>
      </c>
      <c r="F1874" s="67" t="s">
        <v>1064</v>
      </c>
      <c r="G1874" s="67" t="s">
        <v>918</v>
      </c>
      <c r="H1874" s="73" t="s">
        <v>598</v>
      </c>
      <c r="I1874" s="439"/>
      <c r="J1874" s="439"/>
      <c r="K1874" s="430">
        <v>62.64</v>
      </c>
      <c r="L1874" s="439">
        <v>22270</v>
      </c>
      <c r="M1874" s="65">
        <f t="shared" si="246"/>
        <v>1394993</v>
      </c>
      <c r="N1874" s="66" t="s">
        <v>101</v>
      </c>
      <c r="O1874" s="66" t="s">
        <v>588</v>
      </c>
      <c r="P1874" s="66" t="str">
        <f>IF(AND('331-CT'!$E$7=TH!H1874,OR(N1874="331",O1874="331")),"x","")</f>
        <v/>
      </c>
      <c r="Q1874" s="66" t="str">
        <f>IF(AND(B1874='111'!$L$11,OR($N1874=$Q$7,$O1874=$Q$7)),"x","")</f>
        <v/>
      </c>
      <c r="R1874" s="66" t="str">
        <f>IF(AND($N1874=$Q$7,$B1874&lt;'111'!$L$11),"x","")</f>
        <v/>
      </c>
      <c r="S1874" s="66" t="str">
        <f>IF(AND($O1874=$Q$7,$B1874&lt;'111'!$L$11),"x","")</f>
        <v/>
      </c>
      <c r="T1874" s="66" t="str">
        <f>IF(ISERROR(FIND('112'!$M$9,G1874,1)),"",IF((AND(FIND('112'!$M$9,G1874,1)&gt;=1,B1874='112'!$K$9,OR($N1874='112'!$I$6,$O1874='112'!$I$6))),"x",""))</f>
        <v/>
      </c>
      <c r="U1874" s="66" t="str">
        <f>IF(ISERROR(FIND('112'!$M$9,G1874,1)),"",IF((AND(LEFT(G1874,2)=LEFT('112'!$M$9,2),B1874&lt;'112'!$K$9,$N1874='112'!$I$6)),"x",""))</f>
        <v/>
      </c>
      <c r="V1874" s="66" t="str">
        <f>IF(ISERROR(FIND('112'!$M$9,G1874,1)),"",IF((AND(RIGHT(G1874,2)=RIGHT('112'!$M$9,2),B1874&lt;'112'!$K$9,$O1874='112'!$I$6)),"x",""))</f>
        <v/>
      </c>
      <c r="W1874" s="66" t="str">
        <f>IF(AND('341-CT'!$H$9=H1874,OR(LEFT(N1874,3)=$W$7,LEFT(O1874,3)=$W$7)),"x","")</f>
        <v/>
      </c>
      <c r="X1874" s="66" t="str">
        <f>IF(OR(TH!N1874=TH!$X$7,O1874=TH!$X$7),"x","")</f>
        <v/>
      </c>
      <c r="Y1874" s="66" t="str">
        <f>IF(AND(OR(N1874="131",O1874="131"),H1874='131-CT'!$H$9),"x","")</f>
        <v/>
      </c>
      <c r="Z1874" s="66"/>
      <c r="AA1874" s="66" t="str">
        <f>IF(AND(MONTH(E1874)='IN-NX'!$J$5,'IN-NX'!$D$7=D1874),"x","")</f>
        <v/>
      </c>
      <c r="AB1874" s="66" t="str">
        <f>IF(AND(OR(LEFT(TH!N1874,2)="15",LEFT(TH!O1874,2)="15"),LEFT(TH!O1874,3)&lt;&gt;"111",'152-CT'!$J$8=TH!F1874),"x","")</f>
        <v/>
      </c>
      <c r="AC1874" s="66" t="str">
        <f>IF(AND(OR(LEFT(TH!N1874,2)="15",LEFT(TH!O1874,2)="15"),TK!$E$7=TH!F1874),"x","")</f>
        <v/>
      </c>
      <c r="AD1874" s="66" t="str">
        <f>IF(AND(N1874="1521",MONTH(C1874)='BK-NL'!$M$11),"x","")</f>
        <v/>
      </c>
      <c r="AF1874" s="330">
        <v>7</v>
      </c>
    </row>
    <row r="1875" spans="1:32" s="351" customFormat="1" ht="15.75" hidden="1" customHeight="1">
      <c r="A1875" s="336" t="str">
        <f>IF(B1875&lt;&gt;"",IF(AND(B1875='IN-TC'!$S$4,OR(TH!N1875="1111",TH!O1875="1111")),TH!D1875,""),"")</f>
        <v/>
      </c>
      <c r="B1875" s="63">
        <f t="shared" ref="B1875" si="253">IF(C1875&lt;&gt;"",MONTH(C1875),"")</f>
        <v>7</v>
      </c>
      <c r="C1875" s="64">
        <v>42566</v>
      </c>
      <c r="D1875" s="64" t="s">
        <v>705</v>
      </c>
      <c r="E1875" s="64">
        <f t="shared" ref="E1875" si="254">C1875</f>
        <v>42566</v>
      </c>
      <c r="F1875" s="67" t="s">
        <v>1065</v>
      </c>
      <c r="G1875" s="67" t="s">
        <v>918</v>
      </c>
      <c r="H1875" s="73" t="s">
        <v>598</v>
      </c>
      <c r="I1875" s="439"/>
      <c r="J1875" s="439"/>
      <c r="K1875" s="430">
        <v>6.26</v>
      </c>
      <c r="L1875" s="439">
        <v>22270</v>
      </c>
      <c r="M1875" s="65">
        <f t="shared" ref="M1875" si="255">ROUND(K1875*L1875,0)</f>
        <v>139410</v>
      </c>
      <c r="N1875" s="66" t="s">
        <v>9</v>
      </c>
      <c r="O1875" s="66" t="s">
        <v>588</v>
      </c>
      <c r="P1875" s="66" t="str">
        <f>IF(AND('331-CT'!$E$7=TH!H1875,OR(N1875="331",O1875="331")),"x","")</f>
        <v/>
      </c>
      <c r="Q1875" s="66" t="str">
        <f>IF(AND(B1875='111'!$L$11,OR($N1875=$Q$7,$O1875=$Q$7)),"x","")</f>
        <v/>
      </c>
      <c r="R1875" s="66" t="str">
        <f>IF(AND($N1875=$Q$7,$B1875&lt;'111'!$L$11),"x","")</f>
        <v/>
      </c>
      <c r="S1875" s="66" t="str">
        <f>IF(AND($O1875=$Q$7,$B1875&lt;'111'!$L$11),"x","")</f>
        <v/>
      </c>
      <c r="T1875" s="66" t="str">
        <f>IF(ISERROR(FIND('112'!$M$9,G1875,1)),"",IF((AND(FIND('112'!$M$9,G1875,1)&gt;=1,B1875='112'!$K$9,OR($N1875='112'!$I$6,$O1875='112'!$I$6))),"x",""))</f>
        <v/>
      </c>
      <c r="U1875" s="66" t="str">
        <f>IF(ISERROR(FIND('112'!$M$9,G1875,1)),"",IF((AND(LEFT(G1875,2)=LEFT('112'!$M$9,2),B1875&lt;'112'!$K$9,$N1875='112'!$I$6)),"x",""))</f>
        <v/>
      </c>
      <c r="V1875" s="66" t="str">
        <f>IF(ISERROR(FIND('112'!$M$9,G1875,1)),"",IF((AND(RIGHT(G1875,2)=RIGHT('112'!$M$9,2),B1875&lt;'112'!$K$9,$O1875='112'!$I$6)),"x",""))</f>
        <v/>
      </c>
      <c r="W1875" s="66" t="str">
        <f>IF(AND('341-CT'!$H$9=H1875,OR(LEFT(N1875,3)=$W$7,LEFT(O1875,3)=$W$7)),"x","")</f>
        <v/>
      </c>
      <c r="X1875" s="66" t="str">
        <f>IF(OR(TH!N1875=TH!$X$7,O1875=TH!$X$7),"x","")</f>
        <v/>
      </c>
      <c r="Y1875" s="66" t="str">
        <f>IF(AND(OR(N1875="131",O1875="131"),H1875='131-CT'!$H$9),"x","")</f>
        <v/>
      </c>
      <c r="Z1875" s="66"/>
      <c r="AA1875" s="66" t="str">
        <f>IF(AND(MONTH(E1875)='IN-NX'!$J$5,'IN-NX'!$D$7=D1875),"x","")</f>
        <v/>
      </c>
      <c r="AB1875" s="66" t="str">
        <f>IF(AND(OR(LEFT(TH!N1875,2)="15",LEFT(TH!O1875,2)="15"),LEFT(TH!O1875,3)&lt;&gt;"111",'152-CT'!$J$8=TH!F1875),"x","")</f>
        <v/>
      </c>
      <c r="AC1875" s="66" t="str">
        <f>IF(AND(OR(LEFT(TH!N1875,2)="15",LEFT(TH!O1875,2)="15"),TK!$E$7=TH!F1875),"x","")</f>
        <v/>
      </c>
      <c r="AD1875" s="66" t="str">
        <f>IF(AND(N1875="1521",MONTH(C1875)='BK-NL'!$M$11),"x","")</f>
        <v/>
      </c>
      <c r="AF1875" s="330">
        <v>7</v>
      </c>
    </row>
    <row r="1876" spans="1:32" s="351" customFormat="1" ht="15.75" hidden="1" customHeight="1">
      <c r="A1876" s="336" t="str">
        <f>IF(B1876&lt;&gt;"",IF(AND(B1876='IN-TC'!$S$4,OR(TH!N1876="1111",TH!O1876="1111")),TH!D1876,""),"")</f>
        <v/>
      </c>
      <c r="B1876" s="63">
        <f t="shared" si="244"/>
        <v>7</v>
      </c>
      <c r="C1876" s="64">
        <v>42566</v>
      </c>
      <c r="D1876" s="64" t="s">
        <v>705</v>
      </c>
      <c r="E1876" s="64">
        <f t="shared" si="245"/>
        <v>42566</v>
      </c>
      <c r="F1876" s="67" t="s">
        <v>1066</v>
      </c>
      <c r="G1876" s="67" t="s">
        <v>918</v>
      </c>
      <c r="H1876" s="73" t="s">
        <v>598</v>
      </c>
      <c r="I1876" s="439"/>
      <c r="J1876" s="439"/>
      <c r="K1876" s="430">
        <v>30.8</v>
      </c>
      <c r="L1876" s="439">
        <v>22270</v>
      </c>
      <c r="M1876" s="65">
        <f t="shared" si="246"/>
        <v>685916</v>
      </c>
      <c r="N1876" s="66" t="s">
        <v>101</v>
      </c>
      <c r="O1876" s="66" t="s">
        <v>588</v>
      </c>
      <c r="P1876" s="66" t="str">
        <f>IF(AND('331-CT'!$E$7=TH!H1876,OR(N1876="331",O1876="331")),"x","")</f>
        <v/>
      </c>
      <c r="Q1876" s="66" t="str">
        <f>IF(AND(B1876='111'!$L$11,OR($N1876=$Q$7,$O1876=$Q$7)),"x","")</f>
        <v/>
      </c>
      <c r="R1876" s="66" t="str">
        <f>IF(AND($N1876=$Q$7,$B1876&lt;'111'!$L$11),"x","")</f>
        <v/>
      </c>
      <c r="S1876" s="66" t="str">
        <f>IF(AND($O1876=$Q$7,$B1876&lt;'111'!$L$11),"x","")</f>
        <v/>
      </c>
      <c r="T1876" s="66" t="str">
        <f>IF(ISERROR(FIND('112'!$M$9,G1876,1)),"",IF((AND(FIND('112'!$M$9,G1876,1)&gt;=1,B1876='112'!$K$9,OR($N1876='112'!$I$6,$O1876='112'!$I$6))),"x",""))</f>
        <v/>
      </c>
      <c r="U1876" s="66" t="str">
        <f>IF(ISERROR(FIND('112'!$M$9,G1876,1)),"",IF((AND(LEFT(G1876,2)=LEFT('112'!$M$9,2),B1876&lt;'112'!$K$9,$N1876='112'!$I$6)),"x",""))</f>
        <v/>
      </c>
      <c r="V1876" s="66" t="str">
        <f>IF(ISERROR(FIND('112'!$M$9,G1876,1)),"",IF((AND(RIGHT(G1876,2)=RIGHT('112'!$M$9,2),B1876&lt;'112'!$K$9,$O1876='112'!$I$6)),"x",""))</f>
        <v/>
      </c>
      <c r="W1876" s="66" t="str">
        <f>IF(AND('341-CT'!$H$9=H1876,OR(LEFT(N1876,3)=$W$7,LEFT(O1876,3)=$W$7)),"x","")</f>
        <v/>
      </c>
      <c r="X1876" s="66" t="str">
        <f>IF(OR(TH!N1876=TH!$X$7,O1876=TH!$X$7),"x","")</f>
        <v/>
      </c>
      <c r="Y1876" s="66" t="str">
        <f>IF(AND(OR(N1876="131",O1876="131"),H1876='131-CT'!$H$9),"x","")</f>
        <v/>
      </c>
      <c r="Z1876" s="66"/>
      <c r="AA1876" s="66" t="str">
        <f>IF(AND(MONTH(E1876)='IN-NX'!$J$5,'IN-NX'!$D$7=D1876),"x","")</f>
        <v/>
      </c>
      <c r="AB1876" s="66" t="str">
        <f>IF(AND(OR(LEFT(TH!N1876,2)="15",LEFT(TH!O1876,2)="15"),LEFT(TH!O1876,3)&lt;&gt;"111",'152-CT'!$J$8=TH!F1876),"x","")</f>
        <v/>
      </c>
      <c r="AC1876" s="66" t="str">
        <f>IF(AND(OR(LEFT(TH!N1876,2)="15",LEFT(TH!O1876,2)="15"),TK!$E$7=TH!F1876),"x","")</f>
        <v/>
      </c>
      <c r="AD1876" s="66" t="str">
        <f>IF(AND(N1876="1521",MONTH(C1876)='BK-NL'!$M$11),"x","")</f>
        <v/>
      </c>
    </row>
    <row r="1877" spans="1:32" s="351" customFormat="1" ht="15.75" hidden="1" customHeight="1">
      <c r="A1877" s="336" t="str">
        <f>IF(B1877&lt;&gt;"",IF(AND(B1877='IN-TC'!$S$4,OR(TH!N1877="1111",TH!O1877="1111")),TH!D1877,""),"")</f>
        <v/>
      </c>
      <c r="B1877" s="63">
        <f t="shared" si="244"/>
        <v>7</v>
      </c>
      <c r="C1877" s="64">
        <v>42566</v>
      </c>
      <c r="D1877" s="64" t="s">
        <v>705</v>
      </c>
      <c r="E1877" s="64">
        <f t="shared" si="245"/>
        <v>42566</v>
      </c>
      <c r="F1877" s="67" t="s">
        <v>1899</v>
      </c>
      <c r="G1877" s="67" t="s">
        <v>918</v>
      </c>
      <c r="H1877" s="73" t="s">
        <v>598</v>
      </c>
      <c r="I1877" s="439"/>
      <c r="J1877" s="439"/>
      <c r="K1877" s="430">
        <v>167</v>
      </c>
      <c r="L1877" s="439">
        <v>22270</v>
      </c>
      <c r="M1877" s="65">
        <f t="shared" si="246"/>
        <v>3719090</v>
      </c>
      <c r="N1877" s="66" t="s">
        <v>101</v>
      </c>
      <c r="O1877" s="66" t="s">
        <v>588</v>
      </c>
      <c r="P1877" s="66" t="str">
        <f>IF(AND('331-CT'!$E$7=TH!H1877,OR(N1877="331",O1877="331")),"x","")</f>
        <v/>
      </c>
      <c r="Q1877" s="66" t="str">
        <f>IF(AND(B1877='111'!$L$11,OR($N1877=$Q$7,$O1877=$Q$7)),"x","")</f>
        <v/>
      </c>
      <c r="R1877" s="66" t="str">
        <f>IF(AND($N1877=$Q$7,$B1877&lt;'111'!$L$11),"x","")</f>
        <v/>
      </c>
      <c r="S1877" s="66" t="str">
        <f>IF(AND($O1877=$Q$7,$B1877&lt;'111'!$L$11),"x","")</f>
        <v/>
      </c>
      <c r="T1877" s="66" t="str">
        <f>IF(ISERROR(FIND('112'!$M$9,G1877,1)),"",IF((AND(FIND('112'!$M$9,G1877,1)&gt;=1,B1877='112'!$K$9,OR($N1877='112'!$I$6,$O1877='112'!$I$6))),"x",""))</f>
        <v/>
      </c>
      <c r="U1877" s="66" t="str">
        <f>IF(ISERROR(FIND('112'!$M$9,G1877,1)),"",IF((AND(LEFT(G1877,2)=LEFT('112'!$M$9,2),B1877&lt;'112'!$K$9,$N1877='112'!$I$6)),"x",""))</f>
        <v/>
      </c>
      <c r="V1877" s="66" t="str">
        <f>IF(ISERROR(FIND('112'!$M$9,G1877,1)),"",IF((AND(RIGHT(G1877,2)=RIGHT('112'!$M$9,2),B1877&lt;'112'!$K$9,$O1877='112'!$I$6)),"x",""))</f>
        <v/>
      </c>
      <c r="W1877" s="66" t="str">
        <f>IF(AND('341-CT'!$H$9=H1877,OR(LEFT(N1877,3)=$W$7,LEFT(O1877,3)=$W$7)),"x","")</f>
        <v/>
      </c>
      <c r="X1877" s="66" t="str">
        <f>IF(OR(TH!N1877=TH!$X$7,O1877=TH!$X$7),"x","")</f>
        <v/>
      </c>
      <c r="Y1877" s="66" t="str">
        <f>IF(AND(OR(N1877="131",O1877="131"),H1877='131-CT'!$H$9),"x","")</f>
        <v/>
      </c>
      <c r="Z1877" s="66"/>
      <c r="AA1877" s="66" t="str">
        <f>IF(AND(MONTH(E1877)='IN-NX'!$J$5,'IN-NX'!$D$7=D1877),"x","")</f>
        <v/>
      </c>
      <c r="AB1877" s="66" t="str">
        <f>IF(AND(OR(LEFT(TH!N1877,2)="15",LEFT(TH!O1877,2)="15"),LEFT(TH!O1877,3)&lt;&gt;"111",'152-CT'!$J$8=TH!F1877),"x","")</f>
        <v/>
      </c>
      <c r="AC1877" s="66" t="str">
        <f>IF(AND(OR(LEFT(TH!N1877,2)="15",LEFT(TH!O1877,2)="15"),TK!$E$7=TH!F1877),"x","")</f>
        <v/>
      </c>
      <c r="AD1877" s="66" t="str">
        <f>IF(AND(N1877="1521",MONTH(C1877)='BK-NL'!$M$11),"x","")</f>
        <v/>
      </c>
    </row>
    <row r="1878" spans="1:32" s="351" customFormat="1" ht="15.75" hidden="1" customHeight="1">
      <c r="A1878" s="336" t="str">
        <f>IF(B1878&lt;&gt;"",IF(AND(B1878='IN-TC'!$S$4,OR(TH!N1878="1111",TH!O1878="1111")),TH!D1878,""),"")</f>
        <v/>
      </c>
      <c r="B1878" s="63">
        <f t="shared" si="244"/>
        <v>7</v>
      </c>
      <c r="C1878" s="64">
        <v>42566</v>
      </c>
      <c r="D1878" s="64" t="s">
        <v>705</v>
      </c>
      <c r="E1878" s="64">
        <f t="shared" si="245"/>
        <v>42566</v>
      </c>
      <c r="F1878" s="67" t="s">
        <v>1068</v>
      </c>
      <c r="G1878" s="67" t="s">
        <v>918</v>
      </c>
      <c r="H1878" s="73" t="s">
        <v>598</v>
      </c>
      <c r="I1878" s="439"/>
      <c r="J1878" s="439"/>
      <c r="K1878" s="430"/>
      <c r="L1878" s="439"/>
      <c r="M1878" s="65">
        <v>1187999</v>
      </c>
      <c r="N1878" s="66" t="s">
        <v>588</v>
      </c>
      <c r="O1878" s="66" t="s">
        <v>43</v>
      </c>
      <c r="P1878" s="66" t="str">
        <f>IF(AND('331-CT'!$E$7=TH!H1878,OR(N1878="331",O1878="331")),"x","")</f>
        <v/>
      </c>
      <c r="Q1878" s="66" t="str">
        <f>IF(AND(B1878='111'!$L$11,OR($N1878=$Q$7,$O1878=$Q$7)),"x","")</f>
        <v/>
      </c>
      <c r="R1878" s="66" t="str">
        <f>IF(AND($N1878=$Q$7,$B1878&lt;'111'!$L$11),"x","")</f>
        <v/>
      </c>
      <c r="S1878" s="66" t="str">
        <f>IF(AND($O1878=$Q$7,$B1878&lt;'111'!$L$11),"x","")</f>
        <v/>
      </c>
      <c r="T1878" s="66" t="str">
        <f>IF(ISERROR(FIND('112'!$M$9,G1878,1)),"",IF((AND(FIND('112'!$M$9,G1878,1)&gt;=1,B1878='112'!$K$9,OR($N1878='112'!$I$6,$O1878='112'!$I$6))),"x",""))</f>
        <v/>
      </c>
      <c r="U1878" s="66" t="str">
        <f>IF(ISERROR(FIND('112'!$M$9,G1878,1)),"",IF((AND(LEFT(G1878,2)=LEFT('112'!$M$9,2),B1878&lt;'112'!$K$9,$N1878='112'!$I$6)),"x",""))</f>
        <v/>
      </c>
      <c r="V1878" s="66" t="str">
        <f>IF(ISERROR(FIND('112'!$M$9,G1878,1)),"",IF((AND(RIGHT(G1878,2)=RIGHT('112'!$M$9,2),B1878&lt;'112'!$K$9,$O1878='112'!$I$6)),"x",""))</f>
        <v/>
      </c>
      <c r="W1878" s="66" t="str">
        <f>IF(AND('341-CT'!$H$9=H1878,OR(LEFT(N1878,3)=$W$7,LEFT(O1878,3)=$W$7)),"x","")</f>
        <v/>
      </c>
      <c r="X1878" s="66" t="str">
        <f>IF(OR(TH!N1878=TH!$X$7,O1878=TH!$X$7),"x","")</f>
        <v/>
      </c>
      <c r="Y1878" s="66" t="str">
        <f>IF(AND(OR(N1878="131",O1878="131"),H1878='131-CT'!$H$9),"x","")</f>
        <v/>
      </c>
      <c r="Z1878" s="66"/>
      <c r="AA1878" s="66" t="str">
        <f>IF(AND(MONTH(E1878)='IN-NX'!$J$5,'IN-NX'!$D$7=D1878),"x","")</f>
        <v/>
      </c>
      <c r="AB1878" s="66" t="str">
        <f>IF(AND(OR(LEFT(TH!N1878,2)="15",LEFT(TH!O1878,2)="15"),LEFT(TH!O1878,3)&lt;&gt;"111",'152-CT'!$J$8=TH!F1878),"x","")</f>
        <v/>
      </c>
      <c r="AC1878" s="66" t="str">
        <f>IF(AND(OR(LEFT(TH!N1878,2)="15",LEFT(TH!O1878,2)="15"),TK!$E$7=TH!F1878),"x","")</f>
        <v/>
      </c>
      <c r="AD1878" s="66" t="str">
        <f>IF(AND(N1878="1521",MONTH(C1878)='BK-NL'!$M$11),"x","")</f>
        <v/>
      </c>
    </row>
    <row r="1879" spans="1:32" s="351" customFormat="1" ht="15.75" hidden="1" customHeight="1">
      <c r="A1879" s="336" t="str">
        <f>IF(B1879&lt;&gt;"",IF(AND(B1879='IN-TC'!$S$4,OR(TH!N1879="1111",TH!O1879="1111")),TH!D1879,""),"")</f>
        <v/>
      </c>
      <c r="B1879" s="63">
        <f t="shared" si="244"/>
        <v>7</v>
      </c>
      <c r="C1879" s="64">
        <v>42566</v>
      </c>
      <c r="D1879" s="64" t="s">
        <v>705</v>
      </c>
      <c r="E1879" s="64">
        <f t="shared" si="245"/>
        <v>42566</v>
      </c>
      <c r="F1879" s="67" t="s">
        <v>1791</v>
      </c>
      <c r="G1879" s="67" t="s">
        <v>918</v>
      </c>
      <c r="H1879" s="73" t="s">
        <v>742</v>
      </c>
      <c r="I1879" s="439"/>
      <c r="J1879" s="439"/>
      <c r="K1879" s="430">
        <v>162.72</v>
      </c>
      <c r="L1879" s="439">
        <v>22270</v>
      </c>
      <c r="M1879" s="65">
        <f>ROUND(K1879*L1879,0)</f>
        <v>3623774</v>
      </c>
      <c r="N1879" s="66" t="s">
        <v>99</v>
      </c>
      <c r="O1879" s="66" t="s">
        <v>266</v>
      </c>
      <c r="P1879" s="66" t="str">
        <f>IF(AND('331-CT'!$E$7=TH!H1879,OR(N1879="331",O1879="331")),"x","")</f>
        <v/>
      </c>
      <c r="Q1879" s="66" t="str">
        <f>IF(AND(B1879='111'!$L$11,OR($N1879=$Q$7,$O1879=$Q$7)),"x","")</f>
        <v/>
      </c>
      <c r="R1879" s="66" t="str">
        <f>IF(AND($N1879=$Q$7,$B1879&lt;'111'!$L$11),"x","")</f>
        <v/>
      </c>
      <c r="S1879" s="66" t="str">
        <f>IF(AND($O1879=$Q$7,$B1879&lt;'111'!$L$11),"x","")</f>
        <v/>
      </c>
      <c r="T1879" s="66" t="str">
        <f>IF(ISERROR(FIND('112'!$M$9,G1879,1)),"",IF((AND(FIND('112'!$M$9,G1879,1)&gt;=1,B1879='112'!$K$9,OR($N1879='112'!$I$6,$O1879='112'!$I$6))),"x",""))</f>
        <v/>
      </c>
      <c r="U1879" s="66" t="str">
        <f>IF(ISERROR(FIND('112'!$M$9,G1879,1)),"",IF((AND(LEFT(G1879,2)=LEFT('112'!$M$9,2),B1879&lt;'112'!$K$9,$N1879='112'!$I$6)),"x",""))</f>
        <v/>
      </c>
      <c r="V1879" s="66" t="str">
        <f>IF(ISERROR(FIND('112'!$M$9,G1879,1)),"",IF((AND(RIGHT(G1879,2)=RIGHT('112'!$M$9,2),B1879&lt;'112'!$K$9,$O1879='112'!$I$6)),"x",""))</f>
        <v/>
      </c>
      <c r="W1879" s="66" t="str">
        <f>IF(AND('341-CT'!$H$9=H1879,OR(LEFT(N1879,3)=$W$7,LEFT(O1879,3)=$W$7)),"x","")</f>
        <v/>
      </c>
      <c r="X1879" s="66" t="str">
        <f>IF(OR(TH!N1879=TH!$X$7,O1879=TH!$X$7),"x","")</f>
        <v/>
      </c>
      <c r="Y1879" s="66" t="str">
        <f>IF(AND(OR(N1879="131",O1879="131"),H1879='131-CT'!$H$9),"x","")</f>
        <v/>
      </c>
      <c r="Z1879" s="66"/>
      <c r="AA1879" s="66" t="str">
        <f>IF(AND(MONTH(E1879)='IN-NX'!$J$5,'IN-NX'!$D$7=D1879),"x","")</f>
        <v/>
      </c>
      <c r="AB1879" s="66" t="str">
        <f>IF(AND(OR(LEFT(TH!N1879,2)="15",LEFT(TH!O1879,2)="15"),LEFT(TH!O1879,3)&lt;&gt;"111",'152-CT'!$J$8=TH!F1879),"x","")</f>
        <v/>
      </c>
      <c r="AC1879" s="66" t="str">
        <f>IF(AND(OR(LEFT(TH!N1879,2)="15",LEFT(TH!O1879,2)="15"),TK!$E$7=TH!F1879),"x","")</f>
        <v/>
      </c>
      <c r="AD1879" s="66" t="str">
        <f>IF(AND(N1879="1521",MONTH(C1879)='BK-NL'!$M$11),"x","")</f>
        <v/>
      </c>
    </row>
    <row r="1880" spans="1:32" s="351" customFormat="1" ht="15.75" hidden="1" customHeight="1">
      <c r="A1880" s="336" t="str">
        <f>IF(B1880&lt;&gt;"",IF(AND(B1880='IN-TC'!$S$4,OR(TH!N1880="1111",TH!O1880="1111")),TH!D1880,""),"")</f>
        <v/>
      </c>
      <c r="B1880" s="63">
        <f t="shared" si="244"/>
        <v>7</v>
      </c>
      <c r="C1880" s="64">
        <v>42566</v>
      </c>
      <c r="D1880" s="64" t="s">
        <v>705</v>
      </c>
      <c r="E1880" s="64">
        <f t="shared" si="245"/>
        <v>42566</v>
      </c>
      <c r="F1880" s="67" t="s">
        <v>1791</v>
      </c>
      <c r="G1880" s="67" t="s">
        <v>918</v>
      </c>
      <c r="H1880" s="73" t="s">
        <v>1673</v>
      </c>
      <c r="I1880" s="439"/>
      <c r="J1880" s="439"/>
      <c r="K1880" s="430">
        <v>255.04</v>
      </c>
      <c r="L1880" s="439">
        <v>22270</v>
      </c>
      <c r="M1880" s="65">
        <f>ROUND(K1880*L1880,0)</f>
        <v>5679741</v>
      </c>
      <c r="N1880" s="66" t="s">
        <v>99</v>
      </c>
      <c r="O1880" s="66" t="s">
        <v>266</v>
      </c>
      <c r="P1880" s="66" t="str">
        <f>IF(AND('331-CT'!$E$7=TH!H1880,OR(N1880="331",O1880="331")),"x","")</f>
        <v/>
      </c>
      <c r="Q1880" s="66" t="str">
        <f>IF(AND(B1880='111'!$L$11,OR($N1880=$Q$7,$O1880=$Q$7)),"x","")</f>
        <v/>
      </c>
      <c r="R1880" s="66" t="str">
        <f>IF(AND($N1880=$Q$7,$B1880&lt;'111'!$L$11),"x","")</f>
        <v/>
      </c>
      <c r="S1880" s="66" t="str">
        <f>IF(AND($O1880=$Q$7,$B1880&lt;'111'!$L$11),"x","")</f>
        <v/>
      </c>
      <c r="T1880" s="66" t="str">
        <f>IF(ISERROR(FIND('112'!$M$9,G1880,1)),"",IF((AND(FIND('112'!$M$9,G1880,1)&gt;=1,B1880='112'!$K$9,OR($N1880='112'!$I$6,$O1880='112'!$I$6))),"x",""))</f>
        <v/>
      </c>
      <c r="U1880" s="66" t="str">
        <f>IF(ISERROR(FIND('112'!$M$9,G1880,1)),"",IF((AND(LEFT(G1880,2)=LEFT('112'!$M$9,2),B1880&lt;'112'!$K$9,$N1880='112'!$I$6)),"x",""))</f>
        <v/>
      </c>
      <c r="V1880" s="66" t="str">
        <f>IF(ISERROR(FIND('112'!$M$9,G1880,1)),"",IF((AND(RIGHT(G1880,2)=RIGHT('112'!$M$9,2),B1880&lt;'112'!$K$9,$O1880='112'!$I$6)),"x",""))</f>
        <v/>
      </c>
      <c r="W1880" s="66" t="str">
        <f>IF(AND('341-CT'!$H$9=H1880,OR(LEFT(N1880,3)=$W$7,LEFT(O1880,3)=$W$7)),"x","")</f>
        <v/>
      </c>
      <c r="X1880" s="66" t="str">
        <f>IF(OR(TH!N1880=TH!$X$7,O1880=TH!$X$7),"x","")</f>
        <v/>
      </c>
      <c r="Y1880" s="66" t="str">
        <f>IF(AND(OR(N1880="131",O1880="131"),H1880='131-CT'!$H$9),"x","")</f>
        <v/>
      </c>
      <c r="Z1880" s="66"/>
      <c r="AA1880" s="66" t="str">
        <f>IF(AND(MONTH(E1880)='IN-NX'!$J$5,'IN-NX'!$D$7=D1880),"x","")</f>
        <v/>
      </c>
      <c r="AB1880" s="66" t="str">
        <f>IF(AND(OR(LEFT(TH!N1880,2)="15",LEFT(TH!O1880,2)="15"),LEFT(TH!O1880,3)&lt;&gt;"111",'152-CT'!$J$8=TH!F1880),"x","")</f>
        <v/>
      </c>
      <c r="AC1880" s="66" t="str">
        <f>IF(AND(OR(LEFT(TH!N1880,2)="15",LEFT(TH!O1880,2)="15"),TK!$E$7=TH!F1880),"x","")</f>
        <v/>
      </c>
      <c r="AD1880" s="66" t="str">
        <f>IF(AND(N1880="1521",MONTH(C1880)='BK-NL'!$M$11),"x","")</f>
        <v/>
      </c>
    </row>
    <row r="1881" spans="1:32" s="351" customFormat="1" ht="15.75" hidden="1" customHeight="1">
      <c r="A1881" s="336" t="str">
        <f>IF(B1881&lt;&gt;"",IF(AND(B1881='IN-TC'!$S$4,OR(TH!N1881="1111",TH!O1881="1111")),TH!D1881,""),"")</f>
        <v/>
      </c>
      <c r="B1881" s="63">
        <f t="shared" si="244"/>
        <v>7</v>
      </c>
      <c r="C1881" s="64">
        <v>42566</v>
      </c>
      <c r="D1881" s="64" t="s">
        <v>705</v>
      </c>
      <c r="E1881" s="64">
        <f t="shared" si="245"/>
        <v>42566</v>
      </c>
      <c r="F1881" s="67" t="s">
        <v>1791</v>
      </c>
      <c r="G1881" s="67" t="s">
        <v>918</v>
      </c>
      <c r="H1881" s="73" t="s">
        <v>1675</v>
      </c>
      <c r="I1881" s="439"/>
      <c r="J1881" s="439"/>
      <c r="K1881" s="430">
        <v>341.74</v>
      </c>
      <c r="L1881" s="439">
        <v>22270</v>
      </c>
      <c r="M1881" s="65">
        <f>ROUND(K1881*L1881,0)</f>
        <v>7610550</v>
      </c>
      <c r="N1881" s="66" t="s">
        <v>99</v>
      </c>
      <c r="O1881" s="66" t="s">
        <v>266</v>
      </c>
      <c r="P1881" s="66" t="str">
        <f>IF(AND('331-CT'!$E$7=TH!H1881,OR(N1881="331",O1881="331")),"x","")</f>
        <v/>
      </c>
      <c r="Q1881" s="66" t="str">
        <f>IF(AND(B1881='111'!$L$11,OR($N1881=$Q$7,$O1881=$Q$7)),"x","")</f>
        <v/>
      </c>
      <c r="R1881" s="66" t="str">
        <f>IF(AND($N1881=$Q$7,$B1881&lt;'111'!$L$11),"x","")</f>
        <v/>
      </c>
      <c r="S1881" s="66" t="str">
        <f>IF(AND($O1881=$Q$7,$B1881&lt;'111'!$L$11),"x","")</f>
        <v/>
      </c>
      <c r="T1881" s="66" t="str">
        <f>IF(ISERROR(FIND('112'!$M$9,G1881,1)),"",IF((AND(FIND('112'!$M$9,G1881,1)&gt;=1,B1881='112'!$K$9,OR($N1881='112'!$I$6,$O1881='112'!$I$6))),"x",""))</f>
        <v/>
      </c>
      <c r="U1881" s="66" t="str">
        <f>IF(ISERROR(FIND('112'!$M$9,G1881,1)),"",IF((AND(LEFT(G1881,2)=LEFT('112'!$M$9,2),B1881&lt;'112'!$K$9,$N1881='112'!$I$6)),"x",""))</f>
        <v/>
      </c>
      <c r="V1881" s="66" t="str">
        <f>IF(ISERROR(FIND('112'!$M$9,G1881,1)),"",IF((AND(RIGHT(G1881,2)=RIGHT('112'!$M$9,2),B1881&lt;'112'!$K$9,$O1881='112'!$I$6)),"x",""))</f>
        <v/>
      </c>
      <c r="W1881" s="66" t="str">
        <f>IF(AND('341-CT'!$H$9=H1881,OR(LEFT(N1881,3)=$W$7,LEFT(O1881,3)=$W$7)),"x","")</f>
        <v/>
      </c>
      <c r="X1881" s="66" t="str">
        <f>IF(OR(TH!N1881=TH!$X$7,O1881=TH!$X$7),"x","")</f>
        <v/>
      </c>
      <c r="Y1881" s="66" t="str">
        <f>IF(AND(OR(N1881="131",O1881="131"),H1881='131-CT'!$H$9),"x","")</f>
        <v/>
      </c>
      <c r="Z1881" s="66"/>
      <c r="AA1881" s="66" t="str">
        <f>IF(AND(MONTH(E1881)='IN-NX'!$J$5,'IN-NX'!$D$7=D1881),"x","")</f>
        <v/>
      </c>
      <c r="AB1881" s="66" t="str">
        <f>IF(AND(OR(LEFT(TH!N1881,2)="15",LEFT(TH!O1881,2)="15"),LEFT(TH!O1881,3)&lt;&gt;"111",'152-CT'!$J$8=TH!F1881),"x","")</f>
        <v/>
      </c>
      <c r="AC1881" s="66" t="str">
        <f>IF(AND(OR(LEFT(TH!N1881,2)="15",LEFT(TH!O1881,2)="15"),TK!$E$7=TH!F1881),"x","")</f>
        <v/>
      </c>
      <c r="AD1881" s="66" t="str">
        <f>IF(AND(N1881="1521",MONTH(C1881)='BK-NL'!$M$11),"x","")</f>
        <v/>
      </c>
    </row>
    <row r="1882" spans="1:32" s="351" customFormat="1" ht="15.75" hidden="1" customHeight="1">
      <c r="A1882" s="336" t="str">
        <f>IF(B1882&lt;&gt;"",IF(AND(B1882='IN-TC'!$S$4,OR(TH!N1882="1111",TH!O1882="1111")),TH!D1882,""),"")</f>
        <v/>
      </c>
      <c r="B1882" s="63">
        <f t="shared" si="244"/>
        <v>7</v>
      </c>
      <c r="C1882" s="64">
        <v>42567</v>
      </c>
      <c r="D1882" s="64" t="s">
        <v>883</v>
      </c>
      <c r="E1882" s="64">
        <f t="shared" si="245"/>
        <v>42567</v>
      </c>
      <c r="F1882" s="67" t="s">
        <v>1734</v>
      </c>
      <c r="G1882" s="982" t="s">
        <v>1735</v>
      </c>
      <c r="H1882" s="73" t="s">
        <v>1411</v>
      </c>
      <c r="I1882" s="439"/>
      <c r="J1882" s="439"/>
      <c r="K1882" s="430"/>
      <c r="L1882" s="439"/>
      <c r="M1882" s="65">
        <v>7000400</v>
      </c>
      <c r="N1882" s="66" t="s">
        <v>8</v>
      </c>
      <c r="O1882" s="66" t="s">
        <v>63</v>
      </c>
      <c r="P1882" s="66" t="str">
        <f>IF(AND('331-CT'!$E$7=TH!H1882,OR(N1882="331",O1882="331")),"x","")</f>
        <v/>
      </c>
      <c r="Q1882" s="66" t="str">
        <f>IF(AND(B1882='111'!$L$11,OR($N1882=$Q$7,$O1882=$Q$7)),"x","")</f>
        <v/>
      </c>
      <c r="R1882" s="66" t="str">
        <f>IF(AND($N1882=$Q$7,$B1882&lt;'111'!$L$11),"x","")</f>
        <v/>
      </c>
      <c r="S1882" s="66" t="str">
        <f>IF(AND($O1882=$Q$7,$B1882&lt;'111'!$L$11),"x","")</f>
        <v/>
      </c>
      <c r="T1882" s="66" t="str">
        <f>IF(ISERROR(FIND('112'!$M$9,G1882,1)),"",IF((AND(FIND('112'!$M$9,G1882,1)&gt;=1,B1882='112'!$K$9,OR($N1882='112'!$I$6,$O1882='112'!$I$6))),"x",""))</f>
        <v/>
      </c>
      <c r="U1882" s="66" t="str">
        <f>IF(ISERROR(FIND('112'!$M$9,G1882,1)),"",IF((AND(LEFT(G1882,2)=LEFT('112'!$M$9,2),B1882&lt;'112'!$K$9,$N1882='112'!$I$6)),"x",""))</f>
        <v/>
      </c>
      <c r="V1882" s="66" t="str">
        <f>IF(ISERROR(FIND('112'!$M$9,G1882,1)),"",IF((AND(RIGHT(G1882,2)=RIGHT('112'!$M$9,2),B1882&lt;'112'!$K$9,$O1882='112'!$I$6)),"x",""))</f>
        <v/>
      </c>
      <c r="W1882" s="66" t="str">
        <f>IF(AND('341-CT'!$H$9=H1882,OR(LEFT(N1882,3)=$W$7,LEFT(O1882,3)=$W$7)),"x","")</f>
        <v/>
      </c>
      <c r="X1882" s="66" t="str">
        <f>IF(OR(TH!N1882=TH!$X$7,O1882=TH!$X$7),"x","")</f>
        <v/>
      </c>
      <c r="Y1882" s="66" t="str">
        <f>IF(AND(OR(N1882="131",O1882="131"),H1882='131-CT'!$H$9),"x","")</f>
        <v/>
      </c>
      <c r="Z1882" s="66"/>
      <c r="AA1882" s="66" t="str">
        <f>IF(AND(MONTH(E1882)='IN-NX'!$J$5,'IN-NX'!$D$7=D1882),"x","")</f>
        <v/>
      </c>
      <c r="AB1882" s="66" t="str">
        <f>IF(AND(OR(LEFT(TH!N1882,2)="15",LEFT(TH!O1882,2)="15"),LEFT(TH!O1882,3)&lt;&gt;"111",'152-CT'!$J$8=TH!F1882),"x","")</f>
        <v/>
      </c>
      <c r="AC1882" s="66" t="str">
        <f>IF(AND(OR(LEFT(TH!N1882,2)="15",LEFT(TH!O1882,2)="15"),TK!$E$7=TH!F1882),"x","")</f>
        <v/>
      </c>
      <c r="AD1882" s="66" t="str">
        <f>IF(AND(N1882="1521",MONTH(C1882)='BK-NL'!$M$11),"x","")</f>
        <v/>
      </c>
      <c r="AE1882" s="1146" t="str">
        <f>IF(H1882&lt;&gt;VLOOKUP(H1882,DSKH,1,0),"","x")</f>
        <v>x</v>
      </c>
    </row>
    <row r="1883" spans="1:32" s="351" customFormat="1" ht="15.75" hidden="1" customHeight="1">
      <c r="A1883" s="336" t="str">
        <f>IF(B1883&lt;&gt;"",IF(AND(B1883='IN-TC'!$S$4,OR(TH!N1883="1111",TH!O1883="1111")),TH!D1883,""),"")</f>
        <v/>
      </c>
      <c r="B1883" s="63">
        <f t="shared" si="244"/>
        <v>7</v>
      </c>
      <c r="C1883" s="64">
        <v>42569</v>
      </c>
      <c r="D1883" s="64" t="s">
        <v>884</v>
      </c>
      <c r="E1883" s="64">
        <f t="shared" si="245"/>
        <v>42569</v>
      </c>
      <c r="F1883" s="67" t="s">
        <v>1142</v>
      </c>
      <c r="G1883" s="982" t="s">
        <v>1736</v>
      </c>
      <c r="H1883" s="73" t="s">
        <v>1145</v>
      </c>
      <c r="I1883" s="439"/>
      <c r="J1883" s="439"/>
      <c r="K1883" s="430"/>
      <c r="L1883" s="439"/>
      <c r="M1883" s="65">
        <v>2069520</v>
      </c>
      <c r="N1883" s="66" t="s">
        <v>101</v>
      </c>
      <c r="O1883" s="66" t="s">
        <v>63</v>
      </c>
      <c r="P1883" s="66" t="str">
        <f>IF(AND('331-CT'!$E$7=TH!H1883,OR(N1883="331",O1883="331")),"x","")</f>
        <v/>
      </c>
      <c r="Q1883" s="66" t="str">
        <f>IF(AND(B1883='111'!$L$11,OR($N1883=$Q$7,$O1883=$Q$7)),"x","")</f>
        <v/>
      </c>
      <c r="R1883" s="66" t="str">
        <f>IF(AND($N1883=$Q$7,$B1883&lt;'111'!$L$11),"x","")</f>
        <v/>
      </c>
      <c r="S1883" s="66" t="str">
        <f>IF(AND($O1883=$Q$7,$B1883&lt;'111'!$L$11),"x","")</f>
        <v/>
      </c>
      <c r="T1883" s="66" t="str">
        <f>IF(ISERROR(FIND('112'!$M$9,G1883,1)),"",IF((AND(FIND('112'!$M$9,G1883,1)&gt;=1,B1883='112'!$K$9,OR($N1883='112'!$I$6,$O1883='112'!$I$6))),"x",""))</f>
        <v/>
      </c>
      <c r="U1883" s="66" t="str">
        <f>IF(ISERROR(FIND('112'!$M$9,G1883,1)),"",IF((AND(LEFT(G1883,2)=LEFT('112'!$M$9,2),B1883&lt;'112'!$K$9,$N1883='112'!$I$6)),"x",""))</f>
        <v/>
      </c>
      <c r="V1883" s="66" t="str">
        <f>IF(ISERROR(FIND('112'!$M$9,G1883,1)),"",IF((AND(RIGHT(G1883,2)=RIGHT('112'!$M$9,2),B1883&lt;'112'!$K$9,$O1883='112'!$I$6)),"x",""))</f>
        <v/>
      </c>
      <c r="W1883" s="66" t="str">
        <f>IF(AND('341-CT'!$H$9=H1883,OR(LEFT(N1883,3)=$W$7,LEFT(O1883,3)=$W$7)),"x","")</f>
        <v/>
      </c>
      <c r="X1883" s="66" t="str">
        <f>IF(OR(TH!N1883=TH!$X$7,O1883=TH!$X$7),"x","")</f>
        <v/>
      </c>
      <c r="Y1883" s="66" t="str">
        <f>IF(AND(OR(N1883="131",O1883="131"),H1883='131-CT'!$H$9),"x","")</f>
        <v/>
      </c>
      <c r="Z1883" s="66"/>
      <c r="AA1883" s="66" t="str">
        <f>IF(AND(MONTH(E1883)='IN-NX'!$J$5,'IN-NX'!$D$7=D1883),"x","")</f>
        <v/>
      </c>
      <c r="AB1883" s="66" t="str">
        <f>IF(AND(OR(LEFT(TH!N1883,2)="15",LEFT(TH!O1883,2)="15"),LEFT(TH!O1883,3)&lt;&gt;"111",'152-CT'!$J$8=TH!F1883),"x","")</f>
        <v/>
      </c>
      <c r="AC1883" s="66" t="str">
        <f>IF(AND(OR(LEFT(TH!N1883,2)="15",LEFT(TH!O1883,2)="15"),TK!$E$7=TH!F1883),"x","")</f>
        <v/>
      </c>
      <c r="AD1883" s="66" t="str">
        <f>IF(AND(N1883="1521",MONTH(C1883)='BK-NL'!$M$11),"x","")</f>
        <v/>
      </c>
      <c r="AF1883" s="330">
        <v>7</v>
      </c>
    </row>
    <row r="1884" spans="1:32" s="351" customFormat="1" ht="15.75" hidden="1" customHeight="1">
      <c r="A1884" s="336" t="str">
        <f>IF(B1884&lt;&gt;"",IF(AND(B1884='IN-TC'!$S$4,OR(TH!N1884="1111",TH!O1884="1111")),TH!D1884,""),"")</f>
        <v/>
      </c>
      <c r="B1884" s="63">
        <f t="shared" si="244"/>
        <v>7</v>
      </c>
      <c r="C1884" s="64">
        <v>42569</v>
      </c>
      <c r="D1884" s="64" t="s">
        <v>884</v>
      </c>
      <c r="E1884" s="64">
        <f t="shared" si="245"/>
        <v>42569</v>
      </c>
      <c r="F1884" s="67" t="s">
        <v>1143</v>
      </c>
      <c r="G1884" s="982" t="s">
        <v>1736</v>
      </c>
      <c r="H1884" s="73" t="s">
        <v>1145</v>
      </c>
      <c r="I1884" s="439"/>
      <c r="J1884" s="439"/>
      <c r="K1884" s="430"/>
      <c r="L1884" s="439"/>
      <c r="M1884" s="65">
        <v>206952</v>
      </c>
      <c r="N1884" s="66" t="s">
        <v>9</v>
      </c>
      <c r="O1884" s="66" t="s">
        <v>63</v>
      </c>
      <c r="P1884" s="66" t="str">
        <f>IF(AND('331-CT'!$E$7=TH!H1884,OR(N1884="331",O1884="331")),"x","")</f>
        <v/>
      </c>
      <c r="Q1884" s="66" t="str">
        <f>IF(AND(B1884='111'!$L$11,OR($N1884=$Q$7,$O1884=$Q$7)),"x","")</f>
        <v/>
      </c>
      <c r="R1884" s="66" t="str">
        <f>IF(AND($N1884=$Q$7,$B1884&lt;'111'!$L$11),"x","")</f>
        <v/>
      </c>
      <c r="S1884" s="66" t="str">
        <f>IF(AND($O1884=$Q$7,$B1884&lt;'111'!$L$11),"x","")</f>
        <v/>
      </c>
      <c r="T1884" s="66" t="str">
        <f>IF(ISERROR(FIND('112'!$M$9,G1884,1)),"",IF((AND(FIND('112'!$M$9,G1884,1)&gt;=1,B1884='112'!$K$9,OR($N1884='112'!$I$6,$O1884='112'!$I$6))),"x",""))</f>
        <v/>
      </c>
      <c r="U1884" s="66" t="str">
        <f>IF(ISERROR(FIND('112'!$M$9,G1884,1)),"",IF((AND(LEFT(G1884,2)=LEFT('112'!$M$9,2),B1884&lt;'112'!$K$9,$N1884='112'!$I$6)),"x",""))</f>
        <v/>
      </c>
      <c r="V1884" s="66" t="str">
        <f>IF(ISERROR(FIND('112'!$M$9,G1884,1)),"",IF((AND(RIGHT(G1884,2)=RIGHT('112'!$M$9,2),B1884&lt;'112'!$K$9,$O1884='112'!$I$6)),"x",""))</f>
        <v/>
      </c>
      <c r="W1884" s="66" t="str">
        <f>IF(AND('341-CT'!$H$9=H1884,OR(LEFT(N1884,3)=$W$7,LEFT(O1884,3)=$W$7)),"x","")</f>
        <v/>
      </c>
      <c r="X1884" s="66" t="str">
        <f>IF(OR(TH!N1884=TH!$X$7,O1884=TH!$X$7),"x","")</f>
        <v/>
      </c>
      <c r="Y1884" s="66" t="str">
        <f>IF(AND(OR(N1884="131",O1884="131"),H1884='131-CT'!$H$9),"x","")</f>
        <v/>
      </c>
      <c r="Z1884" s="66"/>
      <c r="AA1884" s="66" t="str">
        <f>IF(AND(MONTH(E1884)='IN-NX'!$J$5,'IN-NX'!$D$7=D1884),"x","")</f>
        <v/>
      </c>
      <c r="AB1884" s="66" t="str">
        <f>IF(AND(OR(LEFT(TH!N1884,2)="15",LEFT(TH!O1884,2)="15"),LEFT(TH!O1884,3)&lt;&gt;"111",'152-CT'!$J$8=TH!F1884),"x","")</f>
        <v/>
      </c>
      <c r="AC1884" s="66" t="str">
        <f>IF(AND(OR(LEFT(TH!N1884,2)="15",LEFT(TH!O1884,2)="15"),TK!$E$7=TH!F1884),"x","")</f>
        <v/>
      </c>
      <c r="AD1884" s="66" t="str">
        <f>IF(AND(N1884="1521",MONTH(C1884)='BK-NL'!$M$11),"x","")</f>
        <v/>
      </c>
      <c r="AF1884" s="330">
        <v>7</v>
      </c>
    </row>
    <row r="1885" spans="1:32" s="351" customFormat="1" ht="15.75" hidden="1" customHeight="1">
      <c r="A1885" s="336" t="str">
        <f>IF(B1885&lt;&gt;"",IF(AND(B1885='IN-TC'!$S$4,OR(TH!N1885="1111",TH!O1885="1111")),TH!D1885,""),"")</f>
        <v/>
      </c>
      <c r="B1885" s="63">
        <f t="shared" si="244"/>
        <v>7</v>
      </c>
      <c r="C1885" s="64">
        <v>42570</v>
      </c>
      <c r="D1885" s="64" t="s">
        <v>886</v>
      </c>
      <c r="E1885" s="64">
        <f t="shared" si="245"/>
        <v>42570</v>
      </c>
      <c r="F1885" s="73" t="s">
        <v>1701</v>
      </c>
      <c r="G1885" s="982" t="s">
        <v>1738</v>
      </c>
      <c r="H1885" s="73" t="s">
        <v>831</v>
      </c>
      <c r="I1885" s="439"/>
      <c r="J1885" s="439"/>
      <c r="K1885" s="430"/>
      <c r="L1885" s="439"/>
      <c r="M1885" s="65">
        <v>500000</v>
      </c>
      <c r="N1885" s="66" t="s">
        <v>101</v>
      </c>
      <c r="O1885" s="66" t="s">
        <v>63</v>
      </c>
      <c r="P1885" s="66" t="str">
        <f>IF(AND('331-CT'!$E$7=TH!H1885,OR(N1885="331",O1885="331")),"x","")</f>
        <v/>
      </c>
      <c r="Q1885" s="66" t="str">
        <f>IF(AND(B1885='111'!$L$11,OR($N1885=$Q$7,$O1885=$Q$7)),"x","")</f>
        <v/>
      </c>
      <c r="R1885" s="66" t="str">
        <f>IF(AND($N1885=$Q$7,$B1885&lt;'111'!$L$11),"x","")</f>
        <v/>
      </c>
      <c r="S1885" s="66" t="str">
        <f>IF(AND($O1885=$Q$7,$B1885&lt;'111'!$L$11),"x","")</f>
        <v/>
      </c>
      <c r="T1885" s="66" t="str">
        <f>IF(ISERROR(FIND('112'!$M$9,G1885,1)),"",IF((AND(FIND('112'!$M$9,G1885,1)&gt;=1,B1885='112'!$K$9,OR($N1885='112'!$I$6,$O1885='112'!$I$6))),"x",""))</f>
        <v/>
      </c>
      <c r="U1885" s="66" t="str">
        <f>IF(ISERROR(FIND('112'!$M$9,G1885,1)),"",IF((AND(LEFT(G1885,2)=LEFT('112'!$M$9,2),B1885&lt;'112'!$K$9,$N1885='112'!$I$6)),"x",""))</f>
        <v/>
      </c>
      <c r="V1885" s="66" t="str">
        <f>IF(ISERROR(FIND('112'!$M$9,G1885,1)),"",IF((AND(RIGHT(G1885,2)=RIGHT('112'!$M$9,2),B1885&lt;'112'!$K$9,$O1885='112'!$I$6)),"x",""))</f>
        <v/>
      </c>
      <c r="W1885" s="66" t="str">
        <f>IF(AND('341-CT'!$H$9=H1885,OR(LEFT(N1885,3)=$W$7,LEFT(O1885,3)=$W$7)),"x","")</f>
        <v/>
      </c>
      <c r="X1885" s="66" t="str">
        <f>IF(OR(TH!N1885=TH!$X$7,O1885=TH!$X$7),"x","")</f>
        <v/>
      </c>
      <c r="Y1885" s="66" t="str">
        <f>IF(AND(OR(N1885="131",O1885="131"),H1885='131-CT'!$H$9),"x","")</f>
        <v/>
      </c>
      <c r="Z1885" s="66"/>
      <c r="AA1885" s="66" t="str">
        <f>IF(AND(MONTH(E1885)='IN-NX'!$J$5,'IN-NX'!$D$7=D1885),"x","")</f>
        <v/>
      </c>
      <c r="AB1885" s="66" t="str">
        <f>IF(AND(OR(LEFT(TH!N1885,2)="15",LEFT(TH!O1885,2)="15"),LEFT(TH!O1885,3)&lt;&gt;"111",'152-CT'!$J$8=TH!F1885),"x","")</f>
        <v/>
      </c>
      <c r="AC1885" s="66" t="str">
        <f>IF(AND(OR(LEFT(TH!N1885,2)="15",LEFT(TH!O1885,2)="15"),TK!$E$7=TH!F1885),"x","")</f>
        <v/>
      </c>
      <c r="AD1885" s="66" t="str">
        <f>IF(AND(N1885="1521",MONTH(C1885)='BK-NL'!$M$11),"x","")</f>
        <v/>
      </c>
      <c r="AF1885" s="330">
        <v>7</v>
      </c>
    </row>
    <row r="1886" spans="1:32" s="351" customFormat="1" ht="15.75" hidden="1" customHeight="1">
      <c r="A1886" s="336" t="str">
        <f>IF(B1886&lt;&gt;"",IF(AND(B1886='IN-TC'!$S$4,OR(TH!N1886="1111",TH!O1886="1111")),TH!D1886,""),"")</f>
        <v/>
      </c>
      <c r="B1886" s="63">
        <f t="shared" si="244"/>
        <v>7</v>
      </c>
      <c r="C1886" s="64">
        <v>42570</v>
      </c>
      <c r="D1886" s="64" t="s">
        <v>886</v>
      </c>
      <c r="E1886" s="64">
        <f t="shared" si="245"/>
        <v>42570</v>
      </c>
      <c r="F1886" s="73" t="s">
        <v>1536</v>
      </c>
      <c r="G1886" s="982" t="s">
        <v>1738</v>
      </c>
      <c r="H1886" s="73" t="s">
        <v>831</v>
      </c>
      <c r="I1886" s="439"/>
      <c r="J1886" s="439"/>
      <c r="K1886" s="430"/>
      <c r="L1886" s="439"/>
      <c r="M1886" s="65">
        <v>25000</v>
      </c>
      <c r="N1886" s="66" t="s">
        <v>9</v>
      </c>
      <c r="O1886" s="66" t="s">
        <v>63</v>
      </c>
      <c r="P1886" s="66" t="str">
        <f>IF(AND('331-CT'!$E$7=TH!H1886,OR(N1886="331",O1886="331")),"x","")</f>
        <v/>
      </c>
      <c r="Q1886" s="66" t="str">
        <f>IF(AND(B1886='111'!$L$11,OR($N1886=$Q$7,$O1886=$Q$7)),"x","")</f>
        <v/>
      </c>
      <c r="R1886" s="66" t="str">
        <f>IF(AND($N1886=$Q$7,$B1886&lt;'111'!$L$11),"x","")</f>
        <v/>
      </c>
      <c r="S1886" s="66" t="str">
        <f>IF(AND($O1886=$Q$7,$B1886&lt;'111'!$L$11),"x","")</f>
        <v/>
      </c>
      <c r="T1886" s="66" t="str">
        <f>IF(ISERROR(FIND('112'!$M$9,G1886,1)),"",IF((AND(FIND('112'!$M$9,G1886,1)&gt;=1,B1886='112'!$K$9,OR($N1886='112'!$I$6,$O1886='112'!$I$6))),"x",""))</f>
        <v/>
      </c>
      <c r="U1886" s="66" t="str">
        <f>IF(ISERROR(FIND('112'!$M$9,G1886,1)),"",IF((AND(LEFT(G1886,2)=LEFT('112'!$M$9,2),B1886&lt;'112'!$K$9,$N1886='112'!$I$6)),"x",""))</f>
        <v/>
      </c>
      <c r="V1886" s="66" t="str">
        <f>IF(ISERROR(FIND('112'!$M$9,G1886,1)),"",IF((AND(RIGHT(G1886,2)=RIGHT('112'!$M$9,2),B1886&lt;'112'!$K$9,$O1886='112'!$I$6)),"x",""))</f>
        <v/>
      </c>
      <c r="W1886" s="66" t="str">
        <f>IF(AND('341-CT'!$H$9=H1886,OR(LEFT(N1886,3)=$W$7,LEFT(O1886,3)=$W$7)),"x","")</f>
        <v/>
      </c>
      <c r="X1886" s="66" t="str">
        <f>IF(OR(TH!N1886=TH!$X$7,O1886=TH!$X$7),"x","")</f>
        <v/>
      </c>
      <c r="Y1886" s="66" t="str">
        <f>IF(AND(OR(N1886="131",O1886="131"),H1886='131-CT'!$H$9),"x","")</f>
        <v/>
      </c>
      <c r="Z1886" s="66"/>
      <c r="AA1886" s="66" t="str">
        <f>IF(AND(MONTH(E1886)='IN-NX'!$J$5,'IN-NX'!$D$7=D1886),"x","")</f>
        <v/>
      </c>
      <c r="AB1886" s="66" t="str">
        <f>IF(AND(OR(LEFT(TH!N1886,2)="15",LEFT(TH!O1886,2)="15"),LEFT(TH!O1886,3)&lt;&gt;"111",'152-CT'!$J$8=TH!F1886),"x","")</f>
        <v/>
      </c>
      <c r="AC1886" s="66" t="str">
        <f>IF(AND(OR(LEFT(TH!N1886,2)="15",LEFT(TH!O1886,2)="15"),TK!$E$7=TH!F1886),"x","")</f>
        <v/>
      </c>
      <c r="AD1886" s="66" t="str">
        <f>IF(AND(N1886="1521",MONTH(C1886)='BK-NL'!$M$11),"x","")</f>
        <v/>
      </c>
      <c r="AF1886" s="330">
        <v>7</v>
      </c>
    </row>
    <row r="1887" spans="1:32" s="351" customFormat="1" ht="15.75" hidden="1" customHeight="1">
      <c r="A1887" s="336" t="str">
        <f>IF(B1887&lt;&gt;"",IF(AND(B1887='IN-TC'!$S$4,OR(TH!N1887="1111",TH!O1887="1111")),TH!D1887,""),"")</f>
        <v/>
      </c>
      <c r="B1887" s="63">
        <f t="shared" si="244"/>
        <v>7</v>
      </c>
      <c r="C1887" s="64">
        <v>42572</v>
      </c>
      <c r="D1887" s="64" t="s">
        <v>887</v>
      </c>
      <c r="E1887" s="64">
        <f t="shared" si="245"/>
        <v>42572</v>
      </c>
      <c r="F1887" s="67" t="s">
        <v>1713</v>
      </c>
      <c r="G1887" s="982" t="s">
        <v>1714</v>
      </c>
      <c r="H1887" s="73" t="s">
        <v>1715</v>
      </c>
      <c r="I1887" s="439"/>
      <c r="J1887" s="439"/>
      <c r="K1887" s="430"/>
      <c r="L1887" s="439"/>
      <c r="M1887" s="65">
        <v>2119091</v>
      </c>
      <c r="N1887" s="66" t="s">
        <v>101</v>
      </c>
      <c r="O1887" s="66" t="s">
        <v>63</v>
      </c>
      <c r="P1887" s="66" t="str">
        <f>IF(AND('331-CT'!$E$7=TH!H1887,OR(N1887="331",O1887="331")),"x","")</f>
        <v/>
      </c>
      <c r="Q1887" s="66" t="str">
        <f>IF(AND(B1887='111'!$L$11,OR($N1887=$Q$7,$O1887=$Q$7)),"x","")</f>
        <v/>
      </c>
      <c r="R1887" s="66" t="str">
        <f>IF(AND($N1887=$Q$7,$B1887&lt;'111'!$L$11),"x","")</f>
        <v/>
      </c>
      <c r="S1887" s="66" t="str">
        <f>IF(AND($O1887=$Q$7,$B1887&lt;'111'!$L$11),"x","")</f>
        <v/>
      </c>
      <c r="T1887" s="66" t="str">
        <f>IF(ISERROR(FIND('112'!$M$9,G1887,1)),"",IF((AND(FIND('112'!$M$9,G1887,1)&gt;=1,B1887='112'!$K$9,OR($N1887='112'!$I$6,$O1887='112'!$I$6))),"x",""))</f>
        <v/>
      </c>
      <c r="U1887" s="66" t="str">
        <f>IF(ISERROR(FIND('112'!$M$9,G1887,1)),"",IF((AND(LEFT(G1887,2)=LEFT('112'!$M$9,2),B1887&lt;'112'!$K$9,$N1887='112'!$I$6)),"x",""))</f>
        <v/>
      </c>
      <c r="V1887" s="66" t="str">
        <f>IF(ISERROR(FIND('112'!$M$9,G1887,1)),"",IF((AND(RIGHT(G1887,2)=RIGHT('112'!$M$9,2),B1887&lt;'112'!$K$9,$O1887='112'!$I$6)),"x",""))</f>
        <v/>
      </c>
      <c r="W1887" s="66" t="str">
        <f>IF(AND('341-CT'!$H$9=H1887,OR(LEFT(N1887,3)=$W$7,LEFT(O1887,3)=$W$7)),"x","")</f>
        <v/>
      </c>
      <c r="X1887" s="66" t="str">
        <f>IF(OR(TH!N1887=TH!$X$7,O1887=TH!$X$7),"x","")</f>
        <v/>
      </c>
      <c r="Y1887" s="66" t="str">
        <f>IF(AND(OR(N1887="131",O1887="131"),H1887='131-CT'!$H$9),"x","")</f>
        <v/>
      </c>
      <c r="Z1887" s="66"/>
      <c r="AA1887" s="66" t="str">
        <f>IF(AND(MONTH(E1887)='IN-NX'!$J$5,'IN-NX'!$D$7=D1887),"x","")</f>
        <v/>
      </c>
      <c r="AB1887" s="66" t="str">
        <f>IF(AND(OR(LEFT(TH!N1887,2)="15",LEFT(TH!O1887,2)="15"),LEFT(TH!O1887,3)&lt;&gt;"111",'152-CT'!$J$8=TH!F1887),"x","")</f>
        <v/>
      </c>
      <c r="AC1887" s="66" t="str">
        <f>IF(AND(OR(LEFT(TH!N1887,2)="15",LEFT(TH!O1887,2)="15"),TK!$E$7=TH!F1887),"x","")</f>
        <v/>
      </c>
      <c r="AD1887" s="66" t="str">
        <f>IF(AND(N1887="1521",MONTH(C1887)='BK-NL'!$M$11),"x","")</f>
        <v/>
      </c>
      <c r="AF1887" s="330">
        <v>7</v>
      </c>
    </row>
    <row r="1888" spans="1:32" s="351" customFormat="1" ht="15.75" hidden="1" customHeight="1">
      <c r="A1888" s="336" t="str">
        <f>IF(B1888&lt;&gt;"",IF(AND(B1888='IN-TC'!$S$4,OR(TH!N1888="1111",TH!O1888="1111")),TH!D1888,""),"")</f>
        <v/>
      </c>
      <c r="B1888" s="63">
        <f t="shared" si="244"/>
        <v>7</v>
      </c>
      <c r="C1888" s="64">
        <v>42572</v>
      </c>
      <c r="D1888" s="64" t="s">
        <v>887</v>
      </c>
      <c r="E1888" s="64">
        <f t="shared" si="245"/>
        <v>42572</v>
      </c>
      <c r="F1888" s="67" t="s">
        <v>1716</v>
      </c>
      <c r="G1888" s="982" t="s">
        <v>1714</v>
      </c>
      <c r="H1888" s="73" t="s">
        <v>1715</v>
      </c>
      <c r="I1888" s="439"/>
      <c r="J1888" s="439"/>
      <c r="K1888" s="430"/>
      <c r="L1888" s="439"/>
      <c r="M1888" s="65">
        <v>211909</v>
      </c>
      <c r="N1888" s="66" t="s">
        <v>9</v>
      </c>
      <c r="O1888" s="66" t="s">
        <v>63</v>
      </c>
      <c r="P1888" s="66" t="str">
        <f>IF(AND('331-CT'!$E$7=TH!H1888,OR(N1888="331",O1888="331")),"x","")</f>
        <v/>
      </c>
      <c r="Q1888" s="66" t="str">
        <f>IF(AND(B1888='111'!$L$11,OR($N1888=$Q$7,$O1888=$Q$7)),"x","")</f>
        <v/>
      </c>
      <c r="R1888" s="66" t="str">
        <f>IF(AND($N1888=$Q$7,$B1888&lt;'111'!$L$11),"x","")</f>
        <v/>
      </c>
      <c r="S1888" s="66" t="str">
        <f>IF(AND($O1888=$Q$7,$B1888&lt;'111'!$L$11),"x","")</f>
        <v/>
      </c>
      <c r="T1888" s="66" t="str">
        <f>IF(ISERROR(FIND('112'!$M$9,G1888,1)),"",IF((AND(FIND('112'!$M$9,G1888,1)&gt;=1,B1888='112'!$K$9,OR($N1888='112'!$I$6,$O1888='112'!$I$6))),"x",""))</f>
        <v/>
      </c>
      <c r="U1888" s="66" t="str">
        <f>IF(ISERROR(FIND('112'!$M$9,G1888,1)),"",IF((AND(LEFT(G1888,2)=LEFT('112'!$M$9,2),B1888&lt;'112'!$K$9,$N1888='112'!$I$6)),"x",""))</f>
        <v/>
      </c>
      <c r="V1888" s="66" t="str">
        <f>IF(ISERROR(FIND('112'!$M$9,G1888,1)),"",IF((AND(RIGHT(G1888,2)=RIGHT('112'!$M$9,2),B1888&lt;'112'!$K$9,$O1888='112'!$I$6)),"x",""))</f>
        <v/>
      </c>
      <c r="W1888" s="66" t="str">
        <f>IF(AND('341-CT'!$H$9=H1888,OR(LEFT(N1888,3)=$W$7,LEFT(O1888,3)=$W$7)),"x","")</f>
        <v/>
      </c>
      <c r="X1888" s="66" t="str">
        <f>IF(OR(TH!N1888=TH!$X$7,O1888=TH!$X$7),"x","")</f>
        <v/>
      </c>
      <c r="Y1888" s="66" t="str">
        <f>IF(AND(OR(N1888="131",O1888="131"),H1888='131-CT'!$H$9),"x","")</f>
        <v/>
      </c>
      <c r="Z1888" s="66"/>
      <c r="AA1888" s="66" t="str">
        <f>IF(AND(MONTH(E1888)='IN-NX'!$J$5,'IN-NX'!$D$7=D1888),"x","")</f>
        <v/>
      </c>
      <c r="AB1888" s="66" t="str">
        <f>IF(AND(OR(LEFT(TH!N1888,2)="15",LEFT(TH!O1888,2)="15"),LEFT(TH!O1888,3)&lt;&gt;"111",'152-CT'!$J$8=TH!F1888),"x","")</f>
        <v/>
      </c>
      <c r="AC1888" s="66" t="str">
        <f>IF(AND(OR(LEFT(TH!N1888,2)="15",LEFT(TH!O1888,2)="15"),TK!$E$7=TH!F1888),"x","")</f>
        <v/>
      </c>
      <c r="AD1888" s="66" t="str">
        <f>IF(AND(N1888="1521",MONTH(C1888)='BK-NL'!$M$11),"x","")</f>
        <v/>
      </c>
      <c r="AF1888" s="330">
        <v>7</v>
      </c>
    </row>
    <row r="1889" spans="1:32" s="351" customFormat="1" ht="15.75" hidden="1" customHeight="1">
      <c r="A1889" s="336" t="str">
        <f>IF(B1889&lt;&gt;"",IF(AND(B1889='IN-TC'!$S$4,OR(TH!N1889="1111",TH!O1889="1111")),TH!D1889,""),"")</f>
        <v/>
      </c>
      <c r="B1889" s="63">
        <f t="shared" si="244"/>
        <v>7</v>
      </c>
      <c r="C1889" s="64">
        <v>42572</v>
      </c>
      <c r="D1889" s="64" t="s">
        <v>702</v>
      </c>
      <c r="E1889" s="64">
        <f t="shared" si="245"/>
        <v>42572</v>
      </c>
      <c r="F1889" s="67" t="s">
        <v>1781</v>
      </c>
      <c r="G1889" s="67" t="s">
        <v>919</v>
      </c>
      <c r="H1889" s="73" t="s">
        <v>1360</v>
      </c>
      <c r="I1889" s="439"/>
      <c r="J1889" s="439"/>
      <c r="K1889" s="430"/>
      <c r="L1889" s="439"/>
      <c r="M1889" s="65">
        <v>321158412</v>
      </c>
      <c r="N1889" s="66" t="s">
        <v>26</v>
      </c>
      <c r="O1889" s="66" t="s">
        <v>72</v>
      </c>
      <c r="P1889" s="66" t="str">
        <f>IF(AND('331-CT'!$E$7=TH!H1889,OR(N1889="331",O1889="331")),"x","")</f>
        <v/>
      </c>
      <c r="Q1889" s="66" t="str">
        <f>IF(AND(B1889='111'!$L$11,OR($N1889=$Q$7,$O1889=$Q$7)),"x","")</f>
        <v/>
      </c>
      <c r="R1889" s="66" t="str">
        <f>IF(AND($N1889=$Q$7,$B1889&lt;'111'!$L$11),"x","")</f>
        <v/>
      </c>
      <c r="S1889" s="66" t="str">
        <f>IF(AND($O1889=$Q$7,$B1889&lt;'111'!$L$11),"x","")</f>
        <v/>
      </c>
      <c r="T1889" s="66" t="str">
        <f>IF(ISERROR(FIND('112'!$M$9,G1889,1)),"",IF((AND(FIND('112'!$M$9,G1889,1)&gt;=1,B1889='112'!$K$9,OR($N1889='112'!$I$6,$O1889='112'!$I$6))),"x",""))</f>
        <v/>
      </c>
      <c r="U1889" s="66" t="str">
        <f>IF(ISERROR(FIND('112'!$M$9,G1889,1)),"",IF((AND(LEFT(G1889,2)=LEFT('112'!$M$9,2),B1889&lt;'112'!$K$9,$N1889='112'!$I$6)),"x",""))</f>
        <v/>
      </c>
      <c r="V1889" s="66" t="str">
        <f>IF(ISERROR(FIND('112'!$M$9,G1889,1)),"",IF((AND(RIGHT(G1889,2)=RIGHT('112'!$M$9,2),B1889&lt;'112'!$K$9,$O1889='112'!$I$6)),"x",""))</f>
        <v/>
      </c>
      <c r="W1889" s="66" t="str">
        <f>IF(AND('341-CT'!$H$9=H1889,OR(LEFT(N1889,3)=$W$7,LEFT(O1889,3)=$W$7)),"x","")</f>
        <v/>
      </c>
      <c r="X1889" s="66" t="str">
        <f>IF(OR(TH!N1889=TH!$X$7,O1889=TH!$X$7),"x","")</f>
        <v>x</v>
      </c>
      <c r="Y1889" s="66" t="str">
        <f>IF(AND(OR(N1889="131",O1889="131"),H1889='131-CT'!$H$9),"x","")</f>
        <v/>
      </c>
      <c r="Z1889" s="66"/>
      <c r="AA1889" s="66" t="str">
        <f>IF(AND(MONTH(E1889)='IN-NX'!$J$5,'IN-NX'!$D$7=D1889),"x","")</f>
        <v/>
      </c>
      <c r="AB1889" s="66" t="str">
        <f>IF(AND(OR(LEFT(TH!N1889,2)="15",LEFT(TH!O1889,2)="15"),LEFT(TH!O1889,3)&lt;&gt;"111",'152-CT'!$J$8=TH!F1889),"x","")</f>
        <v/>
      </c>
      <c r="AC1889" s="66" t="str">
        <f>IF(AND(OR(LEFT(TH!N1889,2)="15",LEFT(TH!O1889,2)="15"),TK!$E$7=TH!F1889),"x","")</f>
        <v/>
      </c>
      <c r="AD1889" s="66" t="str">
        <f>IF(AND(N1889="1521",MONTH(C1889)='BK-NL'!$M$11),"x","")</f>
        <v/>
      </c>
    </row>
    <row r="1890" spans="1:32" s="351" customFormat="1" ht="15.75" hidden="1" customHeight="1">
      <c r="A1890" s="336" t="str">
        <f>IF(B1890&lt;&gt;"",IF(AND(B1890='IN-TC'!$S$4,OR(TH!N1890="1111",TH!O1890="1111")),TH!D1890,""),"")</f>
        <v/>
      </c>
      <c r="B1890" s="63">
        <f t="shared" si="244"/>
        <v>7</v>
      </c>
      <c r="C1890" s="64">
        <v>42573</v>
      </c>
      <c r="D1890" s="64" t="s">
        <v>702</v>
      </c>
      <c r="E1890" s="64">
        <f t="shared" si="245"/>
        <v>42573</v>
      </c>
      <c r="F1890" s="67" t="s">
        <v>1790</v>
      </c>
      <c r="G1890" s="67" t="s">
        <v>1565</v>
      </c>
      <c r="H1890" s="73"/>
      <c r="I1890" s="439"/>
      <c r="J1890" s="439"/>
      <c r="K1890" s="430">
        <v>30</v>
      </c>
      <c r="L1890" s="439">
        <v>22330</v>
      </c>
      <c r="M1890" s="65">
        <f>ROUND(K1890*L1890,0)</f>
        <v>669900</v>
      </c>
      <c r="N1890" s="66" t="s">
        <v>266</v>
      </c>
      <c r="O1890" s="66" t="s">
        <v>26</v>
      </c>
      <c r="P1890" s="84" t="str">
        <f>IF(AND('331-CT'!$E$7=TH!H1890,OR(N1890="331",O1890="331")),"x","")</f>
        <v/>
      </c>
      <c r="Q1890" s="84" t="str">
        <f>IF(AND(B1890='111'!$L$11,OR($N1890=$Q$7,$O1890=$Q$7)),"x","")</f>
        <v/>
      </c>
      <c r="R1890" s="84" t="str">
        <f>IF(AND($N1890=$Q$7,$B1890&lt;'111'!$L$11),"x","")</f>
        <v/>
      </c>
      <c r="S1890" s="84" t="str">
        <f>IF(AND($O1890=$Q$7,$B1890&lt;'111'!$L$11),"x","")</f>
        <v/>
      </c>
      <c r="T1890" s="84" t="str">
        <f>IF(ISERROR(FIND('112'!$M$9,G1890,1)),"",IF((AND(FIND('112'!$M$9,G1890,1)&gt;=1,B1890='112'!$K$9,OR($N1890='112'!$I$6,$O1890='112'!$I$6))),"x",""))</f>
        <v/>
      </c>
      <c r="U1890" s="84" t="str">
        <f>IF(ISERROR(FIND('112'!$M$9,G1890,1)),"",IF((AND(LEFT(G1890,2)=LEFT('112'!$M$9,2),B1890&lt;'112'!$K$9,$N1890='112'!$I$6)),"x",""))</f>
        <v/>
      </c>
      <c r="V1890" s="84" t="str">
        <f>IF(ISERROR(FIND('112'!$M$9,G1890,1)),"",IF((AND(RIGHT(G1890,2)=RIGHT('112'!$M$9,2),B1890&lt;'112'!$K$9,$O1890='112'!$I$6)),"x",""))</f>
        <v/>
      </c>
      <c r="W1890" s="84" t="str">
        <f>IF(AND('341-CT'!$H$9=H1890,OR(LEFT(N1890,3)=$W$7,LEFT(O1890,3)=$W$7)),"x","")</f>
        <v/>
      </c>
      <c r="X1890" s="84" t="str">
        <f>IF(OR(TH!N1890=TH!$X$7,O1890=TH!$X$7),"x","")</f>
        <v/>
      </c>
      <c r="Y1890" s="84" t="str">
        <f>IF(AND(OR(N1890="131",O1890="131"),H1890='131-CT'!$H$9),"x","")</f>
        <v/>
      </c>
      <c r="Z1890" s="84"/>
      <c r="AA1890" s="84" t="str">
        <f>IF(AND(MONTH(E1890)='IN-NX'!$J$5,'IN-NX'!$D$7=D1890),"x","")</f>
        <v/>
      </c>
      <c r="AB1890" s="84" t="str">
        <f>IF(AND(OR(LEFT(TH!N1890,2)="15",LEFT(TH!O1890,2)="15"),LEFT(TH!O1890,3)&lt;&gt;"111",'152-CT'!$J$8=TH!F1890),"x","")</f>
        <v/>
      </c>
      <c r="AC1890" s="84" t="str">
        <f>IF(AND(OR(LEFT(TH!N1890,2)="15",LEFT(TH!O1890,2)="15"),TK!$E$7=TH!F1890),"x","")</f>
        <v/>
      </c>
      <c r="AD1890" s="84" t="str">
        <f>IF(AND(N1890="1521",MONTH(C1890)='BK-NL'!$M$11),"x","")</f>
        <v/>
      </c>
    </row>
    <row r="1891" spans="1:32" s="351" customFormat="1" ht="15.75" hidden="1" customHeight="1">
      <c r="A1891" s="336" t="str">
        <f>IF(B1891&lt;&gt;"",IF(AND(B1891='IN-TC'!$S$4,OR(TH!N1891="1111",TH!O1891="1111")),TH!D1891,""),"")</f>
        <v/>
      </c>
      <c r="B1891" s="63">
        <f t="shared" si="244"/>
        <v>7</v>
      </c>
      <c r="C1891" s="64">
        <v>42573</v>
      </c>
      <c r="D1891" s="64" t="s">
        <v>705</v>
      </c>
      <c r="E1891" s="64">
        <f t="shared" si="245"/>
        <v>42573</v>
      </c>
      <c r="F1891" s="67" t="s">
        <v>1789</v>
      </c>
      <c r="G1891" s="67" t="s">
        <v>1565</v>
      </c>
      <c r="H1891" s="73"/>
      <c r="I1891" s="439"/>
      <c r="J1891" s="439"/>
      <c r="K1891" s="430"/>
      <c r="L1891" s="439"/>
      <c r="M1891" s="65">
        <v>111650</v>
      </c>
      <c r="N1891" s="66" t="s">
        <v>101</v>
      </c>
      <c r="O1891" s="66" t="s">
        <v>26</v>
      </c>
      <c r="P1891" s="84" t="str">
        <f>IF(AND('331-CT'!$E$7=TH!H1891,OR(N1891="331",O1891="331")),"x","")</f>
        <v/>
      </c>
      <c r="Q1891" s="84" t="str">
        <f>IF(AND(B1891='111'!$L$11,OR($N1891=$Q$7,$O1891=$Q$7)),"x","")</f>
        <v/>
      </c>
      <c r="R1891" s="84" t="str">
        <f>IF(AND($N1891=$Q$7,$B1891&lt;'111'!$L$11),"x","")</f>
        <v/>
      </c>
      <c r="S1891" s="84" t="str">
        <f>IF(AND($O1891=$Q$7,$B1891&lt;'111'!$L$11),"x","")</f>
        <v/>
      </c>
      <c r="T1891" s="84" t="str">
        <f>IF(ISERROR(FIND('112'!$M$9,G1891,1)),"",IF((AND(FIND('112'!$M$9,G1891,1)&gt;=1,B1891='112'!$K$9,OR($N1891='112'!$I$6,$O1891='112'!$I$6))),"x",""))</f>
        <v/>
      </c>
      <c r="U1891" s="84" t="str">
        <f>IF(ISERROR(FIND('112'!$M$9,G1891,1)),"",IF((AND(LEFT(G1891,2)=LEFT('112'!$M$9,2),B1891&lt;'112'!$K$9,$N1891='112'!$I$6)),"x",""))</f>
        <v/>
      </c>
      <c r="V1891" s="84" t="str">
        <f>IF(ISERROR(FIND('112'!$M$9,G1891,1)),"",IF((AND(RIGHT(G1891,2)=RIGHT('112'!$M$9,2),B1891&lt;'112'!$K$9,$O1891='112'!$I$6)),"x",""))</f>
        <v/>
      </c>
      <c r="W1891" s="84" t="str">
        <f>IF(AND('341-CT'!$H$9=H1891,OR(LEFT(N1891,3)=$W$7,LEFT(O1891,3)=$W$7)),"x","")</f>
        <v/>
      </c>
      <c r="X1891" s="84" t="str">
        <f>IF(OR(TH!N1891=TH!$X$7,O1891=TH!$X$7),"x","")</f>
        <v/>
      </c>
      <c r="Y1891" s="84" t="str">
        <f>IF(AND(OR(N1891="131",O1891="131"),H1891='131-CT'!$H$9),"x","")</f>
        <v/>
      </c>
      <c r="Z1891" s="84"/>
      <c r="AA1891" s="84" t="str">
        <f>IF(AND(MONTH(E1891)='IN-NX'!$J$5,'IN-NX'!$D$7=D1891),"x","")</f>
        <v/>
      </c>
      <c r="AB1891" s="84" t="str">
        <f>IF(AND(OR(LEFT(TH!N1891,2)="15",LEFT(TH!O1891,2)="15"),LEFT(TH!O1891,3)&lt;&gt;"111",'152-CT'!$J$8=TH!F1891),"x","")</f>
        <v/>
      </c>
      <c r="AC1891" s="84" t="str">
        <f>IF(AND(OR(LEFT(TH!N1891,2)="15",LEFT(TH!O1891,2)="15"),TK!$E$7=TH!F1891),"x","")</f>
        <v/>
      </c>
      <c r="AD1891" s="84" t="str">
        <f>IF(AND(N1891="1521",MONTH(C1891)='BK-NL'!$M$11),"x","")</f>
        <v/>
      </c>
    </row>
    <row r="1892" spans="1:32" s="351" customFormat="1" ht="15.75" hidden="1" customHeight="1">
      <c r="A1892" s="336" t="str">
        <f>IF(B1892&lt;&gt;"",IF(AND(B1892='IN-TC'!$S$4,OR(TH!N1892="1111",TH!O1892="1111")),TH!D1892,""),"")</f>
        <v/>
      </c>
      <c r="B1892" s="63">
        <f t="shared" si="244"/>
        <v>7</v>
      </c>
      <c r="C1892" s="64">
        <v>42573</v>
      </c>
      <c r="D1892" s="64" t="s">
        <v>705</v>
      </c>
      <c r="E1892" s="64">
        <f t="shared" si="245"/>
        <v>42573</v>
      </c>
      <c r="F1892" s="67" t="s">
        <v>1791</v>
      </c>
      <c r="G1892" s="67" t="s">
        <v>1565</v>
      </c>
      <c r="H1892" s="971" t="s">
        <v>1885</v>
      </c>
      <c r="I1892" s="439"/>
      <c r="J1892" s="439"/>
      <c r="K1892" s="430"/>
      <c r="L1892" s="439"/>
      <c r="M1892" s="65">
        <v>5889312</v>
      </c>
      <c r="N1892" s="66" t="s">
        <v>99</v>
      </c>
      <c r="O1892" s="66" t="s">
        <v>26</v>
      </c>
      <c r="P1892" s="84" t="str">
        <f>IF(AND('331-CT'!$E$7=TH!H1892,OR(N1892="331",O1892="331")),"x","")</f>
        <v/>
      </c>
      <c r="Q1892" s="84" t="str">
        <f>IF(AND(B1892='111'!$L$11,OR($N1892=$Q$7,$O1892=$Q$7)),"x","")</f>
        <v/>
      </c>
      <c r="R1892" s="84" t="str">
        <f>IF(AND($N1892=$Q$7,$B1892&lt;'111'!$L$11),"x","")</f>
        <v/>
      </c>
      <c r="S1892" s="84" t="str">
        <f>IF(AND($O1892=$Q$7,$B1892&lt;'111'!$L$11),"x","")</f>
        <v/>
      </c>
      <c r="T1892" s="84" t="str">
        <f>IF(ISERROR(FIND('112'!$M$9,G1892,1)),"",IF((AND(FIND('112'!$M$9,G1892,1)&gt;=1,B1892='112'!$K$9,OR($N1892='112'!$I$6,$O1892='112'!$I$6))),"x",""))</f>
        <v/>
      </c>
      <c r="U1892" s="84" t="str">
        <f>IF(ISERROR(FIND('112'!$M$9,G1892,1)),"",IF((AND(LEFT(G1892,2)=LEFT('112'!$M$9,2),B1892&lt;'112'!$K$9,$N1892='112'!$I$6)),"x",""))</f>
        <v/>
      </c>
      <c r="V1892" s="84" t="str">
        <f>IF(ISERROR(FIND('112'!$M$9,G1892,1)),"",IF((AND(RIGHT(G1892,2)=RIGHT('112'!$M$9,2),B1892&lt;'112'!$K$9,$O1892='112'!$I$6)),"x",""))</f>
        <v/>
      </c>
      <c r="W1892" s="84" t="str">
        <f>IF(AND('341-CT'!$H$9=H1892,OR(LEFT(N1892,3)=$W$7,LEFT(O1892,3)=$W$7)),"x","")</f>
        <v/>
      </c>
      <c r="X1892" s="84" t="str">
        <f>IF(OR(TH!N1892=TH!$X$7,O1892=TH!$X$7),"x","")</f>
        <v/>
      </c>
      <c r="Y1892" s="84" t="str">
        <f>IF(AND(OR(N1892="131",O1892="131"),H1892='131-CT'!$H$9),"x","")</f>
        <v/>
      </c>
      <c r="Z1892" s="84"/>
      <c r="AA1892" s="84" t="str">
        <f>IF(AND(MONTH(E1892)='IN-NX'!$J$5,'IN-NX'!$D$7=D1892),"x","")</f>
        <v/>
      </c>
      <c r="AB1892" s="84" t="str">
        <f>IF(AND(OR(LEFT(TH!N1892,2)="15",LEFT(TH!O1892,2)="15"),LEFT(TH!O1892,3)&lt;&gt;"111",'152-CT'!$J$8=TH!F1892),"x","")</f>
        <v/>
      </c>
      <c r="AC1892" s="84" t="str">
        <f>IF(AND(OR(LEFT(TH!N1892,2)="15",LEFT(TH!O1892,2)="15"),TK!$E$7=TH!F1892),"x","")</f>
        <v/>
      </c>
      <c r="AD1892" s="84" t="str">
        <f>IF(AND(N1892="1521",MONTH(C1892)='BK-NL'!$M$11),"x","")</f>
        <v/>
      </c>
    </row>
    <row r="1893" spans="1:32" s="351" customFormat="1" ht="15.75" hidden="1" customHeight="1">
      <c r="A1893" s="336" t="str">
        <f>IF(B1893&lt;&gt;"",IF(AND(B1893='IN-TC'!$S$4,OR(TH!N1893="1111",TH!O1893="1111")),TH!D1893,""),"")</f>
        <v/>
      </c>
      <c r="B1893" s="63">
        <f t="shared" si="244"/>
        <v>7</v>
      </c>
      <c r="C1893" s="64">
        <v>42573</v>
      </c>
      <c r="D1893" s="64" t="s">
        <v>705</v>
      </c>
      <c r="E1893" s="64">
        <f t="shared" si="245"/>
        <v>42573</v>
      </c>
      <c r="F1893" s="67" t="s">
        <v>1791</v>
      </c>
      <c r="G1893" s="67" t="s">
        <v>1565</v>
      </c>
      <c r="H1893" s="971" t="s">
        <v>1885</v>
      </c>
      <c r="I1893" s="439"/>
      <c r="J1893" s="439"/>
      <c r="K1893" s="430"/>
      <c r="L1893" s="439"/>
      <c r="M1893" s="65">
        <v>6456140</v>
      </c>
      <c r="N1893" s="66" t="s">
        <v>99</v>
      </c>
      <c r="O1893" s="66" t="s">
        <v>26</v>
      </c>
      <c r="P1893" s="84" t="str">
        <f>IF(AND('331-CT'!$E$7=TH!H1893,OR(N1893="331",O1893="331")),"x","")</f>
        <v/>
      </c>
      <c r="Q1893" s="84" t="str">
        <f>IF(AND(B1893='111'!$L$11,OR($N1893=$Q$7,$O1893=$Q$7)),"x","")</f>
        <v/>
      </c>
      <c r="R1893" s="84" t="str">
        <f>IF(AND($N1893=$Q$7,$B1893&lt;'111'!$L$11),"x","")</f>
        <v/>
      </c>
      <c r="S1893" s="84" t="str">
        <f>IF(AND($O1893=$Q$7,$B1893&lt;'111'!$L$11),"x","")</f>
        <v/>
      </c>
      <c r="T1893" s="84" t="str">
        <f>IF(ISERROR(FIND('112'!$M$9,G1893,1)),"",IF((AND(FIND('112'!$M$9,G1893,1)&gt;=1,B1893='112'!$K$9,OR($N1893='112'!$I$6,$O1893='112'!$I$6))),"x",""))</f>
        <v/>
      </c>
      <c r="U1893" s="84" t="str">
        <f>IF(ISERROR(FIND('112'!$M$9,G1893,1)),"",IF((AND(LEFT(G1893,2)=LEFT('112'!$M$9,2),B1893&lt;'112'!$K$9,$N1893='112'!$I$6)),"x",""))</f>
        <v/>
      </c>
      <c r="V1893" s="84" t="str">
        <f>IF(ISERROR(FIND('112'!$M$9,G1893,1)),"",IF((AND(RIGHT(G1893,2)=RIGHT('112'!$M$9,2),B1893&lt;'112'!$K$9,$O1893='112'!$I$6)),"x",""))</f>
        <v/>
      </c>
      <c r="W1893" s="84" t="str">
        <f>IF(AND('341-CT'!$H$9=H1893,OR(LEFT(N1893,3)=$W$7,LEFT(O1893,3)=$W$7)),"x","")</f>
        <v/>
      </c>
      <c r="X1893" s="84" t="str">
        <f>IF(OR(TH!N1893=TH!$X$7,O1893=TH!$X$7),"x","")</f>
        <v/>
      </c>
      <c r="Y1893" s="84" t="str">
        <f>IF(AND(OR(N1893="131",O1893="131"),H1893='131-CT'!$H$9),"x","")</f>
        <v/>
      </c>
      <c r="Z1893" s="84"/>
      <c r="AA1893" s="84" t="str">
        <f>IF(AND(MONTH(E1893)='IN-NX'!$J$5,'IN-NX'!$D$7=D1893),"x","")</f>
        <v/>
      </c>
      <c r="AB1893" s="84" t="str">
        <f>IF(AND(OR(LEFT(TH!N1893,2)="15",LEFT(TH!O1893,2)="15"),LEFT(TH!O1893,3)&lt;&gt;"111",'152-CT'!$J$8=TH!F1893),"x","")</f>
        <v/>
      </c>
      <c r="AC1893" s="84" t="str">
        <f>IF(AND(OR(LEFT(TH!N1893,2)="15",LEFT(TH!O1893,2)="15"),TK!$E$7=TH!F1893),"x","")</f>
        <v/>
      </c>
      <c r="AD1893" s="84" t="str">
        <f>IF(AND(N1893="1521",MONTH(C1893)='BK-NL'!$M$11),"x","")</f>
        <v/>
      </c>
    </row>
    <row r="1894" spans="1:32" s="351" customFormat="1" ht="15.75" hidden="1" customHeight="1">
      <c r="A1894" s="336" t="str">
        <f>IF(B1894&lt;&gt;"",IF(AND(B1894='IN-TC'!$S$4,OR(TH!N1894="1111",TH!O1894="1111")),TH!D1894,""),"")</f>
        <v/>
      </c>
      <c r="B1894" s="63">
        <f t="shared" si="244"/>
        <v>7</v>
      </c>
      <c r="C1894" s="64">
        <v>42573</v>
      </c>
      <c r="D1894" s="64" t="s">
        <v>705</v>
      </c>
      <c r="E1894" s="64">
        <f t="shared" si="245"/>
        <v>42573</v>
      </c>
      <c r="F1894" s="67" t="s">
        <v>1791</v>
      </c>
      <c r="G1894" s="67" t="s">
        <v>1565</v>
      </c>
      <c r="H1894" s="971" t="s">
        <v>1885</v>
      </c>
      <c r="I1894" s="439"/>
      <c r="J1894" s="439"/>
      <c r="K1894" s="430"/>
      <c r="L1894" s="439"/>
      <c r="M1894" s="65">
        <v>6491628</v>
      </c>
      <c r="N1894" s="66" t="s">
        <v>99</v>
      </c>
      <c r="O1894" s="66" t="s">
        <v>26</v>
      </c>
      <c r="P1894" s="84" t="str">
        <f>IF(AND('331-CT'!$E$7=TH!H1894,OR(N1894="331",O1894="331")),"x","")</f>
        <v/>
      </c>
      <c r="Q1894" s="84" t="str">
        <f>IF(AND(B1894='111'!$L$11,OR($N1894=$Q$7,$O1894=$Q$7)),"x","")</f>
        <v/>
      </c>
      <c r="R1894" s="84" t="str">
        <f>IF(AND($N1894=$Q$7,$B1894&lt;'111'!$L$11),"x","")</f>
        <v/>
      </c>
      <c r="S1894" s="84" t="str">
        <f>IF(AND($O1894=$Q$7,$B1894&lt;'111'!$L$11),"x","")</f>
        <v/>
      </c>
      <c r="T1894" s="84" t="str">
        <f>IF(ISERROR(FIND('112'!$M$9,G1894,1)),"",IF((AND(FIND('112'!$M$9,G1894,1)&gt;=1,B1894='112'!$K$9,OR($N1894='112'!$I$6,$O1894='112'!$I$6))),"x",""))</f>
        <v/>
      </c>
      <c r="U1894" s="84" t="str">
        <f>IF(ISERROR(FIND('112'!$M$9,G1894,1)),"",IF((AND(LEFT(G1894,2)=LEFT('112'!$M$9,2),B1894&lt;'112'!$K$9,$N1894='112'!$I$6)),"x",""))</f>
        <v/>
      </c>
      <c r="V1894" s="84" t="str">
        <f>IF(ISERROR(FIND('112'!$M$9,G1894,1)),"",IF((AND(RIGHT(G1894,2)=RIGHT('112'!$M$9,2),B1894&lt;'112'!$K$9,$O1894='112'!$I$6)),"x",""))</f>
        <v/>
      </c>
      <c r="W1894" s="84" t="str">
        <f>IF(AND('341-CT'!$H$9=H1894,OR(LEFT(N1894,3)=$W$7,LEFT(O1894,3)=$W$7)),"x","")</f>
        <v/>
      </c>
      <c r="X1894" s="84" t="str">
        <f>IF(OR(TH!N1894=TH!$X$7,O1894=TH!$X$7),"x","")</f>
        <v/>
      </c>
      <c r="Y1894" s="84" t="str">
        <f>IF(AND(OR(N1894="131",O1894="131"),H1894='131-CT'!$H$9),"x","")</f>
        <v/>
      </c>
      <c r="Z1894" s="84"/>
      <c r="AA1894" s="84" t="str">
        <f>IF(AND(MONTH(E1894)='IN-NX'!$J$5,'IN-NX'!$D$7=D1894),"x","")</f>
        <v/>
      </c>
      <c r="AB1894" s="84" t="str">
        <f>IF(AND(OR(LEFT(TH!N1894,2)="15",LEFT(TH!O1894,2)="15"),LEFT(TH!O1894,3)&lt;&gt;"111",'152-CT'!$J$8=TH!F1894),"x","")</f>
        <v/>
      </c>
      <c r="AC1894" s="84" t="str">
        <f>IF(AND(OR(LEFT(TH!N1894,2)="15",LEFT(TH!O1894,2)="15"),TK!$E$7=TH!F1894),"x","")</f>
        <v/>
      </c>
      <c r="AD1894" s="84" t="str">
        <f>IF(AND(N1894="1521",MONTH(C1894)='BK-NL'!$M$11),"x","")</f>
        <v/>
      </c>
    </row>
    <row r="1895" spans="1:32" s="351" customFormat="1" ht="15.75" hidden="1" customHeight="1">
      <c r="A1895" s="336" t="str">
        <f>IF(B1895&lt;&gt;"",IF(AND(B1895='IN-TC'!$S$4,OR(TH!N1895="1111",TH!O1895="1111")),TH!D1895,""),"")</f>
        <v/>
      </c>
      <c r="B1895" s="63">
        <f t="shared" si="244"/>
        <v>7</v>
      </c>
      <c r="C1895" s="64">
        <v>42573</v>
      </c>
      <c r="D1895" s="64" t="s">
        <v>705</v>
      </c>
      <c r="E1895" s="64">
        <f t="shared" ref="E1895:E1919" si="256">C1895</f>
        <v>42573</v>
      </c>
      <c r="F1895" s="67" t="s">
        <v>1791</v>
      </c>
      <c r="G1895" s="67" t="s">
        <v>1565</v>
      </c>
      <c r="H1895" s="971" t="s">
        <v>1885</v>
      </c>
      <c r="I1895" s="439"/>
      <c r="J1895" s="439"/>
      <c r="K1895" s="430"/>
      <c r="L1895" s="439"/>
      <c r="M1895" s="65">
        <v>5487768</v>
      </c>
      <c r="N1895" s="66" t="s">
        <v>99</v>
      </c>
      <c r="O1895" s="66" t="s">
        <v>26</v>
      </c>
      <c r="P1895" s="84" t="str">
        <f>IF(AND('331-CT'!$E$7=TH!H1895,OR(N1895="331",O1895="331")),"x","")</f>
        <v/>
      </c>
      <c r="Q1895" s="84" t="str">
        <f>IF(AND(B1895='111'!$L$11,OR($N1895=$Q$7,$O1895=$Q$7)),"x","")</f>
        <v/>
      </c>
      <c r="R1895" s="84" t="str">
        <f>IF(AND($N1895=$Q$7,$B1895&lt;'111'!$L$11),"x","")</f>
        <v/>
      </c>
      <c r="S1895" s="84" t="str">
        <f>IF(AND($O1895=$Q$7,$B1895&lt;'111'!$L$11),"x","")</f>
        <v/>
      </c>
      <c r="T1895" s="84" t="str">
        <f>IF(ISERROR(FIND('112'!$M$9,G1895,1)),"",IF((AND(FIND('112'!$M$9,G1895,1)&gt;=1,B1895='112'!$K$9,OR($N1895='112'!$I$6,$O1895='112'!$I$6))),"x",""))</f>
        <v/>
      </c>
      <c r="U1895" s="84" t="str">
        <f>IF(ISERROR(FIND('112'!$M$9,G1895,1)),"",IF((AND(LEFT(G1895,2)=LEFT('112'!$M$9,2),B1895&lt;'112'!$K$9,$N1895='112'!$I$6)),"x",""))</f>
        <v/>
      </c>
      <c r="V1895" s="84" t="str">
        <f>IF(ISERROR(FIND('112'!$M$9,G1895,1)),"",IF((AND(RIGHT(G1895,2)=RIGHT('112'!$M$9,2),B1895&lt;'112'!$K$9,$O1895='112'!$I$6)),"x",""))</f>
        <v/>
      </c>
      <c r="W1895" s="84" t="str">
        <f>IF(AND('341-CT'!$H$9=H1895,OR(LEFT(N1895,3)=$W$7,LEFT(O1895,3)=$W$7)),"x","")</f>
        <v/>
      </c>
      <c r="X1895" s="84" t="str">
        <f>IF(OR(TH!N1895=TH!$X$7,O1895=TH!$X$7),"x","")</f>
        <v/>
      </c>
      <c r="Y1895" s="84" t="str">
        <f>IF(AND(OR(N1895="131",O1895="131"),H1895='131-CT'!$H$9),"x","")</f>
        <v/>
      </c>
      <c r="Z1895" s="84"/>
      <c r="AA1895" s="84" t="str">
        <f>IF(AND(MONTH(E1895)='IN-NX'!$J$5,'IN-NX'!$D$7=D1895),"x","")</f>
        <v/>
      </c>
      <c r="AB1895" s="84" t="str">
        <f>IF(AND(OR(LEFT(TH!N1895,2)="15",LEFT(TH!O1895,2)="15"),LEFT(TH!O1895,3)&lt;&gt;"111",'152-CT'!$J$8=TH!F1895),"x","")</f>
        <v/>
      </c>
      <c r="AC1895" s="84" t="str">
        <f>IF(AND(OR(LEFT(TH!N1895,2)="15",LEFT(TH!O1895,2)="15"),TK!$E$7=TH!F1895),"x","")</f>
        <v/>
      </c>
      <c r="AD1895" s="84" t="str">
        <f>IF(AND(N1895="1521",MONTH(C1895)='BK-NL'!$M$11),"x","")</f>
        <v/>
      </c>
    </row>
    <row r="1896" spans="1:32" s="351" customFormat="1" ht="15.75" hidden="1" customHeight="1">
      <c r="A1896" s="336" t="str">
        <f>IF(B1896&lt;&gt;"",IF(AND(B1896='IN-TC'!$S$4,OR(TH!N1896="1111",TH!O1896="1111")),TH!D1896,""),"")</f>
        <v/>
      </c>
      <c r="B1896" s="63">
        <f t="shared" si="244"/>
        <v>7</v>
      </c>
      <c r="C1896" s="64">
        <v>42573</v>
      </c>
      <c r="D1896" s="64" t="s">
        <v>705</v>
      </c>
      <c r="E1896" s="64">
        <f t="shared" si="256"/>
        <v>42573</v>
      </c>
      <c r="F1896" s="67" t="s">
        <v>1791</v>
      </c>
      <c r="G1896" s="67" t="s">
        <v>1565</v>
      </c>
      <c r="H1896" s="971" t="s">
        <v>1885</v>
      </c>
      <c r="I1896" s="439"/>
      <c r="J1896" s="439"/>
      <c r="K1896" s="430"/>
      <c r="L1896" s="439"/>
      <c r="M1896" s="65">
        <v>6023160</v>
      </c>
      <c r="N1896" s="66" t="s">
        <v>99</v>
      </c>
      <c r="O1896" s="66" t="s">
        <v>26</v>
      </c>
      <c r="P1896" s="84" t="str">
        <f>IF(AND('331-CT'!$E$7=TH!H1896,OR(N1896="331",O1896="331")),"x","")</f>
        <v/>
      </c>
      <c r="Q1896" s="84" t="str">
        <f>IF(AND(B1896='111'!$L$11,OR($N1896=$Q$7,$O1896=$Q$7)),"x","")</f>
        <v/>
      </c>
      <c r="R1896" s="84" t="str">
        <f>IF(AND($N1896=$Q$7,$B1896&lt;'111'!$L$11),"x","")</f>
        <v/>
      </c>
      <c r="S1896" s="84" t="str">
        <f>IF(AND($O1896=$Q$7,$B1896&lt;'111'!$L$11),"x","")</f>
        <v/>
      </c>
      <c r="T1896" s="84" t="str">
        <f>IF(ISERROR(FIND('112'!$M$9,G1896,1)),"",IF((AND(FIND('112'!$M$9,G1896,1)&gt;=1,B1896='112'!$K$9,OR($N1896='112'!$I$6,$O1896='112'!$I$6))),"x",""))</f>
        <v/>
      </c>
      <c r="U1896" s="84" t="str">
        <f>IF(ISERROR(FIND('112'!$M$9,G1896,1)),"",IF((AND(LEFT(G1896,2)=LEFT('112'!$M$9,2),B1896&lt;'112'!$K$9,$N1896='112'!$I$6)),"x",""))</f>
        <v/>
      </c>
      <c r="V1896" s="84" t="str">
        <f>IF(ISERROR(FIND('112'!$M$9,G1896,1)),"",IF((AND(RIGHT(G1896,2)=RIGHT('112'!$M$9,2),B1896&lt;'112'!$K$9,$O1896='112'!$I$6)),"x",""))</f>
        <v/>
      </c>
      <c r="W1896" s="84" t="str">
        <f>IF(AND('341-CT'!$H$9=H1896,OR(LEFT(N1896,3)=$W$7,LEFT(O1896,3)=$W$7)),"x","")</f>
        <v/>
      </c>
      <c r="X1896" s="84" t="str">
        <f>IF(OR(TH!N1896=TH!$X$7,O1896=TH!$X$7),"x","")</f>
        <v/>
      </c>
      <c r="Y1896" s="84" t="str">
        <f>IF(AND(OR(N1896="131",O1896="131"),H1896='131-CT'!$H$9),"x","")</f>
        <v/>
      </c>
      <c r="Z1896" s="84"/>
      <c r="AA1896" s="84" t="str">
        <f>IF(AND(MONTH(E1896)='IN-NX'!$J$5,'IN-NX'!$D$7=D1896),"x","")</f>
        <v/>
      </c>
      <c r="AB1896" s="84" t="str">
        <f>IF(AND(OR(LEFT(TH!N1896,2)="15",LEFT(TH!O1896,2)="15"),LEFT(TH!O1896,3)&lt;&gt;"111",'152-CT'!$J$8=TH!F1896),"x","")</f>
        <v/>
      </c>
      <c r="AC1896" s="84" t="str">
        <f>IF(AND(OR(LEFT(TH!N1896,2)="15",LEFT(TH!O1896,2)="15"),TK!$E$7=TH!F1896),"x","")</f>
        <v/>
      </c>
      <c r="AD1896" s="84" t="str">
        <f>IF(AND(N1896="1521",MONTH(C1896)='BK-NL'!$M$11),"x","")</f>
        <v/>
      </c>
    </row>
    <row r="1897" spans="1:32" ht="15.75" hidden="1" customHeight="1">
      <c r="A1897" s="336" t="str">
        <f>IF(B1897&lt;&gt;"",IF(AND(B1897='IN-TC'!$S$4,OR(TH!N1897="1111",TH!O1897="1111")),TH!D1897,""),"")</f>
        <v/>
      </c>
      <c r="B1897" s="63">
        <f t="shared" si="244"/>
        <v>7</v>
      </c>
      <c r="C1897" s="64">
        <v>42573</v>
      </c>
      <c r="D1897" s="64" t="s">
        <v>705</v>
      </c>
      <c r="E1897" s="64">
        <f t="shared" si="256"/>
        <v>42573</v>
      </c>
      <c r="F1897" s="67" t="s">
        <v>1791</v>
      </c>
      <c r="G1897" s="67" t="s">
        <v>1565</v>
      </c>
      <c r="H1897" s="971" t="s">
        <v>1885</v>
      </c>
      <c r="I1897" s="439"/>
      <c r="J1897" s="439"/>
      <c r="K1897" s="430"/>
      <c r="L1897" s="439"/>
      <c r="M1897" s="65">
        <v>4082364</v>
      </c>
      <c r="N1897" s="66" t="s">
        <v>99</v>
      </c>
      <c r="O1897" s="66" t="s">
        <v>26</v>
      </c>
      <c r="P1897" s="84" t="str">
        <f>IF(AND('331-CT'!$E$7=TH!H1897,OR(N1897="331",O1897="331")),"x","")</f>
        <v/>
      </c>
      <c r="Q1897" s="84" t="str">
        <f>IF(AND(B1897='111'!$L$11,OR($N1897=$Q$7,$O1897=$Q$7)),"x","")</f>
        <v/>
      </c>
      <c r="R1897" s="84" t="str">
        <f>IF(AND($N1897=$Q$7,$B1897&lt;'111'!$L$11),"x","")</f>
        <v/>
      </c>
      <c r="S1897" s="84" t="str">
        <f>IF(AND($O1897=$Q$7,$B1897&lt;'111'!$L$11),"x","")</f>
        <v/>
      </c>
      <c r="T1897" s="84" t="str">
        <f>IF(ISERROR(FIND('112'!$M$9,G1897,1)),"",IF((AND(FIND('112'!$M$9,G1897,1)&gt;=1,B1897='112'!$K$9,OR($N1897='112'!$I$6,$O1897='112'!$I$6))),"x",""))</f>
        <v/>
      </c>
      <c r="U1897" s="84" t="str">
        <f>IF(ISERROR(FIND('112'!$M$9,G1897,1)),"",IF((AND(LEFT(G1897,2)=LEFT('112'!$M$9,2),B1897&lt;'112'!$K$9,$N1897='112'!$I$6)),"x",""))</f>
        <v/>
      </c>
      <c r="V1897" s="84" t="str">
        <f>IF(ISERROR(FIND('112'!$M$9,G1897,1)),"",IF((AND(RIGHT(G1897,2)=RIGHT('112'!$M$9,2),B1897&lt;'112'!$K$9,$O1897='112'!$I$6)),"x",""))</f>
        <v/>
      </c>
      <c r="W1897" s="84" t="str">
        <f>IF(AND('341-CT'!$H$9=H1897,OR(LEFT(N1897,3)=$W$7,LEFT(O1897,3)=$W$7)),"x","")</f>
        <v/>
      </c>
      <c r="X1897" s="84" t="str">
        <f>IF(OR(TH!N1897=TH!$X$7,O1897=TH!$X$7),"x","")</f>
        <v/>
      </c>
      <c r="Y1897" s="84" t="str">
        <f>IF(AND(OR(N1897="131",O1897="131"),H1897='131-CT'!$H$9),"x","")</f>
        <v/>
      </c>
      <c r="Z1897" s="84"/>
      <c r="AA1897" s="84" t="str">
        <f>IF(AND(MONTH(E1897)='IN-NX'!$J$5,'IN-NX'!$D$7=D1897),"x","")</f>
        <v/>
      </c>
      <c r="AB1897" s="84" t="str">
        <f>IF(AND(OR(LEFT(TH!N1897,2)="15",LEFT(TH!O1897,2)="15"),LEFT(TH!O1897,3)&lt;&gt;"111",'152-CT'!$J$8=TH!F1897),"x","")</f>
        <v/>
      </c>
      <c r="AC1897" s="84" t="str">
        <f>IF(AND(OR(LEFT(TH!N1897,2)="15",LEFT(TH!O1897,2)="15"),TK!$E$7=TH!F1897),"x","")</f>
        <v/>
      </c>
      <c r="AD1897" s="84" t="str">
        <f>IF(AND(N1897="1521",MONTH(C1897)='BK-NL'!$M$11),"x","")</f>
        <v/>
      </c>
      <c r="AE1897" s="351"/>
      <c r="AF1897" s="351"/>
    </row>
    <row r="1898" spans="1:32" s="1166" customFormat="1" ht="15.75" hidden="1" customHeight="1">
      <c r="A1898" s="336" t="str">
        <f>IF(B1898&lt;&gt;"",IF(AND(B1898='IN-TC'!$S$4,OR(TH!N1898="1111",TH!O1898="1111")),TH!D1898,""),"")</f>
        <v/>
      </c>
      <c r="B1898" s="63">
        <f t="shared" si="244"/>
        <v>7</v>
      </c>
      <c r="C1898" s="64">
        <v>42573</v>
      </c>
      <c r="D1898" s="64" t="s">
        <v>705</v>
      </c>
      <c r="E1898" s="64">
        <f t="shared" si="256"/>
        <v>42573</v>
      </c>
      <c r="F1898" s="67" t="s">
        <v>1791</v>
      </c>
      <c r="G1898" s="67" t="s">
        <v>1565</v>
      </c>
      <c r="H1898" s="971" t="s">
        <v>1885</v>
      </c>
      <c r="I1898" s="439"/>
      <c r="J1898" s="439"/>
      <c r="K1898" s="430"/>
      <c r="L1898" s="439"/>
      <c r="M1898" s="65">
        <v>5956236</v>
      </c>
      <c r="N1898" s="66" t="s">
        <v>99</v>
      </c>
      <c r="O1898" s="66" t="s">
        <v>26</v>
      </c>
      <c r="P1898" s="84" t="str">
        <f>IF(AND('331-CT'!$E$7=TH!H1898,OR(N1898="331",O1898="331")),"x","")</f>
        <v/>
      </c>
      <c r="Q1898" s="84" t="str">
        <f>IF(AND(B1898='111'!$L$11,OR($N1898=$Q$7,$O1898=$Q$7)),"x","")</f>
        <v/>
      </c>
      <c r="R1898" s="84" t="str">
        <f>IF(AND($N1898=$Q$7,$B1898&lt;'111'!$L$11),"x","")</f>
        <v/>
      </c>
      <c r="S1898" s="84" t="str">
        <f>IF(AND($O1898=$Q$7,$B1898&lt;'111'!$L$11),"x","")</f>
        <v/>
      </c>
      <c r="T1898" s="84" t="str">
        <f>IF(ISERROR(FIND('112'!$M$9,G1898,1)),"",IF((AND(FIND('112'!$M$9,G1898,1)&gt;=1,B1898='112'!$K$9,OR($N1898='112'!$I$6,$O1898='112'!$I$6))),"x",""))</f>
        <v/>
      </c>
      <c r="U1898" s="84" t="str">
        <f>IF(ISERROR(FIND('112'!$M$9,G1898,1)),"",IF((AND(LEFT(G1898,2)=LEFT('112'!$M$9,2),B1898&lt;'112'!$K$9,$N1898='112'!$I$6)),"x",""))</f>
        <v/>
      </c>
      <c r="V1898" s="84" t="str">
        <f>IF(ISERROR(FIND('112'!$M$9,G1898,1)),"",IF((AND(RIGHT(G1898,2)=RIGHT('112'!$M$9,2),B1898&lt;'112'!$K$9,$O1898='112'!$I$6)),"x",""))</f>
        <v/>
      </c>
      <c r="W1898" s="84" t="str">
        <f>IF(AND('341-CT'!$H$9=H1898,OR(LEFT(N1898,3)=$W$7,LEFT(O1898,3)=$W$7)),"x","")</f>
        <v/>
      </c>
      <c r="X1898" s="84" t="str">
        <f>IF(OR(TH!N1898=TH!$X$7,O1898=TH!$X$7),"x","")</f>
        <v/>
      </c>
      <c r="Y1898" s="84" t="str">
        <f>IF(AND(OR(N1898="131",O1898="131"),H1898='131-CT'!$H$9),"x","")</f>
        <v/>
      </c>
      <c r="Z1898" s="84"/>
      <c r="AA1898" s="84" t="str">
        <f>IF(AND(MONTH(E1898)='IN-NX'!$J$5,'IN-NX'!$D$7=D1898),"x","")</f>
        <v/>
      </c>
      <c r="AB1898" s="84" t="str">
        <f>IF(AND(OR(LEFT(TH!N1898,2)="15",LEFT(TH!O1898,2)="15"),LEFT(TH!O1898,3)&lt;&gt;"111",'152-CT'!$J$8=TH!F1898),"x","")</f>
        <v/>
      </c>
      <c r="AC1898" s="84" t="str">
        <f>IF(AND(OR(LEFT(TH!N1898,2)="15",LEFT(TH!O1898,2)="15"),TK!$E$7=TH!F1898),"x","")</f>
        <v/>
      </c>
      <c r="AD1898" s="84" t="str">
        <f>IF(AND(N1898="1521",MONTH(C1898)='BK-NL'!$M$11),"x","")</f>
        <v/>
      </c>
      <c r="AE1898" s="351"/>
      <c r="AF1898" s="351"/>
    </row>
    <row r="1899" spans="1:32" ht="15.75" hidden="1" customHeight="1">
      <c r="A1899" s="336" t="str">
        <f>IF(B1899&lt;&gt;"",IF(AND(B1899='IN-TC'!$S$4,OR(TH!N1899="1111",TH!O1899="1111")),TH!D1899,""),"")</f>
        <v/>
      </c>
      <c r="B1899" s="63">
        <f t="shared" si="244"/>
        <v>7</v>
      </c>
      <c r="C1899" s="64">
        <v>42573</v>
      </c>
      <c r="D1899" s="64" t="s">
        <v>705</v>
      </c>
      <c r="E1899" s="64">
        <f t="shared" si="256"/>
        <v>42573</v>
      </c>
      <c r="F1899" s="67" t="s">
        <v>1800</v>
      </c>
      <c r="G1899" s="67" t="s">
        <v>1565</v>
      </c>
      <c r="H1899" s="73"/>
      <c r="I1899" s="439"/>
      <c r="J1899" s="439"/>
      <c r="K1899" s="430">
        <v>30.33</v>
      </c>
      <c r="L1899" s="439">
        <v>22330</v>
      </c>
      <c r="M1899" s="65">
        <f>ROUND(K1899*L1899,0)</f>
        <v>677269</v>
      </c>
      <c r="N1899" s="66" t="s">
        <v>101</v>
      </c>
      <c r="O1899" s="66" t="s">
        <v>266</v>
      </c>
      <c r="P1899" s="84" t="str">
        <f>IF(AND('331-CT'!$E$7=TH!H1899,OR(N1899="331",O1899="331")),"x","")</f>
        <v/>
      </c>
      <c r="Q1899" s="84" t="str">
        <f>IF(AND(B1899='111'!$L$11,OR($N1899=$Q$7,$O1899=$Q$7)),"x","")</f>
        <v/>
      </c>
      <c r="R1899" s="84" t="str">
        <f>IF(AND($N1899=$Q$7,$B1899&lt;'111'!$L$11),"x","")</f>
        <v/>
      </c>
      <c r="S1899" s="84" t="str">
        <f>IF(AND($O1899=$Q$7,$B1899&lt;'111'!$L$11),"x","")</f>
        <v/>
      </c>
      <c r="T1899" s="84" t="str">
        <f>IF(ISERROR(FIND('112'!$M$9,G1899,1)),"",IF((AND(FIND('112'!$M$9,G1899,1)&gt;=1,B1899='112'!$K$9,OR($N1899='112'!$I$6,$O1899='112'!$I$6))),"x",""))</f>
        <v/>
      </c>
      <c r="U1899" s="84" t="str">
        <f>IF(ISERROR(FIND('112'!$M$9,G1899,1)),"",IF((AND(LEFT(G1899,2)=LEFT('112'!$M$9,2),B1899&lt;'112'!$K$9,$N1899='112'!$I$6)),"x",""))</f>
        <v/>
      </c>
      <c r="V1899" s="84" t="str">
        <f>IF(ISERROR(FIND('112'!$M$9,G1899,1)),"",IF((AND(RIGHT(G1899,2)=RIGHT('112'!$M$9,2),B1899&lt;'112'!$K$9,$O1899='112'!$I$6)),"x",""))</f>
        <v/>
      </c>
      <c r="W1899" s="84" t="str">
        <f>IF(AND('341-CT'!$H$9=H1899,OR(LEFT(N1899,3)=$W$7,LEFT(O1899,3)=$W$7)),"x","")</f>
        <v/>
      </c>
      <c r="X1899" s="84" t="str">
        <f>IF(OR(TH!N1899=TH!$X$7,O1899=TH!$X$7),"x","")</f>
        <v/>
      </c>
      <c r="Y1899" s="84" t="str">
        <f>IF(AND(OR(N1899="131",O1899="131"),H1899='131-CT'!$H$9),"x","")</f>
        <v/>
      </c>
      <c r="Z1899" s="84"/>
      <c r="AA1899" s="84" t="str">
        <f>IF(AND(MONTH(E1899)='IN-NX'!$J$5,'IN-NX'!$D$7=D1899),"x","")</f>
        <v/>
      </c>
      <c r="AB1899" s="84" t="str">
        <f>IF(AND(OR(LEFT(TH!N1899,2)="15",LEFT(TH!O1899,2)="15"),LEFT(TH!O1899,3)&lt;&gt;"111",'152-CT'!$J$8=TH!F1899),"x","")</f>
        <v/>
      </c>
      <c r="AC1899" s="84" t="str">
        <f>IF(AND(OR(LEFT(TH!N1899,2)="15",LEFT(TH!O1899,2)="15"),TK!$E$7=TH!F1899),"x","")</f>
        <v/>
      </c>
      <c r="AD1899" s="84" t="str">
        <f>IF(AND(N1899="1521",MONTH(C1899)='BK-NL'!$M$11),"x","")</f>
        <v/>
      </c>
      <c r="AE1899" s="351"/>
      <c r="AF1899" s="351"/>
    </row>
    <row r="1900" spans="1:32" ht="15.75" hidden="1" customHeight="1">
      <c r="A1900" s="336" t="str">
        <f>IF(B1900&lt;&gt;"",IF(AND(B1900='IN-TC'!$S$4,OR(TH!N1900="1111",TH!O1900="1111")),TH!D1900,""),"")</f>
        <v/>
      </c>
      <c r="B1900" s="63">
        <f t="shared" si="244"/>
        <v>7</v>
      </c>
      <c r="C1900" s="64">
        <v>42573</v>
      </c>
      <c r="D1900" s="64" t="s">
        <v>705</v>
      </c>
      <c r="E1900" s="64">
        <f t="shared" si="256"/>
        <v>42573</v>
      </c>
      <c r="F1900" s="67" t="s">
        <v>1784</v>
      </c>
      <c r="G1900" s="67" t="s">
        <v>1881</v>
      </c>
      <c r="H1900" s="73" t="s">
        <v>1785</v>
      </c>
      <c r="I1900" s="439"/>
      <c r="J1900" s="439"/>
      <c r="K1900" s="430"/>
      <c r="L1900" s="439"/>
      <c r="M1900" s="65">
        <v>32000000</v>
      </c>
      <c r="N1900" s="66" t="s">
        <v>26</v>
      </c>
      <c r="O1900" s="66" t="s">
        <v>26</v>
      </c>
      <c r="P1900" s="84" t="str">
        <f>IF(AND('331-CT'!$E$7=TH!H1900,OR(N1900="331",O1900="331")),"x","")</f>
        <v/>
      </c>
      <c r="Q1900" s="84" t="str">
        <f>IF(AND(B1900='111'!$L$11,OR($N1900=$Q$7,$O1900=$Q$7)),"x","")</f>
        <v/>
      </c>
      <c r="R1900" s="84" t="str">
        <f>IF(AND($N1900=$Q$7,$B1900&lt;'111'!$L$11),"x","")</f>
        <v/>
      </c>
      <c r="S1900" s="84" t="str">
        <f>IF(AND($O1900=$Q$7,$B1900&lt;'111'!$L$11),"x","")</f>
        <v/>
      </c>
      <c r="T1900" s="84" t="str">
        <f>IF(ISERROR(FIND('112'!$M$9,G1900,1)),"",IF((AND(FIND('112'!$M$9,G1900,1)&gt;=1,B1900='112'!$K$9,OR($N1900='112'!$I$6,$O1900='112'!$I$6))),"x",""))</f>
        <v/>
      </c>
      <c r="U1900" s="84" t="str">
        <f>IF(ISERROR(FIND('112'!$M$9,G1900,1)),"",IF((AND(LEFT(G1900,2)=LEFT('112'!$M$9,2),B1900&lt;'112'!$K$9,$N1900='112'!$I$6)),"x",""))</f>
        <v/>
      </c>
      <c r="V1900" s="84" t="str">
        <f>IF(ISERROR(FIND('112'!$M$9,G1900,1)),"",IF((AND(RIGHT(G1900,2)=RIGHT('112'!$M$9,2),B1900&lt;'112'!$K$9,$O1900='112'!$I$6)),"x",""))</f>
        <v/>
      </c>
      <c r="W1900" s="84" t="str">
        <f>IF(AND('341-CT'!$H$9=H1900,OR(LEFT(N1900,3)=$W$7,LEFT(O1900,3)=$W$7)),"x","")</f>
        <v/>
      </c>
      <c r="X1900" s="84" t="str">
        <f>IF(OR(TH!N1900=TH!$X$7,O1900=TH!$X$7),"x","")</f>
        <v/>
      </c>
      <c r="Y1900" s="84" t="str">
        <f>IF(AND(OR(N1900="131",O1900="131"),H1900='131-CT'!$H$9),"x","")</f>
        <v/>
      </c>
      <c r="Z1900" s="84"/>
      <c r="AA1900" s="84" t="str">
        <f>IF(AND(MONTH(E1900)='IN-NX'!$J$5,'IN-NX'!$D$7=D1900),"x","")</f>
        <v/>
      </c>
      <c r="AB1900" s="84" t="str">
        <f>IF(AND(OR(LEFT(TH!N1900,2)="15",LEFT(TH!O1900,2)="15"),LEFT(TH!O1900,3)&lt;&gt;"111",'152-CT'!$J$8=TH!F1900),"x","")</f>
        <v/>
      </c>
      <c r="AC1900" s="84" t="str">
        <f>IF(AND(OR(LEFT(TH!N1900,2)="15",LEFT(TH!O1900,2)="15"),TK!$E$7=TH!F1900),"x","")</f>
        <v/>
      </c>
      <c r="AD1900" s="84" t="str">
        <f>IF(AND(N1900="1521",MONTH(C1900)='BK-NL'!$M$11),"x","")</f>
        <v/>
      </c>
      <c r="AE1900" s="351"/>
      <c r="AF1900" s="351"/>
    </row>
    <row r="1901" spans="1:32" ht="15.75" hidden="1" customHeight="1">
      <c r="A1901" s="336" t="str">
        <f>IF(B1901&lt;&gt;"",IF(AND(B1901='IN-TC'!$S$4,OR(TH!N1901="1111",TH!O1901="1111")),TH!D1901,""),"")</f>
        <v/>
      </c>
      <c r="B1901" s="63">
        <f t="shared" si="244"/>
        <v>7</v>
      </c>
      <c r="C1901" s="64">
        <v>42573</v>
      </c>
      <c r="D1901" s="64" t="s">
        <v>702</v>
      </c>
      <c r="E1901" s="64">
        <f t="shared" si="256"/>
        <v>42573</v>
      </c>
      <c r="F1901" s="67" t="s">
        <v>1786</v>
      </c>
      <c r="G1901" s="67" t="s">
        <v>919</v>
      </c>
      <c r="H1901" s="73" t="s">
        <v>1777</v>
      </c>
      <c r="I1901" s="439"/>
      <c r="J1901" s="439"/>
      <c r="K1901" s="430"/>
      <c r="L1901" s="439"/>
      <c r="M1901" s="65">
        <v>21828000</v>
      </c>
      <c r="N1901" s="66" t="s">
        <v>26</v>
      </c>
      <c r="O1901" s="66" t="s">
        <v>593</v>
      </c>
      <c r="P1901" s="84" t="str">
        <f>IF(AND('331-CT'!$E$7=TH!H1901,OR(N1901="331",O1901="331")),"x","")</f>
        <v/>
      </c>
      <c r="Q1901" s="84" t="str">
        <f>IF(AND(B1901='111'!$L$11,OR($N1901=$Q$7,$O1901=$Q$7)),"x","")</f>
        <v/>
      </c>
      <c r="R1901" s="84" t="str">
        <f>IF(AND($N1901=$Q$7,$B1901&lt;'111'!$L$11),"x","")</f>
        <v/>
      </c>
      <c r="S1901" s="84" t="str">
        <f>IF(AND($O1901=$Q$7,$B1901&lt;'111'!$L$11),"x","")</f>
        <v/>
      </c>
      <c r="T1901" s="84" t="str">
        <f>IF(ISERROR(FIND('112'!$M$9,G1901,1)),"",IF((AND(FIND('112'!$M$9,G1901,1)&gt;=1,B1901='112'!$K$9,OR($N1901='112'!$I$6,$O1901='112'!$I$6))),"x",""))</f>
        <v/>
      </c>
      <c r="U1901" s="84" t="str">
        <f>IF(ISERROR(FIND('112'!$M$9,G1901,1)),"",IF((AND(LEFT(G1901,2)=LEFT('112'!$M$9,2),B1901&lt;'112'!$K$9,$N1901='112'!$I$6)),"x",""))</f>
        <v/>
      </c>
      <c r="V1901" s="84" t="str">
        <f>IF(ISERROR(FIND('112'!$M$9,G1901,1)),"",IF((AND(RIGHT(G1901,2)=RIGHT('112'!$M$9,2),B1901&lt;'112'!$K$9,$O1901='112'!$I$6)),"x",""))</f>
        <v/>
      </c>
      <c r="W1901" s="84" t="str">
        <f>IF(AND('341-CT'!$H$9=H1901,OR(LEFT(N1901,3)=$W$7,LEFT(O1901,3)=$W$7)),"x","")</f>
        <v/>
      </c>
      <c r="X1901" s="84" t="str">
        <f>IF(OR(TH!N1901=TH!$X$7,O1901=TH!$X$7),"x","")</f>
        <v/>
      </c>
      <c r="Y1901" s="84" t="str">
        <f>IF(AND(OR(N1901="131",O1901="131"),H1901='131-CT'!$H$9),"x","")</f>
        <v/>
      </c>
      <c r="Z1901" s="84"/>
      <c r="AA1901" s="84" t="str">
        <f>IF(AND(MONTH(E1901)='IN-NX'!$J$5,'IN-NX'!$D$7=D1901),"x","")</f>
        <v/>
      </c>
      <c r="AB1901" s="84" t="str">
        <f>IF(AND(OR(LEFT(TH!N1901,2)="15",LEFT(TH!O1901,2)="15"),LEFT(TH!O1901,3)&lt;&gt;"111",'152-CT'!$J$8=TH!F1901),"x","")</f>
        <v/>
      </c>
      <c r="AC1901" s="84" t="str">
        <f>IF(AND(OR(LEFT(TH!N1901,2)="15",LEFT(TH!O1901,2)="15"),TK!$E$7=TH!F1901),"x","")</f>
        <v/>
      </c>
      <c r="AD1901" s="84" t="str">
        <f>IF(AND(N1901="1521",MONTH(C1901)='BK-NL'!$M$11),"x","")</f>
        <v/>
      </c>
    </row>
    <row r="1902" spans="1:32" ht="15.75" hidden="1" customHeight="1">
      <c r="A1902" s="336" t="str">
        <f>IF(B1902&lt;&gt;"",IF(AND(B1902='IN-TC'!$S$4,OR(TH!N1902="1111",TH!O1902="1111")),TH!D1902,""),"")</f>
        <v/>
      </c>
      <c r="B1902" s="63">
        <f t="shared" si="244"/>
        <v>7</v>
      </c>
      <c r="C1902" s="64">
        <v>42573</v>
      </c>
      <c r="D1902" s="64" t="s">
        <v>705</v>
      </c>
      <c r="E1902" s="64">
        <f t="shared" si="256"/>
        <v>42573</v>
      </c>
      <c r="F1902" s="67" t="s">
        <v>1450</v>
      </c>
      <c r="G1902" s="67" t="s">
        <v>919</v>
      </c>
      <c r="H1902" s="73" t="s">
        <v>1218</v>
      </c>
      <c r="I1902" s="439"/>
      <c r="J1902" s="439"/>
      <c r="K1902" s="430"/>
      <c r="L1902" s="439"/>
      <c r="M1902" s="65">
        <v>160000000</v>
      </c>
      <c r="N1902" s="66" t="s">
        <v>72</v>
      </c>
      <c r="O1902" s="66" t="s">
        <v>26</v>
      </c>
      <c r="P1902" s="84" t="str">
        <f>IF(AND('331-CT'!$E$7=TH!H1902,OR(N1902="331",O1902="331")),"x","")</f>
        <v/>
      </c>
      <c r="Q1902" s="84" t="str">
        <f>IF(AND(B1902='111'!$L$11,OR($N1902=$Q$7,$O1902=$Q$7)),"x","")</f>
        <v/>
      </c>
      <c r="R1902" s="84" t="str">
        <f>IF(AND($N1902=$Q$7,$B1902&lt;'111'!$L$11),"x","")</f>
        <v/>
      </c>
      <c r="S1902" s="84" t="str">
        <f>IF(AND($O1902=$Q$7,$B1902&lt;'111'!$L$11),"x","")</f>
        <v/>
      </c>
      <c r="T1902" s="84" t="str">
        <f>IF(ISERROR(FIND('112'!$M$9,G1902,1)),"",IF((AND(FIND('112'!$M$9,G1902,1)&gt;=1,B1902='112'!$K$9,OR($N1902='112'!$I$6,$O1902='112'!$I$6))),"x",""))</f>
        <v/>
      </c>
      <c r="U1902" s="84" t="str">
        <f>IF(ISERROR(FIND('112'!$M$9,G1902,1)),"",IF((AND(LEFT(G1902,2)=LEFT('112'!$M$9,2),B1902&lt;'112'!$K$9,$N1902='112'!$I$6)),"x",""))</f>
        <v/>
      </c>
      <c r="V1902" s="84" t="str">
        <f>IF(ISERROR(FIND('112'!$M$9,G1902,1)),"",IF((AND(RIGHT(G1902,2)=RIGHT('112'!$M$9,2),B1902&lt;'112'!$K$9,$O1902='112'!$I$6)),"x",""))</f>
        <v/>
      </c>
      <c r="W1902" s="84" t="str">
        <f>IF(AND('341-CT'!$H$9=H1902,OR(LEFT(N1902,3)=$W$7,LEFT(O1902,3)=$W$7)),"x","")</f>
        <v/>
      </c>
      <c r="X1902" s="84" t="str">
        <f>IF(OR(TH!N1902=TH!$X$7,O1902=TH!$X$7),"x","")</f>
        <v>x</v>
      </c>
      <c r="Y1902" s="84" t="str">
        <f>IF(AND(OR(N1902="131",O1902="131"),H1902='131-CT'!$H$9),"x","")</f>
        <v/>
      </c>
      <c r="Z1902" s="84"/>
      <c r="AA1902" s="84" t="str">
        <f>IF(AND(MONTH(E1902)='IN-NX'!$J$5,'IN-NX'!$D$7=D1902),"x","")</f>
        <v/>
      </c>
      <c r="AB1902" s="84" t="str">
        <f>IF(AND(OR(LEFT(TH!N1902,2)="15",LEFT(TH!O1902,2)="15"),LEFT(TH!O1902,3)&lt;&gt;"111",'152-CT'!$J$8=TH!F1902),"x","")</f>
        <v/>
      </c>
      <c r="AC1902" s="84" t="str">
        <f>IF(AND(OR(LEFT(TH!N1902,2)="15",LEFT(TH!O1902,2)="15"),TK!$E$7=TH!F1902),"x","")</f>
        <v/>
      </c>
      <c r="AD1902" s="84" t="str">
        <f>IF(AND(N1902="1521",MONTH(C1902)='BK-NL'!$M$11),"x","")</f>
        <v/>
      </c>
    </row>
    <row r="1903" spans="1:32" s="1166" customFormat="1" ht="15.75" hidden="1" customHeight="1">
      <c r="A1903" s="336" t="str">
        <f>IF(B1903&lt;&gt;"",IF(AND(B1903='IN-TC'!$S$4,OR(TH!N1903="1111",TH!O1903="1111")),TH!D1903,""),"")</f>
        <v/>
      </c>
      <c r="B1903" s="63">
        <f t="shared" si="244"/>
        <v>7</v>
      </c>
      <c r="C1903" s="64">
        <v>42573</v>
      </c>
      <c r="D1903" s="64" t="s">
        <v>705</v>
      </c>
      <c r="E1903" s="64">
        <f t="shared" si="256"/>
        <v>42573</v>
      </c>
      <c r="F1903" s="67" t="s">
        <v>1782</v>
      </c>
      <c r="G1903" s="67" t="s">
        <v>919</v>
      </c>
      <c r="H1903" s="7" t="s">
        <v>633</v>
      </c>
      <c r="I1903" s="439"/>
      <c r="J1903" s="439"/>
      <c r="K1903" s="430"/>
      <c r="L1903" s="439"/>
      <c r="M1903" s="65">
        <v>40000000</v>
      </c>
      <c r="N1903" s="66" t="s">
        <v>8</v>
      </c>
      <c r="O1903" s="66" t="s">
        <v>26</v>
      </c>
      <c r="P1903" s="84" t="str">
        <f>IF(AND('331-CT'!$E$7=TH!H1903,OR(N1903="331",O1903="331")),"x","")</f>
        <v/>
      </c>
      <c r="Q1903" s="84" t="str">
        <f>IF(AND(B1903='111'!$L$11,OR($N1903=$Q$7,$O1903=$Q$7)),"x","")</f>
        <v/>
      </c>
      <c r="R1903" s="84" t="str">
        <f>IF(AND($N1903=$Q$7,$B1903&lt;'111'!$L$11),"x","")</f>
        <v/>
      </c>
      <c r="S1903" s="84" t="str">
        <f>IF(AND($O1903=$Q$7,$B1903&lt;'111'!$L$11),"x","")</f>
        <v/>
      </c>
      <c r="T1903" s="84" t="str">
        <f>IF(ISERROR(FIND('112'!$M$9,G1903,1)),"",IF((AND(FIND('112'!$M$9,G1903,1)&gt;=1,B1903='112'!$K$9,OR($N1903='112'!$I$6,$O1903='112'!$I$6))),"x",""))</f>
        <v/>
      </c>
      <c r="U1903" s="84" t="str">
        <f>IF(ISERROR(FIND('112'!$M$9,G1903,1)),"",IF((AND(LEFT(G1903,2)=LEFT('112'!$M$9,2),B1903&lt;'112'!$K$9,$N1903='112'!$I$6)),"x",""))</f>
        <v/>
      </c>
      <c r="V1903" s="84" t="str">
        <f>IF(ISERROR(FIND('112'!$M$9,G1903,1)),"",IF((AND(RIGHT(G1903,2)=RIGHT('112'!$M$9,2),B1903&lt;'112'!$K$9,$O1903='112'!$I$6)),"x",""))</f>
        <v/>
      </c>
      <c r="W1903" s="84" t="str">
        <f>IF(AND('341-CT'!$H$9=H1903,OR(LEFT(N1903,3)=$W$7,LEFT(O1903,3)=$W$7)),"x","")</f>
        <v/>
      </c>
      <c r="X1903" s="84" t="str">
        <f>IF(OR(TH!N1903=TH!$X$7,O1903=TH!$X$7),"x","")</f>
        <v/>
      </c>
      <c r="Y1903" s="84" t="str">
        <f>IF(AND(OR(N1903="131",O1903="131"),H1903='131-CT'!$H$9),"x","")</f>
        <v/>
      </c>
      <c r="Z1903" s="84"/>
      <c r="AA1903" s="84" t="str">
        <f>IF(AND(MONTH(E1903)='IN-NX'!$J$5,'IN-NX'!$D$7=D1903),"x","")</f>
        <v/>
      </c>
      <c r="AB1903" s="84" t="str">
        <f>IF(AND(OR(LEFT(TH!N1903,2)="15",LEFT(TH!O1903,2)="15"),LEFT(TH!O1903,3)&lt;&gt;"111",'152-CT'!$J$8=TH!F1903),"x","")</f>
        <v/>
      </c>
      <c r="AC1903" s="84" t="str">
        <f>IF(AND(OR(LEFT(TH!N1903,2)="15",LEFT(TH!O1903,2)="15"),TK!$E$7=TH!F1903),"x","")</f>
        <v/>
      </c>
      <c r="AD1903" s="84" t="str">
        <f>IF(AND(N1903="1521",MONTH(C1903)='BK-NL'!$M$11),"x","")</f>
        <v/>
      </c>
      <c r="AE1903" s="1146" t="str">
        <f>IF(H1903&lt;&gt;VLOOKUP(H1903,DSKH,1,0),"","x")</f>
        <v>x</v>
      </c>
      <c r="AF1903" s="330"/>
    </row>
    <row r="1904" spans="1:32" s="1166" customFormat="1" ht="15.75" hidden="1" customHeight="1">
      <c r="A1904" s="336" t="str">
        <f>IF(B1904&lt;&gt;"",IF(AND(B1904='IN-TC'!$S$4,OR(TH!N1904="1111",TH!O1904="1111")),TH!D1904,""),"")</f>
        <v/>
      </c>
      <c r="B1904" s="63">
        <f t="shared" si="244"/>
        <v>7</v>
      </c>
      <c r="C1904" s="64">
        <v>42573</v>
      </c>
      <c r="D1904" s="64" t="s">
        <v>705</v>
      </c>
      <c r="E1904" s="64">
        <f t="shared" si="256"/>
        <v>42573</v>
      </c>
      <c r="F1904" s="67" t="s">
        <v>1176</v>
      </c>
      <c r="G1904" s="67" t="s">
        <v>919</v>
      </c>
      <c r="H1904" s="73" t="s">
        <v>1803</v>
      </c>
      <c r="I1904" s="439"/>
      <c r="J1904" s="439"/>
      <c r="K1904" s="430"/>
      <c r="L1904" s="439"/>
      <c r="M1904" s="65">
        <v>20000</v>
      </c>
      <c r="N1904" s="66" t="s">
        <v>101</v>
      </c>
      <c r="O1904" s="66" t="s">
        <v>26</v>
      </c>
      <c r="P1904" s="84" t="str">
        <f>IF(AND('331-CT'!$E$7=TH!H1904,OR(N1904="331",O1904="331")),"x","")</f>
        <v/>
      </c>
      <c r="Q1904" s="84" t="str">
        <f>IF(AND(B1904='111'!$L$11,OR($N1904=$Q$7,$O1904=$Q$7)),"x","")</f>
        <v/>
      </c>
      <c r="R1904" s="84" t="str">
        <f>IF(AND($N1904=$Q$7,$B1904&lt;'111'!$L$11),"x","")</f>
        <v/>
      </c>
      <c r="S1904" s="84" t="str">
        <f>IF(AND($O1904=$Q$7,$B1904&lt;'111'!$L$11),"x","")</f>
        <v/>
      </c>
      <c r="T1904" s="84" t="str">
        <f>IF(ISERROR(FIND('112'!$M$9,G1904,1)),"",IF((AND(FIND('112'!$M$9,G1904,1)&gt;=1,B1904='112'!$K$9,OR($N1904='112'!$I$6,$O1904='112'!$I$6))),"x",""))</f>
        <v/>
      </c>
      <c r="U1904" s="84" t="str">
        <f>IF(ISERROR(FIND('112'!$M$9,G1904,1)),"",IF((AND(LEFT(G1904,2)=LEFT('112'!$M$9,2),B1904&lt;'112'!$K$9,$N1904='112'!$I$6)),"x",""))</f>
        <v/>
      </c>
      <c r="V1904" s="84" t="str">
        <f>IF(ISERROR(FIND('112'!$M$9,G1904,1)),"",IF((AND(RIGHT(G1904,2)=RIGHT('112'!$M$9,2),B1904&lt;'112'!$K$9,$O1904='112'!$I$6)),"x",""))</f>
        <v/>
      </c>
      <c r="W1904" s="84" t="str">
        <f>IF(AND('341-CT'!$H$9=H1904,OR(LEFT(N1904,3)=$W$7,LEFT(O1904,3)=$W$7)),"x","")</f>
        <v/>
      </c>
      <c r="X1904" s="84" t="str">
        <f>IF(OR(TH!N1904=TH!$X$7,O1904=TH!$X$7),"x","")</f>
        <v/>
      </c>
      <c r="Y1904" s="84" t="str">
        <f>IF(AND(OR(N1904="131",O1904="131"),H1904='131-CT'!$H$9),"x","")</f>
        <v/>
      </c>
      <c r="Z1904" s="84"/>
      <c r="AA1904" s="84" t="str">
        <f>IF(AND(MONTH(E1904)='IN-NX'!$J$5,'IN-NX'!$D$7=D1904),"x","")</f>
        <v/>
      </c>
      <c r="AB1904" s="84" t="str">
        <f>IF(AND(OR(LEFT(TH!N1904,2)="15",LEFT(TH!O1904,2)="15"),LEFT(TH!O1904,3)&lt;&gt;"111",'152-CT'!$J$8=TH!F1904),"x","")</f>
        <v/>
      </c>
      <c r="AC1904" s="84" t="str">
        <f>IF(AND(OR(LEFT(TH!N1904,2)="15",LEFT(TH!O1904,2)="15"),TK!$E$7=TH!F1904),"x","")</f>
        <v/>
      </c>
      <c r="AD1904" s="84" t="str">
        <f>IF(AND(N1904="1521",MONTH(C1904)='BK-NL'!$M$11),"x","")</f>
        <v/>
      </c>
      <c r="AE1904" s="330"/>
      <c r="AF1904" s="330">
        <v>7</v>
      </c>
    </row>
    <row r="1905" spans="1:32" s="1166" customFormat="1" ht="15.75" hidden="1" customHeight="1">
      <c r="A1905" s="336" t="str">
        <f>IF(B1905&lt;&gt;"",IF(AND(B1905='IN-TC'!$S$4,OR(TH!N1905="1111",TH!O1905="1111")),TH!D1905,""),"")</f>
        <v/>
      </c>
      <c r="B1905" s="63">
        <f t="shared" si="244"/>
        <v>7</v>
      </c>
      <c r="C1905" s="64">
        <v>42573</v>
      </c>
      <c r="D1905" s="64" t="s">
        <v>705</v>
      </c>
      <c r="E1905" s="64">
        <f t="shared" si="256"/>
        <v>42573</v>
      </c>
      <c r="F1905" s="67" t="s">
        <v>1638</v>
      </c>
      <c r="G1905" s="67" t="s">
        <v>919</v>
      </c>
      <c r="H1905" s="73" t="s">
        <v>1803</v>
      </c>
      <c r="I1905" s="439"/>
      <c r="J1905" s="439"/>
      <c r="K1905" s="430"/>
      <c r="L1905" s="439"/>
      <c r="M1905" s="65">
        <v>2000</v>
      </c>
      <c r="N1905" s="66" t="s">
        <v>9</v>
      </c>
      <c r="O1905" s="66" t="s">
        <v>26</v>
      </c>
      <c r="P1905" s="84" t="str">
        <f>IF(AND('331-CT'!$E$7=TH!H1905,OR(N1905="331",O1905="331")),"x","")</f>
        <v/>
      </c>
      <c r="Q1905" s="84" t="str">
        <f>IF(AND(B1905='111'!$L$11,OR($N1905=$Q$7,$O1905=$Q$7)),"x","")</f>
        <v/>
      </c>
      <c r="R1905" s="84" t="str">
        <f>IF(AND($N1905=$Q$7,$B1905&lt;'111'!$L$11),"x","")</f>
        <v/>
      </c>
      <c r="S1905" s="84" t="str">
        <f>IF(AND($O1905=$Q$7,$B1905&lt;'111'!$L$11),"x","")</f>
        <v/>
      </c>
      <c r="T1905" s="84" t="str">
        <f>IF(ISERROR(FIND('112'!$M$9,G1905,1)),"",IF((AND(FIND('112'!$M$9,G1905,1)&gt;=1,B1905='112'!$K$9,OR($N1905='112'!$I$6,$O1905='112'!$I$6))),"x",""))</f>
        <v/>
      </c>
      <c r="U1905" s="84" t="str">
        <f>IF(ISERROR(FIND('112'!$M$9,G1905,1)),"",IF((AND(LEFT(G1905,2)=LEFT('112'!$M$9,2),B1905&lt;'112'!$K$9,$N1905='112'!$I$6)),"x",""))</f>
        <v/>
      </c>
      <c r="V1905" s="84" t="str">
        <f>IF(ISERROR(FIND('112'!$M$9,G1905,1)),"",IF((AND(RIGHT(G1905,2)=RIGHT('112'!$M$9,2),B1905&lt;'112'!$K$9,$O1905='112'!$I$6)),"x",""))</f>
        <v/>
      </c>
      <c r="W1905" s="84" t="str">
        <f>IF(AND('341-CT'!$H$9=H1905,OR(LEFT(N1905,3)=$W$7,LEFT(O1905,3)=$W$7)),"x","")</f>
        <v/>
      </c>
      <c r="X1905" s="84" t="str">
        <f>IF(OR(TH!N1905=TH!$X$7,O1905=TH!$X$7),"x","")</f>
        <v/>
      </c>
      <c r="Y1905" s="84" t="str">
        <f>IF(AND(OR(N1905="131",O1905="131"),H1905='131-CT'!$H$9),"x","")</f>
        <v/>
      </c>
      <c r="Z1905" s="84"/>
      <c r="AA1905" s="84" t="str">
        <f>IF(AND(MONTH(E1905)='IN-NX'!$J$5,'IN-NX'!$D$7=D1905),"x","")</f>
        <v/>
      </c>
      <c r="AB1905" s="84" t="str">
        <f>IF(AND(OR(LEFT(TH!N1905,2)="15",LEFT(TH!O1905,2)="15"),LEFT(TH!O1905,3)&lt;&gt;"111",'152-CT'!$J$8=TH!F1905),"x","")</f>
        <v/>
      </c>
      <c r="AC1905" s="84" t="str">
        <f>IF(AND(OR(LEFT(TH!N1905,2)="15",LEFT(TH!O1905,2)="15"),TK!$E$7=TH!F1905),"x","")</f>
        <v/>
      </c>
      <c r="AD1905" s="84" t="str">
        <f>IF(AND(N1905="1521",MONTH(C1905)='BK-NL'!$M$11),"x","")</f>
        <v/>
      </c>
      <c r="AE1905" s="330"/>
      <c r="AF1905" s="330">
        <v>7</v>
      </c>
    </row>
    <row r="1906" spans="1:32" s="1166" customFormat="1" ht="15.75" hidden="1" customHeight="1">
      <c r="A1906" s="336" t="str">
        <f>IF(B1906&lt;&gt;"",IF(AND(B1906='IN-TC'!$S$4,OR(TH!N1906="1111",TH!O1906="1111")),TH!D1906,""),"")</f>
        <v/>
      </c>
      <c r="B1906" s="63">
        <f t="shared" si="244"/>
        <v>7</v>
      </c>
      <c r="C1906" s="64">
        <v>42573</v>
      </c>
      <c r="D1906" s="64" t="s">
        <v>705</v>
      </c>
      <c r="E1906" s="64">
        <f t="shared" si="256"/>
        <v>42573</v>
      </c>
      <c r="F1906" s="67" t="s">
        <v>1783</v>
      </c>
      <c r="G1906" s="67" t="s">
        <v>919</v>
      </c>
      <c r="H1906" s="73" t="s">
        <v>632</v>
      </c>
      <c r="I1906" s="439"/>
      <c r="J1906" s="439"/>
      <c r="K1906" s="430"/>
      <c r="L1906" s="439"/>
      <c r="M1906" s="65">
        <v>20769870</v>
      </c>
      <c r="N1906" s="66" t="s">
        <v>8</v>
      </c>
      <c r="O1906" s="66" t="s">
        <v>26</v>
      </c>
      <c r="P1906" s="84" t="str">
        <f>IF(AND('331-CT'!$E$7=TH!H1906,OR(N1906="331",O1906="331")),"x","")</f>
        <v/>
      </c>
      <c r="Q1906" s="84" t="str">
        <f>IF(AND(B1906='111'!$L$11,OR($N1906=$Q$7,$O1906=$Q$7)),"x","")</f>
        <v/>
      </c>
      <c r="R1906" s="84" t="str">
        <f>IF(AND($N1906=$Q$7,$B1906&lt;'111'!$L$11),"x","")</f>
        <v/>
      </c>
      <c r="S1906" s="84" t="str">
        <f>IF(AND($O1906=$Q$7,$B1906&lt;'111'!$L$11),"x","")</f>
        <v/>
      </c>
      <c r="T1906" s="84" t="str">
        <f>IF(ISERROR(FIND('112'!$M$9,G1906,1)),"",IF((AND(FIND('112'!$M$9,G1906,1)&gt;=1,B1906='112'!$K$9,OR($N1906='112'!$I$6,$O1906='112'!$I$6))),"x",""))</f>
        <v/>
      </c>
      <c r="U1906" s="84" t="str">
        <f>IF(ISERROR(FIND('112'!$M$9,G1906,1)),"",IF((AND(LEFT(G1906,2)=LEFT('112'!$M$9,2),B1906&lt;'112'!$K$9,$N1906='112'!$I$6)),"x",""))</f>
        <v/>
      </c>
      <c r="V1906" s="84" t="str">
        <f>IF(ISERROR(FIND('112'!$M$9,G1906,1)),"",IF((AND(RIGHT(G1906,2)=RIGHT('112'!$M$9,2),B1906&lt;'112'!$K$9,$O1906='112'!$I$6)),"x",""))</f>
        <v/>
      </c>
      <c r="W1906" s="84" t="str">
        <f>IF(AND('341-CT'!$H$9=H1906,OR(LEFT(N1906,3)=$W$7,LEFT(O1906,3)=$W$7)),"x","")</f>
        <v/>
      </c>
      <c r="X1906" s="84" t="str">
        <f>IF(OR(TH!N1906=TH!$X$7,O1906=TH!$X$7),"x","")</f>
        <v/>
      </c>
      <c r="Y1906" s="84" t="str">
        <f>IF(AND(OR(N1906="131",O1906="131"),H1906='131-CT'!$H$9),"x","")</f>
        <v/>
      </c>
      <c r="Z1906" s="84"/>
      <c r="AA1906" s="84" t="str">
        <f>IF(AND(MONTH(E1906)='IN-NX'!$J$5,'IN-NX'!$D$7=D1906),"x","")</f>
        <v/>
      </c>
      <c r="AB1906" s="84" t="str">
        <f>IF(AND(OR(LEFT(TH!N1906,2)="15",LEFT(TH!O1906,2)="15"),LEFT(TH!O1906,3)&lt;&gt;"111",'152-CT'!$J$8=TH!F1906),"x","")</f>
        <v/>
      </c>
      <c r="AC1906" s="84" t="str">
        <f>IF(AND(OR(LEFT(TH!N1906,2)="15",LEFT(TH!O1906,2)="15"),TK!$E$7=TH!F1906),"x","")</f>
        <v/>
      </c>
      <c r="AD1906" s="84" t="str">
        <f>IF(AND(N1906="1521",MONTH(C1906)='BK-NL'!$M$11),"x","")</f>
        <v/>
      </c>
      <c r="AE1906" s="1146" t="str">
        <f>IF(H1906&lt;&gt;VLOOKUP(H1906,DSKH,1,0),"","x")</f>
        <v>x</v>
      </c>
      <c r="AF1906" s="330"/>
    </row>
    <row r="1907" spans="1:32" s="1166" customFormat="1" ht="15.75" hidden="1" customHeight="1">
      <c r="A1907" s="336" t="str">
        <f>IF(B1907&lt;&gt;"",IF(AND(B1907='IN-TC'!$S$4,OR(TH!N1907="1111",TH!O1907="1111")),TH!D1907,""),"")</f>
        <v/>
      </c>
      <c r="B1907" s="63">
        <f t="shared" si="244"/>
        <v>7</v>
      </c>
      <c r="C1907" s="64">
        <v>42573</v>
      </c>
      <c r="D1907" s="64" t="s">
        <v>705</v>
      </c>
      <c r="E1907" s="64">
        <f t="shared" si="256"/>
        <v>42573</v>
      </c>
      <c r="F1907" s="67" t="s">
        <v>1176</v>
      </c>
      <c r="G1907" s="67" t="s">
        <v>919</v>
      </c>
      <c r="H1907" s="73" t="s">
        <v>1803</v>
      </c>
      <c r="I1907" s="439"/>
      <c r="J1907" s="439"/>
      <c r="K1907" s="430"/>
      <c r="L1907" s="439"/>
      <c r="M1907" s="65">
        <v>28510</v>
      </c>
      <c r="N1907" s="66" t="s">
        <v>101</v>
      </c>
      <c r="O1907" s="66" t="s">
        <v>26</v>
      </c>
      <c r="P1907" s="84" t="str">
        <f>IF(AND('331-CT'!$E$7=TH!H1907,OR(N1907="331",O1907="331")),"x","")</f>
        <v/>
      </c>
      <c r="Q1907" s="84" t="str">
        <f>IF(AND(B1907='111'!$L$11,OR($N1907=$Q$7,$O1907=$Q$7)),"x","")</f>
        <v/>
      </c>
      <c r="R1907" s="84" t="str">
        <f>IF(AND($N1907=$Q$7,$B1907&lt;'111'!$L$11),"x","")</f>
        <v/>
      </c>
      <c r="S1907" s="84" t="str">
        <f>IF(AND($O1907=$Q$7,$B1907&lt;'111'!$L$11),"x","")</f>
        <v/>
      </c>
      <c r="T1907" s="84" t="str">
        <f>IF(ISERROR(FIND('112'!$M$9,G1907,1)),"",IF((AND(FIND('112'!$M$9,G1907,1)&gt;=1,B1907='112'!$K$9,OR($N1907='112'!$I$6,$O1907='112'!$I$6))),"x",""))</f>
        <v/>
      </c>
      <c r="U1907" s="84" t="str">
        <f>IF(ISERROR(FIND('112'!$M$9,G1907,1)),"",IF((AND(LEFT(G1907,2)=LEFT('112'!$M$9,2),B1907&lt;'112'!$K$9,$N1907='112'!$I$6)),"x",""))</f>
        <v/>
      </c>
      <c r="V1907" s="84" t="str">
        <f>IF(ISERROR(FIND('112'!$M$9,G1907,1)),"",IF((AND(RIGHT(G1907,2)=RIGHT('112'!$M$9,2),B1907&lt;'112'!$K$9,$O1907='112'!$I$6)),"x",""))</f>
        <v/>
      </c>
      <c r="W1907" s="84" t="str">
        <f>IF(AND('341-CT'!$H$9=H1907,OR(LEFT(N1907,3)=$W$7,LEFT(O1907,3)=$W$7)),"x","")</f>
        <v/>
      </c>
      <c r="X1907" s="84" t="str">
        <f>IF(OR(TH!N1907=TH!$X$7,O1907=TH!$X$7),"x","")</f>
        <v/>
      </c>
      <c r="Y1907" s="84" t="str">
        <f>IF(AND(OR(N1907="131",O1907="131"),H1907='131-CT'!$H$9),"x","")</f>
        <v/>
      </c>
      <c r="Z1907" s="84"/>
      <c r="AA1907" s="84" t="str">
        <f>IF(AND(MONTH(E1907)='IN-NX'!$J$5,'IN-NX'!$D$7=D1907),"x","")</f>
        <v/>
      </c>
      <c r="AB1907" s="84" t="str">
        <f>IF(AND(OR(LEFT(TH!N1907,2)="15",LEFT(TH!O1907,2)="15"),LEFT(TH!O1907,3)&lt;&gt;"111",'152-CT'!$J$8=TH!F1907),"x","")</f>
        <v/>
      </c>
      <c r="AC1907" s="84" t="str">
        <f>IF(AND(OR(LEFT(TH!N1907,2)="15",LEFT(TH!O1907,2)="15"),TK!$E$7=TH!F1907),"x","")</f>
        <v/>
      </c>
      <c r="AD1907" s="84" t="str">
        <f>IF(AND(N1907="1521",MONTH(C1907)='BK-NL'!$M$11),"x","")</f>
        <v/>
      </c>
      <c r="AE1907" s="330"/>
      <c r="AF1907" s="330">
        <v>7</v>
      </c>
    </row>
    <row r="1908" spans="1:32" s="1166" customFormat="1" ht="15.75" hidden="1" customHeight="1">
      <c r="A1908" s="336" t="str">
        <f>IF(B1908&lt;&gt;"",IF(AND(B1908='IN-TC'!$S$4,OR(TH!N1908="1111",TH!O1908="1111")),TH!D1908,""),"")</f>
        <v/>
      </c>
      <c r="B1908" s="63">
        <f t="shared" si="244"/>
        <v>7</v>
      </c>
      <c r="C1908" s="64">
        <v>42573</v>
      </c>
      <c r="D1908" s="64" t="s">
        <v>705</v>
      </c>
      <c r="E1908" s="64">
        <f t="shared" si="256"/>
        <v>42573</v>
      </c>
      <c r="F1908" s="67" t="s">
        <v>1638</v>
      </c>
      <c r="G1908" s="67" t="s">
        <v>919</v>
      </c>
      <c r="H1908" s="73" t="s">
        <v>1803</v>
      </c>
      <c r="I1908" s="439"/>
      <c r="J1908" s="439"/>
      <c r="K1908" s="430"/>
      <c r="L1908" s="439"/>
      <c r="M1908" s="65">
        <v>2851</v>
      </c>
      <c r="N1908" s="66" t="s">
        <v>9</v>
      </c>
      <c r="O1908" s="66" t="s">
        <v>26</v>
      </c>
      <c r="P1908" s="84" t="str">
        <f>IF(AND('331-CT'!$E$7=TH!H1908,OR(N1908="331",O1908="331")),"x","")</f>
        <v/>
      </c>
      <c r="Q1908" s="84" t="str">
        <f>IF(AND(B1908='111'!$L$11,OR($N1908=$Q$7,$O1908=$Q$7)),"x","")</f>
        <v/>
      </c>
      <c r="R1908" s="84" t="str">
        <f>IF(AND($N1908=$Q$7,$B1908&lt;'111'!$L$11),"x","")</f>
        <v/>
      </c>
      <c r="S1908" s="84" t="str">
        <f>IF(AND($O1908=$Q$7,$B1908&lt;'111'!$L$11),"x","")</f>
        <v/>
      </c>
      <c r="T1908" s="84" t="str">
        <f>IF(ISERROR(FIND('112'!$M$9,G1908,1)),"",IF((AND(FIND('112'!$M$9,G1908,1)&gt;=1,B1908='112'!$K$9,OR($N1908='112'!$I$6,$O1908='112'!$I$6))),"x",""))</f>
        <v/>
      </c>
      <c r="U1908" s="84" t="str">
        <f>IF(ISERROR(FIND('112'!$M$9,G1908,1)),"",IF((AND(LEFT(G1908,2)=LEFT('112'!$M$9,2),B1908&lt;'112'!$K$9,$N1908='112'!$I$6)),"x",""))</f>
        <v/>
      </c>
      <c r="V1908" s="84" t="str">
        <f>IF(ISERROR(FIND('112'!$M$9,G1908,1)),"",IF((AND(RIGHT(G1908,2)=RIGHT('112'!$M$9,2),B1908&lt;'112'!$K$9,$O1908='112'!$I$6)),"x",""))</f>
        <v/>
      </c>
      <c r="W1908" s="84" t="str">
        <f>IF(AND('341-CT'!$H$9=H1908,OR(LEFT(N1908,3)=$W$7,LEFT(O1908,3)=$W$7)),"x","")</f>
        <v/>
      </c>
      <c r="X1908" s="84" t="str">
        <f>IF(OR(TH!N1908=TH!$X$7,O1908=TH!$X$7),"x","")</f>
        <v/>
      </c>
      <c r="Y1908" s="84" t="str">
        <f>IF(AND(OR(N1908="131",O1908="131"),H1908='131-CT'!$H$9),"x","")</f>
        <v/>
      </c>
      <c r="Z1908" s="84"/>
      <c r="AA1908" s="84" t="str">
        <f>IF(AND(MONTH(E1908)='IN-NX'!$J$5,'IN-NX'!$D$7=D1908),"x","")</f>
        <v/>
      </c>
      <c r="AB1908" s="84" t="str">
        <f>IF(AND(OR(LEFT(TH!N1908,2)="15",LEFT(TH!O1908,2)="15"),LEFT(TH!O1908,3)&lt;&gt;"111",'152-CT'!$J$8=TH!F1908),"x","")</f>
        <v/>
      </c>
      <c r="AC1908" s="84" t="str">
        <f>IF(AND(OR(LEFT(TH!N1908,2)="15",LEFT(TH!O1908,2)="15"),TK!$E$7=TH!F1908),"x","")</f>
        <v/>
      </c>
      <c r="AD1908" s="84" t="str">
        <f>IF(AND(N1908="1521",MONTH(C1908)='BK-NL'!$M$11),"x","")</f>
        <v/>
      </c>
      <c r="AE1908" s="330"/>
      <c r="AF1908" s="330">
        <v>7</v>
      </c>
    </row>
    <row r="1909" spans="1:32" s="1166" customFormat="1" ht="15.75" hidden="1" customHeight="1">
      <c r="A1909" s="336" t="str">
        <f>IF(B1909&lt;&gt;"",IF(AND(B1909='IN-TC'!$S$4,OR(TH!N1909="1111",TH!O1909="1111")),TH!D1909,""),"")</f>
        <v/>
      </c>
      <c r="B1909" s="63">
        <f t="shared" ref="B1909:B1931" si="257">IF(C1909&lt;&gt;"",MONTH(C1909),"")</f>
        <v>7</v>
      </c>
      <c r="C1909" s="64">
        <v>42573</v>
      </c>
      <c r="D1909" s="64" t="s">
        <v>705</v>
      </c>
      <c r="E1909" s="64">
        <f t="shared" si="256"/>
        <v>42573</v>
      </c>
      <c r="F1909" s="67" t="s">
        <v>1176</v>
      </c>
      <c r="G1909" s="67" t="s">
        <v>919</v>
      </c>
      <c r="H1909" s="73" t="s">
        <v>1803</v>
      </c>
      <c r="I1909" s="439"/>
      <c r="J1909" s="439"/>
      <c r="K1909" s="430"/>
      <c r="L1909" s="439"/>
      <c r="M1909" s="65">
        <v>20000</v>
      </c>
      <c r="N1909" s="66" t="s">
        <v>101</v>
      </c>
      <c r="O1909" s="66" t="s">
        <v>26</v>
      </c>
      <c r="P1909" s="84" t="str">
        <f>IF(AND('331-CT'!$E$7=TH!H1909,OR(N1909="331",O1909="331")),"x","")</f>
        <v/>
      </c>
      <c r="Q1909" s="84" t="str">
        <f>IF(AND(B1909='111'!$L$11,OR($N1909=$Q$7,$O1909=$Q$7)),"x","")</f>
        <v/>
      </c>
      <c r="R1909" s="84" t="str">
        <f>IF(AND($N1909=$Q$7,$B1909&lt;'111'!$L$11),"x","")</f>
        <v/>
      </c>
      <c r="S1909" s="84" t="str">
        <f>IF(AND($O1909=$Q$7,$B1909&lt;'111'!$L$11),"x","")</f>
        <v/>
      </c>
      <c r="T1909" s="84" t="str">
        <f>IF(ISERROR(FIND('112'!$M$9,G1909,1)),"",IF((AND(FIND('112'!$M$9,G1909,1)&gt;=1,B1909='112'!$K$9,OR($N1909='112'!$I$6,$O1909='112'!$I$6))),"x",""))</f>
        <v/>
      </c>
      <c r="U1909" s="84" t="str">
        <f>IF(ISERROR(FIND('112'!$M$9,G1909,1)),"",IF((AND(LEFT(G1909,2)=LEFT('112'!$M$9,2),B1909&lt;'112'!$K$9,$N1909='112'!$I$6)),"x",""))</f>
        <v/>
      </c>
      <c r="V1909" s="84" t="str">
        <f>IF(ISERROR(FIND('112'!$M$9,G1909,1)),"",IF((AND(RIGHT(G1909,2)=RIGHT('112'!$M$9,2),B1909&lt;'112'!$K$9,$O1909='112'!$I$6)),"x",""))</f>
        <v/>
      </c>
      <c r="W1909" s="84" t="str">
        <f>IF(AND('341-CT'!$H$9=H1909,OR(LEFT(N1909,3)=$W$7,LEFT(O1909,3)=$W$7)),"x","")</f>
        <v/>
      </c>
      <c r="X1909" s="84" t="str">
        <f>IF(OR(TH!N1909=TH!$X$7,O1909=TH!$X$7),"x","")</f>
        <v/>
      </c>
      <c r="Y1909" s="84" t="str">
        <f>IF(AND(OR(N1909="131",O1909="131"),H1909='131-CT'!$H$9),"x","")</f>
        <v/>
      </c>
      <c r="Z1909" s="84"/>
      <c r="AA1909" s="84" t="str">
        <f>IF(AND(MONTH(E1909)='IN-NX'!$J$5,'IN-NX'!$D$7=D1909),"x","")</f>
        <v/>
      </c>
      <c r="AB1909" s="84" t="str">
        <f>IF(AND(OR(LEFT(TH!N1909,2)="15",LEFT(TH!O1909,2)="15"),LEFT(TH!O1909,3)&lt;&gt;"111",'152-CT'!$J$8=TH!F1909),"x","")</f>
        <v/>
      </c>
      <c r="AC1909" s="84" t="str">
        <f>IF(AND(OR(LEFT(TH!N1909,2)="15",LEFT(TH!O1909,2)="15"),TK!$E$7=TH!F1909),"x","")</f>
        <v/>
      </c>
      <c r="AD1909" s="84" t="str">
        <f>IF(AND(N1909="1521",MONTH(C1909)='BK-NL'!$M$11),"x","")</f>
        <v/>
      </c>
      <c r="AE1909" s="330"/>
      <c r="AF1909" s="330">
        <v>7</v>
      </c>
    </row>
    <row r="1910" spans="1:32" s="1166" customFormat="1" ht="15.75" hidden="1" customHeight="1">
      <c r="A1910" s="336" t="str">
        <f>IF(B1910&lt;&gt;"",IF(AND(B1910='IN-TC'!$S$4,OR(TH!N1910="1111",TH!O1910="1111")),TH!D1910,""),"")</f>
        <v/>
      </c>
      <c r="B1910" s="63">
        <f t="shared" si="257"/>
        <v>7</v>
      </c>
      <c r="C1910" s="64">
        <v>42573</v>
      </c>
      <c r="D1910" s="64" t="s">
        <v>705</v>
      </c>
      <c r="E1910" s="64">
        <f t="shared" si="256"/>
        <v>42573</v>
      </c>
      <c r="F1910" s="67" t="s">
        <v>1638</v>
      </c>
      <c r="G1910" s="67" t="s">
        <v>919</v>
      </c>
      <c r="H1910" s="73" t="s">
        <v>1803</v>
      </c>
      <c r="I1910" s="439"/>
      <c r="J1910" s="439"/>
      <c r="K1910" s="430"/>
      <c r="L1910" s="439"/>
      <c r="M1910" s="65">
        <v>2000</v>
      </c>
      <c r="N1910" s="66" t="s">
        <v>9</v>
      </c>
      <c r="O1910" s="66" t="s">
        <v>26</v>
      </c>
      <c r="P1910" s="84" t="str">
        <f>IF(AND('331-CT'!$E$7=TH!H1910,OR(N1910="331",O1910="331")),"x","")</f>
        <v/>
      </c>
      <c r="Q1910" s="84" t="str">
        <f>IF(AND(B1910='111'!$L$11,OR($N1910=$Q$7,$O1910=$Q$7)),"x","")</f>
        <v/>
      </c>
      <c r="R1910" s="84" t="str">
        <f>IF(AND($N1910=$Q$7,$B1910&lt;'111'!$L$11),"x","")</f>
        <v/>
      </c>
      <c r="S1910" s="84" t="str">
        <f>IF(AND($O1910=$Q$7,$B1910&lt;'111'!$L$11),"x","")</f>
        <v/>
      </c>
      <c r="T1910" s="84" t="str">
        <f>IF(ISERROR(FIND('112'!$M$9,G1910,1)),"",IF((AND(FIND('112'!$M$9,G1910,1)&gt;=1,B1910='112'!$K$9,OR($N1910='112'!$I$6,$O1910='112'!$I$6))),"x",""))</f>
        <v/>
      </c>
      <c r="U1910" s="84" t="str">
        <f>IF(ISERROR(FIND('112'!$M$9,G1910,1)),"",IF((AND(LEFT(G1910,2)=LEFT('112'!$M$9,2),B1910&lt;'112'!$K$9,$N1910='112'!$I$6)),"x",""))</f>
        <v/>
      </c>
      <c r="V1910" s="84" t="str">
        <f>IF(ISERROR(FIND('112'!$M$9,G1910,1)),"",IF((AND(RIGHT(G1910,2)=RIGHT('112'!$M$9,2),B1910&lt;'112'!$K$9,$O1910='112'!$I$6)),"x",""))</f>
        <v/>
      </c>
      <c r="W1910" s="84" t="str">
        <f>IF(AND('341-CT'!$H$9=H1910,OR(LEFT(N1910,3)=$W$7,LEFT(O1910,3)=$W$7)),"x","")</f>
        <v/>
      </c>
      <c r="X1910" s="84" t="str">
        <f>IF(OR(TH!N1910=TH!$X$7,O1910=TH!$X$7),"x","")</f>
        <v/>
      </c>
      <c r="Y1910" s="84" t="str">
        <f>IF(AND(OR(N1910="131",O1910="131"),H1910='131-CT'!$H$9),"x","")</f>
        <v/>
      </c>
      <c r="Z1910" s="84"/>
      <c r="AA1910" s="84" t="str">
        <f>IF(AND(MONTH(E1910)='IN-NX'!$J$5,'IN-NX'!$D$7=D1910),"x","")</f>
        <v/>
      </c>
      <c r="AB1910" s="84" t="str">
        <f>IF(AND(OR(LEFT(TH!N1910,2)="15",LEFT(TH!O1910,2)="15"),LEFT(TH!O1910,3)&lt;&gt;"111",'152-CT'!$J$8=TH!F1910),"x","")</f>
        <v/>
      </c>
      <c r="AC1910" s="84" t="str">
        <f>IF(AND(OR(LEFT(TH!N1910,2)="15",LEFT(TH!O1910,2)="15"),TK!$E$7=TH!F1910),"x","")</f>
        <v/>
      </c>
      <c r="AD1910" s="84" t="str">
        <f>IF(AND(N1910="1521",MONTH(C1910)='BK-NL'!$M$11),"x","")</f>
        <v/>
      </c>
      <c r="AE1910" s="330"/>
      <c r="AF1910" s="330">
        <v>7</v>
      </c>
    </row>
    <row r="1911" spans="1:32" s="1166" customFormat="1" ht="15.75" hidden="1" customHeight="1">
      <c r="A1911" s="336" t="str">
        <f>IF(B1911&lt;&gt;"",IF(AND(B1911='IN-TC'!$S$4,OR(TH!N1911="1111",TH!O1911="1111")),TH!D1911,""),"")</f>
        <v/>
      </c>
      <c r="B1911" s="63">
        <f t="shared" si="257"/>
        <v>7</v>
      </c>
      <c r="C1911" s="64">
        <v>42574</v>
      </c>
      <c r="D1911" s="64" t="s">
        <v>917</v>
      </c>
      <c r="E1911" s="64">
        <f t="shared" si="256"/>
        <v>42574</v>
      </c>
      <c r="F1911" s="67" t="s">
        <v>1146</v>
      </c>
      <c r="G1911" s="67" t="s">
        <v>919</v>
      </c>
      <c r="H1911" s="73" t="s">
        <v>763</v>
      </c>
      <c r="I1911" s="439"/>
      <c r="J1911" s="439"/>
      <c r="K1911" s="430"/>
      <c r="L1911" s="439"/>
      <c r="M1911" s="65">
        <v>90000000</v>
      </c>
      <c r="N1911" s="66" t="s">
        <v>63</v>
      </c>
      <c r="O1911" s="66" t="s">
        <v>26</v>
      </c>
      <c r="P1911" s="84" t="str">
        <f>IF(AND('331-CT'!$E$7=TH!H1911,OR(N1911="331",O1911="331")),"x","")</f>
        <v/>
      </c>
      <c r="Q1911" s="84" t="str">
        <f>IF(AND(B1911='111'!$L$11,OR($N1911=$Q$7,$O1911=$Q$7)),"x","")</f>
        <v/>
      </c>
      <c r="R1911" s="84" t="str">
        <f>IF(AND($N1911=$Q$7,$B1911&lt;'111'!$L$11),"x","")</f>
        <v/>
      </c>
      <c r="S1911" s="84" t="str">
        <f>IF(AND($O1911=$Q$7,$B1911&lt;'111'!$L$11),"x","")</f>
        <v/>
      </c>
      <c r="T1911" s="84" t="str">
        <f>IF(ISERROR(FIND('112'!$M$9,G1911,1)),"",IF((AND(FIND('112'!$M$9,G1911,1)&gt;=1,B1911='112'!$K$9,OR($N1911='112'!$I$6,$O1911='112'!$I$6))),"x",""))</f>
        <v/>
      </c>
      <c r="U1911" s="84" t="str">
        <f>IF(ISERROR(FIND('112'!$M$9,G1911,1)),"",IF((AND(LEFT(G1911,2)=LEFT('112'!$M$9,2),B1911&lt;'112'!$K$9,$N1911='112'!$I$6)),"x",""))</f>
        <v/>
      </c>
      <c r="V1911" s="84" t="str">
        <f>IF(ISERROR(FIND('112'!$M$9,G1911,1)),"",IF((AND(RIGHT(G1911,2)=RIGHT('112'!$M$9,2),B1911&lt;'112'!$K$9,$O1911='112'!$I$6)),"x",""))</f>
        <v/>
      </c>
      <c r="W1911" s="84" t="str">
        <f>IF(AND('341-CT'!$H$9=H1911,OR(LEFT(N1911,3)=$W$7,LEFT(O1911,3)=$W$7)),"x","")</f>
        <v/>
      </c>
      <c r="X1911" s="84" t="str">
        <f>IF(OR(TH!N1911=TH!$X$7,O1911=TH!$X$7),"x","")</f>
        <v/>
      </c>
      <c r="Y1911" s="84" t="str">
        <f>IF(AND(OR(N1911="131",O1911="131"),H1911='131-CT'!$H$9),"x","")</f>
        <v/>
      </c>
      <c r="Z1911" s="84"/>
      <c r="AA1911" s="84" t="str">
        <f>IF(AND(MONTH(E1911)='IN-NX'!$J$5,'IN-NX'!$D$7=D1911),"x","")</f>
        <v/>
      </c>
      <c r="AB1911" s="84" t="str">
        <f>IF(AND(OR(LEFT(TH!N1911,2)="15",LEFT(TH!O1911,2)="15"),LEFT(TH!O1911,3)&lt;&gt;"111",'152-CT'!$J$8=TH!F1911),"x","")</f>
        <v/>
      </c>
      <c r="AC1911" s="84" t="str">
        <f>IF(AND(OR(LEFT(TH!N1911,2)="15",LEFT(TH!O1911,2)="15"),TK!$E$7=TH!F1911),"x","")</f>
        <v/>
      </c>
      <c r="AD1911" s="84" t="str">
        <f>IF(AND(N1911="1521",MONTH(C1911)='BK-NL'!$M$11),"x","")</f>
        <v/>
      </c>
      <c r="AE1911" s="330"/>
      <c r="AF1911" s="330"/>
    </row>
    <row r="1912" spans="1:32" s="1166" customFormat="1" ht="15.75" hidden="1" customHeight="1">
      <c r="A1912" s="336" t="str">
        <f>IF(B1912&lt;&gt;"",IF(AND(B1912='IN-TC'!$S$4,OR(TH!N1912="1111",TH!O1912="1111")),TH!D1912,""),"")</f>
        <v/>
      </c>
      <c r="B1912" s="63">
        <f t="shared" si="257"/>
        <v>7</v>
      </c>
      <c r="C1912" s="64">
        <v>42574</v>
      </c>
      <c r="D1912" s="64" t="s">
        <v>702</v>
      </c>
      <c r="E1912" s="64">
        <f t="shared" si="256"/>
        <v>42574</v>
      </c>
      <c r="F1912" s="67" t="s">
        <v>1655</v>
      </c>
      <c r="G1912" s="67" t="s">
        <v>919</v>
      </c>
      <c r="H1912" s="73"/>
      <c r="I1912" s="439"/>
      <c r="J1912" s="439"/>
      <c r="K1912" s="430"/>
      <c r="L1912" s="439"/>
      <c r="M1912" s="65">
        <v>22662</v>
      </c>
      <c r="N1912" s="66" t="s">
        <v>26</v>
      </c>
      <c r="O1912" s="66" t="s">
        <v>43</v>
      </c>
      <c r="P1912" s="84" t="str">
        <f>IF(AND('331-CT'!$E$7=TH!H1912,OR(N1912="331",O1912="331")),"x","")</f>
        <v/>
      </c>
      <c r="Q1912" s="84" t="str">
        <f>IF(AND(B1912='111'!$L$11,OR($N1912=$Q$7,$O1912=$Q$7)),"x","")</f>
        <v/>
      </c>
      <c r="R1912" s="84" t="str">
        <f>IF(AND($N1912=$Q$7,$B1912&lt;'111'!$L$11),"x","")</f>
        <v/>
      </c>
      <c r="S1912" s="84" t="str">
        <f>IF(AND($O1912=$Q$7,$B1912&lt;'111'!$L$11),"x","")</f>
        <v/>
      </c>
      <c r="T1912" s="84" t="str">
        <f>IF(ISERROR(FIND('112'!$M$9,G1912,1)),"",IF((AND(FIND('112'!$M$9,G1912,1)&gt;=1,B1912='112'!$K$9,OR($N1912='112'!$I$6,$O1912='112'!$I$6))),"x",""))</f>
        <v/>
      </c>
      <c r="U1912" s="84" t="str">
        <f>IF(ISERROR(FIND('112'!$M$9,G1912,1)),"",IF((AND(LEFT(G1912,2)=LEFT('112'!$M$9,2),B1912&lt;'112'!$K$9,$N1912='112'!$I$6)),"x",""))</f>
        <v/>
      </c>
      <c r="V1912" s="84" t="str">
        <f>IF(ISERROR(FIND('112'!$M$9,G1912,1)),"",IF((AND(RIGHT(G1912,2)=RIGHT('112'!$M$9,2),B1912&lt;'112'!$K$9,$O1912='112'!$I$6)),"x",""))</f>
        <v/>
      </c>
      <c r="W1912" s="84" t="str">
        <f>IF(AND('341-CT'!$H$9=H1912,OR(LEFT(N1912,3)=$W$7,LEFT(O1912,3)=$W$7)),"x","")</f>
        <v/>
      </c>
      <c r="X1912" s="84" t="str">
        <f>IF(OR(TH!N1912=TH!$X$7,O1912=TH!$X$7),"x","")</f>
        <v/>
      </c>
      <c r="Y1912" s="84" t="str">
        <f>IF(AND(OR(N1912="131",O1912="131"),H1912='131-CT'!$H$9),"x","")</f>
        <v/>
      </c>
      <c r="Z1912" s="84"/>
      <c r="AA1912" s="84" t="str">
        <f>IF(AND(MONTH(E1912)='IN-NX'!$J$5,'IN-NX'!$D$7=D1912),"x","")</f>
        <v/>
      </c>
      <c r="AB1912" s="84" t="str">
        <f>IF(AND(OR(LEFT(TH!N1912,2)="15",LEFT(TH!O1912,2)="15"),LEFT(TH!O1912,3)&lt;&gt;"111",'152-CT'!$J$8=TH!F1912),"x","")</f>
        <v/>
      </c>
      <c r="AC1912" s="84" t="str">
        <f>IF(AND(OR(LEFT(TH!N1912,2)="15",LEFT(TH!O1912,2)="15"),TK!$E$7=TH!F1912),"x","")</f>
        <v/>
      </c>
      <c r="AD1912" s="84" t="str">
        <f>IF(AND(N1912="1521",MONTH(C1912)='BK-NL'!$M$11),"x","")</f>
        <v/>
      </c>
      <c r="AE1912" s="330"/>
      <c r="AF1912" s="330"/>
    </row>
    <row r="1913" spans="1:32" s="1166" customFormat="1" ht="15.75" hidden="1" customHeight="1">
      <c r="A1913" s="336" t="str">
        <f>IF(B1913&lt;&gt;"",IF(AND(B1913='IN-TC'!$S$4,OR(TH!N1913="1111",TH!O1913="1111")),TH!D1913,""),"")</f>
        <v/>
      </c>
      <c r="B1913" s="63">
        <f t="shared" si="257"/>
        <v>7</v>
      </c>
      <c r="C1913" s="64">
        <v>42576</v>
      </c>
      <c r="D1913" s="64" t="s">
        <v>702</v>
      </c>
      <c r="E1913" s="64">
        <f t="shared" si="256"/>
        <v>42576</v>
      </c>
      <c r="F1913" s="67" t="s">
        <v>1655</v>
      </c>
      <c r="G1913" s="67" t="s">
        <v>1565</v>
      </c>
      <c r="H1913" s="73"/>
      <c r="I1913" s="439"/>
      <c r="J1913" s="439"/>
      <c r="K1913" s="430"/>
      <c r="L1913" s="439"/>
      <c r="M1913" s="65">
        <v>12388</v>
      </c>
      <c r="N1913" s="66" t="s">
        <v>26</v>
      </c>
      <c r="O1913" s="66" t="s">
        <v>43</v>
      </c>
      <c r="P1913" s="84" t="str">
        <f>IF(AND('331-CT'!$E$7=TH!H1913,OR(N1913="331",O1913="331")),"x","")</f>
        <v/>
      </c>
      <c r="Q1913" s="84" t="str">
        <f>IF(AND(B1913='111'!$L$11,OR($N1913=$Q$7,$O1913=$Q$7)),"x","")</f>
        <v/>
      </c>
      <c r="R1913" s="84" t="str">
        <f>IF(AND($N1913=$Q$7,$B1913&lt;'111'!$L$11),"x","")</f>
        <v/>
      </c>
      <c r="S1913" s="84" t="str">
        <f>IF(AND($O1913=$Q$7,$B1913&lt;'111'!$L$11),"x","")</f>
        <v/>
      </c>
      <c r="T1913" s="84" t="str">
        <f>IF(ISERROR(FIND('112'!$M$9,G1913,1)),"",IF((AND(FIND('112'!$M$9,G1913,1)&gt;=1,B1913='112'!$K$9,OR($N1913='112'!$I$6,$O1913='112'!$I$6))),"x",""))</f>
        <v/>
      </c>
      <c r="U1913" s="84" t="str">
        <f>IF(ISERROR(FIND('112'!$M$9,G1913,1)),"",IF((AND(LEFT(G1913,2)=LEFT('112'!$M$9,2),B1913&lt;'112'!$K$9,$N1913='112'!$I$6)),"x",""))</f>
        <v/>
      </c>
      <c r="V1913" s="84" t="str">
        <f>IF(ISERROR(FIND('112'!$M$9,G1913,1)),"",IF((AND(RIGHT(G1913,2)=RIGHT('112'!$M$9,2),B1913&lt;'112'!$K$9,$O1913='112'!$I$6)),"x",""))</f>
        <v/>
      </c>
      <c r="W1913" s="84" t="str">
        <f>IF(AND('341-CT'!$H$9=H1913,OR(LEFT(N1913,3)=$W$7,LEFT(O1913,3)=$W$7)),"x","")</f>
        <v/>
      </c>
      <c r="X1913" s="84" t="str">
        <f>IF(OR(TH!N1913=TH!$X$7,O1913=TH!$X$7),"x","")</f>
        <v/>
      </c>
      <c r="Y1913" s="84" t="str">
        <f>IF(AND(OR(N1913="131",O1913="131"),H1913='131-CT'!$H$9),"x","")</f>
        <v/>
      </c>
      <c r="Z1913" s="84"/>
      <c r="AA1913" s="84" t="str">
        <f>IF(AND(MONTH(E1913)='IN-NX'!$J$5,'IN-NX'!$D$7=D1913),"x","")</f>
        <v/>
      </c>
      <c r="AB1913" s="84" t="str">
        <f>IF(AND(OR(LEFT(TH!N1913,2)="15",LEFT(TH!O1913,2)="15"),LEFT(TH!O1913,3)&lt;&gt;"111",'152-CT'!$J$8=TH!F1913),"x","")</f>
        <v/>
      </c>
      <c r="AC1913" s="84" t="str">
        <f>IF(AND(OR(LEFT(TH!N1913,2)="15",LEFT(TH!O1913,2)="15"),TK!$E$7=TH!F1913),"x","")</f>
        <v/>
      </c>
      <c r="AD1913" s="84" t="str">
        <f>IF(AND(N1913="1521",MONTH(C1913)='BK-NL'!$M$11),"x","")</f>
        <v/>
      </c>
      <c r="AE1913" s="351"/>
      <c r="AF1913" s="351"/>
    </row>
    <row r="1914" spans="1:32" s="1166" customFormat="1" ht="15.75" hidden="1" customHeight="1">
      <c r="A1914" s="336" t="str">
        <f>IF(B1914&lt;&gt;"",IF(AND(B1914='IN-TC'!$S$4,OR(TH!N1914="1111",TH!O1914="1111")),TH!D1914,""),"")</f>
        <v/>
      </c>
      <c r="B1914" s="63">
        <f t="shared" si="257"/>
        <v>7</v>
      </c>
      <c r="C1914" s="64">
        <v>42576</v>
      </c>
      <c r="D1914" s="64" t="s">
        <v>702</v>
      </c>
      <c r="E1914" s="64">
        <f t="shared" si="256"/>
        <v>42576</v>
      </c>
      <c r="F1914" s="67" t="s">
        <v>1792</v>
      </c>
      <c r="G1914" s="67" t="s">
        <v>1565</v>
      </c>
      <c r="H1914" s="73"/>
      <c r="I1914" s="439"/>
      <c r="J1914" s="439"/>
      <c r="K1914" s="430">
        <v>350</v>
      </c>
      <c r="L1914" s="439">
        <v>23287</v>
      </c>
      <c r="M1914" s="65">
        <f>ROUND(K1914*L1914,0)</f>
        <v>8150450</v>
      </c>
      <c r="N1914" s="66" t="s">
        <v>266</v>
      </c>
      <c r="O1914" s="66" t="s">
        <v>26</v>
      </c>
      <c r="P1914" s="84" t="str">
        <f>IF(AND('331-CT'!$E$7=TH!H1914,OR(N1914="331",O1914="331")),"x","")</f>
        <v/>
      </c>
      <c r="Q1914" s="84" t="str">
        <f>IF(AND(B1914='111'!$L$11,OR($N1914=$Q$7,$O1914=$Q$7)),"x","")</f>
        <v/>
      </c>
      <c r="R1914" s="84" t="str">
        <f>IF(AND($N1914=$Q$7,$B1914&lt;'111'!$L$11),"x","")</f>
        <v/>
      </c>
      <c r="S1914" s="84" t="str">
        <f>IF(AND($O1914=$Q$7,$B1914&lt;'111'!$L$11),"x","")</f>
        <v/>
      </c>
      <c r="T1914" s="84" t="str">
        <f>IF(ISERROR(FIND('112'!$M$9,G1914,1)),"",IF((AND(FIND('112'!$M$9,G1914,1)&gt;=1,B1914='112'!$K$9,OR($N1914='112'!$I$6,$O1914='112'!$I$6))),"x",""))</f>
        <v/>
      </c>
      <c r="U1914" s="84" t="str">
        <f>IF(ISERROR(FIND('112'!$M$9,G1914,1)),"",IF((AND(LEFT(G1914,2)=LEFT('112'!$M$9,2),B1914&lt;'112'!$K$9,$N1914='112'!$I$6)),"x",""))</f>
        <v/>
      </c>
      <c r="V1914" s="84" t="str">
        <f>IF(ISERROR(FIND('112'!$M$9,G1914,1)),"",IF((AND(RIGHT(G1914,2)=RIGHT('112'!$M$9,2),B1914&lt;'112'!$K$9,$O1914='112'!$I$6)),"x",""))</f>
        <v/>
      </c>
      <c r="W1914" s="84" t="str">
        <f>IF(AND('341-CT'!$H$9=H1914,OR(LEFT(N1914,3)=$W$7,LEFT(O1914,3)=$W$7)),"x","")</f>
        <v/>
      </c>
      <c r="X1914" s="84" t="str">
        <f>IF(OR(TH!N1914=TH!$X$7,O1914=TH!$X$7),"x","")</f>
        <v/>
      </c>
      <c r="Y1914" s="84" t="str">
        <f>IF(AND(OR(N1914="131",O1914="131"),H1914='131-CT'!$H$9),"x","")</f>
        <v/>
      </c>
      <c r="Z1914" s="84"/>
      <c r="AA1914" s="84" t="str">
        <f>IF(AND(MONTH(E1914)='IN-NX'!$J$5,'IN-NX'!$D$7=D1914),"x","")</f>
        <v/>
      </c>
      <c r="AB1914" s="84" t="str">
        <f>IF(AND(OR(LEFT(TH!N1914,2)="15",LEFT(TH!O1914,2)="15"),LEFT(TH!O1914,3)&lt;&gt;"111",'152-CT'!$J$8=TH!F1914),"x","")</f>
        <v/>
      </c>
      <c r="AC1914" s="84" t="str">
        <f>IF(AND(OR(LEFT(TH!N1914,2)="15",LEFT(TH!O1914,2)="15"),TK!$E$7=TH!F1914),"x","")</f>
        <v/>
      </c>
      <c r="AD1914" s="84" t="str">
        <f>IF(AND(N1914="1521",MONTH(C1914)='BK-NL'!$M$11),"x","")</f>
        <v/>
      </c>
      <c r="AE1914" s="351"/>
      <c r="AF1914" s="351"/>
    </row>
    <row r="1915" spans="1:32" s="1166" customFormat="1" ht="15.75" hidden="1" customHeight="1">
      <c r="A1915" s="336" t="str">
        <f>IF(B1915&lt;&gt;"",IF(AND(B1915='IN-TC'!$S$4,OR(TH!N1915="1111",TH!O1915="1111")),TH!D1915,""),"")</f>
        <v/>
      </c>
      <c r="B1915" s="63">
        <f t="shared" si="257"/>
        <v>7</v>
      </c>
      <c r="C1915" s="64">
        <v>42576</v>
      </c>
      <c r="D1915" s="64" t="s">
        <v>705</v>
      </c>
      <c r="E1915" s="64">
        <f t="shared" si="256"/>
        <v>42576</v>
      </c>
      <c r="F1915" s="67" t="s">
        <v>1791</v>
      </c>
      <c r="G1915" s="67" t="s">
        <v>1565</v>
      </c>
      <c r="H1915" s="1160" t="s">
        <v>1889</v>
      </c>
      <c r="I1915" s="439"/>
      <c r="J1915" s="439"/>
      <c r="K1915" s="430">
        <v>360.96</v>
      </c>
      <c r="L1915" s="439">
        <v>22330</v>
      </c>
      <c r="M1915" s="65">
        <f>ROUND(K1915*L1915,0)</f>
        <v>8060237</v>
      </c>
      <c r="N1915" s="66" t="s">
        <v>99</v>
      </c>
      <c r="O1915" s="66" t="s">
        <v>266</v>
      </c>
      <c r="P1915" s="84" t="str">
        <f>IF(AND('331-CT'!$E$7=TH!H1915,OR(N1915="331",O1915="331")),"x","")</f>
        <v/>
      </c>
      <c r="Q1915" s="84" t="str">
        <f>IF(AND(B1915='111'!$L$11,OR($N1915=$Q$7,$O1915=$Q$7)),"x","")</f>
        <v/>
      </c>
      <c r="R1915" s="84" t="str">
        <f>IF(AND($N1915=$Q$7,$B1915&lt;'111'!$L$11),"x","")</f>
        <v/>
      </c>
      <c r="S1915" s="84" t="str">
        <f>IF(AND($O1915=$Q$7,$B1915&lt;'111'!$L$11),"x","")</f>
        <v/>
      </c>
      <c r="T1915" s="84" t="str">
        <f>IF(ISERROR(FIND('112'!$M$9,G1915,1)),"",IF((AND(FIND('112'!$M$9,G1915,1)&gt;=1,B1915='112'!$K$9,OR($N1915='112'!$I$6,$O1915='112'!$I$6))),"x",""))</f>
        <v/>
      </c>
      <c r="U1915" s="84" t="str">
        <f>IF(ISERROR(FIND('112'!$M$9,G1915,1)),"",IF((AND(LEFT(G1915,2)=LEFT('112'!$M$9,2),B1915&lt;'112'!$K$9,$N1915='112'!$I$6)),"x",""))</f>
        <v/>
      </c>
      <c r="V1915" s="84" t="str">
        <f>IF(ISERROR(FIND('112'!$M$9,G1915,1)),"",IF((AND(RIGHT(G1915,2)=RIGHT('112'!$M$9,2),B1915&lt;'112'!$K$9,$O1915='112'!$I$6)),"x",""))</f>
        <v/>
      </c>
      <c r="W1915" s="84" t="str">
        <f>IF(AND('341-CT'!$H$9=H1915,OR(LEFT(N1915,3)=$W$7,LEFT(O1915,3)=$W$7)),"x","")</f>
        <v/>
      </c>
      <c r="X1915" s="84" t="str">
        <f>IF(OR(TH!N1915=TH!$X$7,O1915=TH!$X$7),"x","")</f>
        <v/>
      </c>
      <c r="Y1915" s="84" t="str">
        <f>IF(AND(OR(N1915="131",O1915="131"),H1915='131-CT'!$H$9),"x","")</f>
        <v/>
      </c>
      <c r="Z1915" s="84"/>
      <c r="AA1915" s="84" t="str">
        <f>IF(AND(MONTH(E1915)='IN-NX'!$J$5,'IN-NX'!$D$7=D1915),"x","")</f>
        <v/>
      </c>
      <c r="AB1915" s="84" t="str">
        <f>IF(AND(OR(LEFT(TH!N1915,2)="15",LEFT(TH!O1915,2)="15"),LEFT(TH!O1915,3)&lt;&gt;"111",'152-CT'!$J$8=TH!F1915),"x","")</f>
        <v/>
      </c>
      <c r="AC1915" s="84" t="str">
        <f>IF(AND(OR(LEFT(TH!N1915,2)="15",LEFT(TH!O1915,2)="15"),TK!$E$7=TH!F1915),"x","")</f>
        <v/>
      </c>
      <c r="AD1915" s="84" t="str">
        <f>IF(AND(N1915="1521",MONTH(C1915)='BK-NL'!$M$11),"x","")</f>
        <v/>
      </c>
      <c r="AE1915" s="351"/>
      <c r="AF1915" s="351"/>
    </row>
    <row r="1916" spans="1:32" s="1166" customFormat="1" ht="15.75" hidden="1" customHeight="1">
      <c r="A1916" s="336" t="str">
        <f>IF(B1916&lt;&gt;"",IF(AND(B1916='IN-TC'!$S$4,OR(TH!N1916="1111",TH!O1916="1111")),TH!D1916,""),"")</f>
        <v/>
      </c>
      <c r="B1916" s="63">
        <f t="shared" si="257"/>
        <v>7</v>
      </c>
      <c r="C1916" s="64">
        <v>42577</v>
      </c>
      <c r="D1916" s="64" t="s">
        <v>888</v>
      </c>
      <c r="E1916" s="64">
        <f t="shared" si="256"/>
        <v>42577</v>
      </c>
      <c r="F1916" s="67" t="s">
        <v>1739</v>
      </c>
      <c r="G1916" s="982" t="s">
        <v>1740</v>
      </c>
      <c r="H1916" s="73" t="s">
        <v>1038</v>
      </c>
      <c r="I1916" s="439"/>
      <c r="J1916" s="439"/>
      <c r="K1916" s="430"/>
      <c r="L1916" s="439"/>
      <c r="M1916" s="65">
        <v>5500000</v>
      </c>
      <c r="N1916" s="66" t="s">
        <v>101</v>
      </c>
      <c r="O1916" s="66" t="s">
        <v>63</v>
      </c>
      <c r="P1916" s="84" t="str">
        <f>IF(AND('331-CT'!$E$7=TH!H1916,OR(N1916="331",O1916="331")),"x","")</f>
        <v/>
      </c>
      <c r="Q1916" s="84" t="str">
        <f>IF(AND(B1916='111'!$L$11,OR($N1916=$Q$7,$O1916=$Q$7)),"x","")</f>
        <v/>
      </c>
      <c r="R1916" s="84" t="str">
        <f>IF(AND($N1916=$Q$7,$B1916&lt;'111'!$L$11),"x","")</f>
        <v/>
      </c>
      <c r="S1916" s="84" t="str">
        <f>IF(AND($O1916=$Q$7,$B1916&lt;'111'!$L$11),"x","")</f>
        <v/>
      </c>
      <c r="T1916" s="84" t="str">
        <f>IF(ISERROR(FIND('112'!$M$9,G1916,1)),"",IF((AND(FIND('112'!$M$9,G1916,1)&gt;=1,B1916='112'!$K$9,OR($N1916='112'!$I$6,$O1916='112'!$I$6))),"x",""))</f>
        <v/>
      </c>
      <c r="U1916" s="84" t="str">
        <f>IF(ISERROR(FIND('112'!$M$9,G1916,1)),"",IF((AND(LEFT(G1916,2)=LEFT('112'!$M$9,2),B1916&lt;'112'!$K$9,$N1916='112'!$I$6)),"x",""))</f>
        <v/>
      </c>
      <c r="V1916" s="84" t="str">
        <f>IF(ISERROR(FIND('112'!$M$9,G1916,1)),"",IF((AND(RIGHT(G1916,2)=RIGHT('112'!$M$9,2),B1916&lt;'112'!$K$9,$O1916='112'!$I$6)),"x",""))</f>
        <v/>
      </c>
      <c r="W1916" s="84" t="str">
        <f>IF(AND('341-CT'!$H$9=H1916,OR(LEFT(N1916,3)=$W$7,LEFT(O1916,3)=$W$7)),"x","")</f>
        <v/>
      </c>
      <c r="X1916" s="84" t="str">
        <f>IF(OR(TH!N1916=TH!$X$7,O1916=TH!$X$7),"x","")</f>
        <v/>
      </c>
      <c r="Y1916" s="84" t="str">
        <f>IF(AND(OR(N1916="131",O1916="131"),H1916='131-CT'!$H$9),"x","")</f>
        <v/>
      </c>
      <c r="Z1916" s="84"/>
      <c r="AA1916" s="84" t="str">
        <f>IF(AND(MONTH(E1916)='IN-NX'!$J$5,'IN-NX'!$D$7=D1916),"x","")</f>
        <v/>
      </c>
      <c r="AB1916" s="84" t="str">
        <f>IF(AND(OR(LEFT(TH!N1916,2)="15",LEFT(TH!O1916,2)="15"),LEFT(TH!O1916,3)&lt;&gt;"111",'152-CT'!$J$8=TH!F1916),"x","")</f>
        <v/>
      </c>
      <c r="AC1916" s="84" t="str">
        <f>IF(AND(OR(LEFT(TH!N1916,2)="15",LEFT(TH!O1916,2)="15"),TK!$E$7=TH!F1916),"x","")</f>
        <v/>
      </c>
      <c r="AD1916" s="84" t="str">
        <f>IF(AND(N1916="1521",MONTH(C1916)='BK-NL'!$M$11),"x","")</f>
        <v/>
      </c>
      <c r="AE1916" s="330"/>
      <c r="AF1916" s="330"/>
    </row>
    <row r="1917" spans="1:32" s="1166" customFormat="1" ht="15.75" hidden="1" customHeight="1">
      <c r="A1917" s="336" t="str">
        <f>IF(B1917&lt;&gt;"",IF(AND(B1917='IN-TC'!$S$4,OR(TH!N1917="1111",TH!O1917="1111")),TH!D1917,""),"")</f>
        <v/>
      </c>
      <c r="B1917" s="63">
        <f t="shared" si="257"/>
        <v>7</v>
      </c>
      <c r="C1917" s="64">
        <v>42578</v>
      </c>
      <c r="D1917" s="64" t="s">
        <v>889</v>
      </c>
      <c r="E1917" s="64">
        <f t="shared" si="256"/>
        <v>42578</v>
      </c>
      <c r="F1917" s="67" t="s">
        <v>1741</v>
      </c>
      <c r="G1917" s="982" t="s">
        <v>1744</v>
      </c>
      <c r="H1917" s="73" t="s">
        <v>839</v>
      </c>
      <c r="I1917" s="439"/>
      <c r="J1917" s="439"/>
      <c r="K1917" s="430"/>
      <c r="L1917" s="439"/>
      <c r="M1917" s="65">
        <v>16050000</v>
      </c>
      <c r="N1917" s="66" t="s">
        <v>101</v>
      </c>
      <c r="O1917" s="66" t="s">
        <v>63</v>
      </c>
      <c r="P1917" s="84" t="str">
        <f>IF(AND('331-CT'!$E$7=TH!H1917,OR(N1917="331",O1917="331")),"x","")</f>
        <v/>
      </c>
      <c r="Q1917" s="84" t="str">
        <f>IF(AND(B1917='111'!$L$11,OR($N1917=$Q$7,$O1917=$Q$7)),"x","")</f>
        <v/>
      </c>
      <c r="R1917" s="84" t="str">
        <f>IF(AND($N1917=$Q$7,$B1917&lt;'111'!$L$11),"x","")</f>
        <v/>
      </c>
      <c r="S1917" s="84" t="str">
        <f>IF(AND($O1917=$Q$7,$B1917&lt;'111'!$L$11),"x","")</f>
        <v/>
      </c>
      <c r="T1917" s="84" t="str">
        <f>IF(ISERROR(FIND('112'!$M$9,G1917,1)),"",IF((AND(FIND('112'!$M$9,G1917,1)&gt;=1,B1917='112'!$K$9,OR($N1917='112'!$I$6,$O1917='112'!$I$6))),"x",""))</f>
        <v/>
      </c>
      <c r="U1917" s="84" t="str">
        <f>IF(ISERROR(FIND('112'!$M$9,G1917,1)),"",IF((AND(LEFT(G1917,2)=LEFT('112'!$M$9,2),B1917&lt;'112'!$K$9,$N1917='112'!$I$6)),"x",""))</f>
        <v/>
      </c>
      <c r="V1917" s="84" t="str">
        <f>IF(ISERROR(FIND('112'!$M$9,G1917,1)),"",IF((AND(RIGHT(G1917,2)=RIGHT('112'!$M$9,2),B1917&lt;'112'!$K$9,$O1917='112'!$I$6)),"x",""))</f>
        <v/>
      </c>
      <c r="W1917" s="84" t="str">
        <f>IF(AND('341-CT'!$H$9=H1917,OR(LEFT(N1917,3)=$W$7,LEFT(O1917,3)=$W$7)),"x","")</f>
        <v/>
      </c>
      <c r="X1917" s="84" t="str">
        <f>IF(OR(TH!N1917=TH!$X$7,O1917=TH!$X$7),"x","")</f>
        <v/>
      </c>
      <c r="Y1917" s="84" t="str">
        <f>IF(AND(OR(N1917="131",O1917="131"),H1917='131-CT'!$H$9),"x","")</f>
        <v/>
      </c>
      <c r="Z1917" s="84"/>
      <c r="AA1917" s="84" t="str">
        <f>IF(AND(MONTH(E1917)='IN-NX'!$J$5,'IN-NX'!$D$7=D1917),"x","")</f>
        <v/>
      </c>
      <c r="AB1917" s="84" t="str">
        <f>IF(AND(OR(LEFT(TH!N1917,2)="15",LEFT(TH!O1917,2)="15"),LEFT(TH!O1917,3)&lt;&gt;"111",'152-CT'!$J$8=TH!F1917),"x","")</f>
        <v/>
      </c>
      <c r="AC1917" s="84" t="str">
        <f>IF(AND(OR(LEFT(TH!N1917,2)="15",LEFT(TH!O1917,2)="15"),TK!$E$7=TH!F1917),"x","")</f>
        <v/>
      </c>
      <c r="AD1917" s="84" t="str">
        <f>IF(AND(N1917="1521",MONTH(C1917)='BK-NL'!$M$11),"x","")</f>
        <v/>
      </c>
      <c r="AE1917" s="330"/>
      <c r="AF1917" s="330">
        <v>7</v>
      </c>
    </row>
    <row r="1918" spans="1:32" s="351" customFormat="1" ht="15.75" hidden="1" customHeight="1">
      <c r="A1918" s="336" t="str">
        <f>IF(B1918&lt;&gt;"",IF(AND(B1918='IN-TC'!$S$4,OR(TH!N1918="1111",TH!O1918="1111")),TH!D1918,""),"")</f>
        <v/>
      </c>
      <c r="B1918" s="63">
        <f t="shared" si="257"/>
        <v>7</v>
      </c>
      <c r="C1918" s="64">
        <v>42578</v>
      </c>
      <c r="D1918" s="64" t="s">
        <v>889</v>
      </c>
      <c r="E1918" s="64">
        <f t="shared" si="256"/>
        <v>42578</v>
      </c>
      <c r="F1918" s="67" t="s">
        <v>1742</v>
      </c>
      <c r="G1918" s="982" t="s">
        <v>1744</v>
      </c>
      <c r="H1918" s="73" t="s">
        <v>839</v>
      </c>
      <c r="I1918" s="439"/>
      <c r="J1918" s="439"/>
      <c r="K1918" s="430"/>
      <c r="L1918" s="439"/>
      <c r="M1918" s="65">
        <v>1605000</v>
      </c>
      <c r="N1918" s="66" t="s">
        <v>9</v>
      </c>
      <c r="O1918" s="66" t="s">
        <v>63</v>
      </c>
      <c r="P1918" s="84" t="str">
        <f>IF(AND('331-CT'!$E$7=TH!H1918,OR(N1918="331",O1918="331")),"x","")</f>
        <v/>
      </c>
      <c r="Q1918" s="84" t="str">
        <f>IF(AND(B1918='111'!$L$11,OR($N1918=$Q$7,$O1918=$Q$7)),"x","")</f>
        <v/>
      </c>
      <c r="R1918" s="84" t="str">
        <f>IF(AND($N1918=$Q$7,$B1918&lt;'111'!$L$11),"x","")</f>
        <v/>
      </c>
      <c r="S1918" s="84" t="str">
        <f>IF(AND($O1918=$Q$7,$B1918&lt;'111'!$L$11),"x","")</f>
        <v/>
      </c>
      <c r="T1918" s="84" t="str">
        <f>IF(ISERROR(FIND('112'!$M$9,G1918,1)),"",IF((AND(FIND('112'!$M$9,G1918,1)&gt;=1,B1918='112'!$K$9,OR($N1918='112'!$I$6,$O1918='112'!$I$6))),"x",""))</f>
        <v/>
      </c>
      <c r="U1918" s="84" t="str">
        <f>IF(ISERROR(FIND('112'!$M$9,G1918,1)),"",IF((AND(LEFT(G1918,2)=LEFT('112'!$M$9,2),B1918&lt;'112'!$K$9,$N1918='112'!$I$6)),"x",""))</f>
        <v/>
      </c>
      <c r="V1918" s="84" t="str">
        <f>IF(ISERROR(FIND('112'!$M$9,G1918,1)),"",IF((AND(RIGHT(G1918,2)=RIGHT('112'!$M$9,2),B1918&lt;'112'!$K$9,$O1918='112'!$I$6)),"x",""))</f>
        <v/>
      </c>
      <c r="W1918" s="84" t="str">
        <f>IF(AND('341-CT'!$H$9=H1918,OR(LEFT(N1918,3)=$W$7,LEFT(O1918,3)=$W$7)),"x","")</f>
        <v/>
      </c>
      <c r="X1918" s="84" t="str">
        <f>IF(OR(TH!N1918=TH!$X$7,O1918=TH!$X$7),"x","")</f>
        <v/>
      </c>
      <c r="Y1918" s="84" t="str">
        <f>IF(AND(OR(N1918="131",O1918="131"),H1918='131-CT'!$H$9),"x","")</f>
        <v/>
      </c>
      <c r="Z1918" s="84"/>
      <c r="AA1918" s="84" t="str">
        <f>IF(AND(MONTH(E1918)='IN-NX'!$J$5,'IN-NX'!$D$7=D1918),"x","")</f>
        <v/>
      </c>
      <c r="AB1918" s="84" t="str">
        <f>IF(AND(OR(LEFT(TH!N1918,2)="15",LEFT(TH!O1918,2)="15"),LEFT(TH!O1918,3)&lt;&gt;"111",'152-CT'!$J$8=TH!F1918),"x","")</f>
        <v/>
      </c>
      <c r="AC1918" s="84" t="str">
        <f>IF(AND(OR(LEFT(TH!N1918,2)="15",LEFT(TH!O1918,2)="15"),TK!$E$7=TH!F1918),"x","")</f>
        <v/>
      </c>
      <c r="AD1918" s="84" t="str">
        <f>IF(AND(N1918="1521",MONTH(C1918)='BK-NL'!$M$11),"x","")</f>
        <v/>
      </c>
      <c r="AE1918" s="330"/>
      <c r="AF1918" s="330">
        <v>7</v>
      </c>
    </row>
    <row r="1919" spans="1:32" ht="15.75" hidden="1" customHeight="1">
      <c r="A1919" s="336" t="str">
        <f>IF(B1919&lt;&gt;"",IF(AND(B1919='IN-TC'!$S$4,OR(TH!N1919="1111",TH!O1919="1111")),TH!D1919,""),"")</f>
        <v/>
      </c>
      <c r="B1919" s="63">
        <f t="shared" si="257"/>
        <v>7</v>
      </c>
      <c r="C1919" s="64">
        <v>42578</v>
      </c>
      <c r="D1919" s="64" t="s">
        <v>702</v>
      </c>
      <c r="E1919" s="64">
        <f t="shared" si="256"/>
        <v>42578</v>
      </c>
      <c r="F1919" s="67" t="s">
        <v>1801</v>
      </c>
      <c r="G1919" s="67" t="s">
        <v>1565</v>
      </c>
      <c r="H1919" s="73"/>
      <c r="I1919" s="439"/>
      <c r="J1919" s="439"/>
      <c r="K1919" s="430">
        <v>15</v>
      </c>
      <c r="L1919" s="439">
        <v>22330</v>
      </c>
      <c r="M1919" s="65">
        <f>ROUND(K1919*L1919,0)</f>
        <v>334950</v>
      </c>
      <c r="N1919" s="66" t="s">
        <v>266</v>
      </c>
      <c r="O1919" s="66" t="s">
        <v>43</v>
      </c>
      <c r="P1919" s="84" t="str">
        <f>IF(AND('331-CT'!$E$7=TH!H1919,OR(N1919="331",O1919="331")),"x","")</f>
        <v/>
      </c>
      <c r="Q1919" s="84" t="str">
        <f>IF(AND(B1919='111'!$L$11,OR($N1919=$Q$7,$O1919=$Q$7)),"x","")</f>
        <v/>
      </c>
      <c r="R1919" s="84" t="str">
        <f>IF(AND($N1919=$Q$7,$B1919&lt;'111'!$L$11),"x","")</f>
        <v/>
      </c>
      <c r="S1919" s="84" t="str">
        <f>IF(AND($O1919=$Q$7,$B1919&lt;'111'!$L$11),"x","")</f>
        <v/>
      </c>
      <c r="T1919" s="84" t="str">
        <f>IF(ISERROR(FIND('112'!$M$9,G1919,1)),"",IF((AND(FIND('112'!$M$9,G1919,1)&gt;=1,B1919='112'!$K$9,OR($N1919='112'!$I$6,$O1919='112'!$I$6))),"x",""))</f>
        <v/>
      </c>
      <c r="U1919" s="84" t="str">
        <f>IF(ISERROR(FIND('112'!$M$9,G1919,1)),"",IF((AND(LEFT(G1919,2)=LEFT('112'!$M$9,2),B1919&lt;'112'!$K$9,$N1919='112'!$I$6)),"x",""))</f>
        <v/>
      </c>
      <c r="V1919" s="84" t="str">
        <f>IF(ISERROR(FIND('112'!$M$9,G1919,1)),"",IF((AND(RIGHT(G1919,2)=RIGHT('112'!$M$9,2),B1919&lt;'112'!$K$9,$O1919='112'!$I$6)),"x",""))</f>
        <v/>
      </c>
      <c r="W1919" s="84" t="str">
        <f>IF(AND('341-CT'!$H$9=H1919,OR(LEFT(N1919,3)=$W$7,LEFT(O1919,3)=$W$7)),"x","")</f>
        <v/>
      </c>
      <c r="X1919" s="84" t="str">
        <f>IF(OR(TH!N1919=TH!$X$7,O1919=TH!$X$7),"x","")</f>
        <v/>
      </c>
      <c r="Y1919" s="84" t="str">
        <f>IF(AND(OR(N1919="131",O1919="131"),H1919='131-CT'!$H$9),"x","")</f>
        <v/>
      </c>
      <c r="Z1919" s="84"/>
      <c r="AA1919" s="84" t="str">
        <f>IF(AND(MONTH(E1919)='IN-NX'!$J$5,'IN-NX'!$D$7=D1919),"x","")</f>
        <v/>
      </c>
      <c r="AB1919" s="84" t="str">
        <f>IF(AND(OR(LEFT(TH!N1919,2)="15",LEFT(TH!O1919,2)="15"),LEFT(TH!O1919,3)&lt;&gt;"111",'152-CT'!$J$8=TH!F1919),"x","")</f>
        <v/>
      </c>
      <c r="AC1919" s="84" t="str">
        <f>IF(AND(OR(LEFT(TH!N1919,2)="15",LEFT(TH!O1919,2)="15"),TK!$E$7=TH!F1919),"x","")</f>
        <v/>
      </c>
      <c r="AD1919" s="84" t="str">
        <f>IF(AND(N1919="1521",MONTH(C1919)='BK-NL'!$M$11),"x","")</f>
        <v/>
      </c>
      <c r="AE1919" s="351"/>
      <c r="AF1919" s="351"/>
    </row>
    <row r="1920" spans="1:32" s="1166" customFormat="1" ht="15.75" hidden="1" customHeight="1">
      <c r="A1920" s="336" t="str">
        <f>IF(B1920&lt;&gt;"",IF(AND(B1920='IN-TC'!$S$4,OR(TH!N1920="1111",TH!O1920="1111")),TH!D1920,""),"")</f>
        <v/>
      </c>
      <c r="B1920" s="63">
        <f t="shared" si="257"/>
        <v>7</v>
      </c>
      <c r="C1920" s="64">
        <v>42578</v>
      </c>
      <c r="D1920" s="64" t="s">
        <v>705</v>
      </c>
      <c r="E1920" s="64">
        <f t="shared" ref="E1920:E1931" si="258">C1920</f>
        <v>42578</v>
      </c>
      <c r="F1920" s="67" t="s">
        <v>1791</v>
      </c>
      <c r="G1920" s="67" t="s">
        <v>1565</v>
      </c>
      <c r="H1920" s="1160" t="s">
        <v>1889</v>
      </c>
      <c r="I1920" s="439"/>
      <c r="J1920" s="439"/>
      <c r="K1920" s="430">
        <v>14.04</v>
      </c>
      <c r="L1920" s="439">
        <v>22330</v>
      </c>
      <c r="M1920" s="65">
        <f>ROUND(K1920*L1920,0)</f>
        <v>313513</v>
      </c>
      <c r="N1920" s="66" t="s">
        <v>99</v>
      </c>
      <c r="O1920" s="66" t="s">
        <v>266</v>
      </c>
      <c r="P1920" s="84" t="str">
        <f>IF(AND('331-CT'!$E$7=TH!H1920,OR(N1920="331",O1920="331")),"x","")</f>
        <v/>
      </c>
      <c r="Q1920" s="84" t="str">
        <f>IF(AND(B1920='111'!$L$11,OR($N1920=$Q$7,$O1920=$Q$7)),"x","")</f>
        <v/>
      </c>
      <c r="R1920" s="84" t="str">
        <f>IF(AND($N1920=$Q$7,$B1920&lt;'111'!$L$11),"x","")</f>
        <v/>
      </c>
      <c r="S1920" s="84" t="str">
        <f>IF(AND($O1920=$Q$7,$B1920&lt;'111'!$L$11),"x","")</f>
        <v/>
      </c>
      <c r="T1920" s="84" t="str">
        <f>IF(ISERROR(FIND('112'!$M$9,G1920,1)),"",IF((AND(FIND('112'!$M$9,G1920,1)&gt;=1,B1920='112'!$K$9,OR($N1920='112'!$I$6,$O1920='112'!$I$6))),"x",""))</f>
        <v/>
      </c>
      <c r="U1920" s="84" t="str">
        <f>IF(ISERROR(FIND('112'!$M$9,G1920,1)),"",IF((AND(LEFT(G1920,2)=LEFT('112'!$M$9,2),B1920&lt;'112'!$K$9,$N1920='112'!$I$6)),"x",""))</f>
        <v/>
      </c>
      <c r="V1920" s="84" t="str">
        <f>IF(ISERROR(FIND('112'!$M$9,G1920,1)),"",IF((AND(RIGHT(G1920,2)=RIGHT('112'!$M$9,2),B1920&lt;'112'!$K$9,$O1920='112'!$I$6)),"x",""))</f>
        <v/>
      </c>
      <c r="W1920" s="84" t="str">
        <f>IF(AND('341-CT'!$H$9=H1920,OR(LEFT(N1920,3)=$W$7,LEFT(O1920,3)=$W$7)),"x","")</f>
        <v/>
      </c>
      <c r="X1920" s="84" t="str">
        <f>IF(OR(TH!N1920=TH!$X$7,O1920=TH!$X$7),"x","")</f>
        <v/>
      </c>
      <c r="Y1920" s="84" t="str">
        <f>IF(AND(OR(N1920="131",O1920="131"),H1920='131-CT'!$H$9),"x","")</f>
        <v/>
      </c>
      <c r="Z1920" s="84"/>
      <c r="AA1920" s="84" t="str">
        <f>IF(AND(MONTH(E1920)='IN-NX'!$J$5,'IN-NX'!$D$7=D1920),"x","")</f>
        <v/>
      </c>
      <c r="AB1920" s="84" t="str">
        <f>IF(AND(OR(LEFT(TH!N1920,2)="15",LEFT(TH!O1920,2)="15"),LEFT(TH!O1920,3)&lt;&gt;"111",'152-CT'!$J$8=TH!F1920),"x","")</f>
        <v/>
      </c>
      <c r="AC1920" s="84" t="str">
        <f>IF(AND(OR(LEFT(TH!N1920,2)="15",LEFT(TH!O1920,2)="15"),TK!$E$7=TH!F1920),"x","")</f>
        <v/>
      </c>
      <c r="AD1920" s="84" t="str">
        <f>IF(AND(N1920="1521",MONTH(C1920)='BK-NL'!$M$11),"x","")</f>
        <v/>
      </c>
      <c r="AE1920" s="351"/>
      <c r="AF1920" s="351"/>
    </row>
    <row r="1921" spans="1:32" s="1166" customFormat="1" ht="15.75" hidden="1" customHeight="1">
      <c r="A1921" s="336" t="str">
        <f>IF(B1921&lt;&gt;"",IF(AND(B1921='IN-TC'!$S$4,OR(TH!N1921="1111",TH!O1921="1111")),TH!D1921,""),"")</f>
        <v/>
      </c>
      <c r="B1921" s="63">
        <f t="shared" si="257"/>
        <v>7</v>
      </c>
      <c r="C1921" s="64">
        <v>42579</v>
      </c>
      <c r="D1921" s="64" t="s">
        <v>890</v>
      </c>
      <c r="E1921" s="64">
        <f t="shared" si="258"/>
        <v>42579</v>
      </c>
      <c r="F1921" s="67" t="s">
        <v>1015</v>
      </c>
      <c r="G1921" s="982" t="s">
        <v>1743</v>
      </c>
      <c r="H1921" s="73" t="s">
        <v>808</v>
      </c>
      <c r="I1921" s="439"/>
      <c r="J1921" s="439"/>
      <c r="K1921" s="430"/>
      <c r="L1921" s="439"/>
      <c r="M1921" s="65">
        <v>1491654</v>
      </c>
      <c r="N1921" s="66" t="s">
        <v>101</v>
      </c>
      <c r="O1921" s="66" t="s">
        <v>63</v>
      </c>
      <c r="P1921" s="84" t="str">
        <f>IF(AND('331-CT'!$E$7=TH!H1921,OR(N1921="331",O1921="331")),"x","")</f>
        <v/>
      </c>
      <c r="Q1921" s="84" t="str">
        <f>IF(AND(B1921='111'!$L$11,OR($N1921=$Q$7,$O1921=$Q$7)),"x","")</f>
        <v/>
      </c>
      <c r="R1921" s="84" t="str">
        <f>IF(AND($N1921=$Q$7,$B1921&lt;'111'!$L$11),"x","")</f>
        <v/>
      </c>
      <c r="S1921" s="84" t="str">
        <f>IF(AND($O1921=$Q$7,$B1921&lt;'111'!$L$11),"x","")</f>
        <v/>
      </c>
      <c r="T1921" s="84" t="str">
        <f>IF(ISERROR(FIND('112'!$M$9,G1921,1)),"",IF((AND(FIND('112'!$M$9,G1921,1)&gt;=1,B1921='112'!$K$9,OR($N1921='112'!$I$6,$O1921='112'!$I$6))),"x",""))</f>
        <v/>
      </c>
      <c r="U1921" s="84" t="str">
        <f>IF(ISERROR(FIND('112'!$M$9,G1921,1)),"",IF((AND(LEFT(G1921,2)=LEFT('112'!$M$9,2),B1921&lt;'112'!$K$9,$N1921='112'!$I$6)),"x",""))</f>
        <v/>
      </c>
      <c r="V1921" s="84" t="str">
        <f>IF(ISERROR(FIND('112'!$M$9,G1921,1)),"",IF((AND(RIGHT(G1921,2)=RIGHT('112'!$M$9,2),B1921&lt;'112'!$K$9,$O1921='112'!$I$6)),"x",""))</f>
        <v/>
      </c>
      <c r="W1921" s="84" t="str">
        <f>IF(AND('341-CT'!$H$9=H1921,OR(LEFT(N1921,3)=$W$7,LEFT(O1921,3)=$W$7)),"x","")</f>
        <v/>
      </c>
      <c r="X1921" s="84" t="str">
        <f>IF(OR(TH!N1921=TH!$X$7,O1921=TH!$X$7),"x","")</f>
        <v/>
      </c>
      <c r="Y1921" s="84" t="str">
        <f>IF(AND(OR(N1921="131",O1921="131"),H1921='131-CT'!$H$9),"x","")</f>
        <v/>
      </c>
      <c r="Z1921" s="84"/>
      <c r="AA1921" s="84" t="str">
        <f>IF(AND(MONTH(E1921)='IN-NX'!$J$5,'IN-NX'!$D$7=D1921),"x","")</f>
        <v/>
      </c>
      <c r="AB1921" s="84" t="str">
        <f>IF(AND(OR(LEFT(TH!N1921,2)="15",LEFT(TH!O1921,2)="15"),LEFT(TH!O1921,3)&lt;&gt;"111",'152-CT'!$J$8=TH!F1921),"x","")</f>
        <v/>
      </c>
      <c r="AC1921" s="84" t="str">
        <f>IF(AND(OR(LEFT(TH!N1921,2)="15",LEFT(TH!O1921,2)="15"),TK!$E$7=TH!F1921),"x","")</f>
        <v/>
      </c>
      <c r="AD1921" s="84" t="str">
        <f>IF(AND(N1921="1521",MONTH(C1921)='BK-NL'!$M$11),"x","")</f>
        <v/>
      </c>
      <c r="AE1921" s="330"/>
      <c r="AF1921" s="330">
        <v>7</v>
      </c>
    </row>
    <row r="1922" spans="1:32" s="1166" customFormat="1" ht="15.75" hidden="1" customHeight="1">
      <c r="A1922" s="336" t="str">
        <f>IF(B1922&lt;&gt;"",IF(AND(B1922='IN-TC'!$S$4,OR(TH!N1922="1111",TH!O1922="1111")),TH!D1922,""),"")</f>
        <v/>
      </c>
      <c r="B1922" s="63">
        <f t="shared" si="257"/>
        <v>7</v>
      </c>
      <c r="C1922" s="64">
        <v>42579</v>
      </c>
      <c r="D1922" s="64" t="s">
        <v>890</v>
      </c>
      <c r="E1922" s="64">
        <f t="shared" si="258"/>
        <v>42579</v>
      </c>
      <c r="F1922" s="67" t="s">
        <v>1016</v>
      </c>
      <c r="G1922" s="982" t="s">
        <v>1743</v>
      </c>
      <c r="H1922" s="73" t="s">
        <v>808</v>
      </c>
      <c r="I1922" s="439"/>
      <c r="J1922" s="439"/>
      <c r="K1922" s="430"/>
      <c r="L1922" s="439"/>
      <c r="M1922" s="65">
        <v>149166</v>
      </c>
      <c r="N1922" s="66" t="s">
        <v>9</v>
      </c>
      <c r="O1922" s="66" t="s">
        <v>63</v>
      </c>
      <c r="P1922" s="84" t="str">
        <f>IF(AND('331-CT'!$E$7=TH!H1922,OR(N1922="331",O1922="331")),"x","")</f>
        <v/>
      </c>
      <c r="Q1922" s="84" t="str">
        <f>IF(AND(B1922='111'!$L$11,OR($N1922=$Q$7,$O1922=$Q$7)),"x","")</f>
        <v/>
      </c>
      <c r="R1922" s="84" t="str">
        <f>IF(AND($N1922=$Q$7,$B1922&lt;'111'!$L$11),"x","")</f>
        <v/>
      </c>
      <c r="S1922" s="84" t="str">
        <f>IF(AND($O1922=$Q$7,$B1922&lt;'111'!$L$11),"x","")</f>
        <v/>
      </c>
      <c r="T1922" s="84" t="str">
        <f>IF(ISERROR(FIND('112'!$M$9,G1922,1)),"",IF((AND(FIND('112'!$M$9,G1922,1)&gt;=1,B1922='112'!$K$9,OR($N1922='112'!$I$6,$O1922='112'!$I$6))),"x",""))</f>
        <v/>
      </c>
      <c r="U1922" s="84" t="str">
        <f>IF(ISERROR(FIND('112'!$M$9,G1922,1)),"",IF((AND(LEFT(G1922,2)=LEFT('112'!$M$9,2),B1922&lt;'112'!$K$9,$N1922='112'!$I$6)),"x",""))</f>
        <v/>
      </c>
      <c r="V1922" s="84" t="str">
        <f>IF(ISERROR(FIND('112'!$M$9,G1922,1)),"",IF((AND(RIGHT(G1922,2)=RIGHT('112'!$M$9,2),B1922&lt;'112'!$K$9,$O1922='112'!$I$6)),"x",""))</f>
        <v/>
      </c>
      <c r="W1922" s="84" t="str">
        <f>IF(AND('341-CT'!$H$9=H1922,OR(LEFT(N1922,3)=$W$7,LEFT(O1922,3)=$W$7)),"x","")</f>
        <v/>
      </c>
      <c r="X1922" s="84" t="str">
        <f>IF(OR(TH!N1922=TH!$X$7,O1922=TH!$X$7),"x","")</f>
        <v/>
      </c>
      <c r="Y1922" s="84" t="str">
        <f>IF(AND(OR(N1922="131",O1922="131"),H1922='131-CT'!$H$9),"x","")</f>
        <v/>
      </c>
      <c r="Z1922" s="84"/>
      <c r="AA1922" s="84" t="str">
        <f>IF(AND(MONTH(E1922)='IN-NX'!$J$5,'IN-NX'!$D$7=D1922),"x","")</f>
        <v/>
      </c>
      <c r="AB1922" s="84" t="str">
        <f>IF(AND(OR(LEFT(TH!N1922,2)="15",LEFT(TH!O1922,2)="15"),LEFT(TH!O1922,3)&lt;&gt;"111",'152-CT'!$J$8=TH!F1922),"x","")</f>
        <v/>
      </c>
      <c r="AC1922" s="84" t="str">
        <f>IF(AND(OR(LEFT(TH!N1922,2)="15",LEFT(TH!O1922,2)="15"),TK!$E$7=TH!F1922),"x","")</f>
        <v/>
      </c>
      <c r="AD1922" s="84" t="str">
        <f>IF(AND(N1922="1521",MONTH(C1922)='BK-NL'!$M$11),"x","")</f>
        <v/>
      </c>
      <c r="AE1922" s="330"/>
      <c r="AF1922" s="330">
        <v>7</v>
      </c>
    </row>
    <row r="1923" spans="1:32" s="1166" customFormat="1" ht="15.75" hidden="1" customHeight="1">
      <c r="A1923" s="336" t="str">
        <f>IF(B1923&lt;&gt;"",IF(AND(B1923='IN-TC'!$S$4,OR(TH!N1923="1111",TH!O1923="1111")),TH!D1923,""),"")</f>
        <v/>
      </c>
      <c r="B1923" s="63">
        <f t="shared" si="257"/>
        <v>7</v>
      </c>
      <c r="C1923" s="64">
        <v>42579</v>
      </c>
      <c r="D1923" s="64" t="s">
        <v>891</v>
      </c>
      <c r="E1923" s="64">
        <f t="shared" si="258"/>
        <v>42579</v>
      </c>
      <c r="F1923" s="73" t="s">
        <v>1701</v>
      </c>
      <c r="G1923" s="982" t="s">
        <v>1745</v>
      </c>
      <c r="H1923" s="73" t="s">
        <v>831</v>
      </c>
      <c r="I1923" s="439"/>
      <c r="J1923" s="439"/>
      <c r="K1923" s="430"/>
      <c r="L1923" s="439"/>
      <c r="M1923" s="65">
        <v>360000</v>
      </c>
      <c r="N1923" s="66" t="s">
        <v>101</v>
      </c>
      <c r="O1923" s="66" t="s">
        <v>63</v>
      </c>
      <c r="P1923" s="84" t="str">
        <f>IF(AND('331-CT'!$E$7=TH!H1923,OR(N1923="331",O1923="331")),"x","")</f>
        <v/>
      </c>
      <c r="Q1923" s="84" t="str">
        <f>IF(AND(B1923='111'!$L$11,OR($N1923=$Q$7,$O1923=$Q$7)),"x","")</f>
        <v/>
      </c>
      <c r="R1923" s="84" t="str">
        <f>IF(AND($N1923=$Q$7,$B1923&lt;'111'!$L$11),"x","")</f>
        <v/>
      </c>
      <c r="S1923" s="84" t="str">
        <f>IF(AND($O1923=$Q$7,$B1923&lt;'111'!$L$11),"x","")</f>
        <v/>
      </c>
      <c r="T1923" s="84" t="str">
        <f>IF(ISERROR(FIND('112'!$M$9,G1923,1)),"",IF((AND(FIND('112'!$M$9,G1923,1)&gt;=1,B1923='112'!$K$9,OR($N1923='112'!$I$6,$O1923='112'!$I$6))),"x",""))</f>
        <v/>
      </c>
      <c r="U1923" s="84" t="str">
        <f>IF(ISERROR(FIND('112'!$M$9,G1923,1)),"",IF((AND(LEFT(G1923,2)=LEFT('112'!$M$9,2),B1923&lt;'112'!$K$9,$N1923='112'!$I$6)),"x",""))</f>
        <v/>
      </c>
      <c r="V1923" s="84" t="str">
        <f>IF(ISERROR(FIND('112'!$M$9,G1923,1)),"",IF((AND(RIGHT(G1923,2)=RIGHT('112'!$M$9,2),B1923&lt;'112'!$K$9,$O1923='112'!$I$6)),"x",""))</f>
        <v/>
      </c>
      <c r="W1923" s="84" t="str">
        <f>IF(AND('341-CT'!$H$9=H1923,OR(LEFT(N1923,3)=$W$7,LEFT(O1923,3)=$W$7)),"x","")</f>
        <v/>
      </c>
      <c r="X1923" s="84" t="str">
        <f>IF(OR(TH!N1923=TH!$X$7,O1923=TH!$X$7),"x","")</f>
        <v/>
      </c>
      <c r="Y1923" s="84" t="str">
        <f>IF(AND(OR(N1923="131",O1923="131"),H1923='131-CT'!$H$9),"x","")</f>
        <v/>
      </c>
      <c r="Z1923" s="84"/>
      <c r="AA1923" s="84" t="str">
        <f>IF(AND(MONTH(E1923)='IN-NX'!$J$5,'IN-NX'!$D$7=D1923),"x","")</f>
        <v/>
      </c>
      <c r="AB1923" s="84" t="str">
        <f>IF(AND(OR(LEFT(TH!N1923,2)="15",LEFT(TH!O1923,2)="15"),LEFT(TH!O1923,3)&lt;&gt;"111",'152-CT'!$J$8=TH!F1923),"x","")</f>
        <v/>
      </c>
      <c r="AC1923" s="84" t="str">
        <f>IF(AND(OR(LEFT(TH!N1923,2)="15",LEFT(TH!O1923,2)="15"),TK!$E$7=TH!F1923),"x","")</f>
        <v/>
      </c>
      <c r="AD1923" s="84" t="str">
        <f>IF(AND(N1923="1521",MONTH(C1923)='BK-NL'!$M$11),"x","")</f>
        <v/>
      </c>
      <c r="AE1923" s="330"/>
      <c r="AF1923" s="330">
        <v>7</v>
      </c>
    </row>
    <row r="1924" spans="1:32" s="1166" customFormat="1" ht="15.75" hidden="1" customHeight="1">
      <c r="A1924" s="336" t="str">
        <f>IF(B1924&lt;&gt;"",IF(AND(B1924='IN-TC'!$S$4,OR(TH!N1924="1111",TH!O1924="1111")),TH!D1924,""),"")</f>
        <v/>
      </c>
      <c r="B1924" s="63">
        <f t="shared" si="257"/>
        <v>7</v>
      </c>
      <c r="C1924" s="64">
        <v>42579</v>
      </c>
      <c r="D1924" s="64" t="s">
        <v>891</v>
      </c>
      <c r="E1924" s="64">
        <f t="shared" si="258"/>
        <v>42579</v>
      </c>
      <c r="F1924" s="73" t="s">
        <v>1536</v>
      </c>
      <c r="G1924" s="982" t="s">
        <v>1745</v>
      </c>
      <c r="H1924" s="73" t="s">
        <v>831</v>
      </c>
      <c r="I1924" s="439"/>
      <c r="J1924" s="439"/>
      <c r="K1924" s="430"/>
      <c r="L1924" s="439"/>
      <c r="M1924" s="65">
        <v>18000</v>
      </c>
      <c r="N1924" s="66" t="s">
        <v>9</v>
      </c>
      <c r="O1924" s="66" t="s">
        <v>63</v>
      </c>
      <c r="P1924" s="84" t="str">
        <f>IF(AND('331-CT'!$E$7=TH!H1924,OR(N1924="331",O1924="331")),"x","")</f>
        <v/>
      </c>
      <c r="Q1924" s="84" t="str">
        <f>IF(AND(B1924='111'!$L$11,OR($N1924=$Q$7,$O1924=$Q$7)),"x","")</f>
        <v/>
      </c>
      <c r="R1924" s="84" t="str">
        <f>IF(AND($N1924=$Q$7,$B1924&lt;'111'!$L$11),"x","")</f>
        <v/>
      </c>
      <c r="S1924" s="84" t="str">
        <f>IF(AND($O1924=$Q$7,$B1924&lt;'111'!$L$11),"x","")</f>
        <v/>
      </c>
      <c r="T1924" s="84" t="str">
        <f>IF(ISERROR(FIND('112'!$M$9,G1924,1)),"",IF((AND(FIND('112'!$M$9,G1924,1)&gt;=1,B1924='112'!$K$9,OR($N1924='112'!$I$6,$O1924='112'!$I$6))),"x",""))</f>
        <v/>
      </c>
      <c r="U1924" s="84" t="str">
        <f>IF(ISERROR(FIND('112'!$M$9,G1924,1)),"",IF((AND(LEFT(G1924,2)=LEFT('112'!$M$9,2),B1924&lt;'112'!$K$9,$N1924='112'!$I$6)),"x",""))</f>
        <v/>
      </c>
      <c r="V1924" s="84" t="str">
        <f>IF(ISERROR(FIND('112'!$M$9,G1924,1)),"",IF((AND(RIGHT(G1924,2)=RIGHT('112'!$M$9,2),B1924&lt;'112'!$K$9,$O1924='112'!$I$6)),"x",""))</f>
        <v/>
      </c>
      <c r="W1924" s="84" t="str">
        <f>IF(AND('341-CT'!$H$9=H1924,OR(LEFT(N1924,3)=$W$7,LEFT(O1924,3)=$W$7)),"x","")</f>
        <v/>
      </c>
      <c r="X1924" s="84" t="str">
        <f>IF(OR(TH!N1924=TH!$X$7,O1924=TH!$X$7),"x","")</f>
        <v/>
      </c>
      <c r="Y1924" s="84" t="str">
        <f>IF(AND(OR(N1924="131",O1924="131"),H1924='131-CT'!$H$9),"x","")</f>
        <v/>
      </c>
      <c r="Z1924" s="84"/>
      <c r="AA1924" s="84" t="str">
        <f>IF(AND(MONTH(E1924)='IN-NX'!$J$5,'IN-NX'!$D$7=D1924),"x","")</f>
        <v/>
      </c>
      <c r="AB1924" s="84" t="str">
        <f>IF(AND(OR(LEFT(TH!N1924,2)="15",LEFT(TH!O1924,2)="15"),LEFT(TH!O1924,3)&lt;&gt;"111",'152-CT'!$J$8=TH!F1924),"x","")</f>
        <v/>
      </c>
      <c r="AC1924" s="84" t="str">
        <f>IF(AND(OR(LEFT(TH!N1924,2)="15",LEFT(TH!O1924,2)="15"),TK!$E$7=TH!F1924),"x","")</f>
        <v/>
      </c>
      <c r="AD1924" s="84" t="str">
        <f>IF(AND(N1924="1521",MONTH(C1924)='BK-NL'!$M$11),"x","")</f>
        <v/>
      </c>
      <c r="AE1924" s="330"/>
      <c r="AF1924" s="330">
        <v>7</v>
      </c>
    </row>
    <row r="1925" spans="1:32" s="1166" customFormat="1" ht="15.75" hidden="1" customHeight="1">
      <c r="A1925" s="336" t="str">
        <f>IF(B1925&lt;&gt;"",IF(AND(B1925='IN-TC'!$S$4,OR(TH!N1925="1111",TH!O1925="1111")),TH!D1925,""),"")</f>
        <v/>
      </c>
      <c r="B1925" s="63">
        <f t="shared" si="257"/>
        <v>7</v>
      </c>
      <c r="C1925" s="64">
        <v>42580</v>
      </c>
      <c r="D1925" s="64" t="s">
        <v>892</v>
      </c>
      <c r="E1925" s="64">
        <f t="shared" si="258"/>
        <v>42580</v>
      </c>
      <c r="F1925" s="67" t="s">
        <v>1746</v>
      </c>
      <c r="G1925" s="982" t="s">
        <v>1748</v>
      </c>
      <c r="H1925" s="73" t="s">
        <v>1749</v>
      </c>
      <c r="I1925" s="439"/>
      <c r="J1925" s="439"/>
      <c r="K1925" s="430"/>
      <c r="L1925" s="439"/>
      <c r="M1925" s="65">
        <v>1939361</v>
      </c>
      <c r="N1925" s="66" t="s">
        <v>101</v>
      </c>
      <c r="O1925" s="66" t="s">
        <v>63</v>
      </c>
      <c r="P1925" s="84" t="str">
        <f>IF(AND('331-CT'!$E$7=TH!H1925,OR(N1925="331",O1925="331")),"x","")</f>
        <v/>
      </c>
      <c r="Q1925" s="84" t="str">
        <f>IF(AND(B1925='111'!$L$11,OR($N1925=$Q$7,$O1925=$Q$7)),"x","")</f>
        <v/>
      </c>
      <c r="R1925" s="84" t="str">
        <f>IF(AND($N1925=$Q$7,$B1925&lt;'111'!$L$11),"x","")</f>
        <v/>
      </c>
      <c r="S1925" s="84" t="str">
        <f>IF(AND($O1925=$Q$7,$B1925&lt;'111'!$L$11),"x","")</f>
        <v/>
      </c>
      <c r="T1925" s="84" t="str">
        <f>IF(ISERROR(FIND('112'!$M$9,G1925,1)),"",IF((AND(FIND('112'!$M$9,G1925,1)&gt;=1,B1925='112'!$K$9,OR($N1925='112'!$I$6,$O1925='112'!$I$6))),"x",""))</f>
        <v/>
      </c>
      <c r="U1925" s="84" t="str">
        <f>IF(ISERROR(FIND('112'!$M$9,G1925,1)),"",IF((AND(LEFT(G1925,2)=LEFT('112'!$M$9,2),B1925&lt;'112'!$K$9,$N1925='112'!$I$6)),"x",""))</f>
        <v/>
      </c>
      <c r="V1925" s="84" t="str">
        <f>IF(ISERROR(FIND('112'!$M$9,G1925,1)),"",IF((AND(RIGHT(G1925,2)=RIGHT('112'!$M$9,2),B1925&lt;'112'!$K$9,$O1925='112'!$I$6)),"x",""))</f>
        <v/>
      </c>
      <c r="W1925" s="84" t="str">
        <f>IF(AND('341-CT'!$H$9=H1925,OR(LEFT(N1925,3)=$W$7,LEFT(O1925,3)=$W$7)),"x","")</f>
        <v/>
      </c>
      <c r="X1925" s="84" t="str">
        <f>IF(OR(TH!N1925=TH!$X$7,O1925=TH!$X$7),"x","")</f>
        <v/>
      </c>
      <c r="Y1925" s="84" t="str">
        <f>IF(AND(OR(N1925="131",O1925="131"),H1925='131-CT'!$H$9),"x","")</f>
        <v/>
      </c>
      <c r="Z1925" s="84"/>
      <c r="AA1925" s="84" t="str">
        <f>IF(AND(MONTH(E1925)='IN-NX'!$J$5,'IN-NX'!$D$7=D1925),"x","")</f>
        <v/>
      </c>
      <c r="AB1925" s="84" t="str">
        <f>IF(AND(OR(LEFT(TH!N1925,2)="15",LEFT(TH!O1925,2)="15"),LEFT(TH!O1925,3)&lt;&gt;"111",'152-CT'!$J$8=TH!F1925),"x","")</f>
        <v/>
      </c>
      <c r="AC1925" s="84" t="str">
        <f>IF(AND(OR(LEFT(TH!N1925,2)="15",LEFT(TH!O1925,2)="15"),TK!$E$7=TH!F1925),"x","")</f>
        <v/>
      </c>
      <c r="AD1925" s="84" t="str">
        <f>IF(AND(N1925="1521",MONTH(C1925)='BK-NL'!$M$11),"x","")</f>
        <v/>
      </c>
      <c r="AE1925" s="330"/>
      <c r="AF1925" s="330">
        <v>7</v>
      </c>
    </row>
    <row r="1926" spans="1:32" s="1166" customFormat="1" ht="15.75" hidden="1" customHeight="1">
      <c r="A1926" s="336" t="str">
        <f>IF(B1926&lt;&gt;"",IF(AND(B1926='IN-TC'!$S$4,OR(TH!N1926="1111",TH!O1926="1111")),TH!D1926,""),"")</f>
        <v/>
      </c>
      <c r="B1926" s="63">
        <f t="shared" si="257"/>
        <v>7</v>
      </c>
      <c r="C1926" s="64">
        <v>42580</v>
      </c>
      <c r="D1926" s="64" t="s">
        <v>892</v>
      </c>
      <c r="E1926" s="64">
        <f t="shared" si="258"/>
        <v>42580</v>
      </c>
      <c r="F1926" s="67" t="s">
        <v>1747</v>
      </c>
      <c r="G1926" s="982" t="s">
        <v>1748</v>
      </c>
      <c r="H1926" s="73" t="s">
        <v>1749</v>
      </c>
      <c r="I1926" s="439"/>
      <c r="J1926" s="439"/>
      <c r="K1926" s="430"/>
      <c r="L1926" s="439"/>
      <c r="M1926" s="65">
        <v>193936</v>
      </c>
      <c r="N1926" s="66" t="s">
        <v>9</v>
      </c>
      <c r="O1926" s="66" t="s">
        <v>63</v>
      </c>
      <c r="P1926" s="84" t="str">
        <f>IF(AND('331-CT'!$E$7=TH!H1926,OR(N1926="331",O1926="331")),"x","")</f>
        <v/>
      </c>
      <c r="Q1926" s="84" t="str">
        <f>IF(AND(B1926='111'!$L$11,OR($N1926=$Q$7,$O1926=$Q$7)),"x","")</f>
        <v/>
      </c>
      <c r="R1926" s="84" t="str">
        <f>IF(AND($N1926=$Q$7,$B1926&lt;'111'!$L$11),"x","")</f>
        <v/>
      </c>
      <c r="S1926" s="84" t="str">
        <f>IF(AND($O1926=$Q$7,$B1926&lt;'111'!$L$11),"x","")</f>
        <v/>
      </c>
      <c r="T1926" s="84" t="str">
        <f>IF(ISERROR(FIND('112'!$M$9,G1926,1)),"",IF((AND(FIND('112'!$M$9,G1926,1)&gt;=1,B1926='112'!$K$9,OR($N1926='112'!$I$6,$O1926='112'!$I$6))),"x",""))</f>
        <v/>
      </c>
      <c r="U1926" s="84" t="str">
        <f>IF(ISERROR(FIND('112'!$M$9,G1926,1)),"",IF((AND(LEFT(G1926,2)=LEFT('112'!$M$9,2),B1926&lt;'112'!$K$9,$N1926='112'!$I$6)),"x",""))</f>
        <v/>
      </c>
      <c r="V1926" s="84" t="str">
        <f>IF(ISERROR(FIND('112'!$M$9,G1926,1)),"",IF((AND(RIGHT(G1926,2)=RIGHT('112'!$M$9,2),B1926&lt;'112'!$K$9,$O1926='112'!$I$6)),"x",""))</f>
        <v/>
      </c>
      <c r="W1926" s="84" t="str">
        <f>IF(AND('341-CT'!$H$9=H1926,OR(LEFT(N1926,3)=$W$7,LEFT(O1926,3)=$W$7)),"x","")</f>
        <v/>
      </c>
      <c r="X1926" s="84" t="str">
        <f>IF(OR(TH!N1926=TH!$X$7,O1926=TH!$X$7),"x","")</f>
        <v/>
      </c>
      <c r="Y1926" s="84" t="str">
        <f>IF(AND(OR(N1926="131",O1926="131"),H1926='131-CT'!$H$9),"x","")</f>
        <v/>
      </c>
      <c r="Z1926" s="84"/>
      <c r="AA1926" s="84" t="str">
        <f>IF(AND(MONTH(E1926)='IN-NX'!$J$5,'IN-NX'!$D$7=D1926),"x","")</f>
        <v/>
      </c>
      <c r="AB1926" s="84" t="str">
        <f>IF(AND(OR(LEFT(TH!N1926,2)="15",LEFT(TH!O1926,2)="15"),LEFT(TH!O1926,3)&lt;&gt;"111",'152-CT'!$J$8=TH!F1926),"x","")</f>
        <v/>
      </c>
      <c r="AC1926" s="84" t="str">
        <f>IF(AND(OR(LEFT(TH!N1926,2)="15",LEFT(TH!O1926,2)="15"),TK!$E$7=TH!F1926),"x","")</f>
        <v/>
      </c>
      <c r="AD1926" s="84" t="str">
        <f>IF(AND(N1926="1521",MONTH(C1926)='BK-NL'!$M$11),"x","")</f>
        <v/>
      </c>
      <c r="AE1926" s="330"/>
      <c r="AF1926" s="330">
        <v>7</v>
      </c>
    </row>
    <row r="1927" spans="1:32" s="1166" customFormat="1" ht="15.75" hidden="1" customHeight="1">
      <c r="A1927" s="336" t="str">
        <f>IF(B1927&lt;&gt;"",IF(AND(B1927='IN-TC'!$S$4,OR(TH!N1927="1111",TH!O1927="1111")),TH!D1927,""),"")</f>
        <v/>
      </c>
      <c r="B1927" s="63">
        <f t="shared" si="257"/>
        <v>7</v>
      </c>
      <c r="C1927" s="64">
        <v>42582</v>
      </c>
      <c r="D1927" s="64" t="s">
        <v>893</v>
      </c>
      <c r="E1927" s="64">
        <f t="shared" si="258"/>
        <v>42582</v>
      </c>
      <c r="F1927" s="67" t="s">
        <v>1114</v>
      </c>
      <c r="G1927" s="982" t="s">
        <v>1750</v>
      </c>
      <c r="H1927" s="73" t="s">
        <v>808</v>
      </c>
      <c r="I1927" s="439"/>
      <c r="J1927" s="439"/>
      <c r="K1927" s="430"/>
      <c r="L1927" s="439"/>
      <c r="M1927" s="65">
        <v>683636</v>
      </c>
      <c r="N1927" s="66" t="s">
        <v>101</v>
      </c>
      <c r="O1927" s="66" t="s">
        <v>63</v>
      </c>
      <c r="P1927" s="84" t="str">
        <f>IF(AND('331-CT'!$E$7=TH!H1927,OR(N1927="331",O1927="331")),"x","")</f>
        <v/>
      </c>
      <c r="Q1927" s="84" t="str">
        <f>IF(AND(B1927='111'!$L$11,OR($N1927=$Q$7,$O1927=$Q$7)),"x","")</f>
        <v/>
      </c>
      <c r="R1927" s="84" t="str">
        <f>IF(AND($N1927=$Q$7,$B1927&lt;'111'!$L$11),"x","")</f>
        <v/>
      </c>
      <c r="S1927" s="84" t="str">
        <f>IF(AND($O1927=$Q$7,$B1927&lt;'111'!$L$11),"x","")</f>
        <v/>
      </c>
      <c r="T1927" s="84" t="str">
        <f>IF(ISERROR(FIND('112'!$M$9,G1927,1)),"",IF((AND(FIND('112'!$M$9,G1927,1)&gt;=1,B1927='112'!$K$9,OR($N1927='112'!$I$6,$O1927='112'!$I$6))),"x",""))</f>
        <v/>
      </c>
      <c r="U1927" s="84" t="str">
        <f>IF(ISERROR(FIND('112'!$M$9,G1927,1)),"",IF((AND(LEFT(G1927,2)=LEFT('112'!$M$9,2),B1927&lt;'112'!$K$9,$N1927='112'!$I$6)),"x",""))</f>
        <v/>
      </c>
      <c r="V1927" s="84" t="str">
        <f>IF(ISERROR(FIND('112'!$M$9,G1927,1)),"",IF((AND(RIGHT(G1927,2)=RIGHT('112'!$M$9,2),B1927&lt;'112'!$K$9,$O1927='112'!$I$6)),"x",""))</f>
        <v/>
      </c>
      <c r="W1927" s="84" t="str">
        <f>IF(AND('341-CT'!$H$9=H1927,OR(LEFT(N1927,3)=$W$7,LEFT(O1927,3)=$W$7)),"x","")</f>
        <v/>
      </c>
      <c r="X1927" s="84" t="str">
        <f>IF(OR(TH!N1927=TH!$X$7,O1927=TH!$X$7),"x","")</f>
        <v/>
      </c>
      <c r="Y1927" s="84" t="str">
        <f>IF(AND(OR(N1927="131",O1927="131"),H1927='131-CT'!$H$9),"x","")</f>
        <v/>
      </c>
      <c r="Z1927" s="84"/>
      <c r="AA1927" s="84" t="str">
        <f>IF(AND(MONTH(E1927)='IN-NX'!$J$5,'IN-NX'!$D$7=D1927),"x","")</f>
        <v/>
      </c>
      <c r="AB1927" s="84" t="str">
        <f>IF(AND(OR(LEFT(TH!N1927,2)="15",LEFT(TH!O1927,2)="15"),LEFT(TH!O1927,3)&lt;&gt;"111",'152-CT'!$J$8=TH!F1927),"x","")</f>
        <v/>
      </c>
      <c r="AC1927" s="84" t="str">
        <f>IF(AND(OR(LEFT(TH!N1927,2)="15",LEFT(TH!O1927,2)="15"),TK!$E$7=TH!F1927),"x","")</f>
        <v/>
      </c>
      <c r="AD1927" s="84" t="str">
        <f>IF(AND(N1927="1521",MONTH(C1927)='BK-NL'!$M$11),"x","")</f>
        <v/>
      </c>
      <c r="AE1927" s="330"/>
      <c r="AF1927" s="330">
        <v>7</v>
      </c>
    </row>
    <row r="1928" spans="1:32" s="1166" customFormat="1" ht="15.75" hidden="1" customHeight="1">
      <c r="A1928" s="336" t="str">
        <f>IF(B1928&lt;&gt;"",IF(AND(B1928='IN-TC'!$S$4,OR(TH!N1928="1111",TH!O1928="1111")),TH!D1928,""),"")</f>
        <v/>
      </c>
      <c r="B1928" s="63">
        <f t="shared" si="257"/>
        <v>7</v>
      </c>
      <c r="C1928" s="64">
        <v>42582</v>
      </c>
      <c r="D1928" s="64" t="s">
        <v>893</v>
      </c>
      <c r="E1928" s="64">
        <f t="shared" si="258"/>
        <v>42582</v>
      </c>
      <c r="F1928" s="67" t="s">
        <v>1344</v>
      </c>
      <c r="G1928" s="982" t="s">
        <v>1750</v>
      </c>
      <c r="H1928" s="73" t="s">
        <v>808</v>
      </c>
      <c r="I1928" s="439"/>
      <c r="J1928" s="439"/>
      <c r="K1928" s="430"/>
      <c r="L1928" s="439"/>
      <c r="M1928" s="65">
        <v>68364</v>
      </c>
      <c r="N1928" s="66" t="s">
        <v>9</v>
      </c>
      <c r="O1928" s="66" t="s">
        <v>63</v>
      </c>
      <c r="P1928" s="84" t="str">
        <f>IF(AND('331-CT'!$E$7=TH!H1928,OR(N1928="331",O1928="331")),"x","")</f>
        <v/>
      </c>
      <c r="Q1928" s="84" t="str">
        <f>IF(AND(B1928='111'!$L$11,OR($N1928=$Q$7,$O1928=$Q$7)),"x","")</f>
        <v/>
      </c>
      <c r="R1928" s="84" t="str">
        <f>IF(AND($N1928=$Q$7,$B1928&lt;'111'!$L$11),"x","")</f>
        <v/>
      </c>
      <c r="S1928" s="84" t="str">
        <f>IF(AND($O1928=$Q$7,$B1928&lt;'111'!$L$11),"x","")</f>
        <v/>
      </c>
      <c r="T1928" s="84" t="str">
        <f>IF(ISERROR(FIND('112'!$M$9,G1928,1)),"",IF((AND(FIND('112'!$M$9,G1928,1)&gt;=1,B1928='112'!$K$9,OR($N1928='112'!$I$6,$O1928='112'!$I$6))),"x",""))</f>
        <v/>
      </c>
      <c r="U1928" s="84" t="str">
        <f>IF(ISERROR(FIND('112'!$M$9,G1928,1)),"",IF((AND(LEFT(G1928,2)=LEFT('112'!$M$9,2),B1928&lt;'112'!$K$9,$N1928='112'!$I$6)),"x",""))</f>
        <v/>
      </c>
      <c r="V1928" s="84" t="str">
        <f>IF(ISERROR(FIND('112'!$M$9,G1928,1)),"",IF((AND(RIGHT(G1928,2)=RIGHT('112'!$M$9,2),B1928&lt;'112'!$K$9,$O1928='112'!$I$6)),"x",""))</f>
        <v/>
      </c>
      <c r="W1928" s="84" t="str">
        <f>IF(AND('341-CT'!$H$9=H1928,OR(LEFT(N1928,3)=$W$7,LEFT(O1928,3)=$W$7)),"x","")</f>
        <v/>
      </c>
      <c r="X1928" s="84" t="str">
        <f>IF(OR(TH!N1928=TH!$X$7,O1928=TH!$X$7),"x","")</f>
        <v/>
      </c>
      <c r="Y1928" s="84" t="str">
        <f>IF(AND(OR(N1928="131",O1928="131"),H1928='131-CT'!$H$9),"x","")</f>
        <v/>
      </c>
      <c r="Z1928" s="84"/>
      <c r="AA1928" s="84" t="str">
        <f>IF(AND(MONTH(E1928)='IN-NX'!$J$5,'IN-NX'!$D$7=D1928),"x","")</f>
        <v/>
      </c>
      <c r="AB1928" s="84" t="str">
        <f>IF(AND(OR(LEFT(TH!N1928,2)="15",LEFT(TH!O1928,2)="15"),LEFT(TH!O1928,3)&lt;&gt;"111",'152-CT'!$J$8=TH!F1928),"x","")</f>
        <v/>
      </c>
      <c r="AC1928" s="84" t="str">
        <f>IF(AND(OR(LEFT(TH!N1928,2)="15",LEFT(TH!O1928,2)="15"),TK!$E$7=TH!F1928),"x","")</f>
        <v/>
      </c>
      <c r="AD1928" s="84" t="str">
        <f>IF(AND(N1928="1521",MONTH(C1928)='BK-NL'!$M$11),"x","")</f>
        <v/>
      </c>
      <c r="AE1928" s="330"/>
      <c r="AF1928" s="330">
        <v>7</v>
      </c>
    </row>
    <row r="1929" spans="1:32" ht="15.75" hidden="1" customHeight="1">
      <c r="A1929" s="336" t="str">
        <f>IF(B1929&lt;&gt;"",IF(AND(B1929='IN-TC'!$S$4,OR(TH!N1929="1111",TH!O1929="1111")),TH!D1929,""),"")</f>
        <v/>
      </c>
      <c r="B1929" s="63">
        <f t="shared" si="257"/>
        <v>7</v>
      </c>
      <c r="C1929" s="64">
        <v>42582</v>
      </c>
      <c r="D1929" s="64" t="s">
        <v>894</v>
      </c>
      <c r="E1929" s="64">
        <f t="shared" si="258"/>
        <v>42582</v>
      </c>
      <c r="F1929" s="67" t="s">
        <v>1752</v>
      </c>
      <c r="G1929" s="982"/>
      <c r="H1929" s="73" t="s">
        <v>1363</v>
      </c>
      <c r="I1929" s="439"/>
      <c r="J1929" s="439"/>
      <c r="K1929" s="430"/>
      <c r="L1929" s="439"/>
      <c r="M1929" s="65">
        <v>2027273</v>
      </c>
      <c r="N1929" s="66" t="s">
        <v>101</v>
      </c>
      <c r="O1929" s="66" t="s">
        <v>63</v>
      </c>
      <c r="P1929" s="84" t="str">
        <f>IF(AND('331-CT'!$E$7=TH!H1929,OR(N1929="331",O1929="331")),"x","")</f>
        <v/>
      </c>
      <c r="Q1929" s="84" t="str">
        <f>IF(AND(B1929='111'!$L$11,OR($N1929=$Q$7,$O1929=$Q$7)),"x","")</f>
        <v/>
      </c>
      <c r="R1929" s="84" t="str">
        <f>IF(AND($N1929=$Q$7,$B1929&lt;'111'!$L$11),"x","")</f>
        <v/>
      </c>
      <c r="S1929" s="84" t="str">
        <f>IF(AND($O1929=$Q$7,$B1929&lt;'111'!$L$11),"x","")</f>
        <v/>
      </c>
      <c r="T1929" s="84" t="str">
        <f>IF(ISERROR(FIND('112'!$M$9,G1929,1)),"",IF((AND(FIND('112'!$M$9,G1929,1)&gt;=1,B1929='112'!$K$9,OR($N1929='112'!$I$6,$O1929='112'!$I$6))),"x",""))</f>
        <v/>
      </c>
      <c r="U1929" s="84" t="str">
        <f>IF(ISERROR(FIND('112'!$M$9,G1929,1)),"",IF((AND(LEFT(G1929,2)=LEFT('112'!$M$9,2),B1929&lt;'112'!$K$9,$N1929='112'!$I$6)),"x",""))</f>
        <v/>
      </c>
      <c r="V1929" s="84" t="str">
        <f>IF(ISERROR(FIND('112'!$M$9,G1929,1)),"",IF((AND(RIGHT(G1929,2)=RIGHT('112'!$M$9,2),B1929&lt;'112'!$K$9,$O1929='112'!$I$6)),"x",""))</f>
        <v/>
      </c>
      <c r="W1929" s="84" t="str">
        <f>IF(AND('341-CT'!$H$9=H1929,OR(LEFT(N1929,3)=$W$7,LEFT(O1929,3)=$W$7)),"x","")</f>
        <v/>
      </c>
      <c r="X1929" s="84" t="str">
        <f>IF(OR(TH!N1929=TH!$X$7,O1929=TH!$X$7),"x","")</f>
        <v/>
      </c>
      <c r="Y1929" s="84" t="str">
        <f>IF(AND(OR(N1929="131",O1929="131"),H1929='131-CT'!$H$9),"x","")</f>
        <v/>
      </c>
      <c r="Z1929" s="84"/>
      <c r="AA1929" s="84" t="str">
        <f>IF(AND(MONTH(E1929)='IN-NX'!$J$5,'IN-NX'!$D$7=D1929),"x","")</f>
        <v/>
      </c>
      <c r="AB1929" s="84" t="str">
        <f>IF(AND(OR(LEFT(TH!N1929,2)="15",LEFT(TH!O1929,2)="15"),LEFT(TH!O1929,3)&lt;&gt;"111",'152-CT'!$J$8=TH!F1929),"x","")</f>
        <v/>
      </c>
      <c r="AC1929" s="84" t="str">
        <f>IF(AND(OR(LEFT(TH!N1929,2)="15",LEFT(TH!O1929,2)="15"),TK!$E$7=TH!F1929),"x","")</f>
        <v/>
      </c>
      <c r="AD1929" s="84" t="str">
        <f>IF(AND(N1929="1521",MONTH(C1929)='BK-NL'!$M$11),"x","")</f>
        <v/>
      </c>
      <c r="AF1929" s="330">
        <v>7</v>
      </c>
    </row>
    <row r="1930" spans="1:32" ht="15.75" hidden="1" customHeight="1">
      <c r="A1930" s="336" t="str">
        <f>IF(B1930&lt;&gt;"",IF(AND(B1930='IN-TC'!$S$4,OR(TH!N1930="1111",TH!O1930="1111")),TH!D1930,""),"")</f>
        <v/>
      </c>
      <c r="B1930" s="63">
        <f t="shared" si="257"/>
        <v>7</v>
      </c>
      <c r="C1930" s="64">
        <v>42582</v>
      </c>
      <c r="D1930" s="64" t="s">
        <v>894</v>
      </c>
      <c r="E1930" s="64">
        <f t="shared" si="258"/>
        <v>42582</v>
      </c>
      <c r="F1930" s="67" t="s">
        <v>1753</v>
      </c>
      <c r="G1930" s="982"/>
      <c r="H1930" s="73" t="s">
        <v>1363</v>
      </c>
      <c r="I1930" s="439"/>
      <c r="J1930" s="439"/>
      <c r="K1930" s="430"/>
      <c r="L1930" s="439"/>
      <c r="M1930" s="65">
        <v>202727</v>
      </c>
      <c r="N1930" s="66" t="s">
        <v>9</v>
      </c>
      <c r="O1930" s="66" t="s">
        <v>63</v>
      </c>
      <c r="P1930" s="84" t="str">
        <f>IF(AND('331-CT'!$E$7=TH!H1930,OR(N1930="331",O1930="331")),"x","")</f>
        <v/>
      </c>
      <c r="Q1930" s="84" t="str">
        <f>IF(AND(B1930='111'!$L$11,OR($N1930=$Q$7,$O1930=$Q$7)),"x","")</f>
        <v/>
      </c>
      <c r="R1930" s="84" t="str">
        <f>IF(AND($N1930=$Q$7,$B1930&lt;'111'!$L$11),"x","")</f>
        <v/>
      </c>
      <c r="S1930" s="84" t="str">
        <f>IF(AND($O1930=$Q$7,$B1930&lt;'111'!$L$11),"x","")</f>
        <v/>
      </c>
      <c r="T1930" s="84" t="str">
        <f>IF(ISERROR(FIND('112'!$M$9,G1930,1)),"",IF((AND(FIND('112'!$M$9,G1930,1)&gt;=1,B1930='112'!$K$9,OR($N1930='112'!$I$6,$O1930='112'!$I$6))),"x",""))</f>
        <v/>
      </c>
      <c r="U1930" s="84" t="str">
        <f>IF(ISERROR(FIND('112'!$M$9,G1930,1)),"",IF((AND(LEFT(G1930,2)=LEFT('112'!$M$9,2),B1930&lt;'112'!$K$9,$N1930='112'!$I$6)),"x",""))</f>
        <v/>
      </c>
      <c r="V1930" s="84" t="str">
        <f>IF(ISERROR(FIND('112'!$M$9,G1930,1)),"",IF((AND(RIGHT(G1930,2)=RIGHT('112'!$M$9,2),B1930&lt;'112'!$K$9,$O1930='112'!$I$6)),"x",""))</f>
        <v/>
      </c>
      <c r="W1930" s="84" t="str">
        <f>IF(AND('341-CT'!$H$9=H1930,OR(LEFT(N1930,3)=$W$7,LEFT(O1930,3)=$W$7)),"x","")</f>
        <v/>
      </c>
      <c r="X1930" s="84" t="str">
        <f>IF(OR(TH!N1930=TH!$X$7,O1930=TH!$X$7),"x","")</f>
        <v/>
      </c>
      <c r="Y1930" s="84" t="str">
        <f>IF(AND(OR(N1930="131",O1930="131"),H1930='131-CT'!$H$9),"x","")</f>
        <v/>
      </c>
      <c r="Z1930" s="84"/>
      <c r="AA1930" s="84" t="str">
        <f>IF(AND(MONTH(E1930)='IN-NX'!$J$5,'IN-NX'!$D$7=D1930),"x","")</f>
        <v/>
      </c>
      <c r="AB1930" s="84" t="str">
        <f>IF(AND(OR(LEFT(TH!N1930,2)="15",LEFT(TH!O1930,2)="15"),LEFT(TH!O1930,3)&lt;&gt;"111",'152-CT'!$J$8=TH!F1930),"x","")</f>
        <v/>
      </c>
      <c r="AC1930" s="84" t="str">
        <f>IF(AND(OR(LEFT(TH!N1930,2)="15",LEFT(TH!O1930,2)="15"),TK!$E$7=TH!F1930),"x","")</f>
        <v/>
      </c>
      <c r="AD1930" s="84" t="str">
        <f>IF(AND(N1930="1521",MONTH(C1930)='BK-NL'!$M$11),"x","")</f>
        <v/>
      </c>
      <c r="AF1930" s="330">
        <v>7</v>
      </c>
    </row>
    <row r="1931" spans="1:32" s="1132" customFormat="1" ht="15.75" hidden="1" customHeight="1">
      <c r="A1931" s="1213" t="str">
        <f>IF(B1931&lt;&gt;"",IF(AND(B1931='IN-TC'!$S$4,OR(TH!N1931="1111",TH!O1931="1111")),TH!D1931,""),"")</f>
        <v/>
      </c>
      <c r="B1931" s="1129">
        <f t="shared" si="257"/>
        <v>7</v>
      </c>
      <c r="C1931" s="975">
        <v>42582</v>
      </c>
      <c r="D1931" s="975" t="s">
        <v>895</v>
      </c>
      <c r="E1931" s="975">
        <f t="shared" si="258"/>
        <v>42582</v>
      </c>
      <c r="F1931" s="971" t="s">
        <v>1751</v>
      </c>
      <c r="G1931" s="980"/>
      <c r="H1931" s="971" t="s">
        <v>849</v>
      </c>
      <c r="I1931" s="972"/>
      <c r="J1931" s="972"/>
      <c r="K1931" s="973"/>
      <c r="L1931" s="972"/>
      <c r="M1931" s="1130">
        <v>147048005</v>
      </c>
      <c r="N1931" s="1131" t="s">
        <v>592</v>
      </c>
      <c r="O1931" s="1131" t="s">
        <v>63</v>
      </c>
      <c r="P1931" s="1131" t="str">
        <f>IF(AND('331-CT'!$E$7=TH!H1931,OR(N1931="331",O1931="331")),"x","")</f>
        <v/>
      </c>
      <c r="Q1931" s="1131" t="str">
        <f>IF(AND(B1931='111'!$L$11,OR($N1931=$Q$7,$O1931=$Q$7)),"x","")</f>
        <v/>
      </c>
      <c r="R1931" s="1131" t="str">
        <f>IF(AND($N1931=$Q$7,$B1931&lt;'111'!$L$11),"x","")</f>
        <v/>
      </c>
      <c r="S1931" s="1131" t="str">
        <f>IF(AND($O1931=$Q$7,$B1931&lt;'111'!$L$11),"x","")</f>
        <v/>
      </c>
      <c r="T1931" s="1131" t="str">
        <f>IF(ISERROR(FIND('112'!$M$9,G1931,1)),"",IF((AND(FIND('112'!$M$9,G1931,1)&gt;=1,B1931='112'!$K$9,OR($N1931='112'!$I$6,$O1931='112'!$I$6))),"x",""))</f>
        <v/>
      </c>
      <c r="U1931" s="1131" t="str">
        <f>IF(ISERROR(FIND('112'!$M$9,G1931,1)),"",IF((AND(LEFT(G1931,2)=LEFT('112'!$M$9,2),B1931&lt;'112'!$K$9,$N1931='112'!$I$6)),"x",""))</f>
        <v/>
      </c>
      <c r="V1931" s="1131" t="str">
        <f>IF(ISERROR(FIND('112'!$M$9,G1931,1)),"",IF((AND(RIGHT(G1931,2)=RIGHT('112'!$M$9,2),B1931&lt;'112'!$K$9,$O1931='112'!$I$6)),"x",""))</f>
        <v/>
      </c>
      <c r="W1931" s="1131" t="str">
        <f>IF(AND('341-CT'!$H$9=H1931,OR(LEFT(N1931,3)=$W$7,LEFT(O1931,3)=$W$7)),"x","")</f>
        <v/>
      </c>
      <c r="X1931" s="1131" t="str">
        <f>IF(OR(TH!N1931=TH!$X$7,O1931=TH!$X$7),"x","")</f>
        <v/>
      </c>
      <c r="Y1931" s="1131" t="str">
        <f>IF(AND(OR(N1931="131",O1931="131"),H1931='131-CT'!$H$9),"x","")</f>
        <v/>
      </c>
      <c r="Z1931" s="1131"/>
      <c r="AA1931" s="1131" t="str">
        <f>IF(AND(MONTH(E1931)='IN-NX'!$J$5,'IN-NX'!$D$7=D1931),"x","")</f>
        <v/>
      </c>
      <c r="AB1931" s="1131" t="str">
        <f>IF(AND(OR(LEFT(TH!N1931,2)="15",LEFT(TH!O1931,2)="15"),LEFT(TH!O1931,3)&lt;&gt;"111",'152-CT'!$J$8=TH!F1931),"x","")</f>
        <v/>
      </c>
      <c r="AC1931" s="1131" t="str">
        <f>IF(AND(OR(LEFT(TH!N1931,2)="15",LEFT(TH!O1931,2)="15"),TK!$E$7=TH!F1931),"x","")</f>
        <v/>
      </c>
      <c r="AD1931" s="1131" t="str">
        <f>IF(AND(N1931="1521",MONTH(C1931)='BK-NL'!$M$11),"x","")</f>
        <v/>
      </c>
    </row>
    <row r="1932" spans="1:32" s="347" customFormat="1" ht="15.75" hidden="1" customHeight="1">
      <c r="A1932" s="1176" t="str">
        <f>IF(B1932&lt;&gt;"",IF(AND(B1932='IN-TC'!$S$4,OR(TH!N1929="1111",TH!O1929="1111")),TH!D1929,""),"")</f>
        <v/>
      </c>
      <c r="B1932" s="1003">
        <f t="shared" ref="B1932:B1965" si="259">IF(C1932&lt;&gt;"",MONTH(C1932),"")</f>
        <v>7</v>
      </c>
      <c r="C1932" s="80">
        <v>42582</v>
      </c>
      <c r="D1932" s="80" t="s">
        <v>582</v>
      </c>
      <c r="E1932" s="80">
        <v>42538</v>
      </c>
      <c r="F1932" s="82" t="s">
        <v>1507</v>
      </c>
      <c r="G1932" s="985" t="s">
        <v>2003</v>
      </c>
      <c r="H1932" s="82" t="s">
        <v>1780</v>
      </c>
      <c r="I1932" s="437"/>
      <c r="J1932" s="437"/>
      <c r="K1932" s="428"/>
      <c r="L1932" s="437"/>
      <c r="M1932" s="83">
        <v>7815500</v>
      </c>
      <c r="N1932" s="84" t="s">
        <v>591</v>
      </c>
      <c r="O1932" s="84" t="s">
        <v>8</v>
      </c>
      <c r="P1932" s="84" t="str">
        <f>IF(AND('331-CT'!$E$7=TH!H1929,OR(N1932="331",O1932="331")),"x","")</f>
        <v/>
      </c>
      <c r="Q1932" s="84" t="str">
        <f>IF(AND(B1932='111'!$L$11,OR($N1932=$Q$7,$O1932=$Q$7)),"x","")</f>
        <v/>
      </c>
      <c r="R1932" s="84" t="str">
        <f>IF(AND($N1932=$Q$7,$B1932&lt;'111'!$L$11),"x","")</f>
        <v/>
      </c>
      <c r="S1932" s="84" t="str">
        <f>IF(AND($O1932=$Q$7,$B1932&lt;'111'!$L$11),"x","")</f>
        <v/>
      </c>
      <c r="T1932" s="84" t="str">
        <f>IF(ISERROR(FIND('112'!$M$9,G1932,1)),"",IF((AND(FIND('112'!$M$9,G1932,1)&gt;=1,B1932='112'!$K$9,OR($N1932='112'!$I$6,$O1932='112'!$I$6))),"x",""))</f>
        <v/>
      </c>
      <c r="U1932" s="84" t="str">
        <f>IF(ISERROR(FIND('112'!$M$9,G1932,1)),"",IF((AND(LEFT(G1932,2)=LEFT('112'!$M$9,2),B1932&lt;'112'!$K$9,$N1932='112'!$I$6)),"x",""))</f>
        <v/>
      </c>
      <c r="V1932" s="84" t="str">
        <f>IF(ISERROR(FIND('112'!$M$9,G1932,1)),"",IF((AND(RIGHT(G1932,2)=RIGHT('112'!$M$9,2),B1932&lt;'112'!$K$9,$O1932='112'!$I$6)),"x",""))</f>
        <v/>
      </c>
      <c r="W1932" s="84" t="str">
        <f>IF(AND('341-CT'!$H$9=H1932,OR(LEFT(N1932,3)=$W$7,LEFT(O1932,3)=$W$7)),"x","")</f>
        <v/>
      </c>
      <c r="X1932" s="84" t="str">
        <f>IF(OR(TH!N1929=TH!$X$7,O1932=TH!$X$7),"x","")</f>
        <v/>
      </c>
      <c r="Y1932" s="84" t="str">
        <f>IF(AND(OR(N1932="131",O1932="131"),H1932='131-CT'!$H$9),"x","")</f>
        <v/>
      </c>
      <c r="Z1932" s="84"/>
      <c r="AA1932" s="84" t="str">
        <f>IF(AND(MONTH(E1932)='IN-NX'!$J$5,'IN-NX'!$D$7=D1932),"x","")</f>
        <v/>
      </c>
      <c r="AB1932" s="84" t="str">
        <f>IF(AND(OR(LEFT(TH!N1929,2)="15",LEFT(TH!O1929,2)="15"),LEFT(TH!O1929,3)&lt;&gt;"111",'152-CT'!$J$8=TH!F1929),"x","")</f>
        <v/>
      </c>
      <c r="AC1932" s="84" t="str">
        <f>IF(AND(OR(LEFT(TH!N1929,2)="15",LEFT(TH!O1929,2)="15"),TK!$E$7=TH!F1929),"x","")</f>
        <v/>
      </c>
      <c r="AD1932" s="84" t="str">
        <f>IF(AND(N1932="1521",MONTH(C1932)='BK-NL'!$M$11),"x","")</f>
        <v/>
      </c>
      <c r="AE1932" s="343" t="str">
        <f t="shared" ref="AE1932:AE1961" si="260">IF(H1932&lt;&gt;VLOOKUP(H1932,DSKH,1,0),"","x")</f>
        <v>x</v>
      </c>
      <c r="AF1932" s="330">
        <v>7</v>
      </c>
    </row>
    <row r="1933" spans="1:32" s="347" customFormat="1" ht="15.75" hidden="1" customHeight="1">
      <c r="A1933" s="1176" t="str">
        <f>IF(B1933&lt;&gt;"",IF(AND(B1933='IN-TC'!$S$4,OR(TH!N1930="1111",TH!O1930="1111")),TH!D1930,""),"")</f>
        <v/>
      </c>
      <c r="B1933" s="1003">
        <f t="shared" si="259"/>
        <v>7</v>
      </c>
      <c r="C1933" s="80">
        <v>42582</v>
      </c>
      <c r="D1933" s="80" t="s">
        <v>582</v>
      </c>
      <c r="E1933" s="80">
        <v>42538</v>
      </c>
      <c r="F1933" s="82" t="s">
        <v>1597</v>
      </c>
      <c r="G1933" s="985" t="s">
        <v>2004</v>
      </c>
      <c r="H1933" s="82" t="s">
        <v>1780</v>
      </c>
      <c r="I1933" s="437"/>
      <c r="J1933" s="437"/>
      <c r="K1933" s="428"/>
      <c r="L1933" s="437"/>
      <c r="M1933" s="83">
        <v>3669890</v>
      </c>
      <c r="N1933" s="84" t="s">
        <v>591</v>
      </c>
      <c r="O1933" s="84" t="s">
        <v>8</v>
      </c>
      <c r="P1933" s="84" t="str">
        <f>IF(AND('331-CT'!$E$7=TH!H1930,OR(N1933="331",O1933="331")),"x","")</f>
        <v/>
      </c>
      <c r="Q1933" s="84" t="str">
        <f>IF(AND(B1933='111'!$L$11,OR($N1933=$Q$7,$O1933=$Q$7)),"x","")</f>
        <v/>
      </c>
      <c r="R1933" s="84" t="str">
        <f>IF(AND($N1933=$Q$7,$B1933&lt;'111'!$L$11),"x","")</f>
        <v/>
      </c>
      <c r="S1933" s="84" t="str">
        <f>IF(AND($O1933=$Q$7,$B1933&lt;'111'!$L$11),"x","")</f>
        <v/>
      </c>
      <c r="T1933" s="84" t="str">
        <f>IF(ISERROR(FIND('112'!$M$9,G1933,1)),"",IF((AND(FIND('112'!$M$9,G1933,1)&gt;=1,B1933='112'!$K$9,OR($N1933='112'!$I$6,$O1933='112'!$I$6))),"x",""))</f>
        <v/>
      </c>
      <c r="U1933" s="84" t="str">
        <f>IF(ISERROR(FIND('112'!$M$9,G1933,1)),"",IF((AND(LEFT(G1933,2)=LEFT('112'!$M$9,2),B1933&lt;'112'!$K$9,$N1933='112'!$I$6)),"x",""))</f>
        <v/>
      </c>
      <c r="V1933" s="84" t="str">
        <f>IF(ISERROR(FIND('112'!$M$9,G1933,1)),"",IF((AND(RIGHT(G1933,2)=RIGHT('112'!$M$9,2),B1933&lt;'112'!$K$9,$O1933='112'!$I$6)),"x",""))</f>
        <v/>
      </c>
      <c r="W1933" s="84" t="str">
        <f>IF(AND('341-CT'!$H$9=H1933,OR(LEFT(N1933,3)=$W$7,LEFT(O1933,3)=$W$7)),"x","")</f>
        <v/>
      </c>
      <c r="X1933" s="84" t="str">
        <f>IF(OR(TH!N1930=TH!$X$7,O1933=TH!$X$7),"x","")</f>
        <v/>
      </c>
      <c r="Y1933" s="84" t="str">
        <f>IF(AND(OR(N1933="131",O1933="131"),H1933='131-CT'!$H$9),"x","")</f>
        <v/>
      </c>
      <c r="Z1933" s="84"/>
      <c r="AA1933" s="84" t="str">
        <f>IF(AND(MONTH(E1933)='IN-NX'!$J$5,'IN-NX'!$D$7=D1933),"x","")</f>
        <v/>
      </c>
      <c r="AB1933" s="84" t="str">
        <f>IF(AND(OR(LEFT(TH!N1930,2)="15",LEFT(TH!O1930,2)="15"),LEFT(TH!O1930,3)&lt;&gt;"111",'152-CT'!$J$8=TH!F1930),"x","")</f>
        <v/>
      </c>
      <c r="AC1933" s="84" t="str">
        <f>IF(AND(OR(LEFT(TH!N1930,2)="15",LEFT(TH!O1930,2)="15"),TK!$E$7=TH!F1930),"x","")</f>
        <v/>
      </c>
      <c r="AD1933" s="84" t="str">
        <f>IF(AND(N1933="1521",MONTH(C1933)='BK-NL'!$M$11),"x","")</f>
        <v/>
      </c>
      <c r="AE1933" s="343" t="str">
        <f t="shared" si="260"/>
        <v>x</v>
      </c>
      <c r="AF1933" s="330">
        <v>7</v>
      </c>
    </row>
    <row r="1934" spans="1:32" s="347" customFormat="1" ht="15.75" hidden="1" customHeight="1">
      <c r="A1934" s="1176" t="str">
        <f>IF(B1934&lt;&gt;"",IF(AND(B1934='IN-TC'!$S$4,OR(TH!N1932="1111",TH!O1932="1111")),TH!D1932,""),"")</f>
        <v/>
      </c>
      <c r="B1934" s="1003">
        <f t="shared" si="259"/>
        <v>7</v>
      </c>
      <c r="C1934" s="80">
        <v>42582</v>
      </c>
      <c r="D1934" s="80" t="s">
        <v>582</v>
      </c>
      <c r="E1934" s="80">
        <v>42538</v>
      </c>
      <c r="F1934" s="82" t="s">
        <v>1598</v>
      </c>
      <c r="G1934" s="985" t="s">
        <v>2004</v>
      </c>
      <c r="H1934" s="82" t="s">
        <v>1780</v>
      </c>
      <c r="I1934" s="437"/>
      <c r="J1934" s="437"/>
      <c r="K1934" s="428"/>
      <c r="L1934" s="437"/>
      <c r="M1934" s="83">
        <v>366989</v>
      </c>
      <c r="N1934" s="84" t="s">
        <v>9</v>
      </c>
      <c r="O1934" s="84" t="s">
        <v>8</v>
      </c>
      <c r="P1934" s="84" t="str">
        <f>IF(AND('331-CT'!$E$7=TH!H1932,OR(N1934="331",O1934="331")),"x","")</f>
        <v/>
      </c>
      <c r="Q1934" s="84" t="str">
        <f>IF(AND(B1934='111'!$L$11,OR($N1934=$Q$7,$O1934=$Q$7)),"x","")</f>
        <v/>
      </c>
      <c r="R1934" s="84" t="str">
        <f>IF(AND($N1934=$Q$7,$B1934&lt;'111'!$L$11),"x","")</f>
        <v/>
      </c>
      <c r="S1934" s="84" t="str">
        <f>IF(AND($O1934=$Q$7,$B1934&lt;'111'!$L$11),"x","")</f>
        <v/>
      </c>
      <c r="T1934" s="84" t="str">
        <f>IF(ISERROR(FIND('112'!$M$9,G1934,1)),"",IF((AND(FIND('112'!$M$9,G1934,1)&gt;=1,B1934='112'!$K$9,OR($N1934='112'!$I$6,$O1934='112'!$I$6))),"x",""))</f>
        <v/>
      </c>
      <c r="U1934" s="84" t="str">
        <f>IF(ISERROR(FIND('112'!$M$9,G1934,1)),"",IF((AND(LEFT(G1934,2)=LEFT('112'!$M$9,2),B1934&lt;'112'!$K$9,$N1934='112'!$I$6)),"x",""))</f>
        <v/>
      </c>
      <c r="V1934" s="84" t="str">
        <f>IF(ISERROR(FIND('112'!$M$9,G1934,1)),"",IF((AND(RIGHT(G1934,2)=RIGHT('112'!$M$9,2),B1934&lt;'112'!$K$9,$O1934='112'!$I$6)),"x",""))</f>
        <v/>
      </c>
      <c r="W1934" s="84" t="str">
        <f>IF(AND('341-CT'!$H$9=H1934,OR(LEFT(N1934,3)=$W$7,LEFT(O1934,3)=$W$7)),"x","")</f>
        <v/>
      </c>
      <c r="X1934" s="84" t="str">
        <f>IF(OR(TH!N1932=TH!$X$7,O1934=TH!$X$7),"x","")</f>
        <v/>
      </c>
      <c r="Y1934" s="84" t="str">
        <f>IF(AND(OR(N1934="131",O1934="131"),H1934='131-CT'!$H$9),"x","")</f>
        <v/>
      </c>
      <c r="Z1934" s="84"/>
      <c r="AA1934" s="84" t="str">
        <f>IF(AND(MONTH(E1934)='IN-NX'!$J$5,'IN-NX'!$D$7=D1934),"x","")</f>
        <v/>
      </c>
      <c r="AB1934" s="84" t="str">
        <f>IF(AND(OR(LEFT(TH!N1932,2)="15",LEFT(TH!O1932,2)="15"),LEFT(TH!O1932,3)&lt;&gt;"111",'152-CT'!$J$8=TH!F1932),"x","")</f>
        <v/>
      </c>
      <c r="AC1934" s="84" t="str">
        <f>IF(AND(OR(LEFT(TH!N1932,2)="15",LEFT(TH!O1932,2)="15"),TK!$E$7=TH!F1932),"x","")</f>
        <v/>
      </c>
      <c r="AD1934" s="84" t="str">
        <f>IF(AND(N1934="1521",MONTH(C1934)='BK-NL'!$M$11),"x","")</f>
        <v/>
      </c>
      <c r="AE1934" s="343" t="str">
        <f t="shared" si="260"/>
        <v>x</v>
      </c>
      <c r="AF1934" s="330">
        <v>7</v>
      </c>
    </row>
    <row r="1935" spans="1:32" s="347" customFormat="1" ht="15.75" hidden="1" customHeight="1">
      <c r="A1935" s="1176" t="str">
        <f>IF(B1935&lt;&gt;"",IF(AND(B1935='IN-TC'!$S$4,OR(TH!N1931="1111",TH!O1931="1111")),TH!D1931,""),"")</f>
        <v/>
      </c>
      <c r="B1935" s="1003">
        <f t="shared" si="259"/>
        <v>7</v>
      </c>
      <c r="C1935" s="80">
        <v>42582</v>
      </c>
      <c r="D1935" s="80" t="s">
        <v>582</v>
      </c>
      <c r="E1935" s="80">
        <v>42551</v>
      </c>
      <c r="F1935" s="81" t="s">
        <v>1853</v>
      </c>
      <c r="G1935" s="985" t="s">
        <v>2002</v>
      </c>
      <c r="H1935" s="82" t="s">
        <v>1385</v>
      </c>
      <c r="I1935" s="437"/>
      <c r="J1935" s="437"/>
      <c r="K1935" s="428"/>
      <c r="L1935" s="437"/>
      <c r="M1935" s="83">
        <v>7787298</v>
      </c>
      <c r="N1935" s="84" t="s">
        <v>101</v>
      </c>
      <c r="O1935" s="84" t="s">
        <v>8</v>
      </c>
      <c r="P1935" s="84" t="str">
        <f>IF(AND('331-CT'!$E$7=TH!H1931,OR(N1935="331",O1935="331")),"x","")</f>
        <v/>
      </c>
      <c r="Q1935" s="84" t="str">
        <f>IF(AND(B1935='111'!$L$11,OR($N1935=$Q$7,$O1935=$Q$7)),"x","")</f>
        <v/>
      </c>
      <c r="R1935" s="84" t="str">
        <f>IF(AND($N1935=$Q$7,$B1935&lt;'111'!$L$11),"x","")</f>
        <v/>
      </c>
      <c r="S1935" s="84" t="str">
        <f>IF(AND($O1935=$Q$7,$B1935&lt;'111'!$L$11),"x","")</f>
        <v/>
      </c>
      <c r="T1935" s="84" t="str">
        <f>IF(ISERROR(FIND('112'!$M$9,G1935,1)),"",IF((AND(FIND('112'!$M$9,G1935,1)&gt;=1,B1935='112'!$K$9,OR($N1935='112'!$I$6,$O1935='112'!$I$6))),"x",""))</f>
        <v/>
      </c>
      <c r="U1935" s="84" t="str">
        <f>IF(ISERROR(FIND('112'!$M$9,G1935,1)),"",IF((AND(LEFT(G1935,2)=LEFT('112'!$M$9,2),B1935&lt;'112'!$K$9,$N1935='112'!$I$6)),"x",""))</f>
        <v/>
      </c>
      <c r="V1935" s="84" t="str">
        <f>IF(ISERROR(FIND('112'!$M$9,G1935,1)),"",IF((AND(RIGHT(G1935,2)=RIGHT('112'!$M$9,2),B1935&lt;'112'!$K$9,$O1935='112'!$I$6)),"x",""))</f>
        <v/>
      </c>
      <c r="W1935" s="84" t="str">
        <f>IF(AND('341-CT'!$H$9=H1935,OR(LEFT(N1935,3)=$W$7,LEFT(O1935,3)=$W$7)),"x","")</f>
        <v/>
      </c>
      <c r="X1935" s="84" t="str">
        <f>IF(OR(TH!N1931=TH!$X$7,O1935=TH!$X$7),"x","")</f>
        <v/>
      </c>
      <c r="Y1935" s="84" t="str">
        <f>IF(AND(OR(N1935="131",O1935="131"),H1935='131-CT'!$H$9),"x","")</f>
        <v/>
      </c>
      <c r="Z1935" s="84"/>
      <c r="AA1935" s="84" t="str">
        <f>IF(AND(MONTH(E1935)='IN-NX'!$J$5,'IN-NX'!$D$7=D1935),"x","")</f>
        <v/>
      </c>
      <c r="AB1935" s="84" t="str">
        <f>IF(AND(OR(LEFT(TH!N1931,2)="15",LEFT(TH!O1931,2)="15"),LEFT(TH!O1931,3)&lt;&gt;"111",'152-CT'!$J$8=TH!F1931),"x","")</f>
        <v/>
      </c>
      <c r="AC1935" s="84" t="str">
        <f>IF(AND(OR(LEFT(TH!N1931,2)="15",LEFT(TH!O1931,2)="15"),TK!$E$7=TH!F1931),"x","")</f>
        <v/>
      </c>
      <c r="AD1935" s="84" t="str">
        <f>IF(AND(N1935="1521",MONTH(C1935)='BK-NL'!$M$11),"x","")</f>
        <v/>
      </c>
      <c r="AE1935" s="343" t="str">
        <f t="shared" si="260"/>
        <v>x</v>
      </c>
      <c r="AF1935" s="330">
        <v>7</v>
      </c>
    </row>
    <row r="1936" spans="1:32" s="347" customFormat="1" ht="15.75" hidden="1" customHeight="1">
      <c r="A1936" s="1176" t="str">
        <f>IF(B1936&lt;&gt;"",IF(AND(B1936='IN-TC'!$S$4,OR(TH!N1935="1111",TH!O1935="1111")),TH!D1935,""),"")</f>
        <v/>
      </c>
      <c r="B1936" s="1003">
        <f t="shared" si="259"/>
        <v>7</v>
      </c>
      <c r="C1936" s="80">
        <v>42582</v>
      </c>
      <c r="D1936" s="80" t="s">
        <v>582</v>
      </c>
      <c r="E1936" s="80">
        <v>42551</v>
      </c>
      <c r="F1936" s="81" t="s">
        <v>1854</v>
      </c>
      <c r="G1936" s="985" t="s">
        <v>2002</v>
      </c>
      <c r="H1936" s="82" t="s">
        <v>1385</v>
      </c>
      <c r="I1936" s="437"/>
      <c r="J1936" s="437"/>
      <c r="K1936" s="428"/>
      <c r="L1936" s="437"/>
      <c r="M1936" s="83">
        <v>517877</v>
      </c>
      <c r="N1936" s="84" t="s">
        <v>9</v>
      </c>
      <c r="O1936" s="84" t="s">
        <v>8</v>
      </c>
      <c r="P1936" s="84" t="str">
        <f>IF(AND('331-CT'!$E$7=TH!H1935,OR(N1936="331",O1936="331")),"x","")</f>
        <v/>
      </c>
      <c r="Q1936" s="84" t="str">
        <f>IF(AND(B1936='111'!$L$11,OR($N1936=$Q$7,$O1936=$Q$7)),"x","")</f>
        <v/>
      </c>
      <c r="R1936" s="84" t="str">
        <f>IF(AND($N1936=$Q$7,$B1936&lt;'111'!$L$11),"x","")</f>
        <v/>
      </c>
      <c r="S1936" s="84" t="str">
        <f>IF(AND($O1936=$Q$7,$B1936&lt;'111'!$L$11),"x","")</f>
        <v/>
      </c>
      <c r="T1936" s="84" t="str">
        <f>IF(ISERROR(FIND('112'!$M$9,G1936,1)),"",IF((AND(FIND('112'!$M$9,G1936,1)&gt;=1,B1936='112'!$K$9,OR($N1936='112'!$I$6,$O1936='112'!$I$6))),"x",""))</f>
        <v/>
      </c>
      <c r="U1936" s="84" t="str">
        <f>IF(ISERROR(FIND('112'!$M$9,G1936,1)),"",IF((AND(LEFT(G1936,2)=LEFT('112'!$M$9,2),B1936&lt;'112'!$K$9,$N1936='112'!$I$6)),"x",""))</f>
        <v/>
      </c>
      <c r="V1936" s="84" t="str">
        <f>IF(ISERROR(FIND('112'!$M$9,G1936,1)),"",IF((AND(RIGHT(G1936,2)=RIGHT('112'!$M$9,2),B1936&lt;'112'!$K$9,$O1936='112'!$I$6)),"x",""))</f>
        <v/>
      </c>
      <c r="W1936" s="84" t="str">
        <f>IF(AND('341-CT'!$H$9=H1936,OR(LEFT(N1936,3)=$W$7,LEFT(O1936,3)=$W$7)),"x","")</f>
        <v/>
      </c>
      <c r="X1936" s="84" t="str">
        <f>IF(OR(TH!N1935=TH!$X$7,O1936=TH!$X$7),"x","")</f>
        <v/>
      </c>
      <c r="Y1936" s="84" t="str">
        <f>IF(AND(OR(N1936="131",O1936="131"),H1936='131-CT'!$H$9),"x","")</f>
        <v/>
      </c>
      <c r="Z1936" s="84"/>
      <c r="AA1936" s="84" t="str">
        <f>IF(AND(MONTH(E1936)='IN-NX'!$J$5,'IN-NX'!$D$7=D1936),"x","")</f>
        <v/>
      </c>
      <c r="AB1936" s="84" t="str">
        <f>IF(AND(OR(LEFT(TH!N1935,2)="15",LEFT(TH!O1935,2)="15"),LEFT(TH!O1935,3)&lt;&gt;"111",'152-CT'!$J$8=TH!F1935),"x","")</f>
        <v/>
      </c>
      <c r="AC1936" s="84" t="str">
        <f>IF(AND(OR(LEFT(TH!N1935,2)="15",LEFT(TH!O1935,2)="15"),TK!$E$7=TH!F1935),"x","")</f>
        <v/>
      </c>
      <c r="AD1936" s="84" t="str">
        <f>IF(AND(N1936="1521",MONTH(C1936)='BK-NL'!$M$11),"x","")</f>
        <v/>
      </c>
      <c r="AE1936" s="343" t="str">
        <f t="shared" si="260"/>
        <v>x</v>
      </c>
      <c r="AF1936" s="330">
        <v>7</v>
      </c>
    </row>
    <row r="1937" spans="1:32" s="347" customFormat="1" ht="15.75" hidden="1" customHeight="1">
      <c r="A1937" s="1176" t="str">
        <f>IF(B1937&lt;&gt;"",IF(AND(B1937='IN-TC'!$S$4,OR(TH!N1937="1111",TH!O1937="1111")),TH!D1937,""),"")</f>
        <v/>
      </c>
      <c r="B1937" s="1003">
        <f t="shared" si="259"/>
        <v>7</v>
      </c>
      <c r="C1937" s="80">
        <v>42582</v>
      </c>
      <c r="D1937" s="80" t="s">
        <v>582</v>
      </c>
      <c r="E1937" s="80">
        <v>42552</v>
      </c>
      <c r="F1937" s="81" t="s">
        <v>1754</v>
      </c>
      <c r="G1937" s="985" t="s">
        <v>1080</v>
      </c>
      <c r="H1937" s="82" t="s">
        <v>1756</v>
      </c>
      <c r="I1937" s="437"/>
      <c r="J1937" s="437"/>
      <c r="K1937" s="428"/>
      <c r="L1937" s="437"/>
      <c r="M1937" s="83">
        <v>10681818</v>
      </c>
      <c r="N1937" s="84" t="s">
        <v>101</v>
      </c>
      <c r="O1937" s="84" t="s">
        <v>8</v>
      </c>
      <c r="P1937" s="84" t="str">
        <f>IF(AND('331-CT'!$E$7=TH!H1937,OR(N1937="331",O1937="331")),"x","")</f>
        <v/>
      </c>
      <c r="Q1937" s="84" t="str">
        <f>IF(AND(B1937='111'!$L$11,OR($N1937=$Q$7,$O1937=$Q$7)),"x","")</f>
        <v/>
      </c>
      <c r="R1937" s="84" t="str">
        <f>IF(AND($N1937=$Q$7,$B1937&lt;'111'!$L$11),"x","")</f>
        <v/>
      </c>
      <c r="S1937" s="84" t="str">
        <f>IF(AND($O1937=$Q$7,$B1937&lt;'111'!$L$11),"x","")</f>
        <v/>
      </c>
      <c r="T1937" s="84" t="str">
        <f>IF(ISERROR(FIND('112'!$M$9,G1937,1)),"",IF((AND(FIND('112'!$M$9,G1937,1)&gt;=1,B1937='112'!$K$9,OR($N1937='112'!$I$6,$O1937='112'!$I$6))),"x",""))</f>
        <v/>
      </c>
      <c r="U1937" s="84" t="str">
        <f>IF(ISERROR(FIND('112'!$M$9,G1937,1)),"",IF((AND(LEFT(G1937,2)=LEFT('112'!$M$9,2),B1937&lt;'112'!$K$9,$N1937='112'!$I$6)),"x",""))</f>
        <v/>
      </c>
      <c r="V1937" s="84" t="str">
        <f>IF(ISERROR(FIND('112'!$M$9,G1937,1)),"",IF((AND(RIGHT(G1937,2)=RIGHT('112'!$M$9,2),B1937&lt;'112'!$K$9,$O1937='112'!$I$6)),"x",""))</f>
        <v/>
      </c>
      <c r="W1937" s="84" t="str">
        <f>IF(AND('341-CT'!$H$9=H1937,OR(LEFT(N1937,3)=$W$7,LEFT(O1937,3)=$W$7)),"x","")</f>
        <v/>
      </c>
      <c r="X1937" s="84" t="str">
        <f>IF(OR(TH!N1937=TH!$X$7,O1937=TH!$X$7),"x","")</f>
        <v/>
      </c>
      <c r="Y1937" s="84" t="str">
        <f>IF(AND(OR(N1937="131",O1937="131"),H1937='131-CT'!$H$9),"x","")</f>
        <v/>
      </c>
      <c r="Z1937" s="84"/>
      <c r="AA1937" s="84" t="str">
        <f>IF(AND(MONTH(E1937)='IN-NX'!$J$5,'IN-NX'!$D$7=D1937),"x","")</f>
        <v/>
      </c>
      <c r="AB1937" s="84" t="str">
        <f>IF(AND(OR(LEFT(TH!N1937,2)="15",LEFT(TH!O1937,2)="15"),LEFT(TH!O1937,3)&lt;&gt;"111",'152-CT'!$J$8=TH!F1937),"x","")</f>
        <v/>
      </c>
      <c r="AC1937" s="84" t="str">
        <f>IF(AND(OR(LEFT(TH!N1937,2)="15",LEFT(TH!O1937,2)="15"),TK!$E$7=TH!F1937),"x","")</f>
        <v/>
      </c>
      <c r="AD1937" s="84" t="str">
        <f>IF(AND(N1937="1521",MONTH(C1937)='BK-NL'!$M$11),"x","")</f>
        <v/>
      </c>
      <c r="AE1937" s="343" t="str">
        <f t="shared" si="260"/>
        <v>x</v>
      </c>
      <c r="AF1937" s="330">
        <v>7</v>
      </c>
    </row>
    <row r="1938" spans="1:32" s="347" customFormat="1" ht="15.75" hidden="1" customHeight="1">
      <c r="A1938" s="1176" t="str">
        <f>IF(B1938&lt;&gt;"",IF(AND(B1938='IN-TC'!$S$4,OR(TH!N1938="1111",TH!O1938="1111")),TH!D1938,""),"")</f>
        <v/>
      </c>
      <c r="B1938" s="1003">
        <f t="shared" si="259"/>
        <v>7</v>
      </c>
      <c r="C1938" s="80">
        <v>42582</v>
      </c>
      <c r="D1938" s="80" t="s">
        <v>582</v>
      </c>
      <c r="E1938" s="80">
        <v>42552</v>
      </c>
      <c r="F1938" s="81" t="s">
        <v>1755</v>
      </c>
      <c r="G1938" s="985" t="s">
        <v>1080</v>
      </c>
      <c r="H1938" s="82" t="s">
        <v>1756</v>
      </c>
      <c r="I1938" s="437"/>
      <c r="J1938" s="437"/>
      <c r="K1938" s="428"/>
      <c r="L1938" s="437"/>
      <c r="M1938" s="83">
        <v>1068182</v>
      </c>
      <c r="N1938" s="84" t="s">
        <v>9</v>
      </c>
      <c r="O1938" s="84" t="s">
        <v>8</v>
      </c>
      <c r="P1938" s="84" t="str">
        <f>IF(AND('331-CT'!$E$7=TH!H1938,OR(N1938="331",O1938="331")),"x","")</f>
        <v/>
      </c>
      <c r="Q1938" s="84" t="str">
        <f>IF(AND(B1938='111'!$L$11,OR($N1938=$Q$7,$O1938=$Q$7)),"x","")</f>
        <v/>
      </c>
      <c r="R1938" s="84" t="str">
        <f>IF(AND($N1938=$Q$7,$B1938&lt;'111'!$L$11),"x","")</f>
        <v/>
      </c>
      <c r="S1938" s="84" t="str">
        <f>IF(AND($O1938=$Q$7,$B1938&lt;'111'!$L$11),"x","")</f>
        <v/>
      </c>
      <c r="T1938" s="84" t="str">
        <f>IF(ISERROR(FIND('112'!$M$9,G1938,1)),"",IF((AND(FIND('112'!$M$9,G1938,1)&gt;=1,B1938='112'!$K$9,OR($N1938='112'!$I$6,$O1938='112'!$I$6))),"x",""))</f>
        <v/>
      </c>
      <c r="U1938" s="84" t="str">
        <f>IF(ISERROR(FIND('112'!$M$9,G1938,1)),"",IF((AND(LEFT(G1938,2)=LEFT('112'!$M$9,2),B1938&lt;'112'!$K$9,$N1938='112'!$I$6)),"x",""))</f>
        <v/>
      </c>
      <c r="V1938" s="84" t="str">
        <f>IF(ISERROR(FIND('112'!$M$9,G1938,1)),"",IF((AND(RIGHT(G1938,2)=RIGHT('112'!$M$9,2),B1938&lt;'112'!$K$9,$O1938='112'!$I$6)),"x",""))</f>
        <v/>
      </c>
      <c r="W1938" s="84" t="str">
        <f>IF(AND('341-CT'!$H$9=H1938,OR(LEFT(N1938,3)=$W$7,LEFT(O1938,3)=$W$7)),"x","")</f>
        <v/>
      </c>
      <c r="X1938" s="84" t="str">
        <f>IF(OR(TH!N1938=TH!$X$7,O1938=TH!$X$7),"x","")</f>
        <v/>
      </c>
      <c r="Y1938" s="84" t="str">
        <f>IF(AND(OR(N1938="131",O1938="131"),H1938='131-CT'!$H$9),"x","")</f>
        <v/>
      </c>
      <c r="Z1938" s="84"/>
      <c r="AA1938" s="84" t="str">
        <f>IF(AND(MONTH(E1938)='IN-NX'!$J$5,'IN-NX'!$D$7=D1938),"x","")</f>
        <v/>
      </c>
      <c r="AB1938" s="84" t="str">
        <f>IF(AND(OR(LEFT(TH!N1938,2)="15",LEFT(TH!O1938,2)="15"),LEFT(TH!O1938,3)&lt;&gt;"111",'152-CT'!$J$8=TH!F1938),"x","")</f>
        <v/>
      </c>
      <c r="AC1938" s="84" t="str">
        <f>IF(AND(OR(LEFT(TH!N1938,2)="15",LEFT(TH!O1938,2)="15"),TK!$E$7=TH!F1938),"x","")</f>
        <v/>
      </c>
      <c r="AD1938" s="84" t="str">
        <f>IF(AND(N1938="1521",MONTH(C1938)='BK-NL'!$M$11),"x","")</f>
        <v/>
      </c>
      <c r="AE1938" s="343" t="str">
        <f t="shared" si="260"/>
        <v>x</v>
      </c>
      <c r="AF1938" s="330">
        <v>7</v>
      </c>
    </row>
    <row r="1939" spans="1:32" s="347" customFormat="1" ht="15.75" hidden="1" customHeight="1">
      <c r="A1939" s="1176" t="str">
        <f>IF(B1939&lt;&gt;"",IF(AND(B1939='IN-TC'!$S$4,OR(TH!N1939="1111",TH!O1939="1111")),TH!D1939,""),"")</f>
        <v/>
      </c>
      <c r="B1939" s="1003">
        <f t="shared" si="259"/>
        <v>7</v>
      </c>
      <c r="C1939" s="80">
        <v>42582</v>
      </c>
      <c r="D1939" s="80" t="s">
        <v>582</v>
      </c>
      <c r="E1939" s="80">
        <v>42556</v>
      </c>
      <c r="F1939" s="81" t="s">
        <v>639</v>
      </c>
      <c r="G1939" s="985" t="s">
        <v>1763</v>
      </c>
      <c r="H1939" s="82" t="s">
        <v>630</v>
      </c>
      <c r="I1939" s="437"/>
      <c r="J1939" s="437"/>
      <c r="K1939" s="428"/>
      <c r="L1939" s="437"/>
      <c r="M1939" s="83">
        <v>2000000</v>
      </c>
      <c r="N1939" s="84" t="s">
        <v>591</v>
      </c>
      <c r="O1939" s="84" t="s">
        <v>8</v>
      </c>
      <c r="P1939" s="84" t="str">
        <f>IF(AND('331-CT'!$E$7=TH!H1939,OR(N1939="331",O1939="331")),"x","")</f>
        <v/>
      </c>
      <c r="Q1939" s="84" t="str">
        <f>IF(AND(B1939='111'!$L$11,OR($N1939=$Q$7,$O1939=$Q$7)),"x","")</f>
        <v/>
      </c>
      <c r="R1939" s="84" t="str">
        <f>IF(AND($N1939=$Q$7,$B1939&lt;'111'!$L$11),"x","")</f>
        <v/>
      </c>
      <c r="S1939" s="84" t="str">
        <f>IF(AND($O1939=$Q$7,$B1939&lt;'111'!$L$11),"x","")</f>
        <v/>
      </c>
      <c r="T1939" s="84" t="str">
        <f>IF(ISERROR(FIND('112'!$M$9,G1939,1)),"",IF((AND(FIND('112'!$M$9,G1939,1)&gt;=1,B1939='112'!$K$9,OR($N1939='112'!$I$6,$O1939='112'!$I$6))),"x",""))</f>
        <v/>
      </c>
      <c r="U1939" s="84" t="str">
        <f>IF(ISERROR(FIND('112'!$M$9,G1939,1)),"",IF((AND(LEFT(G1939,2)=LEFT('112'!$M$9,2),B1939&lt;'112'!$K$9,$N1939='112'!$I$6)),"x",""))</f>
        <v/>
      </c>
      <c r="V1939" s="84" t="str">
        <f>IF(ISERROR(FIND('112'!$M$9,G1939,1)),"",IF((AND(RIGHT(G1939,2)=RIGHT('112'!$M$9,2),B1939&lt;'112'!$K$9,$O1939='112'!$I$6)),"x",""))</f>
        <v/>
      </c>
      <c r="W1939" s="84" t="str">
        <f>IF(AND('341-CT'!$H$9=H1939,OR(LEFT(N1939,3)=$W$7,LEFT(O1939,3)=$W$7)),"x","")</f>
        <v/>
      </c>
      <c r="X1939" s="84" t="str">
        <f>IF(OR(TH!N1939=TH!$X$7,O1939=TH!$X$7),"x","")</f>
        <v/>
      </c>
      <c r="Y1939" s="84" t="str">
        <f>IF(AND(OR(N1939="131",O1939="131"),H1939='131-CT'!$H$9),"x","")</f>
        <v/>
      </c>
      <c r="Z1939" s="84"/>
      <c r="AA1939" s="84" t="str">
        <f>IF(AND(MONTH(E1939)='IN-NX'!$J$5,'IN-NX'!$D$7=D1939),"x","")</f>
        <v/>
      </c>
      <c r="AB1939" s="84" t="str">
        <f>IF(AND(OR(LEFT(TH!N1939,2)="15",LEFT(TH!O1939,2)="15"),LEFT(TH!O1939,3)&lt;&gt;"111",'152-CT'!$J$8=TH!F1939),"x","")</f>
        <v/>
      </c>
      <c r="AC1939" s="84" t="str">
        <f>IF(AND(OR(LEFT(TH!N1939,2)="15",LEFT(TH!O1939,2)="15"),TK!$E$7=TH!F1939),"x","")</f>
        <v/>
      </c>
      <c r="AD1939" s="84" t="str">
        <f>IF(AND(N1939="1521",MONTH(C1939)='BK-NL'!$M$11),"x","")</f>
        <v/>
      </c>
      <c r="AE1939" s="343" t="str">
        <f t="shared" si="260"/>
        <v>x</v>
      </c>
      <c r="AF1939" s="330">
        <v>7</v>
      </c>
    </row>
    <row r="1940" spans="1:32" s="347" customFormat="1" ht="15.75" hidden="1" customHeight="1">
      <c r="A1940" s="1176" t="str">
        <f>IF(B1940&lt;&gt;"",IF(AND(B1940='IN-TC'!$S$4,OR(TH!N1940="1111",TH!O1940="1111")),TH!D1940,""),"")</f>
        <v/>
      </c>
      <c r="B1940" s="1003">
        <f t="shared" si="259"/>
        <v>7</v>
      </c>
      <c r="C1940" s="80">
        <v>42582</v>
      </c>
      <c r="D1940" s="80" t="s">
        <v>582</v>
      </c>
      <c r="E1940" s="80">
        <v>42556</v>
      </c>
      <c r="F1940" s="81" t="s">
        <v>640</v>
      </c>
      <c r="G1940" s="985" t="s">
        <v>1763</v>
      </c>
      <c r="H1940" s="82" t="s">
        <v>630</v>
      </c>
      <c r="I1940" s="437"/>
      <c r="J1940" s="437"/>
      <c r="K1940" s="428"/>
      <c r="L1940" s="437"/>
      <c r="M1940" s="83">
        <v>200000</v>
      </c>
      <c r="N1940" s="84" t="s">
        <v>9</v>
      </c>
      <c r="O1940" s="84" t="s">
        <v>8</v>
      </c>
      <c r="P1940" s="84" t="str">
        <f>IF(AND('331-CT'!$E$7=TH!H1940,OR(N1940="331",O1940="331")),"x","")</f>
        <v/>
      </c>
      <c r="Q1940" s="84" t="str">
        <f>IF(AND(B1940='111'!$L$11,OR($N1940=$Q$7,$O1940=$Q$7)),"x","")</f>
        <v/>
      </c>
      <c r="R1940" s="84" t="str">
        <f>IF(AND($N1940=$Q$7,$B1940&lt;'111'!$L$11),"x","")</f>
        <v/>
      </c>
      <c r="S1940" s="84" t="str">
        <f>IF(AND($O1940=$Q$7,$B1940&lt;'111'!$L$11),"x","")</f>
        <v/>
      </c>
      <c r="T1940" s="84" t="str">
        <f>IF(ISERROR(FIND('112'!$M$9,G1940,1)),"",IF((AND(FIND('112'!$M$9,G1940,1)&gt;=1,B1940='112'!$K$9,OR($N1940='112'!$I$6,$O1940='112'!$I$6))),"x",""))</f>
        <v/>
      </c>
      <c r="U1940" s="84" t="str">
        <f>IF(ISERROR(FIND('112'!$M$9,G1940,1)),"",IF((AND(LEFT(G1940,2)=LEFT('112'!$M$9,2),B1940&lt;'112'!$K$9,$N1940='112'!$I$6)),"x",""))</f>
        <v/>
      </c>
      <c r="V1940" s="84" t="str">
        <f>IF(ISERROR(FIND('112'!$M$9,G1940,1)),"",IF((AND(RIGHT(G1940,2)=RIGHT('112'!$M$9,2),B1940&lt;'112'!$K$9,$O1940='112'!$I$6)),"x",""))</f>
        <v/>
      </c>
      <c r="W1940" s="84" t="str">
        <f>IF(AND('341-CT'!$H$9=H1940,OR(LEFT(N1940,3)=$W$7,LEFT(O1940,3)=$W$7)),"x","")</f>
        <v/>
      </c>
      <c r="X1940" s="84" t="str">
        <f>IF(OR(TH!N1940=TH!$X$7,O1940=TH!$X$7),"x","")</f>
        <v/>
      </c>
      <c r="Y1940" s="84" t="str">
        <f>IF(AND(OR(N1940="131",O1940="131"),H1940='131-CT'!$H$9),"x","")</f>
        <v/>
      </c>
      <c r="Z1940" s="84"/>
      <c r="AA1940" s="84" t="str">
        <f>IF(AND(MONTH(E1940)='IN-NX'!$J$5,'IN-NX'!$D$7=D1940),"x","")</f>
        <v/>
      </c>
      <c r="AB1940" s="84" t="str">
        <f>IF(AND(OR(LEFT(TH!N1940,2)="15",LEFT(TH!O1940,2)="15"),LEFT(TH!O1940,3)&lt;&gt;"111",'152-CT'!$J$8=TH!F1940),"x","")</f>
        <v/>
      </c>
      <c r="AC1940" s="84" t="str">
        <f>IF(AND(OR(LEFT(TH!N1940,2)="15",LEFT(TH!O1940,2)="15"),TK!$E$7=TH!F1940),"x","")</f>
        <v/>
      </c>
      <c r="AD1940" s="84" t="str">
        <f>IF(AND(N1940="1521",MONTH(C1940)='BK-NL'!$M$11),"x","")</f>
        <v/>
      </c>
      <c r="AE1940" s="343" t="str">
        <f t="shared" si="260"/>
        <v>x</v>
      </c>
      <c r="AF1940" s="330">
        <v>7</v>
      </c>
    </row>
    <row r="1941" spans="1:32" s="347" customFormat="1" ht="15.75" hidden="1" customHeight="1">
      <c r="A1941" s="1176" t="str">
        <f>IF(B1941&lt;&gt;"",IF(AND(B1941='IN-TC'!$S$4,OR(TH!N1941="1111",TH!O1941="1111")),TH!D1941,""),"")</f>
        <v/>
      </c>
      <c r="B1941" s="1003">
        <f t="shared" si="259"/>
        <v>7</v>
      </c>
      <c r="C1941" s="80">
        <v>42582</v>
      </c>
      <c r="D1941" s="80" t="s">
        <v>582</v>
      </c>
      <c r="E1941" s="80">
        <v>42557</v>
      </c>
      <c r="F1941" s="81" t="s">
        <v>1766</v>
      </c>
      <c r="G1941" s="985" t="s">
        <v>1768</v>
      </c>
      <c r="H1941" s="82" t="s">
        <v>632</v>
      </c>
      <c r="I1941" s="437"/>
      <c r="J1941" s="437"/>
      <c r="K1941" s="428"/>
      <c r="L1941" s="437"/>
      <c r="M1941" s="83">
        <v>18881700</v>
      </c>
      <c r="N1941" s="84" t="s">
        <v>282</v>
      </c>
      <c r="O1941" s="84" t="s">
        <v>8</v>
      </c>
      <c r="P1941" s="84" t="str">
        <f>IF(AND('331-CT'!$E$7=TH!H1941,OR(N1941="331",O1941="331")),"x","")</f>
        <v/>
      </c>
      <c r="Q1941" s="84" t="str">
        <f>IF(AND(B1941='111'!$L$11,OR($N1941=$Q$7,$O1941=$Q$7)),"x","")</f>
        <v/>
      </c>
      <c r="R1941" s="84" t="str">
        <f>IF(AND($N1941=$Q$7,$B1941&lt;'111'!$L$11),"x","")</f>
        <v/>
      </c>
      <c r="S1941" s="84" t="str">
        <f>IF(AND($O1941=$Q$7,$B1941&lt;'111'!$L$11),"x","")</f>
        <v/>
      </c>
      <c r="T1941" s="84" t="str">
        <f>IF(ISERROR(FIND('112'!$M$9,G1941,1)),"",IF((AND(FIND('112'!$M$9,G1941,1)&gt;=1,B1941='112'!$K$9,OR($N1941='112'!$I$6,$O1941='112'!$I$6))),"x",""))</f>
        <v/>
      </c>
      <c r="U1941" s="84" t="str">
        <f>IF(ISERROR(FIND('112'!$M$9,G1941,1)),"",IF((AND(LEFT(G1941,2)=LEFT('112'!$M$9,2),B1941&lt;'112'!$K$9,$N1941='112'!$I$6)),"x",""))</f>
        <v/>
      </c>
      <c r="V1941" s="84" t="str">
        <f>IF(ISERROR(FIND('112'!$M$9,G1941,1)),"",IF((AND(RIGHT(G1941,2)=RIGHT('112'!$M$9,2),B1941&lt;'112'!$K$9,$O1941='112'!$I$6)),"x",""))</f>
        <v/>
      </c>
      <c r="W1941" s="84" t="str">
        <f>IF(AND('341-CT'!$H$9=H1941,OR(LEFT(N1941,3)=$W$7,LEFT(O1941,3)=$W$7)),"x","")</f>
        <v/>
      </c>
      <c r="X1941" s="84" t="str">
        <f>IF(OR(TH!N1941=TH!$X$7,O1941=TH!$X$7),"x","")</f>
        <v/>
      </c>
      <c r="Y1941" s="84" t="str">
        <f>IF(AND(OR(N1941="131",O1941="131"),H1941='131-CT'!$H$9),"x","")</f>
        <v/>
      </c>
      <c r="Z1941" s="84"/>
      <c r="AA1941" s="84" t="str">
        <f>IF(AND(MONTH(E1941)='IN-NX'!$J$5,'IN-NX'!$D$7=D1941),"x","")</f>
        <v/>
      </c>
      <c r="AB1941" s="84" t="str">
        <f>IF(AND(OR(LEFT(TH!N1941,2)="15",LEFT(TH!O1941,2)="15"),LEFT(TH!O1941,3)&lt;&gt;"111",'152-CT'!$J$8=TH!F1941),"x","")</f>
        <v/>
      </c>
      <c r="AC1941" s="84" t="str">
        <f>IF(AND(OR(LEFT(TH!N1941,2)="15",LEFT(TH!O1941,2)="15"),TK!$E$7=TH!F1941),"x","")</f>
        <v/>
      </c>
      <c r="AD1941" s="84" t="str">
        <f>IF(AND(N1941="1521",MONTH(C1941)='BK-NL'!$M$11),"x","")</f>
        <v/>
      </c>
      <c r="AE1941" s="343" t="str">
        <f t="shared" si="260"/>
        <v>x</v>
      </c>
      <c r="AF1941" s="330">
        <v>7</v>
      </c>
    </row>
    <row r="1942" spans="1:32" s="347" customFormat="1" ht="15.75" hidden="1" customHeight="1">
      <c r="A1942" s="1176" t="str">
        <f>IF(B1942&lt;&gt;"",IF(AND(B1942='IN-TC'!$S$4,OR(TH!N1942="1111",TH!O1942="1111")),TH!D1942,""),"")</f>
        <v/>
      </c>
      <c r="B1942" s="1003">
        <f t="shared" si="259"/>
        <v>7</v>
      </c>
      <c r="C1942" s="80">
        <v>42582</v>
      </c>
      <c r="D1942" s="80" t="s">
        <v>582</v>
      </c>
      <c r="E1942" s="80">
        <v>42557</v>
      </c>
      <c r="F1942" s="81" t="s">
        <v>1767</v>
      </c>
      <c r="G1942" s="985" t="s">
        <v>1768</v>
      </c>
      <c r="H1942" s="82" t="s">
        <v>632</v>
      </c>
      <c r="I1942" s="437"/>
      <c r="J1942" s="437"/>
      <c r="K1942" s="428"/>
      <c r="L1942" s="437"/>
      <c r="M1942" s="83">
        <v>1888170</v>
      </c>
      <c r="N1942" s="84" t="s">
        <v>9</v>
      </c>
      <c r="O1942" s="84" t="s">
        <v>8</v>
      </c>
      <c r="P1942" s="84" t="str">
        <f>IF(AND('331-CT'!$E$7=TH!H1942,OR(N1942="331",O1942="331")),"x","")</f>
        <v/>
      </c>
      <c r="Q1942" s="84" t="str">
        <f>IF(AND(B1942='111'!$L$11,OR($N1942=$Q$7,$O1942=$Q$7)),"x","")</f>
        <v/>
      </c>
      <c r="R1942" s="84" t="str">
        <f>IF(AND($N1942=$Q$7,$B1942&lt;'111'!$L$11),"x","")</f>
        <v/>
      </c>
      <c r="S1942" s="84" t="str">
        <f>IF(AND($O1942=$Q$7,$B1942&lt;'111'!$L$11),"x","")</f>
        <v/>
      </c>
      <c r="T1942" s="84" t="str">
        <f>IF(ISERROR(FIND('112'!$M$9,G1942,1)),"",IF((AND(FIND('112'!$M$9,G1942,1)&gt;=1,B1942='112'!$K$9,OR($N1942='112'!$I$6,$O1942='112'!$I$6))),"x",""))</f>
        <v/>
      </c>
      <c r="U1942" s="84" t="str">
        <f>IF(ISERROR(FIND('112'!$M$9,G1942,1)),"",IF((AND(LEFT(G1942,2)=LEFT('112'!$M$9,2),B1942&lt;'112'!$K$9,$N1942='112'!$I$6)),"x",""))</f>
        <v/>
      </c>
      <c r="V1942" s="84" t="str">
        <f>IF(ISERROR(FIND('112'!$M$9,G1942,1)),"",IF((AND(RIGHT(G1942,2)=RIGHT('112'!$M$9,2),B1942&lt;'112'!$K$9,$O1942='112'!$I$6)),"x",""))</f>
        <v/>
      </c>
      <c r="W1942" s="84" t="str">
        <f>IF(AND('341-CT'!$H$9=H1942,OR(LEFT(N1942,3)=$W$7,LEFT(O1942,3)=$W$7)),"x","")</f>
        <v/>
      </c>
      <c r="X1942" s="84" t="str">
        <f>IF(OR(TH!N1942=TH!$X$7,O1942=TH!$X$7),"x","")</f>
        <v/>
      </c>
      <c r="Y1942" s="84" t="str">
        <f>IF(AND(OR(N1942="131",O1942="131"),H1942='131-CT'!$H$9),"x","")</f>
        <v/>
      </c>
      <c r="Z1942" s="84"/>
      <c r="AA1942" s="84" t="str">
        <f>IF(AND(MONTH(E1942)='IN-NX'!$J$5,'IN-NX'!$D$7=D1942),"x","")</f>
        <v/>
      </c>
      <c r="AB1942" s="84" t="str">
        <f>IF(AND(OR(LEFT(TH!N1942,2)="15",LEFT(TH!O1942,2)="15"),LEFT(TH!O1942,3)&lt;&gt;"111",'152-CT'!$J$8=TH!F1942),"x","")</f>
        <v/>
      </c>
      <c r="AC1942" s="84" t="str">
        <f>IF(AND(OR(LEFT(TH!N1942,2)="15",LEFT(TH!O1942,2)="15"),TK!$E$7=TH!F1942),"x","")</f>
        <v/>
      </c>
      <c r="AD1942" s="84" t="str">
        <f>IF(AND(N1942="1521",MONTH(C1942)='BK-NL'!$M$11),"x","")</f>
        <v/>
      </c>
      <c r="AE1942" s="343" t="str">
        <f t="shared" si="260"/>
        <v>x</v>
      </c>
      <c r="AF1942" s="330">
        <v>7</v>
      </c>
    </row>
    <row r="1943" spans="1:32" s="347" customFormat="1" ht="15.75" hidden="1" customHeight="1">
      <c r="A1943" s="1176" t="str">
        <f>IF(B1943&lt;&gt;"",IF(AND(B1943='IN-TC'!$S$4,OR(TH!N1943="1111",TH!O1943="1111")),TH!D1943,""),"")</f>
        <v/>
      </c>
      <c r="B1943" s="1003">
        <f t="shared" si="259"/>
        <v>7</v>
      </c>
      <c r="C1943" s="80">
        <v>42582</v>
      </c>
      <c r="D1943" s="80" t="s">
        <v>582</v>
      </c>
      <c r="E1943" s="80">
        <v>42558</v>
      </c>
      <c r="F1943" s="81" t="s">
        <v>787</v>
      </c>
      <c r="G1943" s="985" t="s">
        <v>1762</v>
      </c>
      <c r="H1943" s="82" t="s">
        <v>826</v>
      </c>
      <c r="I1943" s="437"/>
      <c r="J1943" s="437"/>
      <c r="K1943" s="428"/>
      <c r="L1943" s="437"/>
      <c r="M1943" s="83">
        <v>3325000</v>
      </c>
      <c r="N1943" s="84" t="s">
        <v>101</v>
      </c>
      <c r="O1943" s="84" t="s">
        <v>8</v>
      </c>
      <c r="P1943" s="84" t="str">
        <f>IF(AND('331-CT'!$E$7=TH!H1943,OR(N1943="331",O1943="331")),"x","")</f>
        <v/>
      </c>
      <c r="Q1943" s="84" t="str">
        <f>IF(AND(B1943='111'!$L$11,OR($N1943=$Q$7,$O1943=$Q$7)),"x","")</f>
        <v/>
      </c>
      <c r="R1943" s="84" t="str">
        <f>IF(AND($N1943=$Q$7,$B1943&lt;'111'!$L$11),"x","")</f>
        <v/>
      </c>
      <c r="S1943" s="84" t="str">
        <f>IF(AND($O1943=$Q$7,$B1943&lt;'111'!$L$11),"x","")</f>
        <v/>
      </c>
      <c r="T1943" s="84" t="str">
        <f>IF(ISERROR(FIND('112'!$M$9,G1943,1)),"",IF((AND(FIND('112'!$M$9,G1943,1)&gt;=1,B1943='112'!$K$9,OR($N1943='112'!$I$6,$O1943='112'!$I$6))),"x",""))</f>
        <v/>
      </c>
      <c r="U1943" s="84" t="str">
        <f>IF(ISERROR(FIND('112'!$M$9,G1943,1)),"",IF((AND(LEFT(G1943,2)=LEFT('112'!$M$9,2),B1943&lt;'112'!$K$9,$N1943='112'!$I$6)),"x",""))</f>
        <v/>
      </c>
      <c r="V1943" s="84" t="str">
        <f>IF(ISERROR(FIND('112'!$M$9,G1943,1)),"",IF((AND(RIGHT(G1943,2)=RIGHT('112'!$M$9,2),B1943&lt;'112'!$K$9,$O1943='112'!$I$6)),"x",""))</f>
        <v/>
      </c>
      <c r="W1943" s="84" t="str">
        <f>IF(AND('341-CT'!$H$9=H1943,OR(LEFT(N1943,3)=$W$7,LEFT(O1943,3)=$W$7)),"x","")</f>
        <v/>
      </c>
      <c r="X1943" s="84" t="str">
        <f>IF(OR(TH!N1943=TH!$X$7,O1943=TH!$X$7),"x","")</f>
        <v/>
      </c>
      <c r="Y1943" s="84" t="str">
        <f>IF(AND(OR(N1943="131",O1943="131"),H1943='131-CT'!$H$9),"x","")</f>
        <v/>
      </c>
      <c r="Z1943" s="84"/>
      <c r="AA1943" s="84" t="str">
        <f>IF(AND(MONTH(E1943)='IN-NX'!$J$5,'IN-NX'!$D$7=D1943),"x","")</f>
        <v/>
      </c>
      <c r="AB1943" s="84" t="str">
        <f>IF(AND(OR(LEFT(TH!N1943,2)="15",LEFT(TH!O1943,2)="15"),LEFT(TH!O1943,3)&lt;&gt;"111",'152-CT'!$J$8=TH!F1943),"x","")</f>
        <v/>
      </c>
      <c r="AC1943" s="84" t="str">
        <f>IF(AND(OR(LEFT(TH!N1943,2)="15",LEFT(TH!O1943,2)="15"),TK!$E$7=TH!F1943),"x","")</f>
        <v/>
      </c>
      <c r="AD1943" s="84" t="str">
        <f>IF(AND(N1943="1521",MONTH(C1943)='BK-NL'!$M$11),"x","")</f>
        <v/>
      </c>
      <c r="AE1943" s="343" t="str">
        <f t="shared" si="260"/>
        <v>x</v>
      </c>
      <c r="AF1943" s="330">
        <v>7</v>
      </c>
    </row>
    <row r="1944" spans="1:32" s="347" customFormat="1" ht="15.75" hidden="1" customHeight="1">
      <c r="A1944" s="1176" t="str">
        <f>IF(B1944&lt;&gt;"",IF(AND(B1944='IN-TC'!$S$4,OR(TH!N1944="1111",TH!O1944="1111")),TH!D1944,""),"")</f>
        <v/>
      </c>
      <c r="B1944" s="1003">
        <f t="shared" si="259"/>
        <v>7</v>
      </c>
      <c r="C1944" s="80">
        <v>42582</v>
      </c>
      <c r="D1944" s="80" t="s">
        <v>582</v>
      </c>
      <c r="E1944" s="80">
        <v>42558</v>
      </c>
      <c r="F1944" s="81" t="s">
        <v>788</v>
      </c>
      <c r="G1944" s="985" t="s">
        <v>1762</v>
      </c>
      <c r="H1944" s="82" t="s">
        <v>826</v>
      </c>
      <c r="I1944" s="437"/>
      <c r="J1944" s="437"/>
      <c r="K1944" s="428"/>
      <c r="L1944" s="437"/>
      <c r="M1944" s="83">
        <v>332500</v>
      </c>
      <c r="N1944" s="84" t="s">
        <v>9</v>
      </c>
      <c r="O1944" s="84" t="s">
        <v>8</v>
      </c>
      <c r="P1944" s="84" t="str">
        <f>IF(AND('331-CT'!$E$7=TH!H1944,OR(N1944="331",O1944="331")),"x","")</f>
        <v/>
      </c>
      <c r="Q1944" s="84" t="str">
        <f>IF(AND(B1944='111'!$L$11,OR($N1944=$Q$7,$O1944=$Q$7)),"x","")</f>
        <v/>
      </c>
      <c r="R1944" s="84" t="str">
        <f>IF(AND($N1944=$Q$7,$B1944&lt;'111'!$L$11),"x","")</f>
        <v/>
      </c>
      <c r="S1944" s="84" t="str">
        <f>IF(AND($O1944=$Q$7,$B1944&lt;'111'!$L$11),"x","")</f>
        <v/>
      </c>
      <c r="T1944" s="84" t="str">
        <f>IF(ISERROR(FIND('112'!$M$9,G1944,1)),"",IF((AND(FIND('112'!$M$9,G1944,1)&gt;=1,B1944='112'!$K$9,OR($N1944='112'!$I$6,$O1944='112'!$I$6))),"x",""))</f>
        <v/>
      </c>
      <c r="U1944" s="84" t="str">
        <f>IF(ISERROR(FIND('112'!$M$9,G1944,1)),"",IF((AND(LEFT(G1944,2)=LEFT('112'!$M$9,2),B1944&lt;'112'!$K$9,$N1944='112'!$I$6)),"x",""))</f>
        <v/>
      </c>
      <c r="V1944" s="84" t="str">
        <f>IF(ISERROR(FIND('112'!$M$9,G1944,1)),"",IF((AND(RIGHT(G1944,2)=RIGHT('112'!$M$9,2),B1944&lt;'112'!$K$9,$O1944='112'!$I$6)),"x",""))</f>
        <v/>
      </c>
      <c r="W1944" s="84" t="str">
        <f>IF(AND('341-CT'!$H$9=H1944,OR(LEFT(N1944,3)=$W$7,LEFT(O1944,3)=$W$7)),"x","")</f>
        <v/>
      </c>
      <c r="X1944" s="84" t="str">
        <f>IF(OR(TH!N1944=TH!$X$7,O1944=TH!$X$7),"x","")</f>
        <v/>
      </c>
      <c r="Y1944" s="84" t="str">
        <f>IF(AND(OR(N1944="131",O1944="131"),H1944='131-CT'!$H$9),"x","")</f>
        <v/>
      </c>
      <c r="Z1944" s="84"/>
      <c r="AA1944" s="84" t="str">
        <f>IF(AND(MONTH(E1944)='IN-NX'!$J$5,'IN-NX'!$D$7=D1944),"x","")</f>
        <v/>
      </c>
      <c r="AB1944" s="84" t="str">
        <f>IF(AND(OR(LEFT(TH!N1944,2)="15",LEFT(TH!O1944,2)="15"),LEFT(TH!O1944,3)&lt;&gt;"111",'152-CT'!$J$8=TH!F1944),"x","")</f>
        <v/>
      </c>
      <c r="AC1944" s="84" t="str">
        <f>IF(AND(OR(LEFT(TH!N1944,2)="15",LEFT(TH!O1944,2)="15"),TK!$E$7=TH!F1944),"x","")</f>
        <v/>
      </c>
      <c r="AD1944" s="84" t="str">
        <f>IF(AND(N1944="1521",MONTH(C1944)='BK-NL'!$M$11),"x","")</f>
        <v/>
      </c>
      <c r="AE1944" s="343" t="str">
        <f t="shared" si="260"/>
        <v>x</v>
      </c>
      <c r="AF1944" s="330">
        <v>7</v>
      </c>
    </row>
    <row r="1945" spans="1:32" s="347" customFormat="1" ht="15.75" hidden="1" customHeight="1">
      <c r="A1945" s="1176" t="str">
        <f>IF(B1945&lt;&gt;"",IF(AND(B1945='IN-TC'!$S$4,OR(TH!N1945="1111",TH!O1945="1111")),TH!D1945,""),"")</f>
        <v/>
      </c>
      <c r="B1945" s="1003">
        <f t="shared" si="259"/>
        <v>7</v>
      </c>
      <c r="C1945" s="80">
        <v>42582</v>
      </c>
      <c r="D1945" s="80" t="s">
        <v>582</v>
      </c>
      <c r="E1945" s="80">
        <v>42560</v>
      </c>
      <c r="F1945" s="81" t="s">
        <v>1754</v>
      </c>
      <c r="G1945" s="985" t="s">
        <v>1757</v>
      </c>
      <c r="H1945" s="82" t="s">
        <v>1756</v>
      </c>
      <c r="I1945" s="437"/>
      <c r="J1945" s="437"/>
      <c r="K1945" s="428"/>
      <c r="L1945" s="437"/>
      <c r="M1945" s="83">
        <v>10681818</v>
      </c>
      <c r="N1945" s="84" t="s">
        <v>101</v>
      </c>
      <c r="O1945" s="84" t="s">
        <v>8</v>
      </c>
      <c r="P1945" s="84" t="str">
        <f>IF(AND('331-CT'!$E$7=TH!H1945,OR(N1945="331",O1945="331")),"x","")</f>
        <v/>
      </c>
      <c r="Q1945" s="84" t="str">
        <f>IF(AND(B1945='111'!$L$11,OR($N1945=$Q$7,$O1945=$Q$7)),"x","")</f>
        <v/>
      </c>
      <c r="R1945" s="84" t="str">
        <f>IF(AND($N1945=$Q$7,$B1945&lt;'111'!$L$11),"x","")</f>
        <v/>
      </c>
      <c r="S1945" s="84" t="str">
        <f>IF(AND($O1945=$Q$7,$B1945&lt;'111'!$L$11),"x","")</f>
        <v/>
      </c>
      <c r="T1945" s="84" t="str">
        <f>IF(ISERROR(FIND('112'!$M$9,G1945,1)),"",IF((AND(FIND('112'!$M$9,G1945,1)&gt;=1,B1945='112'!$K$9,OR($N1945='112'!$I$6,$O1945='112'!$I$6))),"x",""))</f>
        <v/>
      </c>
      <c r="U1945" s="84" t="str">
        <f>IF(ISERROR(FIND('112'!$M$9,G1945,1)),"",IF((AND(LEFT(G1945,2)=LEFT('112'!$M$9,2),B1945&lt;'112'!$K$9,$N1945='112'!$I$6)),"x",""))</f>
        <v/>
      </c>
      <c r="V1945" s="84" t="str">
        <f>IF(ISERROR(FIND('112'!$M$9,G1945,1)),"",IF((AND(RIGHT(G1945,2)=RIGHT('112'!$M$9,2),B1945&lt;'112'!$K$9,$O1945='112'!$I$6)),"x",""))</f>
        <v/>
      </c>
      <c r="W1945" s="84" t="str">
        <f>IF(AND('341-CT'!$H$9=H1945,OR(LEFT(N1945,3)=$W$7,LEFT(O1945,3)=$W$7)),"x","")</f>
        <v/>
      </c>
      <c r="X1945" s="84" t="str">
        <f>IF(OR(TH!N1945=TH!$X$7,O1945=TH!$X$7),"x","")</f>
        <v/>
      </c>
      <c r="Y1945" s="84" t="str">
        <f>IF(AND(OR(N1945="131",O1945="131"),H1945='131-CT'!$H$9),"x","")</f>
        <v/>
      </c>
      <c r="Z1945" s="84"/>
      <c r="AA1945" s="84" t="str">
        <f>IF(AND(MONTH(E1945)='IN-NX'!$J$5,'IN-NX'!$D$7=D1945),"x","")</f>
        <v/>
      </c>
      <c r="AB1945" s="84" t="str">
        <f>IF(AND(OR(LEFT(TH!N1945,2)="15",LEFT(TH!O1945,2)="15"),LEFT(TH!O1945,3)&lt;&gt;"111",'152-CT'!$J$8=TH!F1945),"x","")</f>
        <v/>
      </c>
      <c r="AC1945" s="84" t="str">
        <f>IF(AND(OR(LEFT(TH!N1945,2)="15",LEFT(TH!O1945,2)="15"),TK!$E$7=TH!F1945),"x","")</f>
        <v/>
      </c>
      <c r="AD1945" s="84" t="str">
        <f>IF(AND(N1945="1521",MONTH(C1945)='BK-NL'!$M$11),"x","")</f>
        <v/>
      </c>
      <c r="AE1945" s="343" t="str">
        <f t="shared" si="260"/>
        <v>x</v>
      </c>
      <c r="AF1945" s="330">
        <v>7</v>
      </c>
    </row>
    <row r="1946" spans="1:32" s="347" customFormat="1" ht="15.75" hidden="1" customHeight="1">
      <c r="A1946" s="1176" t="str">
        <f>IF(B1946&lt;&gt;"",IF(AND(B1946='IN-TC'!$S$4,OR(TH!N1946="1111",TH!O1946="1111")),TH!D1946,""),"")</f>
        <v/>
      </c>
      <c r="B1946" s="1003">
        <f t="shared" si="259"/>
        <v>7</v>
      </c>
      <c r="C1946" s="80">
        <v>42582</v>
      </c>
      <c r="D1946" s="80" t="s">
        <v>582</v>
      </c>
      <c r="E1946" s="80">
        <v>42560</v>
      </c>
      <c r="F1946" s="81" t="s">
        <v>1755</v>
      </c>
      <c r="G1946" s="985" t="s">
        <v>1757</v>
      </c>
      <c r="H1946" s="82" t="s">
        <v>1756</v>
      </c>
      <c r="I1946" s="437"/>
      <c r="J1946" s="437"/>
      <c r="K1946" s="428"/>
      <c r="L1946" s="437"/>
      <c r="M1946" s="83">
        <v>1068182</v>
      </c>
      <c r="N1946" s="84" t="s">
        <v>9</v>
      </c>
      <c r="O1946" s="84" t="s">
        <v>8</v>
      </c>
      <c r="P1946" s="84" t="str">
        <f>IF(AND('331-CT'!$E$7=TH!H1946,OR(N1946="331",O1946="331")),"x","")</f>
        <v/>
      </c>
      <c r="Q1946" s="84" t="str">
        <f>IF(AND(B1946='111'!$L$11,OR($N1946=$Q$7,$O1946=$Q$7)),"x","")</f>
        <v/>
      </c>
      <c r="R1946" s="84" t="str">
        <f>IF(AND($N1946=$Q$7,$B1946&lt;'111'!$L$11),"x","")</f>
        <v/>
      </c>
      <c r="S1946" s="84" t="str">
        <f>IF(AND($O1946=$Q$7,$B1946&lt;'111'!$L$11),"x","")</f>
        <v/>
      </c>
      <c r="T1946" s="84" t="str">
        <f>IF(ISERROR(FIND('112'!$M$9,G1946,1)),"",IF((AND(FIND('112'!$M$9,G1946,1)&gt;=1,B1946='112'!$K$9,OR($N1946='112'!$I$6,$O1946='112'!$I$6))),"x",""))</f>
        <v/>
      </c>
      <c r="U1946" s="84" t="str">
        <f>IF(ISERROR(FIND('112'!$M$9,G1946,1)),"",IF((AND(LEFT(G1946,2)=LEFT('112'!$M$9,2),B1946&lt;'112'!$K$9,$N1946='112'!$I$6)),"x",""))</f>
        <v/>
      </c>
      <c r="V1946" s="84" t="str">
        <f>IF(ISERROR(FIND('112'!$M$9,G1946,1)),"",IF((AND(RIGHT(G1946,2)=RIGHT('112'!$M$9,2),B1946&lt;'112'!$K$9,$O1946='112'!$I$6)),"x",""))</f>
        <v/>
      </c>
      <c r="W1946" s="84" t="str">
        <f>IF(AND('341-CT'!$H$9=H1946,OR(LEFT(N1946,3)=$W$7,LEFT(O1946,3)=$W$7)),"x","")</f>
        <v/>
      </c>
      <c r="X1946" s="84" t="str">
        <f>IF(OR(TH!N1946=TH!$X$7,O1946=TH!$X$7),"x","")</f>
        <v/>
      </c>
      <c r="Y1946" s="84" t="str">
        <f>IF(AND(OR(N1946="131",O1946="131"),H1946='131-CT'!$H$9),"x","")</f>
        <v/>
      </c>
      <c r="Z1946" s="84"/>
      <c r="AA1946" s="84" t="str">
        <f>IF(AND(MONTH(E1946)='IN-NX'!$J$5,'IN-NX'!$D$7=D1946),"x","")</f>
        <v/>
      </c>
      <c r="AB1946" s="84" t="str">
        <f>IF(AND(OR(LEFT(TH!N1946,2)="15",LEFT(TH!O1946,2)="15"),LEFT(TH!O1946,3)&lt;&gt;"111",'152-CT'!$J$8=TH!F1946),"x","")</f>
        <v/>
      </c>
      <c r="AC1946" s="84" t="str">
        <f>IF(AND(OR(LEFT(TH!N1946,2)="15",LEFT(TH!O1946,2)="15"),TK!$E$7=TH!F1946),"x","")</f>
        <v/>
      </c>
      <c r="AD1946" s="84" t="str">
        <f>IF(AND(N1946="1521",MONTH(C1946)='BK-NL'!$M$11),"x","")</f>
        <v/>
      </c>
      <c r="AE1946" s="343" t="str">
        <f t="shared" si="260"/>
        <v>x</v>
      </c>
      <c r="AF1946" s="330">
        <v>7</v>
      </c>
    </row>
    <row r="1947" spans="1:32" s="347" customFormat="1" ht="15.75" hidden="1" customHeight="1">
      <c r="A1947" s="1176" t="str">
        <f>IF(B1947&lt;&gt;"",IF(AND(B1947='IN-TC'!$S$4,OR(TH!N1959="1111",TH!O1959="1111")),TH!D1959,""),"")</f>
        <v/>
      </c>
      <c r="B1947" s="1003">
        <f t="shared" si="259"/>
        <v>7</v>
      </c>
      <c r="C1947" s="80">
        <v>42582</v>
      </c>
      <c r="D1947" s="80" t="s">
        <v>582</v>
      </c>
      <c r="E1947" s="80">
        <v>42562</v>
      </c>
      <c r="F1947" s="81" t="s">
        <v>1507</v>
      </c>
      <c r="G1947" s="985" t="s">
        <v>1877</v>
      </c>
      <c r="H1947" s="82" t="s">
        <v>1505</v>
      </c>
      <c r="I1947" s="437"/>
      <c r="J1947" s="437"/>
      <c r="K1947" s="428"/>
      <c r="L1947" s="437"/>
      <c r="M1947" s="83">
        <v>9380700</v>
      </c>
      <c r="N1947" s="84" t="s">
        <v>591</v>
      </c>
      <c r="O1947" s="84" t="s">
        <v>8</v>
      </c>
      <c r="P1947" s="84" t="str">
        <f>IF(AND('331-CT'!$E$7=TH!H1959,OR(N1947="331",O1947="331")),"x","")</f>
        <v/>
      </c>
      <c r="Q1947" s="84" t="str">
        <f>IF(AND(B1947='111'!$L$11,OR($N1947=$Q$7,$O1947=$Q$7)),"x","")</f>
        <v/>
      </c>
      <c r="R1947" s="84" t="str">
        <f>IF(AND($N1947=$Q$7,$B1947&lt;'111'!$L$11),"x","")</f>
        <v/>
      </c>
      <c r="S1947" s="84" t="str">
        <f>IF(AND($O1947=$Q$7,$B1947&lt;'111'!$L$11),"x","")</f>
        <v/>
      </c>
      <c r="T1947" s="84" t="str">
        <f>IF(ISERROR(FIND('112'!$M$9,G1947,1)),"",IF((AND(FIND('112'!$M$9,G1947,1)&gt;=1,B1947='112'!$K$9,OR($N1947='112'!$I$6,$O1947='112'!$I$6))),"x",""))</f>
        <v/>
      </c>
      <c r="U1947" s="84" t="str">
        <f>IF(ISERROR(FIND('112'!$M$9,G1947,1)),"",IF((AND(LEFT(G1947,2)=LEFT('112'!$M$9,2),B1947&lt;'112'!$K$9,$N1947='112'!$I$6)),"x",""))</f>
        <v/>
      </c>
      <c r="V1947" s="84" t="str">
        <f>IF(ISERROR(FIND('112'!$M$9,G1947,1)),"",IF((AND(RIGHT(G1947,2)=RIGHT('112'!$M$9,2),B1947&lt;'112'!$K$9,$O1947='112'!$I$6)),"x",""))</f>
        <v/>
      </c>
      <c r="W1947" s="84" t="str">
        <f>IF(AND('341-CT'!$H$9=H1947,OR(LEFT(N1947,3)=$W$7,LEFT(O1947,3)=$W$7)),"x","")</f>
        <v/>
      </c>
      <c r="X1947" s="84" t="str">
        <f>IF(OR(TH!N1959=TH!$X$7,O1947=TH!$X$7),"x","")</f>
        <v/>
      </c>
      <c r="Y1947" s="84" t="str">
        <f>IF(AND(OR(N1947="131",O1947="131"),H1947='131-CT'!$H$9),"x","")</f>
        <v/>
      </c>
      <c r="Z1947" s="84"/>
      <c r="AA1947" s="84" t="str">
        <f>IF(AND(MONTH(E1947)='IN-NX'!$J$5,'IN-NX'!$D$7=D1947),"x","")</f>
        <v/>
      </c>
      <c r="AB1947" s="84" t="str">
        <f>IF(AND(OR(LEFT(TH!N1959,2)="15",LEFT(TH!O1959,2)="15"),LEFT(TH!O1959,3)&lt;&gt;"111",'152-CT'!$J$8=TH!F1959),"x","")</f>
        <v/>
      </c>
      <c r="AC1947" s="84" t="str">
        <f>IF(AND(OR(LEFT(TH!N1959,2)="15",LEFT(TH!O1959,2)="15"),TK!$E$7=TH!F1959),"x","")</f>
        <v/>
      </c>
      <c r="AD1947" s="84" t="str">
        <f>IF(AND(N1947="1521",MONTH(C1947)='BK-NL'!$M$11),"x","")</f>
        <v/>
      </c>
      <c r="AE1947" s="343" t="str">
        <f t="shared" si="260"/>
        <v>x</v>
      </c>
      <c r="AF1947" s="330">
        <v>7</v>
      </c>
    </row>
    <row r="1948" spans="1:32" s="347" customFormat="1" ht="15.75" hidden="1" customHeight="1">
      <c r="A1948" s="1176" t="str">
        <f>IF(B1948&lt;&gt;"",IF(AND(B1948='IN-TC'!$S$4,OR(TH!N1960="1111",TH!O1960="1111")),TH!D1960,""),"")</f>
        <v/>
      </c>
      <c r="B1948" s="1003">
        <f t="shared" si="259"/>
        <v>7</v>
      </c>
      <c r="C1948" s="80">
        <v>42582</v>
      </c>
      <c r="D1948" s="80" t="s">
        <v>582</v>
      </c>
      <c r="E1948" s="80">
        <v>42562</v>
      </c>
      <c r="F1948" s="81" t="s">
        <v>1875</v>
      </c>
      <c r="G1948" s="985" t="s">
        <v>1878</v>
      </c>
      <c r="H1948" s="82" t="s">
        <v>1505</v>
      </c>
      <c r="I1948" s="437"/>
      <c r="J1948" s="437"/>
      <c r="K1948" s="428"/>
      <c r="L1948" s="437"/>
      <c r="M1948" s="83">
        <v>7839585</v>
      </c>
      <c r="N1948" s="84" t="s">
        <v>591</v>
      </c>
      <c r="O1948" s="84" t="s">
        <v>8</v>
      </c>
      <c r="P1948" s="84" t="str">
        <f>IF(AND('331-CT'!$E$7=TH!H1960,OR(N1948="331",O1948="331")),"x","")</f>
        <v/>
      </c>
      <c r="Q1948" s="84" t="str">
        <f>IF(AND(B1948='111'!$L$11,OR($N1948=$Q$7,$O1948=$Q$7)),"x","")</f>
        <v/>
      </c>
      <c r="R1948" s="84" t="str">
        <f>IF(AND($N1948=$Q$7,$B1948&lt;'111'!$L$11),"x","")</f>
        <v/>
      </c>
      <c r="S1948" s="84" t="str">
        <f>IF(AND($O1948=$Q$7,$B1948&lt;'111'!$L$11),"x","")</f>
        <v/>
      </c>
      <c r="T1948" s="84" t="str">
        <f>IF(ISERROR(FIND('112'!$M$9,G1948,1)),"",IF((AND(FIND('112'!$M$9,G1948,1)&gt;=1,B1948='112'!$K$9,OR($N1948='112'!$I$6,$O1948='112'!$I$6))),"x",""))</f>
        <v/>
      </c>
      <c r="U1948" s="84" t="str">
        <f>IF(ISERROR(FIND('112'!$M$9,G1948,1)),"",IF((AND(LEFT(G1948,2)=LEFT('112'!$M$9,2),B1948&lt;'112'!$K$9,$N1948='112'!$I$6)),"x",""))</f>
        <v/>
      </c>
      <c r="V1948" s="84" t="str">
        <f>IF(ISERROR(FIND('112'!$M$9,G1948,1)),"",IF((AND(RIGHT(G1948,2)=RIGHT('112'!$M$9,2),B1948&lt;'112'!$K$9,$O1948='112'!$I$6)),"x",""))</f>
        <v/>
      </c>
      <c r="W1948" s="84" t="str">
        <f>IF(AND('341-CT'!$H$9=H1948,OR(LEFT(N1948,3)=$W$7,LEFT(O1948,3)=$W$7)),"x","")</f>
        <v/>
      </c>
      <c r="X1948" s="84" t="str">
        <f>IF(OR(TH!N1960=TH!$X$7,O1948=TH!$X$7),"x","")</f>
        <v/>
      </c>
      <c r="Y1948" s="84" t="str">
        <f>IF(AND(OR(N1948="131",O1948="131"),H1948='131-CT'!$H$9),"x","")</f>
        <v/>
      </c>
      <c r="Z1948" s="84"/>
      <c r="AA1948" s="84" t="str">
        <f>IF(AND(MONTH(E1948)='IN-NX'!$J$5,'IN-NX'!$D$7=D1948),"x","")</f>
        <v/>
      </c>
      <c r="AB1948" s="84" t="str">
        <f>IF(AND(OR(LEFT(TH!N1960,2)="15",LEFT(TH!O1960,2)="15"),LEFT(TH!O1960,3)&lt;&gt;"111",'152-CT'!$J$8=TH!F1960),"x","")</f>
        <v/>
      </c>
      <c r="AC1948" s="84" t="str">
        <f>IF(AND(OR(LEFT(TH!N1960,2)="15",LEFT(TH!O1960,2)="15"),TK!$E$7=TH!F1960),"x","")</f>
        <v/>
      </c>
      <c r="AD1948" s="84" t="str">
        <f>IF(AND(N1948="1521",MONTH(C1948)='BK-NL'!$M$11),"x","")</f>
        <v/>
      </c>
      <c r="AE1948" s="343" t="str">
        <f t="shared" si="260"/>
        <v>x</v>
      </c>
      <c r="AF1948" s="330">
        <v>7</v>
      </c>
    </row>
    <row r="1949" spans="1:32" s="347" customFormat="1" ht="15.75" hidden="1" customHeight="1">
      <c r="A1949" s="1176" t="str">
        <f>IF(B1949&lt;&gt;"",IF(AND(B1949='IN-TC'!$S$4,OR(TH!N1961="1111",TH!O1961="1111")),TH!D1961,""),"")</f>
        <v/>
      </c>
      <c r="B1949" s="1003">
        <f t="shared" si="259"/>
        <v>7</v>
      </c>
      <c r="C1949" s="80">
        <v>42582</v>
      </c>
      <c r="D1949" s="80" t="s">
        <v>582</v>
      </c>
      <c r="E1949" s="80">
        <v>42562</v>
      </c>
      <c r="F1949" s="81" t="s">
        <v>1876</v>
      </c>
      <c r="G1949" s="985" t="s">
        <v>1878</v>
      </c>
      <c r="H1949" s="82" t="s">
        <v>1505</v>
      </c>
      <c r="I1949" s="437"/>
      <c r="J1949" s="437"/>
      <c r="K1949" s="428"/>
      <c r="L1949" s="437"/>
      <c r="M1949" s="83">
        <v>783959</v>
      </c>
      <c r="N1949" s="84" t="s">
        <v>9</v>
      </c>
      <c r="O1949" s="84" t="s">
        <v>8</v>
      </c>
      <c r="P1949" s="84" t="str">
        <f>IF(AND('331-CT'!$E$7=TH!H1961,OR(N1949="331",O1949="331")),"x","")</f>
        <v/>
      </c>
      <c r="Q1949" s="84" t="str">
        <f>IF(AND(B1949='111'!$L$11,OR($N1949=$Q$7,$O1949=$Q$7)),"x","")</f>
        <v/>
      </c>
      <c r="R1949" s="84" t="str">
        <f>IF(AND($N1949=$Q$7,$B1949&lt;'111'!$L$11),"x","")</f>
        <v/>
      </c>
      <c r="S1949" s="84" t="str">
        <f>IF(AND($O1949=$Q$7,$B1949&lt;'111'!$L$11),"x","")</f>
        <v/>
      </c>
      <c r="T1949" s="84" t="str">
        <f>IF(ISERROR(FIND('112'!$M$9,G1949,1)),"",IF((AND(FIND('112'!$M$9,G1949,1)&gt;=1,B1949='112'!$K$9,OR($N1949='112'!$I$6,$O1949='112'!$I$6))),"x",""))</f>
        <v/>
      </c>
      <c r="U1949" s="84" t="str">
        <f>IF(ISERROR(FIND('112'!$M$9,G1949,1)),"",IF((AND(LEFT(G1949,2)=LEFT('112'!$M$9,2),B1949&lt;'112'!$K$9,$N1949='112'!$I$6)),"x",""))</f>
        <v/>
      </c>
      <c r="V1949" s="84" t="str">
        <f>IF(ISERROR(FIND('112'!$M$9,G1949,1)),"",IF((AND(RIGHT(G1949,2)=RIGHT('112'!$M$9,2),B1949&lt;'112'!$K$9,$O1949='112'!$I$6)),"x",""))</f>
        <v/>
      </c>
      <c r="W1949" s="84" t="str">
        <f>IF(AND('341-CT'!$H$9=H1949,OR(LEFT(N1949,3)=$W$7,LEFT(O1949,3)=$W$7)),"x","")</f>
        <v/>
      </c>
      <c r="X1949" s="84" t="str">
        <f>IF(OR(TH!N1961=TH!$X$7,O1949=TH!$X$7),"x","")</f>
        <v/>
      </c>
      <c r="Y1949" s="84" t="str">
        <f>IF(AND(OR(N1949="131",O1949="131"),H1949='131-CT'!$H$9),"x","")</f>
        <v/>
      </c>
      <c r="Z1949" s="84"/>
      <c r="AA1949" s="84" t="str">
        <f>IF(AND(MONTH(E1949)='IN-NX'!$J$5,'IN-NX'!$D$7=D1949),"x","")</f>
        <v/>
      </c>
      <c r="AB1949" s="84" t="str">
        <f>IF(AND(OR(LEFT(TH!N1961,2)="15",LEFT(TH!O1961,2)="15"),LEFT(TH!O1961,3)&lt;&gt;"111",'152-CT'!$J$8=TH!F1961),"x","")</f>
        <v/>
      </c>
      <c r="AC1949" s="84" t="str">
        <f>IF(AND(OR(LEFT(TH!N1961,2)="15",LEFT(TH!O1961,2)="15"),TK!$E$7=TH!F1961),"x","")</f>
        <v/>
      </c>
      <c r="AD1949" s="84" t="str">
        <f>IF(AND(N1949="1521",MONTH(C1949)='BK-NL'!$M$11),"x","")</f>
        <v/>
      </c>
      <c r="AE1949" s="343" t="str">
        <f t="shared" si="260"/>
        <v>x</v>
      </c>
      <c r="AF1949" s="330">
        <v>7</v>
      </c>
    </row>
    <row r="1950" spans="1:32" s="347" customFormat="1" ht="15.75" hidden="1" customHeight="1">
      <c r="A1950" s="1176" t="str">
        <f>IF(B1950&lt;&gt;"",IF(AND(B1950='IN-TC'!$S$4,OR(TH!N1947="1111",TH!O1947="1111")),TH!D1947,""),"")</f>
        <v/>
      </c>
      <c r="B1950" s="1003">
        <f t="shared" si="259"/>
        <v>7</v>
      </c>
      <c r="C1950" s="80">
        <v>42582</v>
      </c>
      <c r="D1950" s="80" t="s">
        <v>582</v>
      </c>
      <c r="E1950" s="80">
        <v>42567</v>
      </c>
      <c r="F1950" s="81" t="s">
        <v>1769</v>
      </c>
      <c r="G1950" s="985" t="s">
        <v>1793</v>
      </c>
      <c r="H1950" s="82" t="s">
        <v>632</v>
      </c>
      <c r="I1950" s="437"/>
      <c r="J1950" s="437"/>
      <c r="K1950" s="428"/>
      <c r="L1950" s="437"/>
      <c r="M1950" s="83">
        <v>21805300</v>
      </c>
      <c r="N1950" s="84" t="s">
        <v>282</v>
      </c>
      <c r="O1950" s="84" t="s">
        <v>8</v>
      </c>
      <c r="P1950" s="84" t="str">
        <f>IF(AND('331-CT'!$E$7=TH!H1947,OR(N1950="331",O1950="331")),"x","")</f>
        <v/>
      </c>
      <c r="Q1950" s="84" t="str">
        <f>IF(AND(B1950='111'!$L$11,OR($N1950=$Q$7,$O1950=$Q$7)),"x","")</f>
        <v/>
      </c>
      <c r="R1950" s="84" t="str">
        <f>IF(AND($N1950=$Q$7,$B1950&lt;'111'!$L$11),"x","")</f>
        <v/>
      </c>
      <c r="S1950" s="84" t="str">
        <f>IF(AND($O1950=$Q$7,$B1950&lt;'111'!$L$11),"x","")</f>
        <v/>
      </c>
      <c r="T1950" s="84" t="str">
        <f>IF(ISERROR(FIND('112'!$M$9,G1950,1)),"",IF((AND(FIND('112'!$M$9,G1950,1)&gt;=1,B1950='112'!$K$9,OR($N1950='112'!$I$6,$O1950='112'!$I$6))),"x",""))</f>
        <v/>
      </c>
      <c r="U1950" s="84" t="str">
        <f>IF(ISERROR(FIND('112'!$M$9,G1950,1)),"",IF((AND(LEFT(G1950,2)=LEFT('112'!$M$9,2),B1950&lt;'112'!$K$9,$N1950='112'!$I$6)),"x",""))</f>
        <v/>
      </c>
      <c r="V1950" s="84" t="str">
        <f>IF(ISERROR(FIND('112'!$M$9,G1950,1)),"",IF((AND(RIGHT(G1950,2)=RIGHT('112'!$M$9,2),B1950&lt;'112'!$K$9,$O1950='112'!$I$6)),"x",""))</f>
        <v/>
      </c>
      <c r="W1950" s="84" t="str">
        <f>IF(AND('341-CT'!$H$9=H1950,OR(LEFT(N1950,3)=$W$7,LEFT(O1950,3)=$W$7)),"x","")</f>
        <v/>
      </c>
      <c r="X1950" s="84" t="str">
        <f>IF(OR(TH!N1947=TH!$X$7,O1950=TH!$X$7),"x","")</f>
        <v/>
      </c>
      <c r="Y1950" s="84" t="str">
        <f>IF(AND(OR(N1950="131",O1950="131"),H1950='131-CT'!$H$9),"x","")</f>
        <v/>
      </c>
      <c r="Z1950" s="84"/>
      <c r="AA1950" s="84" t="str">
        <f>IF(AND(MONTH(E1950)='IN-NX'!$J$5,'IN-NX'!$D$7=D1950),"x","")</f>
        <v/>
      </c>
      <c r="AB1950" s="84" t="str">
        <f>IF(AND(OR(LEFT(TH!N1947,2)="15",LEFT(TH!O1947,2)="15"),LEFT(TH!O1947,3)&lt;&gt;"111",'152-CT'!$J$8=TH!F1947),"x","")</f>
        <v/>
      </c>
      <c r="AC1950" s="84" t="str">
        <f>IF(AND(OR(LEFT(TH!N1947,2)="15",LEFT(TH!O1947,2)="15"),TK!$E$7=TH!F1947),"x","")</f>
        <v/>
      </c>
      <c r="AD1950" s="84" t="str">
        <f>IF(AND(N1950="1521",MONTH(C1950)='BK-NL'!$M$11),"x","")</f>
        <v/>
      </c>
      <c r="AE1950" s="343" t="str">
        <f t="shared" si="260"/>
        <v>x</v>
      </c>
      <c r="AF1950" s="330">
        <v>7</v>
      </c>
    </row>
    <row r="1951" spans="1:32" s="347" customFormat="1" ht="15.75" hidden="1" customHeight="1">
      <c r="A1951" s="1176" t="str">
        <f>IF(B1951&lt;&gt;"",IF(AND(B1951='IN-TC'!$S$4,OR(TH!N1948="1111",TH!O1948="1111")),TH!D1948,""),"")</f>
        <v/>
      </c>
      <c r="B1951" s="1003">
        <f t="shared" si="259"/>
        <v>7</v>
      </c>
      <c r="C1951" s="80">
        <v>42582</v>
      </c>
      <c r="D1951" s="80" t="s">
        <v>582</v>
      </c>
      <c r="E1951" s="80">
        <v>42567</v>
      </c>
      <c r="F1951" s="81" t="s">
        <v>1770</v>
      </c>
      <c r="G1951" s="985" t="s">
        <v>1793</v>
      </c>
      <c r="H1951" s="82" t="s">
        <v>632</v>
      </c>
      <c r="I1951" s="437"/>
      <c r="J1951" s="437"/>
      <c r="K1951" s="428"/>
      <c r="L1951" s="437"/>
      <c r="M1951" s="83">
        <v>2180530</v>
      </c>
      <c r="N1951" s="84" t="s">
        <v>9</v>
      </c>
      <c r="O1951" s="84" t="s">
        <v>8</v>
      </c>
      <c r="P1951" s="84" t="str">
        <f>IF(AND('331-CT'!$E$7=TH!H1948,OR(N1951="331",O1951="331")),"x","")</f>
        <v/>
      </c>
      <c r="Q1951" s="84" t="str">
        <f>IF(AND(B1951='111'!$L$11,OR($N1951=$Q$7,$O1951=$Q$7)),"x","")</f>
        <v/>
      </c>
      <c r="R1951" s="84" t="str">
        <f>IF(AND($N1951=$Q$7,$B1951&lt;'111'!$L$11),"x","")</f>
        <v/>
      </c>
      <c r="S1951" s="84" t="str">
        <f>IF(AND($O1951=$Q$7,$B1951&lt;'111'!$L$11),"x","")</f>
        <v/>
      </c>
      <c r="T1951" s="84" t="str">
        <f>IF(ISERROR(FIND('112'!$M$9,G1951,1)),"",IF((AND(FIND('112'!$M$9,G1951,1)&gt;=1,B1951='112'!$K$9,OR($N1951='112'!$I$6,$O1951='112'!$I$6))),"x",""))</f>
        <v/>
      </c>
      <c r="U1951" s="84" t="str">
        <f>IF(ISERROR(FIND('112'!$M$9,G1951,1)),"",IF((AND(LEFT(G1951,2)=LEFT('112'!$M$9,2),B1951&lt;'112'!$K$9,$N1951='112'!$I$6)),"x",""))</f>
        <v/>
      </c>
      <c r="V1951" s="84" t="str">
        <f>IF(ISERROR(FIND('112'!$M$9,G1951,1)),"",IF((AND(RIGHT(G1951,2)=RIGHT('112'!$M$9,2),B1951&lt;'112'!$K$9,$O1951='112'!$I$6)),"x",""))</f>
        <v/>
      </c>
      <c r="W1951" s="84" t="str">
        <f>IF(AND('341-CT'!$H$9=H1951,OR(LEFT(N1951,3)=$W$7,LEFT(O1951,3)=$W$7)),"x","")</f>
        <v/>
      </c>
      <c r="X1951" s="84" t="str">
        <f>IF(OR(TH!N1948=TH!$X$7,O1951=TH!$X$7),"x","")</f>
        <v/>
      </c>
      <c r="Y1951" s="84" t="str">
        <f>IF(AND(OR(N1951="131",O1951="131"),H1951='131-CT'!$H$9),"x","")</f>
        <v/>
      </c>
      <c r="Z1951" s="84"/>
      <c r="AA1951" s="84" t="str">
        <f>IF(AND(MONTH(E1951)='IN-NX'!$J$5,'IN-NX'!$D$7=D1951),"x","")</f>
        <v/>
      </c>
      <c r="AB1951" s="84" t="str">
        <f>IF(AND(OR(LEFT(TH!N1948,2)="15",LEFT(TH!O1948,2)="15"),LEFT(TH!O1948,3)&lt;&gt;"111",'152-CT'!$J$8=TH!F1948),"x","")</f>
        <v/>
      </c>
      <c r="AC1951" s="84" t="str">
        <f>IF(AND(OR(LEFT(TH!N1948,2)="15",LEFT(TH!O1948,2)="15"),TK!$E$7=TH!F1948),"x","")</f>
        <v/>
      </c>
      <c r="AD1951" s="84" t="str">
        <f>IF(AND(N1951="1521",MONTH(C1951)='BK-NL'!$M$11),"x","")</f>
        <v/>
      </c>
      <c r="AE1951" s="343" t="str">
        <f t="shared" si="260"/>
        <v>x</v>
      </c>
      <c r="AF1951" s="330">
        <v>7</v>
      </c>
    </row>
    <row r="1952" spans="1:32" s="347" customFormat="1" ht="15.75" hidden="1" customHeight="1">
      <c r="A1952" s="1176" t="str">
        <f>IF(B1952&lt;&gt;"",IF(AND(B1952='IN-TC'!$S$4,OR(TH!N1949="1111",TH!O1949="1111")),TH!D1949,""),"")</f>
        <v/>
      </c>
      <c r="B1952" s="1003">
        <f t="shared" si="259"/>
        <v>7</v>
      </c>
      <c r="C1952" s="80">
        <v>42582</v>
      </c>
      <c r="D1952" s="80" t="s">
        <v>582</v>
      </c>
      <c r="E1952" s="80">
        <v>42573</v>
      </c>
      <c r="F1952" s="81" t="s">
        <v>639</v>
      </c>
      <c r="G1952" s="985" t="s">
        <v>1764</v>
      </c>
      <c r="H1952" s="82" t="s">
        <v>630</v>
      </c>
      <c r="I1952" s="437"/>
      <c r="J1952" s="437"/>
      <c r="K1952" s="428"/>
      <c r="L1952" s="437"/>
      <c r="M1952" s="83">
        <v>2000000</v>
      </c>
      <c r="N1952" s="84" t="s">
        <v>591</v>
      </c>
      <c r="O1952" s="84" t="s">
        <v>8</v>
      </c>
      <c r="P1952" s="84" t="str">
        <f>IF(AND('331-CT'!$E$7=TH!H1949,OR(N1952="331",O1952="331")),"x","")</f>
        <v/>
      </c>
      <c r="Q1952" s="84" t="str">
        <f>IF(AND(B1952='111'!$L$11,OR($N1952=$Q$7,$O1952=$Q$7)),"x","")</f>
        <v/>
      </c>
      <c r="R1952" s="84" t="str">
        <f>IF(AND($N1952=$Q$7,$B1952&lt;'111'!$L$11),"x","")</f>
        <v/>
      </c>
      <c r="S1952" s="84" t="str">
        <f>IF(AND($O1952=$Q$7,$B1952&lt;'111'!$L$11),"x","")</f>
        <v/>
      </c>
      <c r="T1952" s="84" t="str">
        <f>IF(ISERROR(FIND('112'!$M$9,G1952,1)),"",IF((AND(FIND('112'!$M$9,G1952,1)&gt;=1,B1952='112'!$K$9,OR($N1952='112'!$I$6,$O1952='112'!$I$6))),"x",""))</f>
        <v/>
      </c>
      <c r="U1952" s="84" t="str">
        <f>IF(ISERROR(FIND('112'!$M$9,G1952,1)),"",IF((AND(LEFT(G1952,2)=LEFT('112'!$M$9,2),B1952&lt;'112'!$K$9,$N1952='112'!$I$6)),"x",""))</f>
        <v/>
      </c>
      <c r="V1952" s="84" t="str">
        <f>IF(ISERROR(FIND('112'!$M$9,G1952,1)),"",IF((AND(RIGHT(G1952,2)=RIGHT('112'!$M$9,2),B1952&lt;'112'!$K$9,$O1952='112'!$I$6)),"x",""))</f>
        <v/>
      </c>
      <c r="W1952" s="84" t="str">
        <f>IF(AND('341-CT'!$H$9=H1952,OR(LEFT(N1952,3)=$W$7,LEFT(O1952,3)=$W$7)),"x","")</f>
        <v/>
      </c>
      <c r="X1952" s="84" t="str">
        <f>IF(OR(TH!N1949=TH!$X$7,O1952=TH!$X$7),"x","")</f>
        <v/>
      </c>
      <c r="Y1952" s="84" t="str">
        <f>IF(AND(OR(N1952="131",O1952="131"),H1952='131-CT'!$H$9),"x","")</f>
        <v/>
      </c>
      <c r="Z1952" s="84"/>
      <c r="AA1952" s="84" t="str">
        <f>IF(AND(MONTH(E1952)='IN-NX'!$J$5,'IN-NX'!$D$7=D1952),"x","")</f>
        <v/>
      </c>
      <c r="AB1952" s="84" t="str">
        <f>IF(AND(OR(LEFT(TH!N1949,2)="15",LEFT(TH!O1949,2)="15"),LEFT(TH!O1949,3)&lt;&gt;"111",'152-CT'!$J$8=TH!F1949),"x","")</f>
        <v/>
      </c>
      <c r="AC1952" s="84" t="str">
        <f>IF(AND(OR(LEFT(TH!N1949,2)="15",LEFT(TH!O1949,2)="15"),TK!$E$7=TH!F1949),"x","")</f>
        <v/>
      </c>
      <c r="AD1952" s="84" t="str">
        <f>IF(AND(N1952="1521",MONTH(C1952)='BK-NL'!$M$11),"x","")</f>
        <v/>
      </c>
      <c r="AE1952" s="343" t="str">
        <f t="shared" si="260"/>
        <v>x</v>
      </c>
      <c r="AF1952" s="330">
        <v>7</v>
      </c>
    </row>
    <row r="1953" spans="1:32" s="347" customFormat="1" ht="15.75" hidden="1" customHeight="1">
      <c r="A1953" s="1176" t="str">
        <f>IF(B1953&lt;&gt;"",IF(AND(B1953='IN-TC'!$S$4,OR(TH!N1950="1111",TH!O1950="1111")),TH!D1950,""),"")</f>
        <v/>
      </c>
      <c r="B1953" s="1003">
        <f t="shared" si="259"/>
        <v>7</v>
      </c>
      <c r="C1953" s="80">
        <v>42582</v>
      </c>
      <c r="D1953" s="80" t="s">
        <v>582</v>
      </c>
      <c r="E1953" s="80">
        <v>42573</v>
      </c>
      <c r="F1953" s="81" t="s">
        <v>640</v>
      </c>
      <c r="G1953" s="985" t="s">
        <v>1764</v>
      </c>
      <c r="H1953" s="82" t="s">
        <v>630</v>
      </c>
      <c r="I1953" s="437"/>
      <c r="J1953" s="437"/>
      <c r="K1953" s="428"/>
      <c r="L1953" s="437"/>
      <c r="M1953" s="83">
        <v>200000</v>
      </c>
      <c r="N1953" s="84" t="s">
        <v>9</v>
      </c>
      <c r="O1953" s="84" t="s">
        <v>8</v>
      </c>
      <c r="P1953" s="84" t="str">
        <f>IF(AND('331-CT'!$E$7=TH!H1950,OR(N1953="331",O1953="331")),"x","")</f>
        <v/>
      </c>
      <c r="Q1953" s="84" t="str">
        <f>IF(AND(B1953='111'!$L$11,OR($N1953=$Q$7,$O1953=$Q$7)),"x","")</f>
        <v/>
      </c>
      <c r="R1953" s="84" t="str">
        <f>IF(AND($N1953=$Q$7,$B1953&lt;'111'!$L$11),"x","")</f>
        <v/>
      </c>
      <c r="S1953" s="84" t="str">
        <f>IF(AND($O1953=$Q$7,$B1953&lt;'111'!$L$11),"x","")</f>
        <v/>
      </c>
      <c r="T1953" s="84" t="str">
        <f>IF(ISERROR(FIND('112'!$M$9,G1953,1)),"",IF((AND(FIND('112'!$M$9,G1953,1)&gt;=1,B1953='112'!$K$9,OR($N1953='112'!$I$6,$O1953='112'!$I$6))),"x",""))</f>
        <v/>
      </c>
      <c r="U1953" s="84" t="str">
        <f>IF(ISERROR(FIND('112'!$M$9,G1953,1)),"",IF((AND(LEFT(G1953,2)=LEFT('112'!$M$9,2),B1953&lt;'112'!$K$9,$N1953='112'!$I$6)),"x",""))</f>
        <v/>
      </c>
      <c r="V1953" s="84" t="str">
        <f>IF(ISERROR(FIND('112'!$M$9,G1953,1)),"",IF((AND(RIGHT(G1953,2)=RIGHT('112'!$M$9,2),B1953&lt;'112'!$K$9,$O1953='112'!$I$6)),"x",""))</f>
        <v/>
      </c>
      <c r="W1953" s="84" t="str">
        <f>IF(AND('341-CT'!$H$9=H1953,OR(LEFT(N1953,3)=$W$7,LEFT(O1953,3)=$W$7)),"x","")</f>
        <v/>
      </c>
      <c r="X1953" s="84" t="str">
        <f>IF(OR(TH!N1950=TH!$X$7,O1953=TH!$X$7),"x","")</f>
        <v/>
      </c>
      <c r="Y1953" s="84" t="str">
        <f>IF(AND(OR(N1953="131",O1953="131"),H1953='131-CT'!$H$9),"x","")</f>
        <v/>
      </c>
      <c r="Z1953" s="84"/>
      <c r="AA1953" s="84" t="str">
        <f>IF(AND(MONTH(E1953)='IN-NX'!$J$5,'IN-NX'!$D$7=D1953),"x","")</f>
        <v/>
      </c>
      <c r="AB1953" s="84" t="str">
        <f>IF(AND(OR(LEFT(TH!N1950,2)="15",LEFT(TH!O1950,2)="15"),LEFT(TH!O1950,3)&lt;&gt;"111",'152-CT'!$J$8=TH!F1950),"x","")</f>
        <v/>
      </c>
      <c r="AC1953" s="84" t="str">
        <f>IF(AND(OR(LEFT(TH!N1950,2)="15",LEFT(TH!O1950,2)="15"),TK!$E$7=TH!F1950),"x","")</f>
        <v/>
      </c>
      <c r="AD1953" s="84" t="str">
        <f>IF(AND(N1953="1521",MONTH(C1953)='BK-NL'!$M$11),"x","")</f>
        <v/>
      </c>
      <c r="AE1953" s="343" t="str">
        <f t="shared" si="260"/>
        <v>x</v>
      </c>
      <c r="AF1953" s="330">
        <v>7</v>
      </c>
    </row>
    <row r="1954" spans="1:32" s="347" customFormat="1" ht="15.75" hidden="1" customHeight="1">
      <c r="A1954" s="1176" t="str">
        <f>IF(B1954&lt;&gt;"",IF(AND(B1954='IN-TC'!$S$4,OR(TH!N1951="1111",TH!O1951="1111")),TH!D1951,""),"")</f>
        <v/>
      </c>
      <c r="B1954" s="1003">
        <f t="shared" si="259"/>
        <v>7</v>
      </c>
      <c r="C1954" s="80">
        <v>42582</v>
      </c>
      <c r="D1954" s="80" t="s">
        <v>582</v>
      </c>
      <c r="E1954" s="80">
        <v>42577</v>
      </c>
      <c r="F1954" s="81" t="s">
        <v>639</v>
      </c>
      <c r="G1954" s="985" t="s">
        <v>1765</v>
      </c>
      <c r="H1954" s="82" t="s">
        <v>630</v>
      </c>
      <c r="I1954" s="437"/>
      <c r="J1954" s="437"/>
      <c r="K1954" s="428"/>
      <c r="L1954" s="437"/>
      <c r="M1954" s="83">
        <v>2000000</v>
      </c>
      <c r="N1954" s="84" t="s">
        <v>591</v>
      </c>
      <c r="O1954" s="84" t="s">
        <v>8</v>
      </c>
      <c r="P1954" s="84" t="str">
        <f>IF(AND('331-CT'!$E$7=TH!H1951,OR(N1954="331",O1954="331")),"x","")</f>
        <v/>
      </c>
      <c r="Q1954" s="84" t="str">
        <f>IF(AND(B1954='111'!$L$11,OR($N1954=$Q$7,$O1954=$Q$7)),"x","")</f>
        <v/>
      </c>
      <c r="R1954" s="84" t="str">
        <f>IF(AND($N1954=$Q$7,$B1954&lt;'111'!$L$11),"x","")</f>
        <v/>
      </c>
      <c r="S1954" s="84" t="str">
        <f>IF(AND($O1954=$Q$7,$B1954&lt;'111'!$L$11),"x","")</f>
        <v/>
      </c>
      <c r="T1954" s="84" t="str">
        <f>IF(ISERROR(FIND('112'!$M$9,G1954,1)),"",IF((AND(FIND('112'!$M$9,G1954,1)&gt;=1,B1954='112'!$K$9,OR($N1954='112'!$I$6,$O1954='112'!$I$6))),"x",""))</f>
        <v/>
      </c>
      <c r="U1954" s="84" t="str">
        <f>IF(ISERROR(FIND('112'!$M$9,G1954,1)),"",IF((AND(LEFT(G1954,2)=LEFT('112'!$M$9,2),B1954&lt;'112'!$K$9,$N1954='112'!$I$6)),"x",""))</f>
        <v/>
      </c>
      <c r="V1954" s="84" t="str">
        <f>IF(ISERROR(FIND('112'!$M$9,G1954,1)),"",IF((AND(RIGHT(G1954,2)=RIGHT('112'!$M$9,2),B1954&lt;'112'!$K$9,$O1954='112'!$I$6)),"x",""))</f>
        <v/>
      </c>
      <c r="W1954" s="84" t="str">
        <f>IF(AND('341-CT'!$H$9=H1954,OR(LEFT(N1954,3)=$W$7,LEFT(O1954,3)=$W$7)),"x","")</f>
        <v/>
      </c>
      <c r="X1954" s="84" t="str">
        <f>IF(OR(TH!N1951=TH!$X$7,O1954=TH!$X$7),"x","")</f>
        <v/>
      </c>
      <c r="Y1954" s="84" t="str">
        <f>IF(AND(OR(N1954="131",O1954="131"),H1954='131-CT'!$H$9),"x","")</f>
        <v/>
      </c>
      <c r="Z1954" s="84"/>
      <c r="AA1954" s="84" t="str">
        <f>IF(AND(MONTH(E1954)='IN-NX'!$J$5,'IN-NX'!$D$7=D1954),"x","")</f>
        <v/>
      </c>
      <c r="AB1954" s="84" t="str">
        <f>IF(AND(OR(LEFT(TH!N1951,2)="15",LEFT(TH!O1951,2)="15"),LEFT(TH!O1951,3)&lt;&gt;"111",'152-CT'!$J$8=TH!F1951),"x","")</f>
        <v/>
      </c>
      <c r="AC1954" s="84" t="str">
        <f>IF(AND(OR(LEFT(TH!N1951,2)="15",LEFT(TH!O1951,2)="15"),TK!$E$7=TH!F1951),"x","")</f>
        <v/>
      </c>
      <c r="AD1954" s="84" t="str">
        <f>IF(AND(N1954="1521",MONTH(C1954)='BK-NL'!$M$11),"x","")</f>
        <v/>
      </c>
      <c r="AE1954" s="343" t="str">
        <f t="shared" si="260"/>
        <v>x</v>
      </c>
      <c r="AF1954" s="330">
        <v>7</v>
      </c>
    </row>
    <row r="1955" spans="1:32" s="347" customFormat="1" ht="15.75" hidden="1" customHeight="1">
      <c r="A1955" s="1176" t="str">
        <f>IF(B1955&lt;&gt;"",IF(AND(B1955='IN-TC'!$S$4,OR(TH!N1952="1111",TH!O1952="1111")),TH!D1952,""),"")</f>
        <v/>
      </c>
      <c r="B1955" s="1003">
        <f t="shared" si="259"/>
        <v>7</v>
      </c>
      <c r="C1955" s="80">
        <v>42582</v>
      </c>
      <c r="D1955" s="80" t="s">
        <v>582</v>
      </c>
      <c r="E1955" s="80">
        <v>42577</v>
      </c>
      <c r="F1955" s="81" t="s">
        <v>640</v>
      </c>
      <c r="G1955" s="985" t="s">
        <v>1765</v>
      </c>
      <c r="H1955" s="82" t="s">
        <v>630</v>
      </c>
      <c r="I1955" s="437"/>
      <c r="J1955" s="437"/>
      <c r="K1955" s="428"/>
      <c r="L1955" s="437"/>
      <c r="M1955" s="83">
        <v>200000</v>
      </c>
      <c r="N1955" s="84" t="s">
        <v>9</v>
      </c>
      <c r="O1955" s="84" t="s">
        <v>8</v>
      </c>
      <c r="P1955" s="84" t="str">
        <f>IF(AND('331-CT'!$E$7=TH!H1952,OR(N1955="331",O1955="331")),"x","")</f>
        <v/>
      </c>
      <c r="Q1955" s="84" t="str">
        <f>IF(AND(B1955='111'!$L$11,OR($N1955=$Q$7,$O1955=$Q$7)),"x","")</f>
        <v/>
      </c>
      <c r="R1955" s="84" t="str">
        <f>IF(AND($N1955=$Q$7,$B1955&lt;'111'!$L$11),"x","")</f>
        <v/>
      </c>
      <c r="S1955" s="84" t="str">
        <f>IF(AND($O1955=$Q$7,$B1955&lt;'111'!$L$11),"x","")</f>
        <v/>
      </c>
      <c r="T1955" s="84" t="str">
        <f>IF(ISERROR(FIND('112'!$M$9,G1955,1)),"",IF((AND(FIND('112'!$M$9,G1955,1)&gt;=1,B1955='112'!$K$9,OR($N1955='112'!$I$6,$O1955='112'!$I$6))),"x",""))</f>
        <v/>
      </c>
      <c r="U1955" s="84" t="str">
        <f>IF(ISERROR(FIND('112'!$M$9,G1955,1)),"",IF((AND(LEFT(G1955,2)=LEFT('112'!$M$9,2),B1955&lt;'112'!$K$9,$N1955='112'!$I$6)),"x",""))</f>
        <v/>
      </c>
      <c r="V1955" s="84" t="str">
        <f>IF(ISERROR(FIND('112'!$M$9,G1955,1)),"",IF((AND(RIGHT(G1955,2)=RIGHT('112'!$M$9,2),B1955&lt;'112'!$K$9,$O1955='112'!$I$6)),"x",""))</f>
        <v/>
      </c>
      <c r="W1955" s="84" t="str">
        <f>IF(AND('341-CT'!$H$9=H1955,OR(LEFT(N1955,3)=$W$7,LEFT(O1955,3)=$W$7)),"x","")</f>
        <v/>
      </c>
      <c r="X1955" s="84" t="str">
        <f>IF(OR(TH!N1952=TH!$X$7,O1955=TH!$X$7),"x","")</f>
        <v/>
      </c>
      <c r="Y1955" s="84" t="str">
        <f>IF(AND(OR(N1955="131",O1955="131"),H1955='131-CT'!$H$9),"x","")</f>
        <v/>
      </c>
      <c r="Z1955" s="84"/>
      <c r="AA1955" s="84" t="str">
        <f>IF(AND(MONTH(E1955)='IN-NX'!$J$5,'IN-NX'!$D$7=D1955),"x","")</f>
        <v/>
      </c>
      <c r="AB1955" s="84" t="str">
        <f>IF(AND(OR(LEFT(TH!N1952,2)="15",LEFT(TH!O1952,2)="15"),LEFT(TH!O1952,3)&lt;&gt;"111",'152-CT'!$J$8=TH!F1952),"x","")</f>
        <v/>
      </c>
      <c r="AC1955" s="84" t="str">
        <f>IF(AND(OR(LEFT(TH!N1952,2)="15",LEFT(TH!O1952,2)="15"),TK!$E$7=TH!F1952),"x","")</f>
        <v/>
      </c>
      <c r="AD1955" s="84" t="str">
        <f>IF(AND(N1955="1521",MONTH(C1955)='BK-NL'!$M$11),"x","")</f>
        <v/>
      </c>
      <c r="AE1955" s="343" t="str">
        <f t="shared" si="260"/>
        <v>x</v>
      </c>
      <c r="AF1955" s="330">
        <v>7</v>
      </c>
    </row>
    <row r="1956" spans="1:32" s="347" customFormat="1" ht="15.75" hidden="1" customHeight="1">
      <c r="A1956" s="1176" t="str">
        <f>IF(B1956&lt;&gt;"",IF(AND(B1956='IN-TC'!$S$4,OR(TH!N1953="1111",TH!O1953="1111")),TH!D1953,""),"")</f>
        <v/>
      </c>
      <c r="B1956" s="1003">
        <f t="shared" si="259"/>
        <v>7</v>
      </c>
      <c r="C1956" s="80">
        <v>42582</v>
      </c>
      <c r="D1956" s="80" t="s">
        <v>582</v>
      </c>
      <c r="E1956" s="80">
        <v>42577</v>
      </c>
      <c r="F1956" s="81" t="s">
        <v>1771</v>
      </c>
      <c r="G1956" s="985" t="s">
        <v>1794</v>
      </c>
      <c r="H1956" s="82" t="s">
        <v>632</v>
      </c>
      <c r="I1956" s="437"/>
      <c r="J1956" s="437"/>
      <c r="K1956" s="428"/>
      <c r="L1956" s="437"/>
      <c r="M1956" s="83">
        <v>15847800</v>
      </c>
      <c r="N1956" s="84" t="s">
        <v>282</v>
      </c>
      <c r="O1956" s="84" t="s">
        <v>8</v>
      </c>
      <c r="P1956" s="84" t="str">
        <f>IF(AND('331-CT'!$E$7=TH!H1953,OR(N1956="331",O1956="331")),"x","")</f>
        <v/>
      </c>
      <c r="Q1956" s="84" t="str">
        <f>IF(AND(B1956='111'!$L$11,OR($N1956=$Q$7,$O1956=$Q$7)),"x","")</f>
        <v/>
      </c>
      <c r="R1956" s="84" t="str">
        <f>IF(AND($N1956=$Q$7,$B1956&lt;'111'!$L$11),"x","")</f>
        <v/>
      </c>
      <c r="S1956" s="84" t="str">
        <f>IF(AND($O1956=$Q$7,$B1956&lt;'111'!$L$11),"x","")</f>
        <v/>
      </c>
      <c r="T1956" s="84" t="str">
        <f>IF(ISERROR(FIND('112'!$M$9,G1956,1)),"",IF((AND(FIND('112'!$M$9,G1956,1)&gt;=1,B1956='112'!$K$9,OR($N1956='112'!$I$6,$O1956='112'!$I$6))),"x",""))</f>
        <v/>
      </c>
      <c r="U1956" s="84" t="str">
        <f>IF(ISERROR(FIND('112'!$M$9,G1956,1)),"",IF((AND(LEFT(G1956,2)=LEFT('112'!$M$9,2),B1956&lt;'112'!$K$9,$N1956='112'!$I$6)),"x",""))</f>
        <v/>
      </c>
      <c r="V1956" s="84" t="str">
        <f>IF(ISERROR(FIND('112'!$M$9,G1956,1)),"",IF((AND(RIGHT(G1956,2)=RIGHT('112'!$M$9,2),B1956&lt;'112'!$K$9,$O1956='112'!$I$6)),"x",""))</f>
        <v/>
      </c>
      <c r="W1956" s="84" t="str">
        <f>IF(AND('341-CT'!$H$9=H1956,OR(LEFT(N1956,3)=$W$7,LEFT(O1956,3)=$W$7)),"x","")</f>
        <v/>
      </c>
      <c r="X1956" s="84" t="str">
        <f>IF(OR(TH!N1953=TH!$X$7,O1956=TH!$X$7),"x","")</f>
        <v/>
      </c>
      <c r="Y1956" s="84" t="str">
        <f>IF(AND(OR(N1956="131",O1956="131"),H1956='131-CT'!$H$9),"x","")</f>
        <v/>
      </c>
      <c r="Z1956" s="84"/>
      <c r="AA1956" s="84" t="str">
        <f>IF(AND(MONTH(E1956)='IN-NX'!$J$5,'IN-NX'!$D$7=D1956),"x","")</f>
        <v/>
      </c>
      <c r="AB1956" s="84" t="str">
        <f>IF(AND(OR(LEFT(TH!N1953,2)="15",LEFT(TH!O1953,2)="15"),LEFT(TH!O1953,3)&lt;&gt;"111",'152-CT'!$J$8=TH!F1953),"x","")</f>
        <v/>
      </c>
      <c r="AC1956" s="84" t="str">
        <f>IF(AND(OR(LEFT(TH!N1953,2)="15",LEFT(TH!O1953,2)="15"),TK!$E$7=TH!F1953),"x","")</f>
        <v/>
      </c>
      <c r="AD1956" s="84" t="str">
        <f>IF(AND(N1956="1521",MONTH(C1956)='BK-NL'!$M$11),"x","")</f>
        <v/>
      </c>
      <c r="AE1956" s="343" t="str">
        <f t="shared" si="260"/>
        <v>x</v>
      </c>
      <c r="AF1956" s="330">
        <v>7</v>
      </c>
    </row>
    <row r="1957" spans="1:32" s="347" customFormat="1" ht="15.75" hidden="1" customHeight="1">
      <c r="A1957" s="1176" t="str">
        <f>IF(B1957&lt;&gt;"",IF(AND(B1957='IN-TC'!$S$4,OR(TH!N1954="1111",TH!O1954="1111")),TH!D1954,""),"")</f>
        <v/>
      </c>
      <c r="B1957" s="1003">
        <f t="shared" si="259"/>
        <v>7</v>
      </c>
      <c r="C1957" s="80">
        <v>42582</v>
      </c>
      <c r="D1957" s="80" t="s">
        <v>582</v>
      </c>
      <c r="E1957" s="80">
        <v>42577</v>
      </c>
      <c r="F1957" s="81" t="s">
        <v>1772</v>
      </c>
      <c r="G1957" s="985" t="s">
        <v>1794</v>
      </c>
      <c r="H1957" s="82" t="s">
        <v>632</v>
      </c>
      <c r="I1957" s="437"/>
      <c r="J1957" s="437"/>
      <c r="K1957" s="428"/>
      <c r="L1957" s="437"/>
      <c r="M1957" s="83">
        <v>1584780</v>
      </c>
      <c r="N1957" s="84" t="s">
        <v>9</v>
      </c>
      <c r="O1957" s="84" t="s">
        <v>8</v>
      </c>
      <c r="P1957" s="84" t="str">
        <f>IF(AND('331-CT'!$E$7=TH!H1954,OR(N1957="331",O1957="331")),"x","")</f>
        <v/>
      </c>
      <c r="Q1957" s="84" t="str">
        <f>IF(AND(B1957='111'!$L$11,OR($N1957=$Q$7,$O1957=$Q$7)),"x","")</f>
        <v/>
      </c>
      <c r="R1957" s="84" t="str">
        <f>IF(AND($N1957=$Q$7,$B1957&lt;'111'!$L$11),"x","")</f>
        <v/>
      </c>
      <c r="S1957" s="84" t="str">
        <f>IF(AND($O1957=$Q$7,$B1957&lt;'111'!$L$11),"x","")</f>
        <v/>
      </c>
      <c r="T1957" s="84" t="str">
        <f>IF(ISERROR(FIND('112'!$M$9,G1957,1)),"",IF((AND(FIND('112'!$M$9,G1957,1)&gt;=1,B1957='112'!$K$9,OR($N1957='112'!$I$6,$O1957='112'!$I$6))),"x",""))</f>
        <v/>
      </c>
      <c r="U1957" s="84" t="str">
        <f>IF(ISERROR(FIND('112'!$M$9,G1957,1)),"",IF((AND(LEFT(G1957,2)=LEFT('112'!$M$9,2),B1957&lt;'112'!$K$9,$N1957='112'!$I$6)),"x",""))</f>
        <v/>
      </c>
      <c r="V1957" s="84" t="str">
        <f>IF(ISERROR(FIND('112'!$M$9,G1957,1)),"",IF((AND(RIGHT(G1957,2)=RIGHT('112'!$M$9,2),B1957&lt;'112'!$K$9,$O1957='112'!$I$6)),"x",""))</f>
        <v/>
      </c>
      <c r="W1957" s="84" t="str">
        <f>IF(AND('341-CT'!$H$9=H1957,OR(LEFT(N1957,3)=$W$7,LEFT(O1957,3)=$W$7)),"x","")</f>
        <v/>
      </c>
      <c r="X1957" s="84" t="str">
        <f>IF(OR(TH!N1954=TH!$X$7,O1957=TH!$X$7),"x","")</f>
        <v/>
      </c>
      <c r="Y1957" s="84" t="str">
        <f>IF(AND(OR(N1957="131",O1957="131"),H1957='131-CT'!$H$9),"x","")</f>
        <v/>
      </c>
      <c r="Z1957" s="84"/>
      <c r="AA1957" s="84" t="str">
        <f>IF(AND(MONTH(E1957)='IN-NX'!$J$5,'IN-NX'!$D$7=D1957),"x","")</f>
        <v/>
      </c>
      <c r="AB1957" s="84" t="str">
        <f>IF(AND(OR(LEFT(TH!N1954,2)="15",LEFT(TH!O1954,2)="15"),LEFT(TH!O1954,3)&lt;&gt;"111",'152-CT'!$J$8=TH!F1954),"x","")</f>
        <v/>
      </c>
      <c r="AC1957" s="84" t="str">
        <f>IF(AND(OR(LEFT(TH!N1954,2)="15",LEFT(TH!O1954,2)="15"),TK!$E$7=TH!F1954),"x","")</f>
        <v/>
      </c>
      <c r="AD1957" s="84" t="str">
        <f>IF(AND(N1957="1521",MONTH(C1957)='BK-NL'!$M$11),"x","")</f>
        <v/>
      </c>
      <c r="AE1957" s="343" t="str">
        <f t="shared" si="260"/>
        <v>x</v>
      </c>
      <c r="AF1957" s="330">
        <v>7</v>
      </c>
    </row>
    <row r="1958" spans="1:32" s="347" customFormat="1" ht="15.75" hidden="1" customHeight="1">
      <c r="A1958" s="1176" t="str">
        <f>IF(B1958&lt;&gt;"",IF(AND(B1958='IN-TC'!$S$4,OR(TH!N1957="1111",TH!O1957="1111")),TH!D1957,""),"")</f>
        <v/>
      </c>
      <c r="B1958" s="1003">
        <f t="shared" si="259"/>
        <v>7</v>
      </c>
      <c r="C1958" s="80">
        <v>42582</v>
      </c>
      <c r="D1958" s="80" t="s">
        <v>582</v>
      </c>
      <c r="E1958" s="80">
        <v>42581</v>
      </c>
      <c r="F1958" s="81" t="s">
        <v>1853</v>
      </c>
      <c r="G1958" s="985" t="s">
        <v>1855</v>
      </c>
      <c r="H1958" s="82" t="s">
        <v>1385</v>
      </c>
      <c r="I1958" s="437"/>
      <c r="J1958" s="437"/>
      <c r="K1958" s="428"/>
      <c r="L1958" s="437"/>
      <c r="M1958" s="83">
        <v>8960610</v>
      </c>
      <c r="N1958" s="84" t="s">
        <v>101</v>
      </c>
      <c r="O1958" s="84" t="s">
        <v>8</v>
      </c>
      <c r="P1958" s="84" t="str">
        <f>IF(AND('331-CT'!$E$7=TH!H1957,OR(N1958="331",O1958="331")),"x","")</f>
        <v/>
      </c>
      <c r="Q1958" s="84" t="str">
        <f>IF(AND(B1958='111'!$L$11,OR($N1958=$Q$7,$O1958=$Q$7)),"x","")</f>
        <v/>
      </c>
      <c r="R1958" s="84" t="str">
        <f>IF(AND($N1958=$Q$7,$B1958&lt;'111'!$L$11),"x","")</f>
        <v/>
      </c>
      <c r="S1958" s="84" t="str">
        <f>IF(AND($O1958=$Q$7,$B1958&lt;'111'!$L$11),"x","")</f>
        <v/>
      </c>
      <c r="T1958" s="84" t="str">
        <f>IF(ISERROR(FIND('112'!$M$9,G1958,1)),"",IF((AND(FIND('112'!$M$9,G1958,1)&gt;=1,B1958='112'!$K$9,OR($N1958='112'!$I$6,$O1958='112'!$I$6))),"x",""))</f>
        <v/>
      </c>
      <c r="U1958" s="84" t="str">
        <f>IF(ISERROR(FIND('112'!$M$9,G1958,1)),"",IF((AND(LEFT(G1958,2)=LEFT('112'!$M$9,2),B1958&lt;'112'!$K$9,$N1958='112'!$I$6)),"x",""))</f>
        <v/>
      </c>
      <c r="V1958" s="84" t="str">
        <f>IF(ISERROR(FIND('112'!$M$9,G1958,1)),"",IF((AND(RIGHT(G1958,2)=RIGHT('112'!$M$9,2),B1958&lt;'112'!$K$9,$O1958='112'!$I$6)),"x",""))</f>
        <v/>
      </c>
      <c r="W1958" s="84" t="str">
        <f>IF(AND('341-CT'!$H$9=H1958,OR(LEFT(N1958,3)=$W$7,LEFT(O1958,3)=$W$7)),"x","")</f>
        <v/>
      </c>
      <c r="X1958" s="84" t="str">
        <f>IF(OR(TH!N1957=TH!$X$7,O1958=TH!$X$7),"x","")</f>
        <v/>
      </c>
      <c r="Y1958" s="84" t="str">
        <f>IF(AND(OR(N1958="131",O1958="131"),H1958='131-CT'!$H$9),"x","")</f>
        <v/>
      </c>
      <c r="Z1958" s="84"/>
      <c r="AA1958" s="84" t="str">
        <f>IF(AND(MONTH(E1958)='IN-NX'!$J$5,'IN-NX'!$D$7=D1958),"x","")</f>
        <v/>
      </c>
      <c r="AB1958" s="84" t="str">
        <f>IF(AND(OR(LEFT(TH!N1957,2)="15",LEFT(TH!O1957,2)="15"),LEFT(TH!O1957,3)&lt;&gt;"111",'152-CT'!$J$8=TH!F1957),"x","")</f>
        <v/>
      </c>
      <c r="AC1958" s="84" t="str">
        <f>IF(AND(OR(LEFT(TH!N1957,2)="15",LEFT(TH!O1957,2)="15"),TK!$E$7=TH!F1957),"x","")</f>
        <v/>
      </c>
      <c r="AD1958" s="84" t="str">
        <f>IF(AND(N1958="1521",MONTH(C1958)='BK-NL'!$M$11),"x","")</f>
        <v/>
      </c>
      <c r="AE1958" s="343" t="str">
        <f t="shared" si="260"/>
        <v>x</v>
      </c>
      <c r="AF1958" s="330">
        <v>7</v>
      </c>
    </row>
    <row r="1959" spans="1:32" s="347" customFormat="1" ht="15.75" hidden="1" customHeight="1">
      <c r="A1959" s="1176" t="str">
        <f>IF(B1959&lt;&gt;"",IF(AND(B1959='IN-TC'!$S$4,OR(TH!N1958="1111",TH!O1958="1111")),TH!D1958,""),"")</f>
        <v/>
      </c>
      <c r="B1959" s="1003">
        <f t="shared" si="259"/>
        <v>7</v>
      </c>
      <c r="C1959" s="80">
        <v>42582</v>
      </c>
      <c r="D1959" s="80" t="s">
        <v>582</v>
      </c>
      <c r="E1959" s="80">
        <v>42581</v>
      </c>
      <c r="F1959" s="81" t="s">
        <v>1854</v>
      </c>
      <c r="G1959" s="985" t="s">
        <v>1855</v>
      </c>
      <c r="H1959" s="82" t="s">
        <v>1385</v>
      </c>
      <c r="I1959" s="437"/>
      <c r="J1959" s="437"/>
      <c r="K1959" s="428"/>
      <c r="L1959" s="437"/>
      <c r="M1959" s="83">
        <v>576543</v>
      </c>
      <c r="N1959" s="84" t="s">
        <v>9</v>
      </c>
      <c r="O1959" s="84" t="s">
        <v>8</v>
      </c>
      <c r="P1959" s="84" t="str">
        <f>IF(AND('331-CT'!$E$7=TH!H1958,OR(N1959="331",O1959="331")),"x","")</f>
        <v/>
      </c>
      <c r="Q1959" s="84" t="str">
        <f>IF(AND(B1959='111'!$L$11,OR($N1959=$Q$7,$O1959=$Q$7)),"x","")</f>
        <v/>
      </c>
      <c r="R1959" s="84" t="str">
        <f>IF(AND($N1959=$Q$7,$B1959&lt;'111'!$L$11),"x","")</f>
        <v/>
      </c>
      <c r="S1959" s="84" t="str">
        <f>IF(AND($O1959=$Q$7,$B1959&lt;'111'!$L$11),"x","")</f>
        <v/>
      </c>
      <c r="T1959" s="84" t="str">
        <f>IF(ISERROR(FIND('112'!$M$9,G1959,1)),"",IF((AND(FIND('112'!$M$9,G1959,1)&gt;=1,B1959='112'!$K$9,OR($N1959='112'!$I$6,$O1959='112'!$I$6))),"x",""))</f>
        <v/>
      </c>
      <c r="U1959" s="84" t="str">
        <f>IF(ISERROR(FIND('112'!$M$9,G1959,1)),"",IF((AND(LEFT(G1959,2)=LEFT('112'!$M$9,2),B1959&lt;'112'!$K$9,$N1959='112'!$I$6)),"x",""))</f>
        <v/>
      </c>
      <c r="V1959" s="84" t="str">
        <f>IF(ISERROR(FIND('112'!$M$9,G1959,1)),"",IF((AND(RIGHT(G1959,2)=RIGHT('112'!$M$9,2),B1959&lt;'112'!$K$9,$O1959='112'!$I$6)),"x",""))</f>
        <v/>
      </c>
      <c r="W1959" s="84" t="str">
        <f>IF(AND('341-CT'!$H$9=H1959,OR(LEFT(N1959,3)=$W$7,LEFT(O1959,3)=$W$7)),"x","")</f>
        <v/>
      </c>
      <c r="X1959" s="84" t="str">
        <f>IF(OR(TH!N1958=TH!$X$7,O1959=TH!$X$7),"x","")</f>
        <v/>
      </c>
      <c r="Y1959" s="84" t="str">
        <f>IF(AND(OR(N1959="131",O1959="131"),H1959='131-CT'!$H$9),"x","")</f>
        <v/>
      </c>
      <c r="Z1959" s="84"/>
      <c r="AA1959" s="84" t="str">
        <f>IF(AND(MONTH(E1959)='IN-NX'!$J$5,'IN-NX'!$D$7=D1959),"x","")</f>
        <v/>
      </c>
      <c r="AB1959" s="84" t="str">
        <f>IF(AND(OR(LEFT(TH!N1958,2)="15",LEFT(TH!O1958,2)="15"),LEFT(TH!O1958,3)&lt;&gt;"111",'152-CT'!$J$8=TH!F1958),"x","")</f>
        <v/>
      </c>
      <c r="AC1959" s="84" t="str">
        <f>IF(AND(OR(LEFT(TH!N1958,2)="15",LEFT(TH!O1958,2)="15"),TK!$E$7=TH!F1958),"x","")</f>
        <v/>
      </c>
      <c r="AD1959" s="84" t="str">
        <f>IF(AND(N1959="1521",MONTH(C1959)='BK-NL'!$M$11),"x","")</f>
        <v/>
      </c>
      <c r="AE1959" s="343" t="str">
        <f t="shared" si="260"/>
        <v>x</v>
      </c>
      <c r="AF1959" s="330">
        <v>7</v>
      </c>
    </row>
    <row r="1960" spans="1:32" s="347" customFormat="1" ht="15.75" hidden="1" customHeight="1">
      <c r="A1960" s="1176" t="str">
        <f>IF(B1960&lt;&gt;"",IF(AND(B1960='IN-TC'!$S$4,OR(TH!N1955="1111",TH!O1955="1111")),TH!D1955,""),"")</f>
        <v/>
      </c>
      <c r="B1960" s="1003">
        <f t="shared" si="259"/>
        <v>7</v>
      </c>
      <c r="C1960" s="80">
        <v>42582</v>
      </c>
      <c r="D1960" s="80" t="s">
        <v>582</v>
      </c>
      <c r="E1960" s="80">
        <v>42582</v>
      </c>
      <c r="F1960" s="81" t="s">
        <v>1382</v>
      </c>
      <c r="G1960" s="985" t="s">
        <v>1758</v>
      </c>
      <c r="H1960" s="82" t="s">
        <v>1385</v>
      </c>
      <c r="I1960" s="437"/>
      <c r="J1960" s="437"/>
      <c r="K1960" s="428"/>
      <c r="L1960" s="437"/>
      <c r="M1960" s="83">
        <f>10978250+6165750+9132500</f>
        <v>26276500</v>
      </c>
      <c r="N1960" s="84" t="s">
        <v>101</v>
      </c>
      <c r="O1960" s="84" t="s">
        <v>8</v>
      </c>
      <c r="P1960" s="84" t="str">
        <f>IF(AND('331-CT'!$E$7=TH!H1955,OR(N1960="331",O1960="331")),"x","")</f>
        <v/>
      </c>
      <c r="Q1960" s="84" t="str">
        <f>IF(AND(B1960='111'!$L$11,OR($N1960=$Q$7,$O1960=$Q$7)),"x","")</f>
        <v/>
      </c>
      <c r="R1960" s="84" t="str">
        <f>IF(AND($N1960=$Q$7,$B1960&lt;'111'!$L$11),"x","")</f>
        <v/>
      </c>
      <c r="S1960" s="84" t="str">
        <f>IF(AND($O1960=$Q$7,$B1960&lt;'111'!$L$11),"x","")</f>
        <v/>
      </c>
      <c r="T1960" s="84" t="str">
        <f>IF(ISERROR(FIND('112'!$M$9,G1960,1)),"",IF((AND(FIND('112'!$M$9,G1960,1)&gt;=1,B1960='112'!$K$9,OR($N1960='112'!$I$6,$O1960='112'!$I$6))),"x",""))</f>
        <v/>
      </c>
      <c r="U1960" s="84" t="str">
        <f>IF(ISERROR(FIND('112'!$M$9,G1960,1)),"",IF((AND(LEFT(G1960,2)=LEFT('112'!$M$9,2),B1960&lt;'112'!$K$9,$N1960='112'!$I$6)),"x",""))</f>
        <v/>
      </c>
      <c r="V1960" s="84" t="str">
        <f>IF(ISERROR(FIND('112'!$M$9,G1960,1)),"",IF((AND(RIGHT(G1960,2)=RIGHT('112'!$M$9,2),B1960&lt;'112'!$K$9,$O1960='112'!$I$6)),"x",""))</f>
        <v/>
      </c>
      <c r="W1960" s="84" t="str">
        <f>IF(AND('341-CT'!$H$9=H1960,OR(LEFT(N1960,3)=$W$7,LEFT(O1960,3)=$W$7)),"x","")</f>
        <v/>
      </c>
      <c r="X1960" s="84" t="str">
        <f>IF(OR(TH!N1955=TH!$X$7,O1960=TH!$X$7),"x","")</f>
        <v/>
      </c>
      <c r="Y1960" s="84" t="str">
        <f>IF(AND(OR(N1960="131",O1960="131"),H1960='131-CT'!$H$9),"x","")</f>
        <v/>
      </c>
      <c r="Z1960" s="84"/>
      <c r="AA1960" s="84" t="str">
        <f>IF(AND(MONTH(E1960)='IN-NX'!$J$5,'IN-NX'!$D$7=D1960),"x","")</f>
        <v/>
      </c>
      <c r="AB1960" s="84" t="str">
        <f>IF(AND(OR(LEFT(TH!N1955,2)="15",LEFT(TH!O1955,2)="15"),LEFT(TH!O1955,3)&lt;&gt;"111",'152-CT'!$J$8=TH!F1955),"x","")</f>
        <v/>
      </c>
      <c r="AC1960" s="84" t="str">
        <f>IF(AND(OR(LEFT(TH!N1955,2)="15",LEFT(TH!O1955,2)="15"),TK!$E$7=TH!F1955),"x","")</f>
        <v/>
      </c>
      <c r="AD1960" s="84" t="str">
        <f>IF(AND(N1960="1521",MONTH(C1960)='BK-NL'!$M$11),"x","")</f>
        <v/>
      </c>
      <c r="AE1960" s="343" t="str">
        <f t="shared" si="260"/>
        <v>x</v>
      </c>
      <c r="AF1960" s="330">
        <v>7</v>
      </c>
    </row>
    <row r="1961" spans="1:32" s="347" customFormat="1" ht="15.75" hidden="1" customHeight="1">
      <c r="A1961" s="1176" t="str">
        <f>IF(B1961&lt;&gt;"",IF(AND(B1961='IN-TC'!$S$4,OR(TH!N1956="1111",TH!O1956="1111")),TH!D1956,""),"")</f>
        <v/>
      </c>
      <c r="B1961" s="1003">
        <f t="shared" si="259"/>
        <v>7</v>
      </c>
      <c r="C1961" s="80">
        <v>42582</v>
      </c>
      <c r="D1961" s="80" t="s">
        <v>582</v>
      </c>
      <c r="E1961" s="80">
        <v>42582</v>
      </c>
      <c r="F1961" s="81" t="s">
        <v>1383</v>
      </c>
      <c r="G1961" s="985" t="s">
        <v>1758</v>
      </c>
      <c r="H1961" s="82" t="s">
        <v>1385</v>
      </c>
      <c r="I1961" s="437"/>
      <c r="J1961" s="437"/>
      <c r="K1961" s="428"/>
      <c r="L1961" s="437"/>
      <c r="M1961" s="83">
        <f>728625+437375+636050</f>
        <v>1802050</v>
      </c>
      <c r="N1961" s="84" t="s">
        <v>9</v>
      </c>
      <c r="O1961" s="84" t="s">
        <v>8</v>
      </c>
      <c r="P1961" s="84" t="str">
        <f>IF(AND('331-CT'!$E$7=TH!H1956,OR(N1961="331",O1961="331")),"x","")</f>
        <v/>
      </c>
      <c r="Q1961" s="84" t="str">
        <f>IF(AND(B1961='111'!$L$11,OR($N1961=$Q$7,$O1961=$Q$7)),"x","")</f>
        <v/>
      </c>
      <c r="R1961" s="84" t="str">
        <f>IF(AND($N1961=$Q$7,$B1961&lt;'111'!$L$11),"x","")</f>
        <v/>
      </c>
      <c r="S1961" s="84" t="str">
        <f>IF(AND($O1961=$Q$7,$B1961&lt;'111'!$L$11),"x","")</f>
        <v/>
      </c>
      <c r="T1961" s="84" t="str">
        <f>IF(ISERROR(FIND('112'!$M$9,G1961,1)),"",IF((AND(FIND('112'!$M$9,G1961,1)&gt;=1,B1961='112'!$K$9,OR($N1961='112'!$I$6,$O1961='112'!$I$6))),"x",""))</f>
        <v/>
      </c>
      <c r="U1961" s="84" t="str">
        <f>IF(ISERROR(FIND('112'!$M$9,G1961,1)),"",IF((AND(LEFT(G1961,2)=LEFT('112'!$M$9,2),B1961&lt;'112'!$K$9,$N1961='112'!$I$6)),"x",""))</f>
        <v/>
      </c>
      <c r="V1961" s="84" t="str">
        <f>IF(ISERROR(FIND('112'!$M$9,G1961,1)),"",IF((AND(RIGHT(G1961,2)=RIGHT('112'!$M$9,2),B1961&lt;'112'!$K$9,$O1961='112'!$I$6)),"x",""))</f>
        <v/>
      </c>
      <c r="W1961" s="84" t="str">
        <f>IF(AND('341-CT'!$H$9=H1961,OR(LEFT(N1961,3)=$W$7,LEFT(O1961,3)=$W$7)),"x","")</f>
        <v/>
      </c>
      <c r="X1961" s="84" t="str">
        <f>IF(OR(TH!N1956=TH!$X$7,O1961=TH!$X$7),"x","")</f>
        <v/>
      </c>
      <c r="Y1961" s="84" t="str">
        <f>IF(AND(OR(N1961="131",O1961="131"),H1961='131-CT'!$H$9),"x","")</f>
        <v/>
      </c>
      <c r="Z1961" s="84"/>
      <c r="AA1961" s="84" t="str">
        <f>IF(AND(MONTH(E1961)='IN-NX'!$J$5,'IN-NX'!$D$7=D1961),"x","")</f>
        <v/>
      </c>
      <c r="AB1961" s="84" t="str">
        <f>IF(AND(OR(LEFT(TH!N1956,2)="15",LEFT(TH!O1956,2)="15"),LEFT(TH!O1956,3)&lt;&gt;"111",'152-CT'!$J$8=TH!F1956),"x","")</f>
        <v/>
      </c>
      <c r="AC1961" s="84" t="str">
        <f>IF(AND(OR(LEFT(TH!N1956,2)="15",LEFT(TH!O1956,2)="15"),TK!$E$7=TH!F1956),"x","")</f>
        <v/>
      </c>
      <c r="AD1961" s="84" t="str">
        <f>IF(AND(N1961="1521",MONTH(C1961)='BK-NL'!$M$11),"x","")</f>
        <v/>
      </c>
      <c r="AE1961" s="343" t="str">
        <f t="shared" si="260"/>
        <v>x</v>
      </c>
      <c r="AF1961" s="330">
        <v>7</v>
      </c>
    </row>
    <row r="1962" spans="1:32" s="1132" customFormat="1" ht="15.75" hidden="1" customHeight="1">
      <c r="A1962" s="1213" t="str">
        <f>IF(B1962&lt;&gt;"",IF(AND(B1962='IN-TC'!$S$4,OR(TH!N1957="1111",TH!O1957="1111")),TH!D1957,""),"")</f>
        <v/>
      </c>
      <c r="B1962" s="1129">
        <f t="shared" si="259"/>
        <v>7</v>
      </c>
      <c r="C1962" s="975">
        <v>42582</v>
      </c>
      <c r="D1962" s="975" t="s">
        <v>582</v>
      </c>
      <c r="E1962" s="975">
        <v>42582</v>
      </c>
      <c r="F1962" s="1169" t="s">
        <v>2006</v>
      </c>
      <c r="G1962" s="980"/>
      <c r="H1962" s="971"/>
      <c r="I1962" s="972"/>
      <c r="J1962" s="972"/>
      <c r="K1962" s="973"/>
      <c r="L1962" s="972"/>
      <c r="M1962" s="1130">
        <v>7261946</v>
      </c>
      <c r="N1962" s="1131" t="s">
        <v>9</v>
      </c>
      <c r="O1962" s="1131"/>
      <c r="P1962" s="1131" t="str">
        <f>IF(AND('331-CT'!$E$7=TH!H1957,OR(N1962="331",O1962="331")),"x","")</f>
        <v/>
      </c>
      <c r="Q1962" s="1131" t="str">
        <f>IF(AND(B1962='111'!$L$11,OR($N1962=$Q$7,$O1962=$Q$7)),"x","")</f>
        <v/>
      </c>
      <c r="R1962" s="1131" t="str">
        <f>IF(AND($N1962=$Q$7,$B1962&lt;'111'!$L$11),"x","")</f>
        <v/>
      </c>
      <c r="S1962" s="1131" t="str">
        <f>IF(AND($O1962=$Q$7,$B1962&lt;'111'!$L$11),"x","")</f>
        <v/>
      </c>
      <c r="T1962" s="1131" t="str">
        <f>IF(ISERROR(FIND('112'!$M$9,G1962,1)),"",IF((AND(FIND('112'!$M$9,G1962,1)&gt;=1,B1962='112'!$K$9,OR($N1962='112'!$I$6,$O1962='112'!$I$6))),"x",""))</f>
        <v/>
      </c>
      <c r="U1962" s="1131" t="str">
        <f>IF(ISERROR(FIND('112'!$M$9,G1962,1)),"",IF((AND(LEFT(G1962,2)=LEFT('112'!$M$9,2),B1962&lt;'112'!$K$9,$N1962='112'!$I$6)),"x",""))</f>
        <v/>
      </c>
      <c r="V1962" s="1131" t="str">
        <f>IF(ISERROR(FIND('112'!$M$9,G1962,1)),"",IF((AND(RIGHT(G1962,2)=RIGHT('112'!$M$9,2),B1962&lt;'112'!$K$9,$O1962='112'!$I$6)),"x",""))</f>
        <v/>
      </c>
      <c r="W1962" s="1131" t="str">
        <f>IF(AND('341-CT'!$H$9=H1962,OR(LEFT(N1962,3)=$W$7,LEFT(O1962,3)=$W$7)),"x","")</f>
        <v/>
      </c>
      <c r="X1962" s="1131" t="str">
        <f>IF(OR(TH!N1957=TH!$X$7,O1962=TH!$X$7),"x","")</f>
        <v/>
      </c>
      <c r="Y1962" s="1131" t="str">
        <f>IF(AND(OR(N1962="131",O1962="131"),H1962='131-CT'!$H$9),"x","")</f>
        <v/>
      </c>
      <c r="Z1962" s="1131"/>
      <c r="AA1962" s="1131" t="str">
        <f>IF(AND(MONTH(E1962)='IN-NX'!$J$5,'IN-NX'!$D$7=D1962),"x","")</f>
        <v/>
      </c>
      <c r="AB1962" s="1131" t="str">
        <f>IF(AND(OR(LEFT(TH!N1957,2)="15",LEFT(TH!O1957,2)="15"),LEFT(TH!O1957,3)&lt;&gt;"111",'152-CT'!$J$8=TH!F1957),"x","")</f>
        <v/>
      </c>
      <c r="AC1962" s="1131" t="str">
        <f>IF(AND(OR(LEFT(TH!N1957,2)="15",LEFT(TH!O1957,2)="15"),TK!$E$7=TH!F1957),"x","")</f>
        <v/>
      </c>
      <c r="AD1962" s="1131" t="str">
        <f>IF(AND(N1962="1521",MONTH(C1962)='BK-NL'!$M$11),"x","")</f>
        <v/>
      </c>
      <c r="AE1962" s="1156"/>
      <c r="AF1962" s="1132">
        <v>7</v>
      </c>
    </row>
    <row r="1963" spans="1:32" s="1132" customFormat="1" ht="15.75" hidden="1" customHeight="1">
      <c r="A1963" s="1213" t="str">
        <f>IF(B1963&lt;&gt;"",IF(AND(B1963='IN-TC'!$S$4,OR(TH!N1958="1111",TH!O1958="1111")),TH!D1958,""),"")</f>
        <v/>
      </c>
      <c r="B1963" s="1129">
        <f t="shared" si="259"/>
        <v>7</v>
      </c>
      <c r="C1963" s="975">
        <v>42582</v>
      </c>
      <c r="D1963" s="975" t="s">
        <v>582</v>
      </c>
      <c r="E1963" s="975">
        <v>42582</v>
      </c>
      <c r="F1963" s="1169" t="s">
        <v>2007</v>
      </c>
      <c r="G1963" s="980"/>
      <c r="H1963" s="971"/>
      <c r="I1963" s="972"/>
      <c r="J1963" s="972"/>
      <c r="K1963" s="973"/>
      <c r="L1963" s="972"/>
      <c r="M1963" s="520">
        <v>76250</v>
      </c>
      <c r="N1963" s="1131" t="s">
        <v>9</v>
      </c>
      <c r="O1963" s="1131"/>
      <c r="P1963" s="1131" t="str">
        <f>IF(AND('331-CT'!$E$7=TH!H1958,OR(N1963="331",O1963="331")),"x","")</f>
        <v/>
      </c>
      <c r="Q1963" s="1131" t="str">
        <f>IF(AND(B1963='111'!$L$11,OR($N1963=$Q$7,$O1963=$Q$7)),"x","")</f>
        <v/>
      </c>
      <c r="R1963" s="1131" t="str">
        <f>IF(AND($N1963=$Q$7,$B1963&lt;'111'!$L$11),"x","")</f>
        <v/>
      </c>
      <c r="S1963" s="1131" t="str">
        <f>IF(AND($O1963=$Q$7,$B1963&lt;'111'!$L$11),"x","")</f>
        <v/>
      </c>
      <c r="T1963" s="1131" t="str">
        <f>IF(ISERROR(FIND('112'!$M$9,G1963,1)),"",IF((AND(FIND('112'!$M$9,G1963,1)&gt;=1,B1963='112'!$K$9,OR($N1963='112'!$I$6,$O1963='112'!$I$6))),"x",""))</f>
        <v/>
      </c>
      <c r="U1963" s="1131" t="str">
        <f>IF(ISERROR(FIND('112'!$M$9,G1963,1)),"",IF((AND(LEFT(G1963,2)=LEFT('112'!$M$9,2),B1963&lt;'112'!$K$9,$N1963='112'!$I$6)),"x",""))</f>
        <v/>
      </c>
      <c r="V1963" s="1131" t="str">
        <f>IF(ISERROR(FIND('112'!$M$9,G1963,1)),"",IF((AND(RIGHT(G1963,2)=RIGHT('112'!$M$9,2),B1963&lt;'112'!$K$9,$O1963='112'!$I$6)),"x",""))</f>
        <v/>
      </c>
      <c r="W1963" s="1131" t="str">
        <f>IF(AND('341-CT'!$H$9=H1963,OR(LEFT(N1963,3)=$W$7,LEFT(O1963,3)=$W$7)),"x","")</f>
        <v/>
      </c>
      <c r="X1963" s="1131" t="str">
        <f>IF(OR(TH!N1958=TH!$X$7,O1963=TH!$X$7),"x","")</f>
        <v/>
      </c>
      <c r="Y1963" s="1131" t="str">
        <f>IF(AND(OR(N1963="131",O1963="131"),H1963='131-CT'!$H$9),"x","")</f>
        <v/>
      </c>
      <c r="Z1963" s="1131"/>
      <c r="AA1963" s="1131" t="str">
        <f>IF(AND(MONTH(E1963)='IN-NX'!$J$5,'IN-NX'!$D$7=D1963),"x","")</f>
        <v/>
      </c>
      <c r="AB1963" s="1131" t="str">
        <f>IF(AND(OR(LEFT(TH!N1958,2)="15",LEFT(TH!O1958,2)="15"),LEFT(TH!O1958,3)&lt;&gt;"111",'152-CT'!$J$8=TH!F1958),"x","")</f>
        <v/>
      </c>
      <c r="AC1963" s="1131" t="str">
        <f>IF(AND(OR(LEFT(TH!N1958,2)="15",LEFT(TH!O1958,2)="15"),TK!$E$7=TH!F1958),"x","")</f>
        <v/>
      </c>
      <c r="AD1963" s="1131" t="str">
        <f>IF(AND(N1963="1521",MONTH(C1963)='BK-NL'!$M$11),"x","")</f>
        <v/>
      </c>
      <c r="AE1963" s="1156"/>
      <c r="AF1963" s="1132">
        <v>7</v>
      </c>
    </row>
    <row r="1964" spans="1:32" ht="15.75" customHeight="1">
      <c r="A1964" s="336" t="str">
        <f>IF(B1964&lt;&gt;"",IF(AND(B1964='IN-TC'!$S$4,OR(TH!N1964="1111",TH!O1964="1111")),TH!D1964,""),"")</f>
        <v/>
      </c>
      <c r="B1964" s="63">
        <f t="shared" si="259"/>
        <v>8</v>
      </c>
      <c r="C1964" s="64">
        <v>42585</v>
      </c>
      <c r="D1964" s="64" t="s">
        <v>868</v>
      </c>
      <c r="E1964" s="64">
        <f>C1964</f>
        <v>42585</v>
      </c>
      <c r="F1964" s="67" t="s">
        <v>771</v>
      </c>
      <c r="G1964" s="982" t="s">
        <v>1806</v>
      </c>
      <c r="H1964" s="73" t="s">
        <v>1109</v>
      </c>
      <c r="I1964" s="439"/>
      <c r="J1964" s="439"/>
      <c r="K1964" s="430"/>
      <c r="L1964" s="439"/>
      <c r="M1964" s="1157">
        <v>592155</v>
      </c>
      <c r="N1964" s="66" t="s">
        <v>101</v>
      </c>
      <c r="O1964" s="66" t="s">
        <v>63</v>
      </c>
      <c r="P1964" s="84" t="str">
        <f>IF(AND('331-CT'!$E$7=TH!H1964,OR(N1964="331",O1964="331")),"x","")</f>
        <v/>
      </c>
      <c r="Q1964" s="84" t="str">
        <f>IF(AND(B1964='111'!$L$11,OR($N1964=$Q$7,$O1964=$Q$7)),"x","")</f>
        <v/>
      </c>
      <c r="R1964" s="84" t="str">
        <f>IF(AND($N1964=$Q$7,$B1964&lt;'111'!$L$11),"x","")</f>
        <v/>
      </c>
      <c r="S1964" s="84" t="str">
        <f>IF(AND($O1964=$Q$7,$B1964&lt;'111'!$L$11),"x","")</f>
        <v/>
      </c>
      <c r="T1964" s="84" t="str">
        <f>IF(ISERROR(FIND('112'!$M$9,G1964,1)),"",IF((AND(FIND('112'!$M$9,G1964,1)&gt;=1,B1964='112'!$K$9,OR($N1964='112'!$I$6,$O1964='112'!$I$6))),"x",""))</f>
        <v/>
      </c>
      <c r="U1964" s="84" t="str">
        <f>IF(ISERROR(FIND('112'!$M$9,G1964,1)),"",IF((AND(LEFT(G1964,2)=LEFT('112'!$M$9,2),B1964&lt;'112'!$K$9,$N1964='112'!$I$6)),"x",""))</f>
        <v/>
      </c>
      <c r="V1964" s="84" t="str">
        <f>IF(ISERROR(FIND('112'!$M$9,G1964,1)),"",IF((AND(RIGHT(G1964,2)=RIGHT('112'!$M$9,2),B1964&lt;'112'!$K$9,$O1964='112'!$I$6)),"x",""))</f>
        <v/>
      </c>
      <c r="W1964" s="84" t="str">
        <f>IF(AND('341-CT'!$H$9=H1964,OR(LEFT(N1964,3)=$W$7,LEFT(O1964,3)=$W$7)),"x","")</f>
        <v/>
      </c>
      <c r="X1964" s="84" t="str">
        <f>IF(OR(TH!N1964=TH!$X$7,O1964=TH!$X$7),"x","")</f>
        <v/>
      </c>
      <c r="Y1964" s="84" t="str">
        <f>IF(AND(OR(N1964="131",O1964="131"),H1964='131-CT'!$H$9),"x","")</f>
        <v/>
      </c>
      <c r="Z1964" s="84"/>
      <c r="AA1964" s="84" t="str">
        <f>IF(AND(MONTH(E1964)='IN-NX'!$J$5,'IN-NX'!$D$7=D1964),"x","")</f>
        <v/>
      </c>
      <c r="AB1964" s="84" t="str">
        <f>IF(AND(OR(LEFT(TH!N1964,2)="15",LEFT(TH!O1964,2)="15"),LEFT(TH!O1964,3)&lt;&gt;"111",'152-CT'!$J$8=TH!F1964),"x","")</f>
        <v/>
      </c>
      <c r="AC1964" s="84" t="str">
        <f>IF(AND(OR(LEFT(TH!N1964,2)="15",LEFT(TH!O1964,2)="15"),TK!$E$7=TH!F1964),"x","")</f>
        <v/>
      </c>
      <c r="AD1964" s="84" t="str">
        <f>IF(AND(N1964="1521",MONTH(C1964)='BK-NL'!$M$11),"x","")</f>
        <v/>
      </c>
      <c r="AE1964" s="351"/>
      <c r="AF1964" s="351">
        <v>8</v>
      </c>
    </row>
    <row r="1965" spans="1:32" s="351" customFormat="1" ht="15.75" hidden="1" customHeight="1">
      <c r="A1965" s="336" t="str">
        <f>IF(B1965&lt;&gt;"",IF(AND(B1965='IN-TC'!$S$4,OR(TH!N1965="1111",TH!O1965="1111")),TH!D1965,""),"")</f>
        <v/>
      </c>
      <c r="B1965" s="63">
        <f t="shared" si="259"/>
        <v>8</v>
      </c>
      <c r="C1965" s="64">
        <v>42585</v>
      </c>
      <c r="D1965" s="64" t="s">
        <v>868</v>
      </c>
      <c r="E1965" s="64">
        <f>C1965</f>
        <v>42585</v>
      </c>
      <c r="F1965" s="67" t="s">
        <v>772</v>
      </c>
      <c r="G1965" s="982" t="s">
        <v>1806</v>
      </c>
      <c r="H1965" s="73" t="s">
        <v>1109</v>
      </c>
      <c r="I1965" s="439"/>
      <c r="J1965" s="439"/>
      <c r="K1965" s="430"/>
      <c r="L1965" s="439"/>
      <c r="M1965" s="65">
        <v>59215</v>
      </c>
      <c r="N1965" s="84" t="s">
        <v>2001</v>
      </c>
      <c r="O1965" s="66" t="s">
        <v>63</v>
      </c>
      <c r="P1965" s="84" t="str">
        <f>IF(AND('331-CT'!$E$7=TH!H1965,OR(N1965="331",O1965="331")),"x","")</f>
        <v/>
      </c>
      <c r="Q1965" s="84" t="str">
        <f>IF(AND(B1965='111'!$L$11,OR($N1965=$Q$7,$O1965=$Q$7)),"x","")</f>
        <v/>
      </c>
      <c r="R1965" s="84" t="str">
        <f>IF(AND($N1965=$Q$7,$B1965&lt;'111'!$L$11),"x","")</f>
        <v/>
      </c>
      <c r="S1965" s="84" t="str">
        <f>IF(AND($O1965=$Q$7,$B1965&lt;'111'!$L$11),"x","")</f>
        <v/>
      </c>
      <c r="T1965" s="84" t="str">
        <f>IF(ISERROR(FIND('112'!$M$9,G1965,1)),"",IF((AND(FIND('112'!$M$9,G1965,1)&gt;=1,B1965='112'!$K$9,OR($N1965='112'!$I$6,$O1965='112'!$I$6))),"x",""))</f>
        <v/>
      </c>
      <c r="U1965" s="84" t="str">
        <f>IF(ISERROR(FIND('112'!$M$9,G1965,1)),"",IF((AND(LEFT(G1965,2)=LEFT('112'!$M$9,2),B1965&lt;'112'!$K$9,$N1965='112'!$I$6)),"x",""))</f>
        <v/>
      </c>
      <c r="V1965" s="84" t="str">
        <f>IF(ISERROR(FIND('112'!$M$9,G1965,1)),"",IF((AND(RIGHT(G1965,2)=RIGHT('112'!$M$9,2),B1965&lt;'112'!$K$9,$O1965='112'!$I$6)),"x",""))</f>
        <v/>
      </c>
      <c r="W1965" s="84" t="str">
        <f>IF(AND('341-CT'!$H$9=H1965,OR(LEFT(N1965,3)=$W$7,LEFT(O1965,3)=$W$7)),"x","")</f>
        <v/>
      </c>
      <c r="X1965" s="84" t="str">
        <f>IF(OR(TH!N1965=TH!$X$7,O1965=TH!$X$7),"x","")</f>
        <v/>
      </c>
      <c r="Y1965" s="84" t="str">
        <f>IF(AND(OR(N1965="131",O1965="131"),H1965='131-CT'!$H$9),"x","")</f>
        <v/>
      </c>
      <c r="Z1965" s="84"/>
      <c r="AA1965" s="84" t="str">
        <f>IF(AND(MONTH(E1965)='IN-NX'!$J$5,'IN-NX'!$D$7=D1965),"x","")</f>
        <v/>
      </c>
      <c r="AB1965" s="84" t="str">
        <f>IF(AND(OR(LEFT(TH!N1965,2)="15",LEFT(TH!O1965,2)="15"),LEFT(TH!O1965,3)&lt;&gt;"111",'152-CT'!$J$8=TH!F1965),"x","")</f>
        <v/>
      </c>
      <c r="AC1965" s="84" t="str">
        <f>IF(AND(OR(LEFT(TH!N1965,2)="15",LEFT(TH!O1965,2)="15"),TK!$E$7=TH!F1965),"x","")</f>
        <v/>
      </c>
      <c r="AD1965" s="84" t="str">
        <f>IF(AND(N1965="1521",MONTH(C1965)='BK-NL'!$M$11),"x","")</f>
        <v/>
      </c>
      <c r="AF1965" s="351">
        <v>8</v>
      </c>
    </row>
    <row r="1966" spans="1:32" s="351" customFormat="1" ht="15.75" customHeight="1">
      <c r="A1966" s="336" t="str">
        <f>IF(B1966&lt;&gt;"",IF(AND(B1966='IN-TC'!$S$4,OR(TH!N1966="1111",TH!O1966="1111")),TH!D1966,""),"")</f>
        <v/>
      </c>
      <c r="B1966" s="63">
        <f t="shared" ref="B1966:B2003" si="261">IF(C1966&lt;&gt;"",MONTH(C1966),"")</f>
        <v>8</v>
      </c>
      <c r="C1966" s="64">
        <v>42586</v>
      </c>
      <c r="D1966" s="64" t="s">
        <v>869</v>
      </c>
      <c r="E1966" s="64">
        <f>C1966</f>
        <v>42586</v>
      </c>
      <c r="F1966" s="67" t="s">
        <v>1701</v>
      </c>
      <c r="G1966" s="982" t="s">
        <v>1807</v>
      </c>
      <c r="H1966" s="73" t="s">
        <v>831</v>
      </c>
      <c r="I1966" s="439"/>
      <c r="J1966" s="439"/>
      <c r="K1966" s="430"/>
      <c r="L1966" s="439"/>
      <c r="M1966" s="65">
        <v>720000</v>
      </c>
      <c r="N1966" s="66" t="s">
        <v>101</v>
      </c>
      <c r="O1966" s="66" t="s">
        <v>63</v>
      </c>
      <c r="P1966" s="84" t="str">
        <f>IF(AND('331-CT'!$E$7=TH!H1966,OR(N1966="331",O1966="331")),"x","")</f>
        <v/>
      </c>
      <c r="Q1966" s="84" t="str">
        <f>IF(AND(B1966='111'!$L$11,OR($N1966=$Q$7,$O1966=$Q$7)),"x","")</f>
        <v/>
      </c>
      <c r="R1966" s="84" t="str">
        <f>IF(AND($N1966=$Q$7,$B1966&lt;'111'!$L$11),"x","")</f>
        <v/>
      </c>
      <c r="S1966" s="84" t="str">
        <f>IF(AND($O1966=$Q$7,$B1966&lt;'111'!$L$11),"x","")</f>
        <v/>
      </c>
      <c r="T1966" s="84" t="str">
        <f>IF(ISERROR(FIND('112'!$M$9,G1966,1)),"",IF((AND(FIND('112'!$M$9,G1966,1)&gt;=1,B1966='112'!$K$9,OR($N1966='112'!$I$6,$O1966='112'!$I$6))),"x",""))</f>
        <v/>
      </c>
      <c r="U1966" s="84" t="str">
        <f>IF(ISERROR(FIND('112'!$M$9,G1966,1)),"",IF((AND(LEFT(G1966,2)=LEFT('112'!$M$9,2),B1966&lt;'112'!$K$9,$N1966='112'!$I$6)),"x",""))</f>
        <v/>
      </c>
      <c r="V1966" s="84" t="str">
        <f>IF(ISERROR(FIND('112'!$M$9,G1966,1)),"",IF((AND(RIGHT(G1966,2)=RIGHT('112'!$M$9,2),B1966&lt;'112'!$K$9,$O1966='112'!$I$6)),"x",""))</f>
        <v/>
      </c>
      <c r="W1966" s="84" t="str">
        <f>IF(AND('341-CT'!$H$9=H1966,OR(LEFT(N1966,3)=$W$7,LEFT(O1966,3)=$W$7)),"x","")</f>
        <v/>
      </c>
      <c r="X1966" s="84" t="str">
        <f>IF(OR(TH!N1966=TH!$X$7,O1966=TH!$X$7),"x","")</f>
        <v/>
      </c>
      <c r="Y1966" s="84" t="str">
        <f>IF(AND(OR(N1966="131",O1966="131"),H1966='131-CT'!$H$9),"x","")</f>
        <v/>
      </c>
      <c r="Z1966" s="84"/>
      <c r="AA1966" s="84" t="str">
        <f>IF(AND(MONTH(E1966)='IN-NX'!$J$5,'IN-NX'!$D$7=D1966),"x","")</f>
        <v/>
      </c>
      <c r="AB1966" s="84" t="str">
        <f>IF(AND(OR(LEFT(TH!N1966,2)="15",LEFT(TH!O1966,2)="15"),LEFT(TH!O1966,3)&lt;&gt;"111",'152-CT'!$J$8=TH!F1966),"x","")</f>
        <v/>
      </c>
      <c r="AC1966" s="84" t="str">
        <f>IF(AND(OR(LEFT(TH!N1966,2)="15",LEFT(TH!O1966,2)="15"),TK!$E$7=TH!F1966),"x","")</f>
        <v/>
      </c>
      <c r="AD1966" s="84" t="str">
        <f>IF(AND(N1966="1521",MONTH(C1966)='BK-NL'!$M$11),"x","")</f>
        <v/>
      </c>
      <c r="AF1966" s="351">
        <v>8</v>
      </c>
    </row>
    <row r="1967" spans="1:32" s="351" customFormat="1" ht="15.75" hidden="1" customHeight="1">
      <c r="A1967" s="336" t="str">
        <f>IF(B1967&lt;&gt;"",IF(AND(B1967='IN-TC'!$S$4,OR(TH!N1967="1111",TH!O1967="1111")),TH!D1967,""),"")</f>
        <v/>
      </c>
      <c r="B1967" s="63">
        <f t="shared" si="261"/>
        <v>8</v>
      </c>
      <c r="C1967" s="64">
        <v>42586</v>
      </c>
      <c r="D1967" s="64" t="s">
        <v>869</v>
      </c>
      <c r="E1967" s="64">
        <f>C1967</f>
        <v>42586</v>
      </c>
      <c r="F1967" s="67" t="s">
        <v>1808</v>
      </c>
      <c r="G1967" s="982" t="s">
        <v>1807</v>
      </c>
      <c r="H1967" s="73" t="s">
        <v>831</v>
      </c>
      <c r="I1967" s="439"/>
      <c r="J1967" s="439"/>
      <c r="K1967" s="430"/>
      <c r="L1967" s="439"/>
      <c r="M1967" s="65">
        <v>36000</v>
      </c>
      <c r="N1967" s="84" t="s">
        <v>2001</v>
      </c>
      <c r="O1967" s="66" t="s">
        <v>63</v>
      </c>
      <c r="P1967" s="84" t="str">
        <f>IF(AND('331-CT'!$E$7=TH!H1967,OR(N1967="331",O1967="331")),"x","")</f>
        <v/>
      </c>
      <c r="Q1967" s="84" t="str">
        <f>IF(AND(B1967='111'!$L$11,OR($N1967=$Q$7,$O1967=$Q$7)),"x","")</f>
        <v/>
      </c>
      <c r="R1967" s="84" t="str">
        <f>IF(AND($N1967=$Q$7,$B1967&lt;'111'!$L$11),"x","")</f>
        <v/>
      </c>
      <c r="S1967" s="84" t="str">
        <f>IF(AND($O1967=$Q$7,$B1967&lt;'111'!$L$11),"x","")</f>
        <v/>
      </c>
      <c r="T1967" s="84" t="str">
        <f>IF(ISERROR(FIND('112'!$M$9,G1967,1)),"",IF((AND(FIND('112'!$M$9,G1967,1)&gt;=1,B1967='112'!$K$9,OR($N1967='112'!$I$6,$O1967='112'!$I$6))),"x",""))</f>
        <v/>
      </c>
      <c r="U1967" s="84" t="str">
        <f>IF(ISERROR(FIND('112'!$M$9,G1967,1)),"",IF((AND(LEFT(G1967,2)=LEFT('112'!$M$9,2),B1967&lt;'112'!$K$9,$N1967='112'!$I$6)),"x",""))</f>
        <v/>
      </c>
      <c r="V1967" s="84" t="str">
        <f>IF(ISERROR(FIND('112'!$M$9,G1967,1)),"",IF((AND(RIGHT(G1967,2)=RIGHT('112'!$M$9,2),B1967&lt;'112'!$K$9,$O1967='112'!$I$6)),"x",""))</f>
        <v/>
      </c>
      <c r="W1967" s="84" t="str">
        <f>IF(AND('341-CT'!$H$9=H1967,OR(LEFT(N1967,3)=$W$7,LEFT(O1967,3)=$W$7)),"x","")</f>
        <v/>
      </c>
      <c r="X1967" s="84" t="str">
        <f>IF(OR(TH!N1967=TH!$X$7,O1967=TH!$X$7),"x","")</f>
        <v/>
      </c>
      <c r="Y1967" s="84" t="str">
        <f>IF(AND(OR(N1967="131",O1967="131"),H1967='131-CT'!$H$9),"x","")</f>
        <v/>
      </c>
      <c r="Z1967" s="84"/>
      <c r="AA1967" s="84" t="str">
        <f>IF(AND(MONTH(E1967)='IN-NX'!$J$5,'IN-NX'!$D$7=D1967),"x","")</f>
        <v/>
      </c>
      <c r="AB1967" s="84" t="str">
        <f>IF(AND(OR(LEFT(TH!N1967,2)="15",LEFT(TH!O1967,2)="15"),LEFT(TH!O1967,3)&lt;&gt;"111",'152-CT'!$J$8=TH!F1967),"x","")</f>
        <v/>
      </c>
      <c r="AC1967" s="84" t="str">
        <f>IF(AND(OR(LEFT(TH!N1967,2)="15",LEFT(TH!O1967,2)="15"),TK!$E$7=TH!F1967),"x","")</f>
        <v/>
      </c>
      <c r="AD1967" s="84" t="str">
        <f>IF(AND(N1967="1521",MONTH(C1967)='BK-NL'!$M$11),"x","")</f>
        <v/>
      </c>
      <c r="AF1967" s="351">
        <v>8</v>
      </c>
    </row>
    <row r="1968" spans="1:32" s="351" customFormat="1" ht="15.75" customHeight="1">
      <c r="A1968" s="336" t="str">
        <f>IF(B1968&lt;&gt;"",IF(AND(B1968='IN-TC'!$S$4,OR(TH!N1968="1111",TH!O1968="1111")),TH!D1968,""),"")</f>
        <v/>
      </c>
      <c r="B1968" s="63">
        <f t="shared" si="261"/>
        <v>8</v>
      </c>
      <c r="C1968" s="64">
        <v>42587</v>
      </c>
      <c r="D1968" s="64" t="s">
        <v>872</v>
      </c>
      <c r="E1968" s="64">
        <f>C1968</f>
        <v>42587</v>
      </c>
      <c r="F1968" s="67" t="s">
        <v>797</v>
      </c>
      <c r="G1968" s="982" t="s">
        <v>1809</v>
      </c>
      <c r="H1968" s="73" t="s">
        <v>1477</v>
      </c>
      <c r="I1968" s="439"/>
      <c r="J1968" s="439"/>
      <c r="K1968" s="430"/>
      <c r="L1968" s="439"/>
      <c r="M1968" s="65">
        <v>354533</v>
      </c>
      <c r="N1968" s="66" t="s">
        <v>101</v>
      </c>
      <c r="O1968" s="66" t="s">
        <v>63</v>
      </c>
      <c r="P1968" s="84" t="str">
        <f>IF(AND('331-CT'!$E$7=TH!H1968,OR(N1968="331",O1968="331")),"x","")</f>
        <v/>
      </c>
      <c r="Q1968" s="84" t="str">
        <f>IF(AND(B1968='111'!$L$11,OR($N1968=$Q$7,$O1968=$Q$7)),"x","")</f>
        <v/>
      </c>
      <c r="R1968" s="84" t="str">
        <f>IF(AND($N1968=$Q$7,$B1968&lt;'111'!$L$11),"x","")</f>
        <v/>
      </c>
      <c r="S1968" s="84" t="str">
        <f>IF(AND($O1968=$Q$7,$B1968&lt;'111'!$L$11),"x","")</f>
        <v/>
      </c>
      <c r="T1968" s="84" t="str">
        <f>IF(ISERROR(FIND('112'!$M$9,G1968,1)),"",IF((AND(FIND('112'!$M$9,G1968,1)&gt;=1,B1968='112'!$K$9,OR($N1968='112'!$I$6,$O1968='112'!$I$6))),"x",""))</f>
        <v/>
      </c>
      <c r="U1968" s="84" t="str">
        <f>IF(ISERROR(FIND('112'!$M$9,G1968,1)),"",IF((AND(LEFT(G1968,2)=LEFT('112'!$M$9,2),B1968&lt;'112'!$K$9,$N1968='112'!$I$6)),"x",""))</f>
        <v/>
      </c>
      <c r="V1968" s="84" t="str">
        <f>IF(ISERROR(FIND('112'!$M$9,G1968,1)),"",IF((AND(RIGHT(G1968,2)=RIGHT('112'!$M$9,2),B1968&lt;'112'!$K$9,$O1968='112'!$I$6)),"x",""))</f>
        <v/>
      </c>
      <c r="W1968" s="84" t="str">
        <f>IF(AND('341-CT'!$H$9=H1968,OR(LEFT(N1968,3)=$W$7,LEFT(O1968,3)=$W$7)),"x","")</f>
        <v/>
      </c>
      <c r="X1968" s="84" t="str">
        <f>IF(OR(TH!N1968=TH!$X$7,O1968=TH!$X$7),"x","")</f>
        <v/>
      </c>
      <c r="Y1968" s="84" t="str">
        <f>IF(AND(OR(N1968="131",O1968="131"),H1968='131-CT'!$H$9),"x","")</f>
        <v/>
      </c>
      <c r="Z1968" s="84"/>
      <c r="AA1968" s="84" t="str">
        <f>IF(AND(MONTH(E1968)='IN-NX'!$J$5,'IN-NX'!$D$7=D1968),"x","")</f>
        <v/>
      </c>
      <c r="AB1968" s="84" t="str">
        <f>IF(AND(OR(LEFT(TH!N1968,2)="15",LEFT(TH!O1968,2)="15"),LEFT(TH!O1968,3)&lt;&gt;"111",'152-CT'!$J$8=TH!F1968),"x","")</f>
        <v/>
      </c>
      <c r="AC1968" s="84" t="str">
        <f>IF(AND(OR(LEFT(TH!N1968,2)="15",LEFT(TH!O1968,2)="15"),TK!$E$7=TH!F1968),"x","")</f>
        <v/>
      </c>
      <c r="AD1968" s="84" t="str">
        <f>IF(AND(N1968="1521",MONTH(C1968)='BK-NL'!$M$11),"x","")</f>
        <v/>
      </c>
      <c r="AF1968" s="351">
        <v>8</v>
      </c>
    </row>
    <row r="1969" spans="1:32" s="351" customFormat="1" ht="15.75" hidden="1" customHeight="1">
      <c r="A1969" s="336" t="str">
        <f>IF(B1969&lt;&gt;"",IF(AND(B1969='IN-TC'!$S$4,OR(TH!N1969="1111",TH!O1969="1111")),TH!D1969,""),"")</f>
        <v/>
      </c>
      <c r="B1969" s="63">
        <f>IF(C1969&lt;&gt;"",MONTH(C1969),"")</f>
        <v>8</v>
      </c>
      <c r="C1969" s="64">
        <v>42587</v>
      </c>
      <c r="D1969" s="64" t="s">
        <v>872</v>
      </c>
      <c r="E1969" s="64">
        <f t="shared" ref="E1969:E2003" si="262">C1969</f>
        <v>42587</v>
      </c>
      <c r="F1969" s="67" t="s">
        <v>798</v>
      </c>
      <c r="G1969" s="982" t="s">
        <v>1809</v>
      </c>
      <c r="H1969" s="73" t="s">
        <v>1477</v>
      </c>
      <c r="I1969" s="439"/>
      <c r="J1969" s="439"/>
      <c r="K1969" s="430"/>
      <c r="L1969" s="439"/>
      <c r="M1969" s="65">
        <v>35453</v>
      </c>
      <c r="N1969" s="84" t="s">
        <v>2001</v>
      </c>
      <c r="O1969" s="66" t="s">
        <v>63</v>
      </c>
      <c r="P1969" s="84" t="str">
        <f>IF(AND('331-CT'!$E$7=TH!H1969,OR(N1969="331",O1969="331")),"x","")</f>
        <v/>
      </c>
      <c r="Q1969" s="84" t="str">
        <f>IF(AND(B1969='111'!$L$11,OR($N1969=$Q$7,$O1969=$Q$7)),"x","")</f>
        <v/>
      </c>
      <c r="R1969" s="84" t="str">
        <f>IF(AND($N1969=$Q$7,$B1969&lt;'111'!$L$11),"x","")</f>
        <v/>
      </c>
      <c r="S1969" s="84" t="str">
        <f>IF(AND($O1969=$Q$7,$B1969&lt;'111'!$L$11),"x","")</f>
        <v/>
      </c>
      <c r="T1969" s="84" t="str">
        <f>IF(ISERROR(FIND('112'!$M$9,G1969,1)),"",IF((AND(FIND('112'!$M$9,G1969,1)&gt;=1,B1969='112'!$K$9,OR($N1969='112'!$I$6,$O1969='112'!$I$6))),"x",""))</f>
        <v/>
      </c>
      <c r="U1969" s="84" t="str">
        <f>IF(ISERROR(FIND('112'!$M$9,G1969,1)),"",IF((AND(LEFT(G1969,2)=LEFT('112'!$M$9,2),B1969&lt;'112'!$K$9,$N1969='112'!$I$6)),"x",""))</f>
        <v/>
      </c>
      <c r="V1969" s="84" t="str">
        <f>IF(ISERROR(FIND('112'!$M$9,G1969,1)),"",IF((AND(RIGHT(G1969,2)=RIGHT('112'!$M$9,2),B1969&lt;'112'!$K$9,$O1969='112'!$I$6)),"x",""))</f>
        <v/>
      </c>
      <c r="W1969" s="84" t="str">
        <f>IF(AND('341-CT'!$H$9=H1969,OR(LEFT(N1969,3)=$W$7,LEFT(O1969,3)=$W$7)),"x","")</f>
        <v/>
      </c>
      <c r="X1969" s="84" t="str">
        <f>IF(OR(TH!N1969=TH!$X$7,O1969=TH!$X$7),"x","")</f>
        <v/>
      </c>
      <c r="Y1969" s="84" t="str">
        <f>IF(AND(OR(N1969="131",O1969="131"),H1969='131-CT'!$H$9),"x","")</f>
        <v/>
      </c>
      <c r="Z1969" s="84"/>
      <c r="AA1969" s="84" t="str">
        <f>IF(AND(MONTH(E1969)='IN-NX'!$J$5,'IN-NX'!$D$7=D1969),"x","")</f>
        <v/>
      </c>
      <c r="AB1969" s="84" t="str">
        <f>IF(AND(OR(LEFT(TH!N1969,2)="15",LEFT(TH!O1969,2)="15"),LEFT(TH!O1969,3)&lt;&gt;"111",'152-CT'!$J$8=TH!F1969),"x","")</f>
        <v/>
      </c>
      <c r="AC1969" s="84" t="str">
        <f>IF(AND(OR(LEFT(TH!N1969,2)="15",LEFT(TH!O1969,2)="15"),TK!$E$7=TH!F1969),"x","")</f>
        <v/>
      </c>
      <c r="AD1969" s="84" t="str">
        <f>IF(AND(N1969="1521",MONTH(C1969)='BK-NL'!$M$11),"x","")</f>
        <v/>
      </c>
      <c r="AF1969" s="351">
        <v>8</v>
      </c>
    </row>
    <row r="1970" spans="1:32" s="351" customFormat="1" ht="15.75" customHeight="1">
      <c r="A1970" s="336" t="str">
        <f>IF(B1970&lt;&gt;"",IF(AND(B1970='IN-TC'!$S$4,OR(TH!N1970="1111",TH!O1970="1111")),TH!D1970,""),"")</f>
        <v/>
      </c>
      <c r="B1970" s="63">
        <f t="shared" si="261"/>
        <v>8</v>
      </c>
      <c r="C1970" s="64">
        <v>42588</v>
      </c>
      <c r="D1970" s="64" t="s">
        <v>873</v>
      </c>
      <c r="E1970" s="64">
        <f t="shared" si="262"/>
        <v>42588</v>
      </c>
      <c r="F1970" s="67" t="s">
        <v>1810</v>
      </c>
      <c r="G1970" s="982" t="s">
        <v>1812</v>
      </c>
      <c r="H1970" s="73" t="s">
        <v>846</v>
      </c>
      <c r="I1970" s="439"/>
      <c r="J1970" s="439"/>
      <c r="K1970" s="430"/>
      <c r="L1970" s="439"/>
      <c r="M1970" s="65">
        <v>2016629</v>
      </c>
      <c r="N1970" s="66" t="s">
        <v>101</v>
      </c>
      <c r="O1970" s="66" t="s">
        <v>63</v>
      </c>
      <c r="P1970" s="84" t="str">
        <f>IF(AND('331-CT'!$E$7=TH!H1970,OR(N1970="331",O1970="331")),"x","")</f>
        <v/>
      </c>
      <c r="Q1970" s="84" t="str">
        <f>IF(AND(B1970='111'!$L$11,OR($N1970=$Q$7,$O1970=$Q$7)),"x","")</f>
        <v/>
      </c>
      <c r="R1970" s="84" t="str">
        <f>IF(AND($N1970=$Q$7,$B1970&lt;'111'!$L$11),"x","")</f>
        <v/>
      </c>
      <c r="S1970" s="84" t="str">
        <f>IF(AND($O1970=$Q$7,$B1970&lt;'111'!$L$11),"x","")</f>
        <v/>
      </c>
      <c r="T1970" s="84" t="str">
        <f>IF(ISERROR(FIND('112'!$M$9,G1970,1)),"",IF((AND(FIND('112'!$M$9,G1970,1)&gt;=1,B1970='112'!$K$9,OR($N1970='112'!$I$6,$O1970='112'!$I$6))),"x",""))</f>
        <v/>
      </c>
      <c r="U1970" s="84" t="str">
        <f>IF(ISERROR(FIND('112'!$M$9,G1970,1)),"",IF((AND(LEFT(G1970,2)=LEFT('112'!$M$9,2),B1970&lt;'112'!$K$9,$N1970='112'!$I$6)),"x",""))</f>
        <v/>
      </c>
      <c r="V1970" s="84" t="str">
        <f>IF(ISERROR(FIND('112'!$M$9,G1970,1)),"",IF((AND(RIGHT(G1970,2)=RIGHT('112'!$M$9,2),B1970&lt;'112'!$K$9,$O1970='112'!$I$6)),"x",""))</f>
        <v/>
      </c>
      <c r="W1970" s="84" t="str">
        <f>IF(AND('341-CT'!$H$9=H1970,OR(LEFT(N1970,3)=$W$7,LEFT(O1970,3)=$W$7)),"x","")</f>
        <v/>
      </c>
      <c r="X1970" s="84" t="str">
        <f>IF(OR(TH!N1970=TH!$X$7,O1970=TH!$X$7),"x","")</f>
        <v/>
      </c>
      <c r="Y1970" s="84" t="str">
        <f>IF(AND(OR(N1970="131",O1970="131"),H1970='131-CT'!$H$9),"x","")</f>
        <v/>
      </c>
      <c r="Z1970" s="84"/>
      <c r="AA1970" s="84" t="str">
        <f>IF(AND(MONTH(E1970)='IN-NX'!$J$5,'IN-NX'!$D$7=D1970),"x","")</f>
        <v/>
      </c>
      <c r="AB1970" s="84" t="str">
        <f>IF(AND(OR(LEFT(TH!N1970,2)="15",LEFT(TH!O1970,2)="15"),LEFT(TH!O1970,3)&lt;&gt;"111",'152-CT'!$J$8=TH!F1970),"x","")</f>
        <v/>
      </c>
      <c r="AC1970" s="84" t="str">
        <f>IF(AND(OR(LEFT(TH!N1970,2)="15",LEFT(TH!O1970,2)="15"),TK!$E$7=TH!F1970),"x","")</f>
        <v/>
      </c>
      <c r="AD1970" s="84" t="str">
        <f>IF(AND(N1970="1521",MONTH(C1970)='BK-NL'!$M$11),"x","")</f>
        <v/>
      </c>
      <c r="AF1970" s="351">
        <v>8</v>
      </c>
    </row>
    <row r="1971" spans="1:32" s="351" customFormat="1" ht="15.75" hidden="1" customHeight="1">
      <c r="A1971" s="336" t="str">
        <f>IF(B1971&lt;&gt;"",IF(AND(B1971='IN-TC'!$S$4,OR(TH!N1971="1111",TH!O1971="1111")),TH!D1971,""),"")</f>
        <v/>
      </c>
      <c r="B1971" s="63">
        <f t="shared" si="261"/>
        <v>8</v>
      </c>
      <c r="C1971" s="64">
        <v>42588</v>
      </c>
      <c r="D1971" s="64" t="s">
        <v>873</v>
      </c>
      <c r="E1971" s="64">
        <f t="shared" si="262"/>
        <v>42588</v>
      </c>
      <c r="F1971" s="67" t="s">
        <v>1811</v>
      </c>
      <c r="G1971" s="982" t="s">
        <v>1812</v>
      </c>
      <c r="H1971" s="73" t="s">
        <v>846</v>
      </c>
      <c r="I1971" s="439"/>
      <c r="J1971" s="439"/>
      <c r="K1971" s="430"/>
      <c r="L1971" s="439"/>
      <c r="M1971" s="65">
        <v>201663</v>
      </c>
      <c r="N1971" s="84" t="s">
        <v>2001</v>
      </c>
      <c r="O1971" s="66" t="s">
        <v>63</v>
      </c>
      <c r="P1971" s="84" t="str">
        <f>IF(AND('331-CT'!$E$7=TH!H1971,OR(N1971="331",O1971="331")),"x","")</f>
        <v/>
      </c>
      <c r="Q1971" s="84" t="str">
        <f>IF(AND(B1971='111'!$L$11,OR($N1971=$Q$7,$O1971=$Q$7)),"x","")</f>
        <v/>
      </c>
      <c r="R1971" s="84" t="str">
        <f>IF(AND($N1971=$Q$7,$B1971&lt;'111'!$L$11),"x","")</f>
        <v/>
      </c>
      <c r="S1971" s="84" t="str">
        <f>IF(AND($O1971=$Q$7,$B1971&lt;'111'!$L$11),"x","")</f>
        <v/>
      </c>
      <c r="T1971" s="84" t="str">
        <f>IF(ISERROR(FIND('112'!$M$9,G1971,1)),"",IF((AND(FIND('112'!$M$9,G1971,1)&gt;=1,B1971='112'!$K$9,OR($N1971='112'!$I$6,$O1971='112'!$I$6))),"x",""))</f>
        <v/>
      </c>
      <c r="U1971" s="84" t="str">
        <f>IF(ISERROR(FIND('112'!$M$9,G1971,1)),"",IF((AND(LEFT(G1971,2)=LEFT('112'!$M$9,2),B1971&lt;'112'!$K$9,$N1971='112'!$I$6)),"x",""))</f>
        <v/>
      </c>
      <c r="V1971" s="84" t="str">
        <f>IF(ISERROR(FIND('112'!$M$9,G1971,1)),"",IF((AND(RIGHT(G1971,2)=RIGHT('112'!$M$9,2),B1971&lt;'112'!$K$9,$O1971='112'!$I$6)),"x",""))</f>
        <v/>
      </c>
      <c r="W1971" s="84" t="str">
        <f>IF(AND('341-CT'!$H$9=H1971,OR(LEFT(N1971,3)=$W$7,LEFT(O1971,3)=$W$7)),"x","")</f>
        <v/>
      </c>
      <c r="X1971" s="84" t="str">
        <f>IF(OR(TH!N1971=TH!$X$7,O1971=TH!$X$7),"x","")</f>
        <v/>
      </c>
      <c r="Y1971" s="84" t="str">
        <f>IF(AND(OR(N1971="131",O1971="131"),H1971='131-CT'!$H$9),"x","")</f>
        <v/>
      </c>
      <c r="Z1971" s="84"/>
      <c r="AA1971" s="84" t="str">
        <f>IF(AND(MONTH(E1971)='IN-NX'!$J$5,'IN-NX'!$D$7=D1971),"x","")</f>
        <v/>
      </c>
      <c r="AB1971" s="84" t="str">
        <f>IF(AND(OR(LEFT(TH!N1971,2)="15",LEFT(TH!O1971,2)="15"),LEFT(TH!O1971,3)&lt;&gt;"111",'152-CT'!$J$8=TH!F1971),"x","")</f>
        <v/>
      </c>
      <c r="AC1971" s="84" t="str">
        <f>IF(AND(OR(LEFT(TH!N1971,2)="15",LEFT(TH!O1971,2)="15"),TK!$E$7=TH!F1971),"x","")</f>
        <v/>
      </c>
      <c r="AD1971" s="84" t="str">
        <f>IF(AND(N1971="1521",MONTH(C1971)='BK-NL'!$M$11),"x","")</f>
        <v/>
      </c>
      <c r="AF1971" s="351">
        <v>8</v>
      </c>
    </row>
    <row r="1972" spans="1:32" s="351" customFormat="1" ht="15.75" customHeight="1">
      <c r="A1972" s="336" t="str">
        <f>IF(B1972&lt;&gt;"",IF(AND(B1972='IN-TC'!$S$4,OR(TH!N1972="1111",TH!O1972="1111")),TH!D1972,""),"")</f>
        <v/>
      </c>
      <c r="B1972" s="63">
        <f t="shared" si="261"/>
        <v>8</v>
      </c>
      <c r="C1972" s="64">
        <v>42589</v>
      </c>
      <c r="D1972" s="64" t="s">
        <v>876</v>
      </c>
      <c r="E1972" s="64">
        <f t="shared" si="262"/>
        <v>42589</v>
      </c>
      <c r="F1972" s="67" t="s">
        <v>1814</v>
      </c>
      <c r="G1972" s="982" t="s">
        <v>1816</v>
      </c>
      <c r="H1972" s="73" t="s">
        <v>1109</v>
      </c>
      <c r="I1972" s="439"/>
      <c r="J1972" s="439"/>
      <c r="K1972" s="430"/>
      <c r="L1972" s="439"/>
      <c r="M1972" s="65">
        <v>1257127</v>
      </c>
      <c r="N1972" s="66" t="s">
        <v>101</v>
      </c>
      <c r="O1972" s="66" t="s">
        <v>63</v>
      </c>
      <c r="P1972" s="84" t="str">
        <f>IF(AND('331-CT'!$E$7=TH!H1972,OR(N1972="331",O1972="331")),"x","")</f>
        <v/>
      </c>
      <c r="Q1972" s="84" t="str">
        <f>IF(AND(B1972='111'!$L$11,OR($N1972=$Q$7,$O1972=$Q$7)),"x","")</f>
        <v/>
      </c>
      <c r="R1972" s="84" t="str">
        <f>IF(AND($N1972=$Q$7,$B1972&lt;'111'!$L$11),"x","")</f>
        <v/>
      </c>
      <c r="S1972" s="84" t="str">
        <f>IF(AND($O1972=$Q$7,$B1972&lt;'111'!$L$11),"x","")</f>
        <v/>
      </c>
      <c r="T1972" s="84" t="str">
        <f>IF(ISERROR(FIND('112'!$M$9,G1972,1)),"",IF((AND(FIND('112'!$M$9,G1972,1)&gt;=1,B1972='112'!$K$9,OR($N1972='112'!$I$6,$O1972='112'!$I$6))),"x",""))</f>
        <v/>
      </c>
      <c r="U1972" s="84" t="str">
        <f>IF(ISERROR(FIND('112'!$M$9,G1972,1)),"",IF((AND(LEFT(G1972,2)=LEFT('112'!$M$9,2),B1972&lt;'112'!$K$9,$N1972='112'!$I$6)),"x",""))</f>
        <v/>
      </c>
      <c r="V1972" s="84" t="str">
        <f>IF(ISERROR(FIND('112'!$M$9,G1972,1)),"",IF((AND(RIGHT(G1972,2)=RIGHT('112'!$M$9,2),B1972&lt;'112'!$K$9,$O1972='112'!$I$6)),"x",""))</f>
        <v/>
      </c>
      <c r="W1972" s="84" t="str">
        <f>IF(AND('341-CT'!$H$9=H1972,OR(LEFT(N1972,3)=$W$7,LEFT(O1972,3)=$W$7)),"x","")</f>
        <v/>
      </c>
      <c r="X1972" s="84" t="str">
        <f>IF(OR(TH!N1972=TH!$X$7,O1972=TH!$X$7),"x","")</f>
        <v/>
      </c>
      <c r="Y1972" s="84" t="str">
        <f>IF(AND(OR(N1972="131",O1972="131"),H1972='131-CT'!$H$9),"x","")</f>
        <v/>
      </c>
      <c r="Z1972" s="84"/>
      <c r="AA1972" s="84" t="str">
        <f>IF(AND(MONTH(E1972)='IN-NX'!$J$5,'IN-NX'!$D$7=D1972),"x","")</f>
        <v/>
      </c>
      <c r="AB1972" s="84" t="str">
        <f>IF(AND(OR(LEFT(TH!N1972,2)="15",LEFT(TH!O1972,2)="15"),LEFT(TH!O1972,3)&lt;&gt;"111",'152-CT'!$J$8=TH!F1972),"x","")</f>
        <v/>
      </c>
      <c r="AC1972" s="84" t="str">
        <f>IF(AND(OR(LEFT(TH!N1972,2)="15",LEFT(TH!O1972,2)="15"),TK!$E$7=TH!F1972),"x","")</f>
        <v/>
      </c>
      <c r="AD1972" s="84" t="str">
        <f>IF(AND(N1972="1521",MONTH(C1972)='BK-NL'!$M$11),"x","")</f>
        <v/>
      </c>
      <c r="AF1972" s="351">
        <v>8</v>
      </c>
    </row>
    <row r="1973" spans="1:32" s="351" customFormat="1" ht="15.75" hidden="1" customHeight="1">
      <c r="A1973" s="336" t="str">
        <f>IF(B1973&lt;&gt;"",IF(AND(B1973='IN-TC'!$S$4,OR(TH!N1973="1111",TH!O1973="1111")),TH!D1973,""),"")</f>
        <v/>
      </c>
      <c r="B1973" s="63">
        <f t="shared" si="261"/>
        <v>8</v>
      </c>
      <c r="C1973" s="64">
        <v>42589</v>
      </c>
      <c r="D1973" s="64" t="s">
        <v>876</v>
      </c>
      <c r="E1973" s="64">
        <f t="shared" si="262"/>
        <v>42589</v>
      </c>
      <c r="F1973" s="67" t="s">
        <v>1815</v>
      </c>
      <c r="G1973" s="982" t="s">
        <v>1816</v>
      </c>
      <c r="H1973" s="73" t="s">
        <v>1109</v>
      </c>
      <c r="I1973" s="439"/>
      <c r="J1973" s="439"/>
      <c r="K1973" s="430"/>
      <c r="L1973" s="439"/>
      <c r="M1973" s="65">
        <v>125713</v>
      </c>
      <c r="N1973" s="84" t="s">
        <v>2001</v>
      </c>
      <c r="O1973" s="66" t="s">
        <v>63</v>
      </c>
      <c r="P1973" s="84" t="str">
        <f>IF(AND('331-CT'!$E$7=TH!H1973,OR(N1973="331",O1973="331")),"x","")</f>
        <v/>
      </c>
      <c r="Q1973" s="84" t="str">
        <f>IF(AND(B1973='111'!$L$11,OR($N1973=$Q$7,$O1973=$Q$7)),"x","")</f>
        <v/>
      </c>
      <c r="R1973" s="84" t="str">
        <f>IF(AND($N1973=$Q$7,$B1973&lt;'111'!$L$11),"x","")</f>
        <v/>
      </c>
      <c r="S1973" s="84" t="str">
        <f>IF(AND($O1973=$Q$7,$B1973&lt;'111'!$L$11),"x","")</f>
        <v/>
      </c>
      <c r="T1973" s="84" t="str">
        <f>IF(ISERROR(FIND('112'!$M$9,G1973,1)),"",IF((AND(FIND('112'!$M$9,G1973,1)&gt;=1,B1973='112'!$K$9,OR($N1973='112'!$I$6,$O1973='112'!$I$6))),"x",""))</f>
        <v/>
      </c>
      <c r="U1973" s="84" t="str">
        <f>IF(ISERROR(FIND('112'!$M$9,G1973,1)),"",IF((AND(LEFT(G1973,2)=LEFT('112'!$M$9,2),B1973&lt;'112'!$K$9,$N1973='112'!$I$6)),"x",""))</f>
        <v/>
      </c>
      <c r="V1973" s="84" t="str">
        <f>IF(ISERROR(FIND('112'!$M$9,G1973,1)),"",IF((AND(RIGHT(G1973,2)=RIGHT('112'!$M$9,2),B1973&lt;'112'!$K$9,$O1973='112'!$I$6)),"x",""))</f>
        <v/>
      </c>
      <c r="W1973" s="84" t="str">
        <f>IF(AND('341-CT'!$H$9=H1973,OR(LEFT(N1973,3)=$W$7,LEFT(O1973,3)=$W$7)),"x","")</f>
        <v/>
      </c>
      <c r="X1973" s="84" t="str">
        <f>IF(OR(TH!N1973=TH!$X$7,O1973=TH!$X$7),"x","")</f>
        <v/>
      </c>
      <c r="Y1973" s="84" t="str">
        <f>IF(AND(OR(N1973="131",O1973="131"),H1973='131-CT'!$H$9),"x","")</f>
        <v/>
      </c>
      <c r="Z1973" s="84"/>
      <c r="AA1973" s="84" t="str">
        <f>IF(AND(MONTH(E1973)='IN-NX'!$J$5,'IN-NX'!$D$7=D1973),"x","")</f>
        <v/>
      </c>
      <c r="AB1973" s="84" t="str">
        <f>IF(AND(OR(LEFT(TH!N1973,2)="15",LEFT(TH!O1973,2)="15"),LEFT(TH!O1973,3)&lt;&gt;"111",'152-CT'!$J$8=TH!F1973),"x","")</f>
        <v/>
      </c>
      <c r="AC1973" s="84" t="str">
        <f>IF(AND(OR(LEFT(TH!N1973,2)="15",LEFT(TH!O1973,2)="15"),TK!$E$7=TH!F1973),"x","")</f>
        <v/>
      </c>
      <c r="AD1973" s="84" t="str">
        <f>IF(AND(N1973="1521",MONTH(C1973)='BK-NL'!$M$11),"x","")</f>
        <v/>
      </c>
      <c r="AF1973" s="351">
        <v>8</v>
      </c>
    </row>
    <row r="1974" spans="1:32" s="351" customFormat="1" ht="15.75" customHeight="1">
      <c r="A1974" s="336" t="str">
        <f>IF(B1974&lt;&gt;"",IF(AND(B1974='IN-TC'!$S$4,OR(TH!N1974="1111",TH!O1974="1111")),TH!D1974,""),"")</f>
        <v/>
      </c>
      <c r="B1974" s="63">
        <f t="shared" si="261"/>
        <v>8</v>
      </c>
      <c r="C1974" s="64">
        <v>42592</v>
      </c>
      <c r="D1974" s="64" t="s">
        <v>877</v>
      </c>
      <c r="E1974" s="64">
        <f t="shared" si="262"/>
        <v>42592</v>
      </c>
      <c r="F1974" s="67" t="s">
        <v>1814</v>
      </c>
      <c r="G1974" s="982" t="s">
        <v>1817</v>
      </c>
      <c r="H1974" s="73" t="s">
        <v>1109</v>
      </c>
      <c r="I1974" s="439"/>
      <c r="J1974" s="439"/>
      <c r="K1974" s="430"/>
      <c r="L1974" s="439"/>
      <c r="M1974" s="65">
        <v>1249464</v>
      </c>
      <c r="N1974" s="66" t="s">
        <v>101</v>
      </c>
      <c r="O1974" s="66" t="s">
        <v>63</v>
      </c>
      <c r="P1974" s="84" t="str">
        <f>IF(AND('331-CT'!$E$7=TH!H1974,OR(N1974="331",O1974="331")),"x","")</f>
        <v/>
      </c>
      <c r="Q1974" s="84" t="str">
        <f>IF(AND(B1974='111'!$L$11,OR($N1974=$Q$7,$O1974=$Q$7)),"x","")</f>
        <v/>
      </c>
      <c r="R1974" s="84" t="str">
        <f>IF(AND($N1974=$Q$7,$B1974&lt;'111'!$L$11),"x","")</f>
        <v/>
      </c>
      <c r="S1974" s="84" t="str">
        <f>IF(AND($O1974=$Q$7,$B1974&lt;'111'!$L$11),"x","")</f>
        <v/>
      </c>
      <c r="T1974" s="84" t="str">
        <f>IF(ISERROR(FIND('112'!$M$9,G1974,1)),"",IF((AND(FIND('112'!$M$9,G1974,1)&gt;=1,B1974='112'!$K$9,OR($N1974='112'!$I$6,$O1974='112'!$I$6))),"x",""))</f>
        <v/>
      </c>
      <c r="U1974" s="84" t="str">
        <f>IF(ISERROR(FIND('112'!$M$9,G1974,1)),"",IF((AND(LEFT(G1974,2)=LEFT('112'!$M$9,2),B1974&lt;'112'!$K$9,$N1974='112'!$I$6)),"x",""))</f>
        <v/>
      </c>
      <c r="V1974" s="84" t="str">
        <f>IF(ISERROR(FIND('112'!$M$9,G1974,1)),"",IF((AND(RIGHT(G1974,2)=RIGHT('112'!$M$9,2),B1974&lt;'112'!$K$9,$O1974='112'!$I$6)),"x",""))</f>
        <v/>
      </c>
      <c r="W1974" s="84" t="str">
        <f>IF(AND('341-CT'!$H$9=H1974,OR(LEFT(N1974,3)=$W$7,LEFT(O1974,3)=$W$7)),"x","")</f>
        <v/>
      </c>
      <c r="X1974" s="84" t="str">
        <f>IF(OR(TH!N1974=TH!$X$7,O1974=TH!$X$7),"x","")</f>
        <v/>
      </c>
      <c r="Y1974" s="84" t="str">
        <f>IF(AND(OR(N1974="131",O1974="131"),H1974='131-CT'!$H$9),"x","")</f>
        <v/>
      </c>
      <c r="Z1974" s="84"/>
      <c r="AA1974" s="84" t="str">
        <f>IF(AND(MONTH(E1974)='IN-NX'!$J$5,'IN-NX'!$D$7=D1974),"x","")</f>
        <v/>
      </c>
      <c r="AB1974" s="84" t="str">
        <f>IF(AND(OR(LEFT(TH!N1974,2)="15",LEFT(TH!O1974,2)="15"),LEFT(TH!O1974,3)&lt;&gt;"111",'152-CT'!$J$8=TH!F1974),"x","")</f>
        <v/>
      </c>
      <c r="AC1974" s="84" t="str">
        <f>IF(AND(OR(LEFT(TH!N1974,2)="15",LEFT(TH!O1974,2)="15"),TK!$E$7=TH!F1974),"x","")</f>
        <v/>
      </c>
      <c r="AD1974" s="84" t="str">
        <f>IF(AND(N1974="1521",MONTH(C1974)='BK-NL'!$M$11),"x","")</f>
        <v/>
      </c>
      <c r="AF1974" s="351">
        <v>8</v>
      </c>
    </row>
    <row r="1975" spans="1:32" s="351" customFormat="1" ht="15.75" hidden="1" customHeight="1">
      <c r="A1975" s="336" t="str">
        <f>IF(B1975&lt;&gt;"",IF(AND(B1975='IN-TC'!$S$4,OR(TH!N1975="1111",TH!O1975="1111")),TH!D1975,""),"")</f>
        <v/>
      </c>
      <c r="B1975" s="63">
        <f t="shared" si="261"/>
        <v>8</v>
      </c>
      <c r="C1975" s="64">
        <v>42592</v>
      </c>
      <c r="D1975" s="64" t="s">
        <v>877</v>
      </c>
      <c r="E1975" s="64">
        <f t="shared" si="262"/>
        <v>42592</v>
      </c>
      <c r="F1975" s="67" t="s">
        <v>1815</v>
      </c>
      <c r="G1975" s="982" t="s">
        <v>1817</v>
      </c>
      <c r="H1975" s="73" t="s">
        <v>1109</v>
      </c>
      <c r="I1975" s="439"/>
      <c r="J1975" s="439"/>
      <c r="K1975" s="430"/>
      <c r="L1975" s="439"/>
      <c r="M1975" s="65">
        <v>124946</v>
      </c>
      <c r="N1975" s="84" t="s">
        <v>2001</v>
      </c>
      <c r="O1975" s="66" t="s">
        <v>63</v>
      </c>
      <c r="P1975" s="84" t="str">
        <f>IF(AND('331-CT'!$E$7=TH!H1975,OR(N1975="331",O1975="331")),"x","")</f>
        <v/>
      </c>
      <c r="Q1975" s="84" t="str">
        <f>IF(AND(B1975='111'!$L$11,OR($N1975=$Q$7,$O1975=$Q$7)),"x","")</f>
        <v/>
      </c>
      <c r="R1975" s="84" t="str">
        <f>IF(AND($N1975=$Q$7,$B1975&lt;'111'!$L$11),"x","")</f>
        <v/>
      </c>
      <c r="S1975" s="84" t="str">
        <f>IF(AND($O1975=$Q$7,$B1975&lt;'111'!$L$11),"x","")</f>
        <v/>
      </c>
      <c r="T1975" s="84" t="str">
        <f>IF(ISERROR(FIND('112'!$M$9,G1975,1)),"",IF((AND(FIND('112'!$M$9,G1975,1)&gt;=1,B1975='112'!$K$9,OR($N1975='112'!$I$6,$O1975='112'!$I$6))),"x",""))</f>
        <v/>
      </c>
      <c r="U1975" s="84" t="str">
        <f>IF(ISERROR(FIND('112'!$M$9,G1975,1)),"",IF((AND(LEFT(G1975,2)=LEFT('112'!$M$9,2),B1975&lt;'112'!$K$9,$N1975='112'!$I$6)),"x",""))</f>
        <v/>
      </c>
      <c r="V1975" s="84" t="str">
        <f>IF(ISERROR(FIND('112'!$M$9,G1975,1)),"",IF((AND(RIGHT(G1975,2)=RIGHT('112'!$M$9,2),B1975&lt;'112'!$K$9,$O1975='112'!$I$6)),"x",""))</f>
        <v/>
      </c>
      <c r="W1975" s="84" t="str">
        <f>IF(AND('341-CT'!$H$9=H1975,OR(LEFT(N1975,3)=$W$7,LEFT(O1975,3)=$W$7)),"x","")</f>
        <v/>
      </c>
      <c r="X1975" s="84" t="str">
        <f>IF(OR(TH!N1975=TH!$X$7,O1975=TH!$X$7),"x","")</f>
        <v/>
      </c>
      <c r="Y1975" s="84" t="str">
        <f>IF(AND(OR(N1975="131",O1975="131"),H1975='131-CT'!$H$9),"x","")</f>
        <v/>
      </c>
      <c r="Z1975" s="84"/>
      <c r="AA1975" s="84" t="str">
        <f>IF(AND(MONTH(E1975)='IN-NX'!$J$5,'IN-NX'!$D$7=D1975),"x","")</f>
        <v/>
      </c>
      <c r="AB1975" s="84" t="str">
        <f>IF(AND(OR(LEFT(TH!N1975,2)="15",LEFT(TH!O1975,2)="15"),LEFT(TH!O1975,3)&lt;&gt;"111",'152-CT'!$J$8=TH!F1975),"x","")</f>
        <v/>
      </c>
      <c r="AC1975" s="84" t="str">
        <f>IF(AND(OR(LEFT(TH!N1975,2)="15",LEFT(TH!O1975,2)="15"),TK!$E$7=TH!F1975),"x","")</f>
        <v/>
      </c>
      <c r="AD1975" s="84" t="str">
        <f>IF(AND(N1975="1521",MONTH(C1975)='BK-NL'!$M$11),"x","")</f>
        <v/>
      </c>
      <c r="AF1975" s="351">
        <v>8</v>
      </c>
    </row>
    <row r="1976" spans="1:32" s="351" customFormat="1" ht="15.75" hidden="1" customHeight="1">
      <c r="A1976" s="336" t="str">
        <f>IF(B1976&lt;&gt;"",IF(AND(B1976='IN-TC'!$S$4,OR(TH!N1976="1111",TH!O1976="1111")),TH!D1976,""),"")</f>
        <v/>
      </c>
      <c r="B1976" s="63">
        <f t="shared" si="261"/>
        <v>8</v>
      </c>
      <c r="C1976" s="64">
        <v>42594</v>
      </c>
      <c r="D1976" s="64" t="s">
        <v>878</v>
      </c>
      <c r="E1976" s="64">
        <f t="shared" si="262"/>
        <v>42594</v>
      </c>
      <c r="F1976" s="67" t="s">
        <v>1820</v>
      </c>
      <c r="G1976" s="982" t="s">
        <v>1821</v>
      </c>
      <c r="H1976" s="73" t="s">
        <v>1823</v>
      </c>
      <c r="I1976" s="439"/>
      <c r="J1976" s="439"/>
      <c r="K1976" s="430"/>
      <c r="L1976" s="439"/>
      <c r="M1976" s="65">
        <v>800000</v>
      </c>
      <c r="N1976" s="66" t="s">
        <v>101</v>
      </c>
      <c r="O1976" s="66" t="s">
        <v>63</v>
      </c>
      <c r="P1976" s="84" t="str">
        <f>IF(AND('331-CT'!$E$7=TH!H1976,OR(N1976="331",O1976="331")),"x","")</f>
        <v/>
      </c>
      <c r="Q1976" s="84" t="str">
        <f>IF(AND(B1976='111'!$L$11,OR($N1976=$Q$7,$O1976=$Q$7)),"x","")</f>
        <v/>
      </c>
      <c r="R1976" s="84" t="str">
        <f>IF(AND($N1976=$Q$7,$B1976&lt;'111'!$L$11),"x","")</f>
        <v/>
      </c>
      <c r="S1976" s="84" t="str">
        <f>IF(AND($O1976=$Q$7,$B1976&lt;'111'!$L$11),"x","")</f>
        <v/>
      </c>
      <c r="T1976" s="84" t="str">
        <f>IF(ISERROR(FIND('112'!$M$9,G1976,1)),"",IF((AND(FIND('112'!$M$9,G1976,1)&gt;=1,B1976='112'!$K$9,OR($N1976='112'!$I$6,$O1976='112'!$I$6))),"x",""))</f>
        <v/>
      </c>
      <c r="U1976" s="84" t="str">
        <f>IF(ISERROR(FIND('112'!$M$9,G1976,1)),"",IF((AND(LEFT(G1976,2)=LEFT('112'!$M$9,2),B1976&lt;'112'!$K$9,$N1976='112'!$I$6)),"x",""))</f>
        <v/>
      </c>
      <c r="V1976" s="84" t="str">
        <f>IF(ISERROR(FIND('112'!$M$9,G1976,1)),"",IF((AND(RIGHT(G1976,2)=RIGHT('112'!$M$9,2),B1976&lt;'112'!$K$9,$O1976='112'!$I$6)),"x",""))</f>
        <v/>
      </c>
      <c r="W1976" s="84" t="str">
        <f>IF(AND('341-CT'!$H$9=H1976,OR(LEFT(N1976,3)=$W$7,LEFT(O1976,3)=$W$7)),"x","")</f>
        <v/>
      </c>
      <c r="X1976" s="84" t="str">
        <f>IF(OR(TH!N1976=TH!$X$7,O1976=TH!$X$7),"x","")</f>
        <v/>
      </c>
      <c r="Y1976" s="84" t="str">
        <f>IF(AND(OR(N1976="131",O1976="131"),H1976='131-CT'!$H$9),"x","")</f>
        <v/>
      </c>
      <c r="Z1976" s="84"/>
      <c r="AA1976" s="84" t="str">
        <f>IF(AND(MONTH(E1976)='IN-NX'!$J$5,'IN-NX'!$D$7=D1976),"x","")</f>
        <v/>
      </c>
      <c r="AB1976" s="84" t="str">
        <f>IF(AND(OR(LEFT(TH!N1976,2)="15",LEFT(TH!O1976,2)="15"),LEFT(TH!O1976,3)&lt;&gt;"111",'152-CT'!$J$8=TH!F1976),"x","")</f>
        <v/>
      </c>
      <c r="AC1976" s="84" t="str">
        <f>IF(AND(OR(LEFT(TH!N1976,2)="15",LEFT(TH!O1976,2)="15"),TK!$E$7=TH!F1976),"x","")</f>
        <v/>
      </c>
      <c r="AD1976" s="84" t="str">
        <f>IF(AND(N1976="1521",MONTH(C1976)='BK-NL'!$M$11),"x","")</f>
        <v/>
      </c>
    </row>
    <row r="1977" spans="1:32" s="351" customFormat="1" ht="15.75" customHeight="1">
      <c r="A1977" s="336" t="str">
        <f>IF(B1977&lt;&gt;"",IF(AND(B1977='IN-TC'!$S$4,OR(TH!N1977="1111",TH!O1977="1111")),TH!D1977,""),"")</f>
        <v/>
      </c>
      <c r="B1977" s="63">
        <f t="shared" si="261"/>
        <v>8</v>
      </c>
      <c r="C1977" s="64">
        <v>42594</v>
      </c>
      <c r="D1977" s="64" t="s">
        <v>879</v>
      </c>
      <c r="E1977" s="64">
        <f t="shared" si="262"/>
        <v>42594</v>
      </c>
      <c r="F1977" s="67" t="s">
        <v>1818</v>
      </c>
      <c r="G1977" s="982" t="s">
        <v>1822</v>
      </c>
      <c r="H1977" s="73" t="s">
        <v>1823</v>
      </c>
      <c r="I1977" s="439"/>
      <c r="J1977" s="439"/>
      <c r="K1977" s="430"/>
      <c r="L1977" s="439"/>
      <c r="M1977" s="65">
        <v>10385464</v>
      </c>
      <c r="N1977" s="66" t="s">
        <v>101</v>
      </c>
      <c r="O1977" s="66" t="s">
        <v>63</v>
      </c>
      <c r="P1977" s="84" t="str">
        <f>IF(AND('331-CT'!$E$7=TH!H1977,OR(N1977="331",O1977="331")),"x","")</f>
        <v/>
      </c>
      <c r="Q1977" s="84" t="str">
        <f>IF(AND(B1977='111'!$L$11,OR($N1977=$Q$7,$O1977=$Q$7)),"x","")</f>
        <v/>
      </c>
      <c r="R1977" s="84" t="str">
        <f>IF(AND($N1977=$Q$7,$B1977&lt;'111'!$L$11),"x","")</f>
        <v/>
      </c>
      <c r="S1977" s="84" t="str">
        <f>IF(AND($O1977=$Q$7,$B1977&lt;'111'!$L$11),"x","")</f>
        <v/>
      </c>
      <c r="T1977" s="84" t="str">
        <f>IF(ISERROR(FIND('112'!$M$9,G1977,1)),"",IF((AND(FIND('112'!$M$9,G1977,1)&gt;=1,B1977='112'!$K$9,OR($N1977='112'!$I$6,$O1977='112'!$I$6))),"x",""))</f>
        <v/>
      </c>
      <c r="U1977" s="84" t="str">
        <f>IF(ISERROR(FIND('112'!$M$9,G1977,1)),"",IF((AND(LEFT(G1977,2)=LEFT('112'!$M$9,2),B1977&lt;'112'!$K$9,$N1977='112'!$I$6)),"x",""))</f>
        <v/>
      </c>
      <c r="V1977" s="84" t="str">
        <f>IF(ISERROR(FIND('112'!$M$9,G1977,1)),"",IF((AND(RIGHT(G1977,2)=RIGHT('112'!$M$9,2),B1977&lt;'112'!$K$9,$O1977='112'!$I$6)),"x",""))</f>
        <v/>
      </c>
      <c r="W1977" s="84" t="str">
        <f>IF(AND('341-CT'!$H$9=H1977,OR(LEFT(N1977,3)=$W$7,LEFT(O1977,3)=$W$7)),"x","")</f>
        <v/>
      </c>
      <c r="X1977" s="84" t="str">
        <f>IF(OR(TH!N1977=TH!$X$7,O1977=TH!$X$7),"x","")</f>
        <v/>
      </c>
      <c r="Y1977" s="84" t="str">
        <f>IF(AND(OR(N1977="131",O1977="131"),H1977='131-CT'!$H$9),"x","")</f>
        <v/>
      </c>
      <c r="Z1977" s="84"/>
      <c r="AA1977" s="84" t="str">
        <f>IF(AND(MONTH(E1977)='IN-NX'!$J$5,'IN-NX'!$D$7=D1977),"x","")</f>
        <v/>
      </c>
      <c r="AB1977" s="84" t="str">
        <f>IF(AND(OR(LEFT(TH!N1977,2)="15",LEFT(TH!O1977,2)="15"),LEFT(TH!O1977,3)&lt;&gt;"111",'152-CT'!$J$8=TH!F1977),"x","")</f>
        <v/>
      </c>
      <c r="AC1977" s="84" t="str">
        <f>IF(AND(OR(LEFT(TH!N1977,2)="15",LEFT(TH!O1977,2)="15"),TK!$E$7=TH!F1977),"x","")</f>
        <v/>
      </c>
      <c r="AD1977" s="84" t="str">
        <f>IF(AND(N1977="1521",MONTH(C1977)='BK-NL'!$M$11),"x","")</f>
        <v/>
      </c>
      <c r="AF1977" s="351">
        <v>8</v>
      </c>
    </row>
    <row r="1978" spans="1:32" s="351" customFormat="1" ht="15.75" hidden="1" customHeight="1">
      <c r="A1978" s="336" t="str">
        <f>IF(B1978&lt;&gt;"",IF(AND(B1978='IN-TC'!$S$4,OR(TH!N1978="1111",TH!O1978="1111")),TH!D1978,""),"")</f>
        <v/>
      </c>
      <c r="B1978" s="63">
        <f t="shared" si="261"/>
        <v>8</v>
      </c>
      <c r="C1978" s="64">
        <v>42594</v>
      </c>
      <c r="D1978" s="64" t="s">
        <v>879</v>
      </c>
      <c r="E1978" s="64">
        <f t="shared" si="262"/>
        <v>42594</v>
      </c>
      <c r="F1978" s="67" t="s">
        <v>1819</v>
      </c>
      <c r="G1978" s="982" t="s">
        <v>1822</v>
      </c>
      <c r="H1978" s="73" t="s">
        <v>1823</v>
      </c>
      <c r="I1978" s="439"/>
      <c r="J1978" s="439"/>
      <c r="K1978" s="430"/>
      <c r="L1978" s="439"/>
      <c r="M1978" s="65">
        <v>1038546</v>
      </c>
      <c r="N1978" s="84" t="s">
        <v>2001</v>
      </c>
      <c r="O1978" s="66" t="s">
        <v>63</v>
      </c>
      <c r="P1978" s="84" t="str">
        <f>IF(AND('331-CT'!$E$7=TH!H1978,OR(N1978="331",O1978="331")),"x","")</f>
        <v/>
      </c>
      <c r="Q1978" s="84" t="str">
        <f>IF(AND(B1978='111'!$L$11,OR($N1978=$Q$7,$O1978=$Q$7)),"x","")</f>
        <v/>
      </c>
      <c r="R1978" s="84" t="str">
        <f>IF(AND($N1978=$Q$7,$B1978&lt;'111'!$L$11),"x","")</f>
        <v/>
      </c>
      <c r="S1978" s="84" t="str">
        <f>IF(AND($O1978=$Q$7,$B1978&lt;'111'!$L$11),"x","")</f>
        <v/>
      </c>
      <c r="T1978" s="84" t="str">
        <f>IF(ISERROR(FIND('112'!$M$9,G1978,1)),"",IF((AND(FIND('112'!$M$9,G1978,1)&gt;=1,B1978='112'!$K$9,OR($N1978='112'!$I$6,$O1978='112'!$I$6))),"x",""))</f>
        <v/>
      </c>
      <c r="U1978" s="84" t="str">
        <f>IF(ISERROR(FIND('112'!$M$9,G1978,1)),"",IF((AND(LEFT(G1978,2)=LEFT('112'!$M$9,2),B1978&lt;'112'!$K$9,$N1978='112'!$I$6)),"x",""))</f>
        <v/>
      </c>
      <c r="V1978" s="84" t="str">
        <f>IF(ISERROR(FIND('112'!$M$9,G1978,1)),"",IF((AND(RIGHT(G1978,2)=RIGHT('112'!$M$9,2),B1978&lt;'112'!$K$9,$O1978='112'!$I$6)),"x",""))</f>
        <v/>
      </c>
      <c r="W1978" s="84" t="str">
        <f>IF(AND('341-CT'!$H$9=H1978,OR(LEFT(N1978,3)=$W$7,LEFT(O1978,3)=$W$7)),"x","")</f>
        <v/>
      </c>
      <c r="X1978" s="84" t="str">
        <f>IF(OR(TH!N1978=TH!$X$7,O1978=TH!$X$7),"x","")</f>
        <v/>
      </c>
      <c r="Y1978" s="84" t="str">
        <f>IF(AND(OR(N1978="131",O1978="131"),H1978='131-CT'!$H$9),"x","")</f>
        <v/>
      </c>
      <c r="Z1978" s="84"/>
      <c r="AA1978" s="84" t="str">
        <f>IF(AND(MONTH(E1978)='IN-NX'!$J$5,'IN-NX'!$D$7=D1978),"x","")</f>
        <v/>
      </c>
      <c r="AB1978" s="84" t="str">
        <f>IF(AND(OR(LEFT(TH!N1978,2)="15",LEFT(TH!O1978,2)="15"),LEFT(TH!O1978,3)&lt;&gt;"111",'152-CT'!$J$8=TH!F1978),"x","")</f>
        <v/>
      </c>
      <c r="AC1978" s="84" t="str">
        <f>IF(AND(OR(LEFT(TH!N1978,2)="15",LEFT(TH!O1978,2)="15"),TK!$E$7=TH!F1978),"x","")</f>
        <v/>
      </c>
      <c r="AD1978" s="84" t="str">
        <f>IF(AND(N1978="1521",MONTH(C1978)='BK-NL'!$M$11),"x","")</f>
        <v/>
      </c>
      <c r="AF1978" s="351">
        <v>8</v>
      </c>
    </row>
    <row r="1979" spans="1:32" s="351" customFormat="1" ht="15.75" customHeight="1">
      <c r="A1979" s="336" t="str">
        <f>IF(B1979&lt;&gt;"",IF(AND(B1979='IN-TC'!$S$4,OR(TH!N1979="1111",TH!O1979="1111")),TH!D1979,""),"")</f>
        <v/>
      </c>
      <c r="B1979" s="63">
        <f t="shared" si="261"/>
        <v>8</v>
      </c>
      <c r="C1979" s="64">
        <v>42595</v>
      </c>
      <c r="D1979" s="64" t="s">
        <v>880</v>
      </c>
      <c r="E1979" s="64">
        <f t="shared" si="262"/>
        <v>42595</v>
      </c>
      <c r="F1979" s="67" t="s">
        <v>1114</v>
      </c>
      <c r="G1979" s="982" t="s">
        <v>1824</v>
      </c>
      <c r="H1979" s="73" t="s">
        <v>808</v>
      </c>
      <c r="I1979" s="439"/>
      <c r="J1979" s="439"/>
      <c r="K1979" s="430"/>
      <c r="L1979" s="439"/>
      <c r="M1979" s="65">
        <v>1068364</v>
      </c>
      <c r="N1979" s="66" t="s">
        <v>101</v>
      </c>
      <c r="O1979" s="66" t="s">
        <v>63</v>
      </c>
      <c r="P1979" s="84" t="str">
        <f>IF(AND('331-CT'!$E$7=TH!H1979,OR(N1979="331",O1979="331")),"x","")</f>
        <v/>
      </c>
      <c r="Q1979" s="84" t="str">
        <f>IF(AND(B1979='111'!$L$11,OR($N1979=$Q$7,$O1979=$Q$7)),"x","")</f>
        <v/>
      </c>
      <c r="R1979" s="84" t="str">
        <f>IF(AND($N1979=$Q$7,$B1979&lt;'111'!$L$11),"x","")</f>
        <v/>
      </c>
      <c r="S1979" s="84" t="str">
        <f>IF(AND($O1979=$Q$7,$B1979&lt;'111'!$L$11),"x","")</f>
        <v/>
      </c>
      <c r="T1979" s="84" t="str">
        <f>IF(ISERROR(FIND('112'!$M$9,G1979,1)),"",IF((AND(FIND('112'!$M$9,G1979,1)&gt;=1,B1979='112'!$K$9,OR($N1979='112'!$I$6,$O1979='112'!$I$6))),"x",""))</f>
        <v/>
      </c>
      <c r="U1979" s="84" t="str">
        <f>IF(ISERROR(FIND('112'!$M$9,G1979,1)),"",IF((AND(LEFT(G1979,2)=LEFT('112'!$M$9,2),B1979&lt;'112'!$K$9,$N1979='112'!$I$6)),"x",""))</f>
        <v/>
      </c>
      <c r="V1979" s="84" t="str">
        <f>IF(ISERROR(FIND('112'!$M$9,G1979,1)),"",IF((AND(RIGHT(G1979,2)=RIGHT('112'!$M$9,2),B1979&lt;'112'!$K$9,$O1979='112'!$I$6)),"x",""))</f>
        <v/>
      </c>
      <c r="W1979" s="84" t="str">
        <f>IF(AND('341-CT'!$H$9=H1979,OR(LEFT(N1979,3)=$W$7,LEFT(O1979,3)=$W$7)),"x","")</f>
        <v/>
      </c>
      <c r="X1979" s="84" t="str">
        <f>IF(OR(TH!N1979=TH!$X$7,O1979=TH!$X$7),"x","")</f>
        <v/>
      </c>
      <c r="Y1979" s="84" t="str">
        <f>IF(AND(OR(N1979="131",O1979="131"),H1979='131-CT'!$H$9),"x","")</f>
        <v/>
      </c>
      <c r="Z1979" s="84"/>
      <c r="AA1979" s="84" t="str">
        <f>IF(AND(MONTH(E1979)='IN-NX'!$J$5,'IN-NX'!$D$7=D1979),"x","")</f>
        <v/>
      </c>
      <c r="AB1979" s="84" t="str">
        <f>IF(AND(OR(LEFT(TH!N1979,2)="15",LEFT(TH!O1979,2)="15"),LEFT(TH!O1979,3)&lt;&gt;"111",'152-CT'!$J$8=TH!F1979),"x","")</f>
        <v/>
      </c>
      <c r="AC1979" s="84" t="str">
        <f>IF(AND(OR(LEFT(TH!N1979,2)="15",LEFT(TH!O1979,2)="15"),TK!$E$7=TH!F1979),"x","")</f>
        <v/>
      </c>
      <c r="AD1979" s="84" t="str">
        <f>IF(AND(N1979="1521",MONTH(C1979)='BK-NL'!$M$11),"x","")</f>
        <v/>
      </c>
      <c r="AF1979" s="351">
        <v>8</v>
      </c>
    </row>
    <row r="1980" spans="1:32" s="351" customFormat="1" ht="15.75" hidden="1" customHeight="1">
      <c r="A1980" s="336" t="str">
        <f>IF(B1980&lt;&gt;"",IF(AND(B1980='IN-TC'!$S$4,OR(TH!N1980="1111",TH!O1980="1111")),TH!D1980,""),"")</f>
        <v/>
      </c>
      <c r="B1980" s="63">
        <f t="shared" si="261"/>
        <v>8</v>
      </c>
      <c r="C1980" s="64">
        <v>42595</v>
      </c>
      <c r="D1980" s="64" t="s">
        <v>880</v>
      </c>
      <c r="E1980" s="64">
        <f t="shared" si="262"/>
        <v>42595</v>
      </c>
      <c r="F1980" s="67" t="s">
        <v>1344</v>
      </c>
      <c r="G1980" s="982" t="s">
        <v>1824</v>
      </c>
      <c r="H1980" s="73" t="s">
        <v>808</v>
      </c>
      <c r="I1980" s="439"/>
      <c r="J1980" s="439"/>
      <c r="K1980" s="430"/>
      <c r="L1980" s="439"/>
      <c r="M1980" s="65">
        <v>106836</v>
      </c>
      <c r="N1980" s="84" t="s">
        <v>2001</v>
      </c>
      <c r="O1980" s="66" t="s">
        <v>63</v>
      </c>
      <c r="P1980" s="84" t="str">
        <f>IF(AND('331-CT'!$E$7=TH!H1980,OR(N1980="331",O1980="331")),"x","")</f>
        <v/>
      </c>
      <c r="Q1980" s="84" t="str">
        <f>IF(AND(B1980='111'!$L$11,OR($N1980=$Q$7,$O1980=$Q$7)),"x","")</f>
        <v/>
      </c>
      <c r="R1980" s="84" t="str">
        <f>IF(AND($N1980=$Q$7,$B1980&lt;'111'!$L$11),"x","")</f>
        <v/>
      </c>
      <c r="S1980" s="84" t="str">
        <f>IF(AND($O1980=$Q$7,$B1980&lt;'111'!$L$11),"x","")</f>
        <v/>
      </c>
      <c r="T1980" s="84" t="str">
        <f>IF(ISERROR(FIND('112'!$M$9,G1980,1)),"",IF((AND(FIND('112'!$M$9,G1980,1)&gt;=1,B1980='112'!$K$9,OR($N1980='112'!$I$6,$O1980='112'!$I$6))),"x",""))</f>
        <v/>
      </c>
      <c r="U1980" s="84" t="str">
        <f>IF(ISERROR(FIND('112'!$M$9,G1980,1)),"",IF((AND(LEFT(G1980,2)=LEFT('112'!$M$9,2),B1980&lt;'112'!$K$9,$N1980='112'!$I$6)),"x",""))</f>
        <v/>
      </c>
      <c r="V1980" s="84" t="str">
        <f>IF(ISERROR(FIND('112'!$M$9,G1980,1)),"",IF((AND(RIGHT(G1980,2)=RIGHT('112'!$M$9,2),B1980&lt;'112'!$K$9,$O1980='112'!$I$6)),"x",""))</f>
        <v/>
      </c>
      <c r="W1980" s="84" t="str">
        <f>IF(AND('341-CT'!$H$9=H1980,OR(LEFT(N1980,3)=$W$7,LEFT(O1980,3)=$W$7)),"x","")</f>
        <v/>
      </c>
      <c r="X1980" s="84" t="str">
        <f>IF(OR(TH!N1980=TH!$X$7,O1980=TH!$X$7),"x","")</f>
        <v/>
      </c>
      <c r="Y1980" s="84" t="str">
        <f>IF(AND(OR(N1980="131",O1980="131"),H1980='131-CT'!$H$9),"x","")</f>
        <v/>
      </c>
      <c r="Z1980" s="84"/>
      <c r="AA1980" s="84" t="str">
        <f>IF(AND(MONTH(E1980)='IN-NX'!$J$5,'IN-NX'!$D$7=D1980),"x","")</f>
        <v/>
      </c>
      <c r="AB1980" s="84" t="str">
        <f>IF(AND(OR(LEFT(TH!N1980,2)="15",LEFT(TH!O1980,2)="15"),LEFT(TH!O1980,3)&lt;&gt;"111",'152-CT'!$J$8=TH!F1980),"x","")</f>
        <v/>
      </c>
      <c r="AC1980" s="84" t="str">
        <f>IF(AND(OR(LEFT(TH!N1980,2)="15",LEFT(TH!O1980,2)="15"),TK!$E$7=TH!F1980),"x","")</f>
        <v/>
      </c>
      <c r="AD1980" s="84" t="str">
        <f>IF(AND(N1980="1521",MONTH(C1980)='BK-NL'!$M$11),"x","")</f>
        <v/>
      </c>
      <c r="AF1980" s="351">
        <v>8</v>
      </c>
    </row>
    <row r="1981" spans="1:32" s="351" customFormat="1" ht="15.75" customHeight="1">
      <c r="A1981" s="336" t="str">
        <f>IF(B1981&lt;&gt;"",IF(AND(B1981='IN-TC'!$S$4,OR(TH!N1981="1111",TH!O1981="1111")),TH!D1981,""),"")</f>
        <v/>
      </c>
      <c r="B1981" s="63">
        <f t="shared" si="261"/>
        <v>8</v>
      </c>
      <c r="C1981" s="64">
        <v>42597</v>
      </c>
      <c r="D1981" s="64" t="s">
        <v>881</v>
      </c>
      <c r="E1981" s="64">
        <f t="shared" si="262"/>
        <v>42597</v>
      </c>
      <c r="F1981" s="67" t="s">
        <v>771</v>
      </c>
      <c r="G1981" s="982" t="s">
        <v>1825</v>
      </c>
      <c r="H1981" s="73" t="s">
        <v>808</v>
      </c>
      <c r="I1981" s="439"/>
      <c r="J1981" s="439"/>
      <c r="K1981" s="430"/>
      <c r="L1981" s="439"/>
      <c r="M1981" s="65">
        <v>530000</v>
      </c>
      <c r="N1981" s="66" t="s">
        <v>101</v>
      </c>
      <c r="O1981" s="66" t="s">
        <v>63</v>
      </c>
      <c r="P1981" s="84" t="str">
        <f>IF(AND('331-CT'!$E$7=TH!H1981,OR(N1981="331",O1981="331")),"x","")</f>
        <v/>
      </c>
      <c r="Q1981" s="84" t="str">
        <f>IF(AND(B1981='111'!$L$11,OR($N1981=$Q$7,$O1981=$Q$7)),"x","")</f>
        <v/>
      </c>
      <c r="R1981" s="84" t="str">
        <f>IF(AND($N1981=$Q$7,$B1981&lt;'111'!$L$11),"x","")</f>
        <v/>
      </c>
      <c r="S1981" s="84" t="str">
        <f>IF(AND($O1981=$Q$7,$B1981&lt;'111'!$L$11),"x","")</f>
        <v/>
      </c>
      <c r="T1981" s="84" t="str">
        <f>IF(ISERROR(FIND('112'!$M$9,G1981,1)),"",IF((AND(FIND('112'!$M$9,G1981,1)&gt;=1,B1981='112'!$K$9,OR($N1981='112'!$I$6,$O1981='112'!$I$6))),"x",""))</f>
        <v/>
      </c>
      <c r="U1981" s="84" t="str">
        <f>IF(ISERROR(FIND('112'!$M$9,G1981,1)),"",IF((AND(LEFT(G1981,2)=LEFT('112'!$M$9,2),B1981&lt;'112'!$K$9,$N1981='112'!$I$6)),"x",""))</f>
        <v/>
      </c>
      <c r="V1981" s="84" t="str">
        <f>IF(ISERROR(FIND('112'!$M$9,G1981,1)),"",IF((AND(RIGHT(G1981,2)=RIGHT('112'!$M$9,2),B1981&lt;'112'!$K$9,$O1981='112'!$I$6)),"x",""))</f>
        <v/>
      </c>
      <c r="W1981" s="84" t="str">
        <f>IF(AND('341-CT'!$H$9=H1981,OR(LEFT(N1981,3)=$W$7,LEFT(O1981,3)=$W$7)),"x","")</f>
        <v/>
      </c>
      <c r="X1981" s="84" t="str">
        <f>IF(OR(TH!N1981=TH!$X$7,O1981=TH!$X$7),"x","")</f>
        <v/>
      </c>
      <c r="Y1981" s="84" t="str">
        <f>IF(AND(OR(N1981="131",O1981="131"),H1981='131-CT'!$H$9),"x","")</f>
        <v/>
      </c>
      <c r="Z1981" s="84"/>
      <c r="AA1981" s="84" t="str">
        <f>IF(AND(MONTH(E1981)='IN-NX'!$J$5,'IN-NX'!$D$7=D1981),"x","")</f>
        <v/>
      </c>
      <c r="AB1981" s="84" t="str">
        <f>IF(AND(OR(LEFT(TH!N1981,2)="15",LEFT(TH!O1981,2)="15"),LEFT(TH!O1981,3)&lt;&gt;"111",'152-CT'!$J$8=TH!F1981),"x","")</f>
        <v/>
      </c>
      <c r="AC1981" s="84" t="str">
        <f>IF(AND(OR(LEFT(TH!N1981,2)="15",LEFT(TH!O1981,2)="15"),TK!$E$7=TH!F1981),"x","")</f>
        <v/>
      </c>
      <c r="AD1981" s="84" t="str">
        <f>IF(AND(N1981="1521",MONTH(C1981)='BK-NL'!$M$11),"x","")</f>
        <v/>
      </c>
      <c r="AF1981" s="351">
        <v>8</v>
      </c>
    </row>
    <row r="1982" spans="1:32" s="351" customFormat="1" ht="15.75" hidden="1" customHeight="1">
      <c r="A1982" s="336" t="str">
        <f>IF(B1982&lt;&gt;"",IF(AND(B1982='IN-TC'!$S$4,OR(TH!N1982="1111",TH!O1982="1111")),TH!D1982,""),"")</f>
        <v/>
      </c>
      <c r="B1982" s="63">
        <f t="shared" si="261"/>
        <v>8</v>
      </c>
      <c r="C1982" s="64">
        <v>42597</v>
      </c>
      <c r="D1982" s="64" t="s">
        <v>881</v>
      </c>
      <c r="E1982" s="64">
        <f t="shared" si="262"/>
        <v>42597</v>
      </c>
      <c r="F1982" s="67" t="s">
        <v>772</v>
      </c>
      <c r="G1982" s="982" t="s">
        <v>1825</v>
      </c>
      <c r="H1982" s="73" t="s">
        <v>808</v>
      </c>
      <c r="I1982" s="439"/>
      <c r="J1982" s="439"/>
      <c r="K1982" s="430"/>
      <c r="L1982" s="439"/>
      <c r="M1982" s="65">
        <v>53000</v>
      </c>
      <c r="N1982" s="84" t="s">
        <v>2001</v>
      </c>
      <c r="O1982" s="66" t="s">
        <v>63</v>
      </c>
      <c r="P1982" s="84" t="str">
        <f>IF(AND('331-CT'!$E$7=TH!H1982,OR(N1982="331",O1982="331")),"x","")</f>
        <v/>
      </c>
      <c r="Q1982" s="84" t="str">
        <f>IF(AND(B1982='111'!$L$11,OR($N1982=$Q$7,$O1982=$Q$7)),"x","")</f>
        <v/>
      </c>
      <c r="R1982" s="84" t="str">
        <f>IF(AND($N1982=$Q$7,$B1982&lt;'111'!$L$11),"x","")</f>
        <v/>
      </c>
      <c r="S1982" s="84" t="str">
        <f>IF(AND($O1982=$Q$7,$B1982&lt;'111'!$L$11),"x","")</f>
        <v/>
      </c>
      <c r="T1982" s="84" t="str">
        <f>IF(ISERROR(FIND('112'!$M$9,G1982,1)),"",IF((AND(FIND('112'!$M$9,G1982,1)&gt;=1,B1982='112'!$K$9,OR($N1982='112'!$I$6,$O1982='112'!$I$6))),"x",""))</f>
        <v/>
      </c>
      <c r="U1982" s="84" t="str">
        <f>IF(ISERROR(FIND('112'!$M$9,G1982,1)),"",IF((AND(LEFT(G1982,2)=LEFT('112'!$M$9,2),B1982&lt;'112'!$K$9,$N1982='112'!$I$6)),"x",""))</f>
        <v/>
      </c>
      <c r="V1982" s="84" t="str">
        <f>IF(ISERROR(FIND('112'!$M$9,G1982,1)),"",IF((AND(RIGHT(G1982,2)=RIGHT('112'!$M$9,2),B1982&lt;'112'!$K$9,$O1982='112'!$I$6)),"x",""))</f>
        <v/>
      </c>
      <c r="W1982" s="84" t="str">
        <f>IF(AND('341-CT'!$H$9=H1982,OR(LEFT(N1982,3)=$W$7,LEFT(O1982,3)=$W$7)),"x","")</f>
        <v/>
      </c>
      <c r="X1982" s="84" t="str">
        <f>IF(OR(TH!N1982=TH!$X$7,O1982=TH!$X$7),"x","")</f>
        <v/>
      </c>
      <c r="Y1982" s="84" t="str">
        <f>IF(AND(OR(N1982="131",O1982="131"),H1982='131-CT'!$H$9),"x","")</f>
        <v/>
      </c>
      <c r="Z1982" s="84"/>
      <c r="AA1982" s="84" t="str">
        <f>IF(AND(MONTH(E1982)='IN-NX'!$J$5,'IN-NX'!$D$7=D1982),"x","")</f>
        <v/>
      </c>
      <c r="AB1982" s="84" t="str">
        <f>IF(AND(OR(LEFT(TH!N1982,2)="15",LEFT(TH!O1982,2)="15"),LEFT(TH!O1982,3)&lt;&gt;"111",'152-CT'!$J$8=TH!F1982),"x","")</f>
        <v/>
      </c>
      <c r="AC1982" s="84" t="str">
        <f>IF(AND(OR(LEFT(TH!N1982,2)="15",LEFT(TH!O1982,2)="15"),TK!$E$7=TH!F1982),"x","")</f>
        <v/>
      </c>
      <c r="AD1982" s="84" t="str">
        <f>IF(AND(N1982="1521",MONTH(C1982)='BK-NL'!$M$11),"x","")</f>
        <v/>
      </c>
      <c r="AF1982" s="351">
        <v>8</v>
      </c>
    </row>
    <row r="1983" spans="1:32" s="351" customFormat="1" ht="15.75" customHeight="1">
      <c r="A1983" s="336" t="str">
        <f>IF(B1983&lt;&gt;"",IF(AND(B1983='IN-TC'!$S$4,OR(TH!N1983="1111",TH!O1983="1111")),TH!D1983,""),"")</f>
        <v/>
      </c>
      <c r="B1983" s="63">
        <f t="shared" si="261"/>
        <v>8</v>
      </c>
      <c r="C1983" s="64">
        <v>42598</v>
      </c>
      <c r="D1983" s="64" t="s">
        <v>882</v>
      </c>
      <c r="E1983" s="64">
        <f>C1983</f>
        <v>42598</v>
      </c>
      <c r="F1983" s="67" t="s">
        <v>1114</v>
      </c>
      <c r="G1983" s="982" t="s">
        <v>1826</v>
      </c>
      <c r="H1983" s="73" t="s">
        <v>808</v>
      </c>
      <c r="I1983" s="439"/>
      <c r="J1983" s="439"/>
      <c r="K1983" s="430"/>
      <c r="L1983" s="439"/>
      <c r="M1983" s="65">
        <v>783491</v>
      </c>
      <c r="N1983" s="66" t="s">
        <v>101</v>
      </c>
      <c r="O1983" s="66" t="s">
        <v>63</v>
      </c>
      <c r="P1983" s="84" t="str">
        <f>IF(AND('331-CT'!$E$7=TH!H1983,OR(N1983="331",O1983="331")),"x","")</f>
        <v/>
      </c>
      <c r="Q1983" s="84" t="str">
        <f>IF(AND(B1983='111'!$L$11,OR($N1983=$Q$7,$O1983=$Q$7)),"x","")</f>
        <v/>
      </c>
      <c r="R1983" s="84" t="str">
        <f>IF(AND($N1983=$Q$7,$B1983&lt;'111'!$L$11),"x","")</f>
        <v/>
      </c>
      <c r="S1983" s="84" t="str">
        <f>IF(AND($O1983=$Q$7,$B1983&lt;'111'!$L$11),"x","")</f>
        <v/>
      </c>
      <c r="T1983" s="84" t="str">
        <f>IF(ISERROR(FIND('112'!$M$9,G1983,1)),"",IF((AND(FIND('112'!$M$9,G1983,1)&gt;=1,B1983='112'!$K$9,OR($N1983='112'!$I$6,$O1983='112'!$I$6))),"x",""))</f>
        <v/>
      </c>
      <c r="U1983" s="84" t="str">
        <f>IF(ISERROR(FIND('112'!$M$9,G1983,1)),"",IF((AND(LEFT(G1983,2)=LEFT('112'!$M$9,2),B1983&lt;'112'!$K$9,$N1983='112'!$I$6)),"x",""))</f>
        <v/>
      </c>
      <c r="V1983" s="84" t="str">
        <f>IF(ISERROR(FIND('112'!$M$9,G1983,1)),"",IF((AND(RIGHT(G1983,2)=RIGHT('112'!$M$9,2),B1983&lt;'112'!$K$9,$O1983='112'!$I$6)),"x",""))</f>
        <v/>
      </c>
      <c r="W1983" s="84" t="str">
        <f>IF(AND('341-CT'!$H$9=H1983,OR(LEFT(N1983,3)=$W$7,LEFT(O1983,3)=$W$7)),"x","")</f>
        <v/>
      </c>
      <c r="X1983" s="84" t="str">
        <f>IF(OR(TH!N1983=TH!$X$7,O1983=TH!$X$7),"x","")</f>
        <v/>
      </c>
      <c r="Y1983" s="84" t="str">
        <f>IF(AND(OR(N1983="131",O1983="131"),H1983='131-CT'!$H$9),"x","")</f>
        <v/>
      </c>
      <c r="Z1983" s="84"/>
      <c r="AA1983" s="84" t="str">
        <f>IF(AND(MONTH(E1983)='IN-NX'!$J$5,'IN-NX'!$D$7=D1983),"x","")</f>
        <v/>
      </c>
      <c r="AB1983" s="84" t="str">
        <f>IF(AND(OR(LEFT(TH!N1983,2)="15",LEFT(TH!O1983,2)="15"),LEFT(TH!O1983,3)&lt;&gt;"111",'152-CT'!$J$8=TH!F1983),"x","")</f>
        <v/>
      </c>
      <c r="AC1983" s="84" t="str">
        <f>IF(AND(OR(LEFT(TH!N1983,2)="15",LEFT(TH!O1983,2)="15"),TK!$E$7=TH!F1983),"x","")</f>
        <v/>
      </c>
      <c r="AD1983" s="84" t="str">
        <f>IF(AND(N1983="1521",MONTH(C1983)='BK-NL'!$M$11),"x","")</f>
        <v/>
      </c>
      <c r="AF1983" s="351">
        <v>8</v>
      </c>
    </row>
    <row r="1984" spans="1:32" s="351" customFormat="1" ht="15.75" hidden="1" customHeight="1">
      <c r="A1984" s="336" t="str">
        <f>IF(B1984&lt;&gt;"",IF(AND(B1984='IN-TC'!$S$4,OR(TH!N1984="1111",TH!O1984="1111")),TH!D1984,""),"")</f>
        <v/>
      </c>
      <c r="B1984" s="63">
        <f t="shared" si="261"/>
        <v>8</v>
      </c>
      <c r="C1984" s="64">
        <v>42598</v>
      </c>
      <c r="D1984" s="64" t="s">
        <v>882</v>
      </c>
      <c r="E1984" s="64">
        <f>C1984</f>
        <v>42598</v>
      </c>
      <c r="F1984" s="67" t="s">
        <v>1344</v>
      </c>
      <c r="G1984" s="982" t="s">
        <v>1826</v>
      </c>
      <c r="H1984" s="73" t="s">
        <v>808</v>
      </c>
      <c r="I1984" s="439"/>
      <c r="J1984" s="439"/>
      <c r="K1984" s="430"/>
      <c r="L1984" s="439"/>
      <c r="M1984" s="65">
        <v>78349</v>
      </c>
      <c r="N1984" s="84" t="s">
        <v>2001</v>
      </c>
      <c r="O1984" s="66" t="s">
        <v>63</v>
      </c>
      <c r="P1984" s="84" t="str">
        <f>IF(AND('331-CT'!$E$7=TH!H1984,OR(N1984="331",O1984="331")),"x","")</f>
        <v/>
      </c>
      <c r="Q1984" s="84" t="str">
        <f>IF(AND(B1984='111'!$L$11,OR($N1984=$Q$7,$O1984=$Q$7)),"x","")</f>
        <v/>
      </c>
      <c r="R1984" s="84" t="str">
        <f>IF(AND($N1984=$Q$7,$B1984&lt;'111'!$L$11),"x","")</f>
        <v/>
      </c>
      <c r="S1984" s="84" t="str">
        <f>IF(AND($O1984=$Q$7,$B1984&lt;'111'!$L$11),"x","")</f>
        <v/>
      </c>
      <c r="T1984" s="84" t="str">
        <f>IF(ISERROR(FIND('112'!$M$9,G1984,1)),"",IF((AND(FIND('112'!$M$9,G1984,1)&gt;=1,B1984='112'!$K$9,OR($N1984='112'!$I$6,$O1984='112'!$I$6))),"x",""))</f>
        <v/>
      </c>
      <c r="U1984" s="84" t="str">
        <f>IF(ISERROR(FIND('112'!$M$9,G1984,1)),"",IF((AND(LEFT(G1984,2)=LEFT('112'!$M$9,2),B1984&lt;'112'!$K$9,$N1984='112'!$I$6)),"x",""))</f>
        <v/>
      </c>
      <c r="V1984" s="84" t="str">
        <f>IF(ISERROR(FIND('112'!$M$9,G1984,1)),"",IF((AND(RIGHT(G1984,2)=RIGHT('112'!$M$9,2),B1984&lt;'112'!$K$9,$O1984='112'!$I$6)),"x",""))</f>
        <v/>
      </c>
      <c r="W1984" s="84" t="str">
        <f>IF(AND('341-CT'!$H$9=H1984,OR(LEFT(N1984,3)=$W$7,LEFT(O1984,3)=$W$7)),"x","")</f>
        <v/>
      </c>
      <c r="X1984" s="84" t="str">
        <f>IF(OR(TH!N1984=TH!$X$7,O1984=TH!$X$7),"x","")</f>
        <v/>
      </c>
      <c r="Y1984" s="84" t="str">
        <f>IF(AND(OR(N1984="131",O1984="131"),H1984='131-CT'!$H$9),"x","")</f>
        <v/>
      </c>
      <c r="Z1984" s="84"/>
      <c r="AA1984" s="84" t="str">
        <f>IF(AND(MONTH(E1984)='IN-NX'!$J$5,'IN-NX'!$D$7=D1984),"x","")</f>
        <v/>
      </c>
      <c r="AB1984" s="84" t="str">
        <f>IF(AND(OR(LEFT(TH!N1984,2)="15",LEFT(TH!O1984,2)="15"),LEFT(TH!O1984,3)&lt;&gt;"111",'152-CT'!$J$8=TH!F1984),"x","")</f>
        <v/>
      </c>
      <c r="AC1984" s="84" t="str">
        <f>IF(AND(OR(LEFT(TH!N1984,2)="15",LEFT(TH!O1984,2)="15"),TK!$E$7=TH!F1984),"x","")</f>
        <v/>
      </c>
      <c r="AD1984" s="84" t="str">
        <f>IF(AND(N1984="1521",MONTH(C1984)='BK-NL'!$M$11),"x","")</f>
        <v/>
      </c>
      <c r="AF1984" s="351">
        <v>8</v>
      </c>
    </row>
    <row r="1985" spans="1:32" s="351" customFormat="1" ht="15.75" customHeight="1">
      <c r="A1985" s="336" t="str">
        <f>IF(B1985&lt;&gt;"",IF(AND(B1985='IN-TC'!$S$4,OR(TH!N1985="1111",TH!O1985="1111")),TH!D1985,""),"")</f>
        <v/>
      </c>
      <c r="B1985" s="63">
        <f t="shared" si="261"/>
        <v>8</v>
      </c>
      <c r="C1985" s="64">
        <v>42599</v>
      </c>
      <c r="D1985" s="64" t="s">
        <v>883</v>
      </c>
      <c r="E1985" s="64">
        <f t="shared" si="262"/>
        <v>42599</v>
      </c>
      <c r="F1985" s="67" t="s">
        <v>771</v>
      </c>
      <c r="G1985" s="982" t="s">
        <v>1827</v>
      </c>
      <c r="H1985" s="73" t="s">
        <v>808</v>
      </c>
      <c r="I1985" s="439"/>
      <c r="J1985" s="439"/>
      <c r="K1985" s="430"/>
      <c r="L1985" s="439"/>
      <c r="M1985" s="65">
        <v>614800</v>
      </c>
      <c r="N1985" s="66" t="s">
        <v>101</v>
      </c>
      <c r="O1985" s="66" t="s">
        <v>63</v>
      </c>
      <c r="P1985" s="84" t="str">
        <f>IF(AND('331-CT'!$E$7=TH!H1985,OR(N1985="331",O1985="331")),"x","")</f>
        <v/>
      </c>
      <c r="Q1985" s="84" t="str">
        <f>IF(AND(B1985='111'!$L$11,OR($N1985=$Q$7,$O1985=$Q$7)),"x","")</f>
        <v/>
      </c>
      <c r="R1985" s="84" t="str">
        <f>IF(AND($N1985=$Q$7,$B1985&lt;'111'!$L$11),"x","")</f>
        <v/>
      </c>
      <c r="S1985" s="84" t="str">
        <f>IF(AND($O1985=$Q$7,$B1985&lt;'111'!$L$11),"x","")</f>
        <v/>
      </c>
      <c r="T1985" s="84" t="str">
        <f>IF(ISERROR(FIND('112'!$M$9,G1985,1)),"",IF((AND(FIND('112'!$M$9,G1985,1)&gt;=1,B1985='112'!$K$9,OR($N1985='112'!$I$6,$O1985='112'!$I$6))),"x",""))</f>
        <v/>
      </c>
      <c r="U1985" s="84" t="str">
        <f>IF(ISERROR(FIND('112'!$M$9,G1985,1)),"",IF((AND(LEFT(G1985,2)=LEFT('112'!$M$9,2),B1985&lt;'112'!$K$9,$N1985='112'!$I$6)),"x",""))</f>
        <v/>
      </c>
      <c r="V1985" s="84" t="str">
        <f>IF(ISERROR(FIND('112'!$M$9,G1985,1)),"",IF((AND(RIGHT(G1985,2)=RIGHT('112'!$M$9,2),B1985&lt;'112'!$K$9,$O1985='112'!$I$6)),"x",""))</f>
        <v/>
      </c>
      <c r="W1985" s="84" t="str">
        <f>IF(AND('341-CT'!$H$9=H1985,OR(LEFT(N1985,3)=$W$7,LEFT(O1985,3)=$W$7)),"x","")</f>
        <v/>
      </c>
      <c r="X1985" s="84" t="str">
        <f>IF(OR(TH!N1985=TH!$X$7,O1985=TH!$X$7),"x","")</f>
        <v/>
      </c>
      <c r="Y1985" s="84" t="str">
        <f>IF(AND(OR(N1985="131",O1985="131"),H1985='131-CT'!$H$9),"x","")</f>
        <v/>
      </c>
      <c r="Z1985" s="84"/>
      <c r="AA1985" s="84" t="str">
        <f>IF(AND(MONTH(E1985)='IN-NX'!$J$5,'IN-NX'!$D$7=D1985),"x","")</f>
        <v/>
      </c>
      <c r="AB1985" s="84" t="str">
        <f>IF(AND(OR(LEFT(TH!N1985,2)="15",LEFT(TH!O1985,2)="15"),LEFT(TH!O1985,3)&lt;&gt;"111",'152-CT'!$J$8=TH!F1985),"x","")</f>
        <v/>
      </c>
      <c r="AC1985" s="84" t="str">
        <f>IF(AND(OR(LEFT(TH!N1985,2)="15",LEFT(TH!O1985,2)="15"),TK!$E$7=TH!F1985),"x","")</f>
        <v/>
      </c>
      <c r="AD1985" s="84" t="str">
        <f>IF(AND(N1985="1521",MONTH(C1985)='BK-NL'!$M$11),"x","")</f>
        <v/>
      </c>
      <c r="AF1985" s="351">
        <v>8</v>
      </c>
    </row>
    <row r="1986" spans="1:32" s="351" customFormat="1" ht="15.75" hidden="1" customHeight="1">
      <c r="A1986" s="336" t="str">
        <f>IF(B1986&lt;&gt;"",IF(AND(B1986='IN-TC'!$S$4,OR(TH!N1986="1111",TH!O1986="1111")),TH!D1986,""),"")</f>
        <v/>
      </c>
      <c r="B1986" s="63">
        <f t="shared" si="261"/>
        <v>8</v>
      </c>
      <c r="C1986" s="64">
        <v>42599</v>
      </c>
      <c r="D1986" s="64" t="s">
        <v>883</v>
      </c>
      <c r="E1986" s="64">
        <f t="shared" si="262"/>
        <v>42599</v>
      </c>
      <c r="F1986" s="67" t="s">
        <v>772</v>
      </c>
      <c r="G1986" s="982" t="s">
        <v>1827</v>
      </c>
      <c r="H1986" s="73" t="s">
        <v>808</v>
      </c>
      <c r="I1986" s="439"/>
      <c r="J1986" s="439"/>
      <c r="K1986" s="430"/>
      <c r="L1986" s="439"/>
      <c r="M1986" s="65">
        <v>61480</v>
      </c>
      <c r="N1986" s="84" t="s">
        <v>2001</v>
      </c>
      <c r="O1986" s="66" t="s">
        <v>63</v>
      </c>
      <c r="P1986" s="84" t="str">
        <f>IF(AND('331-CT'!$E$7=TH!H1986,OR(N1986="331",O1986="331")),"x","")</f>
        <v/>
      </c>
      <c r="Q1986" s="84" t="str">
        <f>IF(AND(B1986='111'!$L$11,OR($N1986=$Q$7,$O1986=$Q$7)),"x","")</f>
        <v/>
      </c>
      <c r="R1986" s="84" t="str">
        <f>IF(AND($N1986=$Q$7,$B1986&lt;'111'!$L$11),"x","")</f>
        <v/>
      </c>
      <c r="S1986" s="84" t="str">
        <f>IF(AND($O1986=$Q$7,$B1986&lt;'111'!$L$11),"x","")</f>
        <v/>
      </c>
      <c r="T1986" s="84" t="str">
        <f>IF(ISERROR(FIND('112'!$M$9,G1986,1)),"",IF((AND(FIND('112'!$M$9,G1986,1)&gt;=1,B1986='112'!$K$9,OR($N1986='112'!$I$6,$O1986='112'!$I$6))),"x",""))</f>
        <v/>
      </c>
      <c r="U1986" s="84" t="str">
        <f>IF(ISERROR(FIND('112'!$M$9,G1986,1)),"",IF((AND(LEFT(G1986,2)=LEFT('112'!$M$9,2),B1986&lt;'112'!$K$9,$N1986='112'!$I$6)),"x",""))</f>
        <v/>
      </c>
      <c r="V1986" s="84" t="str">
        <f>IF(ISERROR(FIND('112'!$M$9,G1986,1)),"",IF((AND(RIGHT(G1986,2)=RIGHT('112'!$M$9,2),B1986&lt;'112'!$K$9,$O1986='112'!$I$6)),"x",""))</f>
        <v/>
      </c>
      <c r="W1986" s="84" t="str">
        <f>IF(AND('341-CT'!$H$9=H1986,OR(LEFT(N1986,3)=$W$7,LEFT(O1986,3)=$W$7)),"x","")</f>
        <v/>
      </c>
      <c r="X1986" s="84" t="str">
        <f>IF(OR(TH!N1986=TH!$X$7,O1986=TH!$X$7),"x","")</f>
        <v/>
      </c>
      <c r="Y1986" s="84" t="str">
        <f>IF(AND(OR(N1986="131",O1986="131"),H1986='131-CT'!$H$9),"x","")</f>
        <v/>
      </c>
      <c r="Z1986" s="84"/>
      <c r="AA1986" s="84" t="str">
        <f>IF(AND(MONTH(E1986)='IN-NX'!$J$5,'IN-NX'!$D$7=D1986),"x","")</f>
        <v/>
      </c>
      <c r="AB1986" s="84" t="str">
        <f>IF(AND(OR(LEFT(TH!N1986,2)="15",LEFT(TH!O1986,2)="15"),LEFT(TH!O1986,3)&lt;&gt;"111",'152-CT'!$J$8=TH!F1986),"x","")</f>
        <v/>
      </c>
      <c r="AC1986" s="84" t="str">
        <f>IF(AND(OR(LEFT(TH!N1986,2)="15",LEFT(TH!O1986,2)="15"),TK!$E$7=TH!F1986),"x","")</f>
        <v/>
      </c>
      <c r="AD1986" s="84" t="str">
        <f>IF(AND(N1986="1521",MONTH(C1986)='BK-NL'!$M$11),"x","")</f>
        <v/>
      </c>
      <c r="AF1986" s="351">
        <v>8</v>
      </c>
    </row>
    <row r="1987" spans="1:32" s="351" customFormat="1" ht="15.75" customHeight="1">
      <c r="A1987" s="336" t="str">
        <f>IF(B1987&lt;&gt;"",IF(AND(B1987='IN-TC'!$S$4,OR(TH!N1987="1111",TH!O1987="1111")),TH!D1987,""),"")</f>
        <v/>
      </c>
      <c r="B1987" s="63">
        <f t="shared" si="261"/>
        <v>8</v>
      </c>
      <c r="C1987" s="64">
        <v>42600</v>
      </c>
      <c r="D1987" s="64" t="s">
        <v>884</v>
      </c>
      <c r="E1987" s="64">
        <f t="shared" si="262"/>
        <v>42600</v>
      </c>
      <c r="F1987" s="67" t="s">
        <v>1114</v>
      </c>
      <c r="G1987" s="982" t="s">
        <v>1828</v>
      </c>
      <c r="H1987" s="73" t="s">
        <v>808</v>
      </c>
      <c r="I1987" s="439"/>
      <c r="J1987" s="439"/>
      <c r="K1987" s="430"/>
      <c r="L1987" s="439"/>
      <c r="M1987" s="65">
        <v>405736</v>
      </c>
      <c r="N1987" s="66" t="s">
        <v>101</v>
      </c>
      <c r="O1987" s="66" t="s">
        <v>63</v>
      </c>
      <c r="P1987" s="84" t="str">
        <f>IF(AND('331-CT'!$E$7=TH!H1987,OR(N1987="331",O1987="331")),"x","")</f>
        <v/>
      </c>
      <c r="Q1987" s="84" t="str">
        <f>IF(AND(B1987='111'!$L$11,OR($N1987=$Q$7,$O1987=$Q$7)),"x","")</f>
        <v/>
      </c>
      <c r="R1987" s="84" t="str">
        <f>IF(AND($N1987=$Q$7,$B1987&lt;'111'!$L$11),"x","")</f>
        <v/>
      </c>
      <c r="S1987" s="84" t="str">
        <f>IF(AND($O1987=$Q$7,$B1987&lt;'111'!$L$11),"x","")</f>
        <v/>
      </c>
      <c r="T1987" s="84" t="str">
        <f>IF(ISERROR(FIND('112'!$M$9,G1987,1)),"",IF((AND(FIND('112'!$M$9,G1987,1)&gt;=1,B1987='112'!$K$9,OR($N1987='112'!$I$6,$O1987='112'!$I$6))),"x",""))</f>
        <v/>
      </c>
      <c r="U1987" s="84" t="str">
        <f>IF(ISERROR(FIND('112'!$M$9,G1987,1)),"",IF((AND(LEFT(G1987,2)=LEFT('112'!$M$9,2),B1987&lt;'112'!$K$9,$N1987='112'!$I$6)),"x",""))</f>
        <v/>
      </c>
      <c r="V1987" s="84" t="str">
        <f>IF(ISERROR(FIND('112'!$M$9,G1987,1)),"",IF((AND(RIGHT(G1987,2)=RIGHT('112'!$M$9,2),B1987&lt;'112'!$K$9,$O1987='112'!$I$6)),"x",""))</f>
        <v/>
      </c>
      <c r="W1987" s="84" t="str">
        <f>IF(AND('341-CT'!$H$9=H1987,OR(LEFT(N1987,3)=$W$7,LEFT(O1987,3)=$W$7)),"x","")</f>
        <v/>
      </c>
      <c r="X1987" s="84" t="str">
        <f>IF(OR(TH!N1987=TH!$X$7,O1987=TH!$X$7),"x","")</f>
        <v/>
      </c>
      <c r="Y1987" s="84" t="str">
        <f>IF(AND(OR(N1987="131",O1987="131"),H1987='131-CT'!$H$9),"x","")</f>
        <v/>
      </c>
      <c r="Z1987" s="84"/>
      <c r="AA1987" s="84" t="str">
        <f>IF(AND(MONTH(E1987)='IN-NX'!$J$5,'IN-NX'!$D$7=D1987),"x","")</f>
        <v/>
      </c>
      <c r="AB1987" s="84" t="str">
        <f>IF(AND(OR(LEFT(TH!N1987,2)="15",LEFT(TH!O1987,2)="15"),LEFT(TH!O1987,3)&lt;&gt;"111",'152-CT'!$J$8=TH!F1987),"x","")</f>
        <v/>
      </c>
      <c r="AC1987" s="84" t="str">
        <f>IF(AND(OR(LEFT(TH!N1987,2)="15",LEFT(TH!O1987,2)="15"),TK!$E$7=TH!F1987),"x","")</f>
        <v/>
      </c>
      <c r="AD1987" s="84" t="str">
        <f>IF(AND(N1987="1521",MONTH(C1987)='BK-NL'!$M$11),"x","")</f>
        <v/>
      </c>
      <c r="AF1987" s="351">
        <v>8</v>
      </c>
    </row>
    <row r="1988" spans="1:32" s="351" customFormat="1" ht="15.75" hidden="1" customHeight="1">
      <c r="A1988" s="336" t="str">
        <f>IF(B1988&lt;&gt;"",IF(AND(B1988='IN-TC'!$S$4,OR(TH!N1988="1111",TH!O1988="1111")),TH!D1988,""),"")</f>
        <v/>
      </c>
      <c r="B1988" s="63">
        <f t="shared" si="261"/>
        <v>8</v>
      </c>
      <c r="C1988" s="64">
        <v>42600</v>
      </c>
      <c r="D1988" s="64" t="s">
        <v>884</v>
      </c>
      <c r="E1988" s="64">
        <f t="shared" si="262"/>
        <v>42600</v>
      </c>
      <c r="F1988" s="67" t="s">
        <v>1344</v>
      </c>
      <c r="G1988" s="982" t="s">
        <v>1828</v>
      </c>
      <c r="H1988" s="73" t="s">
        <v>808</v>
      </c>
      <c r="I1988" s="439"/>
      <c r="J1988" s="439"/>
      <c r="K1988" s="430"/>
      <c r="L1988" s="439"/>
      <c r="M1988" s="65">
        <v>40574</v>
      </c>
      <c r="N1988" s="84" t="s">
        <v>2001</v>
      </c>
      <c r="O1988" s="66" t="s">
        <v>63</v>
      </c>
      <c r="P1988" s="84" t="str">
        <f>IF(AND('331-CT'!$E$7=TH!H1988,OR(N1988="331",O1988="331")),"x","")</f>
        <v/>
      </c>
      <c r="Q1988" s="84" t="str">
        <f>IF(AND(B1988='111'!$L$11,OR($N1988=$Q$7,$O1988=$Q$7)),"x","")</f>
        <v/>
      </c>
      <c r="R1988" s="84" t="str">
        <f>IF(AND($N1988=$Q$7,$B1988&lt;'111'!$L$11),"x","")</f>
        <v/>
      </c>
      <c r="S1988" s="84" t="str">
        <f>IF(AND($O1988=$Q$7,$B1988&lt;'111'!$L$11),"x","")</f>
        <v/>
      </c>
      <c r="T1988" s="84" t="str">
        <f>IF(ISERROR(FIND('112'!$M$9,G1988,1)),"",IF((AND(FIND('112'!$M$9,G1988,1)&gt;=1,B1988='112'!$K$9,OR($N1988='112'!$I$6,$O1988='112'!$I$6))),"x",""))</f>
        <v/>
      </c>
      <c r="U1988" s="84" t="str">
        <f>IF(ISERROR(FIND('112'!$M$9,G1988,1)),"",IF((AND(LEFT(G1988,2)=LEFT('112'!$M$9,2),B1988&lt;'112'!$K$9,$N1988='112'!$I$6)),"x",""))</f>
        <v/>
      </c>
      <c r="V1988" s="84" t="str">
        <f>IF(ISERROR(FIND('112'!$M$9,G1988,1)),"",IF((AND(RIGHT(G1988,2)=RIGHT('112'!$M$9,2),B1988&lt;'112'!$K$9,$O1988='112'!$I$6)),"x",""))</f>
        <v/>
      </c>
      <c r="W1988" s="84" t="str">
        <f>IF(AND('341-CT'!$H$9=H1988,OR(LEFT(N1988,3)=$W$7,LEFT(O1988,3)=$W$7)),"x","")</f>
        <v/>
      </c>
      <c r="X1988" s="84" t="str">
        <f>IF(OR(TH!N1988=TH!$X$7,O1988=TH!$X$7),"x","")</f>
        <v/>
      </c>
      <c r="Y1988" s="84" t="str">
        <f>IF(AND(OR(N1988="131",O1988="131"),H1988='131-CT'!$H$9),"x","")</f>
        <v/>
      </c>
      <c r="Z1988" s="84"/>
      <c r="AA1988" s="84" t="str">
        <f>IF(AND(MONTH(E1988)='IN-NX'!$J$5,'IN-NX'!$D$7=D1988),"x","")</f>
        <v/>
      </c>
      <c r="AB1988" s="84" t="str">
        <f>IF(AND(OR(LEFT(TH!N1988,2)="15",LEFT(TH!O1988,2)="15"),LEFT(TH!O1988,3)&lt;&gt;"111",'152-CT'!$J$8=TH!F1988),"x","")</f>
        <v/>
      </c>
      <c r="AC1988" s="84" t="str">
        <f>IF(AND(OR(LEFT(TH!N1988,2)="15",LEFT(TH!O1988,2)="15"),TK!$E$7=TH!F1988),"x","")</f>
        <v/>
      </c>
      <c r="AD1988" s="84" t="str">
        <f>IF(AND(N1988="1521",MONTH(C1988)='BK-NL'!$M$11),"x","")</f>
        <v/>
      </c>
      <c r="AF1988" s="351">
        <v>8</v>
      </c>
    </row>
    <row r="1989" spans="1:32" s="351" customFormat="1" ht="15.75" customHeight="1">
      <c r="A1989" s="336" t="str">
        <f>IF(B1989&lt;&gt;"",IF(AND(B1989='IN-TC'!$S$4,OR(TH!N1989="1111",TH!O1989="1111")),TH!D1989,""),"")</f>
        <v/>
      </c>
      <c r="B1989" s="63">
        <f t="shared" si="261"/>
        <v>8</v>
      </c>
      <c r="C1989" s="64">
        <v>42605</v>
      </c>
      <c r="D1989" s="64" t="s">
        <v>885</v>
      </c>
      <c r="E1989" s="64">
        <f t="shared" si="262"/>
        <v>42605</v>
      </c>
      <c r="F1989" s="67" t="s">
        <v>1114</v>
      </c>
      <c r="G1989" s="982" t="s">
        <v>1829</v>
      </c>
      <c r="H1989" s="73" t="s">
        <v>808</v>
      </c>
      <c r="I1989" s="439"/>
      <c r="J1989" s="439"/>
      <c r="K1989" s="430"/>
      <c r="L1989" s="439"/>
      <c r="M1989" s="65">
        <v>686627</v>
      </c>
      <c r="N1989" s="66" t="s">
        <v>101</v>
      </c>
      <c r="O1989" s="66" t="s">
        <v>63</v>
      </c>
      <c r="P1989" s="84" t="str">
        <f>IF(AND('331-CT'!$E$7=TH!H1989,OR(N1989="331",O1989="331")),"x","")</f>
        <v/>
      </c>
      <c r="Q1989" s="84" t="str">
        <f>IF(AND(B1989='111'!$L$11,OR($N1989=$Q$7,$O1989=$Q$7)),"x","")</f>
        <v/>
      </c>
      <c r="R1989" s="84" t="str">
        <f>IF(AND($N1989=$Q$7,$B1989&lt;'111'!$L$11),"x","")</f>
        <v/>
      </c>
      <c r="S1989" s="84" t="str">
        <f>IF(AND($O1989=$Q$7,$B1989&lt;'111'!$L$11),"x","")</f>
        <v/>
      </c>
      <c r="T1989" s="84" t="str">
        <f>IF(ISERROR(FIND('112'!$M$9,G1989,1)),"",IF((AND(FIND('112'!$M$9,G1989,1)&gt;=1,B1989='112'!$K$9,OR($N1989='112'!$I$6,$O1989='112'!$I$6))),"x",""))</f>
        <v/>
      </c>
      <c r="U1989" s="84" t="str">
        <f>IF(ISERROR(FIND('112'!$M$9,G1989,1)),"",IF((AND(LEFT(G1989,2)=LEFT('112'!$M$9,2),B1989&lt;'112'!$K$9,$N1989='112'!$I$6)),"x",""))</f>
        <v/>
      </c>
      <c r="V1989" s="84" t="str">
        <f>IF(ISERROR(FIND('112'!$M$9,G1989,1)),"",IF((AND(RIGHT(G1989,2)=RIGHT('112'!$M$9,2),B1989&lt;'112'!$K$9,$O1989='112'!$I$6)),"x",""))</f>
        <v/>
      </c>
      <c r="W1989" s="84" t="str">
        <f>IF(AND('341-CT'!$H$9=H1989,OR(LEFT(N1989,3)=$W$7,LEFT(O1989,3)=$W$7)),"x","")</f>
        <v/>
      </c>
      <c r="X1989" s="84" t="str">
        <f>IF(OR(TH!N1989=TH!$X$7,O1989=TH!$X$7),"x","")</f>
        <v/>
      </c>
      <c r="Y1989" s="84" t="str">
        <f>IF(AND(OR(N1989="131",O1989="131"),H1989='131-CT'!$H$9),"x","")</f>
        <v/>
      </c>
      <c r="Z1989" s="84"/>
      <c r="AA1989" s="84" t="str">
        <f>IF(AND(MONTH(E1989)='IN-NX'!$J$5,'IN-NX'!$D$7=D1989),"x","")</f>
        <v/>
      </c>
      <c r="AB1989" s="84" t="str">
        <f>IF(AND(OR(LEFT(TH!N1989,2)="15",LEFT(TH!O1989,2)="15"),LEFT(TH!O1989,3)&lt;&gt;"111",'152-CT'!$J$8=TH!F1989),"x","")</f>
        <v/>
      </c>
      <c r="AC1989" s="84" t="str">
        <f>IF(AND(OR(LEFT(TH!N1989,2)="15",LEFT(TH!O1989,2)="15"),TK!$E$7=TH!F1989),"x","")</f>
        <v/>
      </c>
      <c r="AD1989" s="84" t="str">
        <f>IF(AND(N1989="1521",MONTH(C1989)='BK-NL'!$M$11),"x","")</f>
        <v/>
      </c>
      <c r="AF1989" s="351">
        <v>8</v>
      </c>
    </row>
    <row r="1990" spans="1:32" s="351" customFormat="1" ht="15.75" hidden="1" customHeight="1">
      <c r="A1990" s="336" t="str">
        <f>IF(B1990&lt;&gt;"",IF(AND(B1990='IN-TC'!$S$4,OR(TH!N1990="1111",TH!O1990="1111")),TH!D1990,""),"")</f>
        <v/>
      </c>
      <c r="B1990" s="63">
        <f t="shared" si="261"/>
        <v>8</v>
      </c>
      <c r="C1990" s="64">
        <v>42605</v>
      </c>
      <c r="D1990" s="64" t="s">
        <v>885</v>
      </c>
      <c r="E1990" s="64">
        <f t="shared" si="262"/>
        <v>42605</v>
      </c>
      <c r="F1990" s="67" t="s">
        <v>1344</v>
      </c>
      <c r="G1990" s="982" t="s">
        <v>1829</v>
      </c>
      <c r="H1990" s="73" t="s">
        <v>808</v>
      </c>
      <c r="I1990" s="439"/>
      <c r="J1990" s="439"/>
      <c r="K1990" s="430"/>
      <c r="L1990" s="439"/>
      <c r="M1990" s="65">
        <v>68663</v>
      </c>
      <c r="N1990" s="84" t="s">
        <v>2001</v>
      </c>
      <c r="O1990" s="66" t="s">
        <v>63</v>
      </c>
      <c r="P1990" s="84" t="str">
        <f>IF(AND('331-CT'!$E$7=TH!H1990,OR(N1990="331",O1990="331")),"x","")</f>
        <v/>
      </c>
      <c r="Q1990" s="84" t="str">
        <f>IF(AND(B1990='111'!$L$11,OR($N1990=$Q$7,$O1990=$Q$7)),"x","")</f>
        <v/>
      </c>
      <c r="R1990" s="84" t="str">
        <f>IF(AND($N1990=$Q$7,$B1990&lt;'111'!$L$11),"x","")</f>
        <v/>
      </c>
      <c r="S1990" s="84" t="str">
        <f>IF(AND($O1990=$Q$7,$B1990&lt;'111'!$L$11),"x","")</f>
        <v/>
      </c>
      <c r="T1990" s="84" t="str">
        <f>IF(ISERROR(FIND('112'!$M$9,G1990,1)),"",IF((AND(FIND('112'!$M$9,G1990,1)&gt;=1,B1990='112'!$K$9,OR($N1990='112'!$I$6,$O1990='112'!$I$6))),"x",""))</f>
        <v/>
      </c>
      <c r="U1990" s="84" t="str">
        <f>IF(ISERROR(FIND('112'!$M$9,G1990,1)),"",IF((AND(LEFT(G1990,2)=LEFT('112'!$M$9,2),B1990&lt;'112'!$K$9,$N1990='112'!$I$6)),"x",""))</f>
        <v/>
      </c>
      <c r="V1990" s="84" t="str">
        <f>IF(ISERROR(FIND('112'!$M$9,G1990,1)),"",IF((AND(RIGHT(G1990,2)=RIGHT('112'!$M$9,2),B1990&lt;'112'!$K$9,$O1990='112'!$I$6)),"x",""))</f>
        <v/>
      </c>
      <c r="W1990" s="84" t="str">
        <f>IF(AND('341-CT'!$H$9=H1990,OR(LEFT(N1990,3)=$W$7,LEFT(O1990,3)=$W$7)),"x","")</f>
        <v/>
      </c>
      <c r="X1990" s="84" t="str">
        <f>IF(OR(TH!N1990=TH!$X$7,O1990=TH!$X$7),"x","")</f>
        <v/>
      </c>
      <c r="Y1990" s="84" t="str">
        <f>IF(AND(OR(N1990="131",O1990="131"),H1990='131-CT'!$H$9),"x","")</f>
        <v/>
      </c>
      <c r="Z1990" s="84"/>
      <c r="AA1990" s="84" t="str">
        <f>IF(AND(MONTH(E1990)='IN-NX'!$J$5,'IN-NX'!$D$7=D1990),"x","")</f>
        <v/>
      </c>
      <c r="AB1990" s="84" t="str">
        <f>IF(AND(OR(LEFT(TH!N1990,2)="15",LEFT(TH!O1990,2)="15"),LEFT(TH!O1990,3)&lt;&gt;"111",'152-CT'!$J$8=TH!F1990),"x","")</f>
        <v/>
      </c>
      <c r="AC1990" s="84" t="str">
        <f>IF(AND(OR(LEFT(TH!N1990,2)="15",LEFT(TH!O1990,2)="15"),TK!$E$7=TH!F1990),"x","")</f>
        <v/>
      </c>
      <c r="AD1990" s="84" t="str">
        <f>IF(AND(N1990="1521",MONTH(C1990)='BK-NL'!$M$11),"x","")</f>
        <v/>
      </c>
      <c r="AF1990" s="351">
        <v>8</v>
      </c>
    </row>
    <row r="1991" spans="1:32" s="351" customFormat="1" ht="15.75" customHeight="1">
      <c r="A1991" s="336" t="str">
        <f>IF(B1991&lt;&gt;"",IF(AND(B1991='IN-TC'!$S$4,OR(TH!N1991="1111",TH!O1991="1111")),TH!D1991,""),"")</f>
        <v/>
      </c>
      <c r="B1991" s="63">
        <f t="shared" si="261"/>
        <v>8</v>
      </c>
      <c r="C1991" s="64">
        <v>42606</v>
      </c>
      <c r="D1991" s="64" t="s">
        <v>887</v>
      </c>
      <c r="E1991" s="64">
        <f t="shared" si="262"/>
        <v>42606</v>
      </c>
      <c r="F1991" s="67" t="s">
        <v>1114</v>
      </c>
      <c r="G1991" s="982" t="s">
        <v>1830</v>
      </c>
      <c r="H1991" s="73" t="s">
        <v>808</v>
      </c>
      <c r="I1991" s="439"/>
      <c r="J1991" s="439"/>
      <c r="K1991" s="430"/>
      <c r="L1991" s="439"/>
      <c r="M1991" s="65">
        <v>584364</v>
      </c>
      <c r="N1991" s="66" t="s">
        <v>101</v>
      </c>
      <c r="O1991" s="66" t="s">
        <v>63</v>
      </c>
      <c r="P1991" s="84" t="str">
        <f>IF(AND('331-CT'!$E$7=TH!H1991,OR(N1991="331",O1991="331")),"x","")</f>
        <v/>
      </c>
      <c r="Q1991" s="84" t="str">
        <f>IF(AND(B1991='111'!$L$11,OR($N1991=$Q$7,$O1991=$Q$7)),"x","")</f>
        <v/>
      </c>
      <c r="R1991" s="84" t="str">
        <f>IF(AND($N1991=$Q$7,$B1991&lt;'111'!$L$11),"x","")</f>
        <v/>
      </c>
      <c r="S1991" s="84" t="str">
        <f>IF(AND($O1991=$Q$7,$B1991&lt;'111'!$L$11),"x","")</f>
        <v/>
      </c>
      <c r="T1991" s="84" t="str">
        <f>IF(ISERROR(FIND('112'!$M$9,G1991,1)),"",IF((AND(FIND('112'!$M$9,G1991,1)&gt;=1,B1991='112'!$K$9,OR($N1991='112'!$I$6,$O1991='112'!$I$6))),"x",""))</f>
        <v/>
      </c>
      <c r="U1991" s="84" t="str">
        <f>IF(ISERROR(FIND('112'!$M$9,G1991,1)),"",IF((AND(LEFT(G1991,2)=LEFT('112'!$M$9,2),B1991&lt;'112'!$K$9,$N1991='112'!$I$6)),"x",""))</f>
        <v/>
      </c>
      <c r="V1991" s="84" t="str">
        <f>IF(ISERROR(FIND('112'!$M$9,G1991,1)),"",IF((AND(RIGHT(G1991,2)=RIGHT('112'!$M$9,2),B1991&lt;'112'!$K$9,$O1991='112'!$I$6)),"x",""))</f>
        <v/>
      </c>
      <c r="W1991" s="84" t="str">
        <f>IF(AND('341-CT'!$H$9=H1991,OR(LEFT(N1991,3)=$W$7,LEFT(O1991,3)=$W$7)),"x","")</f>
        <v/>
      </c>
      <c r="X1991" s="84" t="str">
        <f>IF(OR(TH!N1991=TH!$X$7,O1991=TH!$X$7),"x","")</f>
        <v/>
      </c>
      <c r="Y1991" s="84" t="str">
        <f>IF(AND(OR(N1991="131",O1991="131"),H1991='131-CT'!$H$9),"x","")</f>
        <v/>
      </c>
      <c r="Z1991" s="84"/>
      <c r="AA1991" s="84" t="str">
        <f>IF(AND(MONTH(E1991)='IN-NX'!$J$5,'IN-NX'!$D$7=D1991),"x","")</f>
        <v/>
      </c>
      <c r="AB1991" s="84" t="str">
        <f>IF(AND(OR(LEFT(TH!N1991,2)="15",LEFT(TH!O1991,2)="15"),LEFT(TH!O1991,3)&lt;&gt;"111",'152-CT'!$J$8=TH!F1991),"x","")</f>
        <v/>
      </c>
      <c r="AC1991" s="84" t="str">
        <f>IF(AND(OR(LEFT(TH!N1991,2)="15",LEFT(TH!O1991,2)="15"),TK!$E$7=TH!F1991),"x","")</f>
        <v/>
      </c>
      <c r="AD1991" s="84" t="str">
        <f>IF(AND(N1991="1521",MONTH(C1991)='BK-NL'!$M$11),"x","")</f>
        <v/>
      </c>
      <c r="AF1991" s="351">
        <v>8</v>
      </c>
    </row>
    <row r="1992" spans="1:32" s="351" customFormat="1" ht="15.75" hidden="1" customHeight="1">
      <c r="A1992" s="336" t="str">
        <f>IF(B1992&lt;&gt;"",IF(AND(B1992='IN-TC'!$S$4,OR(TH!N1992="1111",TH!O1992="1111")),TH!D1992,""),"")</f>
        <v/>
      </c>
      <c r="B1992" s="63">
        <f t="shared" si="261"/>
        <v>8</v>
      </c>
      <c r="C1992" s="64">
        <v>42606</v>
      </c>
      <c r="D1992" s="64" t="s">
        <v>887</v>
      </c>
      <c r="E1992" s="64">
        <f t="shared" si="262"/>
        <v>42606</v>
      </c>
      <c r="F1992" s="67" t="s">
        <v>1344</v>
      </c>
      <c r="G1992" s="982" t="s">
        <v>1830</v>
      </c>
      <c r="H1992" s="73" t="s">
        <v>808</v>
      </c>
      <c r="I1992" s="439"/>
      <c r="J1992" s="439"/>
      <c r="K1992" s="430"/>
      <c r="L1992" s="439"/>
      <c r="M1992" s="65">
        <v>58436</v>
      </c>
      <c r="N1992" s="84" t="s">
        <v>2001</v>
      </c>
      <c r="O1992" s="66" t="s">
        <v>63</v>
      </c>
      <c r="P1992" s="84" t="str">
        <f>IF(AND('331-CT'!$E$7=TH!H1992,OR(N1992="331",O1992="331")),"x","")</f>
        <v/>
      </c>
      <c r="Q1992" s="84" t="str">
        <f>IF(AND(B1992='111'!$L$11,OR($N1992=$Q$7,$O1992=$Q$7)),"x","")</f>
        <v/>
      </c>
      <c r="R1992" s="84" t="str">
        <f>IF(AND($N1992=$Q$7,$B1992&lt;'111'!$L$11),"x","")</f>
        <v/>
      </c>
      <c r="S1992" s="84" t="str">
        <f>IF(AND($O1992=$Q$7,$B1992&lt;'111'!$L$11),"x","")</f>
        <v/>
      </c>
      <c r="T1992" s="84" t="str">
        <f>IF(ISERROR(FIND('112'!$M$9,G1992,1)),"",IF((AND(FIND('112'!$M$9,G1992,1)&gt;=1,B1992='112'!$K$9,OR($N1992='112'!$I$6,$O1992='112'!$I$6))),"x",""))</f>
        <v/>
      </c>
      <c r="U1992" s="84" t="str">
        <f>IF(ISERROR(FIND('112'!$M$9,G1992,1)),"",IF((AND(LEFT(G1992,2)=LEFT('112'!$M$9,2),B1992&lt;'112'!$K$9,$N1992='112'!$I$6)),"x",""))</f>
        <v/>
      </c>
      <c r="V1992" s="84" t="str">
        <f>IF(ISERROR(FIND('112'!$M$9,G1992,1)),"",IF((AND(RIGHT(G1992,2)=RIGHT('112'!$M$9,2),B1992&lt;'112'!$K$9,$O1992='112'!$I$6)),"x",""))</f>
        <v/>
      </c>
      <c r="W1992" s="84" t="str">
        <f>IF(AND('341-CT'!$H$9=H1992,OR(LEFT(N1992,3)=$W$7,LEFT(O1992,3)=$W$7)),"x","")</f>
        <v/>
      </c>
      <c r="X1992" s="84" t="str">
        <f>IF(OR(TH!N1992=TH!$X$7,O1992=TH!$X$7),"x","")</f>
        <v/>
      </c>
      <c r="Y1992" s="84" t="str">
        <f>IF(AND(OR(N1992="131",O1992="131"),H1992='131-CT'!$H$9),"x","")</f>
        <v/>
      </c>
      <c r="Z1992" s="84"/>
      <c r="AA1992" s="84" t="str">
        <f>IF(AND(MONTH(E1992)='IN-NX'!$J$5,'IN-NX'!$D$7=D1992),"x","")</f>
        <v/>
      </c>
      <c r="AB1992" s="84" t="str">
        <f>IF(AND(OR(LEFT(TH!N1992,2)="15",LEFT(TH!O1992,2)="15"),LEFT(TH!O1992,3)&lt;&gt;"111",'152-CT'!$J$8=TH!F1992),"x","")</f>
        <v/>
      </c>
      <c r="AC1992" s="84" t="str">
        <f>IF(AND(OR(LEFT(TH!N1992,2)="15",LEFT(TH!O1992,2)="15"),TK!$E$7=TH!F1992),"x","")</f>
        <v/>
      </c>
      <c r="AD1992" s="84" t="str">
        <f>IF(AND(N1992="1521",MONTH(C1992)='BK-NL'!$M$11),"x","")</f>
        <v/>
      </c>
      <c r="AF1992" s="351">
        <v>8</v>
      </c>
    </row>
    <row r="1993" spans="1:32" s="351" customFormat="1" ht="15.75" hidden="1" customHeight="1">
      <c r="A1993" s="336" t="str">
        <f>IF(B1993&lt;&gt;"",IF(AND(B1993='IN-TC'!$S$4,OR(TH!N1993="1111",TH!O1993="1111")),TH!D1993,""),"")</f>
        <v/>
      </c>
      <c r="B1993" s="63">
        <f t="shared" si="261"/>
        <v>8</v>
      </c>
      <c r="C1993" s="64">
        <v>42608</v>
      </c>
      <c r="D1993" s="64" t="s">
        <v>890</v>
      </c>
      <c r="E1993" s="64">
        <f t="shared" si="262"/>
        <v>42608</v>
      </c>
      <c r="F1993" s="67" t="s">
        <v>1182</v>
      </c>
      <c r="G1993" s="982" t="s">
        <v>1832</v>
      </c>
      <c r="H1993" s="73" t="s">
        <v>619</v>
      </c>
      <c r="I1993" s="439"/>
      <c r="J1993" s="439"/>
      <c r="K1993" s="430"/>
      <c r="L1993" s="439"/>
      <c r="M1993" s="65">
        <v>5280000</v>
      </c>
      <c r="N1993" s="66" t="s">
        <v>8</v>
      </c>
      <c r="O1993" s="66" t="s">
        <v>63</v>
      </c>
      <c r="P1993" s="84" t="str">
        <f>IF(AND('331-CT'!$E$7=TH!H1993,OR(N1993="331",O1993="331")),"x","")</f>
        <v/>
      </c>
      <c r="Q1993" s="84" t="str">
        <f>IF(AND(B1993='111'!$L$11,OR($N1993=$Q$7,$O1993=$Q$7)),"x","")</f>
        <v/>
      </c>
      <c r="R1993" s="84" t="str">
        <f>IF(AND($N1993=$Q$7,$B1993&lt;'111'!$L$11),"x","")</f>
        <v/>
      </c>
      <c r="S1993" s="84" t="str">
        <f>IF(AND($O1993=$Q$7,$B1993&lt;'111'!$L$11),"x","")</f>
        <v/>
      </c>
      <c r="T1993" s="84" t="str">
        <f>IF(ISERROR(FIND('112'!$M$9,G1993,1)),"",IF((AND(FIND('112'!$M$9,G1993,1)&gt;=1,B1993='112'!$K$9,OR($N1993='112'!$I$6,$O1993='112'!$I$6))),"x",""))</f>
        <v/>
      </c>
      <c r="U1993" s="84" t="str">
        <f>IF(ISERROR(FIND('112'!$M$9,G1993,1)),"",IF((AND(LEFT(G1993,2)=LEFT('112'!$M$9,2),B1993&lt;'112'!$K$9,$N1993='112'!$I$6)),"x",""))</f>
        <v/>
      </c>
      <c r="V1993" s="84" t="str">
        <f>IF(ISERROR(FIND('112'!$M$9,G1993,1)),"",IF((AND(RIGHT(G1993,2)=RIGHT('112'!$M$9,2),B1993&lt;'112'!$K$9,$O1993='112'!$I$6)),"x",""))</f>
        <v/>
      </c>
      <c r="W1993" s="84" t="str">
        <f>IF(AND('341-CT'!$H$9=H1993,OR(LEFT(N1993,3)=$W$7,LEFT(O1993,3)=$W$7)),"x","")</f>
        <v/>
      </c>
      <c r="X1993" s="84" t="str">
        <f>IF(OR(TH!N1993=TH!$X$7,O1993=TH!$X$7),"x","")</f>
        <v/>
      </c>
      <c r="Y1993" s="84" t="str">
        <f>IF(AND(OR(N1993="131",O1993="131"),H1993='131-CT'!$H$9),"x","")</f>
        <v/>
      </c>
      <c r="Z1993" s="84"/>
      <c r="AA1993" s="84" t="str">
        <f>IF(AND(MONTH(E1993)='IN-NX'!$J$5,'IN-NX'!$D$7=D1993),"x","")</f>
        <v/>
      </c>
      <c r="AB1993" s="84" t="str">
        <f>IF(AND(OR(LEFT(TH!N1993,2)="15",LEFT(TH!O1993,2)="15"),LEFT(TH!O1993,3)&lt;&gt;"111",'152-CT'!$J$8=TH!F1993),"x","")</f>
        <v/>
      </c>
      <c r="AC1993" s="84" t="str">
        <f>IF(AND(OR(LEFT(TH!N1993,2)="15",LEFT(TH!O1993,2)="15"),TK!$E$7=TH!F1993),"x","")</f>
        <v/>
      </c>
      <c r="AD1993" s="84" t="str">
        <f>IF(AND(N1993="1521",MONTH(C1993)='BK-NL'!$M$11),"x","")</f>
        <v/>
      </c>
      <c r="AE1993" s="1146" t="str">
        <f>IF(H1993&lt;&gt;VLOOKUP(H1993,DSKH,1,0),"","x")</f>
        <v>x</v>
      </c>
    </row>
    <row r="1994" spans="1:32" s="351" customFormat="1" ht="15.75" customHeight="1">
      <c r="A1994" s="336" t="str">
        <f>IF(B1994&lt;&gt;"",IF(AND(B1994='IN-TC'!$S$4,OR(TH!N1994="1111",TH!O1994="1111")),TH!D1994,""),"")</f>
        <v/>
      </c>
      <c r="B1994" s="63">
        <f t="shared" si="261"/>
        <v>8</v>
      </c>
      <c r="C1994" s="64">
        <v>42609</v>
      </c>
      <c r="D1994" s="64" t="s">
        <v>891</v>
      </c>
      <c r="E1994" s="64">
        <f t="shared" si="262"/>
        <v>42609</v>
      </c>
      <c r="F1994" s="67" t="s">
        <v>1833</v>
      </c>
      <c r="G1994" s="982" t="s">
        <v>1835</v>
      </c>
      <c r="H1994" s="73" t="s">
        <v>839</v>
      </c>
      <c r="I1994" s="439"/>
      <c r="J1994" s="439"/>
      <c r="K1994" s="430"/>
      <c r="L1994" s="439"/>
      <c r="M1994" s="65">
        <v>16050000</v>
      </c>
      <c r="N1994" s="66" t="s">
        <v>101</v>
      </c>
      <c r="O1994" s="66" t="s">
        <v>63</v>
      </c>
      <c r="P1994" s="84" t="str">
        <f>IF(AND('331-CT'!$E$7=TH!H1994,OR(N1994="331",O1994="331")),"x","")</f>
        <v/>
      </c>
      <c r="Q1994" s="84" t="str">
        <f>IF(AND(B1994='111'!$L$11,OR($N1994=$Q$7,$O1994=$Q$7)),"x","")</f>
        <v/>
      </c>
      <c r="R1994" s="84" t="str">
        <f>IF(AND($N1994=$Q$7,$B1994&lt;'111'!$L$11),"x","")</f>
        <v/>
      </c>
      <c r="S1994" s="84" t="str">
        <f>IF(AND($O1994=$Q$7,$B1994&lt;'111'!$L$11),"x","")</f>
        <v/>
      </c>
      <c r="T1994" s="84" t="str">
        <f>IF(ISERROR(FIND('112'!$M$9,G1994,1)),"",IF((AND(FIND('112'!$M$9,G1994,1)&gt;=1,B1994='112'!$K$9,OR($N1994='112'!$I$6,$O1994='112'!$I$6))),"x",""))</f>
        <v/>
      </c>
      <c r="U1994" s="84" t="str">
        <f>IF(ISERROR(FIND('112'!$M$9,G1994,1)),"",IF((AND(LEFT(G1994,2)=LEFT('112'!$M$9,2),B1994&lt;'112'!$K$9,$N1994='112'!$I$6)),"x",""))</f>
        <v/>
      </c>
      <c r="V1994" s="84" t="str">
        <f>IF(ISERROR(FIND('112'!$M$9,G1994,1)),"",IF((AND(RIGHT(G1994,2)=RIGHT('112'!$M$9,2),B1994&lt;'112'!$K$9,$O1994='112'!$I$6)),"x",""))</f>
        <v/>
      </c>
      <c r="W1994" s="84" t="str">
        <f>IF(AND('341-CT'!$H$9=H1994,OR(LEFT(N1994,3)=$W$7,LEFT(O1994,3)=$W$7)),"x","")</f>
        <v/>
      </c>
      <c r="X1994" s="84" t="str">
        <f>IF(OR(TH!N1994=TH!$X$7,O1994=TH!$X$7),"x","")</f>
        <v/>
      </c>
      <c r="Y1994" s="84" t="str">
        <f>IF(AND(OR(N1994="131",O1994="131"),H1994='131-CT'!$H$9),"x","")</f>
        <v/>
      </c>
      <c r="Z1994" s="84"/>
      <c r="AA1994" s="84" t="str">
        <f>IF(AND(MONTH(E1994)='IN-NX'!$J$5,'IN-NX'!$D$7=D1994),"x","")</f>
        <v/>
      </c>
      <c r="AB1994" s="84" t="str">
        <f>IF(AND(OR(LEFT(TH!N1994,2)="15",LEFT(TH!O1994,2)="15"),LEFT(TH!O1994,3)&lt;&gt;"111",'152-CT'!$J$8=TH!F1994),"x","")</f>
        <v/>
      </c>
      <c r="AC1994" s="84" t="str">
        <f>IF(AND(OR(LEFT(TH!N1994,2)="15",LEFT(TH!O1994,2)="15"),TK!$E$7=TH!F1994),"x","")</f>
        <v/>
      </c>
      <c r="AD1994" s="84" t="str">
        <f>IF(AND(N1994="1521",MONTH(C1994)='BK-NL'!$M$11),"x","")</f>
        <v/>
      </c>
      <c r="AF1994" s="351">
        <v>8</v>
      </c>
    </row>
    <row r="1995" spans="1:32" s="351" customFormat="1" ht="15.75" hidden="1" customHeight="1">
      <c r="A1995" s="336" t="str">
        <f>IF(B1995&lt;&gt;"",IF(AND(B1995='IN-TC'!$S$4,OR(TH!N1995="1111",TH!O1995="1111")),TH!D1995,""),"")</f>
        <v/>
      </c>
      <c r="B1995" s="63">
        <f t="shared" si="261"/>
        <v>8</v>
      </c>
      <c r="C1995" s="64">
        <v>42609</v>
      </c>
      <c r="D1995" s="64" t="s">
        <v>891</v>
      </c>
      <c r="E1995" s="64">
        <f t="shared" si="262"/>
        <v>42609</v>
      </c>
      <c r="F1995" s="67" t="s">
        <v>1834</v>
      </c>
      <c r="G1995" s="982" t="s">
        <v>1835</v>
      </c>
      <c r="H1995" s="73" t="s">
        <v>839</v>
      </c>
      <c r="I1995" s="439"/>
      <c r="J1995" s="439"/>
      <c r="K1995" s="430"/>
      <c r="L1995" s="439"/>
      <c r="M1995" s="65">
        <v>1605000</v>
      </c>
      <c r="N1995" s="84" t="s">
        <v>2001</v>
      </c>
      <c r="O1995" s="66" t="s">
        <v>63</v>
      </c>
      <c r="P1995" s="84" t="str">
        <f>IF(AND('331-CT'!$E$7=TH!H1995,OR(N1995="331",O1995="331")),"x","")</f>
        <v/>
      </c>
      <c r="Q1995" s="84" t="str">
        <f>IF(AND(B1995='111'!$L$11,OR($N1995=$Q$7,$O1995=$Q$7)),"x","")</f>
        <v/>
      </c>
      <c r="R1995" s="84" t="str">
        <f>IF(AND($N1995=$Q$7,$B1995&lt;'111'!$L$11),"x","")</f>
        <v/>
      </c>
      <c r="S1995" s="84" t="str">
        <f>IF(AND($O1995=$Q$7,$B1995&lt;'111'!$L$11),"x","")</f>
        <v/>
      </c>
      <c r="T1995" s="84" t="str">
        <f>IF(ISERROR(FIND('112'!$M$9,G1995,1)),"",IF((AND(FIND('112'!$M$9,G1995,1)&gt;=1,B1995='112'!$K$9,OR($N1995='112'!$I$6,$O1995='112'!$I$6))),"x",""))</f>
        <v/>
      </c>
      <c r="U1995" s="84" t="str">
        <f>IF(ISERROR(FIND('112'!$M$9,G1995,1)),"",IF((AND(LEFT(G1995,2)=LEFT('112'!$M$9,2),B1995&lt;'112'!$K$9,$N1995='112'!$I$6)),"x",""))</f>
        <v/>
      </c>
      <c r="V1995" s="84" t="str">
        <f>IF(ISERROR(FIND('112'!$M$9,G1995,1)),"",IF((AND(RIGHT(G1995,2)=RIGHT('112'!$M$9,2),B1995&lt;'112'!$K$9,$O1995='112'!$I$6)),"x",""))</f>
        <v/>
      </c>
      <c r="W1995" s="84" t="str">
        <f>IF(AND('341-CT'!$H$9=H1995,OR(LEFT(N1995,3)=$W$7,LEFT(O1995,3)=$W$7)),"x","")</f>
        <v/>
      </c>
      <c r="X1995" s="84" t="str">
        <f>IF(OR(TH!N1995=TH!$X$7,O1995=TH!$X$7),"x","")</f>
        <v/>
      </c>
      <c r="Y1995" s="84" t="str">
        <f>IF(AND(OR(N1995="131",O1995="131"),H1995='131-CT'!$H$9),"x","")</f>
        <v/>
      </c>
      <c r="Z1995" s="84"/>
      <c r="AA1995" s="84" t="str">
        <f>IF(AND(MONTH(E1995)='IN-NX'!$J$5,'IN-NX'!$D$7=D1995),"x","")</f>
        <v/>
      </c>
      <c r="AB1995" s="84" t="str">
        <f>IF(AND(OR(LEFT(TH!N1995,2)="15",LEFT(TH!O1995,2)="15"),LEFT(TH!O1995,3)&lt;&gt;"111",'152-CT'!$J$8=TH!F1995),"x","")</f>
        <v/>
      </c>
      <c r="AC1995" s="84" t="str">
        <f>IF(AND(OR(LEFT(TH!N1995,2)="15",LEFT(TH!O1995,2)="15"),TK!$E$7=TH!F1995),"x","")</f>
        <v/>
      </c>
      <c r="AD1995" s="84" t="str">
        <f>IF(AND(N1995="1521",MONTH(C1995)='BK-NL'!$M$11),"x","")</f>
        <v/>
      </c>
      <c r="AF1995" s="351">
        <v>8</v>
      </c>
    </row>
    <row r="1996" spans="1:32" s="351" customFormat="1" ht="15.75" customHeight="1">
      <c r="A1996" s="336" t="str">
        <f>IF(B1996&lt;&gt;"",IF(AND(B1996='IN-TC'!$S$4,OR(TH!N1996="1111",TH!O1996="1111")),TH!D1996,""),"")</f>
        <v/>
      </c>
      <c r="B1996" s="63">
        <f t="shared" si="261"/>
        <v>8</v>
      </c>
      <c r="C1996" s="64">
        <v>42610</v>
      </c>
      <c r="D1996" s="64" t="s">
        <v>892</v>
      </c>
      <c r="E1996" s="64">
        <f t="shared" si="262"/>
        <v>42610</v>
      </c>
      <c r="F1996" s="67" t="s">
        <v>771</v>
      </c>
      <c r="G1996" s="982" t="s">
        <v>1836</v>
      </c>
      <c r="H1996" s="73" t="s">
        <v>808</v>
      </c>
      <c r="I1996" s="439"/>
      <c r="J1996" s="439"/>
      <c r="K1996" s="430"/>
      <c r="L1996" s="439"/>
      <c r="M1996" s="65">
        <v>573845</v>
      </c>
      <c r="N1996" s="66" t="s">
        <v>101</v>
      </c>
      <c r="O1996" s="66" t="s">
        <v>63</v>
      </c>
      <c r="P1996" s="84" t="str">
        <f>IF(AND('331-CT'!$E$7=TH!H1996,OR(N1996="331",O1996="331")),"x","")</f>
        <v/>
      </c>
      <c r="Q1996" s="84" t="str">
        <f>IF(AND(B1996='111'!$L$11,OR($N1996=$Q$7,$O1996=$Q$7)),"x","")</f>
        <v/>
      </c>
      <c r="R1996" s="84" t="str">
        <f>IF(AND($N1996=$Q$7,$B1996&lt;'111'!$L$11),"x","")</f>
        <v/>
      </c>
      <c r="S1996" s="84" t="str">
        <f>IF(AND($O1996=$Q$7,$B1996&lt;'111'!$L$11),"x","")</f>
        <v/>
      </c>
      <c r="T1996" s="84" t="str">
        <f>IF(ISERROR(FIND('112'!$M$9,G1996,1)),"",IF((AND(FIND('112'!$M$9,G1996,1)&gt;=1,B1996='112'!$K$9,OR($N1996='112'!$I$6,$O1996='112'!$I$6))),"x",""))</f>
        <v/>
      </c>
      <c r="U1996" s="84" t="str">
        <f>IF(ISERROR(FIND('112'!$M$9,G1996,1)),"",IF((AND(LEFT(G1996,2)=LEFT('112'!$M$9,2),B1996&lt;'112'!$K$9,$N1996='112'!$I$6)),"x",""))</f>
        <v/>
      </c>
      <c r="V1996" s="84" t="str">
        <f>IF(ISERROR(FIND('112'!$M$9,G1996,1)),"",IF((AND(RIGHT(G1996,2)=RIGHT('112'!$M$9,2),B1996&lt;'112'!$K$9,$O1996='112'!$I$6)),"x",""))</f>
        <v/>
      </c>
      <c r="W1996" s="84" t="str">
        <f>IF(AND('341-CT'!$H$9=H1996,OR(LEFT(N1996,3)=$W$7,LEFT(O1996,3)=$W$7)),"x","")</f>
        <v/>
      </c>
      <c r="X1996" s="84" t="str">
        <f>IF(OR(TH!N1996=TH!$X$7,O1996=TH!$X$7),"x","")</f>
        <v/>
      </c>
      <c r="Y1996" s="84" t="str">
        <f>IF(AND(OR(N1996="131",O1996="131"),H1996='131-CT'!$H$9),"x","")</f>
        <v/>
      </c>
      <c r="Z1996" s="84"/>
      <c r="AA1996" s="84" t="str">
        <f>IF(AND(MONTH(E1996)='IN-NX'!$J$5,'IN-NX'!$D$7=D1996),"x","")</f>
        <v/>
      </c>
      <c r="AB1996" s="84" t="str">
        <f>IF(AND(OR(LEFT(TH!N1996,2)="15",LEFT(TH!O1996,2)="15"),LEFT(TH!O1996,3)&lt;&gt;"111",'152-CT'!$J$8=TH!F1996),"x","")</f>
        <v/>
      </c>
      <c r="AC1996" s="84" t="str">
        <f>IF(AND(OR(LEFT(TH!N1996,2)="15",LEFT(TH!O1996,2)="15"),TK!$E$7=TH!F1996),"x","")</f>
        <v/>
      </c>
      <c r="AD1996" s="84" t="str">
        <f>IF(AND(N1996="1521",MONTH(C1996)='BK-NL'!$M$11),"x","")</f>
        <v/>
      </c>
      <c r="AF1996" s="351">
        <v>8</v>
      </c>
    </row>
    <row r="1997" spans="1:32" s="351" customFormat="1" ht="15.75" hidden="1" customHeight="1">
      <c r="A1997" s="336" t="str">
        <f>IF(B1997&lt;&gt;"",IF(AND(B1997='IN-TC'!$S$4,OR(TH!N1997="1111",TH!O1997="1111")),TH!D1997,""),"")</f>
        <v/>
      </c>
      <c r="B1997" s="63">
        <f t="shared" si="261"/>
        <v>8</v>
      </c>
      <c r="C1997" s="64">
        <v>42610</v>
      </c>
      <c r="D1997" s="64" t="s">
        <v>892</v>
      </c>
      <c r="E1997" s="64">
        <f t="shared" si="262"/>
        <v>42610</v>
      </c>
      <c r="F1997" s="67" t="s">
        <v>772</v>
      </c>
      <c r="G1997" s="982" t="s">
        <v>1836</v>
      </c>
      <c r="H1997" s="73" t="s">
        <v>808</v>
      </c>
      <c r="I1997" s="439"/>
      <c r="J1997" s="439"/>
      <c r="K1997" s="430"/>
      <c r="L1997" s="439"/>
      <c r="M1997" s="65">
        <v>57385</v>
      </c>
      <c r="N1997" s="84" t="s">
        <v>2001</v>
      </c>
      <c r="O1997" s="66" t="s">
        <v>63</v>
      </c>
      <c r="P1997" s="84" t="str">
        <f>IF(AND('331-CT'!$E$7=TH!H1997,OR(N1997="331",O1997="331")),"x","")</f>
        <v/>
      </c>
      <c r="Q1997" s="84" t="str">
        <f>IF(AND(B1997='111'!$L$11,OR($N1997=$Q$7,$O1997=$Q$7)),"x","")</f>
        <v/>
      </c>
      <c r="R1997" s="84" t="str">
        <f>IF(AND($N1997=$Q$7,$B1997&lt;'111'!$L$11),"x","")</f>
        <v/>
      </c>
      <c r="S1997" s="84" t="str">
        <f>IF(AND($O1997=$Q$7,$B1997&lt;'111'!$L$11),"x","")</f>
        <v/>
      </c>
      <c r="T1997" s="84" t="str">
        <f>IF(ISERROR(FIND('112'!$M$9,G1997,1)),"",IF((AND(FIND('112'!$M$9,G1997,1)&gt;=1,B1997='112'!$K$9,OR($N1997='112'!$I$6,$O1997='112'!$I$6))),"x",""))</f>
        <v/>
      </c>
      <c r="U1997" s="84" t="str">
        <f>IF(ISERROR(FIND('112'!$M$9,G1997,1)),"",IF((AND(LEFT(G1997,2)=LEFT('112'!$M$9,2),B1997&lt;'112'!$K$9,$N1997='112'!$I$6)),"x",""))</f>
        <v/>
      </c>
      <c r="V1997" s="84" t="str">
        <f>IF(ISERROR(FIND('112'!$M$9,G1997,1)),"",IF((AND(RIGHT(G1997,2)=RIGHT('112'!$M$9,2),B1997&lt;'112'!$K$9,$O1997='112'!$I$6)),"x",""))</f>
        <v/>
      </c>
      <c r="W1997" s="84" t="str">
        <f>IF(AND('341-CT'!$H$9=H1997,OR(LEFT(N1997,3)=$W$7,LEFT(O1997,3)=$W$7)),"x","")</f>
        <v/>
      </c>
      <c r="X1997" s="84" t="str">
        <f>IF(OR(TH!N1997=TH!$X$7,O1997=TH!$X$7),"x","")</f>
        <v/>
      </c>
      <c r="Y1997" s="84" t="str">
        <f>IF(AND(OR(N1997="131",O1997="131"),H1997='131-CT'!$H$9),"x","")</f>
        <v/>
      </c>
      <c r="Z1997" s="84"/>
      <c r="AA1997" s="84" t="str">
        <f>IF(AND(MONTH(E1997)='IN-NX'!$J$5,'IN-NX'!$D$7=D1997),"x","")</f>
        <v/>
      </c>
      <c r="AB1997" s="84" t="str">
        <f>IF(AND(OR(LEFT(TH!N1997,2)="15",LEFT(TH!O1997,2)="15"),LEFT(TH!O1997,3)&lt;&gt;"111",'152-CT'!$J$8=TH!F1997),"x","")</f>
        <v/>
      </c>
      <c r="AC1997" s="84" t="str">
        <f>IF(AND(OR(LEFT(TH!N1997,2)="15",LEFT(TH!O1997,2)="15"),TK!$E$7=TH!F1997),"x","")</f>
        <v/>
      </c>
      <c r="AD1997" s="84" t="str">
        <f>IF(AND(N1997="1521",MONTH(C1997)='BK-NL'!$M$11),"x","")</f>
        <v/>
      </c>
      <c r="AF1997" s="351">
        <v>8</v>
      </c>
    </row>
    <row r="1998" spans="1:32" s="351" customFormat="1" ht="15.75" customHeight="1">
      <c r="A1998" s="336" t="str">
        <f>IF(B1998&lt;&gt;"",IF(AND(B1998='IN-TC'!$S$4,OR(TH!N1998="1111",TH!O1998="1111")),TH!D1998,""),"")</f>
        <v/>
      </c>
      <c r="B1998" s="63">
        <f t="shared" si="261"/>
        <v>8</v>
      </c>
      <c r="C1998" s="64">
        <v>42611</v>
      </c>
      <c r="D1998" s="64" t="s">
        <v>893</v>
      </c>
      <c r="E1998" s="64">
        <f t="shared" si="262"/>
        <v>42611</v>
      </c>
      <c r="F1998" s="67" t="s">
        <v>1814</v>
      </c>
      <c r="G1998" s="982" t="s">
        <v>1837</v>
      </c>
      <c r="H1998" s="73" t="s">
        <v>1109</v>
      </c>
      <c r="I1998" s="439"/>
      <c r="J1998" s="439"/>
      <c r="K1998" s="430"/>
      <c r="L1998" s="439"/>
      <c r="M1998" s="65">
        <v>1328700</v>
      </c>
      <c r="N1998" s="66" t="s">
        <v>101</v>
      </c>
      <c r="O1998" s="66" t="s">
        <v>63</v>
      </c>
      <c r="P1998" s="84" t="str">
        <f>IF(AND('331-CT'!$E$7=TH!H1998,OR(N1998="331",O1998="331")),"x","")</f>
        <v/>
      </c>
      <c r="Q1998" s="84" t="str">
        <f>IF(AND(B1998='111'!$L$11,OR($N1998=$Q$7,$O1998=$Q$7)),"x","")</f>
        <v/>
      </c>
      <c r="R1998" s="84" t="str">
        <f>IF(AND($N1998=$Q$7,$B1998&lt;'111'!$L$11),"x","")</f>
        <v/>
      </c>
      <c r="S1998" s="84" t="str">
        <f>IF(AND($O1998=$Q$7,$B1998&lt;'111'!$L$11),"x","")</f>
        <v/>
      </c>
      <c r="T1998" s="84" t="str">
        <f>IF(ISERROR(FIND('112'!$M$9,G1998,1)),"",IF((AND(FIND('112'!$M$9,G1998,1)&gt;=1,B1998='112'!$K$9,OR($N1998='112'!$I$6,$O1998='112'!$I$6))),"x",""))</f>
        <v/>
      </c>
      <c r="U1998" s="84" t="str">
        <f>IF(ISERROR(FIND('112'!$M$9,G1998,1)),"",IF((AND(LEFT(G1998,2)=LEFT('112'!$M$9,2),B1998&lt;'112'!$K$9,$N1998='112'!$I$6)),"x",""))</f>
        <v/>
      </c>
      <c r="V1998" s="84" t="str">
        <f>IF(ISERROR(FIND('112'!$M$9,G1998,1)),"",IF((AND(RIGHT(G1998,2)=RIGHT('112'!$M$9,2),B1998&lt;'112'!$K$9,$O1998='112'!$I$6)),"x",""))</f>
        <v/>
      </c>
      <c r="W1998" s="84" t="str">
        <f>IF(AND('341-CT'!$H$9=H1998,OR(LEFT(N1998,3)=$W$7,LEFT(O1998,3)=$W$7)),"x","")</f>
        <v/>
      </c>
      <c r="X1998" s="84" t="str">
        <f>IF(OR(TH!N1998=TH!$X$7,O1998=TH!$X$7),"x","")</f>
        <v/>
      </c>
      <c r="Y1998" s="84" t="str">
        <f>IF(AND(OR(N1998="131",O1998="131"),H1998='131-CT'!$H$9),"x","")</f>
        <v/>
      </c>
      <c r="Z1998" s="84"/>
      <c r="AA1998" s="84" t="str">
        <f>IF(AND(MONTH(E1998)='IN-NX'!$J$5,'IN-NX'!$D$7=D1998),"x","")</f>
        <v/>
      </c>
      <c r="AB1998" s="84" t="str">
        <f>IF(AND(OR(LEFT(TH!N1998,2)="15",LEFT(TH!O1998,2)="15"),LEFT(TH!O1998,3)&lt;&gt;"111",'152-CT'!$J$8=TH!F1998),"x","")</f>
        <v/>
      </c>
      <c r="AC1998" s="84" t="str">
        <f>IF(AND(OR(LEFT(TH!N1998,2)="15",LEFT(TH!O1998,2)="15"),TK!$E$7=TH!F1998),"x","")</f>
        <v/>
      </c>
      <c r="AD1998" s="84" t="str">
        <f>IF(AND(N1998="1521",MONTH(C1998)='BK-NL'!$M$11),"x","")</f>
        <v/>
      </c>
      <c r="AF1998" s="351">
        <v>8</v>
      </c>
    </row>
    <row r="1999" spans="1:32" s="351" customFormat="1" ht="15.75" hidden="1" customHeight="1">
      <c r="A1999" s="336" t="str">
        <f>IF(B1999&lt;&gt;"",IF(AND(B1999='IN-TC'!$S$4,OR(TH!N1999="1111",TH!O1999="1111")),TH!D1999,""),"")</f>
        <v/>
      </c>
      <c r="B1999" s="63">
        <f t="shared" si="261"/>
        <v>8</v>
      </c>
      <c r="C1999" s="64">
        <v>42611</v>
      </c>
      <c r="D1999" s="64" t="s">
        <v>893</v>
      </c>
      <c r="E1999" s="64">
        <f t="shared" si="262"/>
        <v>42611</v>
      </c>
      <c r="F1999" s="67" t="s">
        <v>1815</v>
      </c>
      <c r="G1999" s="982" t="s">
        <v>1837</v>
      </c>
      <c r="H1999" s="73" t="s">
        <v>1109</v>
      </c>
      <c r="I1999" s="439"/>
      <c r="J1999" s="439"/>
      <c r="K1999" s="430"/>
      <c r="L1999" s="439"/>
      <c r="M1999" s="65">
        <v>132870</v>
      </c>
      <c r="N1999" s="84" t="s">
        <v>2001</v>
      </c>
      <c r="O1999" s="66" t="s">
        <v>63</v>
      </c>
      <c r="P1999" s="84" t="str">
        <f>IF(AND('331-CT'!$E$7=TH!H1999,OR(N1999="331",O1999="331")),"x","")</f>
        <v/>
      </c>
      <c r="Q1999" s="84" t="str">
        <f>IF(AND(B1999='111'!$L$11,OR($N1999=$Q$7,$O1999=$Q$7)),"x","")</f>
        <v/>
      </c>
      <c r="R1999" s="84" t="str">
        <f>IF(AND($N1999=$Q$7,$B1999&lt;'111'!$L$11),"x","")</f>
        <v/>
      </c>
      <c r="S1999" s="84" t="str">
        <f>IF(AND($O1999=$Q$7,$B1999&lt;'111'!$L$11),"x","")</f>
        <v/>
      </c>
      <c r="T1999" s="84" t="str">
        <f>IF(ISERROR(FIND('112'!$M$9,G1999,1)),"",IF((AND(FIND('112'!$M$9,G1999,1)&gt;=1,B1999='112'!$K$9,OR($N1999='112'!$I$6,$O1999='112'!$I$6))),"x",""))</f>
        <v/>
      </c>
      <c r="U1999" s="84" t="str">
        <f>IF(ISERROR(FIND('112'!$M$9,G1999,1)),"",IF((AND(LEFT(G1999,2)=LEFT('112'!$M$9,2),B1999&lt;'112'!$K$9,$N1999='112'!$I$6)),"x",""))</f>
        <v/>
      </c>
      <c r="V1999" s="84" t="str">
        <f>IF(ISERROR(FIND('112'!$M$9,G1999,1)),"",IF((AND(RIGHT(G1999,2)=RIGHT('112'!$M$9,2),B1999&lt;'112'!$K$9,$O1999='112'!$I$6)),"x",""))</f>
        <v/>
      </c>
      <c r="W1999" s="84" t="str">
        <f>IF(AND('341-CT'!$H$9=H1999,OR(LEFT(N1999,3)=$W$7,LEFT(O1999,3)=$W$7)),"x","")</f>
        <v/>
      </c>
      <c r="X1999" s="84" t="str">
        <f>IF(OR(TH!N1999=TH!$X$7,O1999=TH!$X$7),"x","")</f>
        <v/>
      </c>
      <c r="Y1999" s="84" t="str">
        <f>IF(AND(OR(N1999="131",O1999="131"),H1999='131-CT'!$H$9),"x","")</f>
        <v/>
      </c>
      <c r="Z1999" s="84"/>
      <c r="AA1999" s="84" t="str">
        <f>IF(AND(MONTH(E1999)='IN-NX'!$J$5,'IN-NX'!$D$7=D1999),"x","")</f>
        <v/>
      </c>
      <c r="AB1999" s="84" t="str">
        <f>IF(AND(OR(LEFT(TH!N1999,2)="15",LEFT(TH!O1999,2)="15"),LEFT(TH!O1999,3)&lt;&gt;"111",'152-CT'!$J$8=TH!F1999),"x","")</f>
        <v/>
      </c>
      <c r="AC1999" s="84" t="str">
        <f>IF(AND(OR(LEFT(TH!N1999,2)="15",LEFT(TH!O1999,2)="15"),TK!$E$7=TH!F1999),"x","")</f>
        <v/>
      </c>
      <c r="AD1999" s="84" t="str">
        <f>IF(AND(N1999="1521",MONTH(C1999)='BK-NL'!$M$11),"x","")</f>
        <v/>
      </c>
      <c r="AF1999" s="351">
        <v>8</v>
      </c>
    </row>
    <row r="2000" spans="1:32" s="351" customFormat="1" ht="15.75" customHeight="1">
      <c r="A2000" s="336" t="str">
        <f>IF(B2000&lt;&gt;"",IF(AND(B2000='IN-TC'!$S$4,OR(TH!N2000="1111",TH!O2000="1111")),TH!D2000,""),"")</f>
        <v/>
      </c>
      <c r="B2000" s="63">
        <f t="shared" si="261"/>
        <v>8</v>
      </c>
      <c r="C2000" s="64">
        <v>42612</v>
      </c>
      <c r="D2000" s="64" t="s">
        <v>894</v>
      </c>
      <c r="E2000" s="64">
        <f t="shared" si="262"/>
        <v>42612</v>
      </c>
      <c r="F2000" s="67" t="s">
        <v>1361</v>
      </c>
      <c r="G2000" s="67"/>
      <c r="H2000" s="73" t="s">
        <v>1363</v>
      </c>
      <c r="I2000" s="439"/>
      <c r="J2000" s="439"/>
      <c r="K2000" s="430"/>
      <c r="L2000" s="439"/>
      <c r="M2000" s="65">
        <v>245455</v>
      </c>
      <c r="N2000" s="66" t="s">
        <v>101</v>
      </c>
      <c r="O2000" s="66" t="s">
        <v>63</v>
      </c>
      <c r="P2000" s="84" t="str">
        <f>IF(AND('331-CT'!$E$7=TH!H2000,OR(N2000="331",O2000="331")),"x","")</f>
        <v/>
      </c>
      <c r="Q2000" s="84" t="str">
        <f>IF(AND(B2000='111'!$L$11,OR($N2000=$Q$7,$O2000=$Q$7)),"x","")</f>
        <v/>
      </c>
      <c r="R2000" s="84" t="str">
        <f>IF(AND($N2000=$Q$7,$B2000&lt;'111'!$L$11),"x","")</f>
        <v/>
      </c>
      <c r="S2000" s="84" t="str">
        <f>IF(AND($O2000=$Q$7,$B2000&lt;'111'!$L$11),"x","")</f>
        <v/>
      </c>
      <c r="T2000" s="84" t="str">
        <f>IF(ISERROR(FIND('112'!$M$9,G2000,1)),"",IF((AND(FIND('112'!$M$9,G2000,1)&gt;=1,B2000='112'!$K$9,OR($N2000='112'!$I$6,$O2000='112'!$I$6))),"x",""))</f>
        <v/>
      </c>
      <c r="U2000" s="84" t="str">
        <f>IF(ISERROR(FIND('112'!$M$9,G2000,1)),"",IF((AND(LEFT(G2000,2)=LEFT('112'!$M$9,2),B2000&lt;'112'!$K$9,$N2000='112'!$I$6)),"x",""))</f>
        <v/>
      </c>
      <c r="V2000" s="84" t="str">
        <f>IF(ISERROR(FIND('112'!$M$9,G2000,1)),"",IF((AND(RIGHT(G2000,2)=RIGHT('112'!$M$9,2),B2000&lt;'112'!$K$9,$O2000='112'!$I$6)),"x",""))</f>
        <v/>
      </c>
      <c r="W2000" s="84" t="str">
        <f>IF(AND('341-CT'!$H$9=H2000,OR(LEFT(N2000,3)=$W$7,LEFT(O2000,3)=$W$7)),"x","")</f>
        <v/>
      </c>
      <c r="X2000" s="84" t="str">
        <f>IF(OR(TH!N2000=TH!$X$7,O2000=TH!$X$7),"x","")</f>
        <v/>
      </c>
      <c r="Y2000" s="84" t="str">
        <f>IF(AND(OR(N2000="131",O2000="131"),H2000='131-CT'!$H$9),"x","")</f>
        <v/>
      </c>
      <c r="Z2000" s="84"/>
      <c r="AA2000" s="84" t="str">
        <f>IF(AND(MONTH(E2000)='IN-NX'!$J$5,'IN-NX'!$D$7=D2000),"x","")</f>
        <v/>
      </c>
      <c r="AB2000" s="84" t="str">
        <f>IF(AND(OR(LEFT(TH!N2000,2)="15",LEFT(TH!O2000,2)="15"),LEFT(TH!O2000,3)&lt;&gt;"111",'152-CT'!$J$8=TH!F2000),"x","")</f>
        <v/>
      </c>
      <c r="AC2000" s="84" t="str">
        <f>IF(AND(OR(LEFT(TH!N2000,2)="15",LEFT(TH!O2000,2)="15"),TK!$E$7=TH!F2000),"x","")</f>
        <v/>
      </c>
      <c r="AD2000" s="84" t="str">
        <f>IF(AND(N2000="1521",MONTH(C2000)='BK-NL'!$M$11),"x","")</f>
        <v/>
      </c>
      <c r="AF2000" s="351">
        <v>8</v>
      </c>
    </row>
    <row r="2001" spans="1:32" s="351" customFormat="1" ht="15.75" hidden="1" customHeight="1">
      <c r="A2001" s="336" t="str">
        <f>IF(B2001&lt;&gt;"",IF(AND(B2001='IN-TC'!$S$4,OR(TH!N2001="1111",TH!O2001="1111")),TH!D2001,""),"")</f>
        <v/>
      </c>
      <c r="B2001" s="63">
        <f t="shared" si="261"/>
        <v>8</v>
      </c>
      <c r="C2001" s="64">
        <v>42612</v>
      </c>
      <c r="D2001" s="64" t="s">
        <v>894</v>
      </c>
      <c r="E2001" s="64">
        <f t="shared" si="262"/>
        <v>42612</v>
      </c>
      <c r="F2001" s="67" t="s">
        <v>1362</v>
      </c>
      <c r="G2001" s="67"/>
      <c r="H2001" s="73" t="s">
        <v>1363</v>
      </c>
      <c r="I2001" s="439"/>
      <c r="J2001" s="439"/>
      <c r="K2001" s="430"/>
      <c r="L2001" s="439"/>
      <c r="M2001" s="65">
        <v>24545</v>
      </c>
      <c r="N2001" s="84" t="s">
        <v>2001</v>
      </c>
      <c r="O2001" s="66" t="s">
        <v>63</v>
      </c>
      <c r="P2001" s="84" t="str">
        <f>IF(AND('331-CT'!$E$7=TH!H2001,OR(N2001="331",O2001="331")),"x","")</f>
        <v/>
      </c>
      <c r="Q2001" s="84" t="str">
        <f>IF(AND(B2001='111'!$L$11,OR($N2001=$Q$7,$O2001=$Q$7)),"x","")</f>
        <v/>
      </c>
      <c r="R2001" s="84" t="str">
        <f>IF(AND($N2001=$Q$7,$B2001&lt;'111'!$L$11),"x","")</f>
        <v/>
      </c>
      <c r="S2001" s="84" t="str">
        <f>IF(AND($O2001=$Q$7,$B2001&lt;'111'!$L$11),"x","")</f>
        <v/>
      </c>
      <c r="T2001" s="84" t="str">
        <f>IF(ISERROR(FIND('112'!$M$9,G2001,1)),"",IF((AND(FIND('112'!$M$9,G2001,1)&gt;=1,B2001='112'!$K$9,OR($N2001='112'!$I$6,$O2001='112'!$I$6))),"x",""))</f>
        <v/>
      </c>
      <c r="U2001" s="84" t="str">
        <f>IF(ISERROR(FIND('112'!$M$9,G2001,1)),"",IF((AND(LEFT(G2001,2)=LEFT('112'!$M$9,2),B2001&lt;'112'!$K$9,$N2001='112'!$I$6)),"x",""))</f>
        <v/>
      </c>
      <c r="V2001" s="84" t="str">
        <f>IF(ISERROR(FIND('112'!$M$9,G2001,1)),"",IF((AND(RIGHT(G2001,2)=RIGHT('112'!$M$9,2),B2001&lt;'112'!$K$9,$O2001='112'!$I$6)),"x",""))</f>
        <v/>
      </c>
      <c r="W2001" s="84" t="str">
        <f>IF(AND('341-CT'!$H$9=H2001,OR(LEFT(N2001,3)=$W$7,LEFT(O2001,3)=$W$7)),"x","")</f>
        <v/>
      </c>
      <c r="X2001" s="84" t="str">
        <f>IF(OR(TH!N2001=TH!$X$7,O2001=TH!$X$7),"x","")</f>
        <v/>
      </c>
      <c r="Y2001" s="84" t="str">
        <f>IF(AND(OR(N2001="131",O2001="131"),H2001='131-CT'!$H$9),"x","")</f>
        <v/>
      </c>
      <c r="Z2001" s="84"/>
      <c r="AA2001" s="84" t="str">
        <f>IF(AND(MONTH(E2001)='IN-NX'!$J$5,'IN-NX'!$D$7=D2001),"x","")</f>
        <v/>
      </c>
      <c r="AB2001" s="84" t="str">
        <f>IF(AND(OR(LEFT(TH!N2001,2)="15",LEFT(TH!O2001,2)="15"),LEFT(TH!O2001,3)&lt;&gt;"111",'152-CT'!$J$8=TH!F2001),"x","")</f>
        <v/>
      </c>
      <c r="AC2001" s="84" t="str">
        <f>IF(AND(OR(LEFT(TH!N2001,2)="15",LEFT(TH!O2001,2)="15"),TK!$E$7=TH!F2001),"x","")</f>
        <v/>
      </c>
      <c r="AD2001" s="84" t="str">
        <f>IF(AND(N2001="1521",MONTH(C2001)='BK-NL'!$M$11),"x","")</f>
        <v/>
      </c>
      <c r="AF2001" s="351">
        <v>8</v>
      </c>
    </row>
    <row r="2002" spans="1:32" s="347" customFormat="1" ht="15.75" hidden="1" customHeight="1">
      <c r="A2002" s="1176" t="str">
        <f>IF(B2002&lt;&gt;"",IF(AND(B2002='IN-TC'!$S$4,OR(TH!N2002="1111",TH!O2002="1111")),TH!D2002,""),"")</f>
        <v/>
      </c>
      <c r="B2002" s="1003">
        <f t="shared" si="261"/>
        <v>8</v>
      </c>
      <c r="C2002" s="80">
        <v>42613</v>
      </c>
      <c r="D2002" s="80" t="s">
        <v>895</v>
      </c>
      <c r="E2002" s="80">
        <f t="shared" si="262"/>
        <v>42613</v>
      </c>
      <c r="F2002" s="82" t="s">
        <v>1955</v>
      </c>
      <c r="G2002" s="81"/>
      <c r="H2002" s="82" t="s">
        <v>849</v>
      </c>
      <c r="I2002" s="437"/>
      <c r="J2002" s="437"/>
      <c r="K2002" s="428"/>
      <c r="L2002" s="437"/>
      <c r="M2002" s="83">
        <v>142952908</v>
      </c>
      <c r="N2002" s="84" t="s">
        <v>592</v>
      </c>
      <c r="O2002" s="84" t="s">
        <v>63</v>
      </c>
      <c r="P2002" s="84" t="str">
        <f>IF(AND('331-CT'!$E$7=TH!H2002,OR(N2002="331",O2002="331")),"x","")</f>
        <v/>
      </c>
      <c r="Q2002" s="84" t="str">
        <f>IF(AND(B2002='111'!$L$11,OR($N2002=$Q$7,$O2002=$Q$7)),"x","")</f>
        <v/>
      </c>
      <c r="R2002" s="84" t="str">
        <f>IF(AND($N2002=$Q$7,$B2002&lt;'111'!$L$11),"x","")</f>
        <v/>
      </c>
      <c r="S2002" s="84" t="str">
        <f>IF(AND($O2002=$Q$7,$B2002&lt;'111'!$L$11),"x","")</f>
        <v/>
      </c>
      <c r="T2002" s="84" t="str">
        <f>IF(ISERROR(FIND('112'!$M$9,G2002,1)),"",IF((AND(FIND('112'!$M$9,G2002,1)&gt;=1,B2002='112'!$K$9,OR($N2002='112'!$I$6,$O2002='112'!$I$6))),"x",""))</f>
        <v/>
      </c>
      <c r="U2002" s="84" t="str">
        <f>IF(ISERROR(FIND('112'!$M$9,G2002,1)),"",IF((AND(LEFT(G2002,2)=LEFT('112'!$M$9,2),B2002&lt;'112'!$K$9,$N2002='112'!$I$6)),"x",""))</f>
        <v/>
      </c>
      <c r="V2002" s="84" t="str">
        <f>IF(ISERROR(FIND('112'!$M$9,G2002,1)),"",IF((AND(RIGHT(G2002,2)=RIGHT('112'!$M$9,2),B2002&lt;'112'!$K$9,$O2002='112'!$I$6)),"x",""))</f>
        <v/>
      </c>
      <c r="W2002" s="84" t="str">
        <f>IF(AND('341-CT'!$H$9=H2002,OR(LEFT(N2002,3)=$W$7,LEFT(O2002,3)=$W$7)),"x","")</f>
        <v/>
      </c>
      <c r="X2002" s="84" t="str">
        <f>IF(OR(TH!N2002=TH!$X$7,O2002=TH!$X$7),"x","")</f>
        <v/>
      </c>
      <c r="Y2002" s="84" t="str">
        <f>IF(AND(OR(N2002="131",O2002="131"),H2002='131-CT'!$H$9),"x","")</f>
        <v/>
      </c>
      <c r="Z2002" s="84"/>
      <c r="AA2002" s="84" t="str">
        <f>IF(AND(MONTH(E2002)='IN-NX'!$J$5,'IN-NX'!$D$7=D2002),"x","")</f>
        <v/>
      </c>
      <c r="AB2002" s="84" t="str">
        <f>IF(AND(OR(LEFT(TH!N2002,2)="15",LEFT(TH!O2002,2)="15"),LEFT(TH!O2002,3)&lt;&gt;"111",'152-CT'!$J$8=TH!F2002),"x","")</f>
        <v/>
      </c>
      <c r="AC2002" s="84" t="str">
        <f>IF(AND(OR(LEFT(TH!N2002,2)="15",LEFT(TH!O2002,2)="15"),TK!$E$7=TH!F2002),"x","")</f>
        <v/>
      </c>
      <c r="AD2002" s="84" t="str">
        <f>IF(AND(N2002="1521",MONTH(C2002)='BK-NL'!$M$11),"x","")</f>
        <v/>
      </c>
    </row>
    <row r="2003" spans="1:32" s="351" customFormat="1" ht="15.75" customHeight="1">
      <c r="A2003" s="336" t="str">
        <f>IF(B2003&lt;&gt;"",IF(AND(B2003='IN-TC'!$S$4,OR(TH!N2003="1111",TH!O2003="1111")),TH!D2003,""),"")</f>
        <v/>
      </c>
      <c r="B2003" s="63">
        <f t="shared" si="261"/>
        <v>8</v>
      </c>
      <c r="C2003" s="64">
        <v>42588</v>
      </c>
      <c r="D2003" s="64"/>
      <c r="E2003" s="64">
        <f t="shared" si="262"/>
        <v>42588</v>
      </c>
      <c r="F2003" s="67" t="s">
        <v>224</v>
      </c>
      <c r="G2003" s="982" t="s">
        <v>1813</v>
      </c>
      <c r="H2003" s="344" t="s">
        <v>621</v>
      </c>
      <c r="I2003" s="439">
        <v>450</v>
      </c>
      <c r="J2003" s="439">
        <v>18060.61</v>
      </c>
      <c r="K2003" s="430"/>
      <c r="L2003" s="439"/>
      <c r="M2003" s="65">
        <f>ROUND(I2003*J2003,0)</f>
        <v>8127275</v>
      </c>
      <c r="N2003" s="66" t="s">
        <v>282</v>
      </c>
      <c r="O2003" s="66" t="s">
        <v>63</v>
      </c>
      <c r="P2003" s="84" t="str">
        <f>IF(AND('331-CT'!$E$7=TH!H2003,OR(N2003="331",O2003="331")),"x","")</f>
        <v/>
      </c>
      <c r="Q2003" s="84" t="str">
        <f>IF(AND(B2003='111'!$L$11,OR($N2003=$Q$7,$O2003=$Q$7)),"x","")</f>
        <v/>
      </c>
      <c r="R2003" s="84" t="str">
        <f>IF(AND($N2003=$Q$7,$B2003&lt;'111'!$L$11),"x","")</f>
        <v/>
      </c>
      <c r="S2003" s="84" t="str">
        <f>IF(AND($O2003=$Q$7,$B2003&lt;'111'!$L$11),"x","")</f>
        <v/>
      </c>
      <c r="T2003" s="84" t="str">
        <f>IF(ISERROR(FIND('112'!$M$9,G2003,1)),"",IF((AND(FIND('112'!$M$9,G2003,1)&gt;=1,B2003='112'!$K$9,OR($N2003='112'!$I$6,$O2003='112'!$I$6))),"x",""))</f>
        <v/>
      </c>
      <c r="U2003" s="84" t="str">
        <f>IF(ISERROR(FIND('112'!$M$9,G2003,1)),"",IF((AND(LEFT(G2003,2)=LEFT('112'!$M$9,2),B2003&lt;'112'!$K$9,$N2003='112'!$I$6)),"x",""))</f>
        <v/>
      </c>
      <c r="V2003" s="84" t="str">
        <f>IF(ISERROR(FIND('112'!$M$9,G2003,1)),"",IF((AND(RIGHT(G2003,2)=RIGHT('112'!$M$9,2),B2003&lt;'112'!$K$9,$O2003='112'!$I$6)),"x",""))</f>
        <v/>
      </c>
      <c r="W2003" s="84" t="str">
        <f>IF(AND('341-CT'!$H$9=H2003,OR(LEFT(N2003,3)=$W$7,LEFT(O2003,3)=$W$7)),"x","")</f>
        <v/>
      </c>
      <c r="X2003" s="84" t="str">
        <f>IF(OR(TH!N2003=TH!$X$7,O2003=TH!$X$7),"x","")</f>
        <v/>
      </c>
      <c r="Y2003" s="84" t="str">
        <f>IF(AND(OR(N2003="131",O2003="131"),H2003='131-CT'!$H$9),"x","")</f>
        <v/>
      </c>
      <c r="Z2003" s="84"/>
      <c r="AA2003" s="84" t="str">
        <f>IF(AND(MONTH(E2003)='IN-NX'!$J$5,'IN-NX'!$D$7=D2003),"x","")</f>
        <v/>
      </c>
      <c r="AB2003" s="84" t="str">
        <f>IF(AND(OR(LEFT(TH!N2003,2)="15",LEFT(TH!O2003,2)="15"),LEFT(TH!O2003,3)&lt;&gt;"111",'152-CT'!$J$8=TH!F2003),"x","")</f>
        <v/>
      </c>
      <c r="AC2003" s="84" t="str">
        <f>IF(AND(OR(LEFT(TH!N2003,2)="15",LEFT(TH!O2003,2)="15"),TK!$E$7=TH!F2003),"x","")</f>
        <v/>
      </c>
      <c r="AD2003" s="84" t="str">
        <f>IF(AND(N2003="1521",MONTH(C2003)='BK-NL'!$M$11),"x","")</f>
        <v/>
      </c>
      <c r="AE2003" s="330"/>
      <c r="AF2003" s="351">
        <v>8</v>
      </c>
    </row>
    <row r="2004" spans="1:32" s="351" customFormat="1" ht="15.75" hidden="1" customHeight="1">
      <c r="A2004" s="336" t="str">
        <f>IF(B2004&lt;&gt;"",IF(AND(B2004='IN-TC'!$S$4,OR(TH!N2004="1111",TH!O2004="1111")),TH!D2004,""),"")</f>
        <v/>
      </c>
      <c r="B2004" s="63">
        <f t="shared" ref="B2004:B2006" si="263">IF(C2004&lt;&gt;"",MONTH(C2004),"")</f>
        <v>8</v>
      </c>
      <c r="C2004" s="64">
        <v>42588</v>
      </c>
      <c r="D2004" s="64"/>
      <c r="E2004" s="64">
        <f>C2004</f>
        <v>42588</v>
      </c>
      <c r="F2004" s="67" t="s">
        <v>1355</v>
      </c>
      <c r="G2004" s="982" t="s">
        <v>1813</v>
      </c>
      <c r="H2004" s="344" t="s">
        <v>621</v>
      </c>
      <c r="I2004" s="439"/>
      <c r="J2004" s="439"/>
      <c r="K2004" s="430"/>
      <c r="L2004" s="439"/>
      <c r="M2004" s="65">
        <v>812728</v>
      </c>
      <c r="N2004" s="84" t="s">
        <v>2001</v>
      </c>
      <c r="O2004" s="66" t="s">
        <v>63</v>
      </c>
      <c r="P2004" s="84" t="str">
        <f>IF(AND('331-CT'!$E$7=TH!H2004,OR(N2004="331",O2004="331")),"x","")</f>
        <v/>
      </c>
      <c r="Q2004" s="84" t="str">
        <f>IF(AND(B2004='111'!$L$11,OR($N2004=$Q$7,$O2004=$Q$7)),"x","")</f>
        <v/>
      </c>
      <c r="R2004" s="84" t="str">
        <f>IF(AND($N2004=$Q$7,$B2004&lt;'111'!$L$11),"x","")</f>
        <v/>
      </c>
      <c r="S2004" s="84" t="str">
        <f>IF(AND($O2004=$Q$7,$B2004&lt;'111'!$L$11),"x","")</f>
        <v/>
      </c>
      <c r="T2004" s="84" t="str">
        <f>IF(ISERROR(FIND('112'!$M$9,G2004,1)),"",IF((AND(FIND('112'!$M$9,G2004,1)&gt;=1,B2004='112'!$K$9,OR($N2004='112'!$I$6,$O2004='112'!$I$6))),"x",""))</f>
        <v/>
      </c>
      <c r="U2004" s="84" t="str">
        <f>IF(ISERROR(FIND('112'!$M$9,G2004,1)),"",IF((AND(LEFT(G2004,2)=LEFT('112'!$M$9,2),B2004&lt;'112'!$K$9,$N2004='112'!$I$6)),"x",""))</f>
        <v/>
      </c>
      <c r="V2004" s="84" t="str">
        <f>IF(ISERROR(FIND('112'!$M$9,G2004,1)),"",IF((AND(RIGHT(G2004,2)=RIGHT('112'!$M$9,2),B2004&lt;'112'!$K$9,$O2004='112'!$I$6)),"x",""))</f>
        <v/>
      </c>
      <c r="W2004" s="84" t="str">
        <f>IF(AND('341-CT'!$H$9=H2004,OR(LEFT(N2004,3)=$W$7,LEFT(O2004,3)=$W$7)),"x","")</f>
        <v/>
      </c>
      <c r="X2004" s="84" t="str">
        <f>IF(OR(TH!N2004=TH!$X$7,O2004=TH!$X$7),"x","")</f>
        <v/>
      </c>
      <c r="Y2004" s="84" t="str">
        <f>IF(AND(OR(N2004="131",O2004="131"),H2004='131-CT'!$H$9),"x","")</f>
        <v/>
      </c>
      <c r="Z2004" s="84"/>
      <c r="AA2004" s="84" t="str">
        <f>IF(AND(MONTH(E2004)='IN-NX'!$J$5,'IN-NX'!$D$7=D2004),"x","")</f>
        <v/>
      </c>
      <c r="AB2004" s="84" t="str">
        <f>IF(AND(OR(LEFT(TH!N2004,2)="15",LEFT(TH!O2004,2)="15"),LEFT(TH!O2004,3)&lt;&gt;"111",'152-CT'!$J$8=TH!F2004),"x","")</f>
        <v/>
      </c>
      <c r="AC2004" s="84" t="str">
        <f>IF(AND(OR(LEFT(TH!N2004,2)="15",LEFT(TH!O2004,2)="15"),TK!$E$7=TH!F2004),"x","")</f>
        <v/>
      </c>
      <c r="AD2004" s="84" t="str">
        <f>IF(AND(N2004="1521",MONTH(C2004)='BK-NL'!$M$11),"x","")</f>
        <v/>
      </c>
      <c r="AE2004" s="330"/>
      <c r="AF2004" s="351">
        <v>8</v>
      </c>
    </row>
    <row r="2005" spans="1:32" s="351" customFormat="1" ht="15.75" customHeight="1">
      <c r="A2005" s="336" t="str">
        <f>IF(B2005&lt;&gt;"",IF(AND(B2005='IN-TC'!$S$4,OR(TH!N2005="1111",TH!O2005="1111")),TH!D2005,""),"")</f>
        <v/>
      </c>
      <c r="B2005" s="63">
        <f t="shared" si="263"/>
        <v>8</v>
      </c>
      <c r="C2005" s="64">
        <v>42608</v>
      </c>
      <c r="D2005" s="64"/>
      <c r="E2005" s="64">
        <f>C2005</f>
        <v>42608</v>
      </c>
      <c r="F2005" s="67" t="s">
        <v>224</v>
      </c>
      <c r="G2005" s="982" t="s">
        <v>1831</v>
      </c>
      <c r="H2005" s="344" t="s">
        <v>621</v>
      </c>
      <c r="I2005" s="439">
        <v>450</v>
      </c>
      <c r="J2005" s="439">
        <v>18060.607</v>
      </c>
      <c r="K2005" s="430"/>
      <c r="L2005" s="439"/>
      <c r="M2005" s="65">
        <f>ROUND(I2005*J2005,0)</f>
        <v>8127273</v>
      </c>
      <c r="N2005" s="66" t="s">
        <v>282</v>
      </c>
      <c r="O2005" s="66" t="s">
        <v>63</v>
      </c>
      <c r="P2005" s="84" t="str">
        <f>IF(AND('331-CT'!$E$7=TH!H2005,OR(N2005="331",O2005="331")),"x","")</f>
        <v/>
      </c>
      <c r="Q2005" s="84" t="str">
        <f>IF(AND(B2005='111'!$L$11,OR($N2005=$Q$7,$O2005=$Q$7)),"x","")</f>
        <v/>
      </c>
      <c r="R2005" s="84" t="str">
        <f>IF(AND($N2005=$Q$7,$B2005&lt;'111'!$L$11),"x","")</f>
        <v/>
      </c>
      <c r="S2005" s="84" t="str">
        <f>IF(AND($O2005=$Q$7,$B2005&lt;'111'!$L$11),"x","")</f>
        <v/>
      </c>
      <c r="T2005" s="84" t="str">
        <f>IF(ISERROR(FIND('112'!$M$9,G2005,1)),"",IF((AND(FIND('112'!$M$9,G2005,1)&gt;=1,B2005='112'!$K$9,OR($N2005='112'!$I$6,$O2005='112'!$I$6))),"x",""))</f>
        <v/>
      </c>
      <c r="U2005" s="84" t="str">
        <f>IF(ISERROR(FIND('112'!$M$9,G2005,1)),"",IF((AND(LEFT(G2005,2)=LEFT('112'!$M$9,2),B2005&lt;'112'!$K$9,$N2005='112'!$I$6)),"x",""))</f>
        <v/>
      </c>
      <c r="V2005" s="84" t="str">
        <f>IF(ISERROR(FIND('112'!$M$9,G2005,1)),"",IF((AND(RIGHT(G2005,2)=RIGHT('112'!$M$9,2),B2005&lt;'112'!$K$9,$O2005='112'!$I$6)),"x",""))</f>
        <v/>
      </c>
      <c r="W2005" s="84" t="str">
        <f>IF(AND('341-CT'!$H$9=H2005,OR(LEFT(N2005,3)=$W$7,LEFT(O2005,3)=$W$7)),"x","")</f>
        <v/>
      </c>
      <c r="X2005" s="84" t="str">
        <f>IF(OR(TH!N2005=TH!$X$7,O2005=TH!$X$7),"x","")</f>
        <v/>
      </c>
      <c r="Y2005" s="84" t="str">
        <f>IF(AND(OR(N2005="131",O2005="131"),H2005='131-CT'!$H$9),"x","")</f>
        <v/>
      </c>
      <c r="Z2005" s="84"/>
      <c r="AA2005" s="84" t="str">
        <f>IF(AND(MONTH(E2005)='IN-NX'!$J$5,'IN-NX'!$D$7=D2005),"x","")</f>
        <v/>
      </c>
      <c r="AB2005" s="84" t="str">
        <f>IF(AND(OR(LEFT(TH!N2005,2)="15",LEFT(TH!O2005,2)="15"),LEFT(TH!O2005,3)&lt;&gt;"111",'152-CT'!$J$8=TH!F2005),"x","")</f>
        <v/>
      </c>
      <c r="AC2005" s="84" t="str">
        <f>IF(AND(OR(LEFT(TH!N2005,2)="15",LEFT(TH!O2005,2)="15"),TK!$E$7=TH!F2005),"x","")</f>
        <v/>
      </c>
      <c r="AD2005" s="84" t="str">
        <f>IF(AND(N2005="1521",MONTH(C2005)='BK-NL'!$M$11),"x","")</f>
        <v/>
      </c>
      <c r="AE2005" s="1168"/>
      <c r="AF2005" s="351">
        <v>8</v>
      </c>
    </row>
    <row r="2006" spans="1:32" s="351" customFormat="1" ht="15.75" hidden="1" customHeight="1">
      <c r="A2006" s="336" t="str">
        <f>IF(B2006&lt;&gt;"",IF(AND(B2006='IN-TC'!$S$4,OR(TH!N2006="1111",TH!O2006="1111")),TH!D2006,""),"")</f>
        <v/>
      </c>
      <c r="B2006" s="63">
        <f t="shared" si="263"/>
        <v>8</v>
      </c>
      <c r="C2006" s="64">
        <v>42608</v>
      </c>
      <c r="D2006" s="64"/>
      <c r="E2006" s="64">
        <f>C2006</f>
        <v>42608</v>
      </c>
      <c r="F2006" s="67" t="s">
        <v>1355</v>
      </c>
      <c r="G2006" s="982" t="s">
        <v>1831</v>
      </c>
      <c r="H2006" s="344" t="s">
        <v>621</v>
      </c>
      <c r="I2006" s="439"/>
      <c r="J2006" s="439"/>
      <c r="K2006" s="430"/>
      <c r="L2006" s="439"/>
      <c r="M2006" s="65">
        <v>812727</v>
      </c>
      <c r="N2006" s="84" t="s">
        <v>2001</v>
      </c>
      <c r="O2006" s="66" t="s">
        <v>63</v>
      </c>
      <c r="P2006" s="84" t="str">
        <f>IF(AND('331-CT'!$E$7=TH!H2006,OR(N2006="331",O2006="331")),"x","")</f>
        <v/>
      </c>
      <c r="Q2006" s="84" t="str">
        <f>IF(AND(B2006='111'!$L$11,OR($N2006=$Q$7,$O2006=$Q$7)),"x","")</f>
        <v/>
      </c>
      <c r="R2006" s="84" t="str">
        <f>IF(AND($N2006=$Q$7,$B2006&lt;'111'!$L$11),"x","")</f>
        <v/>
      </c>
      <c r="S2006" s="84" t="str">
        <f>IF(AND($O2006=$Q$7,$B2006&lt;'111'!$L$11),"x","")</f>
        <v/>
      </c>
      <c r="T2006" s="84" t="str">
        <f>IF(ISERROR(FIND('112'!$M$9,G2006,1)),"",IF((AND(FIND('112'!$M$9,G2006,1)&gt;=1,B2006='112'!$K$9,OR($N2006='112'!$I$6,$O2006='112'!$I$6))),"x",""))</f>
        <v/>
      </c>
      <c r="U2006" s="84" t="str">
        <f>IF(ISERROR(FIND('112'!$M$9,G2006,1)),"",IF((AND(LEFT(G2006,2)=LEFT('112'!$M$9,2),B2006&lt;'112'!$K$9,$N2006='112'!$I$6)),"x",""))</f>
        <v/>
      </c>
      <c r="V2006" s="84" t="str">
        <f>IF(ISERROR(FIND('112'!$M$9,G2006,1)),"",IF((AND(RIGHT(G2006,2)=RIGHT('112'!$M$9,2),B2006&lt;'112'!$K$9,$O2006='112'!$I$6)),"x",""))</f>
        <v/>
      </c>
      <c r="W2006" s="84" t="str">
        <f>IF(AND('341-CT'!$H$9=H2006,OR(LEFT(N2006,3)=$W$7,LEFT(O2006,3)=$W$7)),"x","")</f>
        <v/>
      </c>
      <c r="X2006" s="84" t="str">
        <f>IF(OR(TH!N2006=TH!$X$7,O2006=TH!$X$7),"x","")</f>
        <v/>
      </c>
      <c r="Y2006" s="84" t="str">
        <f>IF(AND(OR(N2006="131",O2006="131"),H2006='131-CT'!$H$9),"x","")</f>
        <v/>
      </c>
      <c r="Z2006" s="84"/>
      <c r="AA2006" s="84" t="str">
        <f>IF(AND(MONTH(E2006)='IN-NX'!$J$5,'IN-NX'!$D$7=D2006),"x","")</f>
        <v/>
      </c>
      <c r="AB2006" s="84" t="str">
        <f>IF(AND(OR(LEFT(TH!N2006,2)="15",LEFT(TH!O2006,2)="15"),LEFT(TH!O2006,3)&lt;&gt;"111",'152-CT'!$J$8=TH!F2006),"x","")</f>
        <v/>
      </c>
      <c r="AC2006" s="84" t="str">
        <f>IF(AND(OR(LEFT(TH!N2006,2)="15",LEFT(TH!O2006,2)="15"),TK!$E$7=TH!F2006),"x","")</f>
        <v/>
      </c>
      <c r="AD2006" s="84" t="str">
        <f>IF(AND(N2006="1521",MONTH(C2006)='BK-NL'!$M$11),"x","")</f>
        <v/>
      </c>
      <c r="AE2006" s="1168"/>
      <c r="AF2006" s="351">
        <v>8</v>
      </c>
    </row>
    <row r="2007" spans="1:32" ht="15.75" hidden="1" customHeight="1">
      <c r="A2007" s="336" t="str">
        <f>IF(B2007&lt;&gt;"",IF(AND(B2007='IN-TC'!$S$4,OR(TH!N2007="1111",TH!O2007="1111")),TH!D2007,""),"")</f>
        <v/>
      </c>
      <c r="B2007" s="63">
        <f t="shared" ref="B2007:B2026" si="264">IF(C2007&lt;&gt;"",MONTH(C2007),"")</f>
        <v>8</v>
      </c>
      <c r="C2007" s="64">
        <v>42583</v>
      </c>
      <c r="D2007" s="64" t="s">
        <v>705</v>
      </c>
      <c r="E2007" s="64">
        <f t="shared" ref="E2007:E2026" si="265">C2007</f>
        <v>42583</v>
      </c>
      <c r="F2007" s="67" t="s">
        <v>1791</v>
      </c>
      <c r="G2007" s="67" t="s">
        <v>1565</v>
      </c>
      <c r="H2007" s="73"/>
      <c r="I2007" s="439"/>
      <c r="J2007" s="439"/>
      <c r="K2007" s="430">
        <v>0.96</v>
      </c>
      <c r="L2007" s="439">
        <v>22330</v>
      </c>
      <c r="M2007" s="1164">
        <f>ROUND(K2007*L2007,0)</f>
        <v>21437</v>
      </c>
      <c r="N2007" s="66" t="s">
        <v>99</v>
      </c>
      <c r="O2007" s="66" t="s">
        <v>266</v>
      </c>
      <c r="P2007" s="84" t="str">
        <f>IF(AND('331-CT'!$E$7=TH!H2007,OR(N2007="331",O2007="331")),"x","")</f>
        <v/>
      </c>
      <c r="Q2007" s="84" t="str">
        <f>IF(AND(B2007='111'!$L$11,OR($N2007=$Q$7,$O2007=$Q$7)),"x","")</f>
        <v/>
      </c>
      <c r="R2007" s="84" t="str">
        <f>IF(AND($N2007=$Q$7,$B2007&lt;'111'!$L$11),"x","")</f>
        <v/>
      </c>
      <c r="S2007" s="84" t="str">
        <f>IF(AND($O2007=$Q$7,$B2007&lt;'111'!$L$11),"x","")</f>
        <v/>
      </c>
      <c r="T2007" s="84" t="str">
        <f>IF(ISERROR(FIND('112'!$M$9,G2007,1)),"",IF((AND(FIND('112'!$M$9,G2007,1)&gt;=1,B2007='112'!$K$9,OR($N2007='112'!$I$6,$O2007='112'!$I$6))),"x",""))</f>
        <v/>
      </c>
      <c r="U2007" s="84" t="str">
        <f>IF(ISERROR(FIND('112'!$M$9,G2007,1)),"",IF((AND(LEFT(G2007,2)=LEFT('112'!$M$9,2),B2007&lt;'112'!$K$9,$N2007='112'!$I$6)),"x",""))</f>
        <v/>
      </c>
      <c r="V2007" s="84" t="str">
        <f>IF(ISERROR(FIND('112'!$M$9,G2007,1)),"",IF((AND(RIGHT(G2007,2)=RIGHT('112'!$M$9,2),B2007&lt;'112'!$K$9,$O2007='112'!$I$6)),"x",""))</f>
        <v/>
      </c>
      <c r="W2007" s="84" t="str">
        <f>IF(AND('341-CT'!$H$9=H2007,OR(LEFT(N2007,3)=$W$7,LEFT(O2007,3)=$W$7)),"x","")</f>
        <v/>
      </c>
      <c r="X2007" s="84" t="str">
        <f>IF(OR(TH!N2007=TH!$X$7,O2007=TH!$X$7),"x","")</f>
        <v/>
      </c>
      <c r="Y2007" s="84" t="str">
        <f>IF(AND(OR(N2007="131",O2007="131"),H2007='131-CT'!$H$9),"x","")</f>
        <v/>
      </c>
      <c r="Z2007" s="84"/>
      <c r="AA2007" s="84" t="str">
        <f>IF(AND(MONTH(E2007)='IN-NX'!$J$5,'IN-NX'!$D$7=D2007),"x","")</f>
        <v/>
      </c>
      <c r="AB2007" s="84" t="str">
        <f>IF(AND(OR(LEFT(TH!N2007,2)="15",LEFT(TH!O2007,2)="15"),LEFT(TH!O2007,3)&lt;&gt;"111",'152-CT'!$J$8=TH!F2007),"x","")</f>
        <v/>
      </c>
      <c r="AC2007" s="84" t="str">
        <f>IF(AND(OR(LEFT(TH!N2007,2)="15",LEFT(TH!O2007,2)="15"),TK!$E$7=TH!F2007),"x","")</f>
        <v/>
      </c>
      <c r="AD2007" s="84" t="str">
        <f>IF(AND(N2007="1521",MONTH(C2007)='BK-NL'!$M$11),"x","")</f>
        <v/>
      </c>
    </row>
    <row r="2008" spans="1:32" ht="15.75" hidden="1" customHeight="1">
      <c r="A2008" s="336" t="str">
        <f>IF(B2008&lt;&gt;"",IF(AND(B2008='IN-TC'!$S$4,OR(TH!N2008="1111",TH!O2008="1111")),TH!D2008,""),"")</f>
        <v/>
      </c>
      <c r="B2008" s="63">
        <f t="shared" si="264"/>
        <v>8</v>
      </c>
      <c r="C2008" s="64">
        <v>42584</v>
      </c>
      <c r="D2008" s="64" t="s">
        <v>702</v>
      </c>
      <c r="E2008" s="64">
        <f t="shared" si="265"/>
        <v>42584</v>
      </c>
      <c r="F2008" s="67" t="s">
        <v>1671</v>
      </c>
      <c r="G2008" s="67" t="s">
        <v>1928</v>
      </c>
      <c r="H2008" s="73"/>
      <c r="I2008" s="439"/>
      <c r="J2008" s="439"/>
      <c r="K2008" s="430">
        <v>500</v>
      </c>
      <c r="L2008" s="439">
        <v>22330</v>
      </c>
      <c r="M2008" s="1164">
        <f>ROUND(K2008*L2008,0)</f>
        <v>11165000</v>
      </c>
      <c r="N2008" s="66" t="s">
        <v>266</v>
      </c>
      <c r="O2008" s="66" t="s">
        <v>266</v>
      </c>
      <c r="P2008" s="84" t="str">
        <f>IF(AND('331-CT'!$E$7=TH!H2008,OR(N2008="331",O2008="331")),"x","")</f>
        <v/>
      </c>
      <c r="Q2008" s="84" t="str">
        <f>IF(AND(B2008='111'!$L$11,OR($N2008=$Q$7,$O2008=$Q$7)),"x","")</f>
        <v/>
      </c>
      <c r="R2008" s="84" t="str">
        <f>IF(AND($N2008=$Q$7,$B2008&lt;'111'!$L$11),"x","")</f>
        <v/>
      </c>
      <c r="S2008" s="84" t="str">
        <f>IF(AND($O2008=$Q$7,$B2008&lt;'111'!$L$11),"x","")</f>
        <v/>
      </c>
      <c r="T2008" s="84" t="str">
        <f>IF(ISERROR(FIND('112'!$M$9,G2008,1)),"",IF((AND(FIND('112'!$M$9,G2008,1)&gt;=1,B2008='112'!$K$9,OR($N2008='112'!$I$6,$O2008='112'!$I$6))),"x",""))</f>
        <v/>
      </c>
      <c r="U2008" s="84" t="str">
        <f>IF(ISERROR(FIND('112'!$M$9,G2008,1)),"",IF((AND(LEFT(G2008,2)=LEFT('112'!$M$9,2),B2008&lt;'112'!$K$9,$N2008='112'!$I$6)),"x",""))</f>
        <v/>
      </c>
      <c r="V2008" s="84" t="str">
        <f>IF(ISERROR(FIND('112'!$M$9,G2008,1)),"",IF((AND(RIGHT(G2008,2)=RIGHT('112'!$M$9,2),B2008&lt;'112'!$K$9,$O2008='112'!$I$6)),"x",""))</f>
        <v/>
      </c>
      <c r="W2008" s="84" t="str">
        <f>IF(AND('341-CT'!$H$9=H2008,OR(LEFT(N2008,3)=$W$7,LEFT(O2008,3)=$W$7)),"x","")</f>
        <v/>
      </c>
      <c r="X2008" s="84" t="str">
        <f>IF(OR(TH!N2008=TH!$X$7,O2008=TH!$X$7),"x","")</f>
        <v/>
      </c>
      <c r="Y2008" s="84" t="str">
        <f>IF(AND(OR(N2008="131",O2008="131"),H2008='131-CT'!$H$9),"x","")</f>
        <v/>
      </c>
      <c r="Z2008" s="84"/>
      <c r="AA2008" s="84" t="str">
        <f>IF(AND(MONTH(E2008)='IN-NX'!$J$5,'IN-NX'!$D$7=D2008),"x","")</f>
        <v/>
      </c>
      <c r="AB2008" s="84" t="str">
        <f>IF(AND(OR(LEFT(TH!N2008,2)="15",LEFT(TH!O2008,2)="15"),LEFT(TH!O2008,3)&lt;&gt;"111",'152-CT'!$J$8=TH!F2008),"x","")</f>
        <v/>
      </c>
      <c r="AC2008" s="84" t="str">
        <f>IF(AND(OR(LEFT(TH!N2008,2)="15",LEFT(TH!O2008,2)="15"),TK!$E$7=TH!F2008),"x","")</f>
        <v/>
      </c>
      <c r="AD2008" s="84" t="str">
        <f>IF(AND(N2008="1521",MONTH(C2008)='BK-NL'!$M$11),"x","")</f>
        <v/>
      </c>
    </row>
    <row r="2009" spans="1:32" ht="15.75" hidden="1" customHeight="1">
      <c r="A2009" s="336" t="str">
        <f>IF(B2009&lt;&gt;"",IF(AND(B2009='IN-TC'!$S$4,OR(TH!N2009="1111",TH!O2009="1111")),TH!D2009,""),"")</f>
        <v/>
      </c>
      <c r="B2009" s="63">
        <f t="shared" si="264"/>
        <v>8</v>
      </c>
      <c r="C2009" s="64">
        <v>42584</v>
      </c>
      <c r="D2009" s="64" t="s">
        <v>705</v>
      </c>
      <c r="E2009" s="64">
        <f t="shared" si="265"/>
        <v>42584</v>
      </c>
      <c r="F2009" s="67" t="s">
        <v>1791</v>
      </c>
      <c r="G2009" s="67" t="s">
        <v>1565</v>
      </c>
      <c r="H2009" s="73"/>
      <c r="I2009" s="439"/>
      <c r="J2009" s="439"/>
      <c r="K2009" s="430">
        <v>230.25</v>
      </c>
      <c r="L2009" s="439">
        <v>22330</v>
      </c>
      <c r="M2009" s="1164">
        <f>ROUND(K2009*L2009,0)</f>
        <v>5141483</v>
      </c>
      <c r="N2009" s="66" t="s">
        <v>99</v>
      </c>
      <c r="O2009" s="66" t="s">
        <v>266</v>
      </c>
      <c r="P2009" s="84" t="str">
        <f>IF(AND('331-CT'!$E$7=TH!H2009,OR(N2009="331",O2009="331")),"x","")</f>
        <v/>
      </c>
      <c r="Q2009" s="84" t="str">
        <f>IF(AND(B2009='111'!$L$11,OR($N2009=$Q$7,$O2009=$Q$7)),"x","")</f>
        <v/>
      </c>
      <c r="R2009" s="84" t="str">
        <f>IF(AND($N2009=$Q$7,$B2009&lt;'111'!$L$11),"x","")</f>
        <v/>
      </c>
      <c r="S2009" s="84" t="str">
        <f>IF(AND($O2009=$Q$7,$B2009&lt;'111'!$L$11),"x","")</f>
        <v/>
      </c>
      <c r="T2009" s="84" t="str">
        <f>IF(ISERROR(FIND('112'!$M$9,G2009,1)),"",IF((AND(FIND('112'!$M$9,G2009,1)&gt;=1,B2009='112'!$K$9,OR($N2009='112'!$I$6,$O2009='112'!$I$6))),"x",""))</f>
        <v/>
      </c>
      <c r="U2009" s="84" t="str">
        <f>IF(ISERROR(FIND('112'!$M$9,G2009,1)),"",IF((AND(LEFT(G2009,2)=LEFT('112'!$M$9,2),B2009&lt;'112'!$K$9,$N2009='112'!$I$6)),"x",""))</f>
        <v/>
      </c>
      <c r="V2009" s="84" t="str">
        <f>IF(ISERROR(FIND('112'!$M$9,G2009,1)),"",IF((AND(RIGHT(G2009,2)=RIGHT('112'!$M$9,2),B2009&lt;'112'!$K$9,$O2009='112'!$I$6)),"x",""))</f>
        <v/>
      </c>
      <c r="W2009" s="84" t="str">
        <f>IF(AND('341-CT'!$H$9=H2009,OR(LEFT(N2009,3)=$W$7,LEFT(O2009,3)=$W$7)),"x","")</f>
        <v/>
      </c>
      <c r="X2009" s="84" t="str">
        <f>IF(OR(TH!N2009=TH!$X$7,O2009=TH!$X$7),"x","")</f>
        <v/>
      </c>
      <c r="Y2009" s="84" t="str">
        <f>IF(AND(OR(N2009="131",O2009="131"),H2009='131-CT'!$H$9),"x","")</f>
        <v/>
      </c>
      <c r="Z2009" s="84"/>
      <c r="AA2009" s="84" t="str">
        <f>IF(AND(MONTH(E2009)='IN-NX'!$J$5,'IN-NX'!$D$7=D2009),"x","")</f>
        <v/>
      </c>
      <c r="AB2009" s="84" t="str">
        <f>IF(AND(OR(LEFT(TH!N2009,2)="15",LEFT(TH!O2009,2)="15"),LEFT(TH!O2009,3)&lt;&gt;"111",'152-CT'!$J$8=TH!F2009),"x","")</f>
        <v/>
      </c>
      <c r="AC2009" s="84" t="str">
        <f>IF(AND(OR(LEFT(TH!N2009,2)="15",LEFT(TH!O2009,2)="15"),TK!$E$7=TH!F2009),"x","")</f>
        <v/>
      </c>
      <c r="AD2009" s="84" t="str">
        <f>IF(AND(N2009="1521",MONTH(C2009)='BK-NL'!$M$11),"x","")</f>
        <v/>
      </c>
    </row>
    <row r="2010" spans="1:32" ht="15.75" hidden="1" customHeight="1">
      <c r="A2010" s="336" t="str">
        <f>IF(B2010&lt;&gt;"",IF(AND(B2010='IN-TC'!$S$4,OR(TH!N2010="1111",TH!O2010="1111")),TH!D2010,""),"")</f>
        <v/>
      </c>
      <c r="B2010" s="63">
        <f t="shared" si="264"/>
        <v>8</v>
      </c>
      <c r="C2010" s="64">
        <v>42585</v>
      </c>
      <c r="D2010" s="64" t="s">
        <v>705</v>
      </c>
      <c r="E2010" s="64">
        <f t="shared" si="265"/>
        <v>42585</v>
      </c>
      <c r="F2010" s="67" t="s">
        <v>1800</v>
      </c>
      <c r="G2010" s="67" t="s">
        <v>1565</v>
      </c>
      <c r="H2010" s="73" t="s">
        <v>1948</v>
      </c>
      <c r="I2010" s="439"/>
      <c r="J2010" s="439"/>
      <c r="K2010" s="430">
        <v>30.33</v>
      </c>
      <c r="L2010" s="439">
        <v>22330</v>
      </c>
      <c r="M2010" s="1164">
        <f>ROUND(K2010*L2010,0)</f>
        <v>677269</v>
      </c>
      <c r="N2010" s="66" t="s">
        <v>101</v>
      </c>
      <c r="O2010" s="66" t="s">
        <v>266</v>
      </c>
      <c r="P2010" s="84" t="str">
        <f>IF(AND('331-CT'!$E$7=TH!H2010,OR(N2010="331",O2010="331")),"x","")</f>
        <v/>
      </c>
      <c r="Q2010" s="84" t="str">
        <f>IF(AND(B2010='111'!$L$11,OR($N2010=$Q$7,$O2010=$Q$7)),"x","")</f>
        <v/>
      </c>
      <c r="R2010" s="84" t="str">
        <f>IF(AND($N2010=$Q$7,$B2010&lt;'111'!$L$11),"x","")</f>
        <v/>
      </c>
      <c r="S2010" s="84" t="str">
        <f>IF(AND($O2010=$Q$7,$B2010&lt;'111'!$L$11),"x","")</f>
        <v/>
      </c>
      <c r="T2010" s="84" t="str">
        <f>IF(ISERROR(FIND('112'!$M$9,G2010,1)),"",IF((AND(FIND('112'!$M$9,G2010,1)&gt;=1,B2010='112'!$K$9,OR($N2010='112'!$I$6,$O2010='112'!$I$6))),"x",""))</f>
        <v/>
      </c>
      <c r="U2010" s="84" t="str">
        <f>IF(ISERROR(FIND('112'!$M$9,G2010,1)),"",IF((AND(LEFT(G2010,2)=LEFT('112'!$M$9,2),B2010&lt;'112'!$K$9,$N2010='112'!$I$6)),"x",""))</f>
        <v/>
      </c>
      <c r="V2010" s="84" t="str">
        <f>IF(ISERROR(FIND('112'!$M$9,G2010,1)),"",IF((AND(RIGHT(G2010,2)=RIGHT('112'!$M$9,2),B2010&lt;'112'!$K$9,$O2010='112'!$I$6)),"x",""))</f>
        <v/>
      </c>
      <c r="W2010" s="84" t="str">
        <f>IF(AND('341-CT'!$H$9=H2010,OR(LEFT(N2010,3)=$W$7,LEFT(O2010,3)=$W$7)),"x","")</f>
        <v/>
      </c>
      <c r="X2010" s="84" t="str">
        <f>IF(OR(TH!N2010=TH!$X$7,O2010=TH!$X$7),"x","")</f>
        <v/>
      </c>
      <c r="Y2010" s="84" t="str">
        <f>IF(AND(OR(N2010="131",O2010="131"),H2010='131-CT'!$H$9),"x","")</f>
        <v/>
      </c>
      <c r="Z2010" s="84"/>
      <c r="AA2010" s="84" t="str">
        <f>IF(AND(MONTH(E2010)='IN-NX'!$J$5,'IN-NX'!$D$7=D2010),"x","")</f>
        <v/>
      </c>
      <c r="AB2010" s="84" t="str">
        <f>IF(AND(OR(LEFT(TH!N2010,2)="15",LEFT(TH!O2010,2)="15"),LEFT(TH!O2010,3)&lt;&gt;"111",'152-CT'!$J$8=TH!F2010),"x","")</f>
        <v/>
      </c>
      <c r="AC2010" s="84" t="str">
        <f>IF(AND(OR(LEFT(TH!N2010,2)="15",LEFT(TH!O2010,2)="15"),TK!$E$7=TH!F2010),"x","")</f>
        <v/>
      </c>
      <c r="AD2010" s="84" t="str">
        <f>IF(AND(N2010="1521",MONTH(C2010)='BK-NL'!$M$11),"x","")</f>
        <v/>
      </c>
    </row>
    <row r="2011" spans="1:32" ht="15.75" hidden="1" customHeight="1">
      <c r="A2011" s="336" t="str">
        <f>IF(B2011&lt;&gt;"",IF(AND(B2011='IN-TC'!$S$4,OR(TH!N2011="1111",TH!O2011="1111")),TH!D2011,""),"")</f>
        <v/>
      </c>
      <c r="B2011" s="63">
        <f t="shared" si="264"/>
        <v>8</v>
      </c>
      <c r="C2011" s="64">
        <v>42585</v>
      </c>
      <c r="D2011" s="64" t="s">
        <v>705</v>
      </c>
      <c r="E2011" s="64">
        <f t="shared" si="265"/>
        <v>42585</v>
      </c>
      <c r="F2011" s="67" t="s">
        <v>1802</v>
      </c>
      <c r="G2011" s="67" t="s">
        <v>1565</v>
      </c>
      <c r="H2011" s="73" t="s">
        <v>1949</v>
      </c>
      <c r="I2011" s="439"/>
      <c r="J2011" s="439"/>
      <c r="K2011" s="430">
        <v>5</v>
      </c>
      <c r="L2011" s="439">
        <v>22330</v>
      </c>
      <c r="M2011" s="1164">
        <f>ROUND(K2011*L2011,0)</f>
        <v>111650</v>
      </c>
      <c r="N2011" s="66" t="s">
        <v>101</v>
      </c>
      <c r="O2011" s="66" t="s">
        <v>266</v>
      </c>
      <c r="P2011" s="84" t="str">
        <f>IF(AND('331-CT'!$E$7=TH!H2011,OR(N2011="331",O2011="331")),"x","")</f>
        <v/>
      </c>
      <c r="Q2011" s="84" t="str">
        <f>IF(AND(B2011='111'!$L$11,OR($N2011=$Q$7,$O2011=$Q$7)),"x","")</f>
        <v/>
      </c>
      <c r="R2011" s="84" t="str">
        <f>IF(AND($N2011=$Q$7,$B2011&lt;'111'!$L$11),"x","")</f>
        <v/>
      </c>
      <c r="S2011" s="84" t="str">
        <f>IF(AND($O2011=$Q$7,$B2011&lt;'111'!$L$11),"x","")</f>
        <v/>
      </c>
      <c r="T2011" s="84" t="str">
        <f>IF(ISERROR(FIND('112'!$M$9,G2011,1)),"",IF((AND(FIND('112'!$M$9,G2011,1)&gt;=1,B2011='112'!$K$9,OR($N2011='112'!$I$6,$O2011='112'!$I$6))),"x",""))</f>
        <v/>
      </c>
      <c r="U2011" s="84" t="str">
        <f>IF(ISERROR(FIND('112'!$M$9,G2011,1)),"",IF((AND(LEFT(G2011,2)=LEFT('112'!$M$9,2),B2011&lt;'112'!$K$9,$N2011='112'!$I$6)),"x",""))</f>
        <v/>
      </c>
      <c r="V2011" s="84" t="str">
        <f>IF(ISERROR(FIND('112'!$M$9,G2011,1)),"",IF((AND(RIGHT(G2011,2)=RIGHT('112'!$M$9,2),B2011&lt;'112'!$K$9,$O2011='112'!$I$6)),"x",""))</f>
        <v/>
      </c>
      <c r="W2011" s="84" t="str">
        <f>IF(AND('341-CT'!$H$9=H2011,OR(LEFT(N2011,3)=$W$7,LEFT(O2011,3)=$W$7)),"x","")</f>
        <v/>
      </c>
      <c r="X2011" s="84" t="str">
        <f>IF(OR(TH!N2011=TH!$X$7,O2011=TH!$X$7),"x","")</f>
        <v/>
      </c>
      <c r="Y2011" s="84" t="str">
        <f>IF(AND(OR(N2011="131",O2011="131"),H2011='131-CT'!$H$9),"x","")</f>
        <v/>
      </c>
      <c r="Z2011" s="84"/>
      <c r="AA2011" s="84" t="str">
        <f>IF(AND(MONTH(E2011)='IN-NX'!$J$5,'IN-NX'!$D$7=D2011),"x","")</f>
        <v/>
      </c>
      <c r="AB2011" s="84" t="str">
        <f>IF(AND(OR(LEFT(TH!N2011,2)="15",LEFT(TH!O2011,2)="15"),LEFT(TH!O2011,3)&lt;&gt;"111",'152-CT'!$J$8=TH!F2011),"x","")</f>
        <v/>
      </c>
      <c r="AC2011" s="84" t="str">
        <f>IF(AND(OR(LEFT(TH!N2011,2)="15",LEFT(TH!O2011,2)="15"),TK!$E$7=TH!F2011),"x","")</f>
        <v/>
      </c>
      <c r="AD2011" s="84" t="str">
        <f>IF(AND(N2011="1521",MONTH(C2011)='BK-NL'!$M$11),"x","")</f>
        <v/>
      </c>
    </row>
    <row r="2012" spans="1:32" s="351" customFormat="1" ht="15.75" hidden="1" customHeight="1">
      <c r="A2012" s="336" t="str">
        <f>IF(B2012&lt;&gt;"",IF(AND(B2012='IN-TC'!$S$4,OR(TH!N2012="1111",TH!O2012="1111")),TH!D2012,""),"")</f>
        <v/>
      </c>
      <c r="B2012" s="63">
        <f t="shared" si="264"/>
        <v>8</v>
      </c>
      <c r="C2012" s="64">
        <v>42586</v>
      </c>
      <c r="D2012" s="64" t="s">
        <v>1805</v>
      </c>
      <c r="E2012" s="64">
        <f t="shared" si="265"/>
        <v>42586</v>
      </c>
      <c r="F2012" s="67" t="s">
        <v>1146</v>
      </c>
      <c r="G2012" s="67" t="s">
        <v>918</v>
      </c>
      <c r="H2012" s="73"/>
      <c r="I2012" s="439"/>
      <c r="J2012" s="439"/>
      <c r="K2012" s="430"/>
      <c r="L2012" s="439"/>
      <c r="M2012" s="65">
        <v>1189000000</v>
      </c>
      <c r="N2012" s="66" t="s">
        <v>63</v>
      </c>
      <c r="O2012" s="66" t="s">
        <v>26</v>
      </c>
      <c r="P2012" s="84" t="str">
        <f>IF(AND('331-CT'!$E$7=TH!H2012,OR(N2012="331",O2012="331")),"x","")</f>
        <v/>
      </c>
      <c r="Q2012" s="84" t="str">
        <f>IF(AND(B2012='111'!$L$11,OR($N2012=$Q$7,$O2012=$Q$7)),"x","")</f>
        <v/>
      </c>
      <c r="R2012" s="84" t="str">
        <f>IF(AND($N2012=$Q$7,$B2012&lt;'111'!$L$11),"x","")</f>
        <v/>
      </c>
      <c r="S2012" s="84" t="str">
        <f>IF(AND($O2012=$Q$7,$B2012&lt;'111'!$L$11),"x","")</f>
        <v/>
      </c>
      <c r="T2012" s="84" t="str">
        <f>IF(ISERROR(FIND('112'!$M$9,G2012,1)),"",IF((AND(FIND('112'!$M$9,G2012,1)&gt;=1,B2012='112'!$K$9,OR($N2012='112'!$I$6,$O2012='112'!$I$6))),"x",""))</f>
        <v/>
      </c>
      <c r="U2012" s="84" t="str">
        <f>IF(ISERROR(FIND('112'!$M$9,G2012,1)),"",IF((AND(LEFT(G2012,2)=LEFT('112'!$M$9,2),B2012&lt;'112'!$K$9,$N2012='112'!$I$6)),"x",""))</f>
        <v/>
      </c>
      <c r="V2012" s="84" t="str">
        <f>IF(ISERROR(FIND('112'!$M$9,G2012,1)),"",IF((AND(RIGHT(G2012,2)=RIGHT('112'!$M$9,2),B2012&lt;'112'!$K$9,$O2012='112'!$I$6)),"x",""))</f>
        <v/>
      </c>
      <c r="W2012" s="84" t="str">
        <f>IF(AND('341-CT'!$H$9=H2012,OR(LEFT(N2012,3)=$W$7,LEFT(O2012,3)=$W$7)),"x","")</f>
        <v/>
      </c>
      <c r="X2012" s="84" t="str">
        <f>IF(OR(TH!N2012=TH!$X$7,O2012=TH!$X$7),"x","")</f>
        <v/>
      </c>
      <c r="Y2012" s="84" t="str">
        <f>IF(AND(OR(N2012="131",O2012="131"),H2012='131-CT'!$H$9),"x","")</f>
        <v/>
      </c>
      <c r="Z2012" s="84"/>
      <c r="AA2012" s="84" t="str">
        <f>IF(AND(MONTH(E2012)='IN-NX'!$J$5,'IN-NX'!$D$7=D2012),"x","")</f>
        <v/>
      </c>
      <c r="AB2012" s="84" t="str">
        <f>IF(AND(OR(LEFT(TH!N2012,2)="15",LEFT(TH!O2012,2)="15"),LEFT(TH!O2012,3)&lt;&gt;"111",'152-CT'!$J$8=TH!F2012),"x","")</f>
        <v/>
      </c>
      <c r="AC2012" s="84" t="str">
        <f>IF(AND(OR(LEFT(TH!N2012,2)="15",LEFT(TH!O2012,2)="15"),TK!$E$7=TH!F2012),"x","")</f>
        <v/>
      </c>
      <c r="AD2012" s="84" t="str">
        <f>IF(AND(N2012="1521",MONTH(C2012)='BK-NL'!$M$11),"x","")</f>
        <v/>
      </c>
    </row>
    <row r="2013" spans="1:32" s="351" customFormat="1" ht="15.75" hidden="1" customHeight="1">
      <c r="A2013" s="336" t="str">
        <f>IF(B2013&lt;&gt;"",IF(AND(B2013='IN-TC'!$S$4,OR(TH!N2013="1111",TH!O2013="1111")),TH!D2013,""),"")</f>
        <v/>
      </c>
      <c r="B2013" s="63">
        <f t="shared" si="264"/>
        <v>8</v>
      </c>
      <c r="C2013" s="64">
        <v>42586</v>
      </c>
      <c r="D2013" s="64" t="s">
        <v>870</v>
      </c>
      <c r="E2013" s="64">
        <f t="shared" si="265"/>
        <v>42586</v>
      </c>
      <c r="F2013" s="67" t="s">
        <v>1107</v>
      </c>
      <c r="G2013" s="67" t="s">
        <v>919</v>
      </c>
      <c r="H2013" s="73" t="s">
        <v>763</v>
      </c>
      <c r="I2013" s="439"/>
      <c r="J2013" s="439"/>
      <c r="K2013" s="430"/>
      <c r="L2013" s="439"/>
      <c r="M2013" s="65">
        <v>160000000</v>
      </c>
      <c r="N2013" s="66" t="s">
        <v>26</v>
      </c>
      <c r="O2013" s="66" t="s">
        <v>63</v>
      </c>
      <c r="P2013" s="84" t="str">
        <f>IF(AND('331-CT'!$E$7=TH!H2013,OR(N2013="331",O2013="331")),"x","")</f>
        <v/>
      </c>
      <c r="Q2013" s="84" t="str">
        <f>IF(AND(B2013='111'!$L$11,OR($N2013=$Q$7,$O2013=$Q$7)),"x","")</f>
        <v/>
      </c>
      <c r="R2013" s="84" t="str">
        <f>IF(AND($N2013=$Q$7,$B2013&lt;'111'!$L$11),"x","")</f>
        <v/>
      </c>
      <c r="S2013" s="84" t="str">
        <f>IF(AND($O2013=$Q$7,$B2013&lt;'111'!$L$11),"x","")</f>
        <v/>
      </c>
      <c r="T2013" s="84" t="str">
        <f>IF(ISERROR(FIND('112'!$M$9,G2013,1)),"",IF((AND(FIND('112'!$M$9,G2013,1)&gt;=1,B2013='112'!$K$9,OR($N2013='112'!$I$6,$O2013='112'!$I$6))),"x",""))</f>
        <v/>
      </c>
      <c r="U2013" s="84" t="str">
        <f>IF(ISERROR(FIND('112'!$M$9,G2013,1)),"",IF((AND(LEFT(G2013,2)=LEFT('112'!$M$9,2),B2013&lt;'112'!$K$9,$N2013='112'!$I$6)),"x",""))</f>
        <v/>
      </c>
      <c r="V2013" s="84" t="str">
        <f>IF(ISERROR(FIND('112'!$M$9,G2013,1)),"",IF((AND(RIGHT(G2013,2)=RIGHT('112'!$M$9,2),B2013&lt;'112'!$K$9,$O2013='112'!$I$6)),"x",""))</f>
        <v/>
      </c>
      <c r="W2013" s="84" t="str">
        <f>IF(AND('341-CT'!$H$9=H2013,OR(LEFT(N2013,3)=$W$7,LEFT(O2013,3)=$W$7)),"x","")</f>
        <v/>
      </c>
      <c r="X2013" s="84" t="str">
        <f>IF(OR(TH!N2013=TH!$X$7,O2013=TH!$X$7),"x","")</f>
        <v/>
      </c>
      <c r="Y2013" s="84" t="str">
        <f>IF(AND(OR(N2013="131",O2013="131"),H2013='131-CT'!$H$9),"x","")</f>
        <v/>
      </c>
      <c r="Z2013" s="84"/>
      <c r="AA2013" s="84" t="str">
        <f>IF(AND(MONTH(E2013)='IN-NX'!$J$5,'IN-NX'!$D$7=D2013),"x","")</f>
        <v/>
      </c>
      <c r="AB2013" s="84" t="str">
        <f>IF(AND(OR(LEFT(TH!N2013,2)="15",LEFT(TH!O2013,2)="15"),LEFT(TH!O2013,3)&lt;&gt;"111",'152-CT'!$J$8=TH!F2013),"x","")</f>
        <v/>
      </c>
      <c r="AC2013" s="84" t="str">
        <f>IF(AND(OR(LEFT(TH!N2013,2)="15",LEFT(TH!O2013,2)="15"),TK!$E$7=TH!F2013),"x","")</f>
        <v/>
      </c>
      <c r="AD2013" s="84" t="str">
        <f>IF(AND(N2013="1521",MONTH(C2013)='BK-NL'!$M$11),"x","")</f>
        <v/>
      </c>
    </row>
    <row r="2014" spans="1:32" s="351" customFormat="1" ht="15.75" hidden="1" customHeight="1">
      <c r="A2014" s="336" t="str">
        <f>IF(B2014&lt;&gt;"",IF(AND(B2014='IN-TC'!$S$4,OR(TH!N2014="1111",TH!O2014="1111")),TH!D2014,""),"")</f>
        <v/>
      </c>
      <c r="B2014" s="63">
        <f t="shared" si="264"/>
        <v>8</v>
      </c>
      <c r="C2014" s="64">
        <v>42586</v>
      </c>
      <c r="D2014" s="64" t="s">
        <v>871</v>
      </c>
      <c r="E2014" s="64">
        <f t="shared" si="265"/>
        <v>42586</v>
      </c>
      <c r="F2014" s="67" t="s">
        <v>1107</v>
      </c>
      <c r="G2014" s="67" t="s">
        <v>918</v>
      </c>
      <c r="H2014" s="73" t="s">
        <v>763</v>
      </c>
      <c r="I2014" s="439"/>
      <c r="J2014" s="439"/>
      <c r="K2014" s="430"/>
      <c r="L2014" s="439"/>
      <c r="M2014" s="65">
        <v>170000000</v>
      </c>
      <c r="N2014" s="66" t="s">
        <v>26</v>
      </c>
      <c r="O2014" s="66" t="s">
        <v>63</v>
      </c>
      <c r="P2014" s="84" t="str">
        <f>IF(AND('331-CT'!$E$7=TH!H2014,OR(N2014="331",O2014="331")),"x","")</f>
        <v/>
      </c>
      <c r="Q2014" s="84" t="str">
        <f>IF(AND(B2014='111'!$L$11,OR($N2014=$Q$7,$O2014=$Q$7)),"x","")</f>
        <v/>
      </c>
      <c r="R2014" s="84" t="str">
        <f>IF(AND($N2014=$Q$7,$B2014&lt;'111'!$L$11),"x","")</f>
        <v/>
      </c>
      <c r="S2014" s="84" t="str">
        <f>IF(AND($O2014=$Q$7,$B2014&lt;'111'!$L$11),"x","")</f>
        <v/>
      </c>
      <c r="T2014" s="84" t="str">
        <f>IF(ISERROR(FIND('112'!$M$9,G2014,1)),"",IF((AND(FIND('112'!$M$9,G2014,1)&gt;=1,B2014='112'!$K$9,OR($N2014='112'!$I$6,$O2014='112'!$I$6))),"x",""))</f>
        <v/>
      </c>
      <c r="U2014" s="84" t="str">
        <f>IF(ISERROR(FIND('112'!$M$9,G2014,1)),"",IF((AND(LEFT(G2014,2)=LEFT('112'!$M$9,2),B2014&lt;'112'!$K$9,$N2014='112'!$I$6)),"x",""))</f>
        <v/>
      </c>
      <c r="V2014" s="84" t="str">
        <f>IF(ISERROR(FIND('112'!$M$9,G2014,1)),"",IF((AND(RIGHT(G2014,2)=RIGHT('112'!$M$9,2),B2014&lt;'112'!$K$9,$O2014='112'!$I$6)),"x",""))</f>
        <v/>
      </c>
      <c r="W2014" s="84" t="str">
        <f>IF(AND('341-CT'!$H$9=H2014,OR(LEFT(N2014,3)=$W$7,LEFT(O2014,3)=$W$7)),"x","")</f>
        <v/>
      </c>
      <c r="X2014" s="84" t="str">
        <f>IF(OR(TH!N2014=TH!$X$7,O2014=TH!$X$7),"x","")</f>
        <v/>
      </c>
      <c r="Y2014" s="84" t="str">
        <f>IF(AND(OR(N2014="131",O2014="131"),H2014='131-CT'!$H$9),"x","")</f>
        <v/>
      </c>
      <c r="Z2014" s="84"/>
      <c r="AA2014" s="84" t="str">
        <f>IF(AND(MONTH(E2014)='IN-NX'!$J$5,'IN-NX'!$D$7=D2014),"x","")</f>
        <v/>
      </c>
      <c r="AB2014" s="84" t="str">
        <f>IF(AND(OR(LEFT(TH!N2014,2)="15",LEFT(TH!O2014,2)="15"),LEFT(TH!O2014,3)&lt;&gt;"111",'152-CT'!$J$8=TH!F2014),"x","")</f>
        <v/>
      </c>
      <c r="AC2014" s="84" t="str">
        <f>IF(AND(OR(LEFT(TH!N2014,2)="15",LEFT(TH!O2014,2)="15"),TK!$E$7=TH!F2014),"x","")</f>
        <v/>
      </c>
      <c r="AD2014" s="84" t="str">
        <f>IF(AND(N2014="1521",MONTH(C2014)='BK-NL'!$M$11),"x","")</f>
        <v/>
      </c>
    </row>
    <row r="2015" spans="1:32" s="351" customFormat="1" ht="15.75" hidden="1" customHeight="1">
      <c r="A2015" s="336" t="str">
        <f>IF(B2015&lt;&gt;"",IF(AND(B2015='IN-TC'!$S$4,OR(TH!N2015="1111",TH!O2015="1111")),TH!D2015,""),"")</f>
        <v/>
      </c>
      <c r="B2015" s="63">
        <f t="shared" si="264"/>
        <v>8</v>
      </c>
      <c r="C2015" s="64">
        <v>42606</v>
      </c>
      <c r="D2015" s="64" t="s">
        <v>888</v>
      </c>
      <c r="E2015" s="64">
        <f t="shared" si="265"/>
        <v>42606</v>
      </c>
      <c r="F2015" s="67" t="s">
        <v>1107</v>
      </c>
      <c r="G2015" s="67" t="s">
        <v>918</v>
      </c>
      <c r="H2015" s="73" t="s">
        <v>763</v>
      </c>
      <c r="I2015" s="439"/>
      <c r="J2015" s="439"/>
      <c r="K2015" s="430"/>
      <c r="L2015" s="439"/>
      <c r="M2015" s="65">
        <v>50000000</v>
      </c>
      <c r="N2015" s="66" t="s">
        <v>26</v>
      </c>
      <c r="O2015" s="66" t="s">
        <v>63</v>
      </c>
      <c r="P2015" s="84" t="str">
        <f>IF(AND('331-CT'!$E$7=TH!H2015,OR(N2015="331",O2015="331")),"x","")</f>
        <v/>
      </c>
      <c r="Q2015" s="84" t="str">
        <f>IF(AND(B2015='111'!$L$11,OR($N2015=$Q$7,$O2015=$Q$7)),"x","")</f>
        <v/>
      </c>
      <c r="R2015" s="84" t="str">
        <f>IF(AND($N2015=$Q$7,$B2015&lt;'111'!$L$11),"x","")</f>
        <v/>
      </c>
      <c r="S2015" s="84" t="str">
        <f>IF(AND($O2015=$Q$7,$B2015&lt;'111'!$L$11),"x","")</f>
        <v/>
      </c>
      <c r="T2015" s="84" t="str">
        <f>IF(ISERROR(FIND('112'!$M$9,G2015,1)),"",IF((AND(FIND('112'!$M$9,G2015,1)&gt;=1,B2015='112'!$K$9,OR($N2015='112'!$I$6,$O2015='112'!$I$6))),"x",""))</f>
        <v/>
      </c>
      <c r="U2015" s="84" t="str">
        <f>IF(ISERROR(FIND('112'!$M$9,G2015,1)),"",IF((AND(LEFT(G2015,2)=LEFT('112'!$M$9,2),B2015&lt;'112'!$K$9,$N2015='112'!$I$6)),"x",""))</f>
        <v/>
      </c>
      <c r="V2015" s="84" t="str">
        <f>IF(ISERROR(FIND('112'!$M$9,G2015,1)),"",IF((AND(RIGHT(G2015,2)=RIGHT('112'!$M$9,2),B2015&lt;'112'!$K$9,$O2015='112'!$I$6)),"x",""))</f>
        <v/>
      </c>
      <c r="W2015" s="84" t="str">
        <f>IF(AND('341-CT'!$H$9=H2015,OR(LEFT(N2015,3)=$W$7,LEFT(O2015,3)=$W$7)),"x","")</f>
        <v/>
      </c>
      <c r="X2015" s="84" t="str">
        <f>IF(OR(TH!N2015=TH!$X$7,O2015=TH!$X$7),"x","")</f>
        <v/>
      </c>
      <c r="Y2015" s="84" t="str">
        <f>IF(AND(OR(N2015="131",O2015="131"),H2015='131-CT'!$H$9),"x","")</f>
        <v/>
      </c>
      <c r="Z2015" s="84"/>
      <c r="AA2015" s="84" t="str">
        <f>IF(AND(MONTH(E2015)='IN-NX'!$J$5,'IN-NX'!$D$7=D2015),"x","")</f>
        <v/>
      </c>
      <c r="AB2015" s="84" t="str">
        <f>IF(AND(OR(LEFT(TH!N2015,2)="15",LEFT(TH!O2015,2)="15"),LEFT(TH!O2015,3)&lt;&gt;"111",'152-CT'!$J$8=TH!F2015),"x","")</f>
        <v/>
      </c>
      <c r="AC2015" s="84" t="str">
        <f>IF(AND(OR(LEFT(TH!N2015,2)="15",LEFT(TH!O2015,2)="15"),TK!$E$7=TH!F2015),"x","")</f>
        <v/>
      </c>
      <c r="AD2015" s="84" t="str">
        <f>IF(AND(N2015="1521",MONTH(C2015)='BK-NL'!$M$11),"x","")</f>
        <v/>
      </c>
    </row>
    <row r="2016" spans="1:32" s="351" customFormat="1" ht="15.75" hidden="1" customHeight="1">
      <c r="A2016" s="336" t="str">
        <f>IF(B2016&lt;&gt;"",IF(AND(B2016='IN-TC'!$S$4,OR(TH!N2016="1111",TH!O2016="1111")),TH!D2016,""),"")</f>
        <v/>
      </c>
      <c r="B2016" s="63">
        <f t="shared" si="264"/>
        <v>8</v>
      </c>
      <c r="C2016" s="64">
        <v>42587</v>
      </c>
      <c r="D2016" s="64" t="s">
        <v>705</v>
      </c>
      <c r="E2016" s="64">
        <f t="shared" si="265"/>
        <v>42587</v>
      </c>
      <c r="F2016" s="67" t="s">
        <v>1791</v>
      </c>
      <c r="G2016" s="67" t="s">
        <v>1565</v>
      </c>
      <c r="H2016" s="73"/>
      <c r="I2016" s="439"/>
      <c r="J2016" s="439"/>
      <c r="K2016" s="430">
        <v>229.92</v>
      </c>
      <c r="L2016" s="439">
        <v>22330</v>
      </c>
      <c r="M2016" s="1164">
        <f t="shared" ref="M2016:M2026" si="266">ROUND(K2016*L2016,0)</f>
        <v>5134114</v>
      </c>
      <c r="N2016" s="66" t="s">
        <v>99</v>
      </c>
      <c r="O2016" s="66" t="s">
        <v>266</v>
      </c>
      <c r="P2016" s="84" t="str">
        <f>IF(AND('331-CT'!$E$7=TH!H2016,OR(N2016="331",O2016="331")),"x","")</f>
        <v/>
      </c>
      <c r="Q2016" s="84" t="str">
        <f>IF(AND(B2016='111'!$L$11,OR($N2016=$Q$7,$O2016=$Q$7)),"x","")</f>
        <v/>
      </c>
      <c r="R2016" s="84" t="str">
        <f>IF(AND($N2016=$Q$7,$B2016&lt;'111'!$L$11),"x","")</f>
        <v/>
      </c>
      <c r="S2016" s="84" t="str">
        <f>IF(AND($O2016=$Q$7,$B2016&lt;'111'!$L$11),"x","")</f>
        <v/>
      </c>
      <c r="T2016" s="84" t="str">
        <f>IF(ISERROR(FIND('112'!$M$9,G2016,1)),"",IF((AND(FIND('112'!$M$9,G2016,1)&gt;=1,B2016='112'!$K$9,OR($N2016='112'!$I$6,$O2016='112'!$I$6))),"x",""))</f>
        <v/>
      </c>
      <c r="U2016" s="84" t="str">
        <f>IF(ISERROR(FIND('112'!$M$9,G2016,1)),"",IF((AND(LEFT(G2016,2)=LEFT('112'!$M$9,2),B2016&lt;'112'!$K$9,$N2016='112'!$I$6)),"x",""))</f>
        <v/>
      </c>
      <c r="V2016" s="84" t="str">
        <f>IF(ISERROR(FIND('112'!$M$9,G2016,1)),"",IF((AND(RIGHT(G2016,2)=RIGHT('112'!$M$9,2),B2016&lt;'112'!$K$9,$O2016='112'!$I$6)),"x",""))</f>
        <v/>
      </c>
      <c r="W2016" s="84" t="str">
        <f>IF(AND('341-CT'!$H$9=H2016,OR(LEFT(N2016,3)=$W$7,LEFT(O2016,3)=$W$7)),"x","")</f>
        <v/>
      </c>
      <c r="X2016" s="84" t="str">
        <f>IF(OR(TH!N2016=TH!$X$7,O2016=TH!$X$7),"x","")</f>
        <v/>
      </c>
      <c r="Y2016" s="84" t="str">
        <f>IF(AND(OR(N2016="131",O2016="131"),H2016='131-CT'!$H$9),"x","")</f>
        <v/>
      </c>
      <c r="Z2016" s="84"/>
      <c r="AA2016" s="84" t="str">
        <f>IF(AND(MONTH(E2016)='IN-NX'!$J$5,'IN-NX'!$D$7=D2016),"x","")</f>
        <v/>
      </c>
      <c r="AB2016" s="84" t="str">
        <f>IF(AND(OR(LEFT(TH!N2016,2)="15",LEFT(TH!O2016,2)="15"),LEFT(TH!O2016,3)&lt;&gt;"111",'152-CT'!$J$8=TH!F2016),"x","")</f>
        <v/>
      </c>
      <c r="AC2016" s="84" t="str">
        <f>IF(AND(OR(LEFT(TH!N2016,2)="15",LEFT(TH!O2016,2)="15"),TK!$E$7=TH!F2016),"x","")</f>
        <v/>
      </c>
      <c r="AD2016" s="84" t="str">
        <f>IF(AND(N2016="1521",MONTH(C2016)='BK-NL'!$M$11),"x","")</f>
        <v/>
      </c>
      <c r="AE2016" s="330"/>
      <c r="AF2016" s="330"/>
    </row>
    <row r="2017" spans="1:30" s="351" customFormat="1" ht="15.75" hidden="1" customHeight="1">
      <c r="A2017" s="336" t="str">
        <f>IF(B2017&lt;&gt;"",IF(AND(B2017='IN-TC'!$S$4,OR(TH!N2017="1111",TH!O2017="1111")),TH!D2017,""),"")</f>
        <v/>
      </c>
      <c r="B2017" s="63">
        <f t="shared" si="264"/>
        <v>8</v>
      </c>
      <c r="C2017" s="64">
        <v>42600</v>
      </c>
      <c r="D2017" s="64" t="s">
        <v>702</v>
      </c>
      <c r="E2017" s="64">
        <f t="shared" si="265"/>
        <v>42600</v>
      </c>
      <c r="F2017" s="67" t="s">
        <v>1457</v>
      </c>
      <c r="G2017" s="67" t="s">
        <v>1565</v>
      </c>
      <c r="H2017" s="73" t="s">
        <v>1900</v>
      </c>
      <c r="I2017" s="439"/>
      <c r="J2017" s="439"/>
      <c r="K2017" s="430">
        <v>83392.5</v>
      </c>
      <c r="L2017" s="439">
        <v>22300</v>
      </c>
      <c r="M2017" s="65">
        <f t="shared" si="266"/>
        <v>1859652750</v>
      </c>
      <c r="N2017" s="66" t="s">
        <v>266</v>
      </c>
      <c r="O2017" s="66" t="s">
        <v>588</v>
      </c>
      <c r="P2017" s="84" t="str">
        <f>IF(AND('331-CT'!$E$7=TH!H2017,OR(N2017="331",O2017="331")),"x","")</f>
        <v/>
      </c>
      <c r="Q2017" s="84" t="str">
        <f>IF(AND(B2017='111'!$L$11,OR($N2017=$Q$7,$O2017=$Q$7)),"x","")</f>
        <v/>
      </c>
      <c r="R2017" s="84" t="str">
        <f>IF(AND($N2017=$Q$7,$B2017&lt;'111'!$L$11),"x","")</f>
        <v/>
      </c>
      <c r="S2017" s="84" t="str">
        <f>IF(AND($O2017=$Q$7,$B2017&lt;'111'!$L$11),"x","")</f>
        <v/>
      </c>
      <c r="T2017" s="84" t="str">
        <f>IF(ISERROR(FIND('112'!$M$9,G2017,1)),"",IF((AND(FIND('112'!$M$9,G2017,1)&gt;=1,B2017='112'!$K$9,OR($N2017='112'!$I$6,$O2017='112'!$I$6))),"x",""))</f>
        <v/>
      </c>
      <c r="U2017" s="84" t="str">
        <f>IF(ISERROR(FIND('112'!$M$9,G2017,1)),"",IF((AND(LEFT(G2017,2)=LEFT('112'!$M$9,2),B2017&lt;'112'!$K$9,$N2017='112'!$I$6)),"x",""))</f>
        <v/>
      </c>
      <c r="V2017" s="84" t="str">
        <f>IF(ISERROR(FIND('112'!$M$9,G2017,1)),"",IF((AND(RIGHT(G2017,2)=RIGHT('112'!$M$9,2),B2017&lt;'112'!$K$9,$O2017='112'!$I$6)),"x",""))</f>
        <v/>
      </c>
      <c r="W2017" s="84" t="str">
        <f>IF(AND('341-CT'!$H$9=H2017,OR(LEFT(N2017,3)=$W$7,LEFT(O2017,3)=$W$7)),"x","")</f>
        <v/>
      </c>
      <c r="X2017" s="84" t="str">
        <f>IF(OR(TH!N2017=TH!$X$7,O2017=TH!$X$7),"x","")</f>
        <v/>
      </c>
      <c r="Y2017" s="84" t="str">
        <f>IF(AND(OR(N2017="131",O2017="131"),H2017='131-CT'!$H$9),"x","")</f>
        <v/>
      </c>
      <c r="Z2017" s="84"/>
      <c r="AA2017" s="84" t="str">
        <f>IF(AND(MONTH(E2017)='IN-NX'!$J$5,'IN-NX'!$D$7=D2017),"x","")</f>
        <v/>
      </c>
      <c r="AB2017" s="84" t="str">
        <f>IF(AND(OR(LEFT(TH!N2017,2)="15",LEFT(TH!O2017,2)="15"),LEFT(TH!O2017,3)&lt;&gt;"111",'152-CT'!$J$8=TH!F2017),"x","")</f>
        <v/>
      </c>
      <c r="AC2017" s="84" t="str">
        <f>IF(AND(OR(LEFT(TH!N2017,2)="15",LEFT(TH!O2017,2)="15"),TK!$E$7=TH!F2017),"x","")</f>
        <v/>
      </c>
      <c r="AD2017" s="84" t="str">
        <f>IF(AND(N2017="1521",MONTH(C2017)='BK-NL'!$M$11),"x","")</f>
        <v/>
      </c>
    </row>
    <row r="2018" spans="1:30" s="351" customFormat="1" ht="15.75" hidden="1" customHeight="1">
      <c r="A2018" s="336" t="str">
        <f>IF(B2018&lt;&gt;"",IF(AND(B2018='IN-TC'!$S$4,OR(TH!N2018="1111",TH!O2018="1111")),TH!D2018,""),"")</f>
        <v/>
      </c>
      <c r="B2018" s="63">
        <f t="shared" si="264"/>
        <v>8</v>
      </c>
      <c r="C2018" s="64">
        <v>42600</v>
      </c>
      <c r="D2018" s="64" t="s">
        <v>705</v>
      </c>
      <c r="E2018" s="64">
        <f t="shared" si="265"/>
        <v>42600</v>
      </c>
      <c r="F2018" s="67" t="s">
        <v>1802</v>
      </c>
      <c r="G2018" s="67" t="s">
        <v>1565</v>
      </c>
      <c r="H2018" s="73"/>
      <c r="I2018" s="439"/>
      <c r="J2018" s="439"/>
      <c r="K2018" s="430">
        <v>45.87</v>
      </c>
      <c r="L2018" s="439">
        <v>22300</v>
      </c>
      <c r="M2018" s="65">
        <f t="shared" si="266"/>
        <v>1022901</v>
      </c>
      <c r="N2018" s="66" t="s">
        <v>101</v>
      </c>
      <c r="O2018" s="66" t="s">
        <v>266</v>
      </c>
      <c r="P2018" s="84" t="str">
        <f>IF(AND('331-CT'!$E$7=TH!H2018,OR(N2018="331",O2018="331")),"x","")</f>
        <v/>
      </c>
      <c r="Q2018" s="84" t="str">
        <f>IF(AND(B2018='111'!$L$11,OR($N2018=$Q$7,$O2018=$Q$7)),"x","")</f>
        <v/>
      </c>
      <c r="R2018" s="84" t="str">
        <f>IF(AND($N2018=$Q$7,$B2018&lt;'111'!$L$11),"x","")</f>
        <v/>
      </c>
      <c r="S2018" s="84" t="str">
        <f>IF(AND($O2018=$Q$7,$B2018&lt;'111'!$L$11),"x","")</f>
        <v/>
      </c>
      <c r="T2018" s="84" t="str">
        <f>IF(ISERROR(FIND('112'!$M$9,G2018,1)),"",IF((AND(FIND('112'!$M$9,G2018,1)&gt;=1,B2018='112'!$K$9,OR($N2018='112'!$I$6,$O2018='112'!$I$6))),"x",""))</f>
        <v/>
      </c>
      <c r="U2018" s="84" t="str">
        <f>IF(ISERROR(FIND('112'!$M$9,G2018,1)),"",IF((AND(LEFT(G2018,2)=LEFT('112'!$M$9,2),B2018&lt;'112'!$K$9,$N2018='112'!$I$6)),"x",""))</f>
        <v/>
      </c>
      <c r="V2018" s="84" t="str">
        <f>IF(ISERROR(FIND('112'!$M$9,G2018,1)),"",IF((AND(RIGHT(G2018,2)=RIGHT('112'!$M$9,2),B2018&lt;'112'!$K$9,$O2018='112'!$I$6)),"x",""))</f>
        <v/>
      </c>
      <c r="W2018" s="84" t="str">
        <f>IF(AND('341-CT'!$H$9=H2018,OR(LEFT(N2018,3)=$W$7,LEFT(O2018,3)=$W$7)),"x","")</f>
        <v/>
      </c>
      <c r="X2018" s="84" t="str">
        <f>IF(OR(TH!N2018=TH!$X$7,O2018=TH!$X$7),"x","")</f>
        <v/>
      </c>
      <c r="Y2018" s="84" t="str">
        <f>IF(AND(OR(N2018="131",O2018="131"),H2018='131-CT'!$H$9),"x","")</f>
        <v/>
      </c>
      <c r="Z2018" s="84"/>
      <c r="AA2018" s="84" t="str">
        <f>IF(AND(MONTH(E2018)='IN-NX'!$J$5,'IN-NX'!$D$7=D2018),"x","")</f>
        <v/>
      </c>
      <c r="AB2018" s="84" t="str">
        <f>IF(AND(OR(LEFT(TH!N2018,2)="15",LEFT(TH!O2018,2)="15"),LEFT(TH!O2018,3)&lt;&gt;"111",'152-CT'!$J$8=TH!F2018),"x","")</f>
        <v/>
      </c>
      <c r="AC2018" s="84" t="str">
        <f>IF(AND(OR(LEFT(TH!N2018,2)="15",LEFT(TH!O2018,2)="15"),TK!$E$7=TH!F2018),"x","")</f>
        <v/>
      </c>
      <c r="AD2018" s="84" t="str">
        <f>IF(AND(N2018="1521",MONTH(C2018)='BK-NL'!$M$11),"x","")</f>
        <v/>
      </c>
    </row>
    <row r="2019" spans="1:30" s="351" customFormat="1" ht="15.75" hidden="1" customHeight="1">
      <c r="A2019" s="336" t="str">
        <f>IF(B2019&lt;&gt;"",IF(AND(B2019='IN-TC'!$S$4,OR(TH!N2019="1111",TH!O2019="1111")),TH!D2019,""),"")</f>
        <v/>
      </c>
      <c r="B2019" s="63">
        <f t="shared" si="264"/>
        <v>8</v>
      </c>
      <c r="C2019" s="64">
        <v>42600</v>
      </c>
      <c r="D2019" s="64" t="s">
        <v>705</v>
      </c>
      <c r="E2019" s="64">
        <f t="shared" si="265"/>
        <v>42600</v>
      </c>
      <c r="F2019" s="67" t="s">
        <v>1443</v>
      </c>
      <c r="G2019" s="67" t="s">
        <v>1565</v>
      </c>
      <c r="H2019" s="73" t="s">
        <v>1948</v>
      </c>
      <c r="I2019" s="439"/>
      <c r="J2019" s="439"/>
      <c r="K2019" s="430">
        <v>30.33</v>
      </c>
      <c r="L2019" s="439">
        <v>22300</v>
      </c>
      <c r="M2019" s="65">
        <f t="shared" si="266"/>
        <v>676359</v>
      </c>
      <c r="N2019" s="66" t="s">
        <v>101</v>
      </c>
      <c r="O2019" s="66" t="s">
        <v>266</v>
      </c>
      <c r="P2019" s="84" t="str">
        <f>IF(AND('331-CT'!$E$7=TH!H2019,OR(N2019="331",O2019="331")),"x","")</f>
        <v/>
      </c>
      <c r="Q2019" s="84" t="str">
        <f>IF(AND(B2019='111'!$L$11,OR($N2019=$Q$7,$O2019=$Q$7)),"x","")</f>
        <v/>
      </c>
      <c r="R2019" s="84" t="str">
        <f>IF(AND($N2019=$Q$7,$B2019&lt;'111'!$L$11),"x","")</f>
        <v/>
      </c>
      <c r="S2019" s="84" t="str">
        <f>IF(AND($O2019=$Q$7,$B2019&lt;'111'!$L$11),"x","")</f>
        <v/>
      </c>
      <c r="T2019" s="84" t="str">
        <f>IF(ISERROR(FIND('112'!$M$9,G2019,1)),"",IF((AND(FIND('112'!$M$9,G2019,1)&gt;=1,B2019='112'!$K$9,OR($N2019='112'!$I$6,$O2019='112'!$I$6))),"x",""))</f>
        <v/>
      </c>
      <c r="U2019" s="84" t="str">
        <f>IF(ISERROR(FIND('112'!$M$9,G2019,1)),"",IF((AND(LEFT(G2019,2)=LEFT('112'!$M$9,2),B2019&lt;'112'!$K$9,$N2019='112'!$I$6)),"x",""))</f>
        <v/>
      </c>
      <c r="V2019" s="84" t="str">
        <f>IF(ISERROR(FIND('112'!$M$9,G2019,1)),"",IF((AND(RIGHT(G2019,2)=RIGHT('112'!$M$9,2),B2019&lt;'112'!$K$9,$O2019='112'!$I$6)),"x",""))</f>
        <v/>
      </c>
      <c r="W2019" s="84" t="str">
        <f>IF(AND('341-CT'!$H$9=H2019,OR(LEFT(N2019,3)=$W$7,LEFT(O2019,3)=$W$7)),"x","")</f>
        <v/>
      </c>
      <c r="X2019" s="84" t="str">
        <f>IF(OR(TH!N2019=TH!$X$7,O2019=TH!$X$7),"x","")</f>
        <v/>
      </c>
      <c r="Y2019" s="84" t="str">
        <f>IF(AND(OR(N2019="131",O2019="131"),H2019='131-CT'!$H$9),"x","")</f>
        <v/>
      </c>
      <c r="Z2019" s="84"/>
      <c r="AA2019" s="84" t="str">
        <f>IF(AND(MONTH(E2019)='IN-NX'!$J$5,'IN-NX'!$D$7=D2019),"x","")</f>
        <v/>
      </c>
      <c r="AB2019" s="84" t="str">
        <f>IF(AND(OR(LEFT(TH!N2019,2)="15",LEFT(TH!O2019,2)="15"),LEFT(TH!O2019,3)&lt;&gt;"111",'152-CT'!$J$8=TH!F2019),"x","")</f>
        <v/>
      </c>
      <c r="AC2019" s="84" t="str">
        <f>IF(AND(OR(LEFT(TH!N2019,2)="15",LEFT(TH!O2019,2)="15"),TK!$E$7=TH!F2019),"x","")</f>
        <v/>
      </c>
      <c r="AD2019" s="84" t="str">
        <f>IF(AND(N2019="1521",MONTH(C2019)='BK-NL'!$M$11),"x","")</f>
        <v/>
      </c>
    </row>
    <row r="2020" spans="1:30" s="351" customFormat="1" ht="15.75" hidden="1" customHeight="1">
      <c r="A2020" s="336" t="str">
        <f>IF(B2020&lt;&gt;"",IF(AND(B2020='IN-TC'!$S$4,OR(TH!N2020="1111",TH!O2020="1111")),TH!D2020,""),"")</f>
        <v/>
      </c>
      <c r="B2020" s="63">
        <f t="shared" si="264"/>
        <v>8</v>
      </c>
      <c r="C2020" s="64">
        <v>42600</v>
      </c>
      <c r="D2020" s="64" t="s">
        <v>705</v>
      </c>
      <c r="E2020" s="64">
        <f t="shared" si="265"/>
        <v>42600</v>
      </c>
      <c r="F2020" s="67" t="s">
        <v>1802</v>
      </c>
      <c r="G2020" s="67" t="s">
        <v>1565</v>
      </c>
      <c r="H2020" s="73" t="s">
        <v>1949</v>
      </c>
      <c r="I2020" s="439"/>
      <c r="J2020" s="439"/>
      <c r="K2020" s="430">
        <v>5</v>
      </c>
      <c r="L2020" s="439">
        <v>22300</v>
      </c>
      <c r="M2020" s="65">
        <f t="shared" si="266"/>
        <v>111500</v>
      </c>
      <c r="N2020" s="66" t="s">
        <v>101</v>
      </c>
      <c r="O2020" s="66" t="s">
        <v>266</v>
      </c>
      <c r="P2020" s="84" t="str">
        <f>IF(AND('331-CT'!$E$7=TH!H2020,OR(N2020="331",O2020="331")),"x","")</f>
        <v/>
      </c>
      <c r="Q2020" s="84" t="str">
        <f>IF(AND(B2020='111'!$L$11,OR($N2020=$Q$7,$O2020=$Q$7)),"x","")</f>
        <v/>
      </c>
      <c r="R2020" s="84" t="str">
        <f>IF(AND($N2020=$Q$7,$B2020&lt;'111'!$L$11),"x","")</f>
        <v/>
      </c>
      <c r="S2020" s="84" t="str">
        <f>IF(AND($O2020=$Q$7,$B2020&lt;'111'!$L$11),"x","")</f>
        <v/>
      </c>
      <c r="T2020" s="84" t="str">
        <f>IF(ISERROR(FIND('112'!$M$9,G2020,1)),"",IF((AND(FIND('112'!$M$9,G2020,1)&gt;=1,B2020='112'!$K$9,OR($N2020='112'!$I$6,$O2020='112'!$I$6))),"x",""))</f>
        <v/>
      </c>
      <c r="U2020" s="84" t="str">
        <f>IF(ISERROR(FIND('112'!$M$9,G2020,1)),"",IF((AND(LEFT(G2020,2)=LEFT('112'!$M$9,2),B2020&lt;'112'!$K$9,$N2020='112'!$I$6)),"x",""))</f>
        <v/>
      </c>
      <c r="V2020" s="84" t="str">
        <f>IF(ISERROR(FIND('112'!$M$9,G2020,1)),"",IF((AND(RIGHT(G2020,2)=RIGHT('112'!$M$9,2),B2020&lt;'112'!$K$9,$O2020='112'!$I$6)),"x",""))</f>
        <v/>
      </c>
      <c r="W2020" s="84" t="str">
        <f>IF(AND('341-CT'!$H$9=H2020,OR(LEFT(N2020,3)=$W$7,LEFT(O2020,3)=$W$7)),"x","")</f>
        <v/>
      </c>
      <c r="X2020" s="84" t="str">
        <f>IF(OR(TH!N2020=TH!$X$7,O2020=TH!$X$7),"x","")</f>
        <v/>
      </c>
      <c r="Y2020" s="84" t="str">
        <f>IF(AND(OR(N2020="131",O2020="131"),H2020='131-CT'!$H$9),"x","")</f>
        <v/>
      </c>
      <c r="Z2020" s="84"/>
      <c r="AA2020" s="84" t="str">
        <f>IF(AND(MONTH(E2020)='IN-NX'!$J$5,'IN-NX'!$D$7=D2020),"x","")</f>
        <v/>
      </c>
      <c r="AB2020" s="84" t="str">
        <f>IF(AND(OR(LEFT(TH!N2020,2)="15",LEFT(TH!O2020,2)="15"),LEFT(TH!O2020,3)&lt;&gt;"111",'152-CT'!$J$8=TH!F2020),"x","")</f>
        <v/>
      </c>
      <c r="AC2020" s="84" t="str">
        <f>IF(AND(OR(LEFT(TH!N2020,2)="15",LEFT(TH!O2020,2)="15"),TK!$E$7=TH!F2020),"x","")</f>
        <v/>
      </c>
      <c r="AD2020" s="84" t="str">
        <f>IF(AND(N2020="1521",MONTH(C2020)='BK-NL'!$M$11),"x","")</f>
        <v/>
      </c>
    </row>
    <row r="2021" spans="1:30" s="351" customFormat="1" ht="15.75" hidden="1" customHeight="1">
      <c r="A2021" s="336" t="str">
        <f>IF(B2021&lt;&gt;"",IF(AND(B2021='IN-TC'!$S$4,OR(TH!N2021="1111",TH!O2021="1111")),TH!D2021,""),"")</f>
        <v/>
      </c>
      <c r="B2021" s="63">
        <f t="shared" si="264"/>
        <v>8</v>
      </c>
      <c r="C2021" s="64">
        <v>42606</v>
      </c>
      <c r="D2021" s="64" t="s">
        <v>702</v>
      </c>
      <c r="E2021" s="64">
        <f t="shared" si="265"/>
        <v>42606</v>
      </c>
      <c r="F2021" s="67" t="s">
        <v>1457</v>
      </c>
      <c r="G2021" s="67" t="s">
        <v>1565</v>
      </c>
      <c r="H2021" s="73" t="s">
        <v>1559</v>
      </c>
      <c r="I2021" s="439"/>
      <c r="J2021" s="439"/>
      <c r="K2021" s="430">
        <v>69830.41</v>
      </c>
      <c r="L2021" s="439">
        <v>22292</v>
      </c>
      <c r="M2021" s="65">
        <f t="shared" si="266"/>
        <v>1556659500</v>
      </c>
      <c r="N2021" s="66" t="s">
        <v>266</v>
      </c>
      <c r="O2021" s="66" t="s">
        <v>588</v>
      </c>
      <c r="P2021" s="84" t="str">
        <f>IF(AND('331-CT'!$E$7=TH!H2021,OR(N2021="331",O2021="331")),"x","")</f>
        <v/>
      </c>
      <c r="Q2021" s="84" t="str">
        <f>IF(AND(B2021='111'!$L$11,OR($N2021=$Q$7,$O2021=$Q$7)),"x","")</f>
        <v/>
      </c>
      <c r="R2021" s="84" t="str">
        <f>IF(AND($N2021=$Q$7,$B2021&lt;'111'!$L$11),"x","")</f>
        <v/>
      </c>
      <c r="S2021" s="84" t="str">
        <f>IF(AND($O2021=$Q$7,$B2021&lt;'111'!$L$11),"x","")</f>
        <v/>
      </c>
      <c r="T2021" s="84" t="str">
        <f>IF(ISERROR(FIND('112'!$M$9,G2021,1)),"",IF((AND(FIND('112'!$M$9,G2021,1)&gt;=1,B2021='112'!$K$9,OR($N2021='112'!$I$6,$O2021='112'!$I$6))),"x",""))</f>
        <v/>
      </c>
      <c r="U2021" s="84" t="str">
        <f>IF(ISERROR(FIND('112'!$M$9,G2021,1)),"",IF((AND(LEFT(G2021,2)=LEFT('112'!$M$9,2),B2021&lt;'112'!$K$9,$N2021='112'!$I$6)),"x",""))</f>
        <v/>
      </c>
      <c r="V2021" s="84" t="str">
        <f>IF(ISERROR(FIND('112'!$M$9,G2021,1)),"",IF((AND(RIGHT(G2021,2)=RIGHT('112'!$M$9,2),B2021&lt;'112'!$K$9,$O2021='112'!$I$6)),"x",""))</f>
        <v/>
      </c>
      <c r="W2021" s="84" t="str">
        <f>IF(AND('341-CT'!$H$9=H2021,OR(LEFT(N2021,3)=$W$7,LEFT(O2021,3)=$W$7)),"x","")</f>
        <v/>
      </c>
      <c r="X2021" s="84" t="str">
        <f>IF(OR(TH!N2021=TH!$X$7,O2021=TH!$X$7),"x","")</f>
        <v/>
      </c>
      <c r="Y2021" s="84" t="str">
        <f>IF(AND(OR(N2021="131",O2021="131"),H2021='131-CT'!$H$9),"x","")</f>
        <v/>
      </c>
      <c r="Z2021" s="84"/>
      <c r="AA2021" s="84" t="str">
        <f>IF(AND(MONTH(E2021)='IN-NX'!$J$5,'IN-NX'!$D$7=D2021),"x","")</f>
        <v/>
      </c>
      <c r="AB2021" s="84" t="str">
        <f>IF(AND(OR(LEFT(TH!N2021,2)="15",LEFT(TH!O2021,2)="15"),LEFT(TH!O2021,3)&lt;&gt;"111",'152-CT'!$J$8=TH!F2021),"x","")</f>
        <v/>
      </c>
      <c r="AC2021" s="84" t="str">
        <f>IF(AND(OR(LEFT(TH!N2021,2)="15",LEFT(TH!O2021,2)="15"),TK!$E$7=TH!F2021),"x","")</f>
        <v/>
      </c>
      <c r="AD2021" s="84" t="str">
        <f>IF(AND(N2021="1521",MONTH(C2021)='BK-NL'!$M$11),"x","")</f>
        <v/>
      </c>
    </row>
    <row r="2022" spans="1:30" s="351" customFormat="1" ht="15.75" hidden="1" customHeight="1">
      <c r="A2022" s="336" t="str">
        <f>IF(B2022&lt;&gt;"",IF(AND(B2022='IN-TC'!$S$4,OR(TH!N2022="1111",TH!O2022="1111")),TH!D2022,""),"")</f>
        <v/>
      </c>
      <c r="B2022" s="63">
        <f>IF(C2022&lt;&gt;"",MONTH(C2022),"")</f>
        <v>8</v>
      </c>
      <c r="C2022" s="64">
        <v>42606</v>
      </c>
      <c r="D2022" s="64" t="s">
        <v>582</v>
      </c>
      <c r="E2022" s="64">
        <f>C2022</f>
        <v>42606</v>
      </c>
      <c r="F2022" s="67" t="s">
        <v>1899</v>
      </c>
      <c r="G2022" s="67" t="s">
        <v>1565</v>
      </c>
      <c r="H2022" s="73" t="s">
        <v>1559</v>
      </c>
      <c r="I2022" s="439"/>
      <c r="J2022" s="439"/>
      <c r="K2022" s="430">
        <v>169.59</v>
      </c>
      <c r="L2022" s="439">
        <v>22292</v>
      </c>
      <c r="M2022" s="65">
        <f>ROUND(K2022*L2022,0)</f>
        <v>3780500</v>
      </c>
      <c r="N2022" s="66" t="s">
        <v>101</v>
      </c>
      <c r="O2022" s="66" t="s">
        <v>588</v>
      </c>
      <c r="P2022" s="84" t="str">
        <f>IF(AND('331-CT'!$E$7=TH!H2022,OR(N2022="331",O2022="331")),"x","")</f>
        <v/>
      </c>
      <c r="Q2022" s="84" t="str">
        <f>IF(AND(B2022='111'!$L$11,OR($N2022=$Q$7,$O2022=$Q$7)),"x","")</f>
        <v/>
      </c>
      <c r="R2022" s="84" t="str">
        <f>IF(AND($N2022=$Q$7,$B2022&lt;'111'!$L$11),"x","")</f>
        <v/>
      </c>
      <c r="S2022" s="84" t="str">
        <f>IF(AND($O2022=$Q$7,$B2022&lt;'111'!$L$11),"x","")</f>
        <v/>
      </c>
      <c r="T2022" s="84" t="str">
        <f>IF(ISERROR(FIND('112'!$M$9,G2022,1)),"",IF((AND(FIND('112'!$M$9,G2022,1)&gt;=1,B2022='112'!$K$9,OR($N2022='112'!$I$6,$O2022='112'!$I$6))),"x",""))</f>
        <v/>
      </c>
      <c r="U2022" s="84" t="str">
        <f>IF(ISERROR(FIND('112'!$M$9,G2022,1)),"",IF((AND(LEFT(G2022,2)=LEFT('112'!$M$9,2),B2022&lt;'112'!$K$9,$N2022='112'!$I$6)),"x",""))</f>
        <v/>
      </c>
      <c r="V2022" s="84" t="str">
        <f>IF(ISERROR(FIND('112'!$M$9,G2022,1)),"",IF((AND(RIGHT(G2022,2)=RIGHT('112'!$M$9,2),B2022&lt;'112'!$K$9,$O2022='112'!$I$6)),"x",""))</f>
        <v/>
      </c>
      <c r="W2022" s="84" t="str">
        <f>IF(AND('341-CT'!$H$9=H2022,OR(LEFT(N2022,3)=$W$7,LEFT(O2022,3)=$W$7)),"x","")</f>
        <v/>
      </c>
      <c r="X2022" s="84" t="str">
        <f>IF(OR(TH!N2022=TH!$X$7,O2022=TH!$X$7),"x","")</f>
        <v/>
      </c>
      <c r="Y2022" s="84" t="str">
        <f>IF(AND(OR(N2022="131",O2022="131"),H2022='131-CT'!$H$9),"x","")</f>
        <v/>
      </c>
      <c r="Z2022" s="84"/>
      <c r="AA2022" s="84" t="str">
        <f>IF(AND(MONTH(E2022)='IN-NX'!$J$5,'IN-NX'!$D$7=D2022),"x","")</f>
        <v/>
      </c>
      <c r="AB2022" s="84" t="str">
        <f>IF(AND(OR(LEFT(TH!N2022,2)="15",LEFT(TH!O2022,2)="15"),LEFT(TH!O2022,3)&lt;&gt;"111",'152-CT'!$J$8=TH!F2022),"x","")</f>
        <v/>
      </c>
      <c r="AC2022" s="84" t="str">
        <f>IF(AND(OR(LEFT(TH!N2022,2)="15",LEFT(TH!O2022,2)="15"),TK!$E$7=TH!F2022),"x","")</f>
        <v/>
      </c>
      <c r="AD2022" s="84" t="str">
        <f>IF(AND(N2022="1521",MONTH(C2022)='BK-NL'!$M$11),"x","")</f>
        <v/>
      </c>
    </row>
    <row r="2023" spans="1:30" s="351" customFormat="1" ht="15.75" hidden="1" customHeight="1">
      <c r="A2023" s="336" t="str">
        <f>IF(B2023&lt;&gt;"",IF(AND(B2023='IN-TC'!$S$4,OR(TH!N2023="1111",TH!O2023="1111")),TH!D2023,""),"")</f>
        <v/>
      </c>
      <c r="B2023" s="63">
        <f>IF(C2023&lt;&gt;"",MONTH(C2023),"")</f>
        <v>8</v>
      </c>
      <c r="C2023" s="64">
        <v>42606</v>
      </c>
      <c r="D2023" s="64" t="s">
        <v>582</v>
      </c>
      <c r="E2023" s="64">
        <f>C2023</f>
        <v>42606</v>
      </c>
      <c r="F2023" s="67" t="s">
        <v>1068</v>
      </c>
      <c r="G2023" s="67" t="s">
        <v>1565</v>
      </c>
      <c r="H2023" s="73" t="s">
        <v>1559</v>
      </c>
      <c r="I2023" s="439"/>
      <c r="J2023" s="439"/>
      <c r="K2023" s="430"/>
      <c r="L2023" s="439"/>
      <c r="M2023" s="65">
        <v>2240000</v>
      </c>
      <c r="N2023" s="66" t="s">
        <v>588</v>
      </c>
      <c r="O2023" s="66" t="s">
        <v>43</v>
      </c>
      <c r="P2023" s="84" t="str">
        <f>IF(AND('331-CT'!$E$7=TH!H2023,OR(N2023="331",O2023="331")),"x","")</f>
        <v/>
      </c>
      <c r="Q2023" s="84" t="str">
        <f>IF(AND(B2023='111'!$L$11,OR($N2023=$Q$7,$O2023=$Q$7)),"x","")</f>
        <v/>
      </c>
      <c r="R2023" s="84" t="str">
        <f>IF(AND($N2023=$Q$7,$B2023&lt;'111'!$L$11),"x","")</f>
        <v/>
      </c>
      <c r="S2023" s="84" t="str">
        <f>IF(AND($O2023=$Q$7,$B2023&lt;'111'!$L$11),"x","")</f>
        <v/>
      </c>
      <c r="T2023" s="84" t="str">
        <f>IF(ISERROR(FIND('112'!$M$9,G2023,1)),"",IF((AND(FIND('112'!$M$9,G2023,1)&gt;=1,B2023='112'!$K$9,OR($N2023='112'!$I$6,$O2023='112'!$I$6))),"x",""))</f>
        <v/>
      </c>
      <c r="U2023" s="84" t="str">
        <f>IF(ISERROR(FIND('112'!$M$9,G2023,1)),"",IF((AND(LEFT(G2023,2)=LEFT('112'!$M$9,2),B2023&lt;'112'!$K$9,$N2023='112'!$I$6)),"x",""))</f>
        <v/>
      </c>
      <c r="V2023" s="84" t="str">
        <f>IF(ISERROR(FIND('112'!$M$9,G2023,1)),"",IF((AND(RIGHT(G2023,2)=RIGHT('112'!$M$9,2),B2023&lt;'112'!$K$9,$O2023='112'!$I$6)),"x",""))</f>
        <v/>
      </c>
      <c r="W2023" s="84" t="str">
        <f>IF(AND('341-CT'!$H$9=H2023,OR(LEFT(N2023,3)=$W$7,LEFT(O2023,3)=$W$7)),"x","")</f>
        <v/>
      </c>
      <c r="X2023" s="84" t="str">
        <f>IF(OR(TH!N2023=TH!$X$7,O2023=TH!$X$7),"x","")</f>
        <v/>
      </c>
      <c r="Y2023" s="84" t="str">
        <f>IF(AND(OR(N2023="131",O2023="131"),H2023='131-CT'!$H$9),"x","")</f>
        <v/>
      </c>
      <c r="Z2023" s="84"/>
      <c r="AA2023" s="84" t="str">
        <f>IF(AND(MONTH(E2023)='IN-NX'!$J$5,'IN-NX'!$D$7=D2023),"x","")</f>
        <v/>
      </c>
      <c r="AB2023" s="84" t="str">
        <f>IF(AND(OR(LEFT(TH!N2023,2)="15",LEFT(TH!O2023,2)="15"),LEFT(TH!O2023,3)&lt;&gt;"111",'152-CT'!$J$8=TH!F2023),"x","")</f>
        <v/>
      </c>
      <c r="AC2023" s="84" t="str">
        <f>IF(AND(OR(LEFT(TH!N2023,2)="15",LEFT(TH!O2023,2)="15"),TK!$E$7=TH!F2023),"x","")</f>
        <v/>
      </c>
      <c r="AD2023" s="84" t="str">
        <f>IF(AND(N2023="1521",MONTH(C2023)='BK-NL'!$M$11),"x","")</f>
        <v/>
      </c>
    </row>
    <row r="2024" spans="1:30" s="351" customFormat="1" ht="15.75" hidden="1" customHeight="1">
      <c r="A2024" s="336" t="str">
        <f>IF(B2024&lt;&gt;"",IF(AND(B2024='IN-TC'!$S$4,OR(TH!N2024="1111",TH!O2024="1111")),TH!D2024,""),"")</f>
        <v/>
      </c>
      <c r="B2024" s="63">
        <f t="shared" si="264"/>
        <v>8</v>
      </c>
      <c r="C2024" s="64">
        <v>42606</v>
      </c>
      <c r="D2024" s="64" t="s">
        <v>705</v>
      </c>
      <c r="E2024" s="64">
        <f t="shared" si="265"/>
        <v>42606</v>
      </c>
      <c r="F2024" s="67" t="s">
        <v>1947</v>
      </c>
      <c r="G2024" s="67" t="s">
        <v>1565</v>
      </c>
      <c r="H2024" s="73" t="s">
        <v>1948</v>
      </c>
      <c r="I2024" s="439"/>
      <c r="J2024" s="439"/>
      <c r="K2024" s="430">
        <v>63000</v>
      </c>
      <c r="L2024" s="439">
        <v>22292</v>
      </c>
      <c r="M2024" s="65">
        <f t="shared" si="266"/>
        <v>1404396000</v>
      </c>
      <c r="N2024" s="66" t="s">
        <v>260</v>
      </c>
      <c r="O2024" s="66" t="s">
        <v>266</v>
      </c>
      <c r="P2024" s="84" t="str">
        <f>IF(AND('331-CT'!$E$7=TH!H2024,OR(N2024="331",O2024="331")),"x","")</f>
        <v/>
      </c>
      <c r="Q2024" s="84" t="str">
        <f>IF(AND(B2024='111'!$L$11,OR($N2024=$Q$7,$O2024=$Q$7)),"x","")</f>
        <v/>
      </c>
      <c r="R2024" s="84" t="str">
        <f>IF(AND($N2024=$Q$7,$B2024&lt;'111'!$L$11),"x","")</f>
        <v/>
      </c>
      <c r="S2024" s="84" t="str">
        <f>IF(AND($O2024=$Q$7,$B2024&lt;'111'!$L$11),"x","")</f>
        <v/>
      </c>
      <c r="T2024" s="84" t="str">
        <f>IF(ISERROR(FIND('112'!$M$9,G2024,1)),"",IF((AND(FIND('112'!$M$9,G2024,1)&gt;=1,B2024='112'!$K$9,OR($N2024='112'!$I$6,$O2024='112'!$I$6))),"x",""))</f>
        <v/>
      </c>
      <c r="U2024" s="84" t="str">
        <f>IF(ISERROR(FIND('112'!$M$9,G2024,1)),"",IF((AND(LEFT(G2024,2)=LEFT('112'!$M$9,2),B2024&lt;'112'!$K$9,$N2024='112'!$I$6)),"x",""))</f>
        <v/>
      </c>
      <c r="V2024" s="84" t="str">
        <f>IF(ISERROR(FIND('112'!$M$9,G2024,1)),"",IF((AND(RIGHT(G2024,2)=RIGHT('112'!$M$9,2),B2024&lt;'112'!$K$9,$O2024='112'!$I$6)),"x",""))</f>
        <v/>
      </c>
      <c r="W2024" s="84" t="str">
        <f>IF(AND('341-CT'!$H$9=H2024,OR(LEFT(N2024,3)=$W$7,LEFT(O2024,3)=$W$7)),"x","")</f>
        <v/>
      </c>
      <c r="X2024" s="84" t="str">
        <f>IF(OR(TH!N2024=TH!$X$7,O2024=TH!$X$7),"x","")</f>
        <v/>
      </c>
      <c r="Y2024" s="84" t="str">
        <f>IF(AND(OR(N2024="131",O2024="131"),H2024='131-CT'!$H$9),"x","")</f>
        <v/>
      </c>
      <c r="Z2024" s="84"/>
      <c r="AA2024" s="84" t="str">
        <f>IF(AND(MONTH(E2024)='IN-NX'!$J$5,'IN-NX'!$D$7=D2024),"x","")</f>
        <v/>
      </c>
      <c r="AB2024" s="84" t="str">
        <f>IF(AND(OR(LEFT(TH!N2024,2)="15",LEFT(TH!O2024,2)="15"),LEFT(TH!O2024,3)&lt;&gt;"111",'152-CT'!$J$8=TH!F2024),"x","")</f>
        <v/>
      </c>
      <c r="AC2024" s="84" t="str">
        <f>IF(AND(OR(LEFT(TH!N2024,2)="15",LEFT(TH!O2024,2)="15"),TK!$E$7=TH!F2024),"x","")</f>
        <v/>
      </c>
      <c r="AD2024" s="84" t="str">
        <f>IF(AND(N2024="1521",MONTH(C2024)='BK-NL'!$M$11),"x","")</f>
        <v/>
      </c>
    </row>
    <row r="2025" spans="1:30" s="351" customFormat="1" ht="15.75" hidden="1" customHeight="1">
      <c r="A2025" s="336" t="str">
        <f>IF(B2025&lt;&gt;"",IF(AND(B2025='IN-TC'!$S$4,OR(TH!N2025="1111",TH!O2025="1111")),TH!D2025,""),"")</f>
        <v/>
      </c>
      <c r="B2025" s="63">
        <f>IF(C2025&lt;&gt;"",MONTH(C2025),"")</f>
        <v>8</v>
      </c>
      <c r="C2025" s="64">
        <v>42606</v>
      </c>
      <c r="D2025" s="64" t="s">
        <v>705</v>
      </c>
      <c r="E2025" s="64">
        <f>C2025</f>
        <v>42606</v>
      </c>
      <c r="F2025" s="67" t="s">
        <v>1946</v>
      </c>
      <c r="G2025" s="67" t="s">
        <v>1565</v>
      </c>
      <c r="H2025" s="73" t="s">
        <v>1949</v>
      </c>
      <c r="I2025" s="439"/>
      <c r="J2025" s="439"/>
      <c r="K2025" s="430">
        <v>10.5</v>
      </c>
      <c r="L2025" s="439">
        <v>22292</v>
      </c>
      <c r="M2025" s="65">
        <f>ROUND(K2025*L2025,0)</f>
        <v>234066</v>
      </c>
      <c r="N2025" s="66" t="s">
        <v>101</v>
      </c>
      <c r="O2025" s="66" t="s">
        <v>266</v>
      </c>
      <c r="P2025" s="84" t="str">
        <f>IF(AND('331-CT'!$E$7=TH!H2025,OR(N2025="331",O2025="331")),"x","")</f>
        <v/>
      </c>
      <c r="Q2025" s="84" t="str">
        <f>IF(AND(B2025='111'!$L$11,OR($N2025=$Q$7,$O2025=$Q$7)),"x","")</f>
        <v/>
      </c>
      <c r="R2025" s="84" t="str">
        <f>IF(AND($N2025=$Q$7,$B2025&lt;'111'!$L$11),"x","")</f>
        <v/>
      </c>
      <c r="S2025" s="84" t="str">
        <f>IF(AND($O2025=$Q$7,$B2025&lt;'111'!$L$11),"x","")</f>
        <v/>
      </c>
      <c r="T2025" s="84" t="str">
        <f>IF(ISERROR(FIND('112'!$M$9,G2025,1)),"",IF((AND(FIND('112'!$M$9,G2025,1)&gt;=1,B2025='112'!$K$9,OR($N2025='112'!$I$6,$O2025='112'!$I$6))),"x",""))</f>
        <v/>
      </c>
      <c r="U2025" s="84" t="str">
        <f>IF(ISERROR(FIND('112'!$M$9,G2025,1)),"",IF((AND(LEFT(G2025,2)=LEFT('112'!$M$9,2),B2025&lt;'112'!$K$9,$N2025='112'!$I$6)),"x",""))</f>
        <v/>
      </c>
      <c r="V2025" s="84" t="str">
        <f>IF(ISERROR(FIND('112'!$M$9,G2025,1)),"",IF((AND(RIGHT(G2025,2)=RIGHT('112'!$M$9,2),B2025&lt;'112'!$K$9,$O2025='112'!$I$6)),"x",""))</f>
        <v/>
      </c>
      <c r="W2025" s="84" t="str">
        <f>IF(AND('341-CT'!$H$9=H2025,OR(LEFT(N2025,3)=$W$7,LEFT(O2025,3)=$W$7)),"x","")</f>
        <v/>
      </c>
      <c r="X2025" s="84" t="str">
        <f>IF(OR(TH!N2025=TH!$X$7,O2025=TH!$X$7),"x","")</f>
        <v/>
      </c>
      <c r="Y2025" s="84" t="str">
        <f>IF(AND(OR(N2025="131",O2025="131"),H2025='131-CT'!$H$9),"x","")</f>
        <v/>
      </c>
      <c r="Z2025" s="84"/>
      <c r="AA2025" s="84" t="str">
        <f>IF(AND(MONTH(E2025)='IN-NX'!$J$5,'IN-NX'!$D$7=D2025),"x","")</f>
        <v/>
      </c>
      <c r="AB2025" s="84" t="str">
        <f>IF(AND(OR(LEFT(TH!N2025,2)="15",LEFT(TH!O2025,2)="15"),LEFT(TH!O2025,3)&lt;&gt;"111",'152-CT'!$J$8=TH!F2025),"x","")</f>
        <v/>
      </c>
      <c r="AC2025" s="84" t="str">
        <f>IF(AND(OR(LEFT(TH!N2025,2)="15",LEFT(TH!O2025,2)="15"),TK!$E$7=TH!F2025),"x","")</f>
        <v/>
      </c>
      <c r="AD2025" s="84" t="str">
        <f>IF(AND(N2025="1521",MONTH(C2025)='BK-NL'!$M$11),"x","")</f>
        <v/>
      </c>
    </row>
    <row r="2026" spans="1:30" s="351" customFormat="1" ht="15.75" hidden="1" customHeight="1">
      <c r="A2026" s="336" t="str">
        <f>IF(B2026&lt;&gt;"",IF(AND(B2026='IN-TC'!$S$4,OR(TH!N2026="1111",TH!O2026="1111")),TH!D2026,""),"")</f>
        <v/>
      </c>
      <c r="B2026" s="63">
        <f t="shared" si="264"/>
        <v>8</v>
      </c>
      <c r="C2026" s="64">
        <v>42606</v>
      </c>
      <c r="D2026" s="64" t="s">
        <v>705</v>
      </c>
      <c r="E2026" s="64">
        <f t="shared" si="265"/>
        <v>42606</v>
      </c>
      <c r="F2026" s="67" t="s">
        <v>1791</v>
      </c>
      <c r="G2026" s="67" t="s">
        <v>1565</v>
      </c>
      <c r="H2026" s="73" t="s">
        <v>1950</v>
      </c>
      <c r="I2026" s="439"/>
      <c r="J2026" s="439"/>
      <c r="K2026" s="430">
        <v>387.5</v>
      </c>
      <c r="L2026" s="439">
        <v>22292</v>
      </c>
      <c r="M2026" s="65">
        <f t="shared" si="266"/>
        <v>8638150</v>
      </c>
      <c r="N2026" s="66" t="s">
        <v>99</v>
      </c>
      <c r="O2026" s="66" t="s">
        <v>266</v>
      </c>
      <c r="P2026" s="84" t="str">
        <f>IF(AND('331-CT'!$E$7=TH!H2026,OR(N2026="331",O2026="331")),"x","")</f>
        <v/>
      </c>
      <c r="Q2026" s="84" t="str">
        <f>IF(AND(B2026='111'!$L$11,OR($N2026=$Q$7,$O2026=$Q$7)),"x","")</f>
        <v/>
      </c>
      <c r="R2026" s="84" t="str">
        <f>IF(AND($N2026=$Q$7,$B2026&lt;'111'!$L$11),"x","")</f>
        <v/>
      </c>
      <c r="S2026" s="84" t="str">
        <f>IF(AND($O2026=$Q$7,$B2026&lt;'111'!$L$11),"x","")</f>
        <v/>
      </c>
      <c r="T2026" s="84" t="str">
        <f>IF(ISERROR(FIND('112'!$M$9,G2026,1)),"",IF((AND(FIND('112'!$M$9,G2026,1)&gt;=1,B2026='112'!$K$9,OR($N2026='112'!$I$6,$O2026='112'!$I$6))),"x",""))</f>
        <v/>
      </c>
      <c r="U2026" s="84" t="str">
        <f>IF(ISERROR(FIND('112'!$M$9,G2026,1)),"",IF((AND(LEFT(G2026,2)=LEFT('112'!$M$9,2),B2026&lt;'112'!$K$9,$N2026='112'!$I$6)),"x",""))</f>
        <v/>
      </c>
      <c r="V2026" s="84" t="str">
        <f>IF(ISERROR(FIND('112'!$M$9,G2026,1)),"",IF((AND(RIGHT(G2026,2)=RIGHT('112'!$M$9,2),B2026&lt;'112'!$K$9,$O2026='112'!$I$6)),"x",""))</f>
        <v/>
      </c>
      <c r="W2026" s="84" t="str">
        <f>IF(AND('341-CT'!$H$9=H2026,OR(LEFT(N2026,3)=$W$7,LEFT(O2026,3)=$W$7)),"x","")</f>
        <v/>
      </c>
      <c r="X2026" s="84" t="str">
        <f>IF(OR(TH!N2026=TH!$X$7,O2026=TH!$X$7),"x","")</f>
        <v/>
      </c>
      <c r="Y2026" s="84" t="str">
        <f>IF(AND(OR(N2026="131",O2026="131"),H2026='131-CT'!$H$9),"x","")</f>
        <v/>
      </c>
      <c r="Z2026" s="84"/>
      <c r="AA2026" s="84" t="str">
        <f>IF(AND(MONTH(E2026)='IN-NX'!$J$5,'IN-NX'!$D$7=D2026),"x","")</f>
        <v/>
      </c>
      <c r="AB2026" s="84" t="str">
        <f>IF(AND(OR(LEFT(TH!N2026,2)="15",LEFT(TH!O2026,2)="15"),LEFT(TH!O2026,3)&lt;&gt;"111",'152-CT'!$J$8=TH!F2026),"x","")</f>
        <v/>
      </c>
      <c r="AC2026" s="84" t="str">
        <f>IF(AND(OR(LEFT(TH!N2026,2)="15",LEFT(TH!O2026,2)="15"),TK!$E$7=TH!F2026),"x","")</f>
        <v/>
      </c>
      <c r="AD2026" s="84" t="str">
        <f>IF(AND(N2026="1521",MONTH(C2026)='BK-NL'!$M$11),"x","")</f>
        <v/>
      </c>
    </row>
    <row r="2027" spans="1:30" s="351" customFormat="1" ht="15.75" hidden="1" customHeight="1">
      <c r="A2027" s="336" t="str">
        <f>IF(B2027&lt;&gt;"",IF(AND(B2027='IN-TC'!$S$4,OR(TH!N2027="1111",TH!O2027="1111")),TH!D2027,""),"")</f>
        <v/>
      </c>
      <c r="B2027" s="63">
        <f t="shared" ref="B2027:B2034" si="267">IF(C2027&lt;&gt;"",MONTH(C2027),"")</f>
        <v>8</v>
      </c>
      <c r="C2027" s="64">
        <v>42611</v>
      </c>
      <c r="D2027" s="64" t="s">
        <v>705</v>
      </c>
      <c r="E2027" s="64">
        <f t="shared" ref="E2027:E2034" si="268">C2027</f>
        <v>42611</v>
      </c>
      <c r="F2027" s="67" t="s">
        <v>1671</v>
      </c>
      <c r="G2027" s="67" t="s">
        <v>1927</v>
      </c>
      <c r="H2027" s="73"/>
      <c r="I2027" s="439"/>
      <c r="J2027" s="439"/>
      <c r="K2027" s="430">
        <v>6700</v>
      </c>
      <c r="L2027" s="439">
        <v>22260</v>
      </c>
      <c r="M2027" s="65">
        <f t="shared" ref="M2027:M2033" si="269">ROUND(K2027*L2027,0)</f>
        <v>149142000</v>
      </c>
      <c r="N2027" s="66" t="s">
        <v>266</v>
      </c>
      <c r="O2027" s="66" t="s">
        <v>266</v>
      </c>
      <c r="P2027" s="84" t="str">
        <f>IF(AND('331-CT'!$E$7=TH!H2027,OR(N2027="331",O2027="331")),"x","")</f>
        <v/>
      </c>
      <c r="Q2027" s="84" t="str">
        <f>IF(AND(B2027='111'!$L$11,OR($N2027=$Q$7,$O2027=$Q$7)),"x","")</f>
        <v/>
      </c>
      <c r="R2027" s="84" t="str">
        <f>IF(AND($N2027=$Q$7,$B2027&lt;'111'!$L$11),"x","")</f>
        <v/>
      </c>
      <c r="S2027" s="84" t="str">
        <f>IF(AND($O2027=$Q$7,$B2027&lt;'111'!$L$11),"x","")</f>
        <v/>
      </c>
      <c r="T2027" s="84" t="str">
        <f>IF(ISERROR(FIND('112'!$M$9,G2027,1)),"",IF((AND(FIND('112'!$M$9,G2027,1)&gt;=1,B2027='112'!$K$9,OR($N2027='112'!$I$6,$O2027='112'!$I$6))),"x",""))</f>
        <v/>
      </c>
      <c r="U2027" s="84" t="str">
        <f>IF(ISERROR(FIND('112'!$M$9,G2027,1)),"",IF((AND(LEFT(G2027,2)=LEFT('112'!$M$9,2),B2027&lt;'112'!$K$9,$N2027='112'!$I$6)),"x",""))</f>
        <v/>
      </c>
      <c r="V2027" s="84" t="str">
        <f>IF(ISERROR(FIND('112'!$M$9,G2027,1)),"",IF((AND(RIGHT(G2027,2)=RIGHT('112'!$M$9,2),B2027&lt;'112'!$K$9,$O2027='112'!$I$6)),"x",""))</f>
        <v/>
      </c>
      <c r="W2027" s="84" t="str">
        <f>IF(AND('341-CT'!$H$9=H2027,OR(LEFT(N2027,3)=$W$7,LEFT(O2027,3)=$W$7)),"x","")</f>
        <v/>
      </c>
      <c r="X2027" s="84" t="str">
        <f>IF(OR(TH!N2027=TH!$X$7,O2027=TH!$X$7),"x","")</f>
        <v/>
      </c>
      <c r="Y2027" s="84" t="str">
        <f>IF(AND(OR(N2027="131",O2027="131"),H2027='131-CT'!$H$9),"x","")</f>
        <v/>
      </c>
      <c r="Z2027" s="84"/>
      <c r="AA2027" s="84" t="str">
        <f>IF(AND(MONTH(E2027)='IN-NX'!$J$5,'IN-NX'!$D$7=D2027),"x","")</f>
        <v/>
      </c>
      <c r="AB2027" s="84" t="str">
        <f>IF(AND(OR(LEFT(TH!N2027,2)="15",LEFT(TH!O2027,2)="15"),LEFT(TH!O2027,3)&lt;&gt;"111",'152-CT'!$J$8=TH!F2027),"x","")</f>
        <v/>
      </c>
      <c r="AC2027" s="84" t="str">
        <f>IF(AND(OR(LEFT(TH!N2027,2)="15",LEFT(TH!O2027,2)="15"),TK!$E$7=TH!F2027),"x","")</f>
        <v/>
      </c>
      <c r="AD2027" s="84" t="str">
        <f>IF(AND(N2027="1521",MONTH(C2027)='BK-NL'!$M$11),"x","")</f>
        <v/>
      </c>
    </row>
    <row r="2028" spans="1:30" s="351" customFormat="1" ht="15.75" hidden="1" customHeight="1">
      <c r="A2028" s="336" t="str">
        <f>IF(B2028&lt;&gt;"",IF(AND(B2028='IN-TC'!$S$4,OR(TH!N2028="1111",TH!O2028="1111")),TH!D2028,""),"")</f>
        <v/>
      </c>
      <c r="B2028" s="63">
        <f t="shared" si="267"/>
        <v>8</v>
      </c>
      <c r="C2028" s="64">
        <v>42611</v>
      </c>
      <c r="D2028" s="64" t="s">
        <v>705</v>
      </c>
      <c r="E2028" s="64">
        <f t="shared" si="268"/>
        <v>42611</v>
      </c>
      <c r="F2028" s="67" t="s">
        <v>1926</v>
      </c>
      <c r="G2028" s="67" t="s">
        <v>1565</v>
      </c>
      <c r="H2028" s="73"/>
      <c r="I2028" s="439"/>
      <c r="J2028" s="439"/>
      <c r="K2028" s="430">
        <v>3.3</v>
      </c>
      <c r="L2028" s="439">
        <v>22260</v>
      </c>
      <c r="M2028" s="65">
        <f t="shared" si="269"/>
        <v>73458</v>
      </c>
      <c r="N2028" s="66" t="s">
        <v>101</v>
      </c>
      <c r="O2028" s="66" t="s">
        <v>266</v>
      </c>
      <c r="P2028" s="84" t="str">
        <f>IF(AND('331-CT'!$E$7=TH!H2028,OR(N2028="331",O2028="331")),"x","")</f>
        <v/>
      </c>
      <c r="Q2028" s="84" t="str">
        <f>IF(AND(B2028='111'!$L$11,OR($N2028=$Q$7,$O2028=$Q$7)),"x","")</f>
        <v/>
      </c>
      <c r="R2028" s="84" t="str">
        <f>IF(AND($N2028=$Q$7,$B2028&lt;'111'!$L$11),"x","")</f>
        <v/>
      </c>
      <c r="S2028" s="84" t="str">
        <f>IF(AND($O2028=$Q$7,$B2028&lt;'111'!$L$11),"x","")</f>
        <v/>
      </c>
      <c r="T2028" s="84" t="str">
        <f>IF(ISERROR(FIND('112'!$M$9,G2028,1)),"",IF((AND(FIND('112'!$M$9,G2028,1)&gt;=1,B2028='112'!$K$9,OR($N2028='112'!$I$6,$O2028='112'!$I$6))),"x",""))</f>
        <v/>
      </c>
      <c r="U2028" s="84" t="str">
        <f>IF(ISERROR(FIND('112'!$M$9,G2028,1)),"",IF((AND(LEFT(G2028,2)=LEFT('112'!$M$9,2),B2028&lt;'112'!$K$9,$N2028='112'!$I$6)),"x",""))</f>
        <v/>
      </c>
      <c r="V2028" s="84" t="str">
        <f>IF(ISERROR(FIND('112'!$M$9,G2028,1)),"",IF((AND(RIGHT(G2028,2)=RIGHT('112'!$M$9,2),B2028&lt;'112'!$K$9,$O2028='112'!$I$6)),"x",""))</f>
        <v/>
      </c>
      <c r="W2028" s="84" t="str">
        <f>IF(AND('341-CT'!$H$9=H2028,OR(LEFT(N2028,3)=$W$7,LEFT(O2028,3)=$W$7)),"x","")</f>
        <v/>
      </c>
      <c r="X2028" s="84" t="str">
        <f>IF(OR(TH!N2028=TH!$X$7,O2028=TH!$X$7),"x","")</f>
        <v/>
      </c>
      <c r="Y2028" s="84" t="str">
        <f>IF(AND(OR(N2028="131",O2028="131"),H2028='131-CT'!$H$9),"x","")</f>
        <v/>
      </c>
      <c r="Z2028" s="84"/>
      <c r="AA2028" s="84" t="str">
        <f>IF(AND(MONTH(E2028)='IN-NX'!$J$5,'IN-NX'!$D$7=D2028),"x","")</f>
        <v/>
      </c>
      <c r="AB2028" s="84" t="str">
        <f>IF(AND(OR(LEFT(TH!N2028,2)="15",LEFT(TH!O2028,2)="15"),LEFT(TH!O2028,3)&lt;&gt;"111",'152-CT'!$J$8=TH!F2028),"x","")</f>
        <v/>
      </c>
      <c r="AC2028" s="84" t="str">
        <f>IF(AND(OR(LEFT(TH!N2028,2)="15",LEFT(TH!O2028,2)="15"),TK!$E$7=TH!F2028),"x","")</f>
        <v/>
      </c>
      <c r="AD2028" s="84" t="str">
        <f>IF(AND(N2028="1521",MONTH(C2028)='BK-NL'!$M$11),"x","")</f>
        <v/>
      </c>
    </row>
    <row r="2029" spans="1:30" s="351" customFormat="1" ht="15.75" hidden="1" customHeight="1">
      <c r="A2029" s="336" t="str">
        <f>IF(B2029&lt;&gt;"",IF(AND(B2029='IN-TC'!$S$4,OR(TH!N2029="1111",TH!O2029="1111")),TH!D2029,""),"")</f>
        <v/>
      </c>
      <c r="B2029" s="63">
        <f t="shared" si="267"/>
        <v>8</v>
      </c>
      <c r="C2029" s="64">
        <v>42606</v>
      </c>
      <c r="D2029" s="64" t="s">
        <v>702</v>
      </c>
      <c r="E2029" s="64">
        <f t="shared" si="268"/>
        <v>42606</v>
      </c>
      <c r="F2029" s="81" t="s">
        <v>1457</v>
      </c>
      <c r="G2029" s="81" t="s">
        <v>919</v>
      </c>
      <c r="H2029" s="1174" t="s">
        <v>1546</v>
      </c>
      <c r="I2029" s="439"/>
      <c r="J2029" s="439"/>
      <c r="K2029" s="430">
        <v>1974.3</v>
      </c>
      <c r="L2029" s="439">
        <v>22295</v>
      </c>
      <c r="M2029" s="65">
        <f t="shared" si="269"/>
        <v>44017019</v>
      </c>
      <c r="N2029" s="84" t="s">
        <v>266</v>
      </c>
      <c r="O2029" s="84" t="s">
        <v>588</v>
      </c>
      <c r="P2029" s="84" t="str">
        <f>IF(AND('331-CT'!$E$7=TH!H2029,OR(N2029="331",O2029="331")),"x","")</f>
        <v/>
      </c>
      <c r="Q2029" s="84" t="str">
        <f>IF(AND(B2029='111'!$L$11,OR($N2029=$Q$7,$O2029=$Q$7)),"x","")</f>
        <v/>
      </c>
      <c r="R2029" s="84" t="str">
        <f>IF(AND($N2029=$Q$7,$B2029&lt;'111'!$L$11),"x","")</f>
        <v/>
      </c>
      <c r="S2029" s="84" t="str">
        <f>IF(AND($O2029=$Q$7,$B2029&lt;'111'!$L$11),"x","")</f>
        <v/>
      </c>
      <c r="T2029" s="84" t="str">
        <f>IF(ISERROR(FIND('112'!$M$9,G2029,1)),"",IF((AND(FIND('112'!$M$9,G2029,1)&gt;=1,B2029='112'!$K$9,OR($N2029='112'!$I$6,$O2029='112'!$I$6))),"x",""))</f>
        <v/>
      </c>
      <c r="U2029" s="84" t="str">
        <f>IF(ISERROR(FIND('112'!$M$9,G2029,1)),"",IF((AND(LEFT(G2029,2)=LEFT('112'!$M$9,2),B2029&lt;'112'!$K$9,$N2029='112'!$I$6)),"x",""))</f>
        <v/>
      </c>
      <c r="V2029" s="84" t="str">
        <f>IF(ISERROR(FIND('112'!$M$9,G2029,1)),"",IF((AND(RIGHT(G2029,2)=RIGHT('112'!$M$9,2),B2029&lt;'112'!$K$9,$O2029='112'!$I$6)),"x",""))</f>
        <v/>
      </c>
      <c r="W2029" s="84" t="str">
        <f>IF(AND('341-CT'!$H$9=H2029,OR(LEFT(N2029,3)=$W$7,LEFT(O2029,3)=$W$7)),"x","")</f>
        <v/>
      </c>
      <c r="X2029" s="84" t="str">
        <f>IF(OR(TH!N2029=TH!$X$7,O2029=TH!$X$7),"x","")</f>
        <v/>
      </c>
      <c r="Y2029" s="84" t="str">
        <f>IF(AND(OR(N2029="131",O2029="131"),H2029='131-CT'!$H$9),"x","")</f>
        <v/>
      </c>
      <c r="Z2029" s="84"/>
      <c r="AA2029" s="84" t="str">
        <f>IF(AND(MONTH(E2029)='IN-NX'!$J$5,'IN-NX'!$D$7=D2029),"x","")</f>
        <v/>
      </c>
      <c r="AB2029" s="84" t="str">
        <f>IF(AND(OR(LEFT(TH!N2029,2)="15",LEFT(TH!O2029,2)="15"),LEFT(TH!O2029,3)&lt;&gt;"111",'152-CT'!$J$8=TH!F2029),"x","")</f>
        <v/>
      </c>
      <c r="AC2029" s="84" t="str">
        <f>IF(AND(OR(LEFT(TH!N2029,2)="15",LEFT(TH!O2029,2)="15"),TK!$E$7=TH!F2029),"x","")</f>
        <v/>
      </c>
      <c r="AD2029" s="84" t="str">
        <f>IF(AND(N2029="1521",MONTH(C2029)='BK-NL'!$M$11),"x","")</f>
        <v/>
      </c>
    </row>
    <row r="2030" spans="1:30" s="351" customFormat="1" ht="15.75" hidden="1" customHeight="1">
      <c r="A2030" s="336" t="str">
        <f>IF(B2030&lt;&gt;"",IF(AND(B2030='IN-TC'!$S$4,OR(TH!N2030="1111",TH!O2030="1111")),TH!D2030,""),"")</f>
        <v/>
      </c>
      <c r="B2030" s="63">
        <f t="shared" si="267"/>
        <v>8</v>
      </c>
      <c r="C2030" s="64">
        <v>42606</v>
      </c>
      <c r="D2030" s="64" t="s">
        <v>582</v>
      </c>
      <c r="E2030" s="64">
        <f t="shared" si="268"/>
        <v>42606</v>
      </c>
      <c r="F2030" s="81" t="s">
        <v>1520</v>
      </c>
      <c r="G2030" s="81" t="s">
        <v>919</v>
      </c>
      <c r="H2030" s="1174" t="s">
        <v>1546</v>
      </c>
      <c r="I2030" s="439"/>
      <c r="J2030" s="439"/>
      <c r="K2030" s="430">
        <v>8.1999999999999993</v>
      </c>
      <c r="L2030" s="439">
        <v>22295</v>
      </c>
      <c r="M2030" s="65">
        <f t="shared" si="269"/>
        <v>182819</v>
      </c>
      <c r="N2030" s="84" t="s">
        <v>101</v>
      </c>
      <c r="O2030" s="84" t="s">
        <v>588</v>
      </c>
      <c r="P2030" s="84" t="str">
        <f>IF(AND('331-CT'!$E$7=TH!H2030,OR(N2030="331",O2030="331")),"x","")</f>
        <v/>
      </c>
      <c r="Q2030" s="84" t="str">
        <f>IF(AND(B2030='111'!$L$11,OR($N2030=$Q$7,$O2030=$Q$7)),"x","")</f>
        <v/>
      </c>
      <c r="R2030" s="84" t="str">
        <f>IF(AND($N2030=$Q$7,$B2030&lt;'111'!$L$11),"x","")</f>
        <v/>
      </c>
      <c r="S2030" s="84" t="str">
        <f>IF(AND($O2030=$Q$7,$B2030&lt;'111'!$L$11),"x","")</f>
        <v/>
      </c>
      <c r="T2030" s="84" t="str">
        <f>IF(ISERROR(FIND('112'!$M$9,G2030,1)),"",IF((AND(FIND('112'!$M$9,G2030,1)&gt;=1,B2030='112'!$K$9,OR($N2030='112'!$I$6,$O2030='112'!$I$6))),"x",""))</f>
        <v/>
      </c>
      <c r="U2030" s="84" t="str">
        <f>IF(ISERROR(FIND('112'!$M$9,G2030,1)),"",IF((AND(LEFT(G2030,2)=LEFT('112'!$M$9,2),B2030&lt;'112'!$K$9,$N2030='112'!$I$6)),"x",""))</f>
        <v/>
      </c>
      <c r="V2030" s="84" t="str">
        <f>IF(ISERROR(FIND('112'!$M$9,G2030,1)),"",IF((AND(RIGHT(G2030,2)=RIGHT('112'!$M$9,2),B2030&lt;'112'!$K$9,$O2030='112'!$I$6)),"x",""))</f>
        <v/>
      </c>
      <c r="W2030" s="84" t="str">
        <f>IF(AND('341-CT'!$H$9=H2030,OR(LEFT(N2030,3)=$W$7,LEFT(O2030,3)=$W$7)),"x","")</f>
        <v/>
      </c>
      <c r="X2030" s="84" t="str">
        <f>IF(OR(TH!N2030=TH!$X$7,O2030=TH!$X$7),"x","")</f>
        <v/>
      </c>
      <c r="Y2030" s="84" t="str">
        <f>IF(AND(OR(N2030="131",O2030="131"),H2030='131-CT'!$H$9),"x","")</f>
        <v/>
      </c>
      <c r="Z2030" s="84"/>
      <c r="AA2030" s="84" t="str">
        <f>IF(AND(MONTH(E2030)='IN-NX'!$J$5,'IN-NX'!$D$7=D2030),"x","")</f>
        <v/>
      </c>
      <c r="AB2030" s="84" t="str">
        <f>IF(AND(OR(LEFT(TH!N2030,2)="15",LEFT(TH!O2030,2)="15"),LEFT(TH!O2030,3)&lt;&gt;"111",'152-CT'!$J$8=TH!F2030),"x","")</f>
        <v/>
      </c>
      <c r="AC2030" s="84" t="str">
        <f>IF(AND(OR(LEFT(TH!N2030,2)="15",LEFT(TH!O2030,2)="15"),TK!$E$7=TH!F2030),"x","")</f>
        <v/>
      </c>
      <c r="AD2030" s="84" t="str">
        <f>IF(AND(N2030="1521",MONTH(C2030)='BK-NL'!$M$11),"x","")</f>
        <v/>
      </c>
    </row>
    <row r="2031" spans="1:30" s="351" customFormat="1" ht="15.75" hidden="1" customHeight="1">
      <c r="A2031" s="336" t="str">
        <f>IF(B2031&lt;&gt;"",IF(AND(B2031='IN-TC'!$S$4,OR(TH!N2031="1111",TH!O2031="1111")),TH!D2031,""),"")</f>
        <v/>
      </c>
      <c r="B2031" s="63">
        <f t="shared" si="267"/>
        <v>8</v>
      </c>
      <c r="C2031" s="64">
        <v>42606</v>
      </c>
      <c r="D2031" s="64" t="s">
        <v>702</v>
      </c>
      <c r="E2031" s="64">
        <f t="shared" si="268"/>
        <v>42606</v>
      </c>
      <c r="F2031" s="81" t="s">
        <v>1457</v>
      </c>
      <c r="G2031" s="81" t="s">
        <v>919</v>
      </c>
      <c r="H2031" s="1174" t="s">
        <v>1546</v>
      </c>
      <c r="I2031" s="439"/>
      <c r="J2031" s="439"/>
      <c r="K2031" s="430">
        <v>6642.37</v>
      </c>
      <c r="L2031" s="439">
        <v>22295</v>
      </c>
      <c r="M2031" s="65">
        <f t="shared" si="269"/>
        <v>148091639</v>
      </c>
      <c r="N2031" s="84" t="s">
        <v>266</v>
      </c>
      <c r="O2031" s="84" t="s">
        <v>588</v>
      </c>
      <c r="P2031" s="84" t="str">
        <f>IF(AND('331-CT'!$E$7=TH!H2031,OR(N2031="331",O2031="331")),"x","")</f>
        <v/>
      </c>
      <c r="Q2031" s="84" t="str">
        <f>IF(AND(B2031='111'!$L$11,OR($N2031=$Q$7,$O2031=$Q$7)),"x","")</f>
        <v/>
      </c>
      <c r="R2031" s="84" t="str">
        <f>IF(AND($N2031=$Q$7,$B2031&lt;'111'!$L$11),"x","")</f>
        <v/>
      </c>
      <c r="S2031" s="84" t="str">
        <f>IF(AND($O2031=$Q$7,$B2031&lt;'111'!$L$11),"x","")</f>
        <v/>
      </c>
      <c r="T2031" s="84" t="str">
        <f>IF(ISERROR(FIND('112'!$M$9,G2031,1)),"",IF((AND(FIND('112'!$M$9,G2031,1)&gt;=1,B2031='112'!$K$9,OR($N2031='112'!$I$6,$O2031='112'!$I$6))),"x",""))</f>
        <v/>
      </c>
      <c r="U2031" s="84" t="str">
        <f>IF(ISERROR(FIND('112'!$M$9,G2031,1)),"",IF((AND(LEFT(G2031,2)=LEFT('112'!$M$9,2),B2031&lt;'112'!$K$9,$N2031='112'!$I$6)),"x",""))</f>
        <v/>
      </c>
      <c r="V2031" s="84" t="str">
        <f>IF(ISERROR(FIND('112'!$M$9,G2031,1)),"",IF((AND(RIGHT(G2031,2)=RIGHT('112'!$M$9,2),B2031&lt;'112'!$K$9,$O2031='112'!$I$6)),"x",""))</f>
        <v/>
      </c>
      <c r="W2031" s="84" t="str">
        <f>IF(AND('341-CT'!$H$9=H2031,OR(LEFT(N2031,3)=$W$7,LEFT(O2031,3)=$W$7)),"x","")</f>
        <v/>
      </c>
      <c r="X2031" s="84" t="str">
        <f>IF(OR(TH!N2031=TH!$X$7,O2031=TH!$X$7),"x","")</f>
        <v/>
      </c>
      <c r="Y2031" s="84" t="str">
        <f>IF(AND(OR(N2031="131",O2031="131"),H2031='131-CT'!$H$9),"x","")</f>
        <v/>
      </c>
      <c r="Z2031" s="84"/>
      <c r="AA2031" s="84" t="str">
        <f>IF(AND(MONTH(E2031)='IN-NX'!$J$5,'IN-NX'!$D$7=D2031),"x","")</f>
        <v/>
      </c>
      <c r="AB2031" s="84" t="str">
        <f>IF(AND(OR(LEFT(TH!N2031,2)="15",LEFT(TH!O2031,2)="15"),LEFT(TH!O2031,3)&lt;&gt;"111",'152-CT'!$J$8=TH!F2031),"x","")</f>
        <v/>
      </c>
      <c r="AC2031" s="84" t="str">
        <f>IF(AND(OR(LEFT(TH!N2031,2)="15",LEFT(TH!O2031,2)="15"),TK!$E$7=TH!F2031),"x","")</f>
        <v/>
      </c>
      <c r="AD2031" s="84" t="str">
        <f>IF(AND(N2031="1521",MONTH(C2031)='BK-NL'!$M$11),"x","")</f>
        <v/>
      </c>
    </row>
    <row r="2032" spans="1:30" s="351" customFormat="1" ht="15.75" hidden="1" customHeight="1">
      <c r="A2032" s="336" t="str">
        <f>IF(B2032&lt;&gt;"",IF(AND(B2032='IN-TC'!$S$4,OR(TH!N2032="1111",TH!O2032="1111")),TH!D2032,""),"")</f>
        <v/>
      </c>
      <c r="B2032" s="63">
        <f t="shared" si="267"/>
        <v>8</v>
      </c>
      <c r="C2032" s="64">
        <v>42606</v>
      </c>
      <c r="D2032" s="64" t="s">
        <v>582</v>
      </c>
      <c r="E2032" s="64">
        <f t="shared" si="268"/>
        <v>42606</v>
      </c>
      <c r="F2032" s="81" t="s">
        <v>1520</v>
      </c>
      <c r="G2032" s="81" t="s">
        <v>919</v>
      </c>
      <c r="H2032" s="1174" t="s">
        <v>1546</v>
      </c>
      <c r="I2032" s="439"/>
      <c r="J2032" s="439"/>
      <c r="K2032" s="430">
        <v>9.3000000000000007</v>
      </c>
      <c r="L2032" s="439">
        <v>22295</v>
      </c>
      <c r="M2032" s="65">
        <f t="shared" si="269"/>
        <v>207344</v>
      </c>
      <c r="N2032" s="84" t="s">
        <v>101</v>
      </c>
      <c r="O2032" s="84" t="s">
        <v>588</v>
      </c>
      <c r="P2032" s="84" t="str">
        <f>IF(AND('331-CT'!$E$7=TH!H2032,OR(N2032="331",O2032="331")),"x","")</f>
        <v/>
      </c>
      <c r="Q2032" s="84" t="str">
        <f>IF(AND(B2032='111'!$L$11,OR($N2032=$Q$7,$O2032=$Q$7)),"x","")</f>
        <v/>
      </c>
      <c r="R2032" s="84" t="str">
        <f>IF(AND($N2032=$Q$7,$B2032&lt;'111'!$L$11),"x","")</f>
        <v/>
      </c>
      <c r="S2032" s="84" t="str">
        <f>IF(AND($O2032=$Q$7,$B2032&lt;'111'!$L$11),"x","")</f>
        <v/>
      </c>
      <c r="T2032" s="84" t="str">
        <f>IF(ISERROR(FIND('112'!$M$9,G2032,1)),"",IF((AND(FIND('112'!$M$9,G2032,1)&gt;=1,B2032='112'!$K$9,OR($N2032='112'!$I$6,$O2032='112'!$I$6))),"x",""))</f>
        <v/>
      </c>
      <c r="U2032" s="84" t="str">
        <f>IF(ISERROR(FIND('112'!$M$9,G2032,1)),"",IF((AND(LEFT(G2032,2)=LEFT('112'!$M$9,2),B2032&lt;'112'!$K$9,$N2032='112'!$I$6)),"x",""))</f>
        <v/>
      </c>
      <c r="V2032" s="84" t="str">
        <f>IF(ISERROR(FIND('112'!$M$9,G2032,1)),"",IF((AND(RIGHT(G2032,2)=RIGHT('112'!$M$9,2),B2032&lt;'112'!$K$9,$O2032='112'!$I$6)),"x",""))</f>
        <v/>
      </c>
      <c r="W2032" s="84" t="str">
        <f>IF(AND('341-CT'!$H$9=H2032,OR(LEFT(N2032,3)=$W$7,LEFT(O2032,3)=$W$7)),"x","")</f>
        <v/>
      </c>
      <c r="X2032" s="84" t="str">
        <f>IF(OR(TH!N2032=TH!$X$7,O2032=TH!$X$7),"x","")</f>
        <v/>
      </c>
      <c r="Y2032" s="84" t="str">
        <f>IF(AND(OR(N2032="131",O2032="131"),H2032='131-CT'!$H$9),"x","")</f>
        <v/>
      </c>
      <c r="Z2032" s="84"/>
      <c r="AA2032" s="84" t="str">
        <f>IF(AND(MONTH(E2032)='IN-NX'!$J$5,'IN-NX'!$D$7=D2032),"x","")</f>
        <v/>
      </c>
      <c r="AB2032" s="84" t="str">
        <f>IF(AND(OR(LEFT(TH!N2032,2)="15",LEFT(TH!O2032,2)="15"),LEFT(TH!O2032,3)&lt;&gt;"111",'152-CT'!$J$8=TH!F2032),"x","")</f>
        <v/>
      </c>
      <c r="AC2032" s="84" t="str">
        <f>IF(AND(OR(LEFT(TH!N2032,2)="15",LEFT(TH!O2032,2)="15"),TK!$E$7=TH!F2032),"x","")</f>
        <v/>
      </c>
      <c r="AD2032" s="84" t="str">
        <f>IF(AND(N2032="1521",MONTH(C2032)='BK-NL'!$M$11),"x","")</f>
        <v/>
      </c>
    </row>
    <row r="2033" spans="1:32" s="351" customFormat="1" ht="15.75" hidden="1" customHeight="1">
      <c r="A2033" s="336" t="str">
        <f>IF(B2033&lt;&gt;"",IF(AND(B2033='IN-TC'!$S$4,OR(TH!N2033="1111",TH!O2033="1111")),TH!D2033,""),"")</f>
        <v/>
      </c>
      <c r="B2033" s="63">
        <f t="shared" si="267"/>
        <v>8</v>
      </c>
      <c r="C2033" s="64">
        <v>42611</v>
      </c>
      <c r="D2033" s="64" t="s">
        <v>705</v>
      </c>
      <c r="E2033" s="64">
        <f t="shared" si="268"/>
        <v>42611</v>
      </c>
      <c r="F2033" s="81" t="s">
        <v>1445</v>
      </c>
      <c r="G2033" s="81" t="s">
        <v>925</v>
      </c>
      <c r="H2033" s="73"/>
      <c r="I2033" s="439"/>
      <c r="J2033" s="439"/>
      <c r="K2033" s="430">
        <v>8600</v>
      </c>
      <c r="L2033" s="439">
        <v>22295</v>
      </c>
      <c r="M2033" s="65">
        <f t="shared" si="269"/>
        <v>191737000</v>
      </c>
      <c r="N2033" s="66" t="s">
        <v>26</v>
      </c>
      <c r="O2033" s="84" t="s">
        <v>266</v>
      </c>
      <c r="P2033" s="84" t="str">
        <f>IF(AND('331-CT'!$E$7=TH!H2033,OR(N2033="331",O2033="331")),"x","")</f>
        <v/>
      </c>
      <c r="Q2033" s="84" t="str">
        <f>IF(AND(B2033='111'!$L$11,OR($N2033=$Q$7,$O2033=$Q$7)),"x","")</f>
        <v/>
      </c>
      <c r="R2033" s="84" t="str">
        <f>IF(AND($N2033=$Q$7,$B2033&lt;'111'!$L$11),"x","")</f>
        <v/>
      </c>
      <c r="S2033" s="84" t="str">
        <f>IF(AND($O2033=$Q$7,$B2033&lt;'111'!$L$11),"x","")</f>
        <v/>
      </c>
      <c r="T2033" s="84" t="str">
        <f>IF(ISERROR(FIND('112'!$M$9,G2033,1)),"",IF((AND(FIND('112'!$M$9,G2033,1)&gt;=1,B2033='112'!$K$9,OR($N2033='112'!$I$6,$O2033='112'!$I$6))),"x",""))</f>
        <v/>
      </c>
      <c r="U2033" s="84" t="str">
        <f>IF(ISERROR(FIND('112'!$M$9,G2033,1)),"",IF((AND(LEFT(G2033,2)=LEFT('112'!$M$9,2),B2033&lt;'112'!$K$9,$N2033='112'!$I$6)),"x",""))</f>
        <v/>
      </c>
      <c r="V2033" s="84" t="str">
        <f>IF(ISERROR(FIND('112'!$M$9,G2033,1)),"",IF((AND(RIGHT(G2033,2)=RIGHT('112'!$M$9,2),B2033&lt;'112'!$K$9,$O2033='112'!$I$6)),"x",""))</f>
        <v/>
      </c>
      <c r="W2033" s="84" t="str">
        <f>IF(AND('341-CT'!$H$9=H2033,OR(LEFT(N2033,3)=$W$7,LEFT(O2033,3)=$W$7)),"x","")</f>
        <v/>
      </c>
      <c r="X2033" s="84" t="str">
        <f>IF(OR(TH!N2033=TH!$X$7,O2033=TH!$X$7),"x","")</f>
        <v/>
      </c>
      <c r="Y2033" s="84" t="str">
        <f>IF(AND(OR(N2033="131",O2033="131"),H2033='131-CT'!$H$9),"x","")</f>
        <v/>
      </c>
      <c r="Z2033" s="84"/>
      <c r="AA2033" s="84" t="str">
        <f>IF(AND(MONTH(E2033)='IN-NX'!$J$5,'IN-NX'!$D$7=D2033),"x","")</f>
        <v/>
      </c>
      <c r="AB2033" s="84" t="str">
        <f>IF(AND(OR(LEFT(TH!N2033,2)="15",LEFT(TH!O2033,2)="15"),LEFT(TH!O2033,3)&lt;&gt;"111",'152-CT'!$J$8=TH!F2033),"x","")</f>
        <v/>
      </c>
      <c r="AC2033" s="84" t="str">
        <f>IF(AND(OR(LEFT(TH!N2033,2)="15",LEFT(TH!O2033,2)="15"),TK!$E$7=TH!F2033),"x","")</f>
        <v/>
      </c>
      <c r="AD2033" s="84" t="str">
        <f>IF(AND(N2033="1521",MONTH(C2033)='BK-NL'!$M$11),"x","")</f>
        <v/>
      </c>
    </row>
    <row r="2034" spans="1:32" s="351" customFormat="1" ht="15.75" hidden="1" customHeight="1">
      <c r="A2034" s="336" t="str">
        <f>IF(B2034&lt;&gt;"",IF(AND(B2034='IN-TC'!$S$4,OR(TH!N2034="1111",TH!O2034="1111")),TH!D2034,""),"")</f>
        <v/>
      </c>
      <c r="B2034" s="63">
        <f t="shared" si="267"/>
        <v>8</v>
      </c>
      <c r="C2034" s="64">
        <v>42586</v>
      </c>
      <c r="D2034" s="64" t="s">
        <v>702</v>
      </c>
      <c r="E2034" s="64">
        <f t="shared" si="268"/>
        <v>42586</v>
      </c>
      <c r="F2034" s="67" t="s">
        <v>1904</v>
      </c>
      <c r="G2034" s="81" t="s">
        <v>918</v>
      </c>
      <c r="H2034" s="73" t="s">
        <v>1905</v>
      </c>
      <c r="I2034" s="439"/>
      <c r="J2034" s="439"/>
      <c r="K2034" s="430">
        <v>52300</v>
      </c>
      <c r="L2034" s="439">
        <v>22295</v>
      </c>
      <c r="M2034" s="65">
        <v>1166028500</v>
      </c>
      <c r="N2034" s="66" t="s">
        <v>26</v>
      </c>
      <c r="O2034" s="66" t="s">
        <v>260</v>
      </c>
      <c r="P2034" s="84" t="str">
        <f>IF(AND('331-CT'!$E$7=TH!H2034,OR(N2034="331",O2034="331")),"x","")</f>
        <v/>
      </c>
      <c r="Q2034" s="84" t="str">
        <f>IF(AND(B2034='111'!$L$11,OR($N2034=$Q$7,$O2034=$Q$7)),"x","")</f>
        <v/>
      </c>
      <c r="R2034" s="84" t="str">
        <f>IF(AND($N2034=$Q$7,$B2034&lt;'111'!$L$11),"x","")</f>
        <v/>
      </c>
      <c r="S2034" s="84" t="str">
        <f>IF(AND($O2034=$Q$7,$B2034&lt;'111'!$L$11),"x","")</f>
        <v/>
      </c>
      <c r="T2034" s="84" t="str">
        <f>IF(ISERROR(FIND('112'!$M$9,G2034,1)),"",IF((AND(FIND('112'!$M$9,G2034,1)&gt;=1,B2034='112'!$K$9,OR($N2034='112'!$I$6,$O2034='112'!$I$6))),"x",""))</f>
        <v/>
      </c>
      <c r="U2034" s="84" t="str">
        <f>IF(ISERROR(FIND('112'!$M$9,G2034,1)),"",IF((AND(LEFT(G2034,2)=LEFT('112'!$M$9,2),B2034&lt;'112'!$K$9,$N2034='112'!$I$6)),"x",""))</f>
        <v/>
      </c>
      <c r="V2034" s="84" t="str">
        <f>IF(ISERROR(FIND('112'!$M$9,G2034,1)),"",IF((AND(RIGHT(G2034,2)=RIGHT('112'!$M$9,2),B2034&lt;'112'!$K$9,$O2034='112'!$I$6)),"x",""))</f>
        <v/>
      </c>
      <c r="W2034" s="84" t="str">
        <f>IF(AND('341-CT'!$H$9=H2034,OR(LEFT(N2034,3)=$W$7,LEFT(O2034,3)=$W$7)),"x","")</f>
        <v/>
      </c>
      <c r="X2034" s="84" t="str">
        <f>IF(OR(TH!N2034=TH!$X$7,O2034=TH!$X$7),"x","")</f>
        <v/>
      </c>
      <c r="Y2034" s="84" t="str">
        <f>IF(AND(OR(N2034="131",O2034="131"),H2034='131-CT'!$H$9),"x","")</f>
        <v/>
      </c>
      <c r="Z2034" s="84"/>
      <c r="AA2034" s="84" t="str">
        <f>IF(AND(MONTH(E2034)='IN-NX'!$J$5,'IN-NX'!$D$7=D2034),"x","")</f>
        <v/>
      </c>
      <c r="AB2034" s="84" t="str">
        <f>IF(AND(OR(LEFT(TH!N2034,2)="15",LEFT(TH!O2034,2)="15"),LEFT(TH!O2034,3)&lt;&gt;"111",'152-CT'!$J$8=TH!F2034),"x","")</f>
        <v/>
      </c>
      <c r="AC2034" s="84" t="str">
        <f>IF(AND(OR(LEFT(TH!N2034,2)="15",LEFT(TH!O2034,2)="15"),TK!$E$7=TH!F2034),"x","")</f>
        <v/>
      </c>
      <c r="AD2034" s="84" t="str">
        <f>IF(AND(N2034="1521",MONTH(C2034)='BK-NL'!$M$11),"x","")</f>
        <v/>
      </c>
    </row>
    <row r="2035" spans="1:32" s="351" customFormat="1" ht="15.75" hidden="1" customHeight="1">
      <c r="A2035" s="336" t="str">
        <f>IF(B2035&lt;&gt;"",IF(AND(B2035='IN-TC'!$S$4,OR(TH!N2035="1111",TH!O2035="1111")),TH!D2035,""),"")</f>
        <v/>
      </c>
      <c r="B2035" s="63">
        <f t="shared" ref="B2035:B2096" si="270">IF(C2035&lt;&gt;"",MONTH(C2035),"")</f>
        <v>8</v>
      </c>
      <c r="C2035" s="64">
        <v>42600</v>
      </c>
      <c r="D2035" s="64" t="s">
        <v>702</v>
      </c>
      <c r="E2035" s="64">
        <f t="shared" ref="E2035:E2096" si="271">C2035</f>
        <v>42600</v>
      </c>
      <c r="F2035" s="67" t="s">
        <v>1445</v>
      </c>
      <c r="G2035" s="67" t="s">
        <v>1565</v>
      </c>
      <c r="H2035" s="73" t="s">
        <v>1804</v>
      </c>
      <c r="I2035" s="439"/>
      <c r="J2035" s="439"/>
      <c r="K2035" s="430">
        <v>61500</v>
      </c>
      <c r="L2035" s="439">
        <v>22260</v>
      </c>
      <c r="M2035" s="65">
        <f>ROUND(K2035*L2035,0)</f>
        <v>1368990000</v>
      </c>
      <c r="N2035" s="66" t="s">
        <v>26</v>
      </c>
      <c r="O2035" s="66" t="s">
        <v>266</v>
      </c>
      <c r="P2035" s="84" t="str">
        <f>IF(AND('331-CT'!$E$7=TH!H2035,OR(N2035="331",O2035="331")),"x","")</f>
        <v/>
      </c>
      <c r="Q2035" s="84" t="str">
        <f>IF(AND(B2035='111'!$L$11,OR($N2035=$Q$7,$O2035=$Q$7)),"x","")</f>
        <v/>
      </c>
      <c r="R2035" s="84" t="str">
        <f>IF(AND($N2035=$Q$7,$B2035&lt;'111'!$L$11),"x","")</f>
        <v/>
      </c>
      <c r="S2035" s="84" t="str">
        <f>IF(AND($O2035=$Q$7,$B2035&lt;'111'!$L$11),"x","")</f>
        <v/>
      </c>
      <c r="T2035" s="84" t="str">
        <f>IF(ISERROR(FIND('112'!$M$9,G2035,1)),"",IF((AND(FIND('112'!$M$9,G2035,1)&gt;=1,B2035='112'!$K$9,OR($N2035='112'!$I$6,$O2035='112'!$I$6))),"x",""))</f>
        <v/>
      </c>
      <c r="U2035" s="84" t="str">
        <f>IF(ISERROR(FIND('112'!$M$9,G2035,1)),"",IF((AND(LEFT(G2035,2)=LEFT('112'!$M$9,2),B2035&lt;'112'!$K$9,$N2035='112'!$I$6)),"x",""))</f>
        <v/>
      </c>
      <c r="V2035" s="84" t="str">
        <f>IF(ISERROR(FIND('112'!$M$9,G2035,1)),"",IF((AND(RIGHT(G2035,2)=RIGHT('112'!$M$9,2),B2035&lt;'112'!$K$9,$O2035='112'!$I$6)),"x",""))</f>
        <v/>
      </c>
      <c r="W2035" s="84" t="str">
        <f>IF(AND('341-CT'!$H$9=H2035,OR(LEFT(N2035,3)=$W$7,LEFT(O2035,3)=$W$7)),"x","")</f>
        <v/>
      </c>
      <c r="X2035" s="84" t="str">
        <f>IF(OR(TH!N2035=TH!$X$7,O2035=TH!$X$7),"x","")</f>
        <v/>
      </c>
      <c r="Y2035" s="84" t="str">
        <f>IF(AND(OR(N2035="131",O2035="131"),H2035='131-CT'!$H$9),"x","")</f>
        <v/>
      </c>
      <c r="Z2035" s="84"/>
      <c r="AA2035" s="84" t="str">
        <f>IF(AND(MONTH(E2035)='IN-NX'!$J$5,'IN-NX'!$D$7=D2035),"x","")</f>
        <v/>
      </c>
      <c r="AB2035" s="84" t="str">
        <f>IF(AND(OR(LEFT(TH!N2035,2)="15",LEFT(TH!O2035,2)="15"),LEFT(TH!O2035,3)&lt;&gt;"111",'152-CT'!$J$8=TH!F2035),"x","")</f>
        <v/>
      </c>
      <c r="AC2035" s="84" t="str">
        <f>IF(AND(OR(LEFT(TH!N2035,2)="15",LEFT(TH!O2035,2)="15"),TK!$E$7=TH!F2035),"x","")</f>
        <v/>
      </c>
      <c r="AD2035" s="84" t="str">
        <f>IF(AND(N2035="1521",MONTH(C2035)='BK-NL'!$M$11),"x","")</f>
        <v/>
      </c>
    </row>
    <row r="2036" spans="1:32" s="351" customFormat="1" ht="15.75" hidden="1" customHeight="1">
      <c r="A2036" s="336" t="str">
        <f>IF(B2036&lt;&gt;"",IF(AND(B2036='IN-TC'!$S$4,OR(TH!N2036="1111",TH!O2036="1111")),TH!D2036,""),"")</f>
        <v/>
      </c>
      <c r="B2036" s="63">
        <f t="shared" si="270"/>
        <v>8</v>
      </c>
      <c r="C2036" s="64">
        <v>42600</v>
      </c>
      <c r="D2036" s="64" t="s">
        <v>705</v>
      </c>
      <c r="E2036" s="64">
        <f t="shared" si="271"/>
        <v>42600</v>
      </c>
      <c r="F2036" s="67" t="s">
        <v>1190</v>
      </c>
      <c r="G2036" s="67" t="s">
        <v>1565</v>
      </c>
      <c r="H2036" s="971" t="s">
        <v>1885</v>
      </c>
      <c r="I2036" s="439"/>
      <c r="J2036" s="439"/>
      <c r="K2036" s="430">
        <v>61000</v>
      </c>
      <c r="L2036" s="439">
        <v>22308</v>
      </c>
      <c r="M2036" s="65">
        <f>ROUND(K2036*L2036,0)</f>
        <v>1360788000</v>
      </c>
      <c r="N2036" s="66" t="s">
        <v>260</v>
      </c>
      <c r="O2036" s="66" t="s">
        <v>26</v>
      </c>
      <c r="P2036" s="84" t="str">
        <f>IF(AND('331-CT'!$E$7=TH!H2036,OR(N2036="331",O2036="331")),"x","")</f>
        <v/>
      </c>
      <c r="Q2036" s="84" t="str">
        <f>IF(AND(B2036='111'!$L$11,OR($N2036=$Q$7,$O2036=$Q$7)),"x","")</f>
        <v/>
      </c>
      <c r="R2036" s="84" t="str">
        <f>IF(AND($N2036=$Q$7,$B2036&lt;'111'!$L$11),"x","")</f>
        <v/>
      </c>
      <c r="S2036" s="84" t="str">
        <f>IF(AND($O2036=$Q$7,$B2036&lt;'111'!$L$11),"x","")</f>
        <v/>
      </c>
      <c r="T2036" s="84" t="str">
        <f>IF(ISERROR(FIND('112'!$M$9,G2036,1)),"",IF((AND(FIND('112'!$M$9,G2036,1)&gt;=1,B2036='112'!$K$9,OR($N2036='112'!$I$6,$O2036='112'!$I$6))),"x",""))</f>
        <v/>
      </c>
      <c r="U2036" s="84" t="str">
        <f>IF(ISERROR(FIND('112'!$M$9,G2036,1)),"",IF((AND(LEFT(G2036,2)=LEFT('112'!$M$9,2),B2036&lt;'112'!$K$9,$N2036='112'!$I$6)),"x",""))</f>
        <v/>
      </c>
      <c r="V2036" s="84" t="str">
        <f>IF(ISERROR(FIND('112'!$M$9,G2036,1)),"",IF((AND(RIGHT(G2036,2)=RIGHT('112'!$M$9,2),B2036&lt;'112'!$K$9,$O2036='112'!$I$6)),"x",""))</f>
        <v/>
      </c>
      <c r="W2036" s="84" t="str">
        <f>IF(AND('341-CT'!$H$9=H2036,OR(LEFT(N2036,3)=$W$7,LEFT(O2036,3)=$W$7)),"x","")</f>
        <v/>
      </c>
      <c r="X2036" s="84" t="str">
        <f>IF(OR(TH!N2036=TH!$X$7,O2036=TH!$X$7),"x","")</f>
        <v/>
      </c>
      <c r="Y2036" s="84" t="str">
        <f>IF(AND(OR(N2036="131",O2036="131"),H2036='131-CT'!$H$9),"x","")</f>
        <v/>
      </c>
      <c r="Z2036" s="84"/>
      <c r="AA2036" s="84" t="str">
        <f>IF(AND(MONTH(E2036)='IN-NX'!$J$5,'IN-NX'!$D$7=D2036),"x","")</f>
        <v/>
      </c>
      <c r="AB2036" s="84" t="str">
        <f>IF(AND(OR(LEFT(TH!N2036,2)="15",LEFT(TH!O2036,2)="15"),LEFT(TH!O2036,3)&lt;&gt;"111",'152-CT'!$J$8=TH!F2036),"x","")</f>
        <v/>
      </c>
      <c r="AC2036" s="84" t="str">
        <f>IF(AND(OR(LEFT(TH!N2036,2)="15",LEFT(TH!O2036,2)="15"),TK!$E$7=TH!F2036),"x","")</f>
        <v/>
      </c>
      <c r="AD2036" s="84" t="str">
        <f>IF(AND(N2036="1521",MONTH(C2036)='BK-NL'!$M$11),"x","")</f>
        <v/>
      </c>
    </row>
    <row r="2037" spans="1:32" s="351" customFormat="1" ht="15.75" hidden="1" customHeight="1">
      <c r="A2037" s="336" t="str">
        <f>IF(B2037&lt;&gt;"",IF(AND(B2037='IN-TC'!$S$4,OR(TH!N2037="1111",TH!O2037="1111")),TH!D2037,""),"")</f>
        <v/>
      </c>
      <c r="B2037" s="63">
        <f>IF(C2037&lt;&gt;"",MONTH(C2037),"")</f>
        <v>8</v>
      </c>
      <c r="C2037" s="64">
        <v>42600</v>
      </c>
      <c r="D2037" s="64" t="s">
        <v>705</v>
      </c>
      <c r="E2037" s="64">
        <f>C2037</f>
        <v>42600</v>
      </c>
      <c r="F2037" s="67" t="s">
        <v>1791</v>
      </c>
      <c r="G2037" s="67" t="s">
        <v>1565</v>
      </c>
      <c r="H2037" s="971" t="s">
        <v>1885</v>
      </c>
      <c r="I2037" s="439"/>
      <c r="J2037" s="439"/>
      <c r="K2037" s="430"/>
      <c r="L2037" s="439"/>
      <c r="M2037" s="65">
        <v>3674128</v>
      </c>
      <c r="N2037" s="66" t="s">
        <v>99</v>
      </c>
      <c r="O2037" s="66" t="s">
        <v>26</v>
      </c>
      <c r="P2037" s="84" t="str">
        <f>IF(AND('331-CT'!$E$7=TH!H2037,OR(N2037="331",O2037="331")),"x","")</f>
        <v/>
      </c>
      <c r="Q2037" s="84" t="str">
        <f>IF(AND(B2037='111'!$L$11,OR($N2037=$Q$7,$O2037=$Q$7)),"x","")</f>
        <v/>
      </c>
      <c r="R2037" s="84" t="str">
        <f>IF(AND($N2037=$Q$7,$B2037&lt;'111'!$L$11),"x","")</f>
        <v/>
      </c>
      <c r="S2037" s="84" t="str">
        <f>IF(AND($O2037=$Q$7,$B2037&lt;'111'!$L$11),"x","")</f>
        <v/>
      </c>
      <c r="T2037" s="84" t="str">
        <f>IF(ISERROR(FIND('112'!$M$9,G2037,1)),"",IF((AND(FIND('112'!$M$9,G2037,1)&gt;=1,B2037='112'!$K$9,OR($N2037='112'!$I$6,$O2037='112'!$I$6))),"x",""))</f>
        <v/>
      </c>
      <c r="U2037" s="84" t="str">
        <f>IF(ISERROR(FIND('112'!$M$9,G2037,1)),"",IF((AND(LEFT(G2037,2)=LEFT('112'!$M$9,2),B2037&lt;'112'!$K$9,$N2037='112'!$I$6)),"x",""))</f>
        <v/>
      </c>
      <c r="V2037" s="84" t="str">
        <f>IF(ISERROR(FIND('112'!$M$9,G2037,1)),"",IF((AND(RIGHT(G2037,2)=RIGHT('112'!$M$9,2),B2037&lt;'112'!$K$9,$O2037='112'!$I$6)),"x",""))</f>
        <v/>
      </c>
      <c r="W2037" s="84" t="str">
        <f>IF(AND('341-CT'!$H$9=H2037,OR(LEFT(N2037,3)=$W$7,LEFT(O2037,3)=$W$7)),"x","")</f>
        <v/>
      </c>
      <c r="X2037" s="84" t="str">
        <f>IF(OR(TH!N2037=TH!$X$7,O2037=TH!$X$7),"x","")</f>
        <v/>
      </c>
      <c r="Y2037" s="84" t="str">
        <f>IF(AND(OR(N2037="131",O2037="131"),H2037='131-CT'!$H$9),"x","")</f>
        <v/>
      </c>
      <c r="Z2037" s="84"/>
      <c r="AA2037" s="84" t="str">
        <f>IF(AND(MONTH(E2037)='IN-NX'!$J$5,'IN-NX'!$D$7=D2037),"x","")</f>
        <v/>
      </c>
      <c r="AB2037" s="84" t="str">
        <f>IF(AND(OR(LEFT(TH!N2037,2)="15",LEFT(TH!O2037,2)="15"),LEFT(TH!O2037,3)&lt;&gt;"111",'152-CT'!$J$8=TH!F2037),"x","")</f>
        <v/>
      </c>
      <c r="AC2037" s="84" t="str">
        <f>IF(AND(OR(LEFT(TH!N2037,2)="15",LEFT(TH!O2037,2)="15"),TK!$E$7=TH!F2037),"x","")</f>
        <v/>
      </c>
      <c r="AD2037" s="84" t="str">
        <f>IF(AND(N2037="1521",MONTH(C2037)='BK-NL'!$M$11),"x","")</f>
        <v/>
      </c>
    </row>
    <row r="2038" spans="1:32" s="351" customFormat="1" ht="15.75" hidden="1" customHeight="1">
      <c r="A2038" s="336" t="str">
        <f>IF(B2038&lt;&gt;"",IF(AND(B2038='IN-TC'!$S$4,OR(TH!N2038="1111",TH!O2038="1111")),TH!D2038,""),"")</f>
        <v/>
      </c>
      <c r="B2038" s="63">
        <f>IF(C2038&lt;&gt;"",MONTH(C2038),"")</f>
        <v>8</v>
      </c>
      <c r="C2038" s="64">
        <v>42600</v>
      </c>
      <c r="D2038" s="64" t="s">
        <v>702</v>
      </c>
      <c r="E2038" s="64">
        <f>C2038</f>
        <v>42600</v>
      </c>
      <c r="F2038" s="67" t="s">
        <v>1445</v>
      </c>
      <c r="G2038" s="67" t="s">
        <v>1565</v>
      </c>
      <c r="H2038" s="73" t="s">
        <v>1804</v>
      </c>
      <c r="I2038" s="439"/>
      <c r="J2038" s="439"/>
      <c r="K2038" s="430">
        <v>21500</v>
      </c>
      <c r="L2038" s="439">
        <v>22292</v>
      </c>
      <c r="M2038" s="65">
        <f>ROUND(K2038*L2038,0)</f>
        <v>479278000</v>
      </c>
      <c r="N2038" s="66" t="s">
        <v>26</v>
      </c>
      <c r="O2038" s="66" t="s">
        <v>266</v>
      </c>
      <c r="P2038" s="84" t="str">
        <f>IF(AND('331-CT'!$E$7=TH!H2038,OR(N2038="331",O2038="331")),"x","")</f>
        <v/>
      </c>
      <c r="Q2038" s="84" t="str">
        <f>IF(AND(B2038='111'!$L$11,OR($N2038=$Q$7,$O2038=$Q$7)),"x","")</f>
        <v/>
      </c>
      <c r="R2038" s="84" t="str">
        <f>IF(AND($N2038=$Q$7,$B2038&lt;'111'!$L$11),"x","")</f>
        <v/>
      </c>
      <c r="S2038" s="84" t="str">
        <f>IF(AND($O2038=$Q$7,$B2038&lt;'111'!$L$11),"x","")</f>
        <v/>
      </c>
      <c r="T2038" s="84" t="str">
        <f>IF(ISERROR(FIND('112'!$M$9,G2038,1)),"",IF((AND(FIND('112'!$M$9,G2038,1)&gt;=1,B2038='112'!$K$9,OR($N2038='112'!$I$6,$O2038='112'!$I$6))),"x",""))</f>
        <v/>
      </c>
      <c r="U2038" s="84" t="str">
        <f>IF(ISERROR(FIND('112'!$M$9,G2038,1)),"",IF((AND(LEFT(G2038,2)=LEFT('112'!$M$9,2),B2038&lt;'112'!$K$9,$N2038='112'!$I$6)),"x",""))</f>
        <v/>
      </c>
      <c r="V2038" s="84" t="str">
        <f>IF(ISERROR(FIND('112'!$M$9,G2038,1)),"",IF((AND(RIGHT(G2038,2)=RIGHT('112'!$M$9,2),B2038&lt;'112'!$K$9,$O2038='112'!$I$6)),"x",""))</f>
        <v/>
      </c>
      <c r="W2038" s="84" t="str">
        <f>IF(AND('341-CT'!$H$9=H2038,OR(LEFT(N2038,3)=$W$7,LEFT(O2038,3)=$W$7)),"x","")</f>
        <v/>
      </c>
      <c r="X2038" s="84" t="str">
        <f>IF(OR(TH!N2038=TH!$X$7,O2038=TH!$X$7),"x","")</f>
        <v/>
      </c>
      <c r="Y2038" s="84" t="str">
        <f>IF(AND(OR(N2038="131",O2038="131"),H2038='131-CT'!$H$9),"x","")</f>
        <v/>
      </c>
      <c r="Z2038" s="84"/>
      <c r="AA2038" s="84" t="str">
        <f>IF(AND(MONTH(E2038)='IN-NX'!$J$5,'IN-NX'!$D$7=D2038),"x","")</f>
        <v/>
      </c>
      <c r="AB2038" s="84" t="str">
        <f>IF(AND(OR(LEFT(TH!N2038,2)="15",LEFT(TH!O2038,2)="15"),LEFT(TH!O2038,3)&lt;&gt;"111",'152-CT'!$J$8=TH!F2038),"x","")</f>
        <v/>
      </c>
      <c r="AC2038" s="84" t="str">
        <f>IF(AND(OR(LEFT(TH!N2038,2)="15",LEFT(TH!O2038,2)="15"),TK!$E$7=TH!F2038),"x","")</f>
        <v/>
      </c>
      <c r="AD2038" s="84" t="str">
        <f>IF(AND(N2038="1521",MONTH(C2038)='BK-NL'!$M$11),"x","")</f>
        <v/>
      </c>
    </row>
    <row r="2039" spans="1:32" s="351" customFormat="1" ht="15.75" hidden="1" customHeight="1">
      <c r="A2039" s="336" t="str">
        <f>IF(B2039&lt;&gt;"",IF(AND(B2039='IN-TC'!$S$4,OR(TH!N2039="1111",TH!O2039="1111")),TH!D2039,""),"")</f>
        <v/>
      </c>
      <c r="B2039" s="63">
        <f>IF(C2039&lt;&gt;"",MONTH(C2039),"")</f>
        <v>8</v>
      </c>
      <c r="C2039" s="64">
        <v>42600</v>
      </c>
      <c r="D2039" s="64" t="s">
        <v>702</v>
      </c>
      <c r="E2039" s="64">
        <f>C2039</f>
        <v>42600</v>
      </c>
      <c r="F2039" s="67" t="s">
        <v>1937</v>
      </c>
      <c r="G2039" s="67" t="s">
        <v>1565</v>
      </c>
      <c r="H2039" s="73" t="s">
        <v>1938</v>
      </c>
      <c r="I2039" s="439"/>
      <c r="J2039" s="439"/>
      <c r="K2039" s="430">
        <v>63000</v>
      </c>
      <c r="L2039" s="439">
        <v>22292</v>
      </c>
      <c r="M2039" s="65">
        <v>1404396000</v>
      </c>
      <c r="N2039" s="66" t="s">
        <v>26</v>
      </c>
      <c r="O2039" s="66" t="s">
        <v>260</v>
      </c>
      <c r="P2039" s="84" t="str">
        <f>IF(AND('331-CT'!$E$7=TH!H2039,OR(N2039="331",O2039="331")),"x","")</f>
        <v/>
      </c>
      <c r="Q2039" s="84" t="str">
        <f>IF(AND(B2039='111'!$L$11,OR($N2039=$Q$7,$O2039=$Q$7)),"x","")</f>
        <v/>
      </c>
      <c r="R2039" s="84" t="str">
        <f>IF(AND($N2039=$Q$7,$B2039&lt;'111'!$L$11),"x","")</f>
        <v/>
      </c>
      <c r="S2039" s="84" t="str">
        <f>IF(AND($O2039=$Q$7,$B2039&lt;'111'!$L$11),"x","")</f>
        <v/>
      </c>
      <c r="T2039" s="84" t="str">
        <f>IF(ISERROR(FIND('112'!$M$9,G2039,1)),"",IF((AND(FIND('112'!$M$9,G2039,1)&gt;=1,B2039='112'!$K$9,OR($N2039='112'!$I$6,$O2039='112'!$I$6))),"x",""))</f>
        <v/>
      </c>
      <c r="U2039" s="84" t="str">
        <f>IF(ISERROR(FIND('112'!$M$9,G2039,1)),"",IF((AND(LEFT(G2039,2)=LEFT('112'!$M$9,2),B2039&lt;'112'!$K$9,$N2039='112'!$I$6)),"x",""))</f>
        <v/>
      </c>
      <c r="V2039" s="84" t="str">
        <f>IF(ISERROR(FIND('112'!$M$9,G2039,1)),"",IF((AND(RIGHT(G2039,2)=RIGHT('112'!$M$9,2),B2039&lt;'112'!$K$9,$O2039='112'!$I$6)),"x",""))</f>
        <v/>
      </c>
      <c r="W2039" s="84" t="str">
        <f>IF(AND('341-CT'!$H$9=H2039,OR(LEFT(N2039,3)=$W$7,LEFT(O2039,3)=$W$7)),"x","")</f>
        <v/>
      </c>
      <c r="X2039" s="84" t="str">
        <f>IF(OR(TH!N2039=TH!$X$7,O2039=TH!$X$7),"x","")</f>
        <v/>
      </c>
      <c r="Y2039" s="84" t="str">
        <f>IF(AND(OR(N2039="131",O2039="131"),H2039='131-CT'!$H$9),"x","")</f>
        <v/>
      </c>
      <c r="Z2039" s="84"/>
      <c r="AA2039" s="84" t="str">
        <f>IF(AND(MONTH(E2039)='IN-NX'!$J$5,'IN-NX'!$D$7=D2039),"x","")</f>
        <v/>
      </c>
      <c r="AB2039" s="84" t="str">
        <f>IF(AND(OR(LEFT(TH!N2039,2)="15",LEFT(TH!O2039,2)="15"),LEFT(TH!O2039,3)&lt;&gt;"111",'152-CT'!$J$8=TH!F2039),"x","")</f>
        <v/>
      </c>
      <c r="AC2039" s="84" t="str">
        <f>IF(AND(OR(LEFT(TH!N2039,2)="15",LEFT(TH!O2039,2)="15"),TK!$E$7=TH!F2039),"x","")</f>
        <v/>
      </c>
      <c r="AD2039" s="84" t="str">
        <f>IF(AND(N2039="1521",MONTH(C2039)='BK-NL'!$M$11),"x","")</f>
        <v/>
      </c>
    </row>
    <row r="2040" spans="1:32" s="351" customFormat="1" ht="15.75" hidden="1" customHeight="1">
      <c r="A2040" s="336" t="str">
        <f>IF(B2040&lt;&gt;"",IF(AND(B2040='IN-TC'!$S$4,OR(TH!N2040="1111",TH!O2040="1111")),TH!D2040,""),"")</f>
        <v/>
      </c>
      <c r="B2040" s="63">
        <f t="shared" si="270"/>
        <v>8</v>
      </c>
      <c r="C2040" s="64">
        <v>42600</v>
      </c>
      <c r="D2040" s="64" t="s">
        <v>1805</v>
      </c>
      <c r="E2040" s="64">
        <f t="shared" si="271"/>
        <v>42600</v>
      </c>
      <c r="F2040" s="67" t="s">
        <v>1146</v>
      </c>
      <c r="G2040" s="67" t="s">
        <v>1565</v>
      </c>
      <c r="H2040" s="73" t="s">
        <v>763</v>
      </c>
      <c r="I2040" s="439"/>
      <c r="J2040" s="439"/>
      <c r="K2040" s="430"/>
      <c r="L2040" s="439"/>
      <c r="M2040" s="65">
        <v>1365000000</v>
      </c>
      <c r="N2040" s="66" t="s">
        <v>63</v>
      </c>
      <c r="O2040" s="66" t="s">
        <v>26</v>
      </c>
      <c r="P2040" s="84" t="str">
        <f>IF(AND('331-CT'!$E$7=TH!H2040,OR(N2040="331",O2040="331")),"x","")</f>
        <v/>
      </c>
      <c r="Q2040" s="84" t="str">
        <f>IF(AND(B2040='111'!$L$11,OR($N2040=$Q$7,$O2040=$Q$7)),"x","")</f>
        <v/>
      </c>
      <c r="R2040" s="84" t="str">
        <f>IF(AND($N2040=$Q$7,$B2040&lt;'111'!$L$11),"x","")</f>
        <v/>
      </c>
      <c r="S2040" s="84" t="str">
        <f>IF(AND($O2040=$Q$7,$B2040&lt;'111'!$L$11),"x","")</f>
        <v/>
      </c>
      <c r="T2040" s="84" t="str">
        <f>IF(ISERROR(FIND('112'!$M$9,G2040,1)),"",IF((AND(FIND('112'!$M$9,G2040,1)&gt;=1,B2040='112'!$K$9,OR($N2040='112'!$I$6,$O2040='112'!$I$6))),"x",""))</f>
        <v/>
      </c>
      <c r="U2040" s="84" t="str">
        <f>IF(ISERROR(FIND('112'!$M$9,G2040,1)),"",IF((AND(LEFT(G2040,2)=LEFT('112'!$M$9,2),B2040&lt;'112'!$K$9,$N2040='112'!$I$6)),"x",""))</f>
        <v/>
      </c>
      <c r="V2040" s="84" t="str">
        <f>IF(ISERROR(FIND('112'!$M$9,G2040,1)),"",IF((AND(RIGHT(G2040,2)=RIGHT('112'!$M$9,2),B2040&lt;'112'!$K$9,$O2040='112'!$I$6)),"x",""))</f>
        <v/>
      </c>
      <c r="W2040" s="84" t="str">
        <f>IF(AND('341-CT'!$H$9=H2040,OR(LEFT(N2040,3)=$W$7,LEFT(O2040,3)=$W$7)),"x","")</f>
        <v/>
      </c>
      <c r="X2040" s="84" t="str">
        <f>IF(OR(TH!N2040=TH!$X$7,O2040=TH!$X$7),"x","")</f>
        <v/>
      </c>
      <c r="Y2040" s="84" t="str">
        <f>IF(AND(OR(N2040="131",O2040="131"),H2040='131-CT'!$H$9),"x","")</f>
        <v/>
      </c>
      <c r="Z2040" s="84"/>
      <c r="AA2040" s="84" t="str">
        <f>IF(AND(MONTH(E2040)='IN-NX'!$J$5,'IN-NX'!$D$7=D2040),"x","")</f>
        <v/>
      </c>
      <c r="AB2040" s="84" t="str">
        <f>IF(AND(OR(LEFT(TH!N2040,2)="15",LEFT(TH!O2040,2)="15"),LEFT(TH!O2040,3)&lt;&gt;"111",'152-CT'!$J$8=TH!F2040),"x","")</f>
        <v/>
      </c>
      <c r="AC2040" s="84" t="str">
        <f>IF(AND(OR(LEFT(TH!N2040,2)="15",LEFT(TH!O2040,2)="15"),TK!$E$7=TH!F2040),"x","")</f>
        <v/>
      </c>
      <c r="AD2040" s="84" t="str">
        <f>IF(AND(N2040="1521",MONTH(C2040)='BK-NL'!$M$11),"x","")</f>
        <v/>
      </c>
    </row>
    <row r="2041" spans="1:32" s="351" customFormat="1" ht="15.75" hidden="1" customHeight="1">
      <c r="A2041" s="336" t="str">
        <f>IF(B2041&lt;&gt;"",IF(AND(B2041='IN-TC'!$S$4,OR(TH!N2041="1111",TH!O2041="1111")),TH!D2041,""),"")</f>
        <v/>
      </c>
      <c r="B2041" s="63">
        <f t="shared" si="270"/>
        <v>8</v>
      </c>
      <c r="C2041" s="64">
        <v>42601</v>
      </c>
      <c r="D2041" s="64" t="s">
        <v>705</v>
      </c>
      <c r="E2041" s="64">
        <f t="shared" si="271"/>
        <v>42601</v>
      </c>
      <c r="F2041" s="67" t="s">
        <v>1450</v>
      </c>
      <c r="G2041" s="67" t="s">
        <v>1565</v>
      </c>
      <c r="H2041" s="73" t="s">
        <v>1924</v>
      </c>
      <c r="I2041" s="439"/>
      <c r="J2041" s="439"/>
      <c r="K2041" s="430"/>
      <c r="L2041" s="439"/>
      <c r="M2041" s="65">
        <v>20000000</v>
      </c>
      <c r="N2041" s="66" t="s">
        <v>72</v>
      </c>
      <c r="O2041" s="66" t="s">
        <v>26</v>
      </c>
      <c r="P2041" s="84" t="str">
        <f>IF(AND('331-CT'!$E$7=TH!H2041,OR(N2041="331",O2041="331")),"x","")</f>
        <v/>
      </c>
      <c r="Q2041" s="84" t="str">
        <f>IF(AND(B2041='111'!$L$11,OR($N2041=$Q$7,$O2041=$Q$7)),"x","")</f>
        <v/>
      </c>
      <c r="R2041" s="84" t="str">
        <f>IF(AND($N2041=$Q$7,$B2041&lt;'111'!$L$11),"x","")</f>
        <v/>
      </c>
      <c r="S2041" s="84" t="str">
        <f>IF(AND($O2041=$Q$7,$B2041&lt;'111'!$L$11),"x","")</f>
        <v/>
      </c>
      <c r="T2041" s="84" t="str">
        <f>IF(ISERROR(FIND('112'!$M$9,G2041,1)),"",IF((AND(FIND('112'!$M$9,G2041,1)&gt;=1,B2041='112'!$K$9,OR($N2041='112'!$I$6,$O2041='112'!$I$6))),"x",""))</f>
        <v/>
      </c>
      <c r="U2041" s="84" t="str">
        <f>IF(ISERROR(FIND('112'!$M$9,G2041,1)),"",IF((AND(LEFT(G2041,2)=LEFT('112'!$M$9,2),B2041&lt;'112'!$K$9,$N2041='112'!$I$6)),"x",""))</f>
        <v/>
      </c>
      <c r="V2041" s="84" t="str">
        <f>IF(ISERROR(FIND('112'!$M$9,G2041,1)),"",IF((AND(RIGHT(G2041,2)=RIGHT('112'!$M$9,2),B2041&lt;'112'!$K$9,$O2041='112'!$I$6)),"x",""))</f>
        <v/>
      </c>
      <c r="W2041" s="84" t="str">
        <f>IF(AND('341-CT'!$H$9=H2041,OR(LEFT(N2041,3)=$W$7,LEFT(O2041,3)=$W$7)),"x","")</f>
        <v/>
      </c>
      <c r="X2041" s="84" t="str">
        <f>IF(OR(TH!N2041=TH!$X$7,O2041=TH!$X$7),"x","")</f>
        <v>x</v>
      </c>
      <c r="Y2041" s="84" t="str">
        <f>IF(AND(OR(N2041="131",O2041="131"),H2041='131-CT'!$H$9),"x","")</f>
        <v/>
      </c>
      <c r="Z2041" s="84"/>
      <c r="AA2041" s="84" t="str">
        <f>IF(AND(MONTH(E2041)='IN-NX'!$J$5,'IN-NX'!$D$7=D2041),"x","")</f>
        <v/>
      </c>
      <c r="AB2041" s="84" t="str">
        <f>IF(AND(OR(LEFT(TH!N2041,2)="15",LEFT(TH!O2041,2)="15"),LEFT(TH!O2041,3)&lt;&gt;"111",'152-CT'!$J$8=TH!F2041),"x","")</f>
        <v/>
      </c>
      <c r="AC2041" s="84" t="str">
        <f>IF(AND(OR(LEFT(TH!N2041,2)="15",LEFT(TH!O2041,2)="15"),TK!$E$7=TH!F2041),"x","")</f>
        <v/>
      </c>
      <c r="AD2041" s="84" t="str">
        <f>IF(AND(N2041="1521",MONTH(C2041)='BK-NL'!$M$11),"x","")</f>
        <v/>
      </c>
    </row>
    <row r="2042" spans="1:32" s="351" customFormat="1" ht="15.75" customHeight="1">
      <c r="A2042" s="336" t="str">
        <f>IF(B2042&lt;&gt;"",IF(AND(B2042='IN-TC'!$S$4,OR(TH!N2042="1111",TH!O2042="1111")),TH!D2042,""),"")</f>
        <v/>
      </c>
      <c r="B2042" s="63">
        <f t="shared" si="270"/>
        <v>8</v>
      </c>
      <c r="C2042" s="64">
        <v>42601</v>
      </c>
      <c r="D2042" s="64" t="s">
        <v>705</v>
      </c>
      <c r="E2042" s="64">
        <f t="shared" si="271"/>
        <v>42601</v>
      </c>
      <c r="F2042" s="67" t="s">
        <v>1551</v>
      </c>
      <c r="G2042" s="67" t="s">
        <v>1565</v>
      </c>
      <c r="H2042" s="73" t="s">
        <v>1804</v>
      </c>
      <c r="I2042" s="439"/>
      <c r="J2042" s="439"/>
      <c r="K2042" s="430"/>
      <c r="L2042" s="439"/>
      <c r="M2042" s="65">
        <v>10000</v>
      </c>
      <c r="N2042" s="66" t="s">
        <v>101</v>
      </c>
      <c r="O2042" s="66" t="s">
        <v>26</v>
      </c>
      <c r="P2042" s="84" t="str">
        <f>IF(AND('331-CT'!$E$7=TH!H2042,OR(N2042="331",O2042="331")),"x","")</f>
        <v/>
      </c>
      <c r="Q2042" s="84" t="str">
        <f>IF(AND(B2042='111'!$L$11,OR($N2042=$Q$7,$O2042=$Q$7)),"x","")</f>
        <v/>
      </c>
      <c r="R2042" s="84" t="str">
        <f>IF(AND($N2042=$Q$7,$B2042&lt;'111'!$L$11),"x","")</f>
        <v/>
      </c>
      <c r="S2042" s="84" t="str">
        <f>IF(AND($O2042=$Q$7,$B2042&lt;'111'!$L$11),"x","")</f>
        <v/>
      </c>
      <c r="T2042" s="84" t="str">
        <f>IF(ISERROR(FIND('112'!$M$9,G2042,1)),"",IF((AND(FIND('112'!$M$9,G2042,1)&gt;=1,B2042='112'!$K$9,OR($N2042='112'!$I$6,$O2042='112'!$I$6))),"x",""))</f>
        <v/>
      </c>
      <c r="U2042" s="84" t="str">
        <f>IF(ISERROR(FIND('112'!$M$9,G2042,1)),"",IF((AND(LEFT(G2042,2)=LEFT('112'!$M$9,2),B2042&lt;'112'!$K$9,$N2042='112'!$I$6)),"x",""))</f>
        <v/>
      </c>
      <c r="V2042" s="84" t="str">
        <f>IF(ISERROR(FIND('112'!$M$9,G2042,1)),"",IF((AND(RIGHT(G2042,2)=RIGHT('112'!$M$9,2),B2042&lt;'112'!$K$9,$O2042='112'!$I$6)),"x",""))</f>
        <v/>
      </c>
      <c r="W2042" s="84" t="str">
        <f>IF(AND('341-CT'!$H$9=H2042,OR(LEFT(N2042,3)=$W$7,LEFT(O2042,3)=$W$7)),"x","")</f>
        <v/>
      </c>
      <c r="X2042" s="84" t="str">
        <f>IF(OR(TH!N2042=TH!$X$7,O2042=TH!$X$7),"x","")</f>
        <v/>
      </c>
      <c r="Y2042" s="84" t="str">
        <f>IF(AND(OR(N2042="131",O2042="131"),H2042='131-CT'!$H$9),"x","")</f>
        <v/>
      </c>
      <c r="Z2042" s="84"/>
      <c r="AA2042" s="84" t="str">
        <f>IF(AND(MONTH(E2042)='IN-NX'!$J$5,'IN-NX'!$D$7=D2042),"x","")</f>
        <v/>
      </c>
      <c r="AB2042" s="84" t="str">
        <f>IF(AND(OR(LEFT(TH!N2042,2)="15",LEFT(TH!O2042,2)="15"),LEFT(TH!O2042,3)&lt;&gt;"111",'152-CT'!$J$8=TH!F2042),"x","")</f>
        <v/>
      </c>
      <c r="AC2042" s="84" t="str">
        <f>IF(AND(OR(LEFT(TH!N2042,2)="15",LEFT(TH!O2042,2)="15"),TK!$E$7=TH!F2042),"x","")</f>
        <v/>
      </c>
      <c r="AD2042" s="84" t="str">
        <f>IF(AND(N2042="1521",MONTH(C2042)='BK-NL'!$M$11),"x","")</f>
        <v/>
      </c>
      <c r="AF2042" s="351">
        <v>8</v>
      </c>
    </row>
    <row r="2043" spans="1:32" s="351" customFormat="1" ht="15.75" hidden="1" customHeight="1">
      <c r="A2043" s="336" t="str">
        <f>IF(B2043&lt;&gt;"",IF(AND(B2043='IN-TC'!$S$4,OR(TH!N2043="1111",TH!O2043="1111")),TH!D2043,""),"")</f>
        <v/>
      </c>
      <c r="B2043" s="63">
        <f t="shared" si="270"/>
        <v>8</v>
      </c>
      <c r="C2043" s="64">
        <v>42601</v>
      </c>
      <c r="D2043" s="64" t="s">
        <v>705</v>
      </c>
      <c r="E2043" s="64">
        <f t="shared" si="271"/>
        <v>42601</v>
      </c>
      <c r="F2043" s="67" t="s">
        <v>1552</v>
      </c>
      <c r="G2043" s="67" t="s">
        <v>1565</v>
      </c>
      <c r="H2043" s="73" t="s">
        <v>1804</v>
      </c>
      <c r="I2043" s="439"/>
      <c r="J2043" s="439"/>
      <c r="K2043" s="430"/>
      <c r="L2043" s="439"/>
      <c r="M2043" s="65">
        <v>1000</v>
      </c>
      <c r="N2043" s="84" t="s">
        <v>2001</v>
      </c>
      <c r="O2043" s="66" t="s">
        <v>26</v>
      </c>
      <c r="P2043" s="84" t="str">
        <f>IF(AND('331-CT'!$E$7=TH!H2043,OR(N2043="331",O2043="331")),"x","")</f>
        <v/>
      </c>
      <c r="Q2043" s="84" t="str">
        <f>IF(AND(B2043='111'!$L$11,OR($N2043=$Q$7,$O2043=$Q$7)),"x","")</f>
        <v/>
      </c>
      <c r="R2043" s="84" t="str">
        <f>IF(AND($N2043=$Q$7,$B2043&lt;'111'!$L$11),"x","")</f>
        <v/>
      </c>
      <c r="S2043" s="84" t="str">
        <f>IF(AND($O2043=$Q$7,$B2043&lt;'111'!$L$11),"x","")</f>
        <v/>
      </c>
      <c r="T2043" s="84" t="str">
        <f>IF(ISERROR(FIND('112'!$M$9,G2043,1)),"",IF((AND(FIND('112'!$M$9,G2043,1)&gt;=1,B2043='112'!$K$9,OR($N2043='112'!$I$6,$O2043='112'!$I$6))),"x",""))</f>
        <v/>
      </c>
      <c r="U2043" s="84" t="str">
        <f>IF(ISERROR(FIND('112'!$M$9,G2043,1)),"",IF((AND(LEFT(G2043,2)=LEFT('112'!$M$9,2),B2043&lt;'112'!$K$9,$N2043='112'!$I$6)),"x",""))</f>
        <v/>
      </c>
      <c r="V2043" s="84" t="str">
        <f>IF(ISERROR(FIND('112'!$M$9,G2043,1)),"",IF((AND(RIGHT(G2043,2)=RIGHT('112'!$M$9,2),B2043&lt;'112'!$K$9,$O2043='112'!$I$6)),"x",""))</f>
        <v/>
      </c>
      <c r="W2043" s="84" t="str">
        <f>IF(AND('341-CT'!$H$9=H2043,OR(LEFT(N2043,3)=$W$7,LEFT(O2043,3)=$W$7)),"x","")</f>
        <v/>
      </c>
      <c r="X2043" s="84" t="str">
        <f>IF(OR(TH!N2043=TH!$X$7,O2043=TH!$X$7),"x","")</f>
        <v/>
      </c>
      <c r="Y2043" s="84" t="str">
        <f>IF(AND(OR(N2043="131",O2043="131"),H2043='131-CT'!$H$9),"x","")</f>
        <v/>
      </c>
      <c r="Z2043" s="84"/>
      <c r="AA2043" s="84" t="str">
        <f>IF(AND(MONTH(E2043)='IN-NX'!$J$5,'IN-NX'!$D$7=D2043),"x","")</f>
        <v/>
      </c>
      <c r="AB2043" s="84" t="str">
        <f>IF(AND(OR(LEFT(TH!N2043,2)="15",LEFT(TH!O2043,2)="15"),LEFT(TH!O2043,3)&lt;&gt;"111",'152-CT'!$J$8=TH!F2043),"x","")</f>
        <v/>
      </c>
      <c r="AC2043" s="84" t="str">
        <f>IF(AND(OR(LEFT(TH!N2043,2)="15",LEFT(TH!O2043,2)="15"),TK!$E$7=TH!F2043),"x","")</f>
        <v/>
      </c>
      <c r="AD2043" s="84" t="str">
        <f>IF(AND(N2043="1521",MONTH(C2043)='BK-NL'!$M$11),"x","")</f>
        <v/>
      </c>
      <c r="AF2043" s="351">
        <v>8</v>
      </c>
    </row>
    <row r="2044" spans="1:32" s="351" customFormat="1" ht="15.75" hidden="1" customHeight="1">
      <c r="A2044" s="336" t="str">
        <f>IF(B2044&lt;&gt;"",IF(AND(B2044='IN-TC'!$S$4,OR(TH!N2044="1111",TH!O2044="1111")),TH!D2044,""),"")</f>
        <v/>
      </c>
      <c r="B2044" s="63">
        <f t="shared" si="270"/>
        <v>8</v>
      </c>
      <c r="C2044" s="64">
        <v>42601</v>
      </c>
      <c r="D2044" s="64" t="s">
        <v>705</v>
      </c>
      <c r="E2044" s="64">
        <f t="shared" si="271"/>
        <v>42601</v>
      </c>
      <c r="F2044" s="67" t="s">
        <v>1201</v>
      </c>
      <c r="G2044" s="67" t="s">
        <v>1663</v>
      </c>
      <c r="H2044" s="73" t="s">
        <v>1804</v>
      </c>
      <c r="I2044" s="439"/>
      <c r="J2044" s="439"/>
      <c r="K2044" s="430"/>
      <c r="L2044" s="439"/>
      <c r="M2044" s="65">
        <v>500000000</v>
      </c>
      <c r="N2044" s="66" t="s">
        <v>26</v>
      </c>
      <c r="O2044" s="66" t="s">
        <v>26</v>
      </c>
      <c r="P2044" s="84" t="str">
        <f>IF(AND('331-CT'!$E$7=TH!H2044,OR(N2044="331",O2044="331")),"x","")</f>
        <v/>
      </c>
      <c r="Q2044" s="84" t="str">
        <f>IF(AND(B2044='111'!$L$11,OR($N2044=$Q$7,$O2044=$Q$7)),"x","")</f>
        <v/>
      </c>
      <c r="R2044" s="84" t="str">
        <f>IF(AND($N2044=$Q$7,$B2044&lt;'111'!$L$11),"x","")</f>
        <v/>
      </c>
      <c r="S2044" s="84" t="str">
        <f>IF(AND($O2044=$Q$7,$B2044&lt;'111'!$L$11),"x","")</f>
        <v/>
      </c>
      <c r="T2044" s="84" t="str">
        <f>IF(ISERROR(FIND('112'!$M$9,G2044,1)),"",IF((AND(FIND('112'!$M$9,G2044,1)&gt;=1,B2044='112'!$K$9,OR($N2044='112'!$I$6,$O2044='112'!$I$6))),"x",""))</f>
        <v/>
      </c>
      <c r="U2044" s="84" t="str">
        <f>IF(ISERROR(FIND('112'!$M$9,G2044,1)),"",IF((AND(LEFT(G2044,2)=LEFT('112'!$M$9,2),B2044&lt;'112'!$K$9,$N2044='112'!$I$6)),"x",""))</f>
        <v/>
      </c>
      <c r="V2044" s="84" t="str">
        <f>IF(ISERROR(FIND('112'!$M$9,G2044,1)),"",IF((AND(RIGHT(G2044,2)=RIGHT('112'!$M$9,2),B2044&lt;'112'!$K$9,$O2044='112'!$I$6)),"x",""))</f>
        <v/>
      </c>
      <c r="W2044" s="84" t="str">
        <f>IF(AND('341-CT'!$H$9=H2044,OR(LEFT(N2044,3)=$W$7,LEFT(O2044,3)=$W$7)),"x","")</f>
        <v/>
      </c>
      <c r="X2044" s="84" t="str">
        <f>IF(OR(TH!N2044=TH!$X$7,O2044=TH!$X$7),"x","")</f>
        <v/>
      </c>
      <c r="Y2044" s="84" t="str">
        <f>IF(AND(OR(N2044="131",O2044="131"),H2044='131-CT'!$H$9),"x","")</f>
        <v/>
      </c>
      <c r="Z2044" s="84"/>
      <c r="AA2044" s="84" t="str">
        <f>IF(AND(MONTH(E2044)='IN-NX'!$J$5,'IN-NX'!$D$7=D2044),"x","")</f>
        <v/>
      </c>
      <c r="AB2044" s="84" t="str">
        <f>IF(AND(OR(LEFT(TH!N2044,2)="15",LEFT(TH!O2044,2)="15"),LEFT(TH!O2044,3)&lt;&gt;"111",'152-CT'!$J$8=TH!F2044),"x","")</f>
        <v/>
      </c>
      <c r="AC2044" s="84" t="str">
        <f>IF(AND(OR(LEFT(TH!N2044,2)="15",LEFT(TH!O2044,2)="15"),TK!$E$7=TH!F2044),"x","")</f>
        <v/>
      </c>
      <c r="AD2044" s="84" t="str">
        <f>IF(AND(N2044="1521",MONTH(C2044)='BK-NL'!$M$11),"x","")</f>
        <v/>
      </c>
    </row>
    <row r="2045" spans="1:32" s="351" customFormat="1" ht="15.75" customHeight="1">
      <c r="A2045" s="336" t="str">
        <f>IF(B2045&lt;&gt;"",IF(AND(B2045='IN-TC'!$S$4,OR(TH!N2045="1111",TH!O2045="1111")),TH!D2045,""),"")</f>
        <v/>
      </c>
      <c r="B2045" s="63">
        <f>IF(C2045&lt;&gt;"",MONTH(C2045),"")</f>
        <v>8</v>
      </c>
      <c r="C2045" s="64">
        <v>42601</v>
      </c>
      <c r="D2045" s="64" t="s">
        <v>705</v>
      </c>
      <c r="E2045" s="64">
        <f>C2045</f>
        <v>42601</v>
      </c>
      <c r="F2045" s="67" t="s">
        <v>1199</v>
      </c>
      <c r="G2045" s="67" t="s">
        <v>1565</v>
      </c>
      <c r="H2045" s="73" t="s">
        <v>1804</v>
      </c>
      <c r="I2045" s="439"/>
      <c r="J2045" s="439"/>
      <c r="K2045" s="430"/>
      <c r="L2045" s="439"/>
      <c r="M2045" s="65">
        <v>150000</v>
      </c>
      <c r="N2045" s="66" t="s">
        <v>101</v>
      </c>
      <c r="O2045" s="66" t="s">
        <v>26</v>
      </c>
      <c r="P2045" s="84" t="str">
        <f>IF(AND('331-CT'!$E$7=TH!H2045,OR(N2045="331",O2045="331")),"x","")</f>
        <v/>
      </c>
      <c r="Q2045" s="84" t="str">
        <f>IF(AND(B2045='111'!$L$11,OR($N2045=$Q$7,$O2045=$Q$7)),"x","")</f>
        <v/>
      </c>
      <c r="R2045" s="84" t="str">
        <f>IF(AND($N2045=$Q$7,$B2045&lt;'111'!$L$11),"x","")</f>
        <v/>
      </c>
      <c r="S2045" s="84" t="str">
        <f>IF(AND($O2045=$Q$7,$B2045&lt;'111'!$L$11),"x","")</f>
        <v/>
      </c>
      <c r="T2045" s="84" t="str">
        <f>IF(ISERROR(FIND('112'!$M$9,G2045,1)),"",IF((AND(FIND('112'!$M$9,G2045,1)&gt;=1,B2045='112'!$K$9,OR($N2045='112'!$I$6,$O2045='112'!$I$6))),"x",""))</f>
        <v/>
      </c>
      <c r="U2045" s="84" t="str">
        <f>IF(ISERROR(FIND('112'!$M$9,G2045,1)),"",IF((AND(LEFT(G2045,2)=LEFT('112'!$M$9,2),B2045&lt;'112'!$K$9,$N2045='112'!$I$6)),"x",""))</f>
        <v/>
      </c>
      <c r="V2045" s="84" t="str">
        <f>IF(ISERROR(FIND('112'!$M$9,G2045,1)),"",IF((AND(RIGHT(G2045,2)=RIGHT('112'!$M$9,2),B2045&lt;'112'!$K$9,$O2045='112'!$I$6)),"x",""))</f>
        <v/>
      </c>
      <c r="W2045" s="84" t="str">
        <f>IF(AND('341-CT'!$H$9=H2045,OR(LEFT(N2045,3)=$W$7,LEFT(O2045,3)=$W$7)),"x","")</f>
        <v/>
      </c>
      <c r="X2045" s="84" t="str">
        <f>IF(OR(TH!N2045=TH!$X$7,O2045=TH!$X$7),"x","")</f>
        <v/>
      </c>
      <c r="Y2045" s="84" t="str">
        <f>IF(AND(OR(N2045="131",O2045="131"),H2045='131-CT'!$H$9),"x","")</f>
        <v/>
      </c>
      <c r="Z2045" s="84"/>
      <c r="AA2045" s="84" t="str">
        <f>IF(AND(MONTH(E2045)='IN-NX'!$J$5,'IN-NX'!$D$7=D2045),"x","")</f>
        <v/>
      </c>
      <c r="AB2045" s="84" t="str">
        <f>IF(AND(OR(LEFT(TH!N2045,2)="15",LEFT(TH!O2045,2)="15"),LEFT(TH!O2045,3)&lt;&gt;"111",'152-CT'!$J$8=TH!F2045),"x","")</f>
        <v/>
      </c>
      <c r="AC2045" s="84" t="str">
        <f>IF(AND(OR(LEFT(TH!N2045,2)="15",LEFT(TH!O2045,2)="15"),TK!$E$7=TH!F2045),"x","")</f>
        <v/>
      </c>
      <c r="AD2045" s="84" t="str">
        <f>IF(AND(N2045="1521",MONTH(C2045)='BK-NL'!$M$11),"x","")</f>
        <v/>
      </c>
      <c r="AF2045" s="351">
        <v>8</v>
      </c>
    </row>
    <row r="2046" spans="1:32" s="351" customFormat="1" ht="15.75" hidden="1" customHeight="1">
      <c r="A2046" s="336" t="str">
        <f>IF(B2046&lt;&gt;"",IF(AND(B2046='IN-TC'!$S$4,OR(TH!N2046="1111",TH!O2046="1111")),TH!D2046,""),"")</f>
        <v/>
      </c>
      <c r="B2046" s="63">
        <f>IF(C2046&lt;&gt;"",MONTH(C2046),"")</f>
        <v>8</v>
      </c>
      <c r="C2046" s="64">
        <v>42601</v>
      </c>
      <c r="D2046" s="64" t="s">
        <v>705</v>
      </c>
      <c r="E2046" s="64">
        <f>C2046</f>
        <v>42601</v>
      </c>
      <c r="F2046" s="67" t="s">
        <v>1200</v>
      </c>
      <c r="G2046" s="67" t="s">
        <v>1565</v>
      </c>
      <c r="H2046" s="73" t="s">
        <v>1804</v>
      </c>
      <c r="I2046" s="439"/>
      <c r="J2046" s="439"/>
      <c r="K2046" s="430"/>
      <c r="L2046" s="439"/>
      <c r="M2046" s="65">
        <v>15000</v>
      </c>
      <c r="N2046" s="84" t="s">
        <v>2001</v>
      </c>
      <c r="O2046" s="66" t="s">
        <v>26</v>
      </c>
      <c r="P2046" s="84" t="str">
        <f>IF(AND('331-CT'!$E$7=TH!H2046,OR(N2046="331",O2046="331")),"x","")</f>
        <v/>
      </c>
      <c r="Q2046" s="84" t="str">
        <f>IF(AND(B2046='111'!$L$11,OR($N2046=$Q$7,$O2046=$Q$7)),"x","")</f>
        <v/>
      </c>
      <c r="R2046" s="84" t="str">
        <f>IF(AND($N2046=$Q$7,$B2046&lt;'111'!$L$11),"x","")</f>
        <v/>
      </c>
      <c r="S2046" s="84" t="str">
        <f>IF(AND($O2046=$Q$7,$B2046&lt;'111'!$L$11),"x","")</f>
        <v/>
      </c>
      <c r="T2046" s="84" t="str">
        <f>IF(ISERROR(FIND('112'!$M$9,G2046,1)),"",IF((AND(FIND('112'!$M$9,G2046,1)&gt;=1,B2046='112'!$K$9,OR($N2046='112'!$I$6,$O2046='112'!$I$6))),"x",""))</f>
        <v/>
      </c>
      <c r="U2046" s="84" t="str">
        <f>IF(ISERROR(FIND('112'!$M$9,G2046,1)),"",IF((AND(LEFT(G2046,2)=LEFT('112'!$M$9,2),B2046&lt;'112'!$K$9,$N2046='112'!$I$6)),"x",""))</f>
        <v/>
      </c>
      <c r="V2046" s="84" t="str">
        <f>IF(ISERROR(FIND('112'!$M$9,G2046,1)),"",IF((AND(RIGHT(G2046,2)=RIGHT('112'!$M$9,2),B2046&lt;'112'!$K$9,$O2046='112'!$I$6)),"x",""))</f>
        <v/>
      </c>
      <c r="W2046" s="84" t="str">
        <f>IF(AND('341-CT'!$H$9=H2046,OR(LEFT(N2046,3)=$W$7,LEFT(O2046,3)=$W$7)),"x","")</f>
        <v/>
      </c>
      <c r="X2046" s="84" t="str">
        <f>IF(OR(TH!N2046=TH!$X$7,O2046=TH!$X$7),"x","")</f>
        <v/>
      </c>
      <c r="Y2046" s="84" t="str">
        <f>IF(AND(OR(N2046="131",O2046="131"),H2046='131-CT'!$H$9),"x","")</f>
        <v/>
      </c>
      <c r="Z2046" s="84"/>
      <c r="AA2046" s="84" t="str">
        <f>IF(AND(MONTH(E2046)='IN-NX'!$J$5,'IN-NX'!$D$7=D2046),"x","")</f>
        <v/>
      </c>
      <c r="AB2046" s="84" t="str">
        <f>IF(AND(OR(LEFT(TH!N2046,2)="15",LEFT(TH!O2046,2)="15"),LEFT(TH!O2046,3)&lt;&gt;"111",'152-CT'!$J$8=TH!F2046),"x","")</f>
        <v/>
      </c>
      <c r="AC2046" s="84" t="str">
        <f>IF(AND(OR(LEFT(TH!N2046,2)="15",LEFT(TH!O2046,2)="15"),TK!$E$7=TH!F2046),"x","")</f>
        <v/>
      </c>
      <c r="AD2046" s="84" t="str">
        <f>IF(AND(N2046="1521",MONTH(C2046)='BK-NL'!$M$11),"x","")</f>
        <v/>
      </c>
      <c r="AF2046" s="351">
        <v>8</v>
      </c>
    </row>
    <row r="2047" spans="1:32" s="351" customFormat="1" ht="15.75" hidden="1" customHeight="1">
      <c r="A2047" s="336" t="str">
        <f>IF(B2047&lt;&gt;"",IF(AND(B2047='IN-TC'!$S$4,OR(TH!N2047="1111",TH!O2047="1111")),TH!D2047,""),"")</f>
        <v/>
      </c>
      <c r="B2047" s="63">
        <f>IF(C2047&lt;&gt;"",MONTH(C2047),"")</f>
        <v>8</v>
      </c>
      <c r="C2047" s="64">
        <v>42604</v>
      </c>
      <c r="D2047" s="64" t="s">
        <v>702</v>
      </c>
      <c r="E2047" s="64">
        <f>C2047</f>
        <v>42604</v>
      </c>
      <c r="F2047" s="67" t="s">
        <v>1945</v>
      </c>
      <c r="G2047" s="67" t="s">
        <v>1565</v>
      </c>
      <c r="H2047" s="73" t="s">
        <v>1948</v>
      </c>
      <c r="I2047" s="439"/>
      <c r="J2047" s="439"/>
      <c r="K2047" s="430">
        <v>63000</v>
      </c>
      <c r="L2047" s="439">
        <v>22292</v>
      </c>
      <c r="M2047" s="65">
        <v>1404396000</v>
      </c>
      <c r="N2047" s="66" t="s">
        <v>26</v>
      </c>
      <c r="O2047" s="66" t="s">
        <v>260</v>
      </c>
      <c r="P2047" s="84" t="str">
        <f>IF(AND('331-CT'!$E$7=TH!H2047,OR(N2047="331",O2047="331")),"x","")</f>
        <v/>
      </c>
      <c r="Q2047" s="84" t="str">
        <f>IF(AND(B2047='111'!$L$11,OR($N2047=$Q$7,$O2047=$Q$7)),"x","")</f>
        <v/>
      </c>
      <c r="R2047" s="84" t="str">
        <f>IF(AND($N2047=$Q$7,$B2047&lt;'111'!$L$11),"x","")</f>
        <v/>
      </c>
      <c r="S2047" s="84" t="str">
        <f>IF(AND($O2047=$Q$7,$B2047&lt;'111'!$L$11),"x","")</f>
        <v/>
      </c>
      <c r="T2047" s="84" t="str">
        <f>IF(ISERROR(FIND('112'!$M$9,G2047,1)),"",IF((AND(FIND('112'!$M$9,G2047,1)&gt;=1,B2047='112'!$K$9,OR($N2047='112'!$I$6,$O2047='112'!$I$6))),"x",""))</f>
        <v/>
      </c>
      <c r="U2047" s="84" t="str">
        <f>IF(ISERROR(FIND('112'!$M$9,G2047,1)),"",IF((AND(LEFT(G2047,2)=LEFT('112'!$M$9,2),B2047&lt;'112'!$K$9,$N2047='112'!$I$6)),"x",""))</f>
        <v/>
      </c>
      <c r="V2047" s="84" t="str">
        <f>IF(ISERROR(FIND('112'!$M$9,G2047,1)),"",IF((AND(RIGHT(G2047,2)=RIGHT('112'!$M$9,2),B2047&lt;'112'!$K$9,$O2047='112'!$I$6)),"x",""))</f>
        <v/>
      </c>
      <c r="W2047" s="84" t="str">
        <f>IF(AND('341-CT'!$H$9=H2047,OR(LEFT(N2047,3)=$W$7,LEFT(O2047,3)=$W$7)),"x","")</f>
        <v/>
      </c>
      <c r="X2047" s="84" t="str">
        <f>IF(OR(TH!N2047=TH!$X$7,O2047=TH!$X$7),"x","")</f>
        <v/>
      </c>
      <c r="Y2047" s="84" t="str">
        <f>IF(AND(OR(N2047="131",O2047="131"),H2047='131-CT'!$H$9),"x","")</f>
        <v/>
      </c>
      <c r="Z2047" s="84"/>
      <c r="AA2047" s="84" t="str">
        <f>IF(AND(MONTH(E2047)='IN-NX'!$J$5,'IN-NX'!$D$7=D2047),"x","")</f>
        <v/>
      </c>
      <c r="AB2047" s="84" t="str">
        <f>IF(AND(OR(LEFT(TH!N2047,2)="15",LEFT(TH!O2047,2)="15"),LEFT(TH!O2047,3)&lt;&gt;"111",'152-CT'!$J$8=TH!F2047),"x","")</f>
        <v/>
      </c>
      <c r="AC2047" s="84" t="str">
        <f>IF(AND(OR(LEFT(TH!N2047,2)="15",LEFT(TH!O2047,2)="15"),TK!$E$7=TH!F2047),"x","")</f>
        <v/>
      </c>
      <c r="AD2047" s="84" t="str">
        <f>IF(AND(N2047="1521",MONTH(C2047)='BK-NL'!$M$11),"x","")</f>
        <v/>
      </c>
    </row>
    <row r="2048" spans="1:32" ht="15.75" hidden="1" customHeight="1">
      <c r="A2048" s="336" t="str">
        <f>IF(B2048&lt;&gt;"",IF(AND(B2048='IN-TC'!$S$4,OR(TH!N2048="1111",TH!O2048="1111")),TH!D2048,""),"")</f>
        <v/>
      </c>
      <c r="B2048" s="63">
        <f>IF(C2048&lt;&gt;"",MONTH(C2048),"")</f>
        <v>8</v>
      </c>
      <c r="C2048" s="64">
        <v>42604</v>
      </c>
      <c r="D2048" s="64" t="s">
        <v>705</v>
      </c>
      <c r="E2048" s="64">
        <f>C2048</f>
        <v>42604</v>
      </c>
      <c r="F2048" s="67" t="s">
        <v>1791</v>
      </c>
      <c r="G2048" s="67" t="s">
        <v>1565</v>
      </c>
      <c r="H2048" s="971" t="s">
        <v>1885</v>
      </c>
      <c r="I2048" s="439"/>
      <c r="J2048" s="439"/>
      <c r="K2048" s="430"/>
      <c r="L2048" s="439"/>
      <c r="M2048" s="1164">
        <v>6085622</v>
      </c>
      <c r="N2048" s="66" t="s">
        <v>99</v>
      </c>
      <c r="O2048" s="66" t="s">
        <v>26</v>
      </c>
      <c r="P2048" s="84" t="str">
        <f>IF(AND('331-CT'!$E$7=TH!H2048,OR(N2048="331",O2048="331")),"x","")</f>
        <v/>
      </c>
      <c r="Q2048" s="84" t="str">
        <f>IF(AND(B2048='111'!$L$11,OR($N2048=$Q$7,$O2048=$Q$7)),"x","")</f>
        <v/>
      </c>
      <c r="R2048" s="84" t="str">
        <f>IF(AND($N2048=$Q$7,$B2048&lt;'111'!$L$11),"x","")</f>
        <v/>
      </c>
      <c r="S2048" s="84" t="str">
        <f>IF(AND($O2048=$Q$7,$B2048&lt;'111'!$L$11),"x","")</f>
        <v/>
      </c>
      <c r="T2048" s="84" t="str">
        <f>IF(ISERROR(FIND('112'!$M$9,G2048,1)),"",IF((AND(FIND('112'!$M$9,G2048,1)&gt;=1,B2048='112'!$K$9,OR($N2048='112'!$I$6,$O2048='112'!$I$6))),"x",""))</f>
        <v/>
      </c>
      <c r="U2048" s="84" t="str">
        <f>IF(ISERROR(FIND('112'!$M$9,G2048,1)),"",IF((AND(LEFT(G2048,2)=LEFT('112'!$M$9,2),B2048&lt;'112'!$K$9,$N2048='112'!$I$6)),"x",""))</f>
        <v/>
      </c>
      <c r="V2048" s="84" t="str">
        <f>IF(ISERROR(FIND('112'!$M$9,G2048,1)),"",IF((AND(RIGHT(G2048,2)=RIGHT('112'!$M$9,2),B2048&lt;'112'!$K$9,$O2048='112'!$I$6)),"x",""))</f>
        <v/>
      </c>
      <c r="W2048" s="84" t="str">
        <f>IF(AND('341-CT'!$H$9=H2048,OR(LEFT(N2048,3)=$W$7,LEFT(O2048,3)=$W$7)),"x","")</f>
        <v/>
      </c>
      <c r="X2048" s="84" t="str">
        <f>IF(OR(TH!N2048=TH!$X$7,O2048=TH!$X$7),"x","")</f>
        <v/>
      </c>
      <c r="Y2048" s="84" t="str">
        <f>IF(AND(OR(N2048="131",O2048="131"),H2048='131-CT'!$H$9),"x","")</f>
        <v/>
      </c>
      <c r="Z2048" s="84"/>
      <c r="AA2048" s="84" t="str">
        <f>IF(AND(MONTH(E2048)='IN-NX'!$J$5,'IN-NX'!$D$7=D2048),"x","")</f>
        <v/>
      </c>
      <c r="AB2048" s="84" t="str">
        <f>IF(AND(OR(LEFT(TH!N2048,2)="15",LEFT(TH!O2048,2)="15"),LEFT(TH!O2048,3)&lt;&gt;"111",'152-CT'!$J$8=TH!F2048),"x","")</f>
        <v/>
      </c>
      <c r="AC2048" s="84" t="str">
        <f>IF(AND(OR(LEFT(TH!N2048,2)="15",LEFT(TH!O2048,2)="15"),TK!$E$7=TH!F2048),"x","")</f>
        <v/>
      </c>
      <c r="AD2048" s="84" t="str">
        <f>IF(AND(N2048="1521",MONTH(C2048)='BK-NL'!$M$11),"x","")</f>
        <v/>
      </c>
    </row>
    <row r="2049" spans="1:32" s="351" customFormat="1" ht="15.75" hidden="1" customHeight="1">
      <c r="A2049" s="336" t="str">
        <f>IF(B2049&lt;&gt;"",IF(AND(B2049='IN-TC'!$S$4,OR(TH!N2049="1111",TH!O2049="1111")),TH!D2049,""),"")</f>
        <v/>
      </c>
      <c r="B2049" s="63">
        <f t="shared" si="270"/>
        <v>8</v>
      </c>
      <c r="C2049" s="64">
        <v>42604</v>
      </c>
      <c r="D2049" s="64" t="s">
        <v>705</v>
      </c>
      <c r="E2049" s="64">
        <f t="shared" si="271"/>
        <v>42604</v>
      </c>
      <c r="F2049" s="67" t="s">
        <v>1791</v>
      </c>
      <c r="G2049" s="67" t="s">
        <v>1565</v>
      </c>
      <c r="H2049" s="971" t="s">
        <v>1885</v>
      </c>
      <c r="I2049" s="439"/>
      <c r="J2049" s="439"/>
      <c r="K2049" s="430"/>
      <c r="L2049" s="439"/>
      <c r="M2049" s="65">
        <v>6671345</v>
      </c>
      <c r="N2049" s="66" t="s">
        <v>99</v>
      </c>
      <c r="O2049" s="66" t="s">
        <v>26</v>
      </c>
      <c r="P2049" s="84" t="str">
        <f>IF(AND('331-CT'!$E$7=TH!H2049,OR(N2049="331",O2049="331")),"x","")</f>
        <v/>
      </c>
      <c r="Q2049" s="84" t="str">
        <f>IF(AND(B2049='111'!$L$11,OR($N2049=$Q$7,$O2049=$Q$7)),"x","")</f>
        <v/>
      </c>
      <c r="R2049" s="84" t="str">
        <f>IF(AND($N2049=$Q$7,$B2049&lt;'111'!$L$11),"x","")</f>
        <v/>
      </c>
      <c r="S2049" s="84" t="str">
        <f>IF(AND($O2049=$Q$7,$B2049&lt;'111'!$L$11),"x","")</f>
        <v/>
      </c>
      <c r="T2049" s="84" t="str">
        <f>IF(ISERROR(FIND('112'!$M$9,G2049,1)),"",IF((AND(FIND('112'!$M$9,G2049,1)&gt;=1,B2049='112'!$K$9,OR($N2049='112'!$I$6,$O2049='112'!$I$6))),"x",""))</f>
        <v/>
      </c>
      <c r="U2049" s="84" t="str">
        <f>IF(ISERROR(FIND('112'!$M$9,G2049,1)),"",IF((AND(LEFT(G2049,2)=LEFT('112'!$M$9,2),B2049&lt;'112'!$K$9,$N2049='112'!$I$6)),"x",""))</f>
        <v/>
      </c>
      <c r="V2049" s="84" t="str">
        <f>IF(ISERROR(FIND('112'!$M$9,G2049,1)),"",IF((AND(RIGHT(G2049,2)=RIGHT('112'!$M$9,2),B2049&lt;'112'!$K$9,$O2049='112'!$I$6)),"x",""))</f>
        <v/>
      </c>
      <c r="W2049" s="84" t="str">
        <f>IF(AND('341-CT'!$H$9=H2049,OR(LEFT(N2049,3)=$W$7,LEFT(O2049,3)=$W$7)),"x","")</f>
        <v/>
      </c>
      <c r="X2049" s="84" t="str">
        <f>IF(OR(TH!N2049=TH!$X$7,O2049=TH!$X$7),"x","")</f>
        <v/>
      </c>
      <c r="Y2049" s="84" t="str">
        <f>IF(AND(OR(N2049="131",O2049="131"),H2049='131-CT'!$H$9),"x","")</f>
        <v/>
      </c>
      <c r="Z2049" s="84"/>
      <c r="AA2049" s="84" t="str">
        <f>IF(AND(MONTH(E2049)='IN-NX'!$J$5,'IN-NX'!$D$7=D2049),"x","")</f>
        <v/>
      </c>
      <c r="AB2049" s="84" t="str">
        <f>IF(AND(OR(LEFT(TH!N2049,2)="15",LEFT(TH!O2049,2)="15"),LEFT(TH!O2049,3)&lt;&gt;"111",'152-CT'!$J$8=TH!F2049),"x","")</f>
        <v/>
      </c>
      <c r="AC2049" s="84" t="str">
        <f>IF(AND(OR(LEFT(TH!N2049,2)="15",LEFT(TH!O2049,2)="15"),TK!$E$7=TH!F2049),"x","")</f>
        <v/>
      </c>
      <c r="AD2049" s="84" t="str">
        <f>IF(AND(N2049="1521",MONTH(C2049)='BK-NL'!$M$11),"x","")</f>
        <v/>
      </c>
    </row>
    <row r="2050" spans="1:32" s="351" customFormat="1" ht="15.75" hidden="1" customHeight="1">
      <c r="A2050" s="336" t="str">
        <f>IF(B2050&lt;&gt;"",IF(AND(B2050='IN-TC'!$S$4,OR(TH!N2050="1111",TH!O2050="1111")),TH!D2050,""),"")</f>
        <v/>
      </c>
      <c r="B2050" s="63">
        <f t="shared" si="270"/>
        <v>8</v>
      </c>
      <c r="C2050" s="64">
        <v>42604</v>
      </c>
      <c r="D2050" s="64" t="s">
        <v>705</v>
      </c>
      <c r="E2050" s="64">
        <f t="shared" si="271"/>
        <v>42604</v>
      </c>
      <c r="F2050" s="67" t="s">
        <v>1791</v>
      </c>
      <c r="G2050" s="67" t="s">
        <v>1565</v>
      </c>
      <c r="H2050" s="971" t="s">
        <v>1885</v>
      </c>
      <c r="I2050" s="439"/>
      <c r="J2050" s="439"/>
      <c r="K2050" s="430"/>
      <c r="L2050" s="439"/>
      <c r="M2050" s="65">
        <v>6708016</v>
      </c>
      <c r="N2050" s="66" t="s">
        <v>99</v>
      </c>
      <c r="O2050" s="66" t="s">
        <v>26</v>
      </c>
      <c r="P2050" s="84" t="str">
        <f>IF(AND('331-CT'!$E$7=TH!H2050,OR(N2050="331",O2050="331")),"x","")</f>
        <v/>
      </c>
      <c r="Q2050" s="84" t="str">
        <f>IF(AND(B2050='111'!$L$11,OR($N2050=$Q$7,$O2050=$Q$7)),"x","")</f>
        <v/>
      </c>
      <c r="R2050" s="84" t="str">
        <f>IF(AND($N2050=$Q$7,$B2050&lt;'111'!$L$11),"x","")</f>
        <v/>
      </c>
      <c r="S2050" s="84" t="str">
        <f>IF(AND($O2050=$Q$7,$B2050&lt;'111'!$L$11),"x","")</f>
        <v/>
      </c>
      <c r="T2050" s="84" t="str">
        <f>IF(ISERROR(FIND('112'!$M$9,G2050,1)),"",IF((AND(FIND('112'!$M$9,G2050,1)&gt;=1,B2050='112'!$K$9,OR($N2050='112'!$I$6,$O2050='112'!$I$6))),"x",""))</f>
        <v/>
      </c>
      <c r="U2050" s="84" t="str">
        <f>IF(ISERROR(FIND('112'!$M$9,G2050,1)),"",IF((AND(LEFT(G2050,2)=LEFT('112'!$M$9,2),B2050&lt;'112'!$K$9,$N2050='112'!$I$6)),"x",""))</f>
        <v/>
      </c>
      <c r="V2050" s="84" t="str">
        <f>IF(ISERROR(FIND('112'!$M$9,G2050,1)),"",IF((AND(RIGHT(G2050,2)=RIGHT('112'!$M$9,2),B2050&lt;'112'!$K$9,$O2050='112'!$I$6)),"x",""))</f>
        <v/>
      </c>
      <c r="W2050" s="84" t="str">
        <f>IF(AND('341-CT'!$H$9=H2050,OR(LEFT(N2050,3)=$W$7,LEFT(O2050,3)=$W$7)),"x","")</f>
        <v/>
      </c>
      <c r="X2050" s="84" t="str">
        <f>IF(OR(TH!N2050=TH!$X$7,O2050=TH!$X$7),"x","")</f>
        <v/>
      </c>
      <c r="Y2050" s="84" t="str">
        <f>IF(AND(OR(N2050="131",O2050="131"),H2050='131-CT'!$H$9),"x","")</f>
        <v/>
      </c>
      <c r="Z2050" s="84"/>
      <c r="AA2050" s="84" t="str">
        <f>IF(AND(MONTH(E2050)='IN-NX'!$J$5,'IN-NX'!$D$7=D2050),"x","")</f>
        <v/>
      </c>
      <c r="AB2050" s="84" t="str">
        <f>IF(AND(OR(LEFT(TH!N2050,2)="15",LEFT(TH!O2050,2)="15"),LEFT(TH!O2050,3)&lt;&gt;"111",'152-CT'!$J$8=TH!F2050),"x","")</f>
        <v/>
      </c>
      <c r="AC2050" s="84" t="str">
        <f>IF(AND(OR(LEFT(TH!N2050,2)="15",LEFT(TH!O2050,2)="15"),TK!$E$7=TH!F2050),"x","")</f>
        <v/>
      </c>
      <c r="AD2050" s="84" t="str">
        <f>IF(AND(N2050="1521",MONTH(C2050)='BK-NL'!$M$11),"x","")</f>
        <v/>
      </c>
    </row>
    <row r="2051" spans="1:32" s="351" customFormat="1" ht="15.75" hidden="1" customHeight="1">
      <c r="A2051" s="336" t="str">
        <f>IF(B2051&lt;&gt;"",IF(AND(B2051='IN-TC'!$S$4,OR(TH!N2051="1111",TH!O2051="1111")),TH!D2051,""),"")</f>
        <v/>
      </c>
      <c r="B2051" s="63">
        <f t="shared" si="270"/>
        <v>8</v>
      </c>
      <c r="C2051" s="64">
        <v>42604</v>
      </c>
      <c r="D2051" s="64" t="s">
        <v>705</v>
      </c>
      <c r="E2051" s="64">
        <f t="shared" si="271"/>
        <v>42604</v>
      </c>
      <c r="F2051" s="67" t="s">
        <v>1791</v>
      </c>
      <c r="G2051" s="67" t="s">
        <v>1565</v>
      </c>
      <c r="H2051" s="971" t="s">
        <v>1885</v>
      </c>
      <c r="I2051" s="439"/>
      <c r="J2051" s="439"/>
      <c r="K2051" s="430"/>
      <c r="L2051" s="439"/>
      <c r="M2051" s="65">
        <v>5670694</v>
      </c>
      <c r="N2051" s="66" t="s">
        <v>99</v>
      </c>
      <c r="O2051" s="66" t="s">
        <v>26</v>
      </c>
      <c r="P2051" s="84" t="str">
        <f>IF(AND('331-CT'!$E$7=TH!H2051,OR(N2051="331",O2051="331")),"x","")</f>
        <v/>
      </c>
      <c r="Q2051" s="84" t="str">
        <f>IF(AND(B2051='111'!$L$11,OR($N2051=$Q$7,$O2051=$Q$7)),"x","")</f>
        <v/>
      </c>
      <c r="R2051" s="84" t="str">
        <f>IF(AND($N2051=$Q$7,$B2051&lt;'111'!$L$11),"x","")</f>
        <v/>
      </c>
      <c r="S2051" s="84" t="str">
        <f>IF(AND($O2051=$Q$7,$B2051&lt;'111'!$L$11),"x","")</f>
        <v/>
      </c>
      <c r="T2051" s="84" t="str">
        <f>IF(ISERROR(FIND('112'!$M$9,G2051,1)),"",IF((AND(FIND('112'!$M$9,G2051,1)&gt;=1,B2051='112'!$K$9,OR($N2051='112'!$I$6,$O2051='112'!$I$6))),"x",""))</f>
        <v/>
      </c>
      <c r="U2051" s="84" t="str">
        <f>IF(ISERROR(FIND('112'!$M$9,G2051,1)),"",IF((AND(LEFT(G2051,2)=LEFT('112'!$M$9,2),B2051&lt;'112'!$K$9,$N2051='112'!$I$6)),"x",""))</f>
        <v/>
      </c>
      <c r="V2051" s="84" t="str">
        <f>IF(ISERROR(FIND('112'!$M$9,G2051,1)),"",IF((AND(RIGHT(G2051,2)=RIGHT('112'!$M$9,2),B2051&lt;'112'!$K$9,$O2051='112'!$I$6)),"x",""))</f>
        <v/>
      </c>
      <c r="W2051" s="84" t="str">
        <f>IF(AND('341-CT'!$H$9=H2051,OR(LEFT(N2051,3)=$W$7,LEFT(O2051,3)=$W$7)),"x","")</f>
        <v/>
      </c>
      <c r="X2051" s="84" t="str">
        <f>IF(OR(TH!N2051=TH!$X$7,O2051=TH!$X$7),"x","")</f>
        <v/>
      </c>
      <c r="Y2051" s="84" t="str">
        <f>IF(AND(OR(N2051="131",O2051="131"),H2051='131-CT'!$H$9),"x","")</f>
        <v/>
      </c>
      <c r="Z2051" s="84"/>
      <c r="AA2051" s="84" t="str">
        <f>IF(AND(MONTH(E2051)='IN-NX'!$J$5,'IN-NX'!$D$7=D2051),"x","")</f>
        <v/>
      </c>
      <c r="AB2051" s="84" t="str">
        <f>IF(AND(OR(LEFT(TH!N2051,2)="15",LEFT(TH!O2051,2)="15"),LEFT(TH!O2051,3)&lt;&gt;"111",'152-CT'!$J$8=TH!F2051),"x","")</f>
        <v/>
      </c>
      <c r="AC2051" s="84" t="str">
        <f>IF(AND(OR(LEFT(TH!N2051,2)="15",LEFT(TH!O2051,2)="15"),TK!$E$7=TH!F2051),"x","")</f>
        <v/>
      </c>
      <c r="AD2051" s="84" t="str">
        <f>IF(AND(N2051="1521",MONTH(C2051)='BK-NL'!$M$11),"x","")</f>
        <v/>
      </c>
    </row>
    <row r="2052" spans="1:32" s="351" customFormat="1" ht="15.75" hidden="1" customHeight="1">
      <c r="A2052" s="336" t="str">
        <f>IF(B2052&lt;&gt;"",IF(AND(B2052='IN-TC'!$S$4,OR(TH!N2052="1111",TH!O2052="1111")),TH!D2052,""),"")</f>
        <v/>
      </c>
      <c r="B2052" s="63">
        <f t="shared" si="270"/>
        <v>8</v>
      </c>
      <c r="C2052" s="64">
        <v>42604</v>
      </c>
      <c r="D2052" s="64" t="s">
        <v>705</v>
      </c>
      <c r="E2052" s="64">
        <f t="shared" si="271"/>
        <v>42604</v>
      </c>
      <c r="F2052" s="67" t="s">
        <v>1791</v>
      </c>
      <c r="G2052" s="67" t="s">
        <v>1565</v>
      </c>
      <c r="H2052" s="971" t="s">
        <v>1885</v>
      </c>
      <c r="I2052" s="439"/>
      <c r="J2052" s="439"/>
      <c r="K2052" s="430"/>
      <c r="L2052" s="439"/>
      <c r="M2052" s="65">
        <v>6223932</v>
      </c>
      <c r="N2052" s="66" t="s">
        <v>99</v>
      </c>
      <c r="O2052" s="66" t="s">
        <v>26</v>
      </c>
      <c r="P2052" s="84" t="str">
        <f>IF(AND('331-CT'!$E$7=TH!H2052,OR(N2052="331",O2052="331")),"x","")</f>
        <v/>
      </c>
      <c r="Q2052" s="84" t="str">
        <f>IF(AND(B2052='111'!$L$11,OR($N2052=$Q$7,$O2052=$Q$7)),"x","")</f>
        <v/>
      </c>
      <c r="R2052" s="84" t="str">
        <f>IF(AND($N2052=$Q$7,$B2052&lt;'111'!$L$11),"x","")</f>
        <v/>
      </c>
      <c r="S2052" s="84" t="str">
        <f>IF(AND($O2052=$Q$7,$B2052&lt;'111'!$L$11),"x","")</f>
        <v/>
      </c>
      <c r="T2052" s="84" t="str">
        <f>IF(ISERROR(FIND('112'!$M$9,G2052,1)),"",IF((AND(FIND('112'!$M$9,G2052,1)&gt;=1,B2052='112'!$K$9,OR($N2052='112'!$I$6,$O2052='112'!$I$6))),"x",""))</f>
        <v/>
      </c>
      <c r="U2052" s="84" t="str">
        <f>IF(ISERROR(FIND('112'!$M$9,G2052,1)),"",IF((AND(LEFT(G2052,2)=LEFT('112'!$M$9,2),B2052&lt;'112'!$K$9,$N2052='112'!$I$6)),"x",""))</f>
        <v/>
      </c>
      <c r="V2052" s="84" t="str">
        <f>IF(ISERROR(FIND('112'!$M$9,G2052,1)),"",IF((AND(RIGHT(G2052,2)=RIGHT('112'!$M$9,2),B2052&lt;'112'!$K$9,$O2052='112'!$I$6)),"x",""))</f>
        <v/>
      </c>
      <c r="W2052" s="84" t="str">
        <f>IF(AND('341-CT'!$H$9=H2052,OR(LEFT(N2052,3)=$W$7,LEFT(O2052,3)=$W$7)),"x","")</f>
        <v/>
      </c>
      <c r="X2052" s="84" t="str">
        <f>IF(OR(TH!N2052=TH!$X$7,O2052=TH!$X$7),"x","")</f>
        <v/>
      </c>
      <c r="Y2052" s="84" t="str">
        <f>IF(AND(OR(N2052="131",O2052="131"),H2052='131-CT'!$H$9),"x","")</f>
        <v/>
      </c>
      <c r="Z2052" s="84"/>
      <c r="AA2052" s="84" t="str">
        <f>IF(AND(MONTH(E2052)='IN-NX'!$J$5,'IN-NX'!$D$7=D2052),"x","")</f>
        <v/>
      </c>
      <c r="AB2052" s="84" t="str">
        <f>IF(AND(OR(LEFT(TH!N2052,2)="15",LEFT(TH!O2052,2)="15"),LEFT(TH!O2052,3)&lt;&gt;"111",'152-CT'!$J$8=TH!F2052),"x","")</f>
        <v/>
      </c>
      <c r="AC2052" s="84" t="str">
        <f>IF(AND(OR(LEFT(TH!N2052,2)="15",LEFT(TH!O2052,2)="15"),TK!$E$7=TH!F2052),"x","")</f>
        <v/>
      </c>
      <c r="AD2052" s="84" t="str">
        <f>IF(AND(N2052="1521",MONTH(C2052)='BK-NL'!$M$11),"x","")</f>
        <v/>
      </c>
    </row>
    <row r="2053" spans="1:32" s="351" customFormat="1" ht="15.75" hidden="1" customHeight="1">
      <c r="A2053" s="336" t="str">
        <f>IF(B2053&lt;&gt;"",IF(AND(B2053='IN-TC'!$S$4,OR(TH!N2053="1111",TH!O2053="1111")),TH!D2053,""),"")</f>
        <v/>
      </c>
      <c r="B2053" s="63">
        <f t="shared" si="270"/>
        <v>8</v>
      </c>
      <c r="C2053" s="64">
        <v>42604</v>
      </c>
      <c r="D2053" s="64" t="s">
        <v>705</v>
      </c>
      <c r="E2053" s="64">
        <f t="shared" si="271"/>
        <v>42604</v>
      </c>
      <c r="F2053" s="67" t="s">
        <v>1791</v>
      </c>
      <c r="G2053" s="67" t="s">
        <v>1565</v>
      </c>
      <c r="H2053" s="971" t="s">
        <v>1885</v>
      </c>
      <c r="I2053" s="439"/>
      <c r="J2053" s="439"/>
      <c r="K2053" s="430"/>
      <c r="L2053" s="439"/>
      <c r="M2053" s="65">
        <v>6154777</v>
      </c>
      <c r="N2053" s="66" t="s">
        <v>99</v>
      </c>
      <c r="O2053" s="66" t="s">
        <v>26</v>
      </c>
      <c r="P2053" s="84" t="str">
        <f>IF(AND('331-CT'!$E$7=TH!H2053,OR(N2053="331",O2053="331")),"x","")</f>
        <v/>
      </c>
      <c r="Q2053" s="84" t="str">
        <f>IF(AND(B2053='111'!$L$11,OR($N2053=$Q$7,$O2053=$Q$7)),"x","")</f>
        <v/>
      </c>
      <c r="R2053" s="84" t="str">
        <f>IF(AND($N2053=$Q$7,$B2053&lt;'111'!$L$11),"x","")</f>
        <v/>
      </c>
      <c r="S2053" s="84" t="str">
        <f>IF(AND($O2053=$Q$7,$B2053&lt;'111'!$L$11),"x","")</f>
        <v/>
      </c>
      <c r="T2053" s="84" t="str">
        <f>IF(ISERROR(FIND('112'!$M$9,G2053,1)),"",IF((AND(FIND('112'!$M$9,G2053,1)&gt;=1,B2053='112'!$K$9,OR($N2053='112'!$I$6,$O2053='112'!$I$6))),"x",""))</f>
        <v/>
      </c>
      <c r="U2053" s="84" t="str">
        <f>IF(ISERROR(FIND('112'!$M$9,G2053,1)),"",IF((AND(LEFT(G2053,2)=LEFT('112'!$M$9,2),B2053&lt;'112'!$K$9,$N2053='112'!$I$6)),"x",""))</f>
        <v/>
      </c>
      <c r="V2053" s="84" t="str">
        <f>IF(ISERROR(FIND('112'!$M$9,G2053,1)),"",IF((AND(RIGHT(G2053,2)=RIGHT('112'!$M$9,2),B2053&lt;'112'!$K$9,$O2053='112'!$I$6)),"x",""))</f>
        <v/>
      </c>
      <c r="W2053" s="84" t="str">
        <f>IF(AND('341-CT'!$H$9=H2053,OR(LEFT(N2053,3)=$W$7,LEFT(O2053,3)=$W$7)),"x","")</f>
        <v/>
      </c>
      <c r="X2053" s="84" t="str">
        <f>IF(OR(TH!N2053=TH!$X$7,O2053=TH!$X$7),"x","")</f>
        <v/>
      </c>
      <c r="Y2053" s="84" t="str">
        <f>IF(AND(OR(N2053="131",O2053="131"),H2053='131-CT'!$H$9),"x","")</f>
        <v/>
      </c>
      <c r="Z2053" s="84"/>
      <c r="AA2053" s="84" t="str">
        <f>IF(AND(MONTH(E2053)='IN-NX'!$J$5,'IN-NX'!$D$7=D2053),"x","")</f>
        <v/>
      </c>
      <c r="AB2053" s="84" t="str">
        <f>IF(AND(OR(LEFT(TH!N2053,2)="15",LEFT(TH!O2053,2)="15"),LEFT(TH!O2053,3)&lt;&gt;"111",'152-CT'!$J$8=TH!F2053),"x","")</f>
        <v/>
      </c>
      <c r="AC2053" s="84" t="str">
        <f>IF(AND(OR(LEFT(TH!N2053,2)="15",LEFT(TH!O2053,2)="15"),TK!$E$7=TH!F2053),"x","")</f>
        <v/>
      </c>
      <c r="AD2053" s="84" t="str">
        <f>IF(AND(N2053="1521",MONTH(C2053)='BK-NL'!$M$11),"x","")</f>
        <v/>
      </c>
    </row>
    <row r="2054" spans="1:32" s="351" customFormat="1" ht="15.75" hidden="1" customHeight="1">
      <c r="A2054" s="336" t="str">
        <f>IF(B2054&lt;&gt;"",IF(AND(B2054='IN-TC'!$S$4,OR(TH!N2054="1111",TH!O2054="1111")),TH!D2054,""),"")</f>
        <v/>
      </c>
      <c r="B2054" s="63">
        <f>IF(C2054&lt;&gt;"",MONTH(C2054),"")</f>
        <v>8</v>
      </c>
      <c r="C2054" s="64">
        <v>42605</v>
      </c>
      <c r="D2054" s="64" t="s">
        <v>1805</v>
      </c>
      <c r="E2054" s="64">
        <f>C2054</f>
        <v>42605</v>
      </c>
      <c r="F2054" s="67" t="s">
        <v>1146</v>
      </c>
      <c r="G2054" s="67" t="s">
        <v>1565</v>
      </c>
      <c r="H2054" s="73" t="s">
        <v>763</v>
      </c>
      <c r="I2054" s="439"/>
      <c r="J2054" s="439"/>
      <c r="K2054" s="430"/>
      <c r="L2054" s="439"/>
      <c r="M2054" s="65">
        <v>1350000000</v>
      </c>
      <c r="N2054" s="66" t="s">
        <v>63</v>
      </c>
      <c r="O2054" s="66" t="s">
        <v>26</v>
      </c>
      <c r="P2054" s="84" t="str">
        <f>IF(AND('331-CT'!$E$7=TH!H2054,OR(N2054="331",O2054="331")),"x","")</f>
        <v/>
      </c>
      <c r="Q2054" s="84" t="str">
        <f>IF(AND(B2054='111'!$L$11,OR($N2054=$Q$7,$O2054=$Q$7)),"x","")</f>
        <v/>
      </c>
      <c r="R2054" s="84" t="str">
        <f>IF(AND($N2054=$Q$7,$B2054&lt;'111'!$L$11),"x","")</f>
        <v/>
      </c>
      <c r="S2054" s="84" t="str">
        <f>IF(AND($O2054=$Q$7,$B2054&lt;'111'!$L$11),"x","")</f>
        <v/>
      </c>
      <c r="T2054" s="84" t="str">
        <f>IF(ISERROR(FIND('112'!$M$9,G2054,1)),"",IF((AND(FIND('112'!$M$9,G2054,1)&gt;=1,B2054='112'!$K$9,OR($N2054='112'!$I$6,$O2054='112'!$I$6))),"x",""))</f>
        <v/>
      </c>
      <c r="U2054" s="84" t="str">
        <f>IF(ISERROR(FIND('112'!$M$9,G2054,1)),"",IF((AND(LEFT(G2054,2)=LEFT('112'!$M$9,2),B2054&lt;'112'!$K$9,$N2054='112'!$I$6)),"x",""))</f>
        <v/>
      </c>
      <c r="V2054" s="84" t="str">
        <f>IF(ISERROR(FIND('112'!$M$9,G2054,1)),"",IF((AND(RIGHT(G2054,2)=RIGHT('112'!$M$9,2),B2054&lt;'112'!$K$9,$O2054='112'!$I$6)),"x",""))</f>
        <v/>
      </c>
      <c r="W2054" s="84" t="str">
        <f>IF(AND('341-CT'!$H$9=H2054,OR(LEFT(N2054,3)=$W$7,LEFT(O2054,3)=$W$7)),"x","")</f>
        <v/>
      </c>
      <c r="X2054" s="84" t="str">
        <f>IF(OR(TH!N2054=TH!$X$7,O2054=TH!$X$7),"x","")</f>
        <v/>
      </c>
      <c r="Y2054" s="84" t="str">
        <f>IF(AND(OR(N2054="131",O2054="131"),H2054='131-CT'!$H$9),"x","")</f>
        <v/>
      </c>
      <c r="Z2054" s="84"/>
      <c r="AA2054" s="84" t="str">
        <f>IF(AND(MONTH(E2054)='IN-NX'!$J$5,'IN-NX'!$D$7=D2054),"x","")</f>
        <v/>
      </c>
      <c r="AB2054" s="84" t="str">
        <f>IF(AND(OR(LEFT(TH!N2054,2)="15",LEFT(TH!O2054,2)="15"),LEFT(TH!O2054,3)&lt;&gt;"111",'152-CT'!$J$8=TH!F2054),"x","")</f>
        <v/>
      </c>
      <c r="AC2054" s="84" t="str">
        <f>IF(AND(OR(LEFT(TH!N2054,2)="15",LEFT(TH!O2054,2)="15"),TK!$E$7=TH!F2054),"x","")</f>
        <v/>
      </c>
      <c r="AD2054" s="84" t="str">
        <f>IF(AND(N2054="1521",MONTH(C2054)='BK-NL'!$M$11),"x","")</f>
        <v/>
      </c>
    </row>
    <row r="2055" spans="1:32" s="351" customFormat="1" ht="15.75" hidden="1" customHeight="1">
      <c r="A2055" s="336" t="str">
        <f>IF(B2055&lt;&gt;"",IF(AND(B2055='IN-TC'!$S$4,OR(TH!N2055="1111",TH!O2055="1111")),TH!D2055,""),"")</f>
        <v/>
      </c>
      <c r="B2055" s="63">
        <f>IF(C2055&lt;&gt;"",MONTH(C2055),"")</f>
        <v>8</v>
      </c>
      <c r="C2055" s="64">
        <v>42606</v>
      </c>
      <c r="D2055" s="64" t="s">
        <v>705</v>
      </c>
      <c r="E2055" s="64">
        <f>C2055</f>
        <v>42606</v>
      </c>
      <c r="F2055" s="67" t="s">
        <v>1925</v>
      </c>
      <c r="G2055" s="67" t="s">
        <v>1565</v>
      </c>
      <c r="H2055" s="73" t="s">
        <v>1948</v>
      </c>
      <c r="I2055" s="439"/>
      <c r="J2055" s="439"/>
      <c r="K2055" s="430"/>
      <c r="L2055" s="439"/>
      <c r="M2055" s="65">
        <v>2063292</v>
      </c>
      <c r="N2055" s="66" t="s">
        <v>101</v>
      </c>
      <c r="O2055" s="66" t="s">
        <v>26</v>
      </c>
      <c r="P2055" s="84" t="str">
        <f>IF(AND('331-CT'!$E$7=TH!H2055,OR(N2055="331",O2055="331")),"x","")</f>
        <v/>
      </c>
      <c r="Q2055" s="84" t="str">
        <f>IF(AND(B2055='111'!$L$11,OR($N2055=$Q$7,$O2055=$Q$7)),"x","")</f>
        <v/>
      </c>
      <c r="R2055" s="84" t="str">
        <f>IF(AND($N2055=$Q$7,$B2055&lt;'111'!$L$11),"x","")</f>
        <v/>
      </c>
      <c r="S2055" s="84" t="str">
        <f>IF(AND($O2055=$Q$7,$B2055&lt;'111'!$L$11),"x","")</f>
        <v/>
      </c>
      <c r="T2055" s="84" t="str">
        <f>IF(ISERROR(FIND('112'!$M$9,G2055,1)),"",IF((AND(FIND('112'!$M$9,G2055,1)&gt;=1,B2055='112'!$K$9,OR($N2055='112'!$I$6,$O2055='112'!$I$6))),"x",""))</f>
        <v/>
      </c>
      <c r="U2055" s="84" t="str">
        <f>IF(ISERROR(FIND('112'!$M$9,G2055,1)),"",IF((AND(LEFT(G2055,2)=LEFT('112'!$M$9,2),B2055&lt;'112'!$K$9,$N2055='112'!$I$6)),"x",""))</f>
        <v/>
      </c>
      <c r="V2055" s="84" t="str">
        <f>IF(ISERROR(FIND('112'!$M$9,G2055,1)),"",IF((AND(RIGHT(G2055,2)=RIGHT('112'!$M$9,2),B2055&lt;'112'!$K$9,$O2055='112'!$I$6)),"x",""))</f>
        <v/>
      </c>
      <c r="W2055" s="84" t="str">
        <f>IF(AND('341-CT'!$H$9=H2055,OR(LEFT(N2055,3)=$W$7,LEFT(O2055,3)=$W$7)),"x","")</f>
        <v/>
      </c>
      <c r="X2055" s="84" t="str">
        <f>IF(OR(TH!N2055=TH!$X$7,O2055=TH!$X$7),"x","")</f>
        <v/>
      </c>
      <c r="Y2055" s="84" t="str">
        <f>IF(AND(OR(N2055="131",O2055="131"),H2055='131-CT'!$H$9),"x","")</f>
        <v/>
      </c>
      <c r="Z2055" s="84"/>
      <c r="AA2055" s="84" t="str">
        <f>IF(AND(MONTH(E2055)='IN-NX'!$J$5,'IN-NX'!$D$7=D2055),"x","")</f>
        <v/>
      </c>
      <c r="AB2055" s="84" t="str">
        <f>IF(AND(OR(LEFT(TH!N2055,2)="15",LEFT(TH!O2055,2)="15"),LEFT(TH!O2055,3)&lt;&gt;"111",'152-CT'!$J$8=TH!F2055),"x","")</f>
        <v/>
      </c>
      <c r="AC2055" s="84" t="str">
        <f>IF(AND(OR(LEFT(TH!N2055,2)="15",LEFT(TH!O2055,2)="15"),TK!$E$7=TH!F2055),"x","")</f>
        <v/>
      </c>
      <c r="AD2055" s="84" t="str">
        <f>IF(AND(N2055="1521",MONTH(C2055)='BK-NL'!$M$11),"x","")</f>
        <v/>
      </c>
    </row>
    <row r="2056" spans="1:32" s="351" customFormat="1" ht="15.75" hidden="1" customHeight="1">
      <c r="A2056" s="336" t="str">
        <f>IF(B2056&lt;&gt;"",IF(AND(B2056='IN-TC'!$S$4,OR(TH!N2056="1111",TH!O2056="1111")),TH!D2056,""),"")</f>
        <v/>
      </c>
      <c r="B2056" s="63">
        <f>IF(C2056&lt;&gt;"",MONTH(C2056),"")</f>
        <v>8</v>
      </c>
      <c r="C2056" s="64">
        <v>42606</v>
      </c>
      <c r="D2056" s="64" t="s">
        <v>705</v>
      </c>
      <c r="E2056" s="64">
        <f>C2056</f>
        <v>42606</v>
      </c>
      <c r="F2056" s="67" t="s">
        <v>1925</v>
      </c>
      <c r="G2056" s="67" t="s">
        <v>1565</v>
      </c>
      <c r="H2056" s="73" t="s">
        <v>1949</v>
      </c>
      <c r="I2056" s="439"/>
      <c r="J2056" s="439"/>
      <c r="K2056" s="430"/>
      <c r="L2056" s="439"/>
      <c r="M2056" s="65">
        <v>122815</v>
      </c>
      <c r="N2056" s="66" t="s">
        <v>101</v>
      </c>
      <c r="O2056" s="66" t="s">
        <v>26</v>
      </c>
      <c r="P2056" s="84" t="str">
        <f>IF(AND('331-CT'!$E$7=TH!H2056,OR(N2056="331",O2056="331")),"x","")</f>
        <v/>
      </c>
      <c r="Q2056" s="84" t="str">
        <f>IF(AND(B2056='111'!$L$11,OR($N2056=$Q$7,$O2056=$Q$7)),"x","")</f>
        <v/>
      </c>
      <c r="R2056" s="84" t="str">
        <f>IF(AND($N2056=$Q$7,$B2056&lt;'111'!$L$11),"x","")</f>
        <v/>
      </c>
      <c r="S2056" s="84" t="str">
        <f>IF(AND($O2056=$Q$7,$B2056&lt;'111'!$L$11),"x","")</f>
        <v/>
      </c>
      <c r="T2056" s="84" t="str">
        <f>IF(ISERROR(FIND('112'!$M$9,G2056,1)),"",IF((AND(FIND('112'!$M$9,G2056,1)&gt;=1,B2056='112'!$K$9,OR($N2056='112'!$I$6,$O2056='112'!$I$6))),"x",""))</f>
        <v/>
      </c>
      <c r="U2056" s="84" t="str">
        <f>IF(ISERROR(FIND('112'!$M$9,G2056,1)),"",IF((AND(LEFT(G2056,2)=LEFT('112'!$M$9,2),B2056&lt;'112'!$K$9,$N2056='112'!$I$6)),"x",""))</f>
        <v/>
      </c>
      <c r="V2056" s="84" t="str">
        <f>IF(ISERROR(FIND('112'!$M$9,G2056,1)),"",IF((AND(RIGHT(G2056,2)=RIGHT('112'!$M$9,2),B2056&lt;'112'!$K$9,$O2056='112'!$I$6)),"x",""))</f>
        <v/>
      </c>
      <c r="W2056" s="84" t="str">
        <f>IF(AND('341-CT'!$H$9=H2056,OR(LEFT(N2056,3)=$W$7,LEFT(O2056,3)=$W$7)),"x","")</f>
        <v/>
      </c>
      <c r="X2056" s="84" t="str">
        <f>IF(OR(TH!N2056=TH!$X$7,O2056=TH!$X$7),"x","")</f>
        <v/>
      </c>
      <c r="Y2056" s="84" t="str">
        <f>IF(AND(OR(N2056="131",O2056="131"),H2056='131-CT'!$H$9),"x","")</f>
        <v/>
      </c>
      <c r="Z2056" s="84"/>
      <c r="AA2056" s="84" t="str">
        <f>IF(AND(MONTH(E2056)='IN-NX'!$J$5,'IN-NX'!$D$7=D2056),"x","")</f>
        <v/>
      </c>
      <c r="AB2056" s="84" t="str">
        <f>IF(AND(OR(LEFT(TH!N2056,2)="15",LEFT(TH!O2056,2)="15"),LEFT(TH!O2056,3)&lt;&gt;"111",'152-CT'!$J$8=TH!F2056),"x","")</f>
        <v/>
      </c>
      <c r="AC2056" s="84" t="str">
        <f>IF(AND(OR(LEFT(TH!N2056,2)="15",LEFT(TH!O2056,2)="15"),TK!$E$7=TH!F2056),"x","")</f>
        <v/>
      </c>
      <c r="AD2056" s="84" t="str">
        <f>IF(AND(N2056="1521",MONTH(C2056)='BK-NL'!$M$11),"x","")</f>
        <v/>
      </c>
    </row>
    <row r="2057" spans="1:32" s="351" customFormat="1" ht="15.75" hidden="1" customHeight="1">
      <c r="A2057" s="336" t="str">
        <f>IF(B2057&lt;&gt;"",IF(AND(B2057='IN-TC'!$S$4,OR(TH!N2057="1111",TH!O2057="1111")),TH!D2057,""),"")</f>
        <v/>
      </c>
      <c r="B2057" s="63">
        <f t="shared" si="270"/>
        <v>8</v>
      </c>
      <c r="C2057" s="64">
        <v>42607</v>
      </c>
      <c r="D2057" s="64" t="s">
        <v>702</v>
      </c>
      <c r="E2057" s="64">
        <f t="shared" si="271"/>
        <v>42607</v>
      </c>
      <c r="F2057" s="67" t="s">
        <v>1655</v>
      </c>
      <c r="G2057" s="67" t="s">
        <v>1565</v>
      </c>
      <c r="H2057" s="73" t="s">
        <v>1804</v>
      </c>
      <c r="I2057" s="439"/>
      <c r="J2057" s="439"/>
      <c r="K2057" s="430"/>
      <c r="L2057" s="439"/>
      <c r="M2057" s="65">
        <v>16442</v>
      </c>
      <c r="N2057" s="66" t="s">
        <v>26</v>
      </c>
      <c r="O2057" s="66" t="s">
        <v>43</v>
      </c>
      <c r="P2057" s="84" t="str">
        <f>IF(AND('331-CT'!$E$7=TH!H2057,OR(N2057="331",O2057="331")),"x","")</f>
        <v/>
      </c>
      <c r="Q2057" s="84" t="str">
        <f>IF(AND(B2057='111'!$L$11,OR($N2057=$Q$7,$O2057=$Q$7)),"x","")</f>
        <v/>
      </c>
      <c r="R2057" s="84" t="str">
        <f>IF(AND($N2057=$Q$7,$B2057&lt;'111'!$L$11),"x","")</f>
        <v/>
      </c>
      <c r="S2057" s="84" t="str">
        <f>IF(AND($O2057=$Q$7,$B2057&lt;'111'!$L$11),"x","")</f>
        <v/>
      </c>
      <c r="T2057" s="84" t="str">
        <f>IF(ISERROR(FIND('112'!$M$9,G2057,1)),"",IF((AND(FIND('112'!$M$9,G2057,1)&gt;=1,B2057='112'!$K$9,OR($N2057='112'!$I$6,$O2057='112'!$I$6))),"x",""))</f>
        <v/>
      </c>
      <c r="U2057" s="84" t="str">
        <f>IF(ISERROR(FIND('112'!$M$9,G2057,1)),"",IF((AND(LEFT(G2057,2)=LEFT('112'!$M$9,2),B2057&lt;'112'!$K$9,$N2057='112'!$I$6)),"x",""))</f>
        <v/>
      </c>
      <c r="V2057" s="84" t="str">
        <f>IF(ISERROR(FIND('112'!$M$9,G2057,1)),"",IF((AND(RIGHT(G2057,2)=RIGHT('112'!$M$9,2),B2057&lt;'112'!$K$9,$O2057='112'!$I$6)),"x",""))</f>
        <v/>
      </c>
      <c r="W2057" s="84" t="str">
        <f>IF(AND('341-CT'!$H$9=H2057,OR(LEFT(N2057,3)=$W$7,LEFT(O2057,3)=$W$7)),"x","")</f>
        <v/>
      </c>
      <c r="X2057" s="84" t="str">
        <f>IF(OR(TH!N2057=TH!$X$7,O2057=TH!$X$7),"x","")</f>
        <v/>
      </c>
      <c r="Y2057" s="84" t="str">
        <f>IF(AND(OR(N2057="131",O2057="131"),H2057='131-CT'!$H$9),"x","")</f>
        <v/>
      </c>
      <c r="Z2057" s="84"/>
      <c r="AA2057" s="84" t="str">
        <f>IF(AND(MONTH(E2057)='IN-NX'!$J$5,'IN-NX'!$D$7=D2057),"x","")</f>
        <v/>
      </c>
      <c r="AB2057" s="84" t="str">
        <f>IF(AND(OR(LEFT(TH!N2057,2)="15",LEFT(TH!O2057,2)="15"),LEFT(TH!O2057,3)&lt;&gt;"111",'152-CT'!$J$8=TH!F2057),"x","")</f>
        <v/>
      </c>
      <c r="AC2057" s="84" t="str">
        <f>IF(AND(OR(LEFT(TH!N2057,2)="15",LEFT(TH!O2057,2)="15"),TK!$E$7=TH!F2057),"x","")</f>
        <v/>
      </c>
      <c r="AD2057" s="84" t="str">
        <f>IF(AND(N2057="1521",MONTH(C2057)='BK-NL'!$M$11),"x","")</f>
        <v/>
      </c>
    </row>
    <row r="2058" spans="1:32" s="351" customFormat="1" ht="15.75" hidden="1" customHeight="1">
      <c r="A2058" s="336" t="str">
        <f>IF(B2058&lt;&gt;"",IF(AND(B2058='IN-TC'!$S$4,OR(TH!N2058="1111",TH!O2058="1111")),TH!D2058,""),"")</f>
        <v/>
      </c>
      <c r="B2058" s="63">
        <f t="shared" si="270"/>
        <v>8</v>
      </c>
      <c r="C2058" s="64">
        <v>42605</v>
      </c>
      <c r="D2058" s="64" t="s">
        <v>886</v>
      </c>
      <c r="E2058" s="64">
        <f t="shared" si="271"/>
        <v>42605</v>
      </c>
      <c r="F2058" s="67" t="s">
        <v>1107</v>
      </c>
      <c r="G2058" s="67" t="s">
        <v>1565</v>
      </c>
      <c r="H2058" s="73" t="s">
        <v>763</v>
      </c>
      <c r="I2058" s="439"/>
      <c r="J2058" s="439"/>
      <c r="K2058" s="430"/>
      <c r="L2058" s="439"/>
      <c r="M2058" s="65">
        <v>1800000000</v>
      </c>
      <c r="N2058" s="66" t="s">
        <v>26</v>
      </c>
      <c r="O2058" s="66" t="s">
        <v>63</v>
      </c>
      <c r="P2058" s="84" t="str">
        <f>IF(AND('331-CT'!$E$7=TH!H2058,OR(N2058="331",O2058="331")),"x","")</f>
        <v/>
      </c>
      <c r="Q2058" s="84" t="str">
        <f>IF(AND(B2058='111'!$L$11,OR($N2058=$Q$7,$O2058=$Q$7)),"x","")</f>
        <v/>
      </c>
      <c r="R2058" s="84" t="str">
        <f>IF(AND($N2058=$Q$7,$B2058&lt;'111'!$L$11),"x","")</f>
        <v/>
      </c>
      <c r="S2058" s="84" t="str">
        <f>IF(AND($O2058=$Q$7,$B2058&lt;'111'!$L$11),"x","")</f>
        <v/>
      </c>
      <c r="T2058" s="84" t="str">
        <f>IF(ISERROR(FIND('112'!$M$9,G2058,1)),"",IF((AND(FIND('112'!$M$9,G2058,1)&gt;=1,B2058='112'!$K$9,OR($N2058='112'!$I$6,$O2058='112'!$I$6))),"x",""))</f>
        <v/>
      </c>
      <c r="U2058" s="84" t="str">
        <f>IF(ISERROR(FIND('112'!$M$9,G2058,1)),"",IF((AND(LEFT(G2058,2)=LEFT('112'!$M$9,2),B2058&lt;'112'!$K$9,$N2058='112'!$I$6)),"x",""))</f>
        <v/>
      </c>
      <c r="V2058" s="84" t="str">
        <f>IF(ISERROR(FIND('112'!$M$9,G2058,1)),"",IF((AND(RIGHT(G2058,2)=RIGHT('112'!$M$9,2),B2058&lt;'112'!$K$9,$O2058='112'!$I$6)),"x",""))</f>
        <v/>
      </c>
      <c r="W2058" s="84" t="str">
        <f>IF(AND('341-CT'!$H$9=H2058,OR(LEFT(N2058,3)=$W$7,LEFT(O2058,3)=$W$7)),"x","")</f>
        <v/>
      </c>
      <c r="X2058" s="84" t="str">
        <f>IF(OR(TH!N2058=TH!$X$7,O2058=TH!$X$7),"x","")</f>
        <v/>
      </c>
      <c r="Y2058" s="84" t="str">
        <f>IF(AND(OR(N2058="131",O2058="131"),H2058='131-CT'!$H$9),"x","")</f>
        <v/>
      </c>
      <c r="Z2058" s="84"/>
      <c r="AA2058" s="84" t="str">
        <f>IF(AND(MONTH(E2058)='IN-NX'!$J$5,'IN-NX'!$D$7=D2058),"x","")</f>
        <v/>
      </c>
      <c r="AB2058" s="84" t="str">
        <f>IF(AND(OR(LEFT(TH!N2058,2)="15",LEFT(TH!O2058,2)="15"),LEFT(TH!O2058,3)&lt;&gt;"111",'152-CT'!$J$8=TH!F2058),"x","")</f>
        <v/>
      </c>
      <c r="AC2058" s="84" t="str">
        <f>IF(AND(OR(LEFT(TH!N2058,2)="15",LEFT(TH!O2058,2)="15"),TK!$E$7=TH!F2058),"x","")</f>
        <v/>
      </c>
      <c r="AD2058" s="84" t="str">
        <f>IF(AND(N2058="1521",MONTH(C2058)='BK-NL'!$M$11),"x","")</f>
        <v/>
      </c>
    </row>
    <row r="2059" spans="1:32" s="351" customFormat="1" ht="15.75" hidden="1" customHeight="1">
      <c r="A2059" s="336" t="str">
        <f>IF(B2059&lt;&gt;"",IF(AND(B2059='IN-TC'!$S$4,OR(TH!N2059="1111",TH!O2059="1111")),TH!D2059,""),"")</f>
        <v/>
      </c>
      <c r="B2059" s="63">
        <f t="shared" ref="B2059:B2065" si="272">IF(C2059&lt;&gt;"",MONTH(C2059),"")</f>
        <v>8</v>
      </c>
      <c r="C2059" s="64">
        <v>42612</v>
      </c>
      <c r="D2059" s="64" t="s">
        <v>705</v>
      </c>
      <c r="E2059" s="64">
        <f t="shared" ref="E2059:E2065" si="273">C2059</f>
        <v>42612</v>
      </c>
      <c r="F2059" s="67" t="s">
        <v>1190</v>
      </c>
      <c r="G2059" s="67" t="s">
        <v>1565</v>
      </c>
      <c r="H2059" s="971" t="s">
        <v>1885</v>
      </c>
      <c r="I2059" s="439"/>
      <c r="J2059" s="439"/>
      <c r="K2059" s="430">
        <v>89000</v>
      </c>
      <c r="L2059" s="439">
        <v>22308</v>
      </c>
      <c r="M2059" s="65">
        <f>ROUND(K2059*L2059,0)</f>
        <v>1985412000</v>
      </c>
      <c r="N2059" s="66" t="s">
        <v>260</v>
      </c>
      <c r="O2059" s="66" t="s">
        <v>26</v>
      </c>
      <c r="P2059" s="84" t="str">
        <f>IF(AND('331-CT'!$E$7=TH!H2059,OR(N2059="331",O2059="331")),"x","")</f>
        <v/>
      </c>
      <c r="Q2059" s="84" t="str">
        <f>IF(AND(B2059='111'!$L$11,OR($N2059=$Q$7,$O2059=$Q$7)),"x","")</f>
        <v/>
      </c>
      <c r="R2059" s="84" t="str">
        <f>IF(AND($N2059=$Q$7,$B2059&lt;'111'!$L$11),"x","")</f>
        <v/>
      </c>
      <c r="S2059" s="84" t="str">
        <f>IF(AND($O2059=$Q$7,$B2059&lt;'111'!$L$11),"x","")</f>
        <v/>
      </c>
      <c r="T2059" s="84" t="str">
        <f>IF(ISERROR(FIND('112'!$M$9,G2059,1)),"",IF((AND(FIND('112'!$M$9,G2059,1)&gt;=1,B2059='112'!$K$9,OR($N2059='112'!$I$6,$O2059='112'!$I$6))),"x",""))</f>
        <v/>
      </c>
      <c r="U2059" s="84" t="str">
        <f>IF(ISERROR(FIND('112'!$M$9,G2059,1)),"",IF((AND(LEFT(G2059,2)=LEFT('112'!$M$9,2),B2059&lt;'112'!$K$9,$N2059='112'!$I$6)),"x",""))</f>
        <v/>
      </c>
      <c r="V2059" s="84" t="str">
        <f>IF(ISERROR(FIND('112'!$M$9,G2059,1)),"",IF((AND(RIGHT(G2059,2)=RIGHT('112'!$M$9,2),B2059&lt;'112'!$K$9,$O2059='112'!$I$6)),"x",""))</f>
        <v/>
      </c>
      <c r="W2059" s="84" t="str">
        <f>IF(AND('341-CT'!$H$9=H2059,OR(LEFT(N2059,3)=$W$7,LEFT(O2059,3)=$W$7)),"x","")</f>
        <v/>
      </c>
      <c r="X2059" s="84" t="str">
        <f>IF(OR(TH!N2059=TH!$X$7,O2059=TH!$X$7),"x","")</f>
        <v/>
      </c>
      <c r="Y2059" s="84" t="str">
        <f>IF(AND(OR(N2059="131",O2059="131"),H2059='131-CT'!$H$9),"x","")</f>
        <v/>
      </c>
      <c r="Z2059" s="84"/>
      <c r="AA2059" s="84" t="str">
        <f>IF(AND(MONTH(E2059)='IN-NX'!$J$5,'IN-NX'!$D$7=D2059),"x","")</f>
        <v/>
      </c>
      <c r="AB2059" s="84" t="str">
        <f>IF(AND(OR(LEFT(TH!N2059,2)="15",LEFT(TH!O2059,2)="15"),LEFT(TH!O2059,3)&lt;&gt;"111",'152-CT'!$J$8=TH!F2059),"x","")</f>
        <v/>
      </c>
      <c r="AC2059" s="84" t="str">
        <f>IF(AND(OR(LEFT(TH!N2059,2)="15",LEFT(TH!O2059,2)="15"),TK!$E$7=TH!F2059),"x","")</f>
        <v/>
      </c>
      <c r="AD2059" s="84" t="str">
        <f>IF(AND(N2059="1521",MONTH(C2059)='BK-NL'!$M$11),"x","")</f>
        <v/>
      </c>
    </row>
    <row r="2060" spans="1:32" s="351" customFormat="1" ht="15.75" hidden="1" customHeight="1">
      <c r="A2060" s="336" t="str">
        <f>IF(B2060&lt;&gt;"",IF(AND(B2060='IN-TC'!$S$4,OR(TH!N2060="1111",TH!O2060="1111")),TH!D2060,""),"")</f>
        <v/>
      </c>
      <c r="B2060" s="63">
        <f>IF(C2060&lt;&gt;"",MONTH(C2060),"")</f>
        <v>8</v>
      </c>
      <c r="C2060" s="64">
        <v>42612</v>
      </c>
      <c r="D2060" s="64" t="s">
        <v>705</v>
      </c>
      <c r="E2060" s="64">
        <f>C2060</f>
        <v>42612</v>
      </c>
      <c r="F2060" s="67" t="s">
        <v>1890</v>
      </c>
      <c r="G2060" s="67" t="s">
        <v>1565</v>
      </c>
      <c r="H2060" s="971" t="s">
        <v>1885</v>
      </c>
      <c r="I2060" s="439"/>
      <c r="J2060" s="439"/>
      <c r="K2060" s="430"/>
      <c r="L2060" s="439"/>
      <c r="M2060" s="65">
        <v>6991959</v>
      </c>
      <c r="N2060" s="66" t="s">
        <v>99</v>
      </c>
      <c r="O2060" s="66" t="s">
        <v>26</v>
      </c>
      <c r="P2060" s="84" t="str">
        <f>IF(AND('331-CT'!$E$7=TH!H2060,OR(N2060="331",O2060="331")),"x","")</f>
        <v/>
      </c>
      <c r="Q2060" s="84" t="str">
        <f>IF(AND(B2060='111'!$L$11,OR($N2060=$Q$7,$O2060=$Q$7)),"x","")</f>
        <v/>
      </c>
      <c r="R2060" s="84" t="str">
        <f>IF(AND($N2060=$Q$7,$B2060&lt;'111'!$L$11),"x","")</f>
        <v/>
      </c>
      <c r="S2060" s="84" t="str">
        <f>IF(AND($O2060=$Q$7,$B2060&lt;'111'!$L$11),"x","")</f>
        <v/>
      </c>
      <c r="T2060" s="84" t="str">
        <f>IF(ISERROR(FIND('112'!$M$9,G2060,1)),"",IF((AND(FIND('112'!$M$9,G2060,1)&gt;=1,B2060='112'!$K$9,OR($N2060='112'!$I$6,$O2060='112'!$I$6))),"x",""))</f>
        <v/>
      </c>
      <c r="U2060" s="84" t="str">
        <f>IF(ISERROR(FIND('112'!$M$9,G2060,1)),"",IF((AND(LEFT(G2060,2)=LEFT('112'!$M$9,2),B2060&lt;'112'!$K$9,$N2060='112'!$I$6)),"x",""))</f>
        <v/>
      </c>
      <c r="V2060" s="84" t="str">
        <f>IF(ISERROR(FIND('112'!$M$9,G2060,1)),"",IF((AND(RIGHT(G2060,2)=RIGHT('112'!$M$9,2),B2060&lt;'112'!$K$9,$O2060='112'!$I$6)),"x",""))</f>
        <v/>
      </c>
      <c r="W2060" s="84" t="str">
        <f>IF(AND('341-CT'!$H$9=H2060,OR(LEFT(N2060,3)=$W$7,LEFT(O2060,3)=$W$7)),"x","")</f>
        <v/>
      </c>
      <c r="X2060" s="84" t="str">
        <f>IF(OR(TH!N2060=TH!$X$7,O2060=TH!$X$7),"x","")</f>
        <v/>
      </c>
      <c r="Y2060" s="84" t="str">
        <f>IF(AND(OR(N2060="131",O2060="131"),H2060='131-CT'!$H$9),"x","")</f>
        <v/>
      </c>
      <c r="Z2060" s="84"/>
      <c r="AA2060" s="84" t="str">
        <f>IF(AND(MONTH(E2060)='IN-NX'!$J$5,'IN-NX'!$D$7=D2060),"x","")</f>
        <v/>
      </c>
      <c r="AB2060" s="84" t="str">
        <f>IF(AND(OR(LEFT(TH!N2060,2)="15",LEFT(TH!O2060,2)="15"),LEFT(TH!O2060,3)&lt;&gt;"111",'152-CT'!$J$8=TH!F2060),"x","")</f>
        <v/>
      </c>
      <c r="AC2060" s="84" t="str">
        <f>IF(AND(OR(LEFT(TH!N2060,2)="15",LEFT(TH!O2060,2)="15"),TK!$E$7=TH!F2060),"x","")</f>
        <v/>
      </c>
      <c r="AD2060" s="84" t="str">
        <f>IF(AND(N2060="1521",MONTH(C2060)='BK-NL'!$M$11),"x","")</f>
        <v/>
      </c>
      <c r="AF2060" s="1181"/>
    </row>
    <row r="2061" spans="1:32" s="351" customFormat="1" ht="15.75" hidden="1" customHeight="1">
      <c r="A2061" s="336" t="str">
        <f>IF(B2061&lt;&gt;"",IF(AND(B2061='IN-TC'!$S$4,OR(TH!N2061="1111",TH!O2061="1111")),TH!D2061,""),"")</f>
        <v/>
      </c>
      <c r="B2061" s="63">
        <f t="shared" si="272"/>
        <v>8</v>
      </c>
      <c r="C2061" s="64">
        <v>42612</v>
      </c>
      <c r="D2061" s="64" t="s">
        <v>702</v>
      </c>
      <c r="E2061" s="64">
        <f t="shared" si="273"/>
        <v>42612</v>
      </c>
      <c r="F2061" s="67" t="s">
        <v>1951</v>
      </c>
      <c r="G2061" s="67" t="s">
        <v>1565</v>
      </c>
      <c r="H2061" s="73" t="s">
        <v>1952</v>
      </c>
      <c r="I2061" s="439"/>
      <c r="J2061" s="439"/>
      <c r="K2061" s="430">
        <v>89500</v>
      </c>
      <c r="L2061" s="439">
        <v>22308</v>
      </c>
      <c r="M2061" s="65">
        <f>ROUND(K2061*L2061,0)</f>
        <v>1996566000</v>
      </c>
      <c r="N2061" s="66" t="s">
        <v>266</v>
      </c>
      <c r="O2061" s="66" t="s">
        <v>260</v>
      </c>
      <c r="P2061" s="84" t="str">
        <f>IF(AND('331-CT'!$E$7=TH!H2061,OR(N2061="331",O2061="331")),"x","")</f>
        <v/>
      </c>
      <c r="Q2061" s="84" t="str">
        <f>IF(AND(B2061='111'!$L$11,OR($N2061=$Q$7,$O2061=$Q$7)),"x","")</f>
        <v/>
      </c>
      <c r="R2061" s="84" t="str">
        <f>IF(AND($N2061=$Q$7,$B2061&lt;'111'!$L$11),"x","")</f>
        <v/>
      </c>
      <c r="S2061" s="84" t="str">
        <f>IF(AND($O2061=$Q$7,$B2061&lt;'111'!$L$11),"x","")</f>
        <v/>
      </c>
      <c r="T2061" s="84" t="str">
        <f>IF(ISERROR(FIND('112'!$M$9,G2061,1)),"",IF((AND(FIND('112'!$M$9,G2061,1)&gt;=1,B2061='112'!$K$9,OR($N2061='112'!$I$6,$O2061='112'!$I$6))),"x",""))</f>
        <v/>
      </c>
      <c r="U2061" s="84" t="str">
        <f>IF(ISERROR(FIND('112'!$M$9,G2061,1)),"",IF((AND(LEFT(G2061,2)=LEFT('112'!$M$9,2),B2061&lt;'112'!$K$9,$N2061='112'!$I$6)),"x",""))</f>
        <v/>
      </c>
      <c r="V2061" s="84" t="str">
        <f>IF(ISERROR(FIND('112'!$M$9,G2061,1)),"",IF((AND(RIGHT(G2061,2)=RIGHT('112'!$M$9,2),B2061&lt;'112'!$K$9,$O2061='112'!$I$6)),"x",""))</f>
        <v/>
      </c>
      <c r="W2061" s="84" t="str">
        <f>IF(AND('341-CT'!$H$9=H2061,OR(LEFT(N2061,3)=$W$7,LEFT(O2061,3)=$W$7)),"x","")</f>
        <v/>
      </c>
      <c r="X2061" s="84" t="str">
        <f>IF(OR(TH!N2061=TH!$X$7,O2061=TH!$X$7),"x","")</f>
        <v/>
      </c>
      <c r="Y2061" s="84" t="str">
        <f>IF(AND(OR(N2061="131",O2061="131"),H2061='131-CT'!$H$9),"x","")</f>
        <v/>
      </c>
      <c r="Z2061" s="84"/>
      <c r="AA2061" s="84" t="str">
        <f>IF(AND(MONTH(E2061)='IN-NX'!$J$5,'IN-NX'!$D$7=D2061),"x","")</f>
        <v/>
      </c>
      <c r="AB2061" s="84" t="str">
        <f>IF(AND(OR(LEFT(TH!N2061,2)="15",LEFT(TH!O2061,2)="15"),LEFT(TH!O2061,3)&lt;&gt;"111",'152-CT'!$J$8=TH!F2061),"x","")</f>
        <v/>
      </c>
      <c r="AC2061" s="84" t="str">
        <f>IF(AND(OR(LEFT(TH!N2061,2)="15",LEFT(TH!O2061,2)="15"),TK!$E$7=TH!F2061),"x","")</f>
        <v/>
      </c>
      <c r="AD2061" s="84" t="str">
        <f>IF(AND(N2061="1521",MONTH(C2061)='BK-NL'!$M$11),"x","")</f>
        <v/>
      </c>
    </row>
    <row r="2062" spans="1:32" s="351" customFormat="1" ht="15.75" hidden="1" customHeight="1">
      <c r="A2062" s="336" t="str">
        <f>IF(B2062&lt;&gt;"",IF(AND(B2062='IN-TC'!$S$4,OR(TH!N2062="1111",TH!O2062="1111")),TH!D2062,""),"")</f>
        <v/>
      </c>
      <c r="B2062" s="63">
        <f>IF(C2062&lt;&gt;"",MONTH(C2062),"")</f>
        <v>8</v>
      </c>
      <c r="C2062" s="64">
        <v>42612</v>
      </c>
      <c r="D2062" s="64" t="s">
        <v>702</v>
      </c>
      <c r="E2062" s="64">
        <f>C2062</f>
        <v>42612</v>
      </c>
      <c r="F2062" s="67" t="s">
        <v>1445</v>
      </c>
      <c r="G2062" s="67" t="s">
        <v>1565</v>
      </c>
      <c r="H2062" s="73"/>
      <c r="I2062" s="439"/>
      <c r="J2062" s="439"/>
      <c r="K2062" s="430">
        <v>89500</v>
      </c>
      <c r="L2062" s="439">
        <v>22308</v>
      </c>
      <c r="M2062" s="65">
        <f>ROUND(K2062*L2062,0)</f>
        <v>1996566000</v>
      </c>
      <c r="N2062" s="66" t="s">
        <v>26</v>
      </c>
      <c r="O2062" s="66" t="s">
        <v>266</v>
      </c>
      <c r="P2062" s="84" t="str">
        <f>IF(AND('331-CT'!$E$7=TH!H2062,OR(N2062="331",O2062="331")),"x","")</f>
        <v/>
      </c>
      <c r="Q2062" s="84" t="str">
        <f>IF(AND(B2062='111'!$L$11,OR($N2062=$Q$7,$O2062=$Q$7)),"x","")</f>
        <v/>
      </c>
      <c r="R2062" s="84" t="str">
        <f>IF(AND($N2062=$Q$7,$B2062&lt;'111'!$L$11),"x","")</f>
        <v/>
      </c>
      <c r="S2062" s="84" t="str">
        <f>IF(AND($O2062=$Q$7,$B2062&lt;'111'!$L$11),"x","")</f>
        <v/>
      </c>
      <c r="T2062" s="84" t="str">
        <f>IF(ISERROR(FIND('112'!$M$9,G2062,1)),"",IF((AND(FIND('112'!$M$9,G2062,1)&gt;=1,B2062='112'!$K$9,OR($N2062='112'!$I$6,$O2062='112'!$I$6))),"x",""))</f>
        <v/>
      </c>
      <c r="U2062" s="84" t="str">
        <f>IF(ISERROR(FIND('112'!$M$9,G2062,1)),"",IF((AND(LEFT(G2062,2)=LEFT('112'!$M$9,2),B2062&lt;'112'!$K$9,$N2062='112'!$I$6)),"x",""))</f>
        <v/>
      </c>
      <c r="V2062" s="84" t="str">
        <f>IF(ISERROR(FIND('112'!$M$9,G2062,1)),"",IF((AND(RIGHT(G2062,2)=RIGHT('112'!$M$9,2),B2062&lt;'112'!$K$9,$O2062='112'!$I$6)),"x",""))</f>
        <v/>
      </c>
      <c r="W2062" s="84" t="str">
        <f>IF(AND('341-CT'!$H$9=H2062,OR(LEFT(N2062,3)=$W$7,LEFT(O2062,3)=$W$7)),"x","")</f>
        <v/>
      </c>
      <c r="X2062" s="84" t="str">
        <f>IF(OR(TH!N2062=TH!$X$7,O2062=TH!$X$7),"x","")</f>
        <v/>
      </c>
      <c r="Y2062" s="84" t="str">
        <f>IF(AND(OR(N2062="131",O2062="131"),H2062='131-CT'!$H$9),"x","")</f>
        <v/>
      </c>
      <c r="Z2062" s="84"/>
      <c r="AA2062" s="84" t="str">
        <f>IF(AND(MONTH(E2062)='IN-NX'!$J$5,'IN-NX'!$D$7=D2062),"x","")</f>
        <v/>
      </c>
      <c r="AB2062" s="84" t="str">
        <f>IF(AND(OR(LEFT(TH!N2062,2)="15",LEFT(TH!O2062,2)="15"),LEFT(TH!O2062,3)&lt;&gt;"111",'152-CT'!$J$8=TH!F2062),"x","")</f>
        <v/>
      </c>
      <c r="AC2062" s="84" t="str">
        <f>IF(AND(OR(LEFT(TH!N2062,2)="15",LEFT(TH!O2062,2)="15"),TK!$E$7=TH!F2062),"x","")</f>
        <v/>
      </c>
      <c r="AD2062" s="84" t="str">
        <f>IF(AND(N2062="1521",MONTH(C2062)='BK-NL'!$M$11),"x","")</f>
        <v/>
      </c>
    </row>
    <row r="2063" spans="1:32" s="351" customFormat="1" ht="15.75" hidden="1" customHeight="1">
      <c r="A2063" s="336" t="str">
        <f>IF(B2063&lt;&gt;"",IF(AND(B2063='IN-TC'!$S$4,OR(TH!N2063="1111",TH!O2063="1111")),TH!D2063,""),"")</f>
        <v/>
      </c>
      <c r="B2063" s="63">
        <f t="shared" si="272"/>
        <v>8</v>
      </c>
      <c r="C2063" s="64">
        <v>42612</v>
      </c>
      <c r="D2063" s="64" t="s">
        <v>1805</v>
      </c>
      <c r="E2063" s="64">
        <f t="shared" si="273"/>
        <v>42612</v>
      </c>
      <c r="F2063" s="67" t="s">
        <v>1146</v>
      </c>
      <c r="G2063" s="67" t="s">
        <v>1565</v>
      </c>
      <c r="H2063" s="73" t="s">
        <v>763</v>
      </c>
      <c r="I2063" s="439"/>
      <c r="J2063" s="439"/>
      <c r="K2063" s="430"/>
      <c r="L2063" s="439"/>
      <c r="M2063" s="65">
        <v>2000000000</v>
      </c>
      <c r="N2063" s="66" t="s">
        <v>63</v>
      </c>
      <c r="O2063" s="66" t="s">
        <v>26</v>
      </c>
      <c r="P2063" s="84" t="str">
        <f>IF(AND('331-CT'!$E$7=TH!H2063,OR(N2063="331",O2063="331")),"x","")</f>
        <v/>
      </c>
      <c r="Q2063" s="84" t="str">
        <f>IF(AND(B2063='111'!$L$11,OR($N2063=$Q$7,$O2063=$Q$7)),"x","")</f>
        <v/>
      </c>
      <c r="R2063" s="84" t="str">
        <f>IF(AND($N2063=$Q$7,$B2063&lt;'111'!$L$11),"x","")</f>
        <v/>
      </c>
      <c r="S2063" s="84" t="str">
        <f>IF(AND($O2063=$Q$7,$B2063&lt;'111'!$L$11),"x","")</f>
        <v/>
      </c>
      <c r="T2063" s="84" t="str">
        <f>IF(ISERROR(FIND('112'!$M$9,G2063,1)),"",IF((AND(FIND('112'!$M$9,G2063,1)&gt;=1,B2063='112'!$K$9,OR($N2063='112'!$I$6,$O2063='112'!$I$6))),"x",""))</f>
        <v/>
      </c>
      <c r="U2063" s="84" t="str">
        <f>IF(ISERROR(FIND('112'!$M$9,G2063,1)),"",IF((AND(LEFT(G2063,2)=LEFT('112'!$M$9,2),B2063&lt;'112'!$K$9,$N2063='112'!$I$6)),"x",""))</f>
        <v/>
      </c>
      <c r="V2063" s="84" t="str">
        <f>IF(ISERROR(FIND('112'!$M$9,G2063,1)),"",IF((AND(RIGHT(G2063,2)=RIGHT('112'!$M$9,2),B2063&lt;'112'!$K$9,$O2063='112'!$I$6)),"x",""))</f>
        <v/>
      </c>
      <c r="W2063" s="84" t="str">
        <f>IF(AND('341-CT'!$H$9=H2063,OR(LEFT(N2063,3)=$W$7,LEFT(O2063,3)=$W$7)),"x","")</f>
        <v/>
      </c>
      <c r="X2063" s="84" t="str">
        <f>IF(OR(TH!N2063=TH!$X$7,O2063=TH!$X$7),"x","")</f>
        <v/>
      </c>
      <c r="Y2063" s="84" t="str">
        <f>IF(AND(OR(N2063="131",O2063="131"),H2063='131-CT'!$H$9),"x","")</f>
        <v/>
      </c>
      <c r="Z2063" s="84"/>
      <c r="AA2063" s="84" t="str">
        <f>IF(AND(MONTH(E2063)='IN-NX'!$J$5,'IN-NX'!$D$7=D2063),"x","")</f>
        <v/>
      </c>
      <c r="AB2063" s="84" t="str">
        <f>IF(AND(OR(LEFT(TH!N2063,2)="15",LEFT(TH!O2063,2)="15"),LEFT(TH!O2063,3)&lt;&gt;"111",'152-CT'!$J$8=TH!F2063),"x","")</f>
        <v/>
      </c>
      <c r="AC2063" s="84" t="str">
        <f>IF(AND(OR(LEFT(TH!N2063,2)="15",LEFT(TH!O2063,2)="15"),TK!$E$7=TH!F2063),"x","")</f>
        <v/>
      </c>
      <c r="AD2063" s="84" t="str">
        <f>IF(AND(N2063="1521",MONTH(C2063)='BK-NL'!$M$11),"x","")</f>
        <v/>
      </c>
    </row>
    <row r="2064" spans="1:32" s="351" customFormat="1" ht="15.75" customHeight="1">
      <c r="A2064" s="336" t="str">
        <f>IF(B2064&lt;&gt;"",IF(AND(B2064='IN-TC'!$S$4,OR(TH!N2064="1111",TH!O2064="1111")),TH!D2064,""),"")</f>
        <v/>
      </c>
      <c r="B2064" s="63">
        <f t="shared" si="272"/>
        <v>8</v>
      </c>
      <c r="C2064" s="64">
        <v>42612</v>
      </c>
      <c r="D2064" s="64" t="s">
        <v>705</v>
      </c>
      <c r="E2064" s="64">
        <f t="shared" si="273"/>
        <v>42612</v>
      </c>
      <c r="F2064" s="67" t="s">
        <v>1551</v>
      </c>
      <c r="G2064" s="67" t="s">
        <v>1565</v>
      </c>
      <c r="H2064" s="73" t="s">
        <v>1804</v>
      </c>
      <c r="I2064" s="439"/>
      <c r="J2064" s="439"/>
      <c r="K2064" s="430"/>
      <c r="L2064" s="439"/>
      <c r="M2064" s="65">
        <v>10000</v>
      </c>
      <c r="N2064" s="66" t="s">
        <v>101</v>
      </c>
      <c r="O2064" s="66" t="s">
        <v>26</v>
      </c>
      <c r="P2064" s="84" t="str">
        <f>IF(AND('331-CT'!$E$7=TH!H2064,OR(N2064="331",O2064="331")),"x","")</f>
        <v/>
      </c>
      <c r="Q2064" s="84" t="str">
        <f>IF(AND(B2064='111'!$L$11,OR($N2064=$Q$7,$O2064=$Q$7)),"x","")</f>
        <v/>
      </c>
      <c r="R2064" s="84" t="str">
        <f>IF(AND($N2064=$Q$7,$B2064&lt;'111'!$L$11),"x","")</f>
        <v/>
      </c>
      <c r="S2064" s="84" t="str">
        <f>IF(AND($O2064=$Q$7,$B2064&lt;'111'!$L$11),"x","")</f>
        <v/>
      </c>
      <c r="T2064" s="84" t="str">
        <f>IF(ISERROR(FIND('112'!$M$9,G2064,1)),"",IF((AND(FIND('112'!$M$9,G2064,1)&gt;=1,B2064='112'!$K$9,OR($N2064='112'!$I$6,$O2064='112'!$I$6))),"x",""))</f>
        <v/>
      </c>
      <c r="U2064" s="84" t="str">
        <f>IF(ISERROR(FIND('112'!$M$9,G2064,1)),"",IF((AND(LEFT(G2064,2)=LEFT('112'!$M$9,2),B2064&lt;'112'!$K$9,$N2064='112'!$I$6)),"x",""))</f>
        <v/>
      </c>
      <c r="V2064" s="84" t="str">
        <f>IF(ISERROR(FIND('112'!$M$9,G2064,1)),"",IF((AND(RIGHT(G2064,2)=RIGHT('112'!$M$9,2),B2064&lt;'112'!$K$9,$O2064='112'!$I$6)),"x",""))</f>
        <v/>
      </c>
      <c r="W2064" s="84" t="str">
        <f>IF(AND('341-CT'!$H$9=H2064,OR(LEFT(N2064,3)=$W$7,LEFT(O2064,3)=$W$7)),"x","")</f>
        <v/>
      </c>
      <c r="X2064" s="84" t="str">
        <f>IF(OR(TH!N2064=TH!$X$7,O2064=TH!$X$7),"x","")</f>
        <v/>
      </c>
      <c r="Y2064" s="84" t="str">
        <f>IF(AND(OR(N2064="131",O2064="131"),H2064='131-CT'!$H$9),"x","")</f>
        <v/>
      </c>
      <c r="Z2064" s="84"/>
      <c r="AA2064" s="84" t="str">
        <f>IF(AND(MONTH(E2064)='IN-NX'!$J$5,'IN-NX'!$D$7=D2064),"x","")</f>
        <v/>
      </c>
      <c r="AB2064" s="84" t="str">
        <f>IF(AND(OR(LEFT(TH!N2064,2)="15",LEFT(TH!O2064,2)="15"),LEFT(TH!O2064,3)&lt;&gt;"111",'152-CT'!$J$8=TH!F2064),"x","")</f>
        <v/>
      </c>
      <c r="AC2064" s="84" t="str">
        <f>IF(AND(OR(LEFT(TH!N2064,2)="15",LEFT(TH!O2064,2)="15"),TK!$E$7=TH!F2064),"x","")</f>
        <v/>
      </c>
      <c r="AD2064" s="84" t="str">
        <f>IF(AND(N2064="1521",MONTH(C2064)='BK-NL'!$M$11),"x","")</f>
        <v/>
      </c>
      <c r="AF2064" s="351">
        <v>8</v>
      </c>
    </row>
    <row r="2065" spans="1:32" s="351" customFormat="1" ht="15.75" hidden="1" customHeight="1">
      <c r="A2065" s="336" t="str">
        <f>IF(B2065&lt;&gt;"",IF(AND(B2065='IN-TC'!$S$4,OR(TH!N2065="1111",TH!O2065="1111")),TH!D2065,""),"")</f>
        <v/>
      </c>
      <c r="B2065" s="63">
        <f t="shared" si="272"/>
        <v>8</v>
      </c>
      <c r="C2065" s="64">
        <v>42612</v>
      </c>
      <c r="D2065" s="64" t="s">
        <v>705</v>
      </c>
      <c r="E2065" s="64">
        <f t="shared" si="273"/>
        <v>42612</v>
      </c>
      <c r="F2065" s="67" t="s">
        <v>1552</v>
      </c>
      <c r="G2065" s="67" t="s">
        <v>1565</v>
      </c>
      <c r="H2065" s="73" t="s">
        <v>1804</v>
      </c>
      <c r="I2065" s="439"/>
      <c r="J2065" s="439"/>
      <c r="K2065" s="430"/>
      <c r="L2065" s="439"/>
      <c r="M2065" s="65">
        <v>1000</v>
      </c>
      <c r="N2065" s="84" t="s">
        <v>2001</v>
      </c>
      <c r="O2065" s="66" t="s">
        <v>26</v>
      </c>
      <c r="P2065" s="84" t="str">
        <f>IF(AND('331-CT'!$E$7=TH!H2065,OR(N2065="331",O2065="331")),"x","")</f>
        <v/>
      </c>
      <c r="Q2065" s="84" t="str">
        <f>IF(AND(B2065='111'!$L$11,OR($N2065=$Q$7,$O2065=$Q$7)),"x","")</f>
        <v/>
      </c>
      <c r="R2065" s="84" t="str">
        <f>IF(AND($N2065=$Q$7,$B2065&lt;'111'!$L$11),"x","")</f>
        <v/>
      </c>
      <c r="S2065" s="84" t="str">
        <f>IF(AND($O2065=$Q$7,$B2065&lt;'111'!$L$11),"x","")</f>
        <v/>
      </c>
      <c r="T2065" s="84" t="str">
        <f>IF(ISERROR(FIND('112'!$M$9,G2065,1)),"",IF((AND(FIND('112'!$M$9,G2065,1)&gt;=1,B2065='112'!$K$9,OR($N2065='112'!$I$6,$O2065='112'!$I$6))),"x",""))</f>
        <v/>
      </c>
      <c r="U2065" s="84" t="str">
        <f>IF(ISERROR(FIND('112'!$M$9,G2065,1)),"",IF((AND(LEFT(G2065,2)=LEFT('112'!$M$9,2),B2065&lt;'112'!$K$9,$N2065='112'!$I$6)),"x",""))</f>
        <v/>
      </c>
      <c r="V2065" s="84" t="str">
        <f>IF(ISERROR(FIND('112'!$M$9,G2065,1)),"",IF((AND(RIGHT(G2065,2)=RIGHT('112'!$M$9,2),B2065&lt;'112'!$K$9,$O2065='112'!$I$6)),"x",""))</f>
        <v/>
      </c>
      <c r="W2065" s="84" t="str">
        <f>IF(AND('341-CT'!$H$9=H2065,OR(LEFT(N2065,3)=$W$7,LEFT(O2065,3)=$W$7)),"x","")</f>
        <v/>
      </c>
      <c r="X2065" s="84" t="str">
        <f>IF(OR(TH!N2065=TH!$X$7,O2065=TH!$X$7),"x","")</f>
        <v/>
      </c>
      <c r="Y2065" s="84" t="str">
        <f>IF(AND(OR(N2065="131",O2065="131"),H2065='131-CT'!$H$9),"x","")</f>
        <v/>
      </c>
      <c r="Z2065" s="84"/>
      <c r="AA2065" s="84" t="str">
        <f>IF(AND(MONTH(E2065)='IN-NX'!$J$5,'IN-NX'!$D$7=D2065),"x","")</f>
        <v/>
      </c>
      <c r="AB2065" s="84" t="str">
        <f>IF(AND(OR(LEFT(TH!N2065,2)="15",LEFT(TH!O2065,2)="15"),LEFT(TH!O2065,3)&lt;&gt;"111",'152-CT'!$J$8=TH!F2065),"x","")</f>
        <v/>
      </c>
      <c r="AC2065" s="84" t="str">
        <f>IF(AND(OR(LEFT(TH!N2065,2)="15",LEFT(TH!O2065,2)="15"),TK!$E$7=TH!F2065),"x","")</f>
        <v/>
      </c>
      <c r="AD2065" s="84" t="str">
        <f>IF(AND(N2065="1521",MONTH(C2065)='BK-NL'!$M$11),"x","")</f>
        <v/>
      </c>
      <c r="AF2065" s="351">
        <v>8</v>
      </c>
    </row>
    <row r="2066" spans="1:32" s="351" customFormat="1" ht="15.75" hidden="1" customHeight="1">
      <c r="A2066" s="336" t="str">
        <f>IF(B2066&lt;&gt;"",IF(AND(B2066='IN-TC'!$S$4,OR(TH!N2066="1111",TH!O2066="1111")),TH!D2066,""),"")</f>
        <v/>
      </c>
      <c r="B2066" s="63">
        <f t="shared" si="270"/>
        <v>8</v>
      </c>
      <c r="C2066" s="64">
        <v>42586</v>
      </c>
      <c r="D2066" s="64" t="s">
        <v>702</v>
      </c>
      <c r="E2066" s="64">
        <f t="shared" si="271"/>
        <v>42586</v>
      </c>
      <c r="F2066" s="67" t="s">
        <v>1191</v>
      </c>
      <c r="G2066" s="67" t="s">
        <v>918</v>
      </c>
      <c r="H2066" s="344" t="s">
        <v>601</v>
      </c>
      <c r="I2066" s="439"/>
      <c r="J2066" s="439"/>
      <c r="K2066" s="430">
        <v>45100</v>
      </c>
      <c r="L2066" s="439">
        <v>22310</v>
      </c>
      <c r="M2066" s="65">
        <f t="shared" ref="M2066:M2086" si="274">ROUND(K2066*L2066,0)</f>
        <v>1006181000</v>
      </c>
      <c r="N2066" s="66" t="s">
        <v>266</v>
      </c>
      <c r="O2066" s="66" t="s">
        <v>588</v>
      </c>
      <c r="P2066" s="84" t="str">
        <f>IF(AND('331-CT'!$E$7=TH!H2066,OR(N2066="331",O2066="331")),"x","")</f>
        <v/>
      </c>
      <c r="Q2066" s="84" t="str">
        <f>IF(AND(B2066='111'!$L$11,OR($N2066=$Q$7,$O2066=$Q$7)),"x","")</f>
        <v/>
      </c>
      <c r="R2066" s="84" t="str">
        <f>IF(AND($N2066=$Q$7,$B2066&lt;'111'!$L$11),"x","")</f>
        <v/>
      </c>
      <c r="S2066" s="84" t="str">
        <f>IF(AND($O2066=$Q$7,$B2066&lt;'111'!$L$11),"x","")</f>
        <v/>
      </c>
      <c r="T2066" s="84" t="str">
        <f>IF(ISERROR(FIND('112'!$M$9,G2066,1)),"",IF((AND(FIND('112'!$M$9,G2066,1)&gt;=1,B2066='112'!$K$9,OR($N2066='112'!$I$6,$O2066='112'!$I$6))),"x",""))</f>
        <v/>
      </c>
      <c r="U2066" s="84" t="str">
        <f>IF(ISERROR(FIND('112'!$M$9,G2066,1)),"",IF((AND(LEFT(G2066,2)=LEFT('112'!$M$9,2),B2066&lt;'112'!$K$9,$N2066='112'!$I$6)),"x",""))</f>
        <v/>
      </c>
      <c r="V2066" s="84" t="str">
        <f>IF(ISERROR(FIND('112'!$M$9,G2066,1)),"",IF((AND(RIGHT(G2066,2)=RIGHT('112'!$M$9,2),B2066&lt;'112'!$K$9,$O2066='112'!$I$6)),"x",""))</f>
        <v/>
      </c>
      <c r="W2066" s="84" t="str">
        <f>IF(AND('341-CT'!$H$9=H2066,OR(LEFT(N2066,3)=$W$7,LEFT(O2066,3)=$W$7)),"x","")</f>
        <v/>
      </c>
      <c r="X2066" s="84" t="str">
        <f>IF(OR(TH!N2066=TH!$X$7,O2066=TH!$X$7),"x","")</f>
        <v/>
      </c>
      <c r="Y2066" s="84" t="str">
        <f>IF(AND(OR(N2066="131",O2066="131"),H2066='131-CT'!$H$9),"x","")</f>
        <v>x</v>
      </c>
      <c r="Z2066" s="84"/>
      <c r="AA2066" s="84" t="str">
        <f>IF(AND(MONTH(E2066)='IN-NX'!$J$5,'IN-NX'!$D$7=D2066),"x","")</f>
        <v/>
      </c>
      <c r="AB2066" s="84" t="str">
        <f>IF(AND(OR(LEFT(TH!N2066,2)="15",LEFT(TH!O2066,2)="15"),LEFT(TH!O2066,3)&lt;&gt;"111",'152-CT'!$J$8=TH!F2066),"x","")</f>
        <v/>
      </c>
      <c r="AC2066" s="84" t="str">
        <f>IF(AND(OR(LEFT(TH!N2066,2)="15",LEFT(TH!O2066,2)="15"),TK!$E$7=TH!F2066),"x","")</f>
        <v/>
      </c>
      <c r="AD2066" s="84" t="str">
        <f>IF(AND(N2066="1521",MONTH(C2066)='BK-NL'!$M$11),"x","")</f>
        <v/>
      </c>
    </row>
    <row r="2067" spans="1:32" s="351" customFormat="1" ht="15.75" hidden="1" customHeight="1">
      <c r="A2067" s="336" t="str">
        <f>IF(B2067&lt;&gt;"",IF(AND(B2067='IN-TC'!$S$4,OR(TH!N2067="1111",TH!O2067="1111")),TH!D2067,""),"")</f>
        <v/>
      </c>
      <c r="B2067" s="63">
        <f t="shared" si="270"/>
        <v>8</v>
      </c>
      <c r="C2067" s="64">
        <v>42586</v>
      </c>
      <c r="D2067" s="64" t="s">
        <v>702</v>
      </c>
      <c r="E2067" s="64">
        <f t="shared" si="271"/>
        <v>42586</v>
      </c>
      <c r="F2067" s="67" t="s">
        <v>1929</v>
      </c>
      <c r="G2067" s="67" t="s">
        <v>918</v>
      </c>
      <c r="H2067" s="73"/>
      <c r="I2067" s="439"/>
      <c r="J2067" s="439"/>
      <c r="K2067" s="430">
        <v>6600</v>
      </c>
      <c r="L2067" s="439">
        <v>22310</v>
      </c>
      <c r="M2067" s="65">
        <f t="shared" si="274"/>
        <v>147246000</v>
      </c>
      <c r="N2067" s="66" t="s">
        <v>266</v>
      </c>
      <c r="O2067" s="66" t="s">
        <v>26</v>
      </c>
      <c r="P2067" s="84" t="str">
        <f>IF(AND('331-CT'!$E$7=TH!H2067,OR(N2067="331",O2067="331")),"x","")</f>
        <v/>
      </c>
      <c r="Q2067" s="84" t="str">
        <f>IF(AND(B2067='111'!$L$11,OR($N2067=$Q$7,$O2067=$Q$7)),"x","")</f>
        <v/>
      </c>
      <c r="R2067" s="84" t="str">
        <f>IF(AND($N2067=$Q$7,$B2067&lt;'111'!$L$11),"x","")</f>
        <v/>
      </c>
      <c r="S2067" s="84" t="str">
        <f>IF(AND($O2067=$Q$7,$B2067&lt;'111'!$L$11),"x","")</f>
        <v/>
      </c>
      <c r="T2067" s="84" t="str">
        <f>IF(ISERROR(FIND('112'!$M$9,G2067,1)),"",IF((AND(FIND('112'!$M$9,G2067,1)&gt;=1,B2067='112'!$K$9,OR($N2067='112'!$I$6,$O2067='112'!$I$6))),"x",""))</f>
        <v/>
      </c>
      <c r="U2067" s="84" t="str">
        <f>IF(ISERROR(FIND('112'!$M$9,G2067,1)),"",IF((AND(LEFT(G2067,2)=LEFT('112'!$M$9,2),B2067&lt;'112'!$K$9,$N2067='112'!$I$6)),"x",""))</f>
        <v/>
      </c>
      <c r="V2067" s="84" t="str">
        <f>IF(ISERROR(FIND('112'!$M$9,G2067,1)),"",IF((AND(RIGHT(G2067,2)=RIGHT('112'!$M$9,2),B2067&lt;'112'!$K$9,$O2067='112'!$I$6)),"x",""))</f>
        <v/>
      </c>
      <c r="W2067" s="84" t="str">
        <f>IF(AND('341-CT'!$H$9=H2067,OR(LEFT(N2067,3)=$W$7,LEFT(O2067,3)=$W$7)),"x","")</f>
        <v/>
      </c>
      <c r="X2067" s="84" t="str">
        <f>IF(OR(TH!N2067=TH!$X$7,O2067=TH!$X$7),"x","")</f>
        <v/>
      </c>
      <c r="Y2067" s="84" t="str">
        <f>IF(AND(OR(N2067="131",O2067="131"),H2067='131-CT'!$H$9),"x","")</f>
        <v/>
      </c>
      <c r="Z2067" s="84"/>
      <c r="AA2067" s="84" t="str">
        <f>IF(AND(MONTH(E2067)='IN-NX'!$J$5,'IN-NX'!$D$7=D2067),"x","")</f>
        <v/>
      </c>
      <c r="AB2067" s="84" t="str">
        <f>IF(AND(OR(LEFT(TH!N2067,2)="15",LEFT(TH!O2067,2)="15"),LEFT(TH!O2067,3)&lt;&gt;"111",'152-CT'!$J$8=TH!F2067),"x","")</f>
        <v/>
      </c>
      <c r="AC2067" s="84" t="str">
        <f>IF(AND(OR(LEFT(TH!N2067,2)="15",LEFT(TH!O2067,2)="15"),TK!$E$7=TH!F2067),"x","")</f>
        <v/>
      </c>
      <c r="AD2067" s="84" t="str">
        <f>IF(AND(N2067="1521",MONTH(C2067)='BK-NL'!$M$11),"x","")</f>
        <v/>
      </c>
    </row>
    <row r="2068" spans="1:32" s="351" customFormat="1" ht="15.75" hidden="1" customHeight="1">
      <c r="A2068" s="336" t="str">
        <f>IF(B2068&lt;&gt;"",IF(AND(B2068='IN-TC'!$S$4,OR(TH!N2068="1111",TH!O2068="1111")),TH!D2068,""),"")</f>
        <v/>
      </c>
      <c r="B2068" s="63">
        <f t="shared" si="270"/>
        <v>8</v>
      </c>
      <c r="C2068" s="64">
        <v>42593</v>
      </c>
      <c r="D2068" s="64" t="s">
        <v>702</v>
      </c>
      <c r="E2068" s="64">
        <f t="shared" si="271"/>
        <v>42593</v>
      </c>
      <c r="F2068" s="67" t="s">
        <v>1457</v>
      </c>
      <c r="G2068" s="67" t="s">
        <v>918</v>
      </c>
      <c r="H2068" s="344" t="s">
        <v>601</v>
      </c>
      <c r="I2068" s="439"/>
      <c r="J2068" s="439"/>
      <c r="K2068" s="430">
        <v>2230.29</v>
      </c>
      <c r="L2068" s="445">
        <v>22270</v>
      </c>
      <c r="M2068" s="65">
        <f t="shared" si="274"/>
        <v>49668558</v>
      </c>
      <c r="N2068" s="66" t="s">
        <v>266</v>
      </c>
      <c r="O2068" s="66" t="s">
        <v>588</v>
      </c>
      <c r="P2068" s="84" t="str">
        <f>IF(AND('331-CT'!$E$7=TH!H2068,OR(N2068="331",O2068="331")),"x","")</f>
        <v/>
      </c>
      <c r="Q2068" s="84" t="str">
        <f>IF(AND(B2068='111'!$L$11,OR($N2068=$Q$7,$O2068=$Q$7)),"x","")</f>
        <v/>
      </c>
      <c r="R2068" s="84" t="str">
        <f>IF(AND($N2068=$Q$7,$B2068&lt;'111'!$L$11),"x","")</f>
        <v/>
      </c>
      <c r="S2068" s="84" t="str">
        <f>IF(AND($O2068=$Q$7,$B2068&lt;'111'!$L$11),"x","")</f>
        <v/>
      </c>
      <c r="T2068" s="84" t="str">
        <f>IF(ISERROR(FIND('112'!$M$9,G2068,1)),"",IF((AND(FIND('112'!$M$9,G2068,1)&gt;=1,B2068='112'!$K$9,OR($N2068='112'!$I$6,$O2068='112'!$I$6))),"x",""))</f>
        <v/>
      </c>
      <c r="U2068" s="84" t="str">
        <f>IF(ISERROR(FIND('112'!$M$9,G2068,1)),"",IF((AND(LEFT(G2068,2)=LEFT('112'!$M$9,2),B2068&lt;'112'!$K$9,$N2068='112'!$I$6)),"x",""))</f>
        <v/>
      </c>
      <c r="V2068" s="84" t="str">
        <f>IF(ISERROR(FIND('112'!$M$9,G2068,1)),"",IF((AND(RIGHT(G2068,2)=RIGHT('112'!$M$9,2),B2068&lt;'112'!$K$9,$O2068='112'!$I$6)),"x",""))</f>
        <v/>
      </c>
      <c r="W2068" s="84" t="str">
        <f>IF(AND('341-CT'!$H$9=H2068,OR(LEFT(N2068,3)=$W$7,LEFT(O2068,3)=$W$7)),"x","")</f>
        <v/>
      </c>
      <c r="X2068" s="84" t="str">
        <f>IF(OR(TH!N2068=TH!$X$7,O2068=TH!$X$7),"x","")</f>
        <v/>
      </c>
      <c r="Y2068" s="84" t="str">
        <f>IF(AND(OR(N2068="131",O2068="131"),H2068='131-CT'!$H$9),"x","")</f>
        <v>x</v>
      </c>
      <c r="Z2068" s="84"/>
      <c r="AA2068" s="84" t="str">
        <f>IF(AND(MONTH(E2068)='IN-NX'!$J$5,'IN-NX'!$D$7=D2068),"x","")</f>
        <v/>
      </c>
      <c r="AB2068" s="84" t="str">
        <f>IF(AND(OR(LEFT(TH!N2068,2)="15",LEFT(TH!O2068,2)="15"),LEFT(TH!O2068,3)&lt;&gt;"111",'152-CT'!$J$8=TH!F2068),"x","")</f>
        <v/>
      </c>
      <c r="AC2068" s="84" t="str">
        <f>IF(AND(OR(LEFT(TH!N2068,2)="15",LEFT(TH!O2068,2)="15"),TK!$E$7=TH!F2068),"x","")</f>
        <v/>
      </c>
      <c r="AD2068" s="84" t="str">
        <f>IF(AND(N2068="1521",MONTH(C2068)='BK-NL'!$M$11),"x","")</f>
        <v/>
      </c>
    </row>
    <row r="2069" spans="1:32" s="347" customFormat="1" ht="15.75" customHeight="1">
      <c r="A2069" s="1176" t="str">
        <f>IF(B2069&lt;&gt;"",IF(AND(B2069='IN-TC'!$S$4,OR(TH!N2069="1111",TH!O2069="1111")),TH!D2069,""),"")</f>
        <v/>
      </c>
      <c r="B2069" s="1003">
        <f t="shared" ref="B2069:B2075" si="275">IF(C2069&lt;&gt;"",MONTH(C2069),"")</f>
        <v>8</v>
      </c>
      <c r="C2069" s="80">
        <v>42593</v>
      </c>
      <c r="D2069" s="80" t="s">
        <v>582</v>
      </c>
      <c r="E2069" s="80">
        <f t="shared" ref="E2069:E2075" si="276">C2069</f>
        <v>42593</v>
      </c>
      <c r="F2069" s="81" t="s">
        <v>1064</v>
      </c>
      <c r="G2069" s="81" t="s">
        <v>918</v>
      </c>
      <c r="H2069" s="966" t="s">
        <v>601</v>
      </c>
      <c r="I2069" s="437"/>
      <c r="J2069" s="437"/>
      <c r="K2069" s="428">
        <v>71.319999999999993</v>
      </c>
      <c r="L2069" s="445">
        <v>22270</v>
      </c>
      <c r="M2069" s="83">
        <f t="shared" ref="M2069:M2075" si="277">ROUND(K2069*L2069,0)</f>
        <v>1588296</v>
      </c>
      <c r="N2069" s="84" t="s">
        <v>101</v>
      </c>
      <c r="O2069" s="84" t="s">
        <v>588</v>
      </c>
      <c r="P2069" s="84" t="str">
        <f>IF(AND('331-CT'!$E$7=TH!H2069,OR(N2069="331",O2069="331")),"x","")</f>
        <v/>
      </c>
      <c r="Q2069" s="84" t="str">
        <f>IF(AND(B2069='111'!$L$11,OR($N2069=$Q$7,$O2069=$Q$7)),"x","")</f>
        <v/>
      </c>
      <c r="R2069" s="84" t="str">
        <f>IF(AND($N2069=$Q$7,$B2069&lt;'111'!$L$11),"x","")</f>
        <v/>
      </c>
      <c r="S2069" s="84" t="str">
        <f>IF(AND($O2069=$Q$7,$B2069&lt;'111'!$L$11),"x","")</f>
        <v/>
      </c>
      <c r="T2069" s="84" t="str">
        <f>IF(ISERROR(FIND('112'!$M$9,G2069,1)),"",IF((AND(FIND('112'!$M$9,G2069,1)&gt;=1,B2069='112'!$K$9,OR($N2069='112'!$I$6,$O2069='112'!$I$6))),"x",""))</f>
        <v/>
      </c>
      <c r="U2069" s="84" t="str">
        <f>IF(ISERROR(FIND('112'!$M$9,G2069,1)),"",IF((AND(LEFT(G2069,2)=LEFT('112'!$M$9,2),B2069&lt;'112'!$K$9,$N2069='112'!$I$6)),"x",""))</f>
        <v/>
      </c>
      <c r="V2069" s="84" t="str">
        <f>IF(ISERROR(FIND('112'!$M$9,G2069,1)),"",IF((AND(RIGHT(G2069,2)=RIGHT('112'!$M$9,2),B2069&lt;'112'!$K$9,$O2069='112'!$I$6)),"x",""))</f>
        <v/>
      </c>
      <c r="W2069" s="84" t="str">
        <f>IF(AND('341-CT'!$H$9=H2069,OR(LEFT(N2069,3)=$W$7,LEFT(O2069,3)=$W$7)),"x","")</f>
        <v/>
      </c>
      <c r="X2069" s="84" t="str">
        <f>IF(OR(TH!N2069=TH!$X$7,O2069=TH!$X$7),"x","")</f>
        <v/>
      </c>
      <c r="Y2069" s="84" t="str">
        <f>IF(AND(OR(N2069="131",O2069="131"),H2069='131-CT'!$H$9),"x","")</f>
        <v>x</v>
      </c>
      <c r="Z2069" s="84"/>
      <c r="AA2069" s="84" t="str">
        <f>IF(AND(MONTH(E2069)='IN-NX'!$J$5,'IN-NX'!$D$7=D2069),"x","")</f>
        <v/>
      </c>
      <c r="AB2069" s="84" t="str">
        <f>IF(AND(OR(LEFT(TH!N2069,2)="15",LEFT(TH!O2069,2)="15"),LEFT(TH!O2069,3)&lt;&gt;"111",'152-CT'!$J$8=TH!F2069),"x","")</f>
        <v/>
      </c>
      <c r="AC2069" s="84" t="str">
        <f>IF(AND(OR(LEFT(TH!N2069,2)="15",LEFT(TH!O2069,2)="15"),TK!$E$7=TH!F2069),"x","")</f>
        <v/>
      </c>
      <c r="AD2069" s="84" t="str">
        <f>IF(AND(N2069="1521",MONTH(C2069)='BK-NL'!$M$11),"x","")</f>
        <v/>
      </c>
      <c r="AF2069" s="347">
        <v>8</v>
      </c>
    </row>
    <row r="2070" spans="1:32" s="347" customFormat="1" ht="15.75" hidden="1" customHeight="1">
      <c r="A2070" s="1176" t="str">
        <f>IF(B2070&lt;&gt;"",IF(AND(B2070='IN-TC'!$S$4,OR(TH!N2070="1111",TH!O2070="1111")),TH!D2070,""),"")</f>
        <v/>
      </c>
      <c r="B2070" s="1003">
        <f t="shared" si="275"/>
        <v>8</v>
      </c>
      <c r="C2070" s="80">
        <v>42593</v>
      </c>
      <c r="D2070" s="80" t="s">
        <v>582</v>
      </c>
      <c r="E2070" s="80">
        <f t="shared" si="276"/>
        <v>42593</v>
      </c>
      <c r="F2070" s="81" t="s">
        <v>1065</v>
      </c>
      <c r="G2070" s="81" t="s">
        <v>918</v>
      </c>
      <c r="H2070" s="966" t="s">
        <v>601</v>
      </c>
      <c r="I2070" s="437"/>
      <c r="J2070" s="437"/>
      <c r="K2070" s="428">
        <v>7.13</v>
      </c>
      <c r="L2070" s="445">
        <v>22270</v>
      </c>
      <c r="M2070" s="83">
        <f t="shared" si="277"/>
        <v>158785</v>
      </c>
      <c r="N2070" s="84" t="s">
        <v>2001</v>
      </c>
      <c r="O2070" s="84" t="s">
        <v>588</v>
      </c>
      <c r="P2070" s="84" t="str">
        <f>IF(AND('331-CT'!$E$7=TH!H2070,OR(N2070="331",O2070="331")),"x","")</f>
        <v/>
      </c>
      <c r="Q2070" s="84" t="str">
        <f>IF(AND(B2070='111'!$L$11,OR($N2070=$Q$7,$O2070=$Q$7)),"x","")</f>
        <v/>
      </c>
      <c r="R2070" s="84" t="str">
        <f>IF(AND($N2070=$Q$7,$B2070&lt;'111'!$L$11),"x","")</f>
        <v/>
      </c>
      <c r="S2070" s="84" t="str">
        <f>IF(AND($O2070=$Q$7,$B2070&lt;'111'!$L$11),"x","")</f>
        <v/>
      </c>
      <c r="T2070" s="84" t="str">
        <f>IF(ISERROR(FIND('112'!$M$9,G2070,1)),"",IF((AND(FIND('112'!$M$9,G2070,1)&gt;=1,B2070='112'!$K$9,OR($N2070='112'!$I$6,$O2070='112'!$I$6))),"x",""))</f>
        <v/>
      </c>
      <c r="U2070" s="84" t="str">
        <f>IF(ISERROR(FIND('112'!$M$9,G2070,1)),"",IF((AND(LEFT(G2070,2)=LEFT('112'!$M$9,2),B2070&lt;'112'!$K$9,$N2070='112'!$I$6)),"x",""))</f>
        <v/>
      </c>
      <c r="V2070" s="84" t="str">
        <f>IF(ISERROR(FIND('112'!$M$9,G2070,1)),"",IF((AND(RIGHT(G2070,2)=RIGHT('112'!$M$9,2),B2070&lt;'112'!$K$9,$O2070='112'!$I$6)),"x",""))</f>
        <v/>
      </c>
      <c r="W2070" s="84" t="str">
        <f>IF(AND('341-CT'!$H$9=H2070,OR(LEFT(N2070,3)=$W$7,LEFT(O2070,3)=$W$7)),"x","")</f>
        <v/>
      </c>
      <c r="X2070" s="84" t="str">
        <f>IF(OR(TH!N2070=TH!$X$7,O2070=TH!$X$7),"x","")</f>
        <v/>
      </c>
      <c r="Y2070" s="84" t="str">
        <f>IF(AND(OR(N2070="131",O2070="131"),H2070='131-CT'!$H$9),"x","")</f>
        <v>x</v>
      </c>
      <c r="Z2070" s="84"/>
      <c r="AA2070" s="84" t="str">
        <f>IF(AND(MONTH(E2070)='IN-NX'!$J$5,'IN-NX'!$D$7=D2070),"x","")</f>
        <v/>
      </c>
      <c r="AB2070" s="84" t="str">
        <f>IF(AND(OR(LEFT(TH!N2070,2)="15",LEFT(TH!O2070,2)="15"),LEFT(TH!O2070,3)&lt;&gt;"111",'152-CT'!$J$8=TH!F2070),"x","")</f>
        <v/>
      </c>
      <c r="AC2070" s="84" t="str">
        <f>IF(AND(OR(LEFT(TH!N2070,2)="15",LEFT(TH!O2070,2)="15"),TK!$E$7=TH!F2070),"x","")</f>
        <v/>
      </c>
      <c r="AD2070" s="84" t="str">
        <f>IF(AND(N2070="1521",MONTH(C2070)='BK-NL'!$M$11),"x","")</f>
        <v/>
      </c>
    </row>
    <row r="2071" spans="1:32" s="347" customFormat="1" ht="15.75" customHeight="1">
      <c r="A2071" s="1176" t="str">
        <f>IF(B2071&lt;&gt;"",IF(AND(B2071='IN-TC'!$S$4,OR(TH!N2071="1111",TH!O2071="1111")),TH!D2071,""),"")</f>
        <v/>
      </c>
      <c r="B2071" s="1003">
        <f t="shared" si="275"/>
        <v>8</v>
      </c>
      <c r="C2071" s="80">
        <v>42593</v>
      </c>
      <c r="D2071" s="80" t="s">
        <v>582</v>
      </c>
      <c r="E2071" s="80">
        <f t="shared" si="276"/>
        <v>42593</v>
      </c>
      <c r="F2071" s="81" t="s">
        <v>614</v>
      </c>
      <c r="G2071" s="81" t="s">
        <v>918</v>
      </c>
      <c r="H2071" s="966" t="s">
        <v>601</v>
      </c>
      <c r="I2071" s="437"/>
      <c r="J2071" s="437"/>
      <c r="K2071" s="428">
        <v>10</v>
      </c>
      <c r="L2071" s="445">
        <v>22270</v>
      </c>
      <c r="M2071" s="83">
        <f t="shared" si="277"/>
        <v>222700</v>
      </c>
      <c r="N2071" s="84" t="s">
        <v>101</v>
      </c>
      <c r="O2071" s="84" t="s">
        <v>588</v>
      </c>
      <c r="P2071" s="84" t="str">
        <f>IF(AND('331-CT'!$E$7=TH!H2071,OR(N2071="331",O2071="331")),"x","")</f>
        <v/>
      </c>
      <c r="Q2071" s="84" t="str">
        <f>IF(AND(B2071='111'!$L$11,OR($N2071=$Q$7,$O2071=$Q$7)),"x","")</f>
        <v/>
      </c>
      <c r="R2071" s="84" t="str">
        <f>IF(AND($N2071=$Q$7,$B2071&lt;'111'!$L$11),"x","")</f>
        <v/>
      </c>
      <c r="S2071" s="84" t="str">
        <f>IF(AND($O2071=$Q$7,$B2071&lt;'111'!$L$11),"x","")</f>
        <v/>
      </c>
      <c r="T2071" s="84" t="str">
        <f>IF(ISERROR(FIND('112'!$M$9,G2071,1)),"",IF((AND(FIND('112'!$M$9,G2071,1)&gt;=1,B2071='112'!$K$9,OR($N2071='112'!$I$6,$O2071='112'!$I$6))),"x",""))</f>
        <v/>
      </c>
      <c r="U2071" s="84" t="str">
        <f>IF(ISERROR(FIND('112'!$M$9,G2071,1)),"",IF((AND(LEFT(G2071,2)=LEFT('112'!$M$9,2),B2071&lt;'112'!$K$9,$N2071='112'!$I$6)),"x",""))</f>
        <v/>
      </c>
      <c r="V2071" s="84" t="str">
        <f>IF(ISERROR(FIND('112'!$M$9,G2071,1)),"",IF((AND(RIGHT(G2071,2)=RIGHT('112'!$M$9,2),B2071&lt;'112'!$K$9,$O2071='112'!$I$6)),"x",""))</f>
        <v/>
      </c>
      <c r="W2071" s="84" t="str">
        <f>IF(AND('341-CT'!$H$9=H2071,OR(LEFT(N2071,3)=$W$7,LEFT(O2071,3)=$W$7)),"x","")</f>
        <v/>
      </c>
      <c r="X2071" s="84" t="str">
        <f>IF(OR(TH!N2071=TH!$X$7,O2071=TH!$X$7),"x","")</f>
        <v/>
      </c>
      <c r="Y2071" s="84" t="str">
        <f>IF(AND(OR(N2071="131",O2071="131"),H2071='131-CT'!$H$9),"x","")</f>
        <v>x</v>
      </c>
      <c r="Z2071" s="84"/>
      <c r="AA2071" s="84" t="str">
        <f>IF(AND(MONTH(E2071)='IN-NX'!$J$5,'IN-NX'!$D$7=D2071),"x","")</f>
        <v/>
      </c>
      <c r="AB2071" s="84" t="str">
        <f>IF(AND(OR(LEFT(TH!N2071,2)="15",LEFT(TH!O2071,2)="15"),LEFT(TH!O2071,3)&lt;&gt;"111",'152-CT'!$J$8=TH!F2071),"x","")</f>
        <v/>
      </c>
      <c r="AC2071" s="84" t="str">
        <f>IF(AND(OR(LEFT(TH!N2071,2)="15",LEFT(TH!O2071,2)="15"),TK!$E$7=TH!F2071),"x","")</f>
        <v/>
      </c>
      <c r="AD2071" s="84" t="str">
        <f>IF(AND(N2071="1521",MONTH(C2071)='BK-NL'!$M$11),"x","")</f>
        <v/>
      </c>
      <c r="AF2071" s="347">
        <v>8</v>
      </c>
    </row>
    <row r="2072" spans="1:32" s="347" customFormat="1" ht="15.75" hidden="1" customHeight="1">
      <c r="A2072" s="1176" t="str">
        <f>IF(B2072&lt;&gt;"",IF(AND(B2072='IN-TC'!$S$4,OR(TH!N2072="1111",TH!O2072="1111")),TH!D2072,""),"")</f>
        <v/>
      </c>
      <c r="B2072" s="1003">
        <f t="shared" si="275"/>
        <v>8</v>
      </c>
      <c r="C2072" s="80">
        <v>42593</v>
      </c>
      <c r="D2072" s="80" t="s">
        <v>582</v>
      </c>
      <c r="E2072" s="80">
        <f t="shared" si="276"/>
        <v>42593</v>
      </c>
      <c r="F2072" s="81" t="s">
        <v>1194</v>
      </c>
      <c r="G2072" s="81" t="s">
        <v>918</v>
      </c>
      <c r="H2072" s="966" t="s">
        <v>601</v>
      </c>
      <c r="I2072" s="437"/>
      <c r="J2072" s="437"/>
      <c r="K2072" s="428">
        <v>1</v>
      </c>
      <c r="L2072" s="445">
        <v>22270</v>
      </c>
      <c r="M2072" s="83">
        <f t="shared" si="277"/>
        <v>22270</v>
      </c>
      <c r="N2072" s="84" t="s">
        <v>2001</v>
      </c>
      <c r="O2072" s="84" t="s">
        <v>588</v>
      </c>
      <c r="P2072" s="84" t="str">
        <f>IF(AND('331-CT'!$E$7=TH!H2072,OR(N2072="331",O2072="331")),"x","")</f>
        <v/>
      </c>
      <c r="Q2072" s="84" t="str">
        <f>IF(AND(B2072='111'!$L$11,OR($N2072=$Q$7,$O2072=$Q$7)),"x","")</f>
        <v/>
      </c>
      <c r="R2072" s="84" t="str">
        <f>IF(AND($N2072=$Q$7,$B2072&lt;'111'!$L$11),"x","")</f>
        <v/>
      </c>
      <c r="S2072" s="84" t="str">
        <f>IF(AND($O2072=$Q$7,$B2072&lt;'111'!$L$11),"x","")</f>
        <v/>
      </c>
      <c r="T2072" s="84" t="str">
        <f>IF(ISERROR(FIND('112'!$M$9,G2072,1)),"",IF((AND(FIND('112'!$M$9,G2072,1)&gt;=1,B2072='112'!$K$9,OR($N2072='112'!$I$6,$O2072='112'!$I$6))),"x",""))</f>
        <v/>
      </c>
      <c r="U2072" s="84" t="str">
        <f>IF(ISERROR(FIND('112'!$M$9,G2072,1)),"",IF((AND(LEFT(G2072,2)=LEFT('112'!$M$9,2),B2072&lt;'112'!$K$9,$N2072='112'!$I$6)),"x",""))</f>
        <v/>
      </c>
      <c r="V2072" s="84" t="str">
        <f>IF(ISERROR(FIND('112'!$M$9,G2072,1)),"",IF((AND(RIGHT(G2072,2)=RIGHT('112'!$M$9,2),B2072&lt;'112'!$K$9,$O2072='112'!$I$6)),"x",""))</f>
        <v/>
      </c>
      <c r="W2072" s="84" t="str">
        <f>IF(AND('341-CT'!$H$9=H2072,OR(LEFT(N2072,3)=$W$7,LEFT(O2072,3)=$W$7)),"x","")</f>
        <v/>
      </c>
      <c r="X2072" s="84" t="str">
        <f>IF(OR(TH!N2072=TH!$X$7,O2072=TH!$X$7),"x","")</f>
        <v/>
      </c>
      <c r="Y2072" s="84" t="str">
        <f>IF(AND(OR(N2072="131",O2072="131"),H2072='131-CT'!$H$9),"x","")</f>
        <v>x</v>
      </c>
      <c r="Z2072" s="84"/>
      <c r="AA2072" s="84" t="str">
        <f>IF(AND(MONTH(E2072)='IN-NX'!$J$5,'IN-NX'!$D$7=D2072),"x","")</f>
        <v/>
      </c>
      <c r="AB2072" s="84" t="str">
        <f>IF(AND(OR(LEFT(TH!N2072,2)="15",LEFT(TH!O2072,2)="15"),LEFT(TH!O2072,3)&lt;&gt;"111",'152-CT'!$J$8=TH!F2072),"x","")</f>
        <v/>
      </c>
      <c r="AC2072" s="84" t="str">
        <f>IF(AND(OR(LEFT(TH!N2072,2)="15",LEFT(TH!O2072,2)="15"),TK!$E$7=TH!F2072),"x","")</f>
        <v/>
      </c>
      <c r="AD2072" s="84" t="str">
        <f>IF(AND(N2072="1521",MONTH(C2072)='BK-NL'!$M$11),"x","")</f>
        <v/>
      </c>
    </row>
    <row r="2073" spans="1:32" s="347" customFormat="1" ht="15.75" hidden="1" customHeight="1">
      <c r="A2073" s="1176" t="str">
        <f>IF(B2073&lt;&gt;"",IF(AND(B2073='IN-TC'!$S$4,OR(TH!N2073="1111",TH!O2073="1111")),TH!D2073,""),"")</f>
        <v/>
      </c>
      <c r="B2073" s="1003">
        <f t="shared" si="275"/>
        <v>8</v>
      </c>
      <c r="C2073" s="80">
        <v>42593</v>
      </c>
      <c r="D2073" s="80" t="s">
        <v>582</v>
      </c>
      <c r="E2073" s="80">
        <f t="shared" si="276"/>
        <v>42593</v>
      </c>
      <c r="F2073" s="81" t="s">
        <v>1066</v>
      </c>
      <c r="G2073" s="81" t="s">
        <v>918</v>
      </c>
      <c r="H2073" s="966" t="s">
        <v>601</v>
      </c>
      <c r="I2073" s="437"/>
      <c r="J2073" s="437"/>
      <c r="K2073" s="428">
        <v>35.08</v>
      </c>
      <c r="L2073" s="445">
        <v>22270</v>
      </c>
      <c r="M2073" s="83">
        <f t="shared" si="277"/>
        <v>781232</v>
      </c>
      <c r="N2073" s="84" t="s">
        <v>99</v>
      </c>
      <c r="O2073" s="84" t="s">
        <v>588</v>
      </c>
      <c r="P2073" s="84" t="str">
        <f>IF(AND('331-CT'!$E$7=TH!H2073,OR(N2073="331",O2073="331")),"x","")</f>
        <v/>
      </c>
      <c r="Q2073" s="84" t="str">
        <f>IF(AND(B2073='111'!$L$11,OR($N2073=$Q$7,$O2073=$Q$7)),"x","")</f>
        <v/>
      </c>
      <c r="R2073" s="84" t="str">
        <f>IF(AND($N2073=$Q$7,$B2073&lt;'111'!$L$11),"x","")</f>
        <v/>
      </c>
      <c r="S2073" s="84" t="str">
        <f>IF(AND($O2073=$Q$7,$B2073&lt;'111'!$L$11),"x","")</f>
        <v/>
      </c>
      <c r="T2073" s="84" t="str">
        <f>IF(ISERROR(FIND('112'!$M$9,G2073,1)),"",IF((AND(FIND('112'!$M$9,G2073,1)&gt;=1,B2073='112'!$K$9,OR($N2073='112'!$I$6,$O2073='112'!$I$6))),"x",""))</f>
        <v/>
      </c>
      <c r="U2073" s="84" t="str">
        <f>IF(ISERROR(FIND('112'!$M$9,G2073,1)),"",IF((AND(LEFT(G2073,2)=LEFT('112'!$M$9,2),B2073&lt;'112'!$K$9,$N2073='112'!$I$6)),"x",""))</f>
        <v/>
      </c>
      <c r="V2073" s="84" t="str">
        <f>IF(ISERROR(FIND('112'!$M$9,G2073,1)),"",IF((AND(RIGHT(G2073,2)=RIGHT('112'!$M$9,2),B2073&lt;'112'!$K$9,$O2073='112'!$I$6)),"x",""))</f>
        <v/>
      </c>
      <c r="W2073" s="84" t="str">
        <f>IF(AND('341-CT'!$H$9=H2073,OR(LEFT(N2073,3)=$W$7,LEFT(O2073,3)=$W$7)),"x","")</f>
        <v/>
      </c>
      <c r="X2073" s="84" t="str">
        <f>IF(OR(TH!N2073=TH!$X$7,O2073=TH!$X$7),"x","")</f>
        <v/>
      </c>
      <c r="Y2073" s="84" t="str">
        <f>IF(AND(OR(N2073="131",O2073="131"),H2073='131-CT'!$H$9),"x","")</f>
        <v>x</v>
      </c>
      <c r="Z2073" s="84"/>
      <c r="AA2073" s="84" t="str">
        <f>IF(AND(MONTH(E2073)='IN-NX'!$J$5,'IN-NX'!$D$7=D2073),"x","")</f>
        <v/>
      </c>
      <c r="AB2073" s="84" t="str">
        <f>IF(AND(OR(LEFT(TH!N2073,2)="15",LEFT(TH!O2073,2)="15"),LEFT(TH!O2073,3)&lt;&gt;"111",'152-CT'!$J$8=TH!F2073),"x","")</f>
        <v/>
      </c>
      <c r="AC2073" s="84" t="str">
        <f>IF(AND(OR(LEFT(TH!N2073,2)="15",LEFT(TH!O2073,2)="15"),TK!$E$7=TH!F2073),"x","")</f>
        <v/>
      </c>
      <c r="AD2073" s="84" t="str">
        <f>IF(AND(N2073="1521",MONTH(C2073)='BK-NL'!$M$11),"x","")</f>
        <v/>
      </c>
    </row>
    <row r="2074" spans="1:32" s="347" customFormat="1" ht="15.75" customHeight="1">
      <c r="A2074" s="1176" t="str">
        <f>IF(B2074&lt;&gt;"",IF(AND(B2074='IN-TC'!$S$4,OR(TH!N2074="1111",TH!O2074="1111")),TH!D2074,""),"")</f>
        <v/>
      </c>
      <c r="B2074" s="1003">
        <f t="shared" si="275"/>
        <v>8</v>
      </c>
      <c r="C2074" s="80">
        <v>42593</v>
      </c>
      <c r="D2074" s="80" t="s">
        <v>582</v>
      </c>
      <c r="E2074" s="80">
        <f t="shared" si="276"/>
        <v>42593</v>
      </c>
      <c r="F2074" s="81" t="s">
        <v>616</v>
      </c>
      <c r="G2074" s="81" t="s">
        <v>918</v>
      </c>
      <c r="H2074" s="966" t="s">
        <v>601</v>
      </c>
      <c r="I2074" s="437"/>
      <c r="J2074" s="437"/>
      <c r="K2074" s="428">
        <v>51.98</v>
      </c>
      <c r="L2074" s="445">
        <v>22270</v>
      </c>
      <c r="M2074" s="83">
        <f t="shared" si="277"/>
        <v>1157595</v>
      </c>
      <c r="N2074" s="84" t="s">
        <v>101</v>
      </c>
      <c r="O2074" s="84" t="s">
        <v>588</v>
      </c>
      <c r="P2074" s="84" t="str">
        <f>IF(AND('331-CT'!$E$7=TH!H2074,OR(N2074="331",O2074="331")),"x","")</f>
        <v/>
      </c>
      <c r="Q2074" s="84" t="str">
        <f>IF(AND(B2074='111'!$L$11,OR($N2074=$Q$7,$O2074=$Q$7)),"x","")</f>
        <v/>
      </c>
      <c r="R2074" s="84" t="str">
        <f>IF(AND($N2074=$Q$7,$B2074&lt;'111'!$L$11),"x","")</f>
        <v/>
      </c>
      <c r="S2074" s="84" t="str">
        <f>IF(AND($O2074=$Q$7,$B2074&lt;'111'!$L$11),"x","")</f>
        <v/>
      </c>
      <c r="T2074" s="84" t="str">
        <f>IF(ISERROR(FIND('112'!$M$9,G2074,1)),"",IF((AND(FIND('112'!$M$9,G2074,1)&gt;=1,B2074='112'!$K$9,OR($N2074='112'!$I$6,$O2074='112'!$I$6))),"x",""))</f>
        <v/>
      </c>
      <c r="U2074" s="84" t="str">
        <f>IF(ISERROR(FIND('112'!$M$9,G2074,1)),"",IF((AND(LEFT(G2074,2)=LEFT('112'!$M$9,2),B2074&lt;'112'!$K$9,$N2074='112'!$I$6)),"x",""))</f>
        <v/>
      </c>
      <c r="V2074" s="84" t="str">
        <f>IF(ISERROR(FIND('112'!$M$9,G2074,1)),"",IF((AND(RIGHT(G2074,2)=RIGHT('112'!$M$9,2),B2074&lt;'112'!$K$9,$O2074='112'!$I$6)),"x",""))</f>
        <v/>
      </c>
      <c r="W2074" s="84" t="str">
        <f>IF(AND('341-CT'!$H$9=H2074,OR(LEFT(N2074,3)=$W$7,LEFT(O2074,3)=$W$7)),"x","")</f>
        <v/>
      </c>
      <c r="X2074" s="84" t="str">
        <f>IF(OR(TH!N2074=TH!$X$7,O2074=TH!$X$7),"x","")</f>
        <v/>
      </c>
      <c r="Y2074" s="84" t="str">
        <f>IF(AND(OR(N2074="131",O2074="131"),H2074='131-CT'!$H$9),"x","")</f>
        <v>x</v>
      </c>
      <c r="Z2074" s="84"/>
      <c r="AA2074" s="84" t="str">
        <f>IF(AND(MONTH(E2074)='IN-NX'!$J$5,'IN-NX'!$D$7=D2074),"x","")</f>
        <v/>
      </c>
      <c r="AB2074" s="84" t="str">
        <f>IF(AND(OR(LEFT(TH!N2074,2)="15",LEFT(TH!O2074,2)="15"),LEFT(TH!O2074,3)&lt;&gt;"111",'152-CT'!$J$8=TH!F2074),"x","")</f>
        <v/>
      </c>
      <c r="AC2074" s="84" t="str">
        <f>IF(AND(OR(LEFT(TH!N2074,2)="15",LEFT(TH!O2074,2)="15"),TK!$E$7=TH!F2074),"x","")</f>
        <v/>
      </c>
      <c r="AD2074" s="84" t="str">
        <f>IF(AND(N2074="1521",MONTH(C2074)='BK-NL'!$M$11),"x","")</f>
        <v/>
      </c>
      <c r="AF2074" s="347">
        <v>8</v>
      </c>
    </row>
    <row r="2075" spans="1:32" s="347" customFormat="1" ht="15.75" hidden="1" customHeight="1">
      <c r="A2075" s="1176" t="str">
        <f>IF(B2075&lt;&gt;"",IF(AND(B2075='IN-TC'!$S$4,OR(TH!N2075="1111",TH!O2075="1111")),TH!D2075,""),"")</f>
        <v/>
      </c>
      <c r="B2075" s="1003">
        <f t="shared" si="275"/>
        <v>8</v>
      </c>
      <c r="C2075" s="80">
        <v>42593</v>
      </c>
      <c r="D2075" s="80" t="s">
        <v>582</v>
      </c>
      <c r="E2075" s="80">
        <f t="shared" si="276"/>
        <v>42593</v>
      </c>
      <c r="F2075" s="81" t="s">
        <v>1198</v>
      </c>
      <c r="G2075" s="81" t="s">
        <v>918</v>
      </c>
      <c r="H2075" s="966" t="s">
        <v>601</v>
      </c>
      <c r="I2075" s="437"/>
      <c r="J2075" s="437"/>
      <c r="K2075" s="428">
        <v>5.2</v>
      </c>
      <c r="L2075" s="445">
        <v>22270</v>
      </c>
      <c r="M2075" s="83">
        <f t="shared" si="277"/>
        <v>115804</v>
      </c>
      <c r="N2075" s="84" t="s">
        <v>2001</v>
      </c>
      <c r="O2075" s="84" t="s">
        <v>588</v>
      </c>
      <c r="P2075" s="84" t="str">
        <f>IF(AND('331-CT'!$E$7=TH!H2075,OR(N2075="331",O2075="331")),"x","")</f>
        <v/>
      </c>
      <c r="Q2075" s="84" t="str">
        <f>IF(AND(B2075='111'!$L$11,OR($N2075=$Q$7,$O2075=$Q$7)),"x","")</f>
        <v/>
      </c>
      <c r="R2075" s="84" t="str">
        <f>IF(AND($N2075=$Q$7,$B2075&lt;'111'!$L$11),"x","")</f>
        <v/>
      </c>
      <c r="S2075" s="84" t="str">
        <f>IF(AND($O2075=$Q$7,$B2075&lt;'111'!$L$11),"x","")</f>
        <v/>
      </c>
      <c r="T2075" s="84" t="str">
        <f>IF(ISERROR(FIND('112'!$M$9,G2075,1)),"",IF((AND(FIND('112'!$M$9,G2075,1)&gt;=1,B2075='112'!$K$9,OR($N2075='112'!$I$6,$O2075='112'!$I$6))),"x",""))</f>
        <v/>
      </c>
      <c r="U2075" s="84" t="str">
        <f>IF(ISERROR(FIND('112'!$M$9,G2075,1)),"",IF((AND(LEFT(G2075,2)=LEFT('112'!$M$9,2),B2075&lt;'112'!$K$9,$N2075='112'!$I$6)),"x",""))</f>
        <v/>
      </c>
      <c r="V2075" s="84" t="str">
        <f>IF(ISERROR(FIND('112'!$M$9,G2075,1)),"",IF((AND(RIGHT(G2075,2)=RIGHT('112'!$M$9,2),B2075&lt;'112'!$K$9,$O2075='112'!$I$6)),"x",""))</f>
        <v/>
      </c>
      <c r="W2075" s="84" t="str">
        <f>IF(AND('341-CT'!$H$9=H2075,OR(LEFT(N2075,3)=$W$7,LEFT(O2075,3)=$W$7)),"x","")</f>
        <v/>
      </c>
      <c r="X2075" s="84" t="str">
        <f>IF(OR(TH!N2075=TH!$X$7,O2075=TH!$X$7),"x","")</f>
        <v/>
      </c>
      <c r="Y2075" s="84" t="str">
        <f>IF(AND(OR(N2075="131",O2075="131"),H2075='131-CT'!$H$9),"x","")</f>
        <v>x</v>
      </c>
      <c r="Z2075" s="84"/>
      <c r="AA2075" s="84" t="str">
        <f>IF(AND(MONTH(E2075)='IN-NX'!$J$5,'IN-NX'!$D$7=D2075),"x","")</f>
        <v/>
      </c>
      <c r="AB2075" s="84" t="str">
        <f>IF(AND(OR(LEFT(TH!N2075,2)="15",LEFT(TH!O2075,2)="15"),LEFT(TH!O2075,3)&lt;&gt;"111",'152-CT'!$J$8=TH!F2075),"x","")</f>
        <v/>
      </c>
      <c r="AC2075" s="84" t="str">
        <f>IF(AND(OR(LEFT(TH!N2075,2)="15",LEFT(TH!O2075,2)="15"),TK!$E$7=TH!F2075),"x","")</f>
        <v/>
      </c>
      <c r="AD2075" s="84" t="str">
        <f>IF(AND(N2075="1521",MONTH(C2075)='BK-NL'!$M$11),"x","")</f>
        <v/>
      </c>
    </row>
    <row r="2076" spans="1:32" s="347" customFormat="1" ht="15.75" hidden="1" customHeight="1">
      <c r="A2076" s="1176" t="str">
        <f>IF(B2076&lt;&gt;"",IF(AND(B2076='IN-TC'!$S$4,OR(TH!N2076="1111",TH!O2076="1111")),TH!D2076,""),"")</f>
        <v/>
      </c>
      <c r="B2076" s="1003">
        <f t="shared" ref="B2076" si="278">IF(C2076&lt;&gt;"",MONTH(C2076),"")</f>
        <v>8</v>
      </c>
      <c r="C2076" s="80">
        <v>42593</v>
      </c>
      <c r="D2076" s="80" t="s">
        <v>582</v>
      </c>
      <c r="E2076" s="80">
        <f t="shared" ref="E2076" si="279">C2076</f>
        <v>42593</v>
      </c>
      <c r="F2076" s="81" t="s">
        <v>2008</v>
      </c>
      <c r="G2076" s="81" t="s">
        <v>918</v>
      </c>
      <c r="H2076" s="966" t="s">
        <v>601</v>
      </c>
      <c r="I2076" s="437"/>
      <c r="J2076" s="437"/>
      <c r="K2076" s="428">
        <v>35</v>
      </c>
      <c r="L2076" s="445">
        <v>22270</v>
      </c>
      <c r="M2076" s="83">
        <f t="shared" ref="M2076" si="280">ROUND(K2076*L2076,0)</f>
        <v>779450</v>
      </c>
      <c r="N2076" s="84" t="s">
        <v>101</v>
      </c>
      <c r="O2076" s="84" t="s">
        <v>588</v>
      </c>
      <c r="P2076" s="84" t="str">
        <f>IF(AND('331-CT'!$E$7=TH!H2076,OR(N2076="331",O2076="331")),"x","")</f>
        <v/>
      </c>
      <c r="Q2076" s="84" t="str">
        <f>IF(AND(B2076='111'!$L$11,OR($N2076=$Q$7,$O2076=$Q$7)),"x","")</f>
        <v/>
      </c>
      <c r="R2076" s="84" t="str">
        <f>IF(AND($N2076=$Q$7,$B2076&lt;'111'!$L$11),"x","")</f>
        <v/>
      </c>
      <c r="S2076" s="84" t="str">
        <f>IF(AND($O2076=$Q$7,$B2076&lt;'111'!$L$11),"x","")</f>
        <v/>
      </c>
      <c r="T2076" s="84" t="str">
        <f>IF(ISERROR(FIND('112'!$M$9,G2076,1)),"",IF((AND(FIND('112'!$M$9,G2076,1)&gt;=1,B2076='112'!$K$9,OR($N2076='112'!$I$6,$O2076='112'!$I$6))),"x",""))</f>
        <v/>
      </c>
      <c r="U2076" s="84" t="str">
        <f>IF(ISERROR(FIND('112'!$M$9,G2076,1)),"",IF((AND(LEFT(G2076,2)=LEFT('112'!$M$9,2),B2076&lt;'112'!$K$9,$N2076='112'!$I$6)),"x",""))</f>
        <v/>
      </c>
      <c r="V2076" s="84" t="str">
        <f>IF(ISERROR(FIND('112'!$M$9,G2076,1)),"",IF((AND(RIGHT(G2076,2)=RIGHT('112'!$M$9,2),B2076&lt;'112'!$K$9,$O2076='112'!$I$6)),"x",""))</f>
        <v/>
      </c>
      <c r="W2076" s="84" t="str">
        <f>IF(AND('341-CT'!$H$9=H2076,OR(LEFT(N2076,3)=$W$7,LEFT(O2076,3)=$W$7)),"x","")</f>
        <v/>
      </c>
      <c r="X2076" s="84" t="str">
        <f>IF(OR(TH!N2076=TH!$X$7,O2076=TH!$X$7),"x","")</f>
        <v/>
      </c>
      <c r="Y2076" s="84" t="str">
        <f>IF(AND(OR(N2076="131",O2076="131"),H2076='131-CT'!$H$9),"x","")</f>
        <v>x</v>
      </c>
      <c r="Z2076" s="84"/>
      <c r="AA2076" s="84" t="str">
        <f>IF(AND(MONTH(E2076)='IN-NX'!$J$5,'IN-NX'!$D$7=D2076),"x","")</f>
        <v/>
      </c>
      <c r="AB2076" s="84" t="str">
        <f>IF(AND(OR(LEFT(TH!N2076,2)="15",LEFT(TH!O2076,2)="15"),LEFT(TH!O2076,3)&lt;&gt;"111",'152-CT'!$J$8=TH!F2076),"x","")</f>
        <v/>
      </c>
      <c r="AC2076" s="84" t="str">
        <f>IF(AND(OR(LEFT(TH!N2076,2)="15",LEFT(TH!O2076,2)="15"),TK!$E$7=TH!F2076),"x","")</f>
        <v/>
      </c>
      <c r="AD2076" s="84" t="str">
        <f>IF(AND(N2076="1521",MONTH(C2076)='BK-NL'!$M$11),"x","")</f>
        <v/>
      </c>
    </row>
    <row r="2077" spans="1:32" s="347" customFormat="1" ht="15.75" hidden="1" customHeight="1">
      <c r="A2077" s="1176" t="str">
        <f>IF(B2077&lt;&gt;"",IF(AND(B2077='IN-TC'!$S$4,OR(TH!N2077="1111",TH!O2077="1111")),TH!D2077,""),"")</f>
        <v/>
      </c>
      <c r="B2077" s="1003">
        <f t="shared" ref="B2077" si="281">IF(C2077&lt;&gt;"",MONTH(C2077),"")</f>
        <v>8</v>
      </c>
      <c r="C2077" s="80">
        <v>42593</v>
      </c>
      <c r="D2077" s="80" t="s">
        <v>582</v>
      </c>
      <c r="E2077" s="80">
        <f t="shared" ref="E2077" si="282">C2077</f>
        <v>42593</v>
      </c>
      <c r="F2077" s="81" t="s">
        <v>1068</v>
      </c>
      <c r="G2077" s="81" t="s">
        <v>918</v>
      </c>
      <c r="H2077" s="966" t="s">
        <v>601</v>
      </c>
      <c r="I2077" s="437"/>
      <c r="J2077" s="437"/>
      <c r="K2077" s="428"/>
      <c r="L2077" s="437"/>
      <c r="M2077" s="83">
        <v>2279470</v>
      </c>
      <c r="N2077" s="84" t="s">
        <v>588</v>
      </c>
      <c r="O2077" s="84" t="s">
        <v>43</v>
      </c>
      <c r="P2077" s="84" t="str">
        <f>IF(AND('331-CT'!$E$7=TH!H2077,OR(N2077="331",O2077="331")),"x","")</f>
        <v/>
      </c>
      <c r="Q2077" s="84" t="str">
        <f>IF(AND(B2077='111'!$L$11,OR($N2077=$Q$7,$O2077=$Q$7)),"x","")</f>
        <v/>
      </c>
      <c r="R2077" s="84" t="str">
        <f>IF(AND($N2077=$Q$7,$B2077&lt;'111'!$L$11),"x","")</f>
        <v/>
      </c>
      <c r="S2077" s="84" t="str">
        <f>IF(AND($O2077=$Q$7,$B2077&lt;'111'!$L$11),"x","")</f>
        <v/>
      </c>
      <c r="T2077" s="84" t="str">
        <f>IF(ISERROR(FIND('112'!$M$9,G2077,1)),"",IF((AND(FIND('112'!$M$9,G2077,1)&gt;=1,B2077='112'!$K$9,OR($N2077='112'!$I$6,$O2077='112'!$I$6))),"x",""))</f>
        <v/>
      </c>
      <c r="U2077" s="84" t="str">
        <f>IF(ISERROR(FIND('112'!$M$9,G2077,1)),"",IF((AND(LEFT(G2077,2)=LEFT('112'!$M$9,2),B2077&lt;'112'!$K$9,$N2077='112'!$I$6)),"x",""))</f>
        <v/>
      </c>
      <c r="V2077" s="84" t="str">
        <f>IF(ISERROR(FIND('112'!$M$9,G2077,1)),"",IF((AND(RIGHT(G2077,2)=RIGHT('112'!$M$9,2),B2077&lt;'112'!$K$9,$O2077='112'!$I$6)),"x",""))</f>
        <v/>
      </c>
      <c r="W2077" s="84" t="str">
        <f>IF(AND('341-CT'!$H$9=H2077,OR(LEFT(N2077,3)=$W$7,LEFT(O2077,3)=$W$7)),"x","")</f>
        <v/>
      </c>
      <c r="X2077" s="84" t="str">
        <f>IF(OR(TH!N2077=TH!$X$7,O2077=TH!$X$7),"x","")</f>
        <v/>
      </c>
      <c r="Y2077" s="84" t="str">
        <f>IF(AND(OR(N2077="131",O2077="131"),H2077='131-CT'!$H$9),"x","")</f>
        <v>x</v>
      </c>
      <c r="Z2077" s="84"/>
      <c r="AA2077" s="84" t="str">
        <f>IF(AND(MONTH(E2077)='IN-NX'!$J$5,'IN-NX'!$D$7=D2077),"x","")</f>
        <v/>
      </c>
      <c r="AB2077" s="84" t="str">
        <f>IF(AND(OR(LEFT(TH!N2077,2)="15",LEFT(TH!O2077,2)="15"),LEFT(TH!O2077,3)&lt;&gt;"111",'152-CT'!$J$8=TH!F2077),"x","")</f>
        <v/>
      </c>
      <c r="AC2077" s="84" t="str">
        <f>IF(AND(OR(LEFT(TH!N2077,2)="15",LEFT(TH!O2077,2)="15"),TK!$E$7=TH!F2077),"x","")</f>
        <v/>
      </c>
      <c r="AD2077" s="84" t="str">
        <f>IF(AND(N2077="1521",MONTH(C2077)='BK-NL'!$M$11),"x","")</f>
        <v/>
      </c>
    </row>
    <row r="2078" spans="1:32" s="351" customFormat="1" ht="15.75" customHeight="1">
      <c r="A2078" s="336" t="str">
        <f>IF(B2078&lt;&gt;"",IF(AND(B2078='IN-TC'!$S$4,OR(TH!N2078="1111",TH!O2078="1111")),TH!D2078,""),"")</f>
        <v/>
      </c>
      <c r="B2078" s="63">
        <f t="shared" si="270"/>
        <v>8</v>
      </c>
      <c r="C2078" s="64">
        <v>42583</v>
      </c>
      <c r="D2078" s="64" t="s">
        <v>705</v>
      </c>
      <c r="E2078" s="64">
        <f t="shared" si="271"/>
        <v>42583</v>
      </c>
      <c r="F2078" s="67" t="s">
        <v>1199</v>
      </c>
      <c r="G2078" s="67" t="s">
        <v>918</v>
      </c>
      <c r="H2078" s="73"/>
      <c r="I2078" s="439"/>
      <c r="J2078" s="439"/>
      <c r="K2078" s="430">
        <v>3</v>
      </c>
      <c r="L2078" s="439">
        <v>22280</v>
      </c>
      <c r="M2078" s="65">
        <f t="shared" si="274"/>
        <v>66840</v>
      </c>
      <c r="N2078" s="66" t="s">
        <v>101</v>
      </c>
      <c r="O2078" s="66" t="s">
        <v>266</v>
      </c>
      <c r="P2078" s="84" t="str">
        <f>IF(AND('331-CT'!$E$7=TH!H2078,OR(N2078="331",O2078="331")),"x","")</f>
        <v/>
      </c>
      <c r="Q2078" s="84" t="str">
        <f>IF(AND(B2078='111'!$L$11,OR($N2078=$Q$7,$O2078=$Q$7)),"x","")</f>
        <v/>
      </c>
      <c r="R2078" s="84" t="str">
        <f>IF(AND($N2078=$Q$7,$B2078&lt;'111'!$L$11),"x","")</f>
        <v/>
      </c>
      <c r="S2078" s="84" t="str">
        <f>IF(AND($O2078=$Q$7,$B2078&lt;'111'!$L$11),"x","")</f>
        <v/>
      </c>
      <c r="T2078" s="84" t="str">
        <f>IF(ISERROR(FIND('112'!$M$9,G2078,1)),"",IF((AND(FIND('112'!$M$9,G2078,1)&gt;=1,B2078='112'!$K$9,OR($N2078='112'!$I$6,$O2078='112'!$I$6))),"x",""))</f>
        <v/>
      </c>
      <c r="U2078" s="84" t="str">
        <f>IF(ISERROR(FIND('112'!$M$9,G2078,1)),"",IF((AND(LEFT(G2078,2)=LEFT('112'!$M$9,2),B2078&lt;'112'!$K$9,$N2078='112'!$I$6)),"x",""))</f>
        <v/>
      </c>
      <c r="V2078" s="84" t="str">
        <f>IF(ISERROR(FIND('112'!$M$9,G2078,1)),"",IF((AND(RIGHT(G2078,2)=RIGHT('112'!$M$9,2),B2078&lt;'112'!$K$9,$O2078='112'!$I$6)),"x",""))</f>
        <v/>
      </c>
      <c r="W2078" s="84" t="str">
        <f>IF(AND('341-CT'!$H$9=H2078,OR(LEFT(N2078,3)=$W$7,LEFT(O2078,3)=$W$7)),"x","")</f>
        <v/>
      </c>
      <c r="X2078" s="84" t="str">
        <f>IF(OR(TH!N2078=TH!$X$7,O2078=TH!$X$7),"x","")</f>
        <v/>
      </c>
      <c r="Y2078" s="84" t="str">
        <f>IF(AND(OR(N2078="131",O2078="131"),H2078='131-CT'!$H$9),"x","")</f>
        <v/>
      </c>
      <c r="Z2078" s="84"/>
      <c r="AA2078" s="84" t="str">
        <f>IF(AND(MONTH(E2078)='IN-NX'!$J$5,'IN-NX'!$D$7=D2078),"x","")</f>
        <v/>
      </c>
      <c r="AB2078" s="84" t="str">
        <f>IF(AND(OR(LEFT(TH!N2078,2)="15",LEFT(TH!O2078,2)="15"),LEFT(TH!O2078,3)&lt;&gt;"111",'152-CT'!$J$8=TH!F2078),"x","")</f>
        <v/>
      </c>
      <c r="AC2078" s="84" t="str">
        <f>IF(AND(OR(LEFT(TH!N2078,2)="15",LEFT(TH!O2078,2)="15"),TK!$E$7=TH!F2078),"x","")</f>
        <v/>
      </c>
      <c r="AD2078" s="84" t="str">
        <f>IF(AND(N2078="1521",MONTH(C2078)='BK-NL'!$M$11),"x","")</f>
        <v/>
      </c>
      <c r="AF2078" s="351">
        <v>8</v>
      </c>
    </row>
    <row r="2079" spans="1:32" s="351" customFormat="1" ht="15.75" hidden="1" customHeight="1">
      <c r="A2079" s="336" t="str">
        <f>IF(B2079&lt;&gt;"",IF(AND(B2079='IN-TC'!$S$4,OR(TH!N2079="1111",TH!O2079="1111")),TH!D2079,""),"")</f>
        <v/>
      </c>
      <c r="B2079" s="63">
        <f t="shared" si="270"/>
        <v>8</v>
      </c>
      <c r="C2079" s="64">
        <v>42583</v>
      </c>
      <c r="D2079" s="64" t="s">
        <v>705</v>
      </c>
      <c r="E2079" s="64">
        <f t="shared" si="271"/>
        <v>42583</v>
      </c>
      <c r="F2079" s="67" t="s">
        <v>1200</v>
      </c>
      <c r="G2079" s="67" t="s">
        <v>918</v>
      </c>
      <c r="H2079" s="73"/>
      <c r="I2079" s="439"/>
      <c r="J2079" s="439"/>
      <c r="K2079" s="430">
        <v>0.3</v>
      </c>
      <c r="L2079" s="439">
        <v>22280</v>
      </c>
      <c r="M2079" s="65">
        <f t="shared" si="274"/>
        <v>6684</v>
      </c>
      <c r="N2079" s="84" t="s">
        <v>2001</v>
      </c>
      <c r="O2079" s="66" t="s">
        <v>266</v>
      </c>
      <c r="P2079" s="84" t="str">
        <f>IF(AND('331-CT'!$E$7=TH!H2079,OR(N2079="331",O2079="331")),"x","")</f>
        <v/>
      </c>
      <c r="Q2079" s="84" t="str">
        <f>IF(AND(B2079='111'!$L$11,OR($N2079=$Q$7,$O2079=$Q$7)),"x","")</f>
        <v/>
      </c>
      <c r="R2079" s="84" t="str">
        <f>IF(AND($N2079=$Q$7,$B2079&lt;'111'!$L$11),"x","")</f>
        <v/>
      </c>
      <c r="S2079" s="84" t="str">
        <f>IF(AND($O2079=$Q$7,$B2079&lt;'111'!$L$11),"x","")</f>
        <v/>
      </c>
      <c r="T2079" s="84" t="str">
        <f>IF(ISERROR(FIND('112'!$M$9,G2079,1)),"",IF((AND(FIND('112'!$M$9,G2079,1)&gt;=1,B2079='112'!$K$9,OR($N2079='112'!$I$6,$O2079='112'!$I$6))),"x",""))</f>
        <v/>
      </c>
      <c r="U2079" s="84" t="str">
        <f>IF(ISERROR(FIND('112'!$M$9,G2079,1)),"",IF((AND(LEFT(G2079,2)=LEFT('112'!$M$9,2),B2079&lt;'112'!$K$9,$N2079='112'!$I$6)),"x",""))</f>
        <v/>
      </c>
      <c r="V2079" s="84" t="str">
        <f>IF(ISERROR(FIND('112'!$M$9,G2079,1)),"",IF((AND(RIGHT(G2079,2)=RIGHT('112'!$M$9,2),B2079&lt;'112'!$K$9,$O2079='112'!$I$6)),"x",""))</f>
        <v/>
      </c>
      <c r="W2079" s="84" t="str">
        <f>IF(AND('341-CT'!$H$9=H2079,OR(LEFT(N2079,3)=$W$7,LEFT(O2079,3)=$W$7)),"x","")</f>
        <v/>
      </c>
      <c r="X2079" s="84" t="str">
        <f>IF(OR(TH!N2079=TH!$X$7,O2079=TH!$X$7),"x","")</f>
        <v/>
      </c>
      <c r="Y2079" s="84" t="str">
        <f>IF(AND(OR(N2079="131",O2079="131"),H2079='131-CT'!$H$9),"x","")</f>
        <v/>
      </c>
      <c r="Z2079" s="84"/>
      <c r="AA2079" s="84" t="str">
        <f>IF(AND(MONTH(E2079)='IN-NX'!$J$5,'IN-NX'!$D$7=D2079),"x","")</f>
        <v/>
      </c>
      <c r="AB2079" s="84" t="str">
        <f>IF(AND(OR(LEFT(TH!N2079,2)="15",LEFT(TH!O2079,2)="15"),LEFT(TH!O2079,3)&lt;&gt;"111",'152-CT'!$J$8=TH!F2079),"x","")</f>
        <v/>
      </c>
      <c r="AC2079" s="84" t="str">
        <f>IF(AND(OR(LEFT(TH!N2079,2)="15",LEFT(TH!O2079,2)="15"),TK!$E$7=TH!F2079),"x","")</f>
        <v/>
      </c>
      <c r="AD2079" s="84" t="str">
        <f>IF(AND(N2079="1521",MONTH(C2079)='BK-NL'!$M$11),"x","")</f>
        <v/>
      </c>
      <c r="AF2079" s="351">
        <v>8</v>
      </c>
    </row>
    <row r="2080" spans="1:32" s="351" customFormat="1" ht="15.75" hidden="1" customHeight="1">
      <c r="A2080" s="336" t="str">
        <f>IF(B2080&lt;&gt;"",IF(AND(B2080='IN-TC'!$S$4,OR(TH!N2080="1111",TH!O2080="1111")),TH!D2080,""),"")</f>
        <v/>
      </c>
      <c r="B2080" s="63">
        <f t="shared" si="270"/>
        <v>8</v>
      </c>
      <c r="C2080" s="64">
        <v>42586</v>
      </c>
      <c r="D2080" s="64" t="s">
        <v>705</v>
      </c>
      <c r="E2080" s="64">
        <f t="shared" si="271"/>
        <v>42586</v>
      </c>
      <c r="F2080" s="67" t="s">
        <v>1190</v>
      </c>
      <c r="G2080" s="67" t="s">
        <v>918</v>
      </c>
      <c r="H2080" s="344" t="s">
        <v>742</v>
      </c>
      <c r="I2080" s="439"/>
      <c r="J2080" s="439"/>
      <c r="K2080" s="432">
        <v>52300</v>
      </c>
      <c r="L2080" s="439">
        <v>22280</v>
      </c>
      <c r="M2080" s="65">
        <f t="shared" si="274"/>
        <v>1165244000</v>
      </c>
      <c r="N2080" s="66" t="s">
        <v>260</v>
      </c>
      <c r="O2080" s="66" t="s">
        <v>266</v>
      </c>
      <c r="P2080" s="84" t="str">
        <f>IF(AND('331-CT'!$E$7=TH!H2080,OR(N2080="331",O2080="331")),"x","")</f>
        <v/>
      </c>
      <c r="Q2080" s="84" t="str">
        <f>IF(AND(B2080='111'!$L$11,OR($N2080=$Q$7,$O2080=$Q$7)),"x","")</f>
        <v/>
      </c>
      <c r="R2080" s="84" t="str">
        <f>IF(AND($N2080=$Q$7,$B2080&lt;'111'!$L$11),"x","")</f>
        <v/>
      </c>
      <c r="S2080" s="84" t="str">
        <f>IF(AND($O2080=$Q$7,$B2080&lt;'111'!$L$11),"x","")</f>
        <v/>
      </c>
      <c r="T2080" s="84" t="str">
        <f>IF(ISERROR(FIND('112'!$M$9,G2080,1)),"",IF((AND(FIND('112'!$M$9,G2080,1)&gt;=1,B2080='112'!$K$9,OR($N2080='112'!$I$6,$O2080='112'!$I$6))),"x",""))</f>
        <v/>
      </c>
      <c r="U2080" s="84" t="str">
        <f>IF(ISERROR(FIND('112'!$M$9,G2080,1)),"",IF((AND(LEFT(G2080,2)=LEFT('112'!$M$9,2),B2080&lt;'112'!$K$9,$N2080='112'!$I$6)),"x",""))</f>
        <v/>
      </c>
      <c r="V2080" s="84" t="str">
        <f>IF(ISERROR(FIND('112'!$M$9,G2080,1)),"",IF((AND(RIGHT(G2080,2)=RIGHT('112'!$M$9,2),B2080&lt;'112'!$K$9,$O2080='112'!$I$6)),"x",""))</f>
        <v/>
      </c>
      <c r="W2080" s="84" t="str">
        <f>IF(AND('341-CT'!$H$9=H2080,OR(LEFT(N2080,3)=$W$7,LEFT(O2080,3)=$W$7)),"x","")</f>
        <v/>
      </c>
      <c r="X2080" s="84" t="str">
        <f>IF(OR(TH!N2080=TH!$X$7,O2080=TH!$X$7),"x","")</f>
        <v/>
      </c>
      <c r="Y2080" s="84" t="str">
        <f>IF(AND(OR(N2080="131",O2080="131"),H2080='131-CT'!$H$9),"x","")</f>
        <v/>
      </c>
      <c r="Z2080" s="84"/>
      <c r="AA2080" s="84" t="str">
        <f>IF(AND(MONTH(E2080)='IN-NX'!$J$5,'IN-NX'!$D$7=D2080),"x","")</f>
        <v/>
      </c>
      <c r="AB2080" s="84" t="str">
        <f>IF(AND(OR(LEFT(TH!N2080,2)="15",LEFT(TH!O2080,2)="15"),LEFT(TH!O2080,3)&lt;&gt;"111",'152-CT'!$J$8=TH!F2080),"x","")</f>
        <v/>
      </c>
      <c r="AC2080" s="84" t="str">
        <f>IF(AND(OR(LEFT(TH!N2080,2)="15",LEFT(TH!O2080,2)="15"),TK!$E$7=TH!F2080),"x","")</f>
        <v/>
      </c>
      <c r="AD2080" s="84" t="str">
        <f>IF(AND(N2080="1521",MONTH(C2080)='BK-NL'!$M$11),"x","")</f>
        <v/>
      </c>
    </row>
    <row r="2081" spans="1:32" s="351" customFormat="1" ht="15.75" hidden="1" customHeight="1">
      <c r="A2081" s="336" t="str">
        <f>IF(B2081&lt;&gt;"",IF(AND(B2081='IN-TC'!$S$4,OR(TH!N2081="1111",TH!O2081="1111")),TH!D2081,""),"")</f>
        <v/>
      </c>
      <c r="B2081" s="63">
        <f t="shared" si="270"/>
        <v>8</v>
      </c>
      <c r="C2081" s="64">
        <v>42586</v>
      </c>
      <c r="D2081" s="64" t="s">
        <v>582</v>
      </c>
      <c r="E2081" s="64">
        <f t="shared" si="271"/>
        <v>42586</v>
      </c>
      <c r="F2081" s="67" t="s">
        <v>1068</v>
      </c>
      <c r="G2081" s="67" t="s">
        <v>918</v>
      </c>
      <c r="H2081" s="344" t="s">
        <v>742</v>
      </c>
      <c r="I2081" s="439"/>
      <c r="J2081" s="439"/>
      <c r="K2081" s="430"/>
      <c r="L2081" s="439"/>
      <c r="M2081" s="65">
        <v>3138000</v>
      </c>
      <c r="N2081" s="66" t="s">
        <v>99</v>
      </c>
      <c r="O2081" s="66" t="s">
        <v>260</v>
      </c>
      <c r="P2081" s="84" t="str">
        <f>IF(AND('331-CT'!$E$7=TH!H2081,OR(N2081="331",O2081="331")),"x","")</f>
        <v/>
      </c>
      <c r="Q2081" s="84" t="str">
        <f>IF(AND(B2081='111'!$L$11,OR($N2081=$Q$7,$O2081=$Q$7)),"x","")</f>
        <v/>
      </c>
      <c r="R2081" s="84" t="str">
        <f>IF(AND($N2081=$Q$7,$B2081&lt;'111'!$L$11),"x","")</f>
        <v/>
      </c>
      <c r="S2081" s="84" t="str">
        <f>IF(AND($O2081=$Q$7,$B2081&lt;'111'!$L$11),"x","")</f>
        <v/>
      </c>
      <c r="T2081" s="84" t="str">
        <f>IF(ISERROR(FIND('112'!$M$9,G2081,1)),"",IF((AND(FIND('112'!$M$9,G2081,1)&gt;=1,B2081='112'!$K$9,OR($N2081='112'!$I$6,$O2081='112'!$I$6))),"x",""))</f>
        <v/>
      </c>
      <c r="U2081" s="84" t="str">
        <f>IF(ISERROR(FIND('112'!$M$9,G2081,1)),"",IF((AND(LEFT(G2081,2)=LEFT('112'!$M$9,2),B2081&lt;'112'!$K$9,$N2081='112'!$I$6)),"x",""))</f>
        <v/>
      </c>
      <c r="V2081" s="84" t="str">
        <f>IF(ISERROR(FIND('112'!$M$9,G2081,1)),"",IF((AND(RIGHT(G2081,2)=RIGHT('112'!$M$9,2),B2081&lt;'112'!$K$9,$O2081='112'!$I$6)),"x",""))</f>
        <v/>
      </c>
      <c r="W2081" s="84" t="str">
        <f>IF(AND('341-CT'!$H$9=H2081,OR(LEFT(N2081,3)=$W$7,LEFT(O2081,3)=$W$7)),"x","")</f>
        <v/>
      </c>
      <c r="X2081" s="84" t="str">
        <f>IF(OR(TH!N2081=TH!$X$7,O2081=TH!$X$7),"x","")</f>
        <v/>
      </c>
      <c r="Y2081" s="84" t="str">
        <f>IF(AND(OR(N2081="131",O2081="131"),H2081='131-CT'!$H$9),"x","")</f>
        <v/>
      </c>
      <c r="Z2081" s="84"/>
      <c r="AA2081" s="84" t="str">
        <f>IF(AND(MONTH(E2081)='IN-NX'!$J$5,'IN-NX'!$D$7=D2081),"x","")</f>
        <v/>
      </c>
      <c r="AB2081" s="84" t="str">
        <f>IF(AND(OR(LEFT(TH!N2081,2)="15",LEFT(TH!O2081,2)="15"),LEFT(TH!O2081,3)&lt;&gt;"111",'152-CT'!$J$8=TH!F2081),"x","")</f>
        <v/>
      </c>
      <c r="AC2081" s="84" t="str">
        <f>IF(AND(OR(LEFT(TH!N2081,2)="15",LEFT(TH!O2081,2)="15"),TK!$E$7=TH!F2081),"x","")</f>
        <v/>
      </c>
      <c r="AD2081" s="84" t="str">
        <f>IF(AND(N2081="1521",MONTH(C2081)='BK-NL'!$M$11),"x","")</f>
        <v/>
      </c>
    </row>
    <row r="2082" spans="1:32" s="351" customFormat="1" ht="15.75" hidden="1" customHeight="1">
      <c r="A2082" s="336" t="str">
        <f>IF(B2082&lt;&gt;"",IF(AND(B2082='IN-TC'!$S$4,OR(TH!N2082="1111",TH!O2082="1111")),TH!D2082,""),"")</f>
        <v/>
      </c>
      <c r="B2082" s="63">
        <f t="shared" si="270"/>
        <v>8</v>
      </c>
      <c r="C2082" s="64">
        <v>42597</v>
      </c>
      <c r="D2082" s="64" t="s">
        <v>705</v>
      </c>
      <c r="E2082" s="64">
        <f t="shared" si="271"/>
        <v>42597</v>
      </c>
      <c r="F2082" s="67" t="s">
        <v>1791</v>
      </c>
      <c r="G2082" s="67" t="s">
        <v>918</v>
      </c>
      <c r="H2082" s="73" t="s">
        <v>1675</v>
      </c>
      <c r="I2082" s="439"/>
      <c r="J2082" s="439"/>
      <c r="K2082" s="430">
        <v>286.32</v>
      </c>
      <c r="L2082" s="439">
        <v>22280</v>
      </c>
      <c r="M2082" s="65">
        <f t="shared" si="274"/>
        <v>6379210</v>
      </c>
      <c r="N2082" s="66" t="s">
        <v>99</v>
      </c>
      <c r="O2082" s="66" t="s">
        <v>266</v>
      </c>
      <c r="P2082" s="84" t="str">
        <f>IF(AND('331-CT'!$E$7=TH!H2082,OR(N2082="331",O2082="331")),"x","")</f>
        <v/>
      </c>
      <c r="Q2082" s="84" t="str">
        <f>IF(AND(B2082='111'!$L$11,OR($N2082=$Q$7,$O2082=$Q$7)),"x","")</f>
        <v/>
      </c>
      <c r="R2082" s="84" t="str">
        <f>IF(AND($N2082=$Q$7,$B2082&lt;'111'!$L$11),"x","")</f>
        <v/>
      </c>
      <c r="S2082" s="84" t="str">
        <f>IF(AND($O2082=$Q$7,$B2082&lt;'111'!$L$11),"x","")</f>
        <v/>
      </c>
      <c r="T2082" s="84" t="str">
        <f>IF(ISERROR(FIND('112'!$M$9,G2082,1)),"",IF((AND(FIND('112'!$M$9,G2082,1)&gt;=1,B2082='112'!$K$9,OR($N2082='112'!$I$6,$O2082='112'!$I$6))),"x",""))</f>
        <v/>
      </c>
      <c r="U2082" s="84" t="str">
        <f>IF(ISERROR(FIND('112'!$M$9,G2082,1)),"",IF((AND(LEFT(G2082,2)=LEFT('112'!$M$9,2),B2082&lt;'112'!$K$9,$N2082='112'!$I$6)),"x",""))</f>
        <v/>
      </c>
      <c r="V2082" s="84" t="str">
        <f>IF(ISERROR(FIND('112'!$M$9,G2082,1)),"",IF((AND(RIGHT(G2082,2)=RIGHT('112'!$M$9,2),B2082&lt;'112'!$K$9,$O2082='112'!$I$6)),"x",""))</f>
        <v/>
      </c>
      <c r="W2082" s="84" t="str">
        <f>IF(AND('341-CT'!$H$9=H2082,OR(LEFT(N2082,3)=$W$7,LEFT(O2082,3)=$W$7)),"x","")</f>
        <v/>
      </c>
      <c r="X2082" s="84" t="str">
        <f>IF(OR(TH!N2082=TH!$X$7,O2082=TH!$X$7),"x","")</f>
        <v/>
      </c>
      <c r="Y2082" s="84" t="str">
        <f>IF(AND(OR(N2082="131",O2082="131"),H2082='131-CT'!$H$9),"x","")</f>
        <v/>
      </c>
      <c r="Z2082" s="84"/>
      <c r="AA2082" s="84" t="str">
        <f>IF(AND(MONTH(E2082)='IN-NX'!$J$5,'IN-NX'!$D$7=D2082),"x","")</f>
        <v/>
      </c>
      <c r="AB2082" s="84" t="str">
        <f>IF(AND(OR(LEFT(TH!N2082,2)="15",LEFT(TH!O2082,2)="15"),LEFT(TH!O2082,3)&lt;&gt;"111",'152-CT'!$J$8=TH!F2082),"x","")</f>
        <v/>
      </c>
      <c r="AC2082" s="84" t="str">
        <f>IF(AND(OR(LEFT(TH!N2082,2)="15",LEFT(TH!O2082,2)="15"),TK!$E$7=TH!F2082),"x","")</f>
        <v/>
      </c>
      <c r="AD2082" s="84" t="str">
        <f>IF(AND(N2082="1521",MONTH(C2082)='BK-NL'!$M$11),"x","")</f>
        <v/>
      </c>
    </row>
    <row r="2083" spans="1:32" s="351" customFormat="1" ht="15.75" hidden="1" customHeight="1">
      <c r="A2083" s="336" t="str">
        <f>IF(B2083&lt;&gt;"",IF(AND(B2083='IN-TC'!$S$4,OR(TH!N2083="1111",TH!O2083="1111")),TH!D2083,""),"")</f>
        <v/>
      </c>
      <c r="B2083" s="63">
        <f t="shared" si="270"/>
        <v>8</v>
      </c>
      <c r="C2083" s="64">
        <v>42597</v>
      </c>
      <c r="D2083" s="64" t="s">
        <v>705</v>
      </c>
      <c r="E2083" s="64">
        <f t="shared" si="271"/>
        <v>42597</v>
      </c>
      <c r="F2083" s="67" t="s">
        <v>1791</v>
      </c>
      <c r="G2083" s="67" t="s">
        <v>918</v>
      </c>
      <c r="H2083" s="73" t="s">
        <v>1902</v>
      </c>
      <c r="I2083" s="439"/>
      <c r="J2083" s="439"/>
      <c r="K2083" s="430">
        <v>161.25</v>
      </c>
      <c r="L2083" s="439">
        <v>22280</v>
      </c>
      <c r="M2083" s="65">
        <f t="shared" si="274"/>
        <v>3592650</v>
      </c>
      <c r="N2083" s="66" t="s">
        <v>99</v>
      </c>
      <c r="O2083" s="66" t="s">
        <v>266</v>
      </c>
      <c r="P2083" s="84" t="str">
        <f>IF(AND('331-CT'!$E$7=TH!H2083,OR(N2083="331",O2083="331")),"x","")</f>
        <v/>
      </c>
      <c r="Q2083" s="84" t="str">
        <f>IF(AND(B2083='111'!$L$11,OR($N2083=$Q$7,$O2083=$Q$7)),"x","")</f>
        <v/>
      </c>
      <c r="R2083" s="84" t="str">
        <f>IF(AND($N2083=$Q$7,$B2083&lt;'111'!$L$11),"x","")</f>
        <v/>
      </c>
      <c r="S2083" s="84" t="str">
        <f>IF(AND($O2083=$Q$7,$B2083&lt;'111'!$L$11),"x","")</f>
        <v/>
      </c>
      <c r="T2083" s="84" t="str">
        <f>IF(ISERROR(FIND('112'!$M$9,G2083,1)),"",IF((AND(FIND('112'!$M$9,G2083,1)&gt;=1,B2083='112'!$K$9,OR($N2083='112'!$I$6,$O2083='112'!$I$6))),"x",""))</f>
        <v/>
      </c>
      <c r="U2083" s="84" t="str">
        <f>IF(ISERROR(FIND('112'!$M$9,G2083,1)),"",IF((AND(LEFT(G2083,2)=LEFT('112'!$M$9,2),B2083&lt;'112'!$K$9,$N2083='112'!$I$6)),"x",""))</f>
        <v/>
      </c>
      <c r="V2083" s="84" t="str">
        <f>IF(ISERROR(FIND('112'!$M$9,G2083,1)),"",IF((AND(RIGHT(G2083,2)=RIGHT('112'!$M$9,2),B2083&lt;'112'!$K$9,$O2083='112'!$I$6)),"x",""))</f>
        <v/>
      </c>
      <c r="W2083" s="84" t="str">
        <f>IF(AND('341-CT'!$H$9=H2083,OR(LEFT(N2083,3)=$W$7,LEFT(O2083,3)=$W$7)),"x","")</f>
        <v/>
      </c>
      <c r="X2083" s="84" t="str">
        <f>IF(OR(TH!N2083=TH!$X$7,O2083=TH!$X$7),"x","")</f>
        <v/>
      </c>
      <c r="Y2083" s="84" t="str">
        <f>IF(AND(OR(N2083="131",O2083="131"),H2083='131-CT'!$H$9),"x","")</f>
        <v/>
      </c>
      <c r="Z2083" s="84"/>
      <c r="AA2083" s="84" t="str">
        <f>IF(AND(MONTH(E2083)='IN-NX'!$J$5,'IN-NX'!$D$7=D2083),"x","")</f>
        <v/>
      </c>
      <c r="AB2083" s="84" t="str">
        <f>IF(AND(OR(LEFT(TH!N2083,2)="15",LEFT(TH!O2083,2)="15"),LEFT(TH!O2083,3)&lt;&gt;"111",'152-CT'!$J$8=TH!F2083),"x","")</f>
        <v/>
      </c>
      <c r="AC2083" s="84" t="str">
        <f>IF(AND(OR(LEFT(TH!N2083,2)="15",LEFT(TH!O2083,2)="15"),TK!$E$7=TH!F2083),"x","")</f>
        <v/>
      </c>
      <c r="AD2083" s="84" t="str">
        <f>IF(AND(N2083="1521",MONTH(C2083)='BK-NL'!$M$11),"x","")</f>
        <v/>
      </c>
    </row>
    <row r="2084" spans="1:32" s="351" customFormat="1" ht="15.75" hidden="1" customHeight="1">
      <c r="A2084" s="336" t="str">
        <f>IF(B2084&lt;&gt;"",IF(AND(B2084='IN-TC'!$S$4,OR(TH!N2084="1111",TH!O2084="1111")),TH!D2084,""),"")</f>
        <v/>
      </c>
      <c r="B2084" s="63">
        <f t="shared" si="270"/>
        <v>8</v>
      </c>
      <c r="C2084" s="64">
        <v>42597</v>
      </c>
      <c r="D2084" s="64" t="s">
        <v>705</v>
      </c>
      <c r="E2084" s="64">
        <f t="shared" si="271"/>
        <v>42597</v>
      </c>
      <c r="F2084" s="67" t="s">
        <v>1791</v>
      </c>
      <c r="G2084" s="67" t="s">
        <v>918</v>
      </c>
      <c r="H2084" s="73" t="s">
        <v>1673</v>
      </c>
      <c r="I2084" s="439"/>
      <c r="J2084" s="439"/>
      <c r="K2084" s="430">
        <v>213.68</v>
      </c>
      <c r="L2084" s="439">
        <v>22280</v>
      </c>
      <c r="M2084" s="65">
        <f t="shared" si="274"/>
        <v>4760790</v>
      </c>
      <c r="N2084" s="66" t="s">
        <v>99</v>
      </c>
      <c r="O2084" s="66" t="s">
        <v>266</v>
      </c>
      <c r="P2084" s="84" t="str">
        <f>IF(AND('331-CT'!$E$7=TH!H2084,OR(N2084="331",O2084="331")),"x","")</f>
        <v/>
      </c>
      <c r="Q2084" s="84" t="str">
        <f>IF(AND(B2084='111'!$L$11,OR($N2084=$Q$7,$O2084=$Q$7)),"x","")</f>
        <v/>
      </c>
      <c r="R2084" s="84" t="str">
        <f>IF(AND($N2084=$Q$7,$B2084&lt;'111'!$L$11),"x","")</f>
        <v/>
      </c>
      <c r="S2084" s="84" t="str">
        <f>IF(AND($O2084=$Q$7,$B2084&lt;'111'!$L$11),"x","")</f>
        <v/>
      </c>
      <c r="T2084" s="84" t="str">
        <f>IF(ISERROR(FIND('112'!$M$9,G2084,1)),"",IF((AND(FIND('112'!$M$9,G2084,1)&gt;=1,B2084='112'!$K$9,OR($N2084='112'!$I$6,$O2084='112'!$I$6))),"x",""))</f>
        <v/>
      </c>
      <c r="U2084" s="84" t="str">
        <f>IF(ISERROR(FIND('112'!$M$9,G2084,1)),"",IF((AND(LEFT(G2084,2)=LEFT('112'!$M$9,2),B2084&lt;'112'!$K$9,$N2084='112'!$I$6)),"x",""))</f>
        <v/>
      </c>
      <c r="V2084" s="84" t="str">
        <f>IF(ISERROR(FIND('112'!$M$9,G2084,1)),"",IF((AND(RIGHT(G2084,2)=RIGHT('112'!$M$9,2),B2084&lt;'112'!$K$9,$O2084='112'!$I$6)),"x",""))</f>
        <v/>
      </c>
      <c r="W2084" s="84" t="str">
        <f>IF(AND('341-CT'!$H$9=H2084,OR(LEFT(N2084,3)=$W$7,LEFT(O2084,3)=$W$7)),"x","")</f>
        <v/>
      </c>
      <c r="X2084" s="84" t="str">
        <f>IF(OR(TH!N2084=TH!$X$7,O2084=TH!$X$7),"x","")</f>
        <v/>
      </c>
      <c r="Y2084" s="84" t="str">
        <f>IF(AND(OR(N2084="131",O2084="131"),H2084='131-CT'!$H$9),"x","")</f>
        <v/>
      </c>
      <c r="Z2084" s="84"/>
      <c r="AA2084" s="84" t="str">
        <f>IF(AND(MONTH(E2084)='IN-NX'!$J$5,'IN-NX'!$D$7=D2084),"x","")</f>
        <v/>
      </c>
      <c r="AB2084" s="84" t="str">
        <f>IF(AND(OR(LEFT(TH!N2084,2)="15",LEFT(TH!O2084,2)="15"),LEFT(TH!O2084,3)&lt;&gt;"111",'152-CT'!$J$8=TH!F2084),"x","")</f>
        <v/>
      </c>
      <c r="AC2084" s="84" t="str">
        <f>IF(AND(OR(LEFT(TH!N2084,2)="15",LEFT(TH!O2084,2)="15"),TK!$E$7=TH!F2084),"x","")</f>
        <v/>
      </c>
      <c r="AD2084" s="84" t="str">
        <f>IF(AND(N2084="1521",MONTH(C2084)='BK-NL'!$M$11),"x","")</f>
        <v/>
      </c>
    </row>
    <row r="2085" spans="1:32" s="351" customFormat="1" ht="15.75" hidden="1" customHeight="1">
      <c r="A2085" s="336" t="str">
        <f>IF(B2085&lt;&gt;"",IF(AND(B2085='IN-TC'!$S$4,OR(TH!N2085="1111",TH!O2085="1111")),TH!D2085,""),"")</f>
        <v/>
      </c>
      <c r="B2085" s="63">
        <f t="shared" si="270"/>
        <v>8</v>
      </c>
      <c r="C2085" s="64">
        <v>42598</v>
      </c>
      <c r="D2085" s="64" t="s">
        <v>705</v>
      </c>
      <c r="E2085" s="64">
        <f t="shared" si="271"/>
        <v>42598</v>
      </c>
      <c r="F2085" s="67" t="s">
        <v>1445</v>
      </c>
      <c r="G2085" s="67" t="s">
        <v>918</v>
      </c>
      <c r="H2085" s="73"/>
      <c r="I2085" s="439"/>
      <c r="J2085" s="439"/>
      <c r="K2085" s="430">
        <v>1600</v>
      </c>
      <c r="L2085" s="439">
        <v>22270</v>
      </c>
      <c r="M2085" s="65">
        <f t="shared" si="274"/>
        <v>35632000</v>
      </c>
      <c r="N2085" s="66" t="s">
        <v>26</v>
      </c>
      <c r="O2085" s="66" t="s">
        <v>266</v>
      </c>
      <c r="P2085" s="84" t="str">
        <f>IF(AND('331-CT'!$E$7=TH!H2085,OR(N2085="331",O2085="331")),"x","")</f>
        <v/>
      </c>
      <c r="Q2085" s="84" t="str">
        <f>IF(AND(B2085='111'!$L$11,OR($N2085=$Q$7,$O2085=$Q$7)),"x","")</f>
        <v/>
      </c>
      <c r="R2085" s="84" t="str">
        <f>IF(AND($N2085=$Q$7,$B2085&lt;'111'!$L$11),"x","")</f>
        <v/>
      </c>
      <c r="S2085" s="84" t="str">
        <f>IF(AND($O2085=$Q$7,$B2085&lt;'111'!$L$11),"x","")</f>
        <v/>
      </c>
      <c r="T2085" s="84" t="str">
        <f>IF(ISERROR(FIND('112'!$M$9,G2085,1)),"",IF((AND(FIND('112'!$M$9,G2085,1)&gt;=1,B2085='112'!$K$9,OR($N2085='112'!$I$6,$O2085='112'!$I$6))),"x",""))</f>
        <v/>
      </c>
      <c r="U2085" s="84" t="str">
        <f>IF(ISERROR(FIND('112'!$M$9,G2085,1)),"",IF((AND(LEFT(G2085,2)=LEFT('112'!$M$9,2),B2085&lt;'112'!$K$9,$N2085='112'!$I$6)),"x",""))</f>
        <v/>
      </c>
      <c r="V2085" s="84" t="str">
        <f>IF(ISERROR(FIND('112'!$M$9,G2085,1)),"",IF((AND(RIGHT(G2085,2)=RIGHT('112'!$M$9,2),B2085&lt;'112'!$K$9,$O2085='112'!$I$6)),"x",""))</f>
        <v/>
      </c>
      <c r="W2085" s="84" t="str">
        <f>IF(AND('341-CT'!$H$9=H2085,OR(LEFT(N2085,3)=$W$7,LEFT(O2085,3)=$W$7)),"x","")</f>
        <v/>
      </c>
      <c r="X2085" s="84" t="str">
        <f>IF(OR(TH!N2085=TH!$X$7,O2085=TH!$X$7),"x","")</f>
        <v/>
      </c>
      <c r="Y2085" s="84" t="str">
        <f>IF(AND(OR(N2085="131",O2085="131"),H2085='131-CT'!$H$9),"x","")</f>
        <v/>
      </c>
      <c r="Z2085" s="84"/>
      <c r="AA2085" s="84" t="str">
        <f>IF(AND(MONTH(E2085)='IN-NX'!$J$5,'IN-NX'!$D$7=D2085),"x","")</f>
        <v/>
      </c>
      <c r="AB2085" s="84" t="str">
        <f>IF(AND(OR(LEFT(TH!N2085,2)="15",LEFT(TH!O2085,2)="15"),LEFT(TH!O2085,3)&lt;&gt;"111",'152-CT'!$J$8=TH!F2085),"x","")</f>
        <v/>
      </c>
      <c r="AC2085" s="84" t="str">
        <f>IF(AND(OR(LEFT(TH!N2085,2)="15",LEFT(TH!O2085,2)="15"),TK!$E$7=TH!F2085),"x","")</f>
        <v/>
      </c>
      <c r="AD2085" s="84" t="str">
        <f>IF(AND(N2085="1521",MONTH(C2085)='BK-NL'!$M$11),"x","")</f>
        <v/>
      </c>
    </row>
    <row r="2086" spans="1:32" s="351" customFormat="1" ht="15.75" hidden="1" customHeight="1">
      <c r="A2086" s="336" t="str">
        <f>IF(B2086&lt;&gt;"",IF(AND(B2086='IN-TC'!$S$4,OR(TH!N2086="1111",TH!O2086="1111")),TH!D2086,""),"")</f>
        <v/>
      </c>
      <c r="B2086" s="63">
        <f t="shared" si="270"/>
        <v>8</v>
      </c>
      <c r="C2086" s="64">
        <v>42613</v>
      </c>
      <c r="D2086" s="64" t="s">
        <v>705</v>
      </c>
      <c r="E2086" s="64">
        <f t="shared" si="271"/>
        <v>42613</v>
      </c>
      <c r="F2086" s="67" t="s">
        <v>1445</v>
      </c>
      <c r="G2086" s="67" t="s">
        <v>920</v>
      </c>
      <c r="H2086" s="73"/>
      <c r="I2086" s="439"/>
      <c r="J2086" s="439"/>
      <c r="K2086" s="430">
        <v>6700</v>
      </c>
      <c r="L2086" s="439">
        <v>22280</v>
      </c>
      <c r="M2086" s="65">
        <f t="shared" si="274"/>
        <v>149276000</v>
      </c>
      <c r="N2086" s="66" t="s">
        <v>26</v>
      </c>
      <c r="O2086" s="66" t="s">
        <v>266</v>
      </c>
      <c r="P2086" s="84" t="str">
        <f>IF(AND('331-CT'!$E$7=TH!H2086,OR(N2086="331",O2086="331")),"x","")</f>
        <v/>
      </c>
      <c r="Q2086" s="84" t="str">
        <f>IF(AND(B2086='111'!$L$11,OR($N2086=$Q$7,$O2086=$Q$7)),"x","")</f>
        <v/>
      </c>
      <c r="R2086" s="84" t="str">
        <f>IF(AND($N2086=$Q$7,$B2086&lt;'111'!$L$11),"x","")</f>
        <v/>
      </c>
      <c r="S2086" s="84" t="str">
        <f>IF(AND($O2086=$Q$7,$B2086&lt;'111'!$L$11),"x","")</f>
        <v/>
      </c>
      <c r="T2086" s="84" t="str">
        <f>IF(ISERROR(FIND('112'!$M$9,G2086,1)),"",IF((AND(FIND('112'!$M$9,G2086,1)&gt;=1,B2086='112'!$K$9,OR($N2086='112'!$I$6,$O2086='112'!$I$6))),"x",""))</f>
        <v/>
      </c>
      <c r="U2086" s="84" t="str">
        <f>IF(ISERROR(FIND('112'!$M$9,G2086,1)),"",IF((AND(LEFT(G2086,2)=LEFT('112'!$M$9,2),B2086&lt;'112'!$K$9,$N2086='112'!$I$6)),"x",""))</f>
        <v/>
      </c>
      <c r="V2086" s="84" t="str">
        <f>IF(ISERROR(FIND('112'!$M$9,G2086,1)),"",IF((AND(RIGHT(G2086,2)=RIGHT('112'!$M$9,2),B2086&lt;'112'!$K$9,$O2086='112'!$I$6)),"x",""))</f>
        <v/>
      </c>
      <c r="W2086" s="84" t="str">
        <f>IF(AND('341-CT'!$H$9=H2086,OR(LEFT(N2086,3)=$W$7,LEFT(O2086,3)=$W$7)),"x","")</f>
        <v/>
      </c>
      <c r="X2086" s="84" t="str">
        <f>IF(OR(TH!N2086=TH!$X$7,O2086=TH!$X$7),"x","")</f>
        <v/>
      </c>
      <c r="Y2086" s="84" t="str">
        <f>IF(AND(OR(N2086="131",O2086="131"),H2086='131-CT'!$H$9),"x","")</f>
        <v/>
      </c>
      <c r="Z2086" s="84"/>
      <c r="AA2086" s="84" t="str">
        <f>IF(AND(MONTH(E2086)='IN-NX'!$J$5,'IN-NX'!$D$7=D2086),"x","")</f>
        <v/>
      </c>
      <c r="AB2086" s="84" t="str">
        <f>IF(AND(OR(LEFT(TH!N2086,2)="15",LEFT(TH!O2086,2)="15"),LEFT(TH!O2086,3)&lt;&gt;"111",'152-CT'!$J$8=TH!F2086),"x","")</f>
        <v/>
      </c>
      <c r="AC2086" s="84" t="str">
        <f>IF(AND(OR(LEFT(TH!N2086,2)="15",LEFT(TH!O2086,2)="15"),TK!$E$7=TH!F2086),"x","")</f>
        <v/>
      </c>
      <c r="AD2086" s="84" t="str">
        <f>IF(AND(N2086="1521",MONTH(C2086)='BK-NL'!$M$11),"x","")</f>
        <v/>
      </c>
    </row>
    <row r="2087" spans="1:32" s="351" customFormat="1" ht="15.75" hidden="1" customHeight="1">
      <c r="A2087" s="336" t="str">
        <f>IF(B2087&lt;&gt;"",IF(AND(B2087='IN-TC'!$S$4,OR(TH!N2087="1111",TH!O2087="1111")),TH!D2087,""),"")</f>
        <v/>
      </c>
      <c r="B2087" s="63">
        <f t="shared" si="270"/>
        <v>8</v>
      </c>
      <c r="C2087" s="64">
        <v>42594</v>
      </c>
      <c r="D2087" s="64" t="s">
        <v>702</v>
      </c>
      <c r="E2087" s="64">
        <f t="shared" si="271"/>
        <v>42594</v>
      </c>
      <c r="F2087" s="67" t="s">
        <v>1217</v>
      </c>
      <c r="G2087" s="67" t="s">
        <v>919</v>
      </c>
      <c r="H2087" s="73" t="s">
        <v>1218</v>
      </c>
      <c r="I2087" s="439"/>
      <c r="J2087" s="439"/>
      <c r="K2087" s="430"/>
      <c r="L2087" s="439"/>
      <c r="M2087" s="65">
        <v>18000000</v>
      </c>
      <c r="N2087" s="66" t="s">
        <v>26</v>
      </c>
      <c r="O2087" s="66" t="s">
        <v>72</v>
      </c>
      <c r="P2087" s="84" t="str">
        <f>IF(AND('331-CT'!$E$7=TH!H2087,OR(N2087="331",O2087="331")),"x","")</f>
        <v/>
      </c>
      <c r="Q2087" s="84" t="str">
        <f>IF(AND(B2087='111'!$L$11,OR($N2087=$Q$7,$O2087=$Q$7)),"x","")</f>
        <v/>
      </c>
      <c r="R2087" s="84" t="str">
        <f>IF(AND($N2087=$Q$7,$B2087&lt;'111'!$L$11),"x","")</f>
        <v/>
      </c>
      <c r="S2087" s="84" t="str">
        <f>IF(AND($O2087=$Q$7,$B2087&lt;'111'!$L$11),"x","")</f>
        <v/>
      </c>
      <c r="T2087" s="84" t="str">
        <f>IF(ISERROR(FIND('112'!$M$9,G2087,1)),"",IF((AND(FIND('112'!$M$9,G2087,1)&gt;=1,B2087='112'!$K$9,OR($N2087='112'!$I$6,$O2087='112'!$I$6))),"x",""))</f>
        <v/>
      </c>
      <c r="U2087" s="84" t="str">
        <f>IF(ISERROR(FIND('112'!$M$9,G2087,1)),"",IF((AND(LEFT(G2087,2)=LEFT('112'!$M$9,2),B2087&lt;'112'!$K$9,$N2087='112'!$I$6)),"x",""))</f>
        <v/>
      </c>
      <c r="V2087" s="84" t="str">
        <f>IF(ISERROR(FIND('112'!$M$9,G2087,1)),"",IF((AND(RIGHT(G2087,2)=RIGHT('112'!$M$9,2),B2087&lt;'112'!$K$9,$O2087='112'!$I$6)),"x",""))</f>
        <v/>
      </c>
      <c r="W2087" s="84" t="str">
        <f>IF(AND('341-CT'!$H$9=H2087,OR(LEFT(N2087,3)=$W$7,LEFT(O2087,3)=$W$7)),"x","")</f>
        <v/>
      </c>
      <c r="X2087" s="84" t="str">
        <f>IF(OR(TH!N2087=TH!$X$7,O2087=TH!$X$7),"x","")</f>
        <v>x</v>
      </c>
      <c r="Y2087" s="84" t="str">
        <f>IF(AND(OR(N2087="131",O2087="131"),H2087='131-CT'!$H$9),"x","")</f>
        <v/>
      </c>
      <c r="Z2087" s="84"/>
      <c r="AA2087" s="84" t="str">
        <f>IF(AND(MONTH(E2087)='IN-NX'!$J$5,'IN-NX'!$D$7=D2087),"x","")</f>
        <v/>
      </c>
      <c r="AB2087" s="84" t="str">
        <f>IF(AND(OR(LEFT(TH!N2087,2)="15",LEFT(TH!O2087,2)="15"),LEFT(TH!O2087,3)&lt;&gt;"111",'152-CT'!$J$8=TH!F2087),"x","")</f>
        <v/>
      </c>
      <c r="AC2087" s="84" t="str">
        <f>IF(AND(OR(LEFT(TH!N2087,2)="15",LEFT(TH!O2087,2)="15"),TK!$E$7=TH!F2087),"x","")</f>
        <v/>
      </c>
      <c r="AD2087" s="84" t="str">
        <f>IF(AND(N2087="1521",MONTH(C2087)='BK-NL'!$M$11),"x","")</f>
        <v/>
      </c>
    </row>
    <row r="2088" spans="1:32" s="351" customFormat="1" ht="15.75" customHeight="1">
      <c r="A2088" s="336" t="str">
        <f>IF(B2088&lt;&gt;"",IF(AND(B2088='IN-TC'!$S$4,OR(TH!N2088="1111",TH!O2088="1111")),TH!D2088,""),"")</f>
        <v/>
      </c>
      <c r="B2088" s="63">
        <f t="shared" si="270"/>
        <v>8</v>
      </c>
      <c r="C2088" s="64">
        <v>42583</v>
      </c>
      <c r="D2088" s="64" t="s">
        <v>705</v>
      </c>
      <c r="E2088" s="64">
        <f t="shared" si="271"/>
        <v>42583</v>
      </c>
      <c r="F2088" s="67" t="s">
        <v>1192</v>
      </c>
      <c r="G2088" s="67" t="s">
        <v>919</v>
      </c>
      <c r="H2088" s="73"/>
      <c r="I2088" s="439"/>
      <c r="J2088" s="439"/>
      <c r="K2088" s="430"/>
      <c r="L2088" s="439"/>
      <c r="M2088" s="65">
        <v>111350</v>
      </c>
      <c r="N2088" s="66" t="s">
        <v>101</v>
      </c>
      <c r="O2088" s="66" t="s">
        <v>26</v>
      </c>
      <c r="P2088" s="84" t="str">
        <f>IF(AND('331-CT'!$E$7=TH!H2088,OR(N2088="331",O2088="331")),"x","")</f>
        <v/>
      </c>
      <c r="Q2088" s="84" t="str">
        <f>IF(AND(B2088='111'!$L$11,OR($N2088=$Q$7,$O2088=$Q$7)),"x","")</f>
        <v/>
      </c>
      <c r="R2088" s="84" t="str">
        <f>IF(AND($N2088=$Q$7,$B2088&lt;'111'!$L$11),"x","")</f>
        <v/>
      </c>
      <c r="S2088" s="84" t="str">
        <f>IF(AND($O2088=$Q$7,$B2088&lt;'111'!$L$11),"x","")</f>
        <v/>
      </c>
      <c r="T2088" s="84" t="str">
        <f>IF(ISERROR(FIND('112'!$M$9,G2088,1)),"",IF((AND(FIND('112'!$M$9,G2088,1)&gt;=1,B2088='112'!$K$9,OR($N2088='112'!$I$6,$O2088='112'!$I$6))),"x",""))</f>
        <v/>
      </c>
      <c r="U2088" s="84" t="str">
        <f>IF(ISERROR(FIND('112'!$M$9,G2088,1)),"",IF((AND(LEFT(G2088,2)=LEFT('112'!$M$9,2),B2088&lt;'112'!$K$9,$N2088='112'!$I$6)),"x",""))</f>
        <v/>
      </c>
      <c r="V2088" s="84" t="str">
        <f>IF(ISERROR(FIND('112'!$M$9,G2088,1)),"",IF((AND(RIGHT(G2088,2)=RIGHT('112'!$M$9,2),B2088&lt;'112'!$K$9,$O2088='112'!$I$6)),"x",""))</f>
        <v/>
      </c>
      <c r="W2088" s="84" t="str">
        <f>IF(AND('341-CT'!$H$9=H2088,OR(LEFT(N2088,3)=$W$7,LEFT(O2088,3)=$W$7)),"x","")</f>
        <v/>
      </c>
      <c r="X2088" s="84" t="str">
        <f>IF(OR(TH!N2088=TH!$X$7,O2088=TH!$X$7),"x","")</f>
        <v/>
      </c>
      <c r="Y2088" s="84" t="str">
        <f>IF(AND(OR(N2088="131",O2088="131"),H2088='131-CT'!$H$9),"x","")</f>
        <v/>
      </c>
      <c r="Z2088" s="84"/>
      <c r="AA2088" s="84" t="str">
        <f>IF(AND(MONTH(E2088)='IN-NX'!$J$5,'IN-NX'!$D$7=D2088),"x","")</f>
        <v/>
      </c>
      <c r="AB2088" s="84" t="str">
        <f>IF(AND(OR(LEFT(TH!N2088,2)="15",LEFT(TH!O2088,2)="15"),LEFT(TH!O2088,3)&lt;&gt;"111",'152-CT'!$J$8=TH!F2088),"x","")</f>
        <v/>
      </c>
      <c r="AC2088" s="84" t="str">
        <f>IF(AND(OR(LEFT(TH!N2088,2)="15",LEFT(TH!O2088,2)="15"),TK!$E$7=TH!F2088),"x","")</f>
        <v/>
      </c>
      <c r="AD2088" s="84" t="str">
        <f>IF(AND(N2088="1521",MONTH(C2088)='BK-NL'!$M$11),"x","")</f>
        <v/>
      </c>
      <c r="AF2088" s="351">
        <v>8</v>
      </c>
    </row>
    <row r="2089" spans="1:32" s="351" customFormat="1" ht="15.75" hidden="1" customHeight="1">
      <c r="A2089" s="336" t="str">
        <f>IF(B2089&lt;&gt;"",IF(AND(B2089='IN-TC'!$S$4,OR(TH!N2089="1111",TH!O2089="1111")),TH!D2089,""),"")</f>
        <v/>
      </c>
      <c r="B2089" s="63">
        <f t="shared" si="270"/>
        <v>8</v>
      </c>
      <c r="C2089" s="64">
        <v>42583</v>
      </c>
      <c r="D2089" s="64" t="s">
        <v>705</v>
      </c>
      <c r="E2089" s="64">
        <f t="shared" si="271"/>
        <v>42583</v>
      </c>
      <c r="F2089" s="67" t="s">
        <v>1193</v>
      </c>
      <c r="G2089" s="67" t="s">
        <v>919</v>
      </c>
      <c r="H2089" s="73"/>
      <c r="I2089" s="439"/>
      <c r="J2089" s="439"/>
      <c r="K2089" s="430"/>
      <c r="L2089" s="439"/>
      <c r="M2089" s="65">
        <v>11135</v>
      </c>
      <c r="N2089" s="84" t="s">
        <v>2001</v>
      </c>
      <c r="O2089" s="66" t="s">
        <v>26</v>
      </c>
      <c r="P2089" s="84" t="str">
        <f>IF(AND('331-CT'!$E$7=TH!H2089,OR(N2089="331",O2089="331")),"x","")</f>
        <v/>
      </c>
      <c r="Q2089" s="84" t="str">
        <f>IF(AND(B2089='111'!$L$11,OR($N2089=$Q$7,$O2089=$Q$7)),"x","")</f>
        <v/>
      </c>
      <c r="R2089" s="84" t="str">
        <f>IF(AND($N2089=$Q$7,$B2089&lt;'111'!$L$11),"x","")</f>
        <v/>
      </c>
      <c r="S2089" s="84" t="str">
        <f>IF(AND($O2089=$Q$7,$B2089&lt;'111'!$L$11),"x","")</f>
        <v/>
      </c>
      <c r="T2089" s="84" t="str">
        <f>IF(ISERROR(FIND('112'!$M$9,G2089,1)),"",IF((AND(FIND('112'!$M$9,G2089,1)&gt;=1,B2089='112'!$K$9,OR($N2089='112'!$I$6,$O2089='112'!$I$6))),"x",""))</f>
        <v/>
      </c>
      <c r="U2089" s="84" t="str">
        <f>IF(ISERROR(FIND('112'!$M$9,G2089,1)),"",IF((AND(LEFT(G2089,2)=LEFT('112'!$M$9,2),B2089&lt;'112'!$K$9,$N2089='112'!$I$6)),"x",""))</f>
        <v/>
      </c>
      <c r="V2089" s="84" t="str">
        <f>IF(ISERROR(FIND('112'!$M$9,G2089,1)),"",IF((AND(RIGHT(G2089,2)=RIGHT('112'!$M$9,2),B2089&lt;'112'!$K$9,$O2089='112'!$I$6)),"x",""))</f>
        <v/>
      </c>
      <c r="W2089" s="84" t="str">
        <f>IF(AND('341-CT'!$H$9=H2089,OR(LEFT(N2089,3)=$W$7,LEFT(O2089,3)=$W$7)),"x","")</f>
        <v/>
      </c>
      <c r="X2089" s="84" t="str">
        <f>IF(OR(TH!N2089=TH!$X$7,O2089=TH!$X$7),"x","")</f>
        <v/>
      </c>
      <c r="Y2089" s="84" t="str">
        <f>IF(AND(OR(N2089="131",O2089="131"),H2089='131-CT'!$H$9),"x","")</f>
        <v/>
      </c>
      <c r="Z2089" s="84"/>
      <c r="AA2089" s="84" t="str">
        <f>IF(AND(MONTH(E2089)='IN-NX'!$J$5,'IN-NX'!$D$7=D2089),"x","")</f>
        <v/>
      </c>
      <c r="AB2089" s="84" t="str">
        <f>IF(AND(OR(LEFT(TH!N2089,2)="15",LEFT(TH!O2089,2)="15"),LEFT(TH!O2089,3)&lt;&gt;"111",'152-CT'!$J$8=TH!F2089),"x","")</f>
        <v/>
      </c>
      <c r="AC2089" s="84" t="str">
        <f>IF(AND(OR(LEFT(TH!N2089,2)="15",LEFT(TH!O2089,2)="15"),TK!$E$7=TH!F2089),"x","")</f>
        <v/>
      </c>
      <c r="AD2089" s="84" t="str">
        <f>IF(AND(N2089="1521",MONTH(C2089)='BK-NL'!$M$11),"x","")</f>
        <v/>
      </c>
      <c r="AF2089" s="351">
        <v>8</v>
      </c>
    </row>
    <row r="2090" spans="1:32" s="351" customFormat="1" ht="15.75" hidden="1" customHeight="1">
      <c r="A2090" s="336" t="str">
        <f>IF(B2090&lt;&gt;"",IF(AND(B2090='IN-TC'!$S$4,OR(TH!N2090="1111",TH!O2090="1111")),TH!D2090,""),"")</f>
        <v/>
      </c>
      <c r="B2090" s="63">
        <f t="shared" si="270"/>
        <v>8</v>
      </c>
      <c r="C2090" s="64">
        <v>42586</v>
      </c>
      <c r="D2090" s="64" t="s">
        <v>705</v>
      </c>
      <c r="E2090" s="64">
        <f t="shared" si="271"/>
        <v>42586</v>
      </c>
      <c r="F2090" s="67" t="s">
        <v>1930</v>
      </c>
      <c r="G2090" s="67" t="s">
        <v>919</v>
      </c>
      <c r="H2090" s="344" t="s">
        <v>629</v>
      </c>
      <c r="I2090" s="439"/>
      <c r="J2090" s="439"/>
      <c r="K2090" s="430"/>
      <c r="L2090" s="439"/>
      <c r="M2090" s="65">
        <v>420000</v>
      </c>
      <c r="N2090" s="66" t="s">
        <v>8</v>
      </c>
      <c r="O2090" s="66" t="s">
        <v>26</v>
      </c>
      <c r="P2090" s="84" t="str">
        <f>IF(AND('331-CT'!$E$7=TH!H2090,OR(N2090="331",O2090="331")),"x","")</f>
        <v/>
      </c>
      <c r="Q2090" s="84" t="str">
        <f>IF(AND(B2090='111'!$L$11,OR($N2090=$Q$7,$O2090=$Q$7)),"x","")</f>
        <v/>
      </c>
      <c r="R2090" s="84" t="str">
        <f>IF(AND($N2090=$Q$7,$B2090&lt;'111'!$L$11),"x","")</f>
        <v/>
      </c>
      <c r="S2090" s="84" t="str">
        <f>IF(AND($O2090=$Q$7,$B2090&lt;'111'!$L$11),"x","")</f>
        <v/>
      </c>
      <c r="T2090" s="84" t="str">
        <f>IF(ISERROR(FIND('112'!$M$9,G2090,1)),"",IF((AND(FIND('112'!$M$9,G2090,1)&gt;=1,B2090='112'!$K$9,OR($N2090='112'!$I$6,$O2090='112'!$I$6))),"x",""))</f>
        <v/>
      </c>
      <c r="U2090" s="84" t="str">
        <f>IF(ISERROR(FIND('112'!$M$9,G2090,1)),"",IF((AND(LEFT(G2090,2)=LEFT('112'!$M$9,2),B2090&lt;'112'!$K$9,$N2090='112'!$I$6)),"x",""))</f>
        <v/>
      </c>
      <c r="V2090" s="84" t="str">
        <f>IF(ISERROR(FIND('112'!$M$9,G2090,1)),"",IF((AND(RIGHT(G2090,2)=RIGHT('112'!$M$9,2),B2090&lt;'112'!$K$9,$O2090='112'!$I$6)),"x",""))</f>
        <v/>
      </c>
      <c r="W2090" s="84" t="str">
        <f>IF(AND('341-CT'!$H$9=H2090,OR(LEFT(N2090,3)=$W$7,LEFT(O2090,3)=$W$7)),"x","")</f>
        <v/>
      </c>
      <c r="X2090" s="84" t="str">
        <f>IF(OR(TH!N2090=TH!$X$7,O2090=TH!$X$7),"x","")</f>
        <v/>
      </c>
      <c r="Y2090" s="84" t="str">
        <f>IF(AND(OR(N2090="131",O2090="131"),H2090='131-CT'!$H$9),"x","")</f>
        <v/>
      </c>
      <c r="Z2090" s="84"/>
      <c r="AA2090" s="84" t="str">
        <f>IF(AND(MONTH(E2090)='IN-NX'!$J$5,'IN-NX'!$D$7=D2090),"x","")</f>
        <v/>
      </c>
      <c r="AB2090" s="84" t="str">
        <f>IF(AND(OR(LEFT(TH!N2090,2)="15",LEFT(TH!O2090,2)="15"),LEFT(TH!O2090,3)&lt;&gt;"111",'152-CT'!$J$8=TH!F2090),"x","")</f>
        <v/>
      </c>
      <c r="AC2090" s="84" t="str">
        <f>IF(AND(OR(LEFT(TH!N2090,2)="15",LEFT(TH!O2090,2)="15"),TK!$E$7=TH!F2090),"x","")</f>
        <v/>
      </c>
      <c r="AD2090" s="84" t="str">
        <f>IF(AND(N2090="1521",MONTH(C2090)='BK-NL'!$M$11),"x","")</f>
        <v/>
      </c>
      <c r="AE2090" s="1146" t="str">
        <f>IF(H2090&lt;&gt;VLOOKUP(H2090,DSKH,1,0),"","x")</f>
        <v>x</v>
      </c>
    </row>
    <row r="2091" spans="1:32" s="351" customFormat="1" ht="15.75" customHeight="1">
      <c r="A2091" s="336" t="str">
        <f>IF(B2091&lt;&gt;"",IF(AND(B2091='IN-TC'!$S$4,OR(TH!N2091="1111",TH!O2091="1111")),TH!D2091,""),"")</f>
        <v/>
      </c>
      <c r="B2091" s="63">
        <f t="shared" si="270"/>
        <v>8</v>
      </c>
      <c r="C2091" s="64">
        <v>42586</v>
      </c>
      <c r="D2091" s="64" t="s">
        <v>705</v>
      </c>
      <c r="E2091" s="64">
        <f t="shared" si="271"/>
        <v>42586</v>
      </c>
      <c r="F2091" s="67" t="s">
        <v>1199</v>
      </c>
      <c r="G2091" s="67" t="s">
        <v>919</v>
      </c>
      <c r="H2091" s="73"/>
      <c r="I2091" s="439"/>
      <c r="J2091" s="439"/>
      <c r="K2091" s="430"/>
      <c r="L2091" s="439"/>
      <c r="M2091" s="65">
        <v>20000</v>
      </c>
      <c r="N2091" s="66" t="s">
        <v>101</v>
      </c>
      <c r="O2091" s="66" t="s">
        <v>26</v>
      </c>
      <c r="P2091" s="84" t="str">
        <f>IF(AND('331-CT'!$E$7=TH!H2091,OR(N2091="331",O2091="331")),"x","")</f>
        <v/>
      </c>
      <c r="Q2091" s="84" t="str">
        <f>IF(AND(B2091='111'!$L$11,OR($N2091=$Q$7,$O2091=$Q$7)),"x","")</f>
        <v/>
      </c>
      <c r="R2091" s="84" t="str">
        <f>IF(AND($N2091=$Q$7,$B2091&lt;'111'!$L$11),"x","")</f>
        <v/>
      </c>
      <c r="S2091" s="84" t="str">
        <f>IF(AND($O2091=$Q$7,$B2091&lt;'111'!$L$11),"x","")</f>
        <v/>
      </c>
      <c r="T2091" s="84" t="str">
        <f>IF(ISERROR(FIND('112'!$M$9,G2091,1)),"",IF((AND(FIND('112'!$M$9,G2091,1)&gt;=1,B2091='112'!$K$9,OR($N2091='112'!$I$6,$O2091='112'!$I$6))),"x",""))</f>
        <v/>
      </c>
      <c r="U2091" s="84" t="str">
        <f>IF(ISERROR(FIND('112'!$M$9,G2091,1)),"",IF((AND(LEFT(G2091,2)=LEFT('112'!$M$9,2),B2091&lt;'112'!$K$9,$N2091='112'!$I$6)),"x",""))</f>
        <v/>
      </c>
      <c r="V2091" s="84" t="str">
        <f>IF(ISERROR(FIND('112'!$M$9,G2091,1)),"",IF((AND(RIGHT(G2091,2)=RIGHT('112'!$M$9,2),B2091&lt;'112'!$K$9,$O2091='112'!$I$6)),"x",""))</f>
        <v/>
      </c>
      <c r="W2091" s="84" t="str">
        <f>IF(AND('341-CT'!$H$9=H2091,OR(LEFT(N2091,3)=$W$7,LEFT(O2091,3)=$W$7)),"x","")</f>
        <v/>
      </c>
      <c r="X2091" s="84" t="str">
        <f>IF(OR(TH!N2091=TH!$X$7,O2091=TH!$X$7),"x","")</f>
        <v/>
      </c>
      <c r="Y2091" s="84" t="str">
        <f>IF(AND(OR(N2091="131",O2091="131"),H2091='131-CT'!$H$9),"x","")</f>
        <v/>
      </c>
      <c r="Z2091" s="84"/>
      <c r="AA2091" s="84" t="str">
        <f>IF(AND(MONTH(E2091)='IN-NX'!$J$5,'IN-NX'!$D$7=D2091),"x","")</f>
        <v/>
      </c>
      <c r="AB2091" s="84" t="str">
        <f>IF(AND(OR(LEFT(TH!N2091,2)="15",LEFT(TH!O2091,2)="15"),LEFT(TH!O2091,3)&lt;&gt;"111",'152-CT'!$J$8=TH!F2091),"x","")</f>
        <v/>
      </c>
      <c r="AC2091" s="84" t="str">
        <f>IF(AND(OR(LEFT(TH!N2091,2)="15",LEFT(TH!O2091,2)="15"),TK!$E$7=TH!F2091),"x","")</f>
        <v/>
      </c>
      <c r="AD2091" s="84" t="str">
        <f>IF(AND(N2091="1521",MONTH(C2091)='BK-NL'!$M$11),"x","")</f>
        <v/>
      </c>
      <c r="AF2091" s="351">
        <v>8</v>
      </c>
    </row>
    <row r="2092" spans="1:32" s="351" customFormat="1" ht="15.75" hidden="1" customHeight="1">
      <c r="A2092" s="336" t="str">
        <f>IF(B2092&lt;&gt;"",IF(AND(B2092='IN-TC'!$S$4,OR(TH!N2092="1111",TH!O2092="1111")),TH!D2092,""),"")</f>
        <v/>
      </c>
      <c r="B2092" s="63">
        <f t="shared" si="270"/>
        <v>8</v>
      </c>
      <c r="C2092" s="64">
        <v>42586</v>
      </c>
      <c r="D2092" s="64" t="s">
        <v>705</v>
      </c>
      <c r="E2092" s="64">
        <f t="shared" si="271"/>
        <v>42586</v>
      </c>
      <c r="F2092" s="67" t="s">
        <v>1200</v>
      </c>
      <c r="G2092" s="67" t="s">
        <v>919</v>
      </c>
      <c r="H2092" s="73"/>
      <c r="I2092" s="439"/>
      <c r="J2092" s="439"/>
      <c r="K2092" s="430"/>
      <c r="L2092" s="439"/>
      <c r="M2092" s="65">
        <v>2000</v>
      </c>
      <c r="N2092" s="84" t="s">
        <v>2001</v>
      </c>
      <c r="O2092" s="66" t="s">
        <v>26</v>
      </c>
      <c r="P2092" s="84" t="str">
        <f>IF(AND('331-CT'!$E$7=TH!H2092,OR(N2092="331",O2092="331")),"x","")</f>
        <v/>
      </c>
      <c r="Q2092" s="84" t="str">
        <f>IF(AND(B2092='111'!$L$11,OR($N2092=$Q$7,$O2092=$Q$7)),"x","")</f>
        <v/>
      </c>
      <c r="R2092" s="84" t="str">
        <f>IF(AND($N2092=$Q$7,$B2092&lt;'111'!$L$11),"x","")</f>
        <v/>
      </c>
      <c r="S2092" s="84" t="str">
        <f>IF(AND($O2092=$Q$7,$B2092&lt;'111'!$L$11),"x","")</f>
        <v/>
      </c>
      <c r="T2092" s="84" t="str">
        <f>IF(ISERROR(FIND('112'!$M$9,G2092,1)),"",IF((AND(FIND('112'!$M$9,G2092,1)&gt;=1,B2092='112'!$K$9,OR($N2092='112'!$I$6,$O2092='112'!$I$6))),"x",""))</f>
        <v/>
      </c>
      <c r="U2092" s="84" t="str">
        <f>IF(ISERROR(FIND('112'!$M$9,G2092,1)),"",IF((AND(LEFT(G2092,2)=LEFT('112'!$M$9,2),B2092&lt;'112'!$K$9,$N2092='112'!$I$6)),"x",""))</f>
        <v/>
      </c>
      <c r="V2092" s="84" t="str">
        <f>IF(ISERROR(FIND('112'!$M$9,G2092,1)),"",IF((AND(RIGHT(G2092,2)=RIGHT('112'!$M$9,2),B2092&lt;'112'!$K$9,$O2092='112'!$I$6)),"x",""))</f>
        <v/>
      </c>
      <c r="W2092" s="84" t="str">
        <f>IF(AND('341-CT'!$H$9=H2092,OR(LEFT(N2092,3)=$W$7,LEFT(O2092,3)=$W$7)),"x","")</f>
        <v/>
      </c>
      <c r="X2092" s="84" t="str">
        <f>IF(OR(TH!N2092=TH!$X$7,O2092=TH!$X$7),"x","")</f>
        <v/>
      </c>
      <c r="Y2092" s="84" t="str">
        <f>IF(AND(OR(N2092="131",O2092="131"),H2092='131-CT'!$H$9),"x","")</f>
        <v/>
      </c>
      <c r="Z2092" s="84"/>
      <c r="AA2092" s="84" t="str">
        <f>IF(AND(MONTH(E2092)='IN-NX'!$J$5,'IN-NX'!$D$7=D2092),"x","")</f>
        <v/>
      </c>
      <c r="AB2092" s="84" t="str">
        <f>IF(AND(OR(LEFT(TH!N2092,2)="15",LEFT(TH!O2092,2)="15"),LEFT(TH!O2092,3)&lt;&gt;"111",'152-CT'!$J$8=TH!F2092),"x","")</f>
        <v/>
      </c>
      <c r="AC2092" s="84" t="str">
        <f>IF(AND(OR(LEFT(TH!N2092,2)="15",LEFT(TH!O2092,2)="15"),TK!$E$7=TH!F2092),"x","")</f>
        <v/>
      </c>
      <c r="AD2092" s="84" t="str">
        <f>IF(AND(N2092="1521",MONTH(C2092)='BK-NL'!$M$11),"x","")</f>
        <v/>
      </c>
      <c r="AF2092" s="351">
        <v>8</v>
      </c>
    </row>
    <row r="2093" spans="1:32" s="351" customFormat="1" ht="15.75" hidden="1" customHeight="1">
      <c r="A2093" s="336" t="str">
        <f>IF(B2093&lt;&gt;"",IF(AND(B2093='IN-TC'!$S$4,OR(TH!N2093="1111",TH!O2093="1111")),TH!D2093,""),"")</f>
        <v/>
      </c>
      <c r="B2093" s="63">
        <f t="shared" si="270"/>
        <v>8</v>
      </c>
      <c r="C2093" s="64">
        <v>42586</v>
      </c>
      <c r="D2093" s="64" t="s">
        <v>705</v>
      </c>
      <c r="E2093" s="64">
        <f t="shared" si="271"/>
        <v>42586</v>
      </c>
      <c r="F2093" s="67" t="s">
        <v>1930</v>
      </c>
      <c r="G2093" s="67" t="s">
        <v>919</v>
      </c>
      <c r="H2093" s="344" t="s">
        <v>629</v>
      </c>
      <c r="I2093" s="439"/>
      <c r="J2093" s="439"/>
      <c r="K2093" s="430"/>
      <c r="L2093" s="439"/>
      <c r="M2093" s="65">
        <v>9215000</v>
      </c>
      <c r="N2093" s="66" t="s">
        <v>8</v>
      </c>
      <c r="O2093" s="66" t="s">
        <v>26</v>
      </c>
      <c r="P2093" s="84" t="str">
        <f>IF(AND('331-CT'!$E$7=TH!H2093,OR(N2093="331",O2093="331")),"x","")</f>
        <v/>
      </c>
      <c r="Q2093" s="84" t="str">
        <f>IF(AND(B2093='111'!$L$11,OR($N2093=$Q$7,$O2093=$Q$7)),"x","")</f>
        <v/>
      </c>
      <c r="R2093" s="84" t="str">
        <f>IF(AND($N2093=$Q$7,$B2093&lt;'111'!$L$11),"x","")</f>
        <v/>
      </c>
      <c r="S2093" s="84" t="str">
        <f>IF(AND($O2093=$Q$7,$B2093&lt;'111'!$L$11),"x","")</f>
        <v/>
      </c>
      <c r="T2093" s="84" t="str">
        <f>IF(ISERROR(FIND('112'!$M$9,G2093,1)),"",IF((AND(FIND('112'!$M$9,G2093,1)&gt;=1,B2093='112'!$K$9,OR($N2093='112'!$I$6,$O2093='112'!$I$6))),"x",""))</f>
        <v/>
      </c>
      <c r="U2093" s="84" t="str">
        <f>IF(ISERROR(FIND('112'!$M$9,G2093,1)),"",IF((AND(LEFT(G2093,2)=LEFT('112'!$M$9,2),B2093&lt;'112'!$K$9,$N2093='112'!$I$6)),"x",""))</f>
        <v/>
      </c>
      <c r="V2093" s="84" t="str">
        <f>IF(ISERROR(FIND('112'!$M$9,G2093,1)),"",IF((AND(RIGHT(G2093,2)=RIGHT('112'!$M$9,2),B2093&lt;'112'!$K$9,$O2093='112'!$I$6)),"x",""))</f>
        <v/>
      </c>
      <c r="W2093" s="84" t="str">
        <f>IF(AND('341-CT'!$H$9=H2093,OR(LEFT(N2093,3)=$W$7,LEFT(O2093,3)=$W$7)),"x","")</f>
        <v/>
      </c>
      <c r="X2093" s="84" t="str">
        <f>IF(OR(TH!N2093=TH!$X$7,O2093=TH!$X$7),"x","")</f>
        <v/>
      </c>
      <c r="Y2093" s="84" t="str">
        <f>IF(AND(OR(N2093="131",O2093="131"),H2093='131-CT'!$H$9),"x","")</f>
        <v/>
      </c>
      <c r="Z2093" s="84"/>
      <c r="AA2093" s="84" t="str">
        <f>IF(AND(MONTH(E2093)='IN-NX'!$J$5,'IN-NX'!$D$7=D2093),"x","")</f>
        <v/>
      </c>
      <c r="AB2093" s="84" t="str">
        <f>IF(AND(OR(LEFT(TH!N2093,2)="15",LEFT(TH!O2093,2)="15"),LEFT(TH!O2093,3)&lt;&gt;"111",'152-CT'!$J$8=TH!F2093),"x","")</f>
        <v/>
      </c>
      <c r="AC2093" s="84" t="str">
        <f>IF(AND(OR(LEFT(TH!N2093,2)="15",LEFT(TH!O2093,2)="15"),TK!$E$7=TH!F2093),"x","")</f>
        <v/>
      </c>
      <c r="AD2093" s="84" t="str">
        <f>IF(AND(N2093="1521",MONTH(C2093)='BK-NL'!$M$11),"x","")</f>
        <v/>
      </c>
      <c r="AE2093" s="1146" t="str">
        <f>IF(H2093&lt;&gt;VLOOKUP(H2093,DSKH,1,0),"","x")</f>
        <v>x</v>
      </c>
    </row>
    <row r="2094" spans="1:32" s="351" customFormat="1" ht="15.75" customHeight="1">
      <c r="A2094" s="336" t="str">
        <f>IF(B2094&lt;&gt;"",IF(AND(B2094='IN-TC'!$S$4,OR(TH!N2094="1111",TH!O2094="1111")),TH!D2094,""),"")</f>
        <v/>
      </c>
      <c r="B2094" s="63">
        <f t="shared" si="270"/>
        <v>8</v>
      </c>
      <c r="C2094" s="64">
        <v>42586</v>
      </c>
      <c r="D2094" s="64" t="s">
        <v>705</v>
      </c>
      <c r="E2094" s="64">
        <f t="shared" si="271"/>
        <v>42586</v>
      </c>
      <c r="F2094" s="67" t="s">
        <v>1199</v>
      </c>
      <c r="G2094" s="67" t="s">
        <v>919</v>
      </c>
      <c r="H2094" s="73"/>
      <c r="I2094" s="439"/>
      <c r="J2094" s="439"/>
      <c r="K2094" s="430"/>
      <c r="L2094" s="439"/>
      <c r="M2094" s="65">
        <v>40000</v>
      </c>
      <c r="N2094" s="66" t="s">
        <v>101</v>
      </c>
      <c r="O2094" s="66" t="s">
        <v>26</v>
      </c>
      <c r="P2094" s="84" t="str">
        <f>IF(AND('331-CT'!$E$7=TH!H2094,OR(N2094="331",O2094="331")),"x","")</f>
        <v/>
      </c>
      <c r="Q2094" s="84" t="str">
        <f>IF(AND(B2094='111'!$L$11,OR($N2094=$Q$7,$O2094=$Q$7)),"x","")</f>
        <v/>
      </c>
      <c r="R2094" s="84" t="str">
        <f>IF(AND($N2094=$Q$7,$B2094&lt;'111'!$L$11),"x","")</f>
        <v/>
      </c>
      <c r="S2094" s="84" t="str">
        <f>IF(AND($O2094=$Q$7,$B2094&lt;'111'!$L$11),"x","")</f>
        <v/>
      </c>
      <c r="T2094" s="84" t="str">
        <f>IF(ISERROR(FIND('112'!$M$9,G2094,1)),"",IF((AND(FIND('112'!$M$9,G2094,1)&gt;=1,B2094='112'!$K$9,OR($N2094='112'!$I$6,$O2094='112'!$I$6))),"x",""))</f>
        <v/>
      </c>
      <c r="U2094" s="84" t="str">
        <f>IF(ISERROR(FIND('112'!$M$9,G2094,1)),"",IF((AND(LEFT(G2094,2)=LEFT('112'!$M$9,2),B2094&lt;'112'!$K$9,$N2094='112'!$I$6)),"x",""))</f>
        <v/>
      </c>
      <c r="V2094" s="84" t="str">
        <f>IF(ISERROR(FIND('112'!$M$9,G2094,1)),"",IF((AND(RIGHT(G2094,2)=RIGHT('112'!$M$9,2),B2094&lt;'112'!$K$9,$O2094='112'!$I$6)),"x",""))</f>
        <v/>
      </c>
      <c r="W2094" s="84" t="str">
        <f>IF(AND('341-CT'!$H$9=H2094,OR(LEFT(N2094,3)=$W$7,LEFT(O2094,3)=$W$7)),"x","")</f>
        <v/>
      </c>
      <c r="X2094" s="84" t="str">
        <f>IF(OR(TH!N2094=TH!$X$7,O2094=TH!$X$7),"x","")</f>
        <v/>
      </c>
      <c r="Y2094" s="84" t="str">
        <f>IF(AND(OR(N2094="131",O2094="131"),H2094='131-CT'!$H$9),"x","")</f>
        <v/>
      </c>
      <c r="Z2094" s="84"/>
      <c r="AA2094" s="84" t="str">
        <f>IF(AND(MONTH(E2094)='IN-NX'!$J$5,'IN-NX'!$D$7=D2094),"x","")</f>
        <v/>
      </c>
      <c r="AB2094" s="84" t="str">
        <f>IF(AND(OR(LEFT(TH!N2094,2)="15",LEFT(TH!O2094,2)="15"),LEFT(TH!O2094,3)&lt;&gt;"111",'152-CT'!$J$8=TH!F2094),"x","")</f>
        <v/>
      </c>
      <c r="AC2094" s="84" t="str">
        <f>IF(AND(OR(LEFT(TH!N2094,2)="15",LEFT(TH!O2094,2)="15"),TK!$E$7=TH!F2094),"x","")</f>
        <v/>
      </c>
      <c r="AD2094" s="84" t="str">
        <f>IF(AND(N2094="1521",MONTH(C2094)='BK-NL'!$M$11),"x","")</f>
        <v/>
      </c>
      <c r="AF2094" s="351">
        <v>8</v>
      </c>
    </row>
    <row r="2095" spans="1:32" s="351" customFormat="1" ht="15.75" hidden="1" customHeight="1">
      <c r="A2095" s="336" t="str">
        <f>IF(B2095&lt;&gt;"",IF(AND(B2095='IN-TC'!$S$4,OR(TH!N2095="1111",TH!O2095="1111")),TH!D2095,""),"")</f>
        <v/>
      </c>
      <c r="B2095" s="63">
        <f t="shared" si="270"/>
        <v>8</v>
      </c>
      <c r="C2095" s="64">
        <v>42586</v>
      </c>
      <c r="D2095" s="64" t="s">
        <v>705</v>
      </c>
      <c r="E2095" s="64">
        <f t="shared" si="271"/>
        <v>42586</v>
      </c>
      <c r="F2095" s="67" t="s">
        <v>1200</v>
      </c>
      <c r="G2095" s="67" t="s">
        <v>919</v>
      </c>
      <c r="H2095" s="73"/>
      <c r="I2095" s="439"/>
      <c r="J2095" s="439"/>
      <c r="K2095" s="430"/>
      <c r="L2095" s="439"/>
      <c r="M2095" s="65">
        <v>4000</v>
      </c>
      <c r="N2095" s="84" t="s">
        <v>2001</v>
      </c>
      <c r="O2095" s="66" t="s">
        <v>26</v>
      </c>
      <c r="P2095" s="84" t="str">
        <f>IF(AND('331-CT'!$E$7=TH!H2095,OR(N2095="331",O2095="331")),"x","")</f>
        <v/>
      </c>
      <c r="Q2095" s="84" t="str">
        <f>IF(AND(B2095='111'!$L$11,OR($N2095=$Q$7,$O2095=$Q$7)),"x","")</f>
        <v/>
      </c>
      <c r="R2095" s="84" t="str">
        <f>IF(AND($N2095=$Q$7,$B2095&lt;'111'!$L$11),"x","")</f>
        <v/>
      </c>
      <c r="S2095" s="84" t="str">
        <f>IF(AND($O2095=$Q$7,$B2095&lt;'111'!$L$11),"x","")</f>
        <v/>
      </c>
      <c r="T2095" s="84" t="str">
        <f>IF(ISERROR(FIND('112'!$M$9,G2095,1)),"",IF((AND(FIND('112'!$M$9,G2095,1)&gt;=1,B2095='112'!$K$9,OR($N2095='112'!$I$6,$O2095='112'!$I$6))),"x",""))</f>
        <v/>
      </c>
      <c r="U2095" s="84" t="str">
        <f>IF(ISERROR(FIND('112'!$M$9,G2095,1)),"",IF((AND(LEFT(G2095,2)=LEFT('112'!$M$9,2),B2095&lt;'112'!$K$9,$N2095='112'!$I$6)),"x",""))</f>
        <v/>
      </c>
      <c r="V2095" s="84" t="str">
        <f>IF(ISERROR(FIND('112'!$M$9,G2095,1)),"",IF((AND(RIGHT(G2095,2)=RIGHT('112'!$M$9,2),B2095&lt;'112'!$K$9,$O2095='112'!$I$6)),"x",""))</f>
        <v/>
      </c>
      <c r="W2095" s="84" t="str">
        <f>IF(AND('341-CT'!$H$9=H2095,OR(LEFT(N2095,3)=$W$7,LEFT(O2095,3)=$W$7)),"x","")</f>
        <v/>
      </c>
      <c r="X2095" s="84" t="str">
        <f>IF(OR(TH!N2095=TH!$X$7,O2095=TH!$X$7),"x","")</f>
        <v/>
      </c>
      <c r="Y2095" s="84" t="str">
        <f>IF(AND(OR(N2095="131",O2095="131"),H2095='131-CT'!$H$9),"x","")</f>
        <v/>
      </c>
      <c r="Z2095" s="84"/>
      <c r="AA2095" s="84" t="str">
        <f>IF(AND(MONTH(E2095)='IN-NX'!$J$5,'IN-NX'!$D$7=D2095),"x","")</f>
        <v/>
      </c>
      <c r="AB2095" s="84" t="str">
        <f>IF(AND(OR(LEFT(TH!N2095,2)="15",LEFT(TH!O2095,2)="15"),LEFT(TH!O2095,3)&lt;&gt;"111",'152-CT'!$J$8=TH!F2095),"x","")</f>
        <v/>
      </c>
      <c r="AC2095" s="84" t="str">
        <f>IF(AND(OR(LEFT(TH!N2095,2)="15",LEFT(TH!O2095,2)="15"),TK!$E$7=TH!F2095),"x","")</f>
        <v/>
      </c>
      <c r="AD2095" s="84" t="str">
        <f>IF(AND(N2095="1521",MONTH(C2095)='BK-NL'!$M$11),"x","")</f>
        <v/>
      </c>
      <c r="AF2095" s="351">
        <v>8</v>
      </c>
    </row>
    <row r="2096" spans="1:32" s="351" customFormat="1" ht="15.75" hidden="1" customHeight="1">
      <c r="A2096" s="336" t="str">
        <f>IF(B2096&lt;&gt;"",IF(AND(B2096='IN-TC'!$S$4,OR(TH!N2096="1111",TH!O2096="1111")),TH!D2096,""),"")</f>
        <v/>
      </c>
      <c r="B2096" s="63">
        <f t="shared" si="270"/>
        <v>8</v>
      </c>
      <c r="C2096" s="64">
        <v>42586</v>
      </c>
      <c r="D2096" s="64" t="s">
        <v>705</v>
      </c>
      <c r="E2096" s="64">
        <f t="shared" si="271"/>
        <v>42586</v>
      </c>
      <c r="F2096" s="67" t="s">
        <v>1645</v>
      </c>
      <c r="G2096" s="67" t="s">
        <v>919</v>
      </c>
      <c r="H2096" s="320" t="s">
        <v>1505</v>
      </c>
      <c r="I2096" s="439"/>
      <c r="J2096" s="439"/>
      <c r="K2096" s="430"/>
      <c r="L2096" s="439"/>
      <c r="M2096" s="65">
        <v>64375104</v>
      </c>
      <c r="N2096" s="66" t="s">
        <v>8</v>
      </c>
      <c r="O2096" s="66" t="s">
        <v>26</v>
      </c>
      <c r="P2096" s="84" t="str">
        <f>IF(AND('331-CT'!$E$7=TH!H2096,OR(N2096="331",O2096="331")),"x","")</f>
        <v/>
      </c>
      <c r="Q2096" s="84" t="str">
        <f>IF(AND(B2096='111'!$L$11,OR($N2096=$Q$7,$O2096=$Q$7)),"x","")</f>
        <v/>
      </c>
      <c r="R2096" s="84" t="str">
        <f>IF(AND($N2096=$Q$7,$B2096&lt;'111'!$L$11),"x","")</f>
        <v/>
      </c>
      <c r="S2096" s="84" t="str">
        <f>IF(AND($O2096=$Q$7,$B2096&lt;'111'!$L$11),"x","")</f>
        <v/>
      </c>
      <c r="T2096" s="84" t="str">
        <f>IF(ISERROR(FIND('112'!$M$9,G2096,1)),"",IF((AND(FIND('112'!$M$9,G2096,1)&gt;=1,B2096='112'!$K$9,OR($N2096='112'!$I$6,$O2096='112'!$I$6))),"x",""))</f>
        <v/>
      </c>
      <c r="U2096" s="84" t="str">
        <f>IF(ISERROR(FIND('112'!$M$9,G2096,1)),"",IF((AND(LEFT(G2096,2)=LEFT('112'!$M$9,2),B2096&lt;'112'!$K$9,$N2096='112'!$I$6)),"x",""))</f>
        <v/>
      </c>
      <c r="V2096" s="84" t="str">
        <f>IF(ISERROR(FIND('112'!$M$9,G2096,1)),"",IF((AND(RIGHT(G2096,2)=RIGHT('112'!$M$9,2),B2096&lt;'112'!$K$9,$O2096='112'!$I$6)),"x",""))</f>
        <v/>
      </c>
      <c r="W2096" s="84" t="str">
        <f>IF(AND('341-CT'!$H$9=H2096,OR(LEFT(N2096,3)=$W$7,LEFT(O2096,3)=$W$7)),"x","")</f>
        <v/>
      </c>
      <c r="X2096" s="84" t="str">
        <f>IF(OR(TH!N2096=TH!$X$7,O2096=TH!$X$7),"x","")</f>
        <v/>
      </c>
      <c r="Y2096" s="84" t="str">
        <f>IF(AND(OR(N2096="131",O2096="131"),H2096='131-CT'!$H$9),"x","")</f>
        <v/>
      </c>
      <c r="Z2096" s="84"/>
      <c r="AA2096" s="84" t="str">
        <f>IF(AND(MONTH(E2096)='IN-NX'!$J$5,'IN-NX'!$D$7=D2096),"x","")</f>
        <v/>
      </c>
      <c r="AB2096" s="84" t="str">
        <f>IF(AND(OR(LEFT(TH!N2096,2)="15",LEFT(TH!O2096,2)="15"),LEFT(TH!O2096,3)&lt;&gt;"111",'152-CT'!$J$8=TH!F2096),"x","")</f>
        <v/>
      </c>
      <c r="AC2096" s="84" t="str">
        <f>IF(AND(OR(LEFT(TH!N2096,2)="15",LEFT(TH!O2096,2)="15"),TK!$E$7=TH!F2096),"x","")</f>
        <v/>
      </c>
      <c r="AD2096" s="84" t="str">
        <f>IF(AND(N2096="1521",MONTH(C2096)='BK-NL'!$M$11),"x","")</f>
        <v/>
      </c>
      <c r="AE2096" s="1146" t="str">
        <f>IF(H2096&lt;&gt;VLOOKUP(H2096,DSKH,1,0),"","x")</f>
        <v>x</v>
      </c>
    </row>
    <row r="2097" spans="1:32" s="351" customFormat="1" ht="15.75" customHeight="1">
      <c r="A2097" s="336" t="str">
        <f>IF(B2097&lt;&gt;"",IF(AND(B2097='IN-TC'!$S$4,OR(TH!N2097="1111",TH!O2097="1111")),TH!D2097,""),"")</f>
        <v/>
      </c>
      <c r="B2097" s="63">
        <f t="shared" ref="B2097:B2128" si="283">IF(C2097&lt;&gt;"",MONTH(C2097),"")</f>
        <v>8</v>
      </c>
      <c r="C2097" s="64">
        <v>42586</v>
      </c>
      <c r="D2097" s="64" t="s">
        <v>705</v>
      </c>
      <c r="E2097" s="64">
        <f t="shared" ref="E2097:E2143" si="284">C2097</f>
        <v>42586</v>
      </c>
      <c r="F2097" s="67" t="s">
        <v>1199</v>
      </c>
      <c r="G2097" s="67" t="s">
        <v>919</v>
      </c>
      <c r="H2097" s="73"/>
      <c r="I2097" s="439"/>
      <c r="J2097" s="439"/>
      <c r="K2097" s="430"/>
      <c r="L2097" s="439"/>
      <c r="M2097" s="65">
        <v>40000</v>
      </c>
      <c r="N2097" s="66" t="s">
        <v>101</v>
      </c>
      <c r="O2097" s="66" t="s">
        <v>26</v>
      </c>
      <c r="P2097" s="84" t="str">
        <f>IF(AND('331-CT'!$E$7=TH!H2097,OR(N2097="331",O2097="331")),"x","")</f>
        <v/>
      </c>
      <c r="Q2097" s="84" t="str">
        <f>IF(AND(B2097='111'!$L$11,OR($N2097=$Q$7,$O2097=$Q$7)),"x","")</f>
        <v/>
      </c>
      <c r="R2097" s="84" t="str">
        <f>IF(AND($N2097=$Q$7,$B2097&lt;'111'!$L$11),"x","")</f>
        <v/>
      </c>
      <c r="S2097" s="84" t="str">
        <f>IF(AND($O2097=$Q$7,$B2097&lt;'111'!$L$11),"x","")</f>
        <v/>
      </c>
      <c r="T2097" s="84" t="str">
        <f>IF(ISERROR(FIND('112'!$M$9,G2097,1)),"",IF((AND(FIND('112'!$M$9,G2097,1)&gt;=1,B2097='112'!$K$9,OR($N2097='112'!$I$6,$O2097='112'!$I$6))),"x",""))</f>
        <v/>
      </c>
      <c r="U2097" s="84" t="str">
        <f>IF(ISERROR(FIND('112'!$M$9,G2097,1)),"",IF((AND(LEFT(G2097,2)=LEFT('112'!$M$9,2),B2097&lt;'112'!$K$9,$N2097='112'!$I$6)),"x",""))</f>
        <v/>
      </c>
      <c r="V2097" s="84" t="str">
        <f>IF(ISERROR(FIND('112'!$M$9,G2097,1)),"",IF((AND(RIGHT(G2097,2)=RIGHT('112'!$M$9,2),B2097&lt;'112'!$K$9,$O2097='112'!$I$6)),"x",""))</f>
        <v/>
      </c>
      <c r="W2097" s="84" t="str">
        <f>IF(AND('341-CT'!$H$9=H2097,OR(LEFT(N2097,3)=$W$7,LEFT(O2097,3)=$W$7)),"x","")</f>
        <v/>
      </c>
      <c r="X2097" s="84" t="str">
        <f>IF(OR(TH!N2097=TH!$X$7,O2097=TH!$X$7),"x","")</f>
        <v/>
      </c>
      <c r="Y2097" s="84" t="str">
        <f>IF(AND(OR(N2097="131",O2097="131"),H2097='131-CT'!$H$9),"x","")</f>
        <v/>
      </c>
      <c r="Z2097" s="84"/>
      <c r="AA2097" s="84" t="str">
        <f>IF(AND(MONTH(E2097)='IN-NX'!$J$5,'IN-NX'!$D$7=D2097),"x","")</f>
        <v/>
      </c>
      <c r="AB2097" s="84" t="str">
        <f>IF(AND(OR(LEFT(TH!N2097,2)="15",LEFT(TH!O2097,2)="15"),LEFT(TH!O2097,3)&lt;&gt;"111",'152-CT'!$J$8=TH!F2097),"x","")</f>
        <v/>
      </c>
      <c r="AC2097" s="84" t="str">
        <f>IF(AND(OR(LEFT(TH!N2097,2)="15",LEFT(TH!O2097,2)="15"),TK!$E$7=TH!F2097),"x","")</f>
        <v/>
      </c>
      <c r="AD2097" s="84" t="str">
        <f>IF(AND(N2097="1521",MONTH(C2097)='BK-NL'!$M$11),"x","")</f>
        <v/>
      </c>
      <c r="AF2097" s="351">
        <v>8</v>
      </c>
    </row>
    <row r="2098" spans="1:32" s="351" customFormat="1" ht="15.75" hidden="1" customHeight="1">
      <c r="A2098" s="336" t="str">
        <f>IF(B2098&lt;&gt;"",IF(AND(B2098='IN-TC'!$S$4,OR(TH!N2098="1111",TH!O2098="1111")),TH!D2098,""),"")</f>
        <v/>
      </c>
      <c r="B2098" s="63">
        <f t="shared" si="283"/>
        <v>8</v>
      </c>
      <c r="C2098" s="64">
        <v>42586</v>
      </c>
      <c r="D2098" s="64" t="s">
        <v>705</v>
      </c>
      <c r="E2098" s="64">
        <f t="shared" si="284"/>
        <v>42586</v>
      </c>
      <c r="F2098" s="67" t="s">
        <v>1200</v>
      </c>
      <c r="G2098" s="67" t="s">
        <v>919</v>
      </c>
      <c r="H2098" s="73"/>
      <c r="I2098" s="439"/>
      <c r="J2098" s="439"/>
      <c r="K2098" s="430"/>
      <c r="L2098" s="439"/>
      <c r="M2098" s="65">
        <v>4000</v>
      </c>
      <c r="N2098" s="84" t="s">
        <v>2001</v>
      </c>
      <c r="O2098" s="66" t="s">
        <v>26</v>
      </c>
      <c r="P2098" s="84" t="str">
        <f>IF(AND('331-CT'!$E$7=TH!H2098,OR(N2098="331",O2098="331")),"x","")</f>
        <v/>
      </c>
      <c r="Q2098" s="84" t="str">
        <f>IF(AND(B2098='111'!$L$11,OR($N2098=$Q$7,$O2098=$Q$7)),"x","")</f>
        <v/>
      </c>
      <c r="R2098" s="84" t="str">
        <f>IF(AND($N2098=$Q$7,$B2098&lt;'111'!$L$11),"x","")</f>
        <v/>
      </c>
      <c r="S2098" s="84" t="str">
        <f>IF(AND($O2098=$Q$7,$B2098&lt;'111'!$L$11),"x","")</f>
        <v/>
      </c>
      <c r="T2098" s="84" t="str">
        <f>IF(ISERROR(FIND('112'!$M$9,G2098,1)),"",IF((AND(FIND('112'!$M$9,G2098,1)&gt;=1,B2098='112'!$K$9,OR($N2098='112'!$I$6,$O2098='112'!$I$6))),"x",""))</f>
        <v/>
      </c>
      <c r="U2098" s="84" t="str">
        <f>IF(ISERROR(FIND('112'!$M$9,G2098,1)),"",IF((AND(LEFT(G2098,2)=LEFT('112'!$M$9,2),B2098&lt;'112'!$K$9,$N2098='112'!$I$6)),"x",""))</f>
        <v/>
      </c>
      <c r="V2098" s="84" t="str">
        <f>IF(ISERROR(FIND('112'!$M$9,G2098,1)),"",IF((AND(RIGHT(G2098,2)=RIGHT('112'!$M$9,2),B2098&lt;'112'!$K$9,$O2098='112'!$I$6)),"x",""))</f>
        <v/>
      </c>
      <c r="W2098" s="84" t="str">
        <f>IF(AND('341-CT'!$H$9=H2098,OR(LEFT(N2098,3)=$W$7,LEFT(O2098,3)=$W$7)),"x","")</f>
        <v/>
      </c>
      <c r="X2098" s="84" t="str">
        <f>IF(OR(TH!N2098=TH!$X$7,O2098=TH!$X$7),"x","")</f>
        <v/>
      </c>
      <c r="Y2098" s="84" t="str">
        <f>IF(AND(OR(N2098="131",O2098="131"),H2098='131-CT'!$H$9),"x","")</f>
        <v/>
      </c>
      <c r="Z2098" s="84"/>
      <c r="AA2098" s="84" t="str">
        <f>IF(AND(MONTH(E2098)='IN-NX'!$J$5,'IN-NX'!$D$7=D2098),"x","")</f>
        <v/>
      </c>
      <c r="AB2098" s="84" t="str">
        <f>IF(AND(OR(LEFT(TH!N2098,2)="15",LEFT(TH!O2098,2)="15"),LEFT(TH!O2098,3)&lt;&gt;"111",'152-CT'!$J$8=TH!F2098),"x","")</f>
        <v/>
      </c>
      <c r="AC2098" s="84" t="str">
        <f>IF(AND(OR(LEFT(TH!N2098,2)="15",LEFT(TH!O2098,2)="15"),TK!$E$7=TH!F2098),"x","")</f>
        <v/>
      </c>
      <c r="AD2098" s="84" t="str">
        <f>IF(AND(N2098="1521",MONTH(C2098)='BK-NL'!$M$11),"x","")</f>
        <v/>
      </c>
      <c r="AF2098" s="351">
        <v>8</v>
      </c>
    </row>
    <row r="2099" spans="1:32" s="351" customFormat="1" ht="15.75" hidden="1" customHeight="1">
      <c r="A2099" s="336" t="str">
        <f>IF(B2099&lt;&gt;"",IF(AND(B2099='IN-TC'!$S$4,OR(TH!N2099="1111",TH!O2099="1111")),TH!D2099,""),"")</f>
        <v/>
      </c>
      <c r="B2099" s="63">
        <f t="shared" si="283"/>
        <v>8</v>
      </c>
      <c r="C2099" s="64">
        <v>42586</v>
      </c>
      <c r="D2099" s="64" t="s">
        <v>705</v>
      </c>
      <c r="E2099" s="64">
        <f t="shared" si="284"/>
        <v>42586</v>
      </c>
      <c r="F2099" s="67" t="s">
        <v>1932</v>
      </c>
      <c r="G2099" s="67" t="s">
        <v>919</v>
      </c>
      <c r="H2099" s="344" t="s">
        <v>632</v>
      </c>
      <c r="I2099" s="439"/>
      <c r="J2099" s="439"/>
      <c r="K2099" s="430"/>
      <c r="L2099" s="439"/>
      <c r="M2099" s="65">
        <v>23985830</v>
      </c>
      <c r="N2099" s="66" t="s">
        <v>8</v>
      </c>
      <c r="O2099" s="66" t="s">
        <v>26</v>
      </c>
      <c r="P2099" s="84" t="str">
        <f>IF(AND('331-CT'!$E$7=TH!H2099,OR(N2099="331",O2099="331")),"x","")</f>
        <v/>
      </c>
      <c r="Q2099" s="84" t="str">
        <f>IF(AND(B2099='111'!$L$11,OR($N2099=$Q$7,$O2099=$Q$7)),"x","")</f>
        <v/>
      </c>
      <c r="R2099" s="84" t="str">
        <f>IF(AND($N2099=$Q$7,$B2099&lt;'111'!$L$11),"x","")</f>
        <v/>
      </c>
      <c r="S2099" s="84" t="str">
        <f>IF(AND($O2099=$Q$7,$B2099&lt;'111'!$L$11),"x","")</f>
        <v/>
      </c>
      <c r="T2099" s="84" t="str">
        <f>IF(ISERROR(FIND('112'!$M$9,G2099,1)),"",IF((AND(FIND('112'!$M$9,G2099,1)&gt;=1,B2099='112'!$K$9,OR($N2099='112'!$I$6,$O2099='112'!$I$6))),"x",""))</f>
        <v/>
      </c>
      <c r="U2099" s="84" t="str">
        <f>IF(ISERROR(FIND('112'!$M$9,G2099,1)),"",IF((AND(LEFT(G2099,2)=LEFT('112'!$M$9,2),B2099&lt;'112'!$K$9,$N2099='112'!$I$6)),"x",""))</f>
        <v/>
      </c>
      <c r="V2099" s="84" t="str">
        <f>IF(ISERROR(FIND('112'!$M$9,G2099,1)),"",IF((AND(RIGHT(G2099,2)=RIGHT('112'!$M$9,2),B2099&lt;'112'!$K$9,$O2099='112'!$I$6)),"x",""))</f>
        <v/>
      </c>
      <c r="W2099" s="84" t="str">
        <f>IF(AND('341-CT'!$H$9=H2099,OR(LEFT(N2099,3)=$W$7,LEFT(O2099,3)=$W$7)),"x","")</f>
        <v/>
      </c>
      <c r="X2099" s="84" t="str">
        <f>IF(OR(TH!N2099=TH!$X$7,O2099=TH!$X$7),"x","")</f>
        <v/>
      </c>
      <c r="Y2099" s="84" t="str">
        <f>IF(AND(OR(N2099="131",O2099="131"),H2099='131-CT'!$H$9),"x","")</f>
        <v/>
      </c>
      <c r="Z2099" s="84"/>
      <c r="AA2099" s="84" t="str">
        <f>IF(AND(MONTH(E2099)='IN-NX'!$J$5,'IN-NX'!$D$7=D2099),"x","")</f>
        <v/>
      </c>
      <c r="AB2099" s="84" t="str">
        <f>IF(AND(OR(LEFT(TH!N2099,2)="15",LEFT(TH!O2099,2)="15"),LEFT(TH!O2099,3)&lt;&gt;"111",'152-CT'!$J$8=TH!F2099),"x","")</f>
        <v/>
      </c>
      <c r="AC2099" s="84" t="str">
        <f>IF(AND(OR(LEFT(TH!N2099,2)="15",LEFT(TH!O2099,2)="15"),TK!$E$7=TH!F2099),"x","")</f>
        <v/>
      </c>
      <c r="AD2099" s="84" t="str">
        <f>IF(AND(N2099="1521",MONTH(C2099)='BK-NL'!$M$11),"x","")</f>
        <v/>
      </c>
      <c r="AE2099" s="1146" t="str">
        <f>IF(H2099&lt;&gt;VLOOKUP(H2099,DSKH,1,0),"","x")</f>
        <v>x</v>
      </c>
    </row>
    <row r="2100" spans="1:32" s="351" customFormat="1" ht="15.75" customHeight="1">
      <c r="A2100" s="336" t="str">
        <f>IF(B2100&lt;&gt;"",IF(AND(B2100='IN-TC'!$S$4,OR(TH!N2100="1111",TH!O2100="1111")),TH!D2100,""),"")</f>
        <v/>
      </c>
      <c r="B2100" s="63">
        <f t="shared" si="283"/>
        <v>8</v>
      </c>
      <c r="C2100" s="64">
        <v>42586</v>
      </c>
      <c r="D2100" s="64" t="s">
        <v>705</v>
      </c>
      <c r="E2100" s="64">
        <f t="shared" si="284"/>
        <v>42586</v>
      </c>
      <c r="F2100" s="67" t="s">
        <v>1199</v>
      </c>
      <c r="G2100" s="67" t="s">
        <v>919</v>
      </c>
      <c r="H2100" s="73"/>
      <c r="I2100" s="439"/>
      <c r="J2100" s="439"/>
      <c r="K2100" s="430"/>
      <c r="L2100" s="439"/>
      <c r="M2100" s="65">
        <v>45000</v>
      </c>
      <c r="N2100" s="66" t="s">
        <v>101</v>
      </c>
      <c r="O2100" s="66" t="s">
        <v>26</v>
      </c>
      <c r="P2100" s="84" t="str">
        <f>IF(AND('331-CT'!$E$7=TH!H2100,OR(N2100="331",O2100="331")),"x","")</f>
        <v/>
      </c>
      <c r="Q2100" s="84" t="str">
        <f>IF(AND(B2100='111'!$L$11,OR($N2100=$Q$7,$O2100=$Q$7)),"x","")</f>
        <v/>
      </c>
      <c r="R2100" s="84" t="str">
        <f>IF(AND($N2100=$Q$7,$B2100&lt;'111'!$L$11),"x","")</f>
        <v/>
      </c>
      <c r="S2100" s="84" t="str">
        <f>IF(AND($O2100=$Q$7,$B2100&lt;'111'!$L$11),"x","")</f>
        <v/>
      </c>
      <c r="T2100" s="84" t="str">
        <f>IF(ISERROR(FIND('112'!$M$9,G2100,1)),"",IF((AND(FIND('112'!$M$9,G2100,1)&gt;=1,B2100='112'!$K$9,OR($N2100='112'!$I$6,$O2100='112'!$I$6))),"x",""))</f>
        <v/>
      </c>
      <c r="U2100" s="84" t="str">
        <f>IF(ISERROR(FIND('112'!$M$9,G2100,1)),"",IF((AND(LEFT(G2100,2)=LEFT('112'!$M$9,2),B2100&lt;'112'!$K$9,$N2100='112'!$I$6)),"x",""))</f>
        <v/>
      </c>
      <c r="V2100" s="84" t="str">
        <f>IF(ISERROR(FIND('112'!$M$9,G2100,1)),"",IF((AND(RIGHT(G2100,2)=RIGHT('112'!$M$9,2),B2100&lt;'112'!$K$9,$O2100='112'!$I$6)),"x",""))</f>
        <v/>
      </c>
      <c r="W2100" s="84" t="str">
        <f>IF(AND('341-CT'!$H$9=H2100,OR(LEFT(N2100,3)=$W$7,LEFT(O2100,3)=$W$7)),"x","")</f>
        <v/>
      </c>
      <c r="X2100" s="84" t="str">
        <f>IF(OR(TH!N2100=TH!$X$7,O2100=TH!$X$7),"x","")</f>
        <v/>
      </c>
      <c r="Y2100" s="84" t="str">
        <f>IF(AND(OR(N2100="131",O2100="131"),H2100='131-CT'!$H$9),"x","")</f>
        <v/>
      </c>
      <c r="Z2100" s="84"/>
      <c r="AA2100" s="84" t="str">
        <f>IF(AND(MONTH(E2100)='IN-NX'!$J$5,'IN-NX'!$D$7=D2100),"x","")</f>
        <v/>
      </c>
      <c r="AB2100" s="84" t="str">
        <f>IF(AND(OR(LEFT(TH!N2100,2)="15",LEFT(TH!O2100,2)="15"),LEFT(TH!O2100,3)&lt;&gt;"111",'152-CT'!$J$8=TH!F2100),"x","")</f>
        <v/>
      </c>
      <c r="AC2100" s="84" t="str">
        <f>IF(AND(OR(LEFT(TH!N2100,2)="15",LEFT(TH!O2100,2)="15"),TK!$E$7=TH!F2100),"x","")</f>
        <v/>
      </c>
      <c r="AD2100" s="84" t="str">
        <f>IF(AND(N2100="1521",MONTH(C2100)='BK-NL'!$M$11),"x","")</f>
        <v/>
      </c>
      <c r="AF2100" s="351">
        <v>8</v>
      </c>
    </row>
    <row r="2101" spans="1:32" s="351" customFormat="1" ht="15.75" hidden="1" customHeight="1">
      <c r="A2101" s="336" t="str">
        <f>IF(B2101&lt;&gt;"",IF(AND(B2101='IN-TC'!$S$4,OR(TH!N2101="1111",TH!O2101="1111")),TH!D2101,""),"")</f>
        <v/>
      </c>
      <c r="B2101" s="63">
        <f t="shared" si="283"/>
        <v>8</v>
      </c>
      <c r="C2101" s="64">
        <v>42586</v>
      </c>
      <c r="D2101" s="64" t="s">
        <v>705</v>
      </c>
      <c r="E2101" s="64">
        <f t="shared" si="284"/>
        <v>42586</v>
      </c>
      <c r="F2101" s="67" t="s">
        <v>1200</v>
      </c>
      <c r="G2101" s="67" t="s">
        <v>919</v>
      </c>
      <c r="H2101" s="73"/>
      <c r="I2101" s="439"/>
      <c r="J2101" s="439"/>
      <c r="K2101" s="430"/>
      <c r="L2101" s="439"/>
      <c r="M2101" s="65">
        <v>4500</v>
      </c>
      <c r="N2101" s="84" t="s">
        <v>2001</v>
      </c>
      <c r="O2101" s="66" t="s">
        <v>26</v>
      </c>
      <c r="P2101" s="84" t="str">
        <f>IF(AND('331-CT'!$E$7=TH!H2101,OR(N2101="331",O2101="331")),"x","")</f>
        <v/>
      </c>
      <c r="Q2101" s="84" t="str">
        <f>IF(AND(B2101='111'!$L$11,OR($N2101=$Q$7,$O2101=$Q$7)),"x","")</f>
        <v/>
      </c>
      <c r="R2101" s="84" t="str">
        <f>IF(AND($N2101=$Q$7,$B2101&lt;'111'!$L$11),"x","")</f>
        <v/>
      </c>
      <c r="S2101" s="84" t="str">
        <f>IF(AND($O2101=$Q$7,$B2101&lt;'111'!$L$11),"x","")</f>
        <v/>
      </c>
      <c r="T2101" s="84" t="str">
        <f>IF(ISERROR(FIND('112'!$M$9,G2101,1)),"",IF((AND(FIND('112'!$M$9,G2101,1)&gt;=1,B2101='112'!$K$9,OR($N2101='112'!$I$6,$O2101='112'!$I$6))),"x",""))</f>
        <v/>
      </c>
      <c r="U2101" s="84" t="str">
        <f>IF(ISERROR(FIND('112'!$M$9,G2101,1)),"",IF((AND(LEFT(G2101,2)=LEFT('112'!$M$9,2),B2101&lt;'112'!$K$9,$N2101='112'!$I$6)),"x",""))</f>
        <v/>
      </c>
      <c r="V2101" s="84" t="str">
        <f>IF(ISERROR(FIND('112'!$M$9,G2101,1)),"",IF((AND(RIGHT(G2101,2)=RIGHT('112'!$M$9,2),B2101&lt;'112'!$K$9,$O2101='112'!$I$6)),"x",""))</f>
        <v/>
      </c>
      <c r="W2101" s="84" t="str">
        <f>IF(AND('341-CT'!$H$9=H2101,OR(LEFT(N2101,3)=$W$7,LEFT(O2101,3)=$W$7)),"x","")</f>
        <v/>
      </c>
      <c r="X2101" s="84" t="str">
        <f>IF(OR(TH!N2101=TH!$X$7,O2101=TH!$X$7),"x","")</f>
        <v/>
      </c>
      <c r="Y2101" s="84" t="str">
        <f>IF(AND(OR(N2101="131",O2101="131"),H2101='131-CT'!$H$9),"x","")</f>
        <v/>
      </c>
      <c r="Z2101" s="84"/>
      <c r="AA2101" s="84" t="str">
        <f>IF(AND(MONTH(E2101)='IN-NX'!$J$5,'IN-NX'!$D$7=D2101),"x","")</f>
        <v/>
      </c>
      <c r="AB2101" s="84" t="str">
        <f>IF(AND(OR(LEFT(TH!N2101,2)="15",LEFT(TH!O2101,2)="15"),LEFT(TH!O2101,3)&lt;&gt;"111",'152-CT'!$J$8=TH!F2101),"x","")</f>
        <v/>
      </c>
      <c r="AC2101" s="84" t="str">
        <f>IF(AND(OR(LEFT(TH!N2101,2)="15",LEFT(TH!O2101,2)="15"),TK!$E$7=TH!F2101),"x","")</f>
        <v/>
      </c>
      <c r="AD2101" s="84" t="str">
        <f>IF(AND(N2101="1521",MONTH(C2101)='BK-NL'!$M$11),"x","")</f>
        <v/>
      </c>
      <c r="AF2101" s="351">
        <v>8</v>
      </c>
    </row>
    <row r="2102" spans="1:32" s="351" customFormat="1" ht="15.75" hidden="1" customHeight="1">
      <c r="A2102" s="336" t="str">
        <f>IF(B2102&lt;&gt;"",IF(AND(B2102='IN-TC'!$S$4,OR(TH!N2102="1111",TH!O2102="1111")),TH!D2102,""),"")</f>
        <v/>
      </c>
      <c r="B2102" s="63">
        <f t="shared" si="283"/>
        <v>8</v>
      </c>
      <c r="C2102" s="64">
        <v>42586</v>
      </c>
      <c r="D2102" s="64" t="s">
        <v>705</v>
      </c>
      <c r="E2102" s="64">
        <f t="shared" si="284"/>
        <v>42586</v>
      </c>
      <c r="F2102" s="67" t="s">
        <v>1450</v>
      </c>
      <c r="G2102" s="67" t="s">
        <v>919</v>
      </c>
      <c r="H2102" s="73" t="s">
        <v>1218</v>
      </c>
      <c r="I2102" s="439"/>
      <c r="J2102" s="439"/>
      <c r="K2102" s="430"/>
      <c r="L2102" s="439"/>
      <c r="M2102" s="65">
        <v>61000000</v>
      </c>
      <c r="N2102" s="66" t="s">
        <v>72</v>
      </c>
      <c r="O2102" s="66" t="s">
        <v>26</v>
      </c>
      <c r="P2102" s="84" t="str">
        <f>IF(AND('331-CT'!$E$7=TH!H2102,OR(N2102="331",O2102="331")),"x","")</f>
        <v/>
      </c>
      <c r="Q2102" s="84" t="str">
        <f>IF(AND(B2102='111'!$L$11,OR($N2102=$Q$7,$O2102=$Q$7)),"x","")</f>
        <v/>
      </c>
      <c r="R2102" s="84" t="str">
        <f>IF(AND($N2102=$Q$7,$B2102&lt;'111'!$L$11),"x","")</f>
        <v/>
      </c>
      <c r="S2102" s="84" t="str">
        <f>IF(AND($O2102=$Q$7,$B2102&lt;'111'!$L$11),"x","")</f>
        <v/>
      </c>
      <c r="T2102" s="84" t="str">
        <f>IF(ISERROR(FIND('112'!$M$9,G2102,1)),"",IF((AND(FIND('112'!$M$9,G2102,1)&gt;=1,B2102='112'!$K$9,OR($N2102='112'!$I$6,$O2102='112'!$I$6))),"x",""))</f>
        <v/>
      </c>
      <c r="U2102" s="84" t="str">
        <f>IF(ISERROR(FIND('112'!$M$9,G2102,1)),"",IF((AND(LEFT(G2102,2)=LEFT('112'!$M$9,2),B2102&lt;'112'!$K$9,$N2102='112'!$I$6)),"x",""))</f>
        <v/>
      </c>
      <c r="V2102" s="84" t="str">
        <f>IF(ISERROR(FIND('112'!$M$9,G2102,1)),"",IF((AND(RIGHT(G2102,2)=RIGHT('112'!$M$9,2),B2102&lt;'112'!$K$9,$O2102='112'!$I$6)),"x",""))</f>
        <v/>
      </c>
      <c r="W2102" s="84" t="str">
        <f>IF(AND('341-CT'!$H$9=H2102,OR(LEFT(N2102,3)=$W$7,LEFT(O2102,3)=$W$7)),"x","")</f>
        <v/>
      </c>
      <c r="X2102" s="84" t="str">
        <f>IF(OR(TH!N2102=TH!$X$7,O2102=TH!$X$7),"x","")</f>
        <v>x</v>
      </c>
      <c r="Y2102" s="84" t="str">
        <f>IF(AND(OR(N2102="131",O2102="131"),H2102='131-CT'!$H$9),"x","")</f>
        <v/>
      </c>
      <c r="Z2102" s="84"/>
      <c r="AA2102" s="84" t="str">
        <f>IF(AND(MONTH(E2102)='IN-NX'!$J$5,'IN-NX'!$D$7=D2102),"x","")</f>
        <v/>
      </c>
      <c r="AB2102" s="84" t="str">
        <f>IF(AND(OR(LEFT(TH!N2102,2)="15",LEFT(TH!O2102,2)="15"),LEFT(TH!O2102,3)&lt;&gt;"111",'152-CT'!$J$8=TH!F2102),"x","")</f>
        <v/>
      </c>
      <c r="AC2102" s="84" t="str">
        <f>IF(AND(OR(LEFT(TH!N2102,2)="15",LEFT(TH!O2102,2)="15"),TK!$E$7=TH!F2102),"x","")</f>
        <v/>
      </c>
      <c r="AD2102" s="84" t="str">
        <f>IF(AND(N2102="1521",MONTH(C2102)='BK-NL'!$M$11),"x","")</f>
        <v/>
      </c>
    </row>
    <row r="2103" spans="1:32" s="351" customFormat="1" ht="15.75" customHeight="1">
      <c r="A2103" s="336" t="str">
        <f>IF(B2103&lt;&gt;"",IF(AND(B2103='IN-TC'!$S$4,OR(TH!N2103="1111",TH!O2103="1111")),TH!D2103,""),"")</f>
        <v/>
      </c>
      <c r="B2103" s="63">
        <f t="shared" si="283"/>
        <v>8</v>
      </c>
      <c r="C2103" s="64">
        <v>42586</v>
      </c>
      <c r="D2103" s="64" t="s">
        <v>705</v>
      </c>
      <c r="E2103" s="64">
        <f t="shared" si="284"/>
        <v>42586</v>
      </c>
      <c r="F2103" s="67" t="s">
        <v>1199</v>
      </c>
      <c r="G2103" s="67" t="s">
        <v>919</v>
      </c>
      <c r="H2103" s="73"/>
      <c r="I2103" s="439"/>
      <c r="J2103" s="439"/>
      <c r="K2103" s="430"/>
      <c r="L2103" s="439"/>
      <c r="M2103" s="65">
        <v>20000</v>
      </c>
      <c r="N2103" s="66" t="s">
        <v>101</v>
      </c>
      <c r="O2103" s="66" t="s">
        <v>26</v>
      </c>
      <c r="P2103" s="84" t="str">
        <f>IF(AND('331-CT'!$E$7=TH!H2103,OR(N2103="331",O2103="331")),"x","")</f>
        <v/>
      </c>
      <c r="Q2103" s="84" t="str">
        <f>IF(AND(B2103='111'!$L$11,OR($N2103=$Q$7,$O2103=$Q$7)),"x","")</f>
        <v/>
      </c>
      <c r="R2103" s="84" t="str">
        <f>IF(AND($N2103=$Q$7,$B2103&lt;'111'!$L$11),"x","")</f>
        <v/>
      </c>
      <c r="S2103" s="84" t="str">
        <f>IF(AND($O2103=$Q$7,$B2103&lt;'111'!$L$11),"x","")</f>
        <v/>
      </c>
      <c r="T2103" s="84" t="str">
        <f>IF(ISERROR(FIND('112'!$M$9,G2103,1)),"",IF((AND(FIND('112'!$M$9,G2103,1)&gt;=1,B2103='112'!$K$9,OR($N2103='112'!$I$6,$O2103='112'!$I$6))),"x",""))</f>
        <v/>
      </c>
      <c r="U2103" s="84" t="str">
        <f>IF(ISERROR(FIND('112'!$M$9,G2103,1)),"",IF((AND(LEFT(G2103,2)=LEFT('112'!$M$9,2),B2103&lt;'112'!$K$9,$N2103='112'!$I$6)),"x",""))</f>
        <v/>
      </c>
      <c r="V2103" s="84" t="str">
        <f>IF(ISERROR(FIND('112'!$M$9,G2103,1)),"",IF((AND(RIGHT(G2103,2)=RIGHT('112'!$M$9,2),B2103&lt;'112'!$K$9,$O2103='112'!$I$6)),"x",""))</f>
        <v/>
      </c>
      <c r="W2103" s="84" t="str">
        <f>IF(AND('341-CT'!$H$9=H2103,OR(LEFT(N2103,3)=$W$7,LEFT(O2103,3)=$W$7)),"x","")</f>
        <v/>
      </c>
      <c r="X2103" s="84" t="str">
        <f>IF(OR(TH!N2103=TH!$X$7,O2103=TH!$X$7),"x","")</f>
        <v/>
      </c>
      <c r="Y2103" s="84" t="str">
        <f>IF(AND(OR(N2103="131",O2103="131"),H2103='131-CT'!$H$9),"x","")</f>
        <v/>
      </c>
      <c r="Z2103" s="84"/>
      <c r="AA2103" s="84" t="str">
        <f>IF(AND(MONTH(E2103)='IN-NX'!$J$5,'IN-NX'!$D$7=D2103),"x","")</f>
        <v/>
      </c>
      <c r="AB2103" s="84" t="str">
        <f>IF(AND(OR(LEFT(TH!N2103,2)="15",LEFT(TH!O2103,2)="15"),LEFT(TH!O2103,3)&lt;&gt;"111",'152-CT'!$J$8=TH!F2103),"x","")</f>
        <v/>
      </c>
      <c r="AC2103" s="84" t="str">
        <f>IF(AND(OR(LEFT(TH!N2103,2)="15",LEFT(TH!O2103,2)="15"),TK!$E$7=TH!F2103),"x","")</f>
        <v/>
      </c>
      <c r="AD2103" s="84" t="str">
        <f>IF(AND(N2103="1521",MONTH(C2103)='BK-NL'!$M$11),"x","")</f>
        <v/>
      </c>
      <c r="AF2103" s="351">
        <v>8</v>
      </c>
    </row>
    <row r="2104" spans="1:32" s="351" customFormat="1" ht="15.75" hidden="1" customHeight="1">
      <c r="A2104" s="336" t="str">
        <f>IF(B2104&lt;&gt;"",IF(AND(B2104='IN-TC'!$S$4,OR(TH!N2104="1111",TH!O2104="1111")),TH!D2104,""),"")</f>
        <v/>
      </c>
      <c r="B2104" s="63">
        <f t="shared" si="283"/>
        <v>8</v>
      </c>
      <c r="C2104" s="64">
        <v>42586</v>
      </c>
      <c r="D2104" s="64" t="s">
        <v>705</v>
      </c>
      <c r="E2104" s="64">
        <f t="shared" si="284"/>
        <v>42586</v>
      </c>
      <c r="F2104" s="67" t="s">
        <v>1200</v>
      </c>
      <c r="G2104" s="67" t="s">
        <v>919</v>
      </c>
      <c r="H2104" s="73"/>
      <c r="I2104" s="439"/>
      <c r="J2104" s="439"/>
      <c r="K2104" s="430"/>
      <c r="L2104" s="439"/>
      <c r="M2104" s="65">
        <v>2000</v>
      </c>
      <c r="N2104" s="84" t="s">
        <v>2001</v>
      </c>
      <c r="O2104" s="66" t="s">
        <v>26</v>
      </c>
      <c r="P2104" s="84" t="str">
        <f>IF(AND('331-CT'!$E$7=TH!H2104,OR(N2104="331",O2104="331")),"x","")</f>
        <v/>
      </c>
      <c r="Q2104" s="84" t="str">
        <f>IF(AND(B2104='111'!$L$11,OR($N2104=$Q$7,$O2104=$Q$7)),"x","")</f>
        <v/>
      </c>
      <c r="R2104" s="84" t="str">
        <f>IF(AND($N2104=$Q$7,$B2104&lt;'111'!$L$11),"x","")</f>
        <v/>
      </c>
      <c r="S2104" s="84" t="str">
        <f>IF(AND($O2104=$Q$7,$B2104&lt;'111'!$L$11),"x","")</f>
        <v/>
      </c>
      <c r="T2104" s="84" t="str">
        <f>IF(ISERROR(FIND('112'!$M$9,G2104,1)),"",IF((AND(FIND('112'!$M$9,G2104,1)&gt;=1,B2104='112'!$K$9,OR($N2104='112'!$I$6,$O2104='112'!$I$6))),"x",""))</f>
        <v/>
      </c>
      <c r="U2104" s="84" t="str">
        <f>IF(ISERROR(FIND('112'!$M$9,G2104,1)),"",IF((AND(LEFT(G2104,2)=LEFT('112'!$M$9,2),B2104&lt;'112'!$K$9,$N2104='112'!$I$6)),"x",""))</f>
        <v/>
      </c>
      <c r="V2104" s="84" t="str">
        <f>IF(ISERROR(FIND('112'!$M$9,G2104,1)),"",IF((AND(RIGHT(G2104,2)=RIGHT('112'!$M$9,2),B2104&lt;'112'!$K$9,$O2104='112'!$I$6)),"x",""))</f>
        <v/>
      </c>
      <c r="W2104" s="84" t="str">
        <f>IF(AND('341-CT'!$H$9=H2104,OR(LEFT(N2104,3)=$W$7,LEFT(O2104,3)=$W$7)),"x","")</f>
        <v/>
      </c>
      <c r="X2104" s="84" t="str">
        <f>IF(OR(TH!N2104=TH!$X$7,O2104=TH!$X$7),"x","")</f>
        <v/>
      </c>
      <c r="Y2104" s="84" t="str">
        <f>IF(AND(OR(N2104="131",O2104="131"),H2104='131-CT'!$H$9),"x","")</f>
        <v/>
      </c>
      <c r="Z2104" s="84"/>
      <c r="AA2104" s="84" t="str">
        <f>IF(AND(MONTH(E2104)='IN-NX'!$J$5,'IN-NX'!$D$7=D2104),"x","")</f>
        <v/>
      </c>
      <c r="AB2104" s="84" t="str">
        <f>IF(AND(OR(LEFT(TH!N2104,2)="15",LEFT(TH!O2104,2)="15"),LEFT(TH!O2104,3)&lt;&gt;"111",'152-CT'!$J$8=TH!F2104),"x","")</f>
        <v/>
      </c>
      <c r="AC2104" s="84" t="str">
        <f>IF(AND(OR(LEFT(TH!N2104,2)="15",LEFT(TH!O2104,2)="15"),TK!$E$7=TH!F2104),"x","")</f>
        <v/>
      </c>
      <c r="AD2104" s="84" t="str">
        <f>IF(AND(N2104="1521",MONTH(C2104)='BK-NL'!$M$11),"x","")</f>
        <v/>
      </c>
      <c r="AF2104" s="351">
        <v>8</v>
      </c>
    </row>
    <row r="2105" spans="1:32" s="351" customFormat="1" ht="15.75" hidden="1" customHeight="1">
      <c r="A2105" s="336" t="str">
        <f>IF(B2105&lt;&gt;"",IF(AND(B2105='IN-TC'!$S$4,OR(TH!N2105="1111",TH!O2105="1111")),TH!D2105,""),"")</f>
        <v/>
      </c>
      <c r="B2105" s="63">
        <f t="shared" si="283"/>
        <v>8</v>
      </c>
      <c r="C2105" s="64">
        <v>42594</v>
      </c>
      <c r="D2105" s="64" t="s">
        <v>705</v>
      </c>
      <c r="E2105" s="64">
        <f t="shared" si="284"/>
        <v>42594</v>
      </c>
      <c r="F2105" s="67" t="s">
        <v>1931</v>
      </c>
      <c r="G2105" s="67" t="s">
        <v>919</v>
      </c>
      <c r="H2105" s="344" t="s">
        <v>632</v>
      </c>
      <c r="I2105" s="439"/>
      <c r="J2105" s="439"/>
      <c r="K2105" s="430"/>
      <c r="L2105" s="439"/>
      <c r="M2105" s="65">
        <v>17432580</v>
      </c>
      <c r="N2105" s="66" t="s">
        <v>8</v>
      </c>
      <c r="O2105" s="66" t="s">
        <v>26</v>
      </c>
      <c r="P2105" s="84" t="str">
        <f>IF(AND('331-CT'!$E$7=TH!H2105,OR(N2105="331",O2105="331")),"x","")</f>
        <v/>
      </c>
      <c r="Q2105" s="84" t="str">
        <f>IF(AND(B2105='111'!$L$11,OR($N2105=$Q$7,$O2105=$Q$7)),"x","")</f>
        <v/>
      </c>
      <c r="R2105" s="84" t="str">
        <f>IF(AND($N2105=$Q$7,$B2105&lt;'111'!$L$11),"x","")</f>
        <v/>
      </c>
      <c r="S2105" s="84" t="str">
        <f>IF(AND($O2105=$Q$7,$B2105&lt;'111'!$L$11),"x","")</f>
        <v/>
      </c>
      <c r="T2105" s="84" t="str">
        <f>IF(ISERROR(FIND('112'!$M$9,G2105,1)),"",IF((AND(FIND('112'!$M$9,G2105,1)&gt;=1,B2105='112'!$K$9,OR($N2105='112'!$I$6,$O2105='112'!$I$6))),"x",""))</f>
        <v/>
      </c>
      <c r="U2105" s="84" t="str">
        <f>IF(ISERROR(FIND('112'!$M$9,G2105,1)),"",IF((AND(LEFT(G2105,2)=LEFT('112'!$M$9,2),B2105&lt;'112'!$K$9,$N2105='112'!$I$6)),"x",""))</f>
        <v/>
      </c>
      <c r="V2105" s="84" t="str">
        <f>IF(ISERROR(FIND('112'!$M$9,G2105,1)),"",IF((AND(RIGHT(G2105,2)=RIGHT('112'!$M$9,2),B2105&lt;'112'!$K$9,$O2105='112'!$I$6)),"x",""))</f>
        <v/>
      </c>
      <c r="W2105" s="84" t="str">
        <f>IF(AND('341-CT'!$H$9=H2105,OR(LEFT(N2105,3)=$W$7,LEFT(O2105,3)=$W$7)),"x","")</f>
        <v/>
      </c>
      <c r="X2105" s="84" t="str">
        <f>IF(OR(TH!N2105=TH!$X$7,O2105=TH!$X$7),"x","")</f>
        <v/>
      </c>
      <c r="Y2105" s="84" t="str">
        <f>IF(AND(OR(N2105="131",O2105="131"),H2105='131-CT'!$H$9),"x","")</f>
        <v/>
      </c>
      <c r="Z2105" s="84"/>
      <c r="AA2105" s="84" t="str">
        <f>IF(AND(MONTH(E2105)='IN-NX'!$J$5,'IN-NX'!$D$7=D2105),"x","")</f>
        <v/>
      </c>
      <c r="AB2105" s="84" t="str">
        <f>IF(AND(OR(LEFT(TH!N2105,2)="15",LEFT(TH!O2105,2)="15"),LEFT(TH!O2105,3)&lt;&gt;"111",'152-CT'!$J$8=TH!F2105),"x","")</f>
        <v/>
      </c>
      <c r="AC2105" s="84" t="str">
        <f>IF(AND(OR(LEFT(TH!N2105,2)="15",LEFT(TH!O2105,2)="15"),TK!$E$7=TH!F2105),"x","")</f>
        <v/>
      </c>
      <c r="AD2105" s="84" t="str">
        <f>IF(AND(N2105="1521",MONTH(C2105)='BK-NL'!$M$11),"x","")</f>
        <v/>
      </c>
      <c r="AE2105" s="1146" t="str">
        <f>IF(H2105&lt;&gt;VLOOKUP(H2105,DSKH,1,0),"","x")</f>
        <v>x</v>
      </c>
    </row>
    <row r="2106" spans="1:32" s="351" customFormat="1" ht="15.75" customHeight="1">
      <c r="A2106" s="336" t="str">
        <f>IF(B2106&lt;&gt;"",IF(AND(B2106='IN-TC'!$S$4,OR(TH!N2106="1111",TH!O2106="1111")),TH!D2106,""),"")</f>
        <v/>
      </c>
      <c r="B2106" s="63">
        <f t="shared" si="283"/>
        <v>8</v>
      </c>
      <c r="C2106" s="64">
        <v>42594</v>
      </c>
      <c r="D2106" s="64" t="s">
        <v>705</v>
      </c>
      <c r="E2106" s="64">
        <f t="shared" si="284"/>
        <v>42594</v>
      </c>
      <c r="F2106" s="67" t="s">
        <v>1199</v>
      </c>
      <c r="G2106" s="67" t="s">
        <v>919</v>
      </c>
      <c r="H2106" s="73"/>
      <c r="I2106" s="439"/>
      <c r="J2106" s="439"/>
      <c r="K2106" s="430"/>
      <c r="L2106" s="439"/>
      <c r="M2106" s="65">
        <v>25000</v>
      </c>
      <c r="N2106" s="66" t="s">
        <v>101</v>
      </c>
      <c r="O2106" s="66" t="s">
        <v>26</v>
      </c>
      <c r="P2106" s="84" t="str">
        <f>IF(AND('331-CT'!$E$7=TH!H2106,OR(N2106="331",O2106="331")),"x","")</f>
        <v/>
      </c>
      <c r="Q2106" s="84" t="str">
        <f>IF(AND(B2106='111'!$L$11,OR($N2106=$Q$7,$O2106=$Q$7)),"x","")</f>
        <v/>
      </c>
      <c r="R2106" s="84" t="str">
        <f>IF(AND($N2106=$Q$7,$B2106&lt;'111'!$L$11),"x","")</f>
        <v/>
      </c>
      <c r="S2106" s="84" t="str">
        <f>IF(AND($O2106=$Q$7,$B2106&lt;'111'!$L$11),"x","")</f>
        <v/>
      </c>
      <c r="T2106" s="84" t="str">
        <f>IF(ISERROR(FIND('112'!$M$9,G2106,1)),"",IF((AND(FIND('112'!$M$9,G2106,1)&gt;=1,B2106='112'!$K$9,OR($N2106='112'!$I$6,$O2106='112'!$I$6))),"x",""))</f>
        <v/>
      </c>
      <c r="U2106" s="84" t="str">
        <f>IF(ISERROR(FIND('112'!$M$9,G2106,1)),"",IF((AND(LEFT(G2106,2)=LEFT('112'!$M$9,2),B2106&lt;'112'!$K$9,$N2106='112'!$I$6)),"x",""))</f>
        <v/>
      </c>
      <c r="V2106" s="84" t="str">
        <f>IF(ISERROR(FIND('112'!$M$9,G2106,1)),"",IF((AND(RIGHT(G2106,2)=RIGHT('112'!$M$9,2),B2106&lt;'112'!$K$9,$O2106='112'!$I$6)),"x",""))</f>
        <v/>
      </c>
      <c r="W2106" s="84" t="str">
        <f>IF(AND('341-CT'!$H$9=H2106,OR(LEFT(N2106,3)=$W$7,LEFT(O2106,3)=$W$7)),"x","")</f>
        <v/>
      </c>
      <c r="X2106" s="84" t="str">
        <f>IF(OR(TH!N2106=TH!$X$7,O2106=TH!$X$7),"x","")</f>
        <v/>
      </c>
      <c r="Y2106" s="84" t="str">
        <f>IF(AND(OR(N2106="131",O2106="131"),H2106='131-CT'!$H$9),"x","")</f>
        <v/>
      </c>
      <c r="Z2106" s="84"/>
      <c r="AA2106" s="84" t="str">
        <f>IF(AND(MONTH(E2106)='IN-NX'!$J$5,'IN-NX'!$D$7=D2106),"x","")</f>
        <v/>
      </c>
      <c r="AB2106" s="84" t="str">
        <f>IF(AND(OR(LEFT(TH!N2106,2)="15",LEFT(TH!O2106,2)="15"),LEFT(TH!O2106,3)&lt;&gt;"111",'152-CT'!$J$8=TH!F2106),"x","")</f>
        <v/>
      </c>
      <c r="AC2106" s="84" t="str">
        <f>IF(AND(OR(LEFT(TH!N2106,2)="15",LEFT(TH!O2106,2)="15"),TK!$E$7=TH!F2106),"x","")</f>
        <v/>
      </c>
      <c r="AD2106" s="84" t="str">
        <f>IF(AND(N2106="1521",MONTH(C2106)='BK-NL'!$M$11),"x","")</f>
        <v/>
      </c>
      <c r="AF2106" s="351">
        <v>8</v>
      </c>
    </row>
    <row r="2107" spans="1:32" s="351" customFormat="1" ht="15.75" hidden="1" customHeight="1">
      <c r="A2107" s="336" t="str">
        <f>IF(B2107&lt;&gt;"",IF(AND(B2107='IN-TC'!$S$4,OR(TH!N2107="1111",TH!O2107="1111")),TH!D2107,""),"")</f>
        <v/>
      </c>
      <c r="B2107" s="63">
        <f t="shared" si="283"/>
        <v>8</v>
      </c>
      <c r="C2107" s="64">
        <v>42594</v>
      </c>
      <c r="D2107" s="64" t="s">
        <v>705</v>
      </c>
      <c r="E2107" s="64">
        <f t="shared" si="284"/>
        <v>42594</v>
      </c>
      <c r="F2107" s="67" t="s">
        <v>1200</v>
      </c>
      <c r="G2107" s="67" t="s">
        <v>919</v>
      </c>
      <c r="H2107" s="73"/>
      <c r="I2107" s="439"/>
      <c r="J2107" s="439"/>
      <c r="K2107" s="430"/>
      <c r="L2107" s="439"/>
      <c r="M2107" s="65">
        <v>2500</v>
      </c>
      <c r="N2107" s="84" t="s">
        <v>2001</v>
      </c>
      <c r="O2107" s="66" t="s">
        <v>26</v>
      </c>
      <c r="P2107" s="84" t="str">
        <f>IF(AND('331-CT'!$E$7=TH!H2107,OR(N2107="331",O2107="331")),"x","")</f>
        <v/>
      </c>
      <c r="Q2107" s="84" t="str">
        <f>IF(AND(B2107='111'!$L$11,OR($N2107=$Q$7,$O2107=$Q$7)),"x","")</f>
        <v/>
      </c>
      <c r="R2107" s="84" t="str">
        <f>IF(AND($N2107=$Q$7,$B2107&lt;'111'!$L$11),"x","")</f>
        <v/>
      </c>
      <c r="S2107" s="84" t="str">
        <f>IF(AND($O2107=$Q$7,$B2107&lt;'111'!$L$11),"x","")</f>
        <v/>
      </c>
      <c r="T2107" s="84" t="str">
        <f>IF(ISERROR(FIND('112'!$M$9,G2107,1)),"",IF((AND(FIND('112'!$M$9,G2107,1)&gt;=1,B2107='112'!$K$9,OR($N2107='112'!$I$6,$O2107='112'!$I$6))),"x",""))</f>
        <v/>
      </c>
      <c r="U2107" s="84" t="str">
        <f>IF(ISERROR(FIND('112'!$M$9,G2107,1)),"",IF((AND(LEFT(G2107,2)=LEFT('112'!$M$9,2),B2107&lt;'112'!$K$9,$N2107='112'!$I$6)),"x",""))</f>
        <v/>
      </c>
      <c r="V2107" s="84" t="str">
        <f>IF(ISERROR(FIND('112'!$M$9,G2107,1)),"",IF((AND(RIGHT(G2107,2)=RIGHT('112'!$M$9,2),B2107&lt;'112'!$K$9,$O2107='112'!$I$6)),"x",""))</f>
        <v/>
      </c>
      <c r="W2107" s="84" t="str">
        <f>IF(AND('341-CT'!$H$9=H2107,OR(LEFT(N2107,3)=$W$7,LEFT(O2107,3)=$W$7)),"x","")</f>
        <v/>
      </c>
      <c r="X2107" s="84" t="str">
        <f>IF(OR(TH!N2107=TH!$X$7,O2107=TH!$X$7),"x","")</f>
        <v/>
      </c>
      <c r="Y2107" s="84" t="str">
        <f>IF(AND(OR(N2107="131",O2107="131"),H2107='131-CT'!$H$9),"x","")</f>
        <v/>
      </c>
      <c r="Z2107" s="84"/>
      <c r="AA2107" s="84" t="str">
        <f>IF(AND(MONTH(E2107)='IN-NX'!$J$5,'IN-NX'!$D$7=D2107),"x","")</f>
        <v/>
      </c>
      <c r="AB2107" s="84" t="str">
        <f>IF(AND(OR(LEFT(TH!N2107,2)="15",LEFT(TH!O2107,2)="15"),LEFT(TH!O2107,3)&lt;&gt;"111",'152-CT'!$J$8=TH!F2107),"x","")</f>
        <v/>
      </c>
      <c r="AC2107" s="84" t="str">
        <f>IF(AND(OR(LEFT(TH!N2107,2)="15",LEFT(TH!O2107,2)="15"),TK!$E$7=TH!F2107),"x","")</f>
        <v/>
      </c>
      <c r="AD2107" s="84" t="str">
        <f>IF(AND(N2107="1521",MONTH(C2107)='BK-NL'!$M$11),"x","")</f>
        <v/>
      </c>
      <c r="AF2107" s="351">
        <v>8</v>
      </c>
    </row>
    <row r="2108" spans="1:32" s="351" customFormat="1" ht="15.75" hidden="1" customHeight="1">
      <c r="A2108" s="336" t="str">
        <f>IF(B2108&lt;&gt;"",IF(AND(B2108='IN-TC'!$S$4,OR(TH!N2108="1111",TH!O2108="1111")),TH!D2108,""),"")</f>
        <v/>
      </c>
      <c r="B2108" s="63">
        <f t="shared" si="283"/>
        <v>8</v>
      </c>
      <c r="C2108" s="64">
        <v>42601</v>
      </c>
      <c r="D2108" s="64" t="s">
        <v>705</v>
      </c>
      <c r="E2108" s="64">
        <f t="shared" si="284"/>
        <v>42601</v>
      </c>
      <c r="F2108" s="67" t="s">
        <v>1450</v>
      </c>
      <c r="G2108" s="67" t="s">
        <v>919</v>
      </c>
      <c r="H2108" s="73" t="s">
        <v>1218</v>
      </c>
      <c r="I2108" s="439"/>
      <c r="J2108" s="439"/>
      <c r="K2108" s="430"/>
      <c r="L2108" s="439"/>
      <c r="M2108" s="65">
        <v>30000000</v>
      </c>
      <c r="N2108" s="66" t="s">
        <v>72</v>
      </c>
      <c r="O2108" s="66" t="s">
        <v>26</v>
      </c>
      <c r="P2108" s="84" t="str">
        <f>IF(AND('331-CT'!$E$7=TH!H2108,OR(N2108="331",O2108="331")),"x","")</f>
        <v/>
      </c>
      <c r="Q2108" s="84" t="str">
        <f>IF(AND(B2108='111'!$L$11,OR($N2108=$Q$7,$O2108=$Q$7)),"x","")</f>
        <v/>
      </c>
      <c r="R2108" s="84" t="str">
        <f>IF(AND($N2108=$Q$7,$B2108&lt;'111'!$L$11),"x","")</f>
        <v/>
      </c>
      <c r="S2108" s="84" t="str">
        <f>IF(AND($O2108=$Q$7,$B2108&lt;'111'!$L$11),"x","")</f>
        <v/>
      </c>
      <c r="T2108" s="84" t="str">
        <f>IF(ISERROR(FIND('112'!$M$9,G2108,1)),"",IF((AND(FIND('112'!$M$9,G2108,1)&gt;=1,B2108='112'!$K$9,OR($N2108='112'!$I$6,$O2108='112'!$I$6))),"x",""))</f>
        <v/>
      </c>
      <c r="U2108" s="84" t="str">
        <f>IF(ISERROR(FIND('112'!$M$9,G2108,1)),"",IF((AND(LEFT(G2108,2)=LEFT('112'!$M$9,2),B2108&lt;'112'!$K$9,$N2108='112'!$I$6)),"x",""))</f>
        <v/>
      </c>
      <c r="V2108" s="84" t="str">
        <f>IF(ISERROR(FIND('112'!$M$9,G2108,1)),"",IF((AND(RIGHT(G2108,2)=RIGHT('112'!$M$9,2),B2108&lt;'112'!$K$9,$O2108='112'!$I$6)),"x",""))</f>
        <v/>
      </c>
      <c r="W2108" s="84" t="str">
        <f>IF(AND('341-CT'!$H$9=H2108,OR(LEFT(N2108,3)=$W$7,LEFT(O2108,3)=$W$7)),"x","")</f>
        <v/>
      </c>
      <c r="X2108" s="84" t="str">
        <f>IF(OR(TH!N2108=TH!$X$7,O2108=TH!$X$7),"x","")</f>
        <v>x</v>
      </c>
      <c r="Y2108" s="84" t="str">
        <f>IF(AND(OR(N2108="131",O2108="131"),H2108='131-CT'!$H$9),"x","")</f>
        <v/>
      </c>
      <c r="Z2108" s="84"/>
      <c r="AA2108" s="84" t="str">
        <f>IF(AND(MONTH(E2108)='IN-NX'!$J$5,'IN-NX'!$D$7=D2108),"x","")</f>
        <v/>
      </c>
      <c r="AB2108" s="84" t="str">
        <f>IF(AND(OR(LEFT(TH!N2108,2)="15",LEFT(TH!O2108,2)="15"),LEFT(TH!O2108,3)&lt;&gt;"111",'152-CT'!$J$8=TH!F2108),"x","")</f>
        <v/>
      </c>
      <c r="AC2108" s="84" t="str">
        <f>IF(AND(OR(LEFT(TH!N2108,2)="15",LEFT(TH!O2108,2)="15"),TK!$E$7=TH!F2108),"x","")</f>
        <v/>
      </c>
      <c r="AD2108" s="84" t="str">
        <f>IF(AND(N2108="1521",MONTH(C2108)='BK-NL'!$M$11),"x","")</f>
        <v/>
      </c>
    </row>
    <row r="2109" spans="1:32" s="351" customFormat="1" ht="15.75" hidden="1" customHeight="1">
      <c r="A2109" s="336" t="str">
        <f>IF(B2109&lt;&gt;"",IF(AND(B2109='IN-TC'!$S$4,OR(TH!N2109="1111",TH!O2109="1111")),TH!D2109,""),"")</f>
        <v/>
      </c>
      <c r="B2109" s="63">
        <f t="shared" si="283"/>
        <v>8</v>
      </c>
      <c r="C2109" s="64">
        <v>42601</v>
      </c>
      <c r="D2109" s="64" t="s">
        <v>705</v>
      </c>
      <c r="E2109" s="64">
        <f t="shared" si="284"/>
        <v>42601</v>
      </c>
      <c r="F2109" s="67" t="s">
        <v>1216</v>
      </c>
      <c r="G2109" s="67" t="s">
        <v>919</v>
      </c>
      <c r="H2109" s="73" t="s">
        <v>626</v>
      </c>
      <c r="I2109" s="439"/>
      <c r="J2109" s="439"/>
      <c r="K2109" s="430"/>
      <c r="L2109" s="439"/>
      <c r="M2109" s="65">
        <v>59355400</v>
      </c>
      <c r="N2109" s="66" t="s">
        <v>8</v>
      </c>
      <c r="O2109" s="66" t="s">
        <v>26</v>
      </c>
      <c r="P2109" s="84" t="str">
        <f>IF(AND('331-CT'!$E$7=TH!H2109,OR(N2109="331",O2109="331")),"x","")</f>
        <v/>
      </c>
      <c r="Q2109" s="84" t="str">
        <f>IF(AND(B2109='111'!$L$11,OR($N2109=$Q$7,$O2109=$Q$7)),"x","")</f>
        <v/>
      </c>
      <c r="R2109" s="84" t="str">
        <f>IF(AND($N2109=$Q$7,$B2109&lt;'111'!$L$11),"x","")</f>
        <v/>
      </c>
      <c r="S2109" s="84" t="str">
        <f>IF(AND($O2109=$Q$7,$B2109&lt;'111'!$L$11),"x","")</f>
        <v/>
      </c>
      <c r="T2109" s="84" t="str">
        <f>IF(ISERROR(FIND('112'!$M$9,G2109,1)),"",IF((AND(FIND('112'!$M$9,G2109,1)&gt;=1,B2109='112'!$K$9,OR($N2109='112'!$I$6,$O2109='112'!$I$6))),"x",""))</f>
        <v/>
      </c>
      <c r="U2109" s="84" t="str">
        <f>IF(ISERROR(FIND('112'!$M$9,G2109,1)),"",IF((AND(LEFT(G2109,2)=LEFT('112'!$M$9,2),B2109&lt;'112'!$K$9,$N2109='112'!$I$6)),"x",""))</f>
        <v/>
      </c>
      <c r="V2109" s="84" t="str">
        <f>IF(ISERROR(FIND('112'!$M$9,G2109,1)),"",IF((AND(RIGHT(G2109,2)=RIGHT('112'!$M$9,2),B2109&lt;'112'!$K$9,$O2109='112'!$I$6)),"x",""))</f>
        <v/>
      </c>
      <c r="W2109" s="84" t="str">
        <f>IF(AND('341-CT'!$H$9=H2109,OR(LEFT(N2109,3)=$W$7,LEFT(O2109,3)=$W$7)),"x","")</f>
        <v/>
      </c>
      <c r="X2109" s="84" t="str">
        <f>IF(OR(TH!N2109=TH!$X$7,O2109=TH!$X$7),"x","")</f>
        <v/>
      </c>
      <c r="Y2109" s="84" t="str">
        <f>IF(AND(OR(N2109="131",O2109="131"),H2109='131-CT'!$H$9),"x","")</f>
        <v/>
      </c>
      <c r="Z2109" s="84"/>
      <c r="AA2109" s="84" t="str">
        <f>IF(AND(MONTH(E2109)='IN-NX'!$J$5,'IN-NX'!$D$7=D2109),"x","")</f>
        <v/>
      </c>
      <c r="AB2109" s="84" t="str">
        <f>IF(AND(OR(LEFT(TH!N2109,2)="15",LEFT(TH!O2109,2)="15"),LEFT(TH!O2109,3)&lt;&gt;"111",'152-CT'!$J$8=TH!F2109),"x","")</f>
        <v/>
      </c>
      <c r="AC2109" s="84" t="str">
        <f>IF(AND(OR(LEFT(TH!N2109,2)="15",LEFT(TH!O2109,2)="15"),TK!$E$7=TH!F2109),"x","")</f>
        <v/>
      </c>
      <c r="AD2109" s="84" t="str">
        <f>IF(AND(N2109="1521",MONTH(C2109)='BK-NL'!$M$11),"x","")</f>
        <v/>
      </c>
      <c r="AE2109" s="1146" t="str">
        <f>IF(H2109&lt;&gt;VLOOKUP(H2109,DSKH,1,0),"","x")</f>
        <v>x</v>
      </c>
    </row>
    <row r="2110" spans="1:32" s="351" customFormat="1" ht="15.75" customHeight="1">
      <c r="A2110" s="336" t="str">
        <f>IF(B2110&lt;&gt;"",IF(AND(B2110='IN-TC'!$S$4,OR(TH!N2110="1111",TH!O2110="1111")),TH!D2110,""),"")</f>
        <v/>
      </c>
      <c r="B2110" s="63">
        <f t="shared" si="283"/>
        <v>8</v>
      </c>
      <c r="C2110" s="64">
        <v>42601</v>
      </c>
      <c r="D2110" s="64" t="s">
        <v>705</v>
      </c>
      <c r="E2110" s="64">
        <f t="shared" si="284"/>
        <v>42601</v>
      </c>
      <c r="F2110" s="67" t="s">
        <v>1199</v>
      </c>
      <c r="G2110" s="67" t="s">
        <v>919</v>
      </c>
      <c r="H2110" s="73"/>
      <c r="I2110" s="439"/>
      <c r="J2110" s="439"/>
      <c r="K2110" s="430"/>
      <c r="L2110" s="439"/>
      <c r="M2110" s="65">
        <v>20000</v>
      </c>
      <c r="N2110" s="66" t="s">
        <v>101</v>
      </c>
      <c r="O2110" s="66" t="s">
        <v>26</v>
      </c>
      <c r="P2110" s="84" t="str">
        <f>IF(AND('331-CT'!$E$7=TH!H2110,OR(N2110="331",O2110="331")),"x","")</f>
        <v/>
      </c>
      <c r="Q2110" s="84" t="str">
        <f>IF(AND(B2110='111'!$L$11,OR($N2110=$Q$7,$O2110=$Q$7)),"x","")</f>
        <v/>
      </c>
      <c r="R2110" s="84" t="str">
        <f>IF(AND($N2110=$Q$7,$B2110&lt;'111'!$L$11),"x","")</f>
        <v/>
      </c>
      <c r="S2110" s="84" t="str">
        <f>IF(AND($O2110=$Q$7,$B2110&lt;'111'!$L$11),"x","")</f>
        <v/>
      </c>
      <c r="T2110" s="84" t="str">
        <f>IF(ISERROR(FIND('112'!$M$9,G2110,1)),"",IF((AND(FIND('112'!$M$9,G2110,1)&gt;=1,B2110='112'!$K$9,OR($N2110='112'!$I$6,$O2110='112'!$I$6))),"x",""))</f>
        <v/>
      </c>
      <c r="U2110" s="84" t="str">
        <f>IF(ISERROR(FIND('112'!$M$9,G2110,1)),"",IF((AND(LEFT(G2110,2)=LEFT('112'!$M$9,2),B2110&lt;'112'!$K$9,$N2110='112'!$I$6)),"x",""))</f>
        <v/>
      </c>
      <c r="V2110" s="84" t="str">
        <f>IF(ISERROR(FIND('112'!$M$9,G2110,1)),"",IF((AND(RIGHT(G2110,2)=RIGHT('112'!$M$9,2),B2110&lt;'112'!$K$9,$O2110='112'!$I$6)),"x",""))</f>
        <v/>
      </c>
      <c r="W2110" s="84" t="str">
        <f>IF(AND('341-CT'!$H$9=H2110,OR(LEFT(N2110,3)=$W$7,LEFT(O2110,3)=$W$7)),"x","")</f>
        <v/>
      </c>
      <c r="X2110" s="84" t="str">
        <f>IF(OR(TH!N2110=TH!$X$7,O2110=TH!$X$7),"x","")</f>
        <v/>
      </c>
      <c r="Y2110" s="84" t="str">
        <f>IF(AND(OR(N2110="131",O2110="131"),H2110='131-CT'!$H$9),"x","")</f>
        <v/>
      </c>
      <c r="Z2110" s="84"/>
      <c r="AA2110" s="84" t="str">
        <f>IF(AND(MONTH(E2110)='IN-NX'!$J$5,'IN-NX'!$D$7=D2110),"x","")</f>
        <v/>
      </c>
      <c r="AB2110" s="84" t="str">
        <f>IF(AND(OR(LEFT(TH!N2110,2)="15",LEFT(TH!O2110,2)="15"),LEFT(TH!O2110,3)&lt;&gt;"111",'152-CT'!$J$8=TH!F2110),"x","")</f>
        <v/>
      </c>
      <c r="AC2110" s="84" t="str">
        <f>IF(AND(OR(LEFT(TH!N2110,2)="15",LEFT(TH!O2110,2)="15"),TK!$E$7=TH!F2110),"x","")</f>
        <v/>
      </c>
      <c r="AD2110" s="84" t="str">
        <f>IF(AND(N2110="1521",MONTH(C2110)='BK-NL'!$M$11),"x","")</f>
        <v/>
      </c>
      <c r="AF2110" s="351">
        <v>8</v>
      </c>
    </row>
    <row r="2111" spans="1:32" s="351" customFormat="1" ht="15.75" hidden="1" customHeight="1">
      <c r="A2111" s="336" t="str">
        <f>IF(B2111&lt;&gt;"",IF(AND(B2111='IN-TC'!$S$4,OR(TH!N2111="1111",TH!O2111="1111")),TH!D2111,""),"")</f>
        <v/>
      </c>
      <c r="B2111" s="63">
        <f t="shared" si="283"/>
        <v>8</v>
      </c>
      <c r="C2111" s="64">
        <v>42601</v>
      </c>
      <c r="D2111" s="64" t="s">
        <v>705</v>
      </c>
      <c r="E2111" s="64">
        <f t="shared" si="284"/>
        <v>42601</v>
      </c>
      <c r="F2111" s="67" t="s">
        <v>1200</v>
      </c>
      <c r="G2111" s="67" t="s">
        <v>919</v>
      </c>
      <c r="H2111" s="73"/>
      <c r="I2111" s="439"/>
      <c r="J2111" s="439"/>
      <c r="K2111" s="430"/>
      <c r="L2111" s="439"/>
      <c r="M2111" s="65">
        <v>2000</v>
      </c>
      <c r="N2111" s="84" t="s">
        <v>2001</v>
      </c>
      <c r="O2111" s="66" t="s">
        <v>26</v>
      </c>
      <c r="P2111" s="84" t="str">
        <f>IF(AND('331-CT'!$E$7=TH!H2111,OR(N2111="331",O2111="331")),"x","")</f>
        <v/>
      </c>
      <c r="Q2111" s="84" t="str">
        <f>IF(AND(B2111='111'!$L$11,OR($N2111=$Q$7,$O2111=$Q$7)),"x","")</f>
        <v/>
      </c>
      <c r="R2111" s="84" t="str">
        <f>IF(AND($N2111=$Q$7,$B2111&lt;'111'!$L$11),"x","")</f>
        <v/>
      </c>
      <c r="S2111" s="84" t="str">
        <f>IF(AND($O2111=$Q$7,$B2111&lt;'111'!$L$11),"x","")</f>
        <v/>
      </c>
      <c r="T2111" s="84" t="str">
        <f>IF(ISERROR(FIND('112'!$M$9,G2111,1)),"",IF((AND(FIND('112'!$M$9,G2111,1)&gt;=1,B2111='112'!$K$9,OR($N2111='112'!$I$6,$O2111='112'!$I$6))),"x",""))</f>
        <v/>
      </c>
      <c r="U2111" s="84" t="str">
        <f>IF(ISERROR(FIND('112'!$M$9,G2111,1)),"",IF((AND(LEFT(G2111,2)=LEFT('112'!$M$9,2),B2111&lt;'112'!$K$9,$N2111='112'!$I$6)),"x",""))</f>
        <v/>
      </c>
      <c r="V2111" s="84" t="str">
        <f>IF(ISERROR(FIND('112'!$M$9,G2111,1)),"",IF((AND(RIGHT(G2111,2)=RIGHT('112'!$M$9,2),B2111&lt;'112'!$K$9,$O2111='112'!$I$6)),"x",""))</f>
        <v/>
      </c>
      <c r="W2111" s="84" t="str">
        <f>IF(AND('341-CT'!$H$9=H2111,OR(LEFT(N2111,3)=$W$7,LEFT(O2111,3)=$W$7)),"x","")</f>
        <v/>
      </c>
      <c r="X2111" s="84" t="str">
        <f>IF(OR(TH!N2111=TH!$X$7,O2111=TH!$X$7),"x","")</f>
        <v/>
      </c>
      <c r="Y2111" s="84" t="str">
        <f>IF(AND(OR(N2111="131",O2111="131"),H2111='131-CT'!$H$9),"x","")</f>
        <v/>
      </c>
      <c r="Z2111" s="84"/>
      <c r="AA2111" s="84" t="str">
        <f>IF(AND(MONTH(E2111)='IN-NX'!$J$5,'IN-NX'!$D$7=D2111),"x","")</f>
        <v/>
      </c>
      <c r="AB2111" s="84" t="str">
        <f>IF(AND(OR(LEFT(TH!N2111,2)="15",LEFT(TH!O2111,2)="15"),LEFT(TH!O2111,3)&lt;&gt;"111",'152-CT'!$J$8=TH!F2111),"x","")</f>
        <v/>
      </c>
      <c r="AC2111" s="84" t="str">
        <f>IF(AND(OR(LEFT(TH!N2111,2)="15",LEFT(TH!O2111,2)="15"),TK!$E$7=TH!F2111),"x","")</f>
        <v/>
      </c>
      <c r="AD2111" s="84" t="str">
        <f>IF(AND(N2111="1521",MONTH(C2111)='BK-NL'!$M$11),"x","")</f>
        <v/>
      </c>
      <c r="AF2111" s="351">
        <v>8</v>
      </c>
    </row>
    <row r="2112" spans="1:32" s="351" customFormat="1" ht="15.75" hidden="1" customHeight="1">
      <c r="A2112" s="336" t="str">
        <f>IF(B2112&lt;&gt;"",IF(AND(B2112='IN-TC'!$S$4,OR(TH!N2112="1111",TH!O2112="1111")),TH!D2112,""),"")</f>
        <v/>
      </c>
      <c r="B2112" s="63">
        <f t="shared" si="283"/>
        <v>8</v>
      </c>
      <c r="C2112" s="64">
        <v>42601</v>
      </c>
      <c r="D2112" s="64" t="s">
        <v>705</v>
      </c>
      <c r="E2112" s="64">
        <f t="shared" si="284"/>
        <v>42601</v>
      </c>
      <c r="F2112" s="67" t="s">
        <v>1553</v>
      </c>
      <c r="G2112" s="67" t="s">
        <v>919</v>
      </c>
      <c r="H2112" s="73" t="s">
        <v>1423</v>
      </c>
      <c r="I2112" s="439"/>
      <c r="J2112" s="439"/>
      <c r="K2112" s="430"/>
      <c r="L2112" s="439"/>
      <c r="M2112" s="65">
        <v>50100000</v>
      </c>
      <c r="N2112" s="66" t="s">
        <v>8</v>
      </c>
      <c r="O2112" s="66" t="s">
        <v>26</v>
      </c>
      <c r="P2112" s="84" t="str">
        <f>IF(AND('331-CT'!$E$7=TH!H2112,OR(N2112="331",O2112="331")),"x","")</f>
        <v/>
      </c>
      <c r="Q2112" s="84" t="str">
        <f>IF(AND(B2112='111'!$L$11,OR($N2112=$Q$7,$O2112=$Q$7)),"x","")</f>
        <v/>
      </c>
      <c r="R2112" s="84" t="str">
        <f>IF(AND($N2112=$Q$7,$B2112&lt;'111'!$L$11),"x","")</f>
        <v/>
      </c>
      <c r="S2112" s="84" t="str">
        <f>IF(AND($O2112=$Q$7,$B2112&lt;'111'!$L$11),"x","")</f>
        <v/>
      </c>
      <c r="T2112" s="84" t="str">
        <f>IF(ISERROR(FIND('112'!$M$9,G2112,1)),"",IF((AND(FIND('112'!$M$9,G2112,1)&gt;=1,B2112='112'!$K$9,OR($N2112='112'!$I$6,$O2112='112'!$I$6))),"x",""))</f>
        <v/>
      </c>
      <c r="U2112" s="84" t="str">
        <f>IF(ISERROR(FIND('112'!$M$9,G2112,1)),"",IF((AND(LEFT(G2112,2)=LEFT('112'!$M$9,2),B2112&lt;'112'!$K$9,$N2112='112'!$I$6)),"x",""))</f>
        <v/>
      </c>
      <c r="V2112" s="84" t="str">
        <f>IF(ISERROR(FIND('112'!$M$9,G2112,1)),"",IF((AND(RIGHT(G2112,2)=RIGHT('112'!$M$9,2),B2112&lt;'112'!$K$9,$O2112='112'!$I$6)),"x",""))</f>
        <v/>
      </c>
      <c r="W2112" s="84" t="str">
        <f>IF(AND('341-CT'!$H$9=H2112,OR(LEFT(N2112,3)=$W$7,LEFT(O2112,3)=$W$7)),"x","")</f>
        <v/>
      </c>
      <c r="X2112" s="84" t="str">
        <f>IF(OR(TH!N2112=TH!$X$7,O2112=TH!$X$7),"x","")</f>
        <v/>
      </c>
      <c r="Y2112" s="84" t="str">
        <f>IF(AND(OR(N2112="131",O2112="131"),H2112='131-CT'!$H$9),"x","")</f>
        <v/>
      </c>
      <c r="Z2112" s="84"/>
      <c r="AA2112" s="84" t="str">
        <f>IF(AND(MONTH(E2112)='IN-NX'!$J$5,'IN-NX'!$D$7=D2112),"x","")</f>
        <v/>
      </c>
      <c r="AB2112" s="84" t="str">
        <f>IF(AND(OR(LEFT(TH!N2112,2)="15",LEFT(TH!O2112,2)="15"),LEFT(TH!O2112,3)&lt;&gt;"111",'152-CT'!$J$8=TH!F2112),"x","")</f>
        <v/>
      </c>
      <c r="AC2112" s="84" t="str">
        <f>IF(AND(OR(LEFT(TH!N2112,2)="15",LEFT(TH!O2112,2)="15"),TK!$E$7=TH!F2112),"x","")</f>
        <v/>
      </c>
      <c r="AD2112" s="84" t="str">
        <f>IF(AND(N2112="1521",MONTH(C2112)='BK-NL'!$M$11),"x","")</f>
        <v/>
      </c>
      <c r="AE2112" s="1146" t="str">
        <f>IF(H2112&lt;&gt;VLOOKUP(H2112,DSKH,1,0),"","x")</f>
        <v>x</v>
      </c>
    </row>
    <row r="2113" spans="1:32" s="351" customFormat="1" ht="15.75" customHeight="1">
      <c r="A2113" s="336" t="str">
        <f>IF(B2113&lt;&gt;"",IF(AND(B2113='IN-TC'!$S$4,OR(TH!N2113="1111",TH!O2113="1111")),TH!D2113,""),"")</f>
        <v/>
      </c>
      <c r="B2113" s="63">
        <f t="shared" si="283"/>
        <v>8</v>
      </c>
      <c r="C2113" s="64">
        <v>42601</v>
      </c>
      <c r="D2113" s="64" t="s">
        <v>705</v>
      </c>
      <c r="E2113" s="64">
        <f t="shared" si="284"/>
        <v>42601</v>
      </c>
      <c r="F2113" s="67" t="s">
        <v>1199</v>
      </c>
      <c r="G2113" s="67" t="s">
        <v>919</v>
      </c>
      <c r="H2113" s="73"/>
      <c r="I2113" s="439"/>
      <c r="J2113" s="439"/>
      <c r="K2113" s="430"/>
      <c r="L2113" s="439"/>
      <c r="M2113" s="65">
        <v>20000</v>
      </c>
      <c r="N2113" s="66" t="s">
        <v>101</v>
      </c>
      <c r="O2113" s="66" t="s">
        <v>26</v>
      </c>
      <c r="P2113" s="84" t="str">
        <f>IF(AND('331-CT'!$E$7=TH!H2113,OR(N2113="331",O2113="331")),"x","")</f>
        <v/>
      </c>
      <c r="Q2113" s="84" t="str">
        <f>IF(AND(B2113='111'!$L$11,OR($N2113=$Q$7,$O2113=$Q$7)),"x","")</f>
        <v/>
      </c>
      <c r="R2113" s="84" t="str">
        <f>IF(AND($N2113=$Q$7,$B2113&lt;'111'!$L$11),"x","")</f>
        <v/>
      </c>
      <c r="S2113" s="84" t="str">
        <f>IF(AND($O2113=$Q$7,$B2113&lt;'111'!$L$11),"x","")</f>
        <v/>
      </c>
      <c r="T2113" s="84" t="str">
        <f>IF(ISERROR(FIND('112'!$M$9,G2113,1)),"",IF((AND(FIND('112'!$M$9,G2113,1)&gt;=1,B2113='112'!$K$9,OR($N2113='112'!$I$6,$O2113='112'!$I$6))),"x",""))</f>
        <v/>
      </c>
      <c r="U2113" s="84" t="str">
        <f>IF(ISERROR(FIND('112'!$M$9,G2113,1)),"",IF((AND(LEFT(G2113,2)=LEFT('112'!$M$9,2),B2113&lt;'112'!$K$9,$N2113='112'!$I$6)),"x",""))</f>
        <v/>
      </c>
      <c r="V2113" s="84" t="str">
        <f>IF(ISERROR(FIND('112'!$M$9,G2113,1)),"",IF((AND(RIGHT(G2113,2)=RIGHT('112'!$M$9,2),B2113&lt;'112'!$K$9,$O2113='112'!$I$6)),"x",""))</f>
        <v/>
      </c>
      <c r="W2113" s="84" t="str">
        <f>IF(AND('341-CT'!$H$9=H2113,OR(LEFT(N2113,3)=$W$7,LEFT(O2113,3)=$W$7)),"x","")</f>
        <v/>
      </c>
      <c r="X2113" s="84" t="str">
        <f>IF(OR(TH!N2113=TH!$X$7,O2113=TH!$X$7),"x","")</f>
        <v/>
      </c>
      <c r="Y2113" s="84" t="str">
        <f>IF(AND(OR(N2113="131",O2113="131"),H2113='131-CT'!$H$9),"x","")</f>
        <v/>
      </c>
      <c r="Z2113" s="84"/>
      <c r="AA2113" s="84" t="str">
        <f>IF(AND(MONTH(E2113)='IN-NX'!$J$5,'IN-NX'!$D$7=D2113),"x","")</f>
        <v/>
      </c>
      <c r="AB2113" s="84" t="str">
        <f>IF(AND(OR(LEFT(TH!N2113,2)="15",LEFT(TH!O2113,2)="15"),LEFT(TH!O2113,3)&lt;&gt;"111",'152-CT'!$J$8=TH!F2113),"x","")</f>
        <v/>
      </c>
      <c r="AC2113" s="84" t="str">
        <f>IF(AND(OR(LEFT(TH!N2113,2)="15",LEFT(TH!O2113,2)="15"),TK!$E$7=TH!F2113),"x","")</f>
        <v/>
      </c>
      <c r="AD2113" s="84" t="str">
        <f>IF(AND(N2113="1521",MONTH(C2113)='BK-NL'!$M$11),"x","")</f>
        <v/>
      </c>
      <c r="AF2113" s="351">
        <v>8</v>
      </c>
    </row>
    <row r="2114" spans="1:32" s="351" customFormat="1" ht="15.75" hidden="1" customHeight="1">
      <c r="A2114" s="336" t="str">
        <f>IF(B2114&lt;&gt;"",IF(AND(B2114='IN-TC'!$S$4,OR(TH!N2114="1111",TH!O2114="1111")),TH!D2114,""),"")</f>
        <v/>
      </c>
      <c r="B2114" s="63">
        <f t="shared" si="283"/>
        <v>8</v>
      </c>
      <c r="C2114" s="64">
        <v>42601</v>
      </c>
      <c r="D2114" s="64" t="s">
        <v>705</v>
      </c>
      <c r="E2114" s="64">
        <f t="shared" si="284"/>
        <v>42601</v>
      </c>
      <c r="F2114" s="67" t="s">
        <v>1200</v>
      </c>
      <c r="G2114" s="67" t="s">
        <v>919</v>
      </c>
      <c r="H2114" s="73"/>
      <c r="I2114" s="439"/>
      <c r="J2114" s="439"/>
      <c r="K2114" s="430"/>
      <c r="L2114" s="439"/>
      <c r="M2114" s="65">
        <v>2000</v>
      </c>
      <c r="N2114" s="84" t="s">
        <v>2001</v>
      </c>
      <c r="O2114" s="66" t="s">
        <v>26</v>
      </c>
      <c r="P2114" s="84" t="str">
        <f>IF(AND('331-CT'!$E$7=TH!H2114,OR(N2114="331",O2114="331")),"x","")</f>
        <v/>
      </c>
      <c r="Q2114" s="84" t="str">
        <f>IF(AND(B2114='111'!$L$11,OR($N2114=$Q$7,$O2114=$Q$7)),"x","")</f>
        <v/>
      </c>
      <c r="R2114" s="84" t="str">
        <f>IF(AND($N2114=$Q$7,$B2114&lt;'111'!$L$11),"x","")</f>
        <v/>
      </c>
      <c r="S2114" s="84" t="str">
        <f>IF(AND($O2114=$Q$7,$B2114&lt;'111'!$L$11),"x","")</f>
        <v/>
      </c>
      <c r="T2114" s="84" t="str">
        <f>IF(ISERROR(FIND('112'!$M$9,G2114,1)),"",IF((AND(FIND('112'!$M$9,G2114,1)&gt;=1,B2114='112'!$K$9,OR($N2114='112'!$I$6,$O2114='112'!$I$6))),"x",""))</f>
        <v/>
      </c>
      <c r="U2114" s="84" t="str">
        <f>IF(ISERROR(FIND('112'!$M$9,G2114,1)),"",IF((AND(LEFT(G2114,2)=LEFT('112'!$M$9,2),B2114&lt;'112'!$K$9,$N2114='112'!$I$6)),"x",""))</f>
        <v/>
      </c>
      <c r="V2114" s="84" t="str">
        <f>IF(ISERROR(FIND('112'!$M$9,G2114,1)),"",IF((AND(RIGHT(G2114,2)=RIGHT('112'!$M$9,2),B2114&lt;'112'!$K$9,$O2114='112'!$I$6)),"x",""))</f>
        <v/>
      </c>
      <c r="W2114" s="84" t="str">
        <f>IF(AND('341-CT'!$H$9=H2114,OR(LEFT(N2114,3)=$W$7,LEFT(O2114,3)=$W$7)),"x","")</f>
        <v/>
      </c>
      <c r="X2114" s="84" t="str">
        <f>IF(OR(TH!N2114=TH!$X$7,O2114=TH!$X$7),"x","")</f>
        <v/>
      </c>
      <c r="Y2114" s="84" t="str">
        <f>IF(AND(OR(N2114="131",O2114="131"),H2114='131-CT'!$H$9),"x","")</f>
        <v/>
      </c>
      <c r="Z2114" s="84"/>
      <c r="AA2114" s="84" t="str">
        <f>IF(AND(MONTH(E2114)='IN-NX'!$J$5,'IN-NX'!$D$7=D2114),"x","")</f>
        <v/>
      </c>
      <c r="AB2114" s="84" t="str">
        <f>IF(AND(OR(LEFT(TH!N2114,2)="15",LEFT(TH!O2114,2)="15"),LEFT(TH!O2114,3)&lt;&gt;"111",'152-CT'!$J$8=TH!F2114),"x","")</f>
        <v/>
      </c>
      <c r="AC2114" s="84" t="str">
        <f>IF(AND(OR(LEFT(TH!N2114,2)="15",LEFT(TH!O2114,2)="15"),TK!$E$7=TH!F2114),"x","")</f>
        <v/>
      </c>
      <c r="AD2114" s="84" t="str">
        <f>IF(AND(N2114="1521",MONTH(C2114)='BK-NL'!$M$11),"x","")</f>
        <v/>
      </c>
      <c r="AF2114" s="351">
        <v>8</v>
      </c>
    </row>
    <row r="2115" spans="1:32" s="351" customFormat="1" ht="15.75" hidden="1" customHeight="1">
      <c r="A2115" s="336" t="str">
        <f>IF(B2115&lt;&gt;"",IF(AND(B2115='IN-TC'!$S$4,OR(TH!N2115="1111",TH!O2115="1111")),TH!D2115,""),"")</f>
        <v/>
      </c>
      <c r="B2115" s="63">
        <f t="shared" si="283"/>
        <v>8</v>
      </c>
      <c r="C2115" s="64">
        <v>42601</v>
      </c>
      <c r="D2115" s="64" t="s">
        <v>705</v>
      </c>
      <c r="E2115" s="64">
        <f t="shared" si="284"/>
        <v>42601</v>
      </c>
      <c r="F2115" s="67" t="s">
        <v>1553</v>
      </c>
      <c r="G2115" s="67" t="s">
        <v>919</v>
      </c>
      <c r="H2115" s="344" t="s">
        <v>623</v>
      </c>
      <c r="I2115" s="439"/>
      <c r="J2115" s="439"/>
      <c r="K2115" s="430"/>
      <c r="L2115" s="439"/>
      <c r="M2115" s="65">
        <v>50000000</v>
      </c>
      <c r="N2115" s="66" t="s">
        <v>8</v>
      </c>
      <c r="O2115" s="66" t="s">
        <v>26</v>
      </c>
      <c r="P2115" s="84" t="str">
        <f>IF(AND('331-CT'!$E$7=TH!H2115,OR(N2115="331",O2115="331")),"x","")</f>
        <v/>
      </c>
      <c r="Q2115" s="84" t="str">
        <f>IF(AND(B2115='111'!$L$11,OR($N2115=$Q$7,$O2115=$Q$7)),"x","")</f>
        <v/>
      </c>
      <c r="R2115" s="84" t="str">
        <f>IF(AND($N2115=$Q$7,$B2115&lt;'111'!$L$11),"x","")</f>
        <v/>
      </c>
      <c r="S2115" s="84" t="str">
        <f>IF(AND($O2115=$Q$7,$B2115&lt;'111'!$L$11),"x","")</f>
        <v/>
      </c>
      <c r="T2115" s="84" t="str">
        <f>IF(ISERROR(FIND('112'!$M$9,G2115,1)),"",IF((AND(FIND('112'!$M$9,G2115,1)&gt;=1,B2115='112'!$K$9,OR($N2115='112'!$I$6,$O2115='112'!$I$6))),"x",""))</f>
        <v/>
      </c>
      <c r="U2115" s="84" t="str">
        <f>IF(ISERROR(FIND('112'!$M$9,G2115,1)),"",IF((AND(LEFT(G2115,2)=LEFT('112'!$M$9,2),B2115&lt;'112'!$K$9,$N2115='112'!$I$6)),"x",""))</f>
        <v/>
      </c>
      <c r="V2115" s="84" t="str">
        <f>IF(ISERROR(FIND('112'!$M$9,G2115,1)),"",IF((AND(RIGHT(G2115,2)=RIGHT('112'!$M$9,2),B2115&lt;'112'!$K$9,$O2115='112'!$I$6)),"x",""))</f>
        <v/>
      </c>
      <c r="W2115" s="84" t="str">
        <f>IF(AND('341-CT'!$H$9=H2115,OR(LEFT(N2115,3)=$W$7,LEFT(O2115,3)=$W$7)),"x","")</f>
        <v/>
      </c>
      <c r="X2115" s="84" t="str">
        <f>IF(OR(TH!N2115=TH!$X$7,O2115=TH!$X$7),"x","")</f>
        <v/>
      </c>
      <c r="Y2115" s="84" t="str">
        <f>IF(AND(OR(N2115="131",O2115="131"),H2115='131-CT'!$H$9),"x","")</f>
        <v/>
      </c>
      <c r="Z2115" s="84"/>
      <c r="AA2115" s="84" t="str">
        <f>IF(AND(MONTH(E2115)='IN-NX'!$J$5,'IN-NX'!$D$7=D2115),"x","")</f>
        <v/>
      </c>
      <c r="AB2115" s="84" t="str">
        <f>IF(AND(OR(LEFT(TH!N2115,2)="15",LEFT(TH!O2115,2)="15"),LEFT(TH!O2115,3)&lt;&gt;"111",'152-CT'!$J$8=TH!F2115),"x","")</f>
        <v/>
      </c>
      <c r="AC2115" s="84" t="str">
        <f>IF(AND(OR(LEFT(TH!N2115,2)="15",LEFT(TH!O2115,2)="15"),TK!$E$7=TH!F2115),"x","")</f>
        <v/>
      </c>
      <c r="AD2115" s="84" t="str">
        <f>IF(AND(N2115="1521",MONTH(C2115)='BK-NL'!$M$11),"x","")</f>
        <v/>
      </c>
      <c r="AE2115" s="1146" t="str">
        <f>IF(H2115&lt;&gt;VLOOKUP(H2115,DSKH,1,0),"","x")</f>
        <v>x</v>
      </c>
    </row>
    <row r="2116" spans="1:32" s="351" customFormat="1" ht="15.75" customHeight="1">
      <c r="A2116" s="336" t="str">
        <f>IF(B2116&lt;&gt;"",IF(AND(B2116='IN-TC'!$S$4,OR(TH!N2116="1111",TH!O2116="1111")),TH!D2116,""),"")</f>
        <v/>
      </c>
      <c r="B2116" s="63">
        <f t="shared" si="283"/>
        <v>8</v>
      </c>
      <c r="C2116" s="64">
        <v>42601</v>
      </c>
      <c r="D2116" s="64" t="s">
        <v>705</v>
      </c>
      <c r="E2116" s="64">
        <f t="shared" si="284"/>
        <v>42601</v>
      </c>
      <c r="F2116" s="67" t="s">
        <v>1199</v>
      </c>
      <c r="G2116" s="67" t="s">
        <v>919</v>
      </c>
      <c r="H2116" s="73"/>
      <c r="I2116" s="439"/>
      <c r="J2116" s="439"/>
      <c r="K2116" s="430"/>
      <c r="L2116" s="439"/>
      <c r="M2116" s="65">
        <v>20000</v>
      </c>
      <c r="N2116" s="66" t="s">
        <v>101</v>
      </c>
      <c r="O2116" s="66" t="s">
        <v>26</v>
      </c>
      <c r="P2116" s="84" t="str">
        <f>IF(AND('331-CT'!$E$7=TH!H2116,OR(N2116="331",O2116="331")),"x","")</f>
        <v/>
      </c>
      <c r="Q2116" s="84" t="str">
        <f>IF(AND(B2116='111'!$L$11,OR($N2116=$Q$7,$O2116=$Q$7)),"x","")</f>
        <v/>
      </c>
      <c r="R2116" s="84" t="str">
        <f>IF(AND($N2116=$Q$7,$B2116&lt;'111'!$L$11),"x","")</f>
        <v/>
      </c>
      <c r="S2116" s="84" t="str">
        <f>IF(AND($O2116=$Q$7,$B2116&lt;'111'!$L$11),"x","")</f>
        <v/>
      </c>
      <c r="T2116" s="84" t="str">
        <f>IF(ISERROR(FIND('112'!$M$9,G2116,1)),"",IF((AND(FIND('112'!$M$9,G2116,1)&gt;=1,B2116='112'!$K$9,OR($N2116='112'!$I$6,$O2116='112'!$I$6))),"x",""))</f>
        <v/>
      </c>
      <c r="U2116" s="84" t="str">
        <f>IF(ISERROR(FIND('112'!$M$9,G2116,1)),"",IF((AND(LEFT(G2116,2)=LEFT('112'!$M$9,2),B2116&lt;'112'!$K$9,$N2116='112'!$I$6)),"x",""))</f>
        <v/>
      </c>
      <c r="V2116" s="84" t="str">
        <f>IF(ISERROR(FIND('112'!$M$9,G2116,1)),"",IF((AND(RIGHT(G2116,2)=RIGHT('112'!$M$9,2),B2116&lt;'112'!$K$9,$O2116='112'!$I$6)),"x",""))</f>
        <v/>
      </c>
      <c r="W2116" s="84" t="str">
        <f>IF(AND('341-CT'!$H$9=H2116,OR(LEFT(N2116,3)=$W$7,LEFT(O2116,3)=$W$7)),"x","")</f>
        <v/>
      </c>
      <c r="X2116" s="84" t="str">
        <f>IF(OR(TH!N2116=TH!$X$7,O2116=TH!$X$7),"x","")</f>
        <v/>
      </c>
      <c r="Y2116" s="84" t="str">
        <f>IF(AND(OR(N2116="131",O2116="131"),H2116='131-CT'!$H$9),"x","")</f>
        <v/>
      </c>
      <c r="Z2116" s="84"/>
      <c r="AA2116" s="84" t="str">
        <f>IF(AND(MONTH(E2116)='IN-NX'!$J$5,'IN-NX'!$D$7=D2116),"x","")</f>
        <v/>
      </c>
      <c r="AB2116" s="84" t="str">
        <f>IF(AND(OR(LEFT(TH!N2116,2)="15",LEFT(TH!O2116,2)="15"),LEFT(TH!O2116,3)&lt;&gt;"111",'152-CT'!$J$8=TH!F2116),"x","")</f>
        <v/>
      </c>
      <c r="AC2116" s="84" t="str">
        <f>IF(AND(OR(LEFT(TH!N2116,2)="15",LEFT(TH!O2116,2)="15"),TK!$E$7=TH!F2116),"x","")</f>
        <v/>
      </c>
      <c r="AD2116" s="84" t="str">
        <f>IF(AND(N2116="1521",MONTH(C2116)='BK-NL'!$M$11),"x","")</f>
        <v/>
      </c>
      <c r="AF2116" s="351">
        <v>8</v>
      </c>
    </row>
    <row r="2117" spans="1:32" s="351" customFormat="1" ht="15.75" hidden="1" customHeight="1">
      <c r="A2117" s="336" t="str">
        <f>IF(B2117&lt;&gt;"",IF(AND(B2117='IN-TC'!$S$4,OR(TH!N2117="1111",TH!O2117="1111")),TH!D2117,""),"")</f>
        <v/>
      </c>
      <c r="B2117" s="63">
        <f t="shared" si="283"/>
        <v>8</v>
      </c>
      <c r="C2117" s="64">
        <v>42601</v>
      </c>
      <c r="D2117" s="64" t="s">
        <v>705</v>
      </c>
      <c r="E2117" s="64">
        <f t="shared" si="284"/>
        <v>42601</v>
      </c>
      <c r="F2117" s="67" t="s">
        <v>1200</v>
      </c>
      <c r="G2117" s="67" t="s">
        <v>919</v>
      </c>
      <c r="H2117" s="73"/>
      <c r="I2117" s="439"/>
      <c r="J2117" s="439"/>
      <c r="K2117" s="430"/>
      <c r="L2117" s="439"/>
      <c r="M2117" s="65">
        <v>2000</v>
      </c>
      <c r="N2117" s="84" t="s">
        <v>2001</v>
      </c>
      <c r="O2117" s="66" t="s">
        <v>26</v>
      </c>
      <c r="P2117" s="84" t="str">
        <f>IF(AND('331-CT'!$E$7=TH!H2117,OR(N2117="331",O2117="331")),"x","")</f>
        <v/>
      </c>
      <c r="Q2117" s="84" t="str">
        <f>IF(AND(B2117='111'!$L$11,OR($N2117=$Q$7,$O2117=$Q$7)),"x","")</f>
        <v/>
      </c>
      <c r="R2117" s="84" t="str">
        <f>IF(AND($N2117=$Q$7,$B2117&lt;'111'!$L$11),"x","")</f>
        <v/>
      </c>
      <c r="S2117" s="84" t="str">
        <f>IF(AND($O2117=$Q$7,$B2117&lt;'111'!$L$11),"x","")</f>
        <v/>
      </c>
      <c r="T2117" s="84" t="str">
        <f>IF(ISERROR(FIND('112'!$M$9,G2117,1)),"",IF((AND(FIND('112'!$M$9,G2117,1)&gt;=1,B2117='112'!$K$9,OR($N2117='112'!$I$6,$O2117='112'!$I$6))),"x",""))</f>
        <v/>
      </c>
      <c r="U2117" s="84" t="str">
        <f>IF(ISERROR(FIND('112'!$M$9,G2117,1)),"",IF((AND(LEFT(G2117,2)=LEFT('112'!$M$9,2),B2117&lt;'112'!$K$9,$N2117='112'!$I$6)),"x",""))</f>
        <v/>
      </c>
      <c r="V2117" s="84" t="str">
        <f>IF(ISERROR(FIND('112'!$M$9,G2117,1)),"",IF((AND(RIGHT(G2117,2)=RIGHT('112'!$M$9,2),B2117&lt;'112'!$K$9,$O2117='112'!$I$6)),"x",""))</f>
        <v/>
      </c>
      <c r="W2117" s="84" t="str">
        <f>IF(AND('341-CT'!$H$9=H2117,OR(LEFT(N2117,3)=$W$7,LEFT(O2117,3)=$W$7)),"x","")</f>
        <v/>
      </c>
      <c r="X2117" s="84" t="str">
        <f>IF(OR(TH!N2117=TH!$X$7,O2117=TH!$X$7),"x","")</f>
        <v/>
      </c>
      <c r="Y2117" s="84" t="str">
        <f>IF(AND(OR(N2117="131",O2117="131"),H2117='131-CT'!$H$9),"x","")</f>
        <v/>
      </c>
      <c r="Z2117" s="84"/>
      <c r="AA2117" s="84" t="str">
        <f>IF(AND(MONTH(E2117)='IN-NX'!$J$5,'IN-NX'!$D$7=D2117),"x","")</f>
        <v/>
      </c>
      <c r="AB2117" s="84" t="str">
        <f>IF(AND(OR(LEFT(TH!N2117,2)="15",LEFT(TH!O2117,2)="15"),LEFT(TH!O2117,3)&lt;&gt;"111",'152-CT'!$J$8=TH!F2117),"x","")</f>
        <v/>
      </c>
      <c r="AC2117" s="84" t="str">
        <f>IF(AND(OR(LEFT(TH!N2117,2)="15",LEFT(TH!O2117,2)="15"),TK!$E$7=TH!F2117),"x","")</f>
        <v/>
      </c>
      <c r="AD2117" s="84" t="str">
        <f>IF(AND(N2117="1521",MONTH(C2117)='BK-NL'!$M$11),"x","")</f>
        <v/>
      </c>
      <c r="AF2117" s="351">
        <v>8</v>
      </c>
    </row>
    <row r="2118" spans="1:32" s="351" customFormat="1" ht="15.75" hidden="1" customHeight="1">
      <c r="A2118" s="336" t="str">
        <f>IF(B2118&lt;&gt;"",IF(AND(B2118='IN-TC'!$S$4,OR(TH!N2118="1111",TH!O2118="1111")),TH!D2118,""),"")</f>
        <v/>
      </c>
      <c r="B2118" s="63">
        <f t="shared" si="283"/>
        <v>8</v>
      </c>
      <c r="C2118" s="64">
        <v>42601</v>
      </c>
      <c r="D2118" s="64" t="s">
        <v>705</v>
      </c>
      <c r="E2118" s="64">
        <f t="shared" si="284"/>
        <v>42601</v>
      </c>
      <c r="F2118" s="67" t="s">
        <v>1553</v>
      </c>
      <c r="G2118" s="67" t="s">
        <v>919</v>
      </c>
      <c r="H2118" s="344" t="s">
        <v>622</v>
      </c>
      <c r="I2118" s="439"/>
      <c r="J2118" s="439"/>
      <c r="K2118" s="430"/>
      <c r="L2118" s="439"/>
      <c r="M2118" s="65">
        <v>6400000</v>
      </c>
      <c r="N2118" s="66" t="s">
        <v>8</v>
      </c>
      <c r="O2118" s="66" t="s">
        <v>26</v>
      </c>
      <c r="P2118" s="84" t="str">
        <f>IF(AND('331-CT'!$E$7=TH!H2118,OR(N2118="331",O2118="331")),"x","")</f>
        <v>x</v>
      </c>
      <c r="Q2118" s="84" t="str">
        <f>IF(AND(B2118='111'!$L$11,OR($N2118=$Q$7,$O2118=$Q$7)),"x","")</f>
        <v/>
      </c>
      <c r="R2118" s="84" t="str">
        <f>IF(AND($N2118=$Q$7,$B2118&lt;'111'!$L$11),"x","")</f>
        <v/>
      </c>
      <c r="S2118" s="84" t="str">
        <f>IF(AND($O2118=$Q$7,$B2118&lt;'111'!$L$11),"x","")</f>
        <v/>
      </c>
      <c r="T2118" s="84" t="str">
        <f>IF(ISERROR(FIND('112'!$M$9,G2118,1)),"",IF((AND(FIND('112'!$M$9,G2118,1)&gt;=1,B2118='112'!$K$9,OR($N2118='112'!$I$6,$O2118='112'!$I$6))),"x",""))</f>
        <v/>
      </c>
      <c r="U2118" s="84" t="str">
        <f>IF(ISERROR(FIND('112'!$M$9,G2118,1)),"",IF((AND(LEFT(G2118,2)=LEFT('112'!$M$9,2),B2118&lt;'112'!$K$9,$N2118='112'!$I$6)),"x",""))</f>
        <v/>
      </c>
      <c r="V2118" s="84" t="str">
        <f>IF(ISERROR(FIND('112'!$M$9,G2118,1)),"",IF((AND(RIGHT(G2118,2)=RIGHT('112'!$M$9,2),B2118&lt;'112'!$K$9,$O2118='112'!$I$6)),"x",""))</f>
        <v/>
      </c>
      <c r="W2118" s="84" t="str">
        <f>IF(AND('341-CT'!$H$9=H2118,OR(LEFT(N2118,3)=$W$7,LEFT(O2118,3)=$W$7)),"x","")</f>
        <v/>
      </c>
      <c r="X2118" s="84" t="str">
        <f>IF(OR(TH!N2118=TH!$X$7,O2118=TH!$X$7),"x","")</f>
        <v/>
      </c>
      <c r="Y2118" s="84" t="str">
        <f>IF(AND(OR(N2118="131",O2118="131"),H2118='131-CT'!$H$9),"x","")</f>
        <v/>
      </c>
      <c r="Z2118" s="84"/>
      <c r="AA2118" s="84" t="str">
        <f>IF(AND(MONTH(E2118)='IN-NX'!$J$5,'IN-NX'!$D$7=D2118),"x","")</f>
        <v/>
      </c>
      <c r="AB2118" s="84" t="str">
        <f>IF(AND(OR(LEFT(TH!N2118,2)="15",LEFT(TH!O2118,2)="15"),LEFT(TH!O2118,3)&lt;&gt;"111",'152-CT'!$J$8=TH!F2118),"x","")</f>
        <v/>
      </c>
      <c r="AC2118" s="84" t="str">
        <f>IF(AND(OR(LEFT(TH!N2118,2)="15",LEFT(TH!O2118,2)="15"),TK!$E$7=TH!F2118),"x","")</f>
        <v/>
      </c>
      <c r="AD2118" s="84" t="str">
        <f>IF(AND(N2118="1521",MONTH(C2118)='BK-NL'!$M$11),"x","")</f>
        <v/>
      </c>
      <c r="AE2118" s="1146" t="str">
        <f>IF(H2118&lt;&gt;VLOOKUP(H2118,DSKH,1,0),"","x")</f>
        <v>x</v>
      </c>
    </row>
    <row r="2119" spans="1:32" s="351" customFormat="1" ht="15.75" customHeight="1">
      <c r="A2119" s="336" t="str">
        <f>IF(B2119&lt;&gt;"",IF(AND(B2119='IN-TC'!$S$4,OR(TH!N2119="1111",TH!O2119="1111")),TH!D2119,""),"")</f>
        <v/>
      </c>
      <c r="B2119" s="63">
        <f t="shared" si="283"/>
        <v>8</v>
      </c>
      <c r="C2119" s="64">
        <v>42601</v>
      </c>
      <c r="D2119" s="64" t="s">
        <v>705</v>
      </c>
      <c r="E2119" s="64">
        <f t="shared" si="284"/>
        <v>42601</v>
      </c>
      <c r="F2119" s="67" t="s">
        <v>1199</v>
      </c>
      <c r="G2119" s="67" t="s">
        <v>919</v>
      </c>
      <c r="H2119" s="73"/>
      <c r="I2119" s="439"/>
      <c r="J2119" s="439"/>
      <c r="K2119" s="430"/>
      <c r="L2119" s="439"/>
      <c r="M2119" s="65">
        <v>20000</v>
      </c>
      <c r="N2119" s="66" t="s">
        <v>101</v>
      </c>
      <c r="O2119" s="66" t="s">
        <v>26</v>
      </c>
      <c r="P2119" s="84" t="str">
        <f>IF(AND('331-CT'!$E$7=TH!H2119,OR(N2119="331",O2119="331")),"x","")</f>
        <v/>
      </c>
      <c r="Q2119" s="84" t="str">
        <f>IF(AND(B2119='111'!$L$11,OR($N2119=$Q$7,$O2119=$Q$7)),"x","")</f>
        <v/>
      </c>
      <c r="R2119" s="84" t="str">
        <f>IF(AND($N2119=$Q$7,$B2119&lt;'111'!$L$11),"x","")</f>
        <v/>
      </c>
      <c r="S2119" s="84" t="str">
        <f>IF(AND($O2119=$Q$7,$B2119&lt;'111'!$L$11),"x","")</f>
        <v/>
      </c>
      <c r="T2119" s="84" t="str">
        <f>IF(ISERROR(FIND('112'!$M$9,G2119,1)),"",IF((AND(FIND('112'!$M$9,G2119,1)&gt;=1,B2119='112'!$K$9,OR($N2119='112'!$I$6,$O2119='112'!$I$6))),"x",""))</f>
        <v/>
      </c>
      <c r="U2119" s="84" t="str">
        <f>IF(ISERROR(FIND('112'!$M$9,G2119,1)),"",IF((AND(LEFT(G2119,2)=LEFT('112'!$M$9,2),B2119&lt;'112'!$K$9,$N2119='112'!$I$6)),"x",""))</f>
        <v/>
      </c>
      <c r="V2119" s="84" t="str">
        <f>IF(ISERROR(FIND('112'!$M$9,G2119,1)),"",IF((AND(RIGHT(G2119,2)=RIGHT('112'!$M$9,2),B2119&lt;'112'!$K$9,$O2119='112'!$I$6)),"x",""))</f>
        <v/>
      </c>
      <c r="W2119" s="84" t="str">
        <f>IF(AND('341-CT'!$H$9=H2119,OR(LEFT(N2119,3)=$W$7,LEFT(O2119,3)=$W$7)),"x","")</f>
        <v/>
      </c>
      <c r="X2119" s="84" t="str">
        <f>IF(OR(TH!N2119=TH!$X$7,O2119=TH!$X$7),"x","")</f>
        <v/>
      </c>
      <c r="Y2119" s="84" t="str">
        <f>IF(AND(OR(N2119="131",O2119="131"),H2119='131-CT'!$H$9),"x","")</f>
        <v/>
      </c>
      <c r="Z2119" s="84"/>
      <c r="AA2119" s="84" t="str">
        <f>IF(AND(MONTH(E2119)='IN-NX'!$J$5,'IN-NX'!$D$7=D2119),"x","")</f>
        <v/>
      </c>
      <c r="AB2119" s="84" t="str">
        <f>IF(AND(OR(LEFT(TH!N2119,2)="15",LEFT(TH!O2119,2)="15"),LEFT(TH!O2119,3)&lt;&gt;"111",'152-CT'!$J$8=TH!F2119),"x","")</f>
        <v/>
      </c>
      <c r="AC2119" s="84" t="str">
        <f>IF(AND(OR(LEFT(TH!N2119,2)="15",LEFT(TH!O2119,2)="15"),TK!$E$7=TH!F2119),"x","")</f>
        <v/>
      </c>
      <c r="AD2119" s="84" t="str">
        <f>IF(AND(N2119="1521",MONTH(C2119)='BK-NL'!$M$11),"x","")</f>
        <v/>
      </c>
      <c r="AF2119" s="351">
        <v>8</v>
      </c>
    </row>
    <row r="2120" spans="1:32" s="351" customFormat="1" ht="15.75" hidden="1" customHeight="1">
      <c r="A2120" s="336" t="str">
        <f>IF(B2120&lt;&gt;"",IF(AND(B2120='IN-TC'!$S$4,OR(TH!N2120="1111",TH!O2120="1111")),TH!D2120,""),"")</f>
        <v/>
      </c>
      <c r="B2120" s="63">
        <f t="shared" si="283"/>
        <v>8</v>
      </c>
      <c r="C2120" s="64">
        <v>42601</v>
      </c>
      <c r="D2120" s="64" t="s">
        <v>705</v>
      </c>
      <c r="E2120" s="64">
        <f t="shared" si="284"/>
        <v>42601</v>
      </c>
      <c r="F2120" s="67" t="s">
        <v>1200</v>
      </c>
      <c r="G2120" s="67" t="s">
        <v>919</v>
      </c>
      <c r="H2120" s="73"/>
      <c r="I2120" s="439"/>
      <c r="J2120" s="439"/>
      <c r="K2120" s="430"/>
      <c r="L2120" s="439"/>
      <c r="M2120" s="65">
        <v>2000</v>
      </c>
      <c r="N2120" s="84" t="s">
        <v>2001</v>
      </c>
      <c r="O2120" s="66" t="s">
        <v>26</v>
      </c>
      <c r="P2120" s="84" t="str">
        <f>IF(AND('331-CT'!$E$7=TH!H2120,OR(N2120="331",O2120="331")),"x","")</f>
        <v/>
      </c>
      <c r="Q2120" s="84" t="str">
        <f>IF(AND(B2120='111'!$L$11,OR($N2120=$Q$7,$O2120=$Q$7)),"x","")</f>
        <v/>
      </c>
      <c r="R2120" s="84" t="str">
        <f>IF(AND($N2120=$Q$7,$B2120&lt;'111'!$L$11),"x","")</f>
        <v/>
      </c>
      <c r="S2120" s="84" t="str">
        <f>IF(AND($O2120=$Q$7,$B2120&lt;'111'!$L$11),"x","")</f>
        <v/>
      </c>
      <c r="T2120" s="84" t="str">
        <f>IF(ISERROR(FIND('112'!$M$9,G2120,1)),"",IF((AND(FIND('112'!$M$9,G2120,1)&gt;=1,B2120='112'!$K$9,OR($N2120='112'!$I$6,$O2120='112'!$I$6))),"x",""))</f>
        <v/>
      </c>
      <c r="U2120" s="84" t="str">
        <f>IF(ISERROR(FIND('112'!$M$9,G2120,1)),"",IF((AND(LEFT(G2120,2)=LEFT('112'!$M$9,2),B2120&lt;'112'!$K$9,$N2120='112'!$I$6)),"x",""))</f>
        <v/>
      </c>
      <c r="V2120" s="84" t="str">
        <f>IF(ISERROR(FIND('112'!$M$9,G2120,1)),"",IF((AND(RIGHT(G2120,2)=RIGHT('112'!$M$9,2),B2120&lt;'112'!$K$9,$O2120='112'!$I$6)),"x",""))</f>
        <v/>
      </c>
      <c r="W2120" s="84" t="str">
        <f>IF(AND('341-CT'!$H$9=H2120,OR(LEFT(N2120,3)=$W$7,LEFT(O2120,3)=$W$7)),"x","")</f>
        <v/>
      </c>
      <c r="X2120" s="84" t="str">
        <f>IF(OR(TH!N2120=TH!$X$7,O2120=TH!$X$7),"x","")</f>
        <v/>
      </c>
      <c r="Y2120" s="84" t="str">
        <f>IF(AND(OR(N2120="131",O2120="131"),H2120='131-CT'!$H$9),"x","")</f>
        <v/>
      </c>
      <c r="Z2120" s="84"/>
      <c r="AA2120" s="84" t="str">
        <f>IF(AND(MONTH(E2120)='IN-NX'!$J$5,'IN-NX'!$D$7=D2120),"x","")</f>
        <v/>
      </c>
      <c r="AB2120" s="84" t="str">
        <f>IF(AND(OR(LEFT(TH!N2120,2)="15",LEFT(TH!O2120,2)="15"),LEFT(TH!O2120,3)&lt;&gt;"111",'152-CT'!$J$8=TH!F2120),"x","")</f>
        <v/>
      </c>
      <c r="AC2120" s="84" t="str">
        <f>IF(AND(OR(LEFT(TH!N2120,2)="15",LEFT(TH!O2120,2)="15"),TK!$E$7=TH!F2120),"x","")</f>
        <v/>
      </c>
      <c r="AD2120" s="84" t="str">
        <f>IF(AND(N2120="1521",MONTH(C2120)='BK-NL'!$M$11),"x","")</f>
        <v/>
      </c>
      <c r="AF2120" s="351">
        <v>8</v>
      </c>
    </row>
    <row r="2121" spans="1:32" s="351" customFormat="1" ht="15.75" hidden="1" customHeight="1">
      <c r="A2121" s="336" t="str">
        <f>IF(B2121&lt;&gt;"",IF(AND(B2121='IN-TC'!$S$4,OR(TH!N2121="1111",TH!O2121="1111")),TH!D2121,""),"")</f>
        <v/>
      </c>
      <c r="B2121" s="63">
        <f t="shared" si="283"/>
        <v>8</v>
      </c>
      <c r="C2121" s="64">
        <v>42601</v>
      </c>
      <c r="D2121" s="64" t="s">
        <v>705</v>
      </c>
      <c r="E2121" s="64">
        <f t="shared" si="284"/>
        <v>42601</v>
      </c>
      <c r="F2121" s="67" t="s">
        <v>1933</v>
      </c>
      <c r="G2121" s="67" t="s">
        <v>919</v>
      </c>
      <c r="H2121" s="344" t="s">
        <v>632</v>
      </c>
      <c r="I2121" s="439"/>
      <c r="J2121" s="439"/>
      <c r="K2121" s="430"/>
      <c r="L2121" s="439"/>
      <c r="M2121" s="65">
        <v>32480910</v>
      </c>
      <c r="N2121" s="66" t="s">
        <v>8</v>
      </c>
      <c r="O2121" s="66" t="s">
        <v>26</v>
      </c>
      <c r="P2121" s="84" t="str">
        <f>IF(AND('331-CT'!$E$7=TH!H2121,OR(N2121="331",O2121="331")),"x","")</f>
        <v/>
      </c>
      <c r="Q2121" s="84" t="str">
        <f>IF(AND(B2121='111'!$L$11,OR($N2121=$Q$7,$O2121=$Q$7)),"x","")</f>
        <v/>
      </c>
      <c r="R2121" s="84" t="str">
        <f>IF(AND($N2121=$Q$7,$B2121&lt;'111'!$L$11),"x","")</f>
        <v/>
      </c>
      <c r="S2121" s="84" t="str">
        <f>IF(AND($O2121=$Q$7,$B2121&lt;'111'!$L$11),"x","")</f>
        <v/>
      </c>
      <c r="T2121" s="84" t="str">
        <f>IF(ISERROR(FIND('112'!$M$9,G2121,1)),"",IF((AND(FIND('112'!$M$9,G2121,1)&gt;=1,B2121='112'!$K$9,OR($N2121='112'!$I$6,$O2121='112'!$I$6))),"x",""))</f>
        <v/>
      </c>
      <c r="U2121" s="84" t="str">
        <f>IF(ISERROR(FIND('112'!$M$9,G2121,1)),"",IF((AND(LEFT(G2121,2)=LEFT('112'!$M$9,2),B2121&lt;'112'!$K$9,$N2121='112'!$I$6)),"x",""))</f>
        <v/>
      </c>
      <c r="V2121" s="84" t="str">
        <f>IF(ISERROR(FIND('112'!$M$9,G2121,1)),"",IF((AND(RIGHT(G2121,2)=RIGHT('112'!$M$9,2),B2121&lt;'112'!$K$9,$O2121='112'!$I$6)),"x",""))</f>
        <v/>
      </c>
      <c r="W2121" s="84" t="str">
        <f>IF(AND('341-CT'!$H$9=H2121,OR(LEFT(N2121,3)=$W$7,LEFT(O2121,3)=$W$7)),"x","")</f>
        <v/>
      </c>
      <c r="X2121" s="84" t="str">
        <f>IF(OR(TH!N2121=TH!$X$7,O2121=TH!$X$7),"x","")</f>
        <v/>
      </c>
      <c r="Y2121" s="84" t="str">
        <f>IF(AND(OR(N2121="131",O2121="131"),H2121='131-CT'!$H$9),"x","")</f>
        <v/>
      </c>
      <c r="Z2121" s="84"/>
      <c r="AA2121" s="84" t="str">
        <f>IF(AND(MONTH(E2121)='IN-NX'!$J$5,'IN-NX'!$D$7=D2121),"x","")</f>
        <v/>
      </c>
      <c r="AB2121" s="84" t="str">
        <f>IF(AND(OR(LEFT(TH!N2121,2)="15",LEFT(TH!O2121,2)="15"),LEFT(TH!O2121,3)&lt;&gt;"111",'152-CT'!$J$8=TH!F2121),"x","")</f>
        <v/>
      </c>
      <c r="AC2121" s="84" t="str">
        <f>IF(AND(OR(LEFT(TH!N2121,2)="15",LEFT(TH!O2121,2)="15"),TK!$E$7=TH!F2121),"x","")</f>
        <v/>
      </c>
      <c r="AD2121" s="84" t="str">
        <f>IF(AND(N2121="1521",MONTH(C2121)='BK-NL'!$M$11),"x","")</f>
        <v/>
      </c>
      <c r="AE2121" s="1146" t="str">
        <f>IF(H2121&lt;&gt;VLOOKUP(H2121,DSKH,1,0),"","x")</f>
        <v>x</v>
      </c>
    </row>
    <row r="2122" spans="1:32" s="351" customFormat="1" ht="15.75" customHeight="1">
      <c r="A2122" s="336" t="str">
        <f>IF(B2122&lt;&gt;"",IF(AND(B2122='IN-TC'!$S$4,OR(TH!N2122="1111",TH!O2122="1111")),TH!D2122,""),"")</f>
        <v/>
      </c>
      <c r="B2122" s="63">
        <f t="shared" si="283"/>
        <v>8</v>
      </c>
      <c r="C2122" s="64">
        <v>42601</v>
      </c>
      <c r="D2122" s="64" t="s">
        <v>705</v>
      </c>
      <c r="E2122" s="64">
        <f t="shared" si="284"/>
        <v>42601</v>
      </c>
      <c r="F2122" s="67" t="s">
        <v>1199</v>
      </c>
      <c r="G2122" s="67" t="s">
        <v>919</v>
      </c>
      <c r="H2122" s="73"/>
      <c r="I2122" s="439"/>
      <c r="J2122" s="439"/>
      <c r="K2122" s="430"/>
      <c r="L2122" s="439"/>
      <c r="M2122" s="65">
        <v>20000</v>
      </c>
      <c r="N2122" s="66" t="s">
        <v>101</v>
      </c>
      <c r="O2122" s="66" t="s">
        <v>26</v>
      </c>
      <c r="P2122" s="84" t="str">
        <f>IF(AND('331-CT'!$E$7=TH!H2122,OR(N2122="331",O2122="331")),"x","")</f>
        <v/>
      </c>
      <c r="Q2122" s="84" t="str">
        <f>IF(AND(B2122='111'!$L$11,OR($N2122=$Q$7,$O2122=$Q$7)),"x","")</f>
        <v/>
      </c>
      <c r="R2122" s="84" t="str">
        <f>IF(AND($N2122=$Q$7,$B2122&lt;'111'!$L$11),"x","")</f>
        <v/>
      </c>
      <c r="S2122" s="84" t="str">
        <f>IF(AND($O2122=$Q$7,$B2122&lt;'111'!$L$11),"x","")</f>
        <v/>
      </c>
      <c r="T2122" s="84" t="str">
        <f>IF(ISERROR(FIND('112'!$M$9,G2122,1)),"",IF((AND(FIND('112'!$M$9,G2122,1)&gt;=1,B2122='112'!$K$9,OR($N2122='112'!$I$6,$O2122='112'!$I$6))),"x",""))</f>
        <v/>
      </c>
      <c r="U2122" s="84" t="str">
        <f>IF(ISERROR(FIND('112'!$M$9,G2122,1)),"",IF((AND(LEFT(G2122,2)=LEFT('112'!$M$9,2),B2122&lt;'112'!$K$9,$N2122='112'!$I$6)),"x",""))</f>
        <v/>
      </c>
      <c r="V2122" s="84" t="str">
        <f>IF(ISERROR(FIND('112'!$M$9,G2122,1)),"",IF((AND(RIGHT(G2122,2)=RIGHT('112'!$M$9,2),B2122&lt;'112'!$K$9,$O2122='112'!$I$6)),"x",""))</f>
        <v/>
      </c>
      <c r="W2122" s="84" t="str">
        <f>IF(AND('341-CT'!$H$9=H2122,OR(LEFT(N2122,3)=$W$7,LEFT(O2122,3)=$W$7)),"x","")</f>
        <v/>
      </c>
      <c r="X2122" s="84" t="str">
        <f>IF(OR(TH!N2122=TH!$X$7,O2122=TH!$X$7),"x","")</f>
        <v/>
      </c>
      <c r="Y2122" s="84" t="str">
        <f>IF(AND(OR(N2122="131",O2122="131"),H2122='131-CT'!$H$9),"x","")</f>
        <v/>
      </c>
      <c r="Z2122" s="84"/>
      <c r="AA2122" s="84" t="str">
        <f>IF(AND(MONTH(E2122)='IN-NX'!$J$5,'IN-NX'!$D$7=D2122),"x","")</f>
        <v/>
      </c>
      <c r="AB2122" s="84" t="str">
        <f>IF(AND(OR(LEFT(TH!N2122,2)="15",LEFT(TH!O2122,2)="15"),LEFT(TH!O2122,3)&lt;&gt;"111",'152-CT'!$J$8=TH!F2122),"x","")</f>
        <v/>
      </c>
      <c r="AC2122" s="84" t="str">
        <f>IF(AND(OR(LEFT(TH!N2122,2)="15",LEFT(TH!O2122,2)="15"),TK!$E$7=TH!F2122),"x","")</f>
        <v/>
      </c>
      <c r="AD2122" s="84" t="str">
        <f>IF(AND(N2122="1521",MONTH(C2122)='BK-NL'!$M$11),"x","")</f>
        <v/>
      </c>
      <c r="AF2122" s="351">
        <v>8</v>
      </c>
    </row>
    <row r="2123" spans="1:32" s="351" customFormat="1" ht="15.75" hidden="1" customHeight="1">
      <c r="A2123" s="336" t="str">
        <f>IF(B2123&lt;&gt;"",IF(AND(B2123='IN-TC'!$S$4,OR(TH!N2123="1111",TH!O2123="1111")),TH!D2123,""),"")</f>
        <v/>
      </c>
      <c r="B2123" s="63">
        <f t="shared" si="283"/>
        <v>8</v>
      </c>
      <c r="C2123" s="64">
        <v>42601</v>
      </c>
      <c r="D2123" s="64" t="s">
        <v>705</v>
      </c>
      <c r="E2123" s="64">
        <f t="shared" si="284"/>
        <v>42601</v>
      </c>
      <c r="F2123" s="67" t="s">
        <v>1200</v>
      </c>
      <c r="G2123" s="67" t="s">
        <v>919</v>
      </c>
      <c r="H2123" s="73"/>
      <c r="I2123" s="439"/>
      <c r="J2123" s="439"/>
      <c r="K2123" s="430"/>
      <c r="L2123" s="439"/>
      <c r="M2123" s="65">
        <v>2000</v>
      </c>
      <c r="N2123" s="84" t="s">
        <v>2001</v>
      </c>
      <c r="O2123" s="66" t="s">
        <v>26</v>
      </c>
      <c r="P2123" s="84" t="str">
        <f>IF(AND('331-CT'!$E$7=TH!H2123,OR(N2123="331",O2123="331")),"x","")</f>
        <v/>
      </c>
      <c r="Q2123" s="84" t="str">
        <f>IF(AND(B2123='111'!$L$11,OR($N2123=$Q$7,$O2123=$Q$7)),"x","")</f>
        <v/>
      </c>
      <c r="R2123" s="84" t="str">
        <f>IF(AND($N2123=$Q$7,$B2123&lt;'111'!$L$11),"x","")</f>
        <v/>
      </c>
      <c r="S2123" s="84" t="str">
        <f>IF(AND($O2123=$Q$7,$B2123&lt;'111'!$L$11),"x","")</f>
        <v/>
      </c>
      <c r="T2123" s="84" t="str">
        <f>IF(ISERROR(FIND('112'!$M$9,G2123,1)),"",IF((AND(FIND('112'!$M$9,G2123,1)&gt;=1,B2123='112'!$K$9,OR($N2123='112'!$I$6,$O2123='112'!$I$6))),"x",""))</f>
        <v/>
      </c>
      <c r="U2123" s="84" t="str">
        <f>IF(ISERROR(FIND('112'!$M$9,G2123,1)),"",IF((AND(LEFT(G2123,2)=LEFT('112'!$M$9,2),B2123&lt;'112'!$K$9,$N2123='112'!$I$6)),"x",""))</f>
        <v/>
      </c>
      <c r="V2123" s="84" t="str">
        <f>IF(ISERROR(FIND('112'!$M$9,G2123,1)),"",IF((AND(RIGHT(G2123,2)=RIGHT('112'!$M$9,2),B2123&lt;'112'!$K$9,$O2123='112'!$I$6)),"x",""))</f>
        <v/>
      </c>
      <c r="W2123" s="84" t="str">
        <f>IF(AND('341-CT'!$H$9=H2123,OR(LEFT(N2123,3)=$W$7,LEFT(O2123,3)=$W$7)),"x","")</f>
        <v/>
      </c>
      <c r="X2123" s="84" t="str">
        <f>IF(OR(TH!N2123=TH!$X$7,O2123=TH!$X$7),"x","")</f>
        <v/>
      </c>
      <c r="Y2123" s="84" t="str">
        <f>IF(AND(OR(N2123="131",O2123="131"),H2123='131-CT'!$H$9),"x","")</f>
        <v/>
      </c>
      <c r="Z2123" s="84"/>
      <c r="AA2123" s="84" t="str">
        <f>IF(AND(MONTH(E2123)='IN-NX'!$J$5,'IN-NX'!$D$7=D2123),"x","")</f>
        <v/>
      </c>
      <c r="AB2123" s="84" t="str">
        <f>IF(AND(OR(LEFT(TH!N2123,2)="15",LEFT(TH!O2123,2)="15"),LEFT(TH!O2123,3)&lt;&gt;"111",'152-CT'!$J$8=TH!F2123),"x","")</f>
        <v/>
      </c>
      <c r="AC2123" s="84" t="str">
        <f>IF(AND(OR(LEFT(TH!N2123,2)="15",LEFT(TH!O2123,2)="15"),TK!$E$7=TH!F2123),"x","")</f>
        <v/>
      </c>
      <c r="AD2123" s="84" t="str">
        <f>IF(AND(N2123="1521",MONTH(C2123)='BK-NL'!$M$11),"x","")</f>
        <v/>
      </c>
      <c r="AF2123" s="351">
        <v>8</v>
      </c>
    </row>
    <row r="2124" spans="1:32" s="351" customFormat="1" ht="15.75" hidden="1" customHeight="1">
      <c r="A2124" s="336" t="str">
        <f>IF(B2124&lt;&gt;"",IF(AND(B2124='IN-TC'!$S$4,OR(TH!N2124="1111",TH!O2124="1111")),TH!D2124,""),"")</f>
        <v/>
      </c>
      <c r="B2124" s="63">
        <f t="shared" si="283"/>
        <v>8</v>
      </c>
      <c r="C2124" s="64">
        <v>42601</v>
      </c>
      <c r="D2124" s="64" t="s">
        <v>705</v>
      </c>
      <c r="E2124" s="64">
        <f t="shared" si="284"/>
        <v>42601</v>
      </c>
      <c r="F2124" s="67" t="s">
        <v>1934</v>
      </c>
      <c r="G2124" s="67" t="s">
        <v>919</v>
      </c>
      <c r="H2124" s="73" t="s">
        <v>1385</v>
      </c>
      <c r="I2124" s="439"/>
      <c r="J2124" s="439"/>
      <c r="K2124" s="430"/>
      <c r="L2124" s="439"/>
      <c r="M2124" s="65">
        <v>17842328</v>
      </c>
      <c r="N2124" s="66" t="s">
        <v>8</v>
      </c>
      <c r="O2124" s="66" t="s">
        <v>26</v>
      </c>
      <c r="P2124" s="84" t="str">
        <f>IF(AND('331-CT'!$E$7=TH!H2124,OR(N2124="331",O2124="331")),"x","")</f>
        <v/>
      </c>
      <c r="Q2124" s="84" t="str">
        <f>IF(AND(B2124='111'!$L$11,OR($N2124=$Q$7,$O2124=$Q$7)),"x","")</f>
        <v/>
      </c>
      <c r="R2124" s="84" t="str">
        <f>IF(AND($N2124=$Q$7,$B2124&lt;'111'!$L$11),"x","")</f>
        <v/>
      </c>
      <c r="S2124" s="84" t="str">
        <f>IF(AND($O2124=$Q$7,$B2124&lt;'111'!$L$11),"x","")</f>
        <v/>
      </c>
      <c r="T2124" s="84" t="str">
        <f>IF(ISERROR(FIND('112'!$M$9,G2124,1)),"",IF((AND(FIND('112'!$M$9,G2124,1)&gt;=1,B2124='112'!$K$9,OR($N2124='112'!$I$6,$O2124='112'!$I$6))),"x",""))</f>
        <v/>
      </c>
      <c r="U2124" s="84" t="str">
        <f>IF(ISERROR(FIND('112'!$M$9,G2124,1)),"",IF((AND(LEFT(G2124,2)=LEFT('112'!$M$9,2),B2124&lt;'112'!$K$9,$N2124='112'!$I$6)),"x",""))</f>
        <v/>
      </c>
      <c r="V2124" s="84" t="str">
        <f>IF(ISERROR(FIND('112'!$M$9,G2124,1)),"",IF((AND(RIGHT(G2124,2)=RIGHT('112'!$M$9,2),B2124&lt;'112'!$K$9,$O2124='112'!$I$6)),"x",""))</f>
        <v/>
      </c>
      <c r="W2124" s="84" t="str">
        <f>IF(AND('341-CT'!$H$9=H2124,OR(LEFT(N2124,3)=$W$7,LEFT(O2124,3)=$W$7)),"x","")</f>
        <v/>
      </c>
      <c r="X2124" s="84" t="str">
        <f>IF(OR(TH!N2124=TH!$X$7,O2124=TH!$X$7),"x","")</f>
        <v/>
      </c>
      <c r="Y2124" s="84" t="str">
        <f>IF(AND(OR(N2124="131",O2124="131"),H2124='131-CT'!$H$9),"x","")</f>
        <v/>
      </c>
      <c r="Z2124" s="84"/>
      <c r="AA2124" s="84" t="str">
        <f>IF(AND(MONTH(E2124)='IN-NX'!$J$5,'IN-NX'!$D$7=D2124),"x","")</f>
        <v/>
      </c>
      <c r="AB2124" s="84" t="str">
        <f>IF(AND(OR(LEFT(TH!N2124,2)="15",LEFT(TH!O2124,2)="15"),LEFT(TH!O2124,3)&lt;&gt;"111",'152-CT'!$J$8=TH!F2124),"x","")</f>
        <v/>
      </c>
      <c r="AC2124" s="84" t="str">
        <f>IF(AND(OR(LEFT(TH!N2124,2)="15",LEFT(TH!O2124,2)="15"),TK!$E$7=TH!F2124),"x","")</f>
        <v/>
      </c>
      <c r="AD2124" s="84" t="str">
        <f>IF(AND(N2124="1521",MONTH(C2124)='BK-NL'!$M$11),"x","")</f>
        <v/>
      </c>
      <c r="AE2124" s="1146" t="str">
        <f>IF(H2124&lt;&gt;VLOOKUP(H2124,DSKH,1,0),"","x")</f>
        <v>x</v>
      </c>
    </row>
    <row r="2125" spans="1:32" s="351" customFormat="1" ht="15.75" hidden="1" customHeight="1">
      <c r="A2125" s="336" t="str">
        <f>IF(B2125&lt;&gt;"",IF(AND(B2125='IN-TC'!$S$4,OR(TH!N2125="1111",TH!O2125="1111")),TH!D2125,""),"")</f>
        <v/>
      </c>
      <c r="B2125" s="63">
        <f t="shared" si="283"/>
        <v>8</v>
      </c>
      <c r="C2125" s="64">
        <v>42602</v>
      </c>
      <c r="D2125" s="64" t="s">
        <v>705</v>
      </c>
      <c r="E2125" s="64">
        <f t="shared" si="284"/>
        <v>42602</v>
      </c>
      <c r="F2125" s="67" t="s">
        <v>1450</v>
      </c>
      <c r="G2125" s="67" t="s">
        <v>919</v>
      </c>
      <c r="H2125" s="73" t="s">
        <v>1218</v>
      </c>
      <c r="I2125" s="439"/>
      <c r="J2125" s="439"/>
      <c r="K2125" s="430"/>
      <c r="L2125" s="439"/>
      <c r="M2125" s="65">
        <v>23000000</v>
      </c>
      <c r="N2125" s="66" t="s">
        <v>72</v>
      </c>
      <c r="O2125" s="66" t="s">
        <v>26</v>
      </c>
      <c r="P2125" s="84" t="str">
        <f>IF(AND('331-CT'!$E$7=TH!H2125,OR(N2125="331",O2125="331")),"x","")</f>
        <v/>
      </c>
      <c r="Q2125" s="84" t="str">
        <f>IF(AND(B2125='111'!$L$11,OR($N2125=$Q$7,$O2125=$Q$7)),"x","")</f>
        <v/>
      </c>
      <c r="R2125" s="84" t="str">
        <f>IF(AND($N2125=$Q$7,$B2125&lt;'111'!$L$11),"x","")</f>
        <v/>
      </c>
      <c r="S2125" s="84" t="str">
        <f>IF(AND($O2125=$Q$7,$B2125&lt;'111'!$L$11),"x","")</f>
        <v/>
      </c>
      <c r="T2125" s="84" t="str">
        <f>IF(ISERROR(FIND('112'!$M$9,G2125,1)),"",IF((AND(FIND('112'!$M$9,G2125,1)&gt;=1,B2125='112'!$K$9,OR($N2125='112'!$I$6,$O2125='112'!$I$6))),"x",""))</f>
        <v/>
      </c>
      <c r="U2125" s="84" t="str">
        <f>IF(ISERROR(FIND('112'!$M$9,G2125,1)),"",IF((AND(LEFT(G2125,2)=LEFT('112'!$M$9,2),B2125&lt;'112'!$K$9,$N2125='112'!$I$6)),"x",""))</f>
        <v/>
      </c>
      <c r="V2125" s="84" t="str">
        <f>IF(ISERROR(FIND('112'!$M$9,G2125,1)),"",IF((AND(RIGHT(G2125,2)=RIGHT('112'!$M$9,2),B2125&lt;'112'!$K$9,$O2125='112'!$I$6)),"x",""))</f>
        <v/>
      </c>
      <c r="W2125" s="84" t="str">
        <f>IF(AND('341-CT'!$H$9=H2125,OR(LEFT(N2125,3)=$W$7,LEFT(O2125,3)=$W$7)),"x","")</f>
        <v/>
      </c>
      <c r="X2125" s="84" t="str">
        <f>IF(OR(TH!N2125=TH!$X$7,O2125=TH!$X$7),"x","")</f>
        <v>x</v>
      </c>
      <c r="Y2125" s="84" t="str">
        <f>IF(AND(OR(N2125="131",O2125="131"),H2125='131-CT'!$H$9),"x","")</f>
        <v/>
      </c>
      <c r="Z2125" s="84"/>
      <c r="AA2125" s="84" t="str">
        <f>IF(AND(MONTH(E2125)='IN-NX'!$J$5,'IN-NX'!$D$7=D2125),"x","")</f>
        <v/>
      </c>
      <c r="AB2125" s="84" t="str">
        <f>IF(AND(OR(LEFT(TH!N2125,2)="15",LEFT(TH!O2125,2)="15"),LEFT(TH!O2125,3)&lt;&gt;"111",'152-CT'!$J$8=TH!F2125),"x","")</f>
        <v/>
      </c>
      <c r="AC2125" s="84" t="str">
        <f>IF(AND(OR(LEFT(TH!N2125,2)="15",LEFT(TH!O2125,2)="15"),TK!$E$7=TH!F2125),"x","")</f>
        <v/>
      </c>
      <c r="AD2125" s="84" t="str">
        <f>IF(AND(N2125="1521",MONTH(C2125)='BK-NL'!$M$11),"x","")</f>
        <v/>
      </c>
    </row>
    <row r="2126" spans="1:32" s="351" customFormat="1" ht="15.75" hidden="1" customHeight="1">
      <c r="A2126" s="336" t="str">
        <f>IF(B2126&lt;&gt;"",IF(AND(B2126='IN-TC'!$S$4,OR(TH!N2126="1111",TH!O2126="1111")),TH!D2126,""),"")</f>
        <v/>
      </c>
      <c r="B2126" s="63">
        <f t="shared" si="283"/>
        <v>8</v>
      </c>
      <c r="C2126" s="64">
        <v>42613</v>
      </c>
      <c r="D2126" s="64" t="s">
        <v>705</v>
      </c>
      <c r="E2126" s="64">
        <f t="shared" si="284"/>
        <v>42613</v>
      </c>
      <c r="F2126" s="67" t="s">
        <v>1935</v>
      </c>
      <c r="G2126" s="67" t="s">
        <v>919</v>
      </c>
      <c r="H2126" s="344" t="s">
        <v>632</v>
      </c>
      <c r="I2126" s="439"/>
      <c r="J2126" s="439"/>
      <c r="K2126" s="430"/>
      <c r="L2126" s="439"/>
      <c r="M2126" s="65">
        <v>24124980</v>
      </c>
      <c r="N2126" s="66" t="s">
        <v>8</v>
      </c>
      <c r="O2126" s="66" t="s">
        <v>26</v>
      </c>
      <c r="P2126" s="84" t="str">
        <f>IF(AND('331-CT'!$E$7=TH!H2126,OR(N2126="331",O2126="331")),"x","")</f>
        <v/>
      </c>
      <c r="Q2126" s="84" t="str">
        <f>IF(AND(B2126='111'!$L$11,OR($N2126=$Q$7,$O2126=$Q$7)),"x","")</f>
        <v/>
      </c>
      <c r="R2126" s="84" t="str">
        <f>IF(AND($N2126=$Q$7,$B2126&lt;'111'!$L$11),"x","")</f>
        <v/>
      </c>
      <c r="S2126" s="84" t="str">
        <f>IF(AND($O2126=$Q$7,$B2126&lt;'111'!$L$11),"x","")</f>
        <v/>
      </c>
      <c r="T2126" s="84" t="str">
        <f>IF(ISERROR(FIND('112'!$M$9,G2126,1)),"",IF((AND(FIND('112'!$M$9,G2126,1)&gt;=1,B2126='112'!$K$9,OR($N2126='112'!$I$6,$O2126='112'!$I$6))),"x",""))</f>
        <v/>
      </c>
      <c r="U2126" s="84" t="str">
        <f>IF(ISERROR(FIND('112'!$M$9,G2126,1)),"",IF((AND(LEFT(G2126,2)=LEFT('112'!$M$9,2),B2126&lt;'112'!$K$9,$N2126='112'!$I$6)),"x",""))</f>
        <v/>
      </c>
      <c r="V2126" s="84" t="str">
        <f>IF(ISERROR(FIND('112'!$M$9,G2126,1)),"",IF((AND(RIGHT(G2126,2)=RIGHT('112'!$M$9,2),B2126&lt;'112'!$K$9,$O2126='112'!$I$6)),"x",""))</f>
        <v/>
      </c>
      <c r="W2126" s="84" t="str">
        <f>IF(AND('341-CT'!$H$9=H2126,OR(LEFT(N2126,3)=$W$7,LEFT(O2126,3)=$W$7)),"x","")</f>
        <v/>
      </c>
      <c r="X2126" s="84" t="str">
        <f>IF(OR(TH!N2126=TH!$X$7,O2126=TH!$X$7),"x","")</f>
        <v/>
      </c>
      <c r="Y2126" s="84" t="str">
        <f>IF(AND(OR(N2126="131",O2126="131"),H2126='131-CT'!$H$9),"x","")</f>
        <v/>
      </c>
      <c r="Z2126" s="84"/>
      <c r="AA2126" s="84" t="str">
        <f>IF(AND(MONTH(E2126)='IN-NX'!$J$5,'IN-NX'!$D$7=D2126),"x","")</f>
        <v/>
      </c>
      <c r="AB2126" s="84" t="str">
        <f>IF(AND(OR(LEFT(TH!N2126,2)="15",LEFT(TH!O2126,2)="15"),LEFT(TH!O2126,3)&lt;&gt;"111",'152-CT'!$J$8=TH!F2126),"x","")</f>
        <v/>
      </c>
      <c r="AC2126" s="84" t="str">
        <f>IF(AND(OR(LEFT(TH!N2126,2)="15",LEFT(TH!O2126,2)="15"),TK!$E$7=TH!F2126),"x","")</f>
        <v/>
      </c>
      <c r="AD2126" s="84" t="str">
        <f>IF(AND(N2126="1521",MONTH(C2126)='BK-NL'!$M$11),"x","")</f>
        <v/>
      </c>
      <c r="AE2126" s="1146" t="str">
        <f>IF(H2126&lt;&gt;VLOOKUP(H2126,DSKH,1,0),"","x")</f>
        <v>x</v>
      </c>
    </row>
    <row r="2127" spans="1:32" s="351" customFormat="1" ht="15.75" customHeight="1">
      <c r="A2127" s="336" t="str">
        <f>IF(B2127&lt;&gt;"",IF(AND(B2127='IN-TC'!$S$4,OR(TH!N2127="1111",TH!O2127="1111")),TH!D2127,""),"")</f>
        <v/>
      </c>
      <c r="B2127" s="63">
        <f t="shared" si="283"/>
        <v>8</v>
      </c>
      <c r="C2127" s="64">
        <v>42613</v>
      </c>
      <c r="D2127" s="64" t="s">
        <v>705</v>
      </c>
      <c r="E2127" s="64">
        <f t="shared" si="284"/>
        <v>42613</v>
      </c>
      <c r="F2127" s="67" t="s">
        <v>1199</v>
      </c>
      <c r="G2127" s="67" t="s">
        <v>919</v>
      </c>
      <c r="H2127" s="73"/>
      <c r="I2127" s="439"/>
      <c r="J2127" s="439"/>
      <c r="K2127" s="430"/>
      <c r="L2127" s="439"/>
      <c r="M2127" s="65">
        <v>25000</v>
      </c>
      <c r="N2127" s="66" t="s">
        <v>101</v>
      </c>
      <c r="O2127" s="66" t="s">
        <v>26</v>
      </c>
      <c r="P2127" s="84" t="str">
        <f>IF(AND('331-CT'!$E$7=TH!H2127,OR(N2127="331",O2127="331")),"x","")</f>
        <v/>
      </c>
      <c r="Q2127" s="84" t="str">
        <f>IF(AND(B2127='111'!$L$11,OR($N2127=$Q$7,$O2127=$Q$7)),"x","")</f>
        <v/>
      </c>
      <c r="R2127" s="84" t="str">
        <f>IF(AND($N2127=$Q$7,$B2127&lt;'111'!$L$11),"x","")</f>
        <v/>
      </c>
      <c r="S2127" s="84" t="str">
        <f>IF(AND($O2127=$Q$7,$B2127&lt;'111'!$L$11),"x","")</f>
        <v/>
      </c>
      <c r="T2127" s="84" t="str">
        <f>IF(ISERROR(FIND('112'!$M$9,G2127,1)),"",IF((AND(FIND('112'!$M$9,G2127,1)&gt;=1,B2127='112'!$K$9,OR($N2127='112'!$I$6,$O2127='112'!$I$6))),"x",""))</f>
        <v/>
      </c>
      <c r="U2127" s="84" t="str">
        <f>IF(ISERROR(FIND('112'!$M$9,G2127,1)),"",IF((AND(LEFT(G2127,2)=LEFT('112'!$M$9,2),B2127&lt;'112'!$K$9,$N2127='112'!$I$6)),"x",""))</f>
        <v/>
      </c>
      <c r="V2127" s="84" t="str">
        <f>IF(ISERROR(FIND('112'!$M$9,G2127,1)),"",IF((AND(RIGHT(G2127,2)=RIGHT('112'!$M$9,2),B2127&lt;'112'!$K$9,$O2127='112'!$I$6)),"x",""))</f>
        <v/>
      </c>
      <c r="W2127" s="84" t="str">
        <f>IF(AND('341-CT'!$H$9=H2127,OR(LEFT(N2127,3)=$W$7,LEFT(O2127,3)=$W$7)),"x","")</f>
        <v/>
      </c>
      <c r="X2127" s="84" t="str">
        <f>IF(OR(TH!N2127=TH!$X$7,O2127=TH!$X$7),"x","")</f>
        <v/>
      </c>
      <c r="Y2127" s="84" t="str">
        <f>IF(AND(OR(N2127="131",O2127="131"),H2127='131-CT'!$H$9),"x","")</f>
        <v/>
      </c>
      <c r="Z2127" s="84"/>
      <c r="AA2127" s="84" t="str">
        <f>IF(AND(MONTH(E2127)='IN-NX'!$J$5,'IN-NX'!$D$7=D2127),"x","")</f>
        <v/>
      </c>
      <c r="AB2127" s="84" t="str">
        <f>IF(AND(OR(LEFT(TH!N2127,2)="15",LEFT(TH!O2127,2)="15"),LEFT(TH!O2127,3)&lt;&gt;"111",'152-CT'!$J$8=TH!F2127),"x","")</f>
        <v/>
      </c>
      <c r="AC2127" s="84" t="str">
        <f>IF(AND(OR(LEFT(TH!N2127,2)="15",LEFT(TH!O2127,2)="15"),TK!$E$7=TH!F2127),"x","")</f>
        <v/>
      </c>
      <c r="AD2127" s="84" t="str">
        <f>IF(AND(N2127="1521",MONTH(C2127)='BK-NL'!$M$11),"x","")</f>
        <v/>
      </c>
      <c r="AF2127" s="351">
        <v>8</v>
      </c>
    </row>
    <row r="2128" spans="1:32" s="351" customFormat="1" ht="15.75" hidden="1" customHeight="1">
      <c r="A2128" s="336" t="str">
        <f>IF(B2128&lt;&gt;"",IF(AND(B2128='IN-TC'!$S$4,OR(TH!N2128="1111",TH!O2128="1111")),TH!D2128,""),"")</f>
        <v/>
      </c>
      <c r="B2128" s="63">
        <f t="shared" si="283"/>
        <v>8</v>
      </c>
      <c r="C2128" s="64">
        <v>42613</v>
      </c>
      <c r="D2128" s="64" t="s">
        <v>705</v>
      </c>
      <c r="E2128" s="64">
        <f t="shared" si="284"/>
        <v>42613</v>
      </c>
      <c r="F2128" s="67" t="s">
        <v>1200</v>
      </c>
      <c r="G2128" s="67" t="s">
        <v>919</v>
      </c>
      <c r="H2128" s="73"/>
      <c r="I2128" s="439"/>
      <c r="J2128" s="439"/>
      <c r="K2128" s="430"/>
      <c r="L2128" s="439"/>
      <c r="M2128" s="65">
        <v>2500</v>
      </c>
      <c r="N2128" s="84" t="s">
        <v>2001</v>
      </c>
      <c r="O2128" s="66" t="s">
        <v>26</v>
      </c>
      <c r="P2128" s="84" t="str">
        <f>IF(AND('331-CT'!$E$7=TH!H2128,OR(N2128="331",O2128="331")),"x","")</f>
        <v/>
      </c>
      <c r="Q2128" s="84" t="str">
        <f>IF(AND(B2128='111'!$L$11,OR($N2128=$Q$7,$O2128=$Q$7)),"x","")</f>
        <v/>
      </c>
      <c r="R2128" s="84" t="str">
        <f>IF(AND($N2128=$Q$7,$B2128&lt;'111'!$L$11),"x","")</f>
        <v/>
      </c>
      <c r="S2128" s="84" t="str">
        <f>IF(AND($O2128=$Q$7,$B2128&lt;'111'!$L$11),"x","")</f>
        <v/>
      </c>
      <c r="T2128" s="84" t="str">
        <f>IF(ISERROR(FIND('112'!$M$9,G2128,1)),"",IF((AND(FIND('112'!$M$9,G2128,1)&gt;=1,B2128='112'!$K$9,OR($N2128='112'!$I$6,$O2128='112'!$I$6))),"x",""))</f>
        <v/>
      </c>
      <c r="U2128" s="84" t="str">
        <f>IF(ISERROR(FIND('112'!$M$9,G2128,1)),"",IF((AND(LEFT(G2128,2)=LEFT('112'!$M$9,2),B2128&lt;'112'!$K$9,$N2128='112'!$I$6)),"x",""))</f>
        <v/>
      </c>
      <c r="V2128" s="84" t="str">
        <f>IF(ISERROR(FIND('112'!$M$9,G2128,1)),"",IF((AND(RIGHT(G2128,2)=RIGHT('112'!$M$9,2),B2128&lt;'112'!$K$9,$O2128='112'!$I$6)),"x",""))</f>
        <v/>
      </c>
      <c r="W2128" s="84" t="str">
        <f>IF(AND('341-CT'!$H$9=H2128,OR(LEFT(N2128,3)=$W$7,LEFT(O2128,3)=$W$7)),"x","")</f>
        <v/>
      </c>
      <c r="X2128" s="84" t="str">
        <f>IF(OR(TH!N2128=TH!$X$7,O2128=TH!$X$7),"x","")</f>
        <v/>
      </c>
      <c r="Y2128" s="84" t="str">
        <f>IF(AND(OR(N2128="131",O2128="131"),H2128='131-CT'!$H$9),"x","")</f>
        <v/>
      </c>
      <c r="Z2128" s="84"/>
      <c r="AA2128" s="84" t="str">
        <f>IF(AND(MONTH(E2128)='IN-NX'!$J$5,'IN-NX'!$D$7=D2128),"x","")</f>
        <v/>
      </c>
      <c r="AB2128" s="84" t="str">
        <f>IF(AND(OR(LEFT(TH!N2128,2)="15",LEFT(TH!O2128,2)="15"),LEFT(TH!O2128,3)&lt;&gt;"111",'152-CT'!$J$8=TH!F2128),"x","")</f>
        <v/>
      </c>
      <c r="AC2128" s="84" t="str">
        <f>IF(AND(OR(LEFT(TH!N2128,2)="15",LEFT(TH!O2128,2)="15"),TK!$E$7=TH!F2128),"x","")</f>
        <v/>
      </c>
      <c r="AD2128" s="84" t="str">
        <f>IF(AND(N2128="1521",MONTH(C2128)='BK-NL'!$M$11),"x","")</f>
        <v/>
      </c>
      <c r="AF2128" s="351">
        <v>8</v>
      </c>
    </row>
    <row r="2129" spans="1:32" s="351" customFormat="1" ht="15.75" hidden="1" customHeight="1">
      <c r="A2129" s="336" t="str">
        <f>IF(B2129&lt;&gt;"",IF(AND(B2129='IN-TC'!$S$4,OR(TH!N2129="1111",TH!O2129="1111")),TH!D2129,""),"")</f>
        <v/>
      </c>
      <c r="B2129" s="63">
        <f t="shared" ref="B2129:B2188" si="285">IF(C2129&lt;&gt;"",MONTH(C2129),"")</f>
        <v>8</v>
      </c>
      <c r="C2129" s="64">
        <v>42602</v>
      </c>
      <c r="D2129" s="64" t="s">
        <v>705</v>
      </c>
      <c r="E2129" s="64">
        <f t="shared" si="284"/>
        <v>42602</v>
      </c>
      <c r="F2129" s="67" t="s">
        <v>1146</v>
      </c>
      <c r="G2129" s="67" t="s">
        <v>919</v>
      </c>
      <c r="H2129" s="73" t="s">
        <v>763</v>
      </c>
      <c r="I2129" s="439"/>
      <c r="J2129" s="439"/>
      <c r="K2129" s="430"/>
      <c r="L2129" s="439"/>
      <c r="M2129" s="65">
        <v>250000000</v>
      </c>
      <c r="N2129" s="66" t="s">
        <v>63</v>
      </c>
      <c r="O2129" s="66" t="s">
        <v>26</v>
      </c>
      <c r="P2129" s="84" t="str">
        <f>IF(AND('331-CT'!$E$7=TH!H2129,OR(N2129="331",O2129="331")),"x","")</f>
        <v/>
      </c>
      <c r="Q2129" s="84" t="str">
        <f>IF(AND(B2129='111'!$L$11,OR($N2129=$Q$7,$O2129=$Q$7)),"x","")</f>
        <v/>
      </c>
      <c r="R2129" s="84" t="str">
        <f>IF(AND($N2129=$Q$7,$B2129&lt;'111'!$L$11),"x","")</f>
        <v/>
      </c>
      <c r="S2129" s="84" t="str">
        <f>IF(AND($O2129=$Q$7,$B2129&lt;'111'!$L$11),"x","")</f>
        <v/>
      </c>
      <c r="T2129" s="84" t="str">
        <f>IF(ISERROR(FIND('112'!$M$9,G2129,1)),"",IF((AND(FIND('112'!$M$9,G2129,1)&gt;=1,B2129='112'!$K$9,OR($N2129='112'!$I$6,$O2129='112'!$I$6))),"x",""))</f>
        <v/>
      </c>
      <c r="U2129" s="84" t="str">
        <f>IF(ISERROR(FIND('112'!$M$9,G2129,1)),"",IF((AND(LEFT(G2129,2)=LEFT('112'!$M$9,2),B2129&lt;'112'!$K$9,$N2129='112'!$I$6)),"x",""))</f>
        <v/>
      </c>
      <c r="V2129" s="84" t="str">
        <f>IF(ISERROR(FIND('112'!$M$9,G2129,1)),"",IF((AND(RIGHT(G2129,2)=RIGHT('112'!$M$9,2),B2129&lt;'112'!$K$9,$O2129='112'!$I$6)),"x",""))</f>
        <v/>
      </c>
      <c r="W2129" s="84" t="str">
        <f>IF(AND('341-CT'!$H$9=H2129,OR(LEFT(N2129,3)=$W$7,LEFT(O2129,3)=$W$7)),"x","")</f>
        <v/>
      </c>
      <c r="X2129" s="84" t="str">
        <f>IF(OR(TH!N2129=TH!$X$7,O2129=TH!$X$7),"x","")</f>
        <v/>
      </c>
      <c r="Y2129" s="84" t="str">
        <f>IF(AND(OR(N2129="131",O2129="131"),H2129='131-CT'!$H$9),"x","")</f>
        <v/>
      </c>
      <c r="Z2129" s="84"/>
      <c r="AA2129" s="84" t="str">
        <f>IF(AND(MONTH(E2129)='IN-NX'!$J$5,'IN-NX'!$D$7=D2129),"x","")</f>
        <v/>
      </c>
      <c r="AB2129" s="84" t="str">
        <f>IF(AND(OR(LEFT(TH!N2129,2)="15",LEFT(TH!O2129,2)="15"),LEFT(TH!O2129,3)&lt;&gt;"111",'152-CT'!$J$8=TH!F2129),"x","")</f>
        <v/>
      </c>
      <c r="AC2129" s="84" t="str">
        <f>IF(AND(OR(LEFT(TH!N2129,2)="15",LEFT(TH!O2129,2)="15"),TK!$E$7=TH!F2129),"x","")</f>
        <v/>
      </c>
      <c r="AD2129" s="84" t="str">
        <f>IF(AND(N2129="1521",MONTH(C2129)='BK-NL'!$M$11),"x","")</f>
        <v/>
      </c>
    </row>
    <row r="2130" spans="1:32" s="351" customFormat="1" ht="15.75" hidden="1" customHeight="1">
      <c r="A2130" s="336" t="str">
        <f>IF(B2130&lt;&gt;"",IF(AND(B2130='IN-TC'!$S$4,OR(TH!N2130="1111",TH!O2130="1111")),TH!D2130,""),"")</f>
        <v/>
      </c>
      <c r="B2130" s="63">
        <f t="shared" si="285"/>
        <v>8</v>
      </c>
      <c r="C2130" s="64">
        <v>42586</v>
      </c>
      <c r="D2130" s="64" t="s">
        <v>705</v>
      </c>
      <c r="E2130" s="64">
        <f t="shared" si="284"/>
        <v>42586</v>
      </c>
      <c r="F2130" s="67" t="s">
        <v>1890</v>
      </c>
      <c r="G2130" s="67" t="s">
        <v>918</v>
      </c>
      <c r="H2130" s="344" t="s">
        <v>742</v>
      </c>
      <c r="I2130" s="439"/>
      <c r="J2130" s="439"/>
      <c r="K2130" s="430"/>
      <c r="L2130" s="439"/>
      <c r="M2130" s="65">
        <v>2554552</v>
      </c>
      <c r="N2130" s="66" t="s">
        <v>99</v>
      </c>
      <c r="O2130" s="66" t="s">
        <v>26</v>
      </c>
      <c r="P2130" s="84" t="str">
        <f>IF(AND('331-CT'!$E$7=TH!H2130,OR(N2130="331",O2130="331")),"x","")</f>
        <v/>
      </c>
      <c r="Q2130" s="84" t="str">
        <f>IF(AND(B2130='111'!$L$11,OR($N2130=$Q$7,$O2130=$Q$7)),"x","")</f>
        <v/>
      </c>
      <c r="R2130" s="84" t="str">
        <f>IF(AND($N2130=$Q$7,$B2130&lt;'111'!$L$11),"x","")</f>
        <v/>
      </c>
      <c r="S2130" s="84" t="str">
        <f>IF(AND($O2130=$Q$7,$B2130&lt;'111'!$L$11),"x","")</f>
        <v/>
      </c>
      <c r="T2130" s="84" t="str">
        <f>IF(ISERROR(FIND('112'!$M$9,G2130,1)),"",IF((AND(FIND('112'!$M$9,G2130,1)&gt;=1,B2130='112'!$K$9,OR($N2130='112'!$I$6,$O2130='112'!$I$6))),"x",""))</f>
        <v/>
      </c>
      <c r="U2130" s="84" t="str">
        <f>IF(ISERROR(FIND('112'!$M$9,G2130,1)),"",IF((AND(LEFT(G2130,2)=LEFT('112'!$M$9,2),B2130&lt;'112'!$K$9,$N2130='112'!$I$6)),"x",""))</f>
        <v/>
      </c>
      <c r="V2130" s="84" t="str">
        <f>IF(ISERROR(FIND('112'!$M$9,G2130,1)),"",IF((AND(RIGHT(G2130,2)=RIGHT('112'!$M$9,2),B2130&lt;'112'!$K$9,$O2130='112'!$I$6)),"x",""))</f>
        <v/>
      </c>
      <c r="W2130" s="84" t="str">
        <f>IF(AND('341-CT'!$H$9=H2130,OR(LEFT(N2130,3)=$W$7,LEFT(O2130,3)=$W$7)),"x","")</f>
        <v/>
      </c>
      <c r="X2130" s="84" t="str">
        <f>IF(OR(TH!N2130=TH!$X$7,O2130=TH!$X$7),"x","")</f>
        <v/>
      </c>
      <c r="Y2130" s="84" t="str">
        <f>IF(AND(OR(N2130="131",O2130="131"),H2130='131-CT'!$H$9),"x","")</f>
        <v/>
      </c>
      <c r="Z2130" s="84"/>
      <c r="AA2130" s="84" t="str">
        <f>IF(AND(MONTH(E2130)='IN-NX'!$J$5,'IN-NX'!$D$7=D2130),"x","")</f>
        <v/>
      </c>
      <c r="AB2130" s="84" t="str">
        <f>IF(AND(OR(LEFT(TH!N2130,2)="15",LEFT(TH!O2130,2)="15"),LEFT(TH!O2130,3)&lt;&gt;"111",'152-CT'!$J$8=TH!F2130),"x","")</f>
        <v/>
      </c>
      <c r="AC2130" s="84" t="str">
        <f>IF(AND(OR(LEFT(TH!N2130,2)="15",LEFT(TH!O2130,2)="15"),TK!$E$7=TH!F2130),"x","")</f>
        <v/>
      </c>
      <c r="AD2130" s="84" t="str">
        <f>IF(AND(N2130="1521",MONTH(C2130)='BK-NL'!$M$11),"x","")</f>
        <v/>
      </c>
    </row>
    <row r="2131" spans="1:32" s="351" customFormat="1" ht="15.75" customHeight="1">
      <c r="A2131" s="336" t="str">
        <f>IF(B2131&lt;&gt;"",IF(AND(B2131='IN-TC'!$S$4,OR(TH!N2131="1111",TH!O2131="1111")),TH!D2131,""),"")</f>
        <v/>
      </c>
      <c r="B2131" s="63">
        <f t="shared" si="285"/>
        <v>8</v>
      </c>
      <c r="C2131" s="64">
        <v>42586</v>
      </c>
      <c r="D2131" s="64" t="s">
        <v>705</v>
      </c>
      <c r="E2131" s="64">
        <f t="shared" si="284"/>
        <v>42586</v>
      </c>
      <c r="F2131" s="67" t="s">
        <v>1199</v>
      </c>
      <c r="G2131" s="67" t="s">
        <v>918</v>
      </c>
      <c r="H2131" s="73"/>
      <c r="I2131" s="439"/>
      <c r="J2131" s="439"/>
      <c r="K2131" s="430"/>
      <c r="L2131" s="439"/>
      <c r="M2131" s="65">
        <v>20000</v>
      </c>
      <c r="N2131" s="66" t="s">
        <v>101</v>
      </c>
      <c r="O2131" s="66" t="s">
        <v>26</v>
      </c>
      <c r="P2131" s="84" t="str">
        <f>IF(AND('331-CT'!$E$7=TH!H2131,OR(N2131="331",O2131="331")),"x","")</f>
        <v/>
      </c>
      <c r="Q2131" s="84" t="str">
        <f>IF(AND(B2131='111'!$L$11,OR($N2131=$Q$7,$O2131=$Q$7)),"x","")</f>
        <v/>
      </c>
      <c r="R2131" s="84" t="str">
        <f>IF(AND($N2131=$Q$7,$B2131&lt;'111'!$L$11),"x","")</f>
        <v/>
      </c>
      <c r="S2131" s="84" t="str">
        <f>IF(AND($O2131=$Q$7,$B2131&lt;'111'!$L$11),"x","")</f>
        <v/>
      </c>
      <c r="T2131" s="84" t="str">
        <f>IF(ISERROR(FIND('112'!$M$9,G2131,1)),"",IF((AND(FIND('112'!$M$9,G2131,1)&gt;=1,B2131='112'!$K$9,OR($N2131='112'!$I$6,$O2131='112'!$I$6))),"x",""))</f>
        <v/>
      </c>
      <c r="U2131" s="84" t="str">
        <f>IF(ISERROR(FIND('112'!$M$9,G2131,1)),"",IF((AND(LEFT(G2131,2)=LEFT('112'!$M$9,2),B2131&lt;'112'!$K$9,$N2131='112'!$I$6)),"x",""))</f>
        <v/>
      </c>
      <c r="V2131" s="84" t="str">
        <f>IF(ISERROR(FIND('112'!$M$9,G2131,1)),"",IF((AND(RIGHT(G2131,2)=RIGHT('112'!$M$9,2),B2131&lt;'112'!$K$9,$O2131='112'!$I$6)),"x",""))</f>
        <v/>
      </c>
      <c r="W2131" s="84" t="str">
        <f>IF(AND('341-CT'!$H$9=H2131,OR(LEFT(N2131,3)=$W$7,LEFT(O2131,3)=$W$7)),"x","")</f>
        <v/>
      </c>
      <c r="X2131" s="84" t="str">
        <f>IF(OR(TH!N2131=TH!$X$7,O2131=TH!$X$7),"x","")</f>
        <v/>
      </c>
      <c r="Y2131" s="84" t="str">
        <f>IF(AND(OR(N2131="131",O2131="131"),H2131='131-CT'!$H$9),"x","")</f>
        <v/>
      </c>
      <c r="Z2131" s="84"/>
      <c r="AA2131" s="84" t="str">
        <f>IF(AND(MONTH(E2131)='IN-NX'!$J$5,'IN-NX'!$D$7=D2131),"x","")</f>
        <v/>
      </c>
      <c r="AB2131" s="84" t="str">
        <f>IF(AND(OR(LEFT(TH!N2131,2)="15",LEFT(TH!O2131,2)="15"),LEFT(TH!O2131,3)&lt;&gt;"111",'152-CT'!$J$8=TH!F2131),"x","")</f>
        <v/>
      </c>
      <c r="AC2131" s="84" t="str">
        <f>IF(AND(OR(LEFT(TH!N2131,2)="15",LEFT(TH!O2131,2)="15"),TK!$E$7=TH!F2131),"x","")</f>
        <v/>
      </c>
      <c r="AD2131" s="84" t="str">
        <f>IF(AND(N2131="1521",MONTH(C2131)='BK-NL'!$M$11),"x","")</f>
        <v/>
      </c>
      <c r="AF2131" s="351">
        <v>8</v>
      </c>
    </row>
    <row r="2132" spans="1:32" s="351" customFormat="1" ht="15.75" hidden="1" customHeight="1">
      <c r="A2132" s="336" t="str">
        <f>IF(B2132&lt;&gt;"",IF(AND(B2132='IN-TC'!$S$4,OR(TH!N2132="1111",TH!O2132="1111")),TH!D2132,""),"")</f>
        <v/>
      </c>
      <c r="B2132" s="63">
        <f t="shared" si="285"/>
        <v>8</v>
      </c>
      <c r="C2132" s="64">
        <v>42586</v>
      </c>
      <c r="D2132" s="64" t="s">
        <v>705</v>
      </c>
      <c r="E2132" s="64">
        <f t="shared" si="284"/>
        <v>42586</v>
      </c>
      <c r="F2132" s="67" t="s">
        <v>1200</v>
      </c>
      <c r="G2132" s="67" t="s">
        <v>918</v>
      </c>
      <c r="H2132" s="73"/>
      <c r="I2132" s="439"/>
      <c r="J2132" s="439"/>
      <c r="K2132" s="430"/>
      <c r="L2132" s="439"/>
      <c r="M2132" s="65">
        <v>2000</v>
      </c>
      <c r="N2132" s="84" t="s">
        <v>2001</v>
      </c>
      <c r="O2132" s="66" t="s">
        <v>26</v>
      </c>
      <c r="P2132" s="84" t="str">
        <f>IF(AND('331-CT'!$E$7=TH!H2132,OR(N2132="331",O2132="331")),"x","")</f>
        <v/>
      </c>
      <c r="Q2132" s="84" t="str">
        <f>IF(AND(B2132='111'!$L$11,OR($N2132=$Q$7,$O2132=$Q$7)),"x","")</f>
        <v/>
      </c>
      <c r="R2132" s="84" t="str">
        <f>IF(AND($N2132=$Q$7,$B2132&lt;'111'!$L$11),"x","")</f>
        <v/>
      </c>
      <c r="S2132" s="84" t="str">
        <f>IF(AND($O2132=$Q$7,$B2132&lt;'111'!$L$11),"x","")</f>
        <v/>
      </c>
      <c r="T2132" s="84" t="str">
        <f>IF(ISERROR(FIND('112'!$M$9,G2132,1)),"",IF((AND(FIND('112'!$M$9,G2132,1)&gt;=1,B2132='112'!$K$9,OR($N2132='112'!$I$6,$O2132='112'!$I$6))),"x",""))</f>
        <v/>
      </c>
      <c r="U2132" s="84" t="str">
        <f>IF(ISERROR(FIND('112'!$M$9,G2132,1)),"",IF((AND(LEFT(G2132,2)=LEFT('112'!$M$9,2),B2132&lt;'112'!$K$9,$N2132='112'!$I$6)),"x",""))</f>
        <v/>
      </c>
      <c r="V2132" s="84" t="str">
        <f>IF(ISERROR(FIND('112'!$M$9,G2132,1)),"",IF((AND(RIGHT(G2132,2)=RIGHT('112'!$M$9,2),B2132&lt;'112'!$K$9,$O2132='112'!$I$6)),"x",""))</f>
        <v/>
      </c>
      <c r="W2132" s="84" t="str">
        <f>IF(AND('341-CT'!$H$9=H2132,OR(LEFT(N2132,3)=$W$7,LEFT(O2132,3)=$W$7)),"x","")</f>
        <v/>
      </c>
      <c r="X2132" s="84" t="str">
        <f>IF(OR(TH!N2132=TH!$X$7,O2132=TH!$X$7),"x","")</f>
        <v/>
      </c>
      <c r="Y2132" s="84" t="str">
        <f>IF(AND(OR(N2132="131",O2132="131"),H2132='131-CT'!$H$9),"x","")</f>
        <v/>
      </c>
      <c r="Z2132" s="84"/>
      <c r="AA2132" s="84" t="str">
        <f>IF(AND(MONTH(E2132)='IN-NX'!$J$5,'IN-NX'!$D$7=D2132),"x","")</f>
        <v/>
      </c>
      <c r="AB2132" s="84" t="str">
        <f>IF(AND(OR(LEFT(TH!N2132,2)="15",LEFT(TH!O2132,2)="15"),LEFT(TH!O2132,3)&lt;&gt;"111",'152-CT'!$J$8=TH!F2132),"x","")</f>
        <v/>
      </c>
      <c r="AC2132" s="84" t="str">
        <f>IF(AND(OR(LEFT(TH!N2132,2)="15",LEFT(TH!O2132,2)="15"),TK!$E$7=TH!F2132),"x","")</f>
        <v/>
      </c>
      <c r="AD2132" s="84" t="str">
        <f>IF(AND(N2132="1521",MONTH(C2132)='BK-NL'!$M$11),"x","")</f>
        <v/>
      </c>
      <c r="AF2132" s="351">
        <v>8</v>
      </c>
    </row>
    <row r="2133" spans="1:32" s="351" customFormat="1" ht="15.75" hidden="1" customHeight="1">
      <c r="A2133" s="336" t="str">
        <f>IF(B2133&lt;&gt;"",IF(AND(B2133='IN-TC'!$S$4,OR(TH!N2133="1111",TH!O2133="1111")),TH!D2133,""),"")</f>
        <v/>
      </c>
      <c r="B2133" s="63">
        <f t="shared" si="285"/>
        <v>8</v>
      </c>
      <c r="C2133" s="64">
        <v>42598</v>
      </c>
      <c r="D2133" s="64" t="s">
        <v>705</v>
      </c>
      <c r="E2133" s="64">
        <f t="shared" si="284"/>
        <v>42598</v>
      </c>
      <c r="F2133" s="67" t="s">
        <v>1146</v>
      </c>
      <c r="G2133" s="67" t="s">
        <v>918</v>
      </c>
      <c r="H2133" s="73"/>
      <c r="I2133" s="439"/>
      <c r="J2133" s="439"/>
      <c r="K2133" s="430"/>
      <c r="L2133" s="439"/>
      <c r="M2133" s="65">
        <v>35600000</v>
      </c>
      <c r="N2133" s="66" t="s">
        <v>63</v>
      </c>
      <c r="O2133" s="66" t="s">
        <v>26</v>
      </c>
      <c r="P2133" s="84" t="str">
        <f>IF(AND('331-CT'!$E$7=TH!H2133,OR(N2133="331",O2133="331")),"x","")</f>
        <v/>
      </c>
      <c r="Q2133" s="84" t="str">
        <f>IF(AND(B2133='111'!$L$11,OR($N2133=$Q$7,$O2133=$Q$7)),"x","")</f>
        <v/>
      </c>
      <c r="R2133" s="84" t="str">
        <f>IF(AND($N2133=$Q$7,$B2133&lt;'111'!$L$11),"x","")</f>
        <v/>
      </c>
      <c r="S2133" s="84" t="str">
        <f>IF(AND($O2133=$Q$7,$B2133&lt;'111'!$L$11),"x","")</f>
        <v/>
      </c>
      <c r="T2133" s="84" t="str">
        <f>IF(ISERROR(FIND('112'!$M$9,G2133,1)),"",IF((AND(FIND('112'!$M$9,G2133,1)&gt;=1,B2133='112'!$K$9,OR($N2133='112'!$I$6,$O2133='112'!$I$6))),"x",""))</f>
        <v/>
      </c>
      <c r="U2133" s="84" t="str">
        <f>IF(ISERROR(FIND('112'!$M$9,G2133,1)),"",IF((AND(LEFT(G2133,2)=LEFT('112'!$M$9,2),B2133&lt;'112'!$K$9,$N2133='112'!$I$6)),"x",""))</f>
        <v/>
      </c>
      <c r="V2133" s="84" t="str">
        <f>IF(ISERROR(FIND('112'!$M$9,G2133,1)),"",IF((AND(RIGHT(G2133,2)=RIGHT('112'!$M$9,2),B2133&lt;'112'!$K$9,$O2133='112'!$I$6)),"x",""))</f>
        <v/>
      </c>
      <c r="W2133" s="84" t="str">
        <f>IF(AND('341-CT'!$H$9=H2133,OR(LEFT(N2133,3)=$W$7,LEFT(O2133,3)=$W$7)),"x","")</f>
        <v/>
      </c>
      <c r="X2133" s="84" t="str">
        <f>IF(OR(TH!N2133=TH!$X$7,O2133=TH!$X$7),"x","")</f>
        <v/>
      </c>
      <c r="Y2133" s="84" t="str">
        <f>IF(AND(OR(N2133="131",O2133="131"),H2133='131-CT'!$H$9),"x","")</f>
        <v/>
      </c>
      <c r="Z2133" s="84"/>
      <c r="AA2133" s="84" t="str">
        <f>IF(AND(MONTH(E2133)='IN-NX'!$J$5,'IN-NX'!$D$7=D2133),"x","")</f>
        <v/>
      </c>
      <c r="AB2133" s="84" t="str">
        <f>IF(AND(OR(LEFT(TH!N2133,2)="15",LEFT(TH!O2133,2)="15"),LEFT(TH!O2133,3)&lt;&gt;"111",'152-CT'!$J$8=TH!F2133),"x","")</f>
        <v/>
      </c>
      <c r="AC2133" s="84" t="str">
        <f>IF(AND(OR(LEFT(TH!N2133,2)="15",LEFT(TH!O2133,2)="15"),TK!$E$7=TH!F2133),"x","")</f>
        <v/>
      </c>
      <c r="AD2133" s="84" t="str">
        <f>IF(AND(N2133="1521",MONTH(C2133)='BK-NL'!$M$11),"x","")</f>
        <v/>
      </c>
    </row>
    <row r="2134" spans="1:32" s="351" customFormat="1" ht="15.75" customHeight="1">
      <c r="A2134" s="336" t="str">
        <f>IF(B2134&lt;&gt;"",IF(AND(B2134='IN-TC'!$S$4,OR(TH!N2134="1111",TH!O2134="1111")),TH!D2134,""),"")</f>
        <v/>
      </c>
      <c r="B2134" s="63">
        <f t="shared" si="285"/>
        <v>8</v>
      </c>
      <c r="C2134" s="64">
        <v>42598</v>
      </c>
      <c r="D2134" s="64" t="s">
        <v>705</v>
      </c>
      <c r="E2134" s="64">
        <f t="shared" si="284"/>
        <v>42598</v>
      </c>
      <c r="F2134" s="73" t="s">
        <v>1656</v>
      </c>
      <c r="G2134" s="67" t="s">
        <v>918</v>
      </c>
      <c r="H2134" s="344"/>
      <c r="I2134" s="439"/>
      <c r="J2134" s="439"/>
      <c r="K2134" s="430"/>
      <c r="L2134" s="439"/>
      <c r="M2134" s="65">
        <v>50000</v>
      </c>
      <c r="N2134" s="66" t="s">
        <v>101</v>
      </c>
      <c r="O2134" s="66" t="s">
        <v>26</v>
      </c>
      <c r="P2134" s="84" t="str">
        <f>IF(AND('331-CT'!$E$7=TH!H2134,OR(N2134="331",O2134="331")),"x","")</f>
        <v/>
      </c>
      <c r="Q2134" s="84" t="str">
        <f>IF(AND(B2134='111'!$L$11,OR($N2134=$Q$7,$O2134=$Q$7)),"x","")</f>
        <v/>
      </c>
      <c r="R2134" s="84" t="str">
        <f>IF(AND($N2134=$Q$7,$B2134&lt;'111'!$L$11),"x","")</f>
        <v/>
      </c>
      <c r="S2134" s="84" t="str">
        <f>IF(AND($O2134=$Q$7,$B2134&lt;'111'!$L$11),"x","")</f>
        <v/>
      </c>
      <c r="T2134" s="84" t="str">
        <f>IF(ISERROR(FIND('112'!$M$9,G2134,1)),"",IF((AND(FIND('112'!$M$9,G2134,1)&gt;=1,B2134='112'!$K$9,OR($N2134='112'!$I$6,$O2134='112'!$I$6))),"x",""))</f>
        <v/>
      </c>
      <c r="U2134" s="84" t="str">
        <f>IF(ISERROR(FIND('112'!$M$9,G2134,1)),"",IF((AND(LEFT(G2134,2)=LEFT('112'!$M$9,2),B2134&lt;'112'!$K$9,$N2134='112'!$I$6)),"x",""))</f>
        <v/>
      </c>
      <c r="V2134" s="84" t="str">
        <f>IF(ISERROR(FIND('112'!$M$9,G2134,1)),"",IF((AND(RIGHT(G2134,2)=RIGHT('112'!$M$9,2),B2134&lt;'112'!$K$9,$O2134='112'!$I$6)),"x",""))</f>
        <v/>
      </c>
      <c r="W2134" s="84" t="str">
        <f>IF(AND('341-CT'!$H$9=H2134,OR(LEFT(N2134,3)=$W$7,LEFT(O2134,3)=$W$7)),"x","")</f>
        <v/>
      </c>
      <c r="X2134" s="84" t="str">
        <f>IF(OR(TH!N2134=TH!$X$7,O2134=TH!$X$7),"x","")</f>
        <v/>
      </c>
      <c r="Y2134" s="84" t="str">
        <f>IF(AND(OR(N2134="131",O2134="131"),H2134='131-CT'!$H$9),"x","")</f>
        <v/>
      </c>
      <c r="Z2134" s="84"/>
      <c r="AA2134" s="84" t="str">
        <f>IF(AND(MONTH(E2134)='IN-NX'!$J$5,'IN-NX'!$D$7=D2134),"x","")</f>
        <v/>
      </c>
      <c r="AB2134" s="84" t="str">
        <f>IF(AND(OR(LEFT(TH!N2134,2)="15",LEFT(TH!O2134,2)="15"),LEFT(TH!O2134,3)&lt;&gt;"111",'152-CT'!$J$8=TH!F2134),"x","")</f>
        <v/>
      </c>
      <c r="AC2134" s="84" t="str">
        <f>IF(AND(OR(LEFT(TH!N2134,2)="15",LEFT(TH!O2134,2)="15"),TK!$E$7=TH!F2134),"x","")</f>
        <v/>
      </c>
      <c r="AD2134" s="84" t="str">
        <f>IF(AND(N2134="1521",MONTH(C2134)='BK-NL'!$M$11),"x","")</f>
        <v/>
      </c>
      <c r="AF2134" s="351">
        <v>8</v>
      </c>
    </row>
    <row r="2135" spans="1:32" s="351" customFormat="1" ht="15.75" hidden="1" customHeight="1">
      <c r="A2135" s="336" t="str">
        <f>IF(B2135&lt;&gt;"",IF(AND(B2135='IN-TC'!$S$4,OR(TH!N2135="1111",TH!O2135="1111")),TH!D2135,""),"")</f>
        <v/>
      </c>
      <c r="B2135" s="63">
        <f t="shared" si="285"/>
        <v>8</v>
      </c>
      <c r="C2135" s="64">
        <v>42598</v>
      </c>
      <c r="D2135" s="64" t="s">
        <v>705</v>
      </c>
      <c r="E2135" s="64">
        <f t="shared" si="284"/>
        <v>42598</v>
      </c>
      <c r="F2135" s="73" t="s">
        <v>1657</v>
      </c>
      <c r="G2135" s="67" t="s">
        <v>918</v>
      </c>
      <c r="H2135" s="344"/>
      <c r="I2135" s="439"/>
      <c r="J2135" s="439"/>
      <c r="K2135" s="430"/>
      <c r="L2135" s="439"/>
      <c r="M2135" s="65">
        <v>5000</v>
      </c>
      <c r="N2135" s="84" t="s">
        <v>2001</v>
      </c>
      <c r="O2135" s="66" t="s">
        <v>26</v>
      </c>
      <c r="P2135" s="84" t="str">
        <f>IF(AND('331-CT'!$E$7=TH!H2135,OR(N2135="331",O2135="331")),"x","")</f>
        <v/>
      </c>
      <c r="Q2135" s="84" t="str">
        <f>IF(AND(B2135='111'!$L$11,OR($N2135=$Q$7,$O2135=$Q$7)),"x","")</f>
        <v/>
      </c>
      <c r="R2135" s="84" t="str">
        <f>IF(AND($N2135=$Q$7,$B2135&lt;'111'!$L$11),"x","")</f>
        <v/>
      </c>
      <c r="S2135" s="84" t="str">
        <f>IF(AND($O2135=$Q$7,$B2135&lt;'111'!$L$11),"x","")</f>
        <v/>
      </c>
      <c r="T2135" s="84" t="str">
        <f>IF(ISERROR(FIND('112'!$M$9,G2135,1)),"",IF((AND(FIND('112'!$M$9,G2135,1)&gt;=1,B2135='112'!$K$9,OR($N2135='112'!$I$6,$O2135='112'!$I$6))),"x",""))</f>
        <v/>
      </c>
      <c r="U2135" s="84" t="str">
        <f>IF(ISERROR(FIND('112'!$M$9,G2135,1)),"",IF((AND(LEFT(G2135,2)=LEFT('112'!$M$9,2),B2135&lt;'112'!$K$9,$N2135='112'!$I$6)),"x",""))</f>
        <v/>
      </c>
      <c r="V2135" s="84" t="str">
        <f>IF(ISERROR(FIND('112'!$M$9,G2135,1)),"",IF((AND(RIGHT(G2135,2)=RIGHT('112'!$M$9,2),B2135&lt;'112'!$K$9,$O2135='112'!$I$6)),"x",""))</f>
        <v/>
      </c>
      <c r="W2135" s="84" t="str">
        <f>IF(AND('341-CT'!$H$9=H2135,OR(LEFT(N2135,3)=$W$7,LEFT(O2135,3)=$W$7)),"x","")</f>
        <v/>
      </c>
      <c r="X2135" s="84" t="str">
        <f>IF(OR(TH!N2135=TH!$X$7,O2135=TH!$X$7),"x","")</f>
        <v/>
      </c>
      <c r="Y2135" s="84" t="str">
        <f>IF(AND(OR(N2135="131",O2135="131"),H2135='131-CT'!$H$9),"x","")</f>
        <v/>
      </c>
      <c r="Z2135" s="84"/>
      <c r="AA2135" s="84" t="str">
        <f>IF(AND(MONTH(E2135)='IN-NX'!$J$5,'IN-NX'!$D$7=D2135),"x","")</f>
        <v/>
      </c>
      <c r="AB2135" s="84" t="str">
        <f>IF(AND(OR(LEFT(TH!N2135,2)="15",LEFT(TH!O2135,2)="15"),LEFT(TH!O2135,3)&lt;&gt;"111",'152-CT'!$J$8=TH!F2135),"x","")</f>
        <v/>
      </c>
      <c r="AC2135" s="84" t="str">
        <f>IF(AND(OR(LEFT(TH!N2135,2)="15",LEFT(TH!O2135,2)="15"),TK!$E$7=TH!F2135),"x","")</f>
        <v/>
      </c>
      <c r="AD2135" s="84" t="str">
        <f>IF(AND(N2135="1521",MONTH(C2135)='BK-NL'!$M$11),"x","")</f>
        <v/>
      </c>
      <c r="AF2135" s="351">
        <v>8</v>
      </c>
    </row>
    <row r="2136" spans="1:32" s="351" customFormat="1" ht="15.75" customHeight="1">
      <c r="A2136" s="336" t="str">
        <f>IF(B2136&lt;&gt;"",IF(AND(B2136='IN-TC'!$S$4,OR(TH!N2136="1111",TH!O2136="1111")),TH!D2136,""),"")</f>
        <v/>
      </c>
      <c r="B2136" s="63">
        <f t="shared" si="285"/>
        <v>8</v>
      </c>
      <c r="C2136" s="64">
        <v>42598</v>
      </c>
      <c r="D2136" s="64" t="s">
        <v>705</v>
      </c>
      <c r="E2136" s="64">
        <f t="shared" si="284"/>
        <v>42598</v>
      </c>
      <c r="F2136" s="73" t="s">
        <v>1656</v>
      </c>
      <c r="G2136" s="67" t="s">
        <v>918</v>
      </c>
      <c r="H2136" s="344"/>
      <c r="I2136" s="439"/>
      <c r="J2136" s="439"/>
      <c r="K2136" s="430"/>
      <c r="L2136" s="439"/>
      <c r="M2136" s="65">
        <v>50000</v>
      </c>
      <c r="N2136" s="66" t="s">
        <v>101</v>
      </c>
      <c r="O2136" s="66" t="s">
        <v>26</v>
      </c>
      <c r="P2136" s="84" t="str">
        <f>IF(AND('331-CT'!$E$7=TH!H2136,OR(N2136="331",O2136="331")),"x","")</f>
        <v/>
      </c>
      <c r="Q2136" s="84" t="str">
        <f>IF(AND(B2136='111'!$L$11,OR($N2136=$Q$7,$O2136=$Q$7)),"x","")</f>
        <v/>
      </c>
      <c r="R2136" s="84" t="str">
        <f>IF(AND($N2136=$Q$7,$B2136&lt;'111'!$L$11),"x","")</f>
        <v/>
      </c>
      <c r="S2136" s="84" t="str">
        <f>IF(AND($O2136=$Q$7,$B2136&lt;'111'!$L$11),"x","")</f>
        <v/>
      </c>
      <c r="T2136" s="84" t="str">
        <f>IF(ISERROR(FIND('112'!$M$9,G2136,1)),"",IF((AND(FIND('112'!$M$9,G2136,1)&gt;=1,B2136='112'!$K$9,OR($N2136='112'!$I$6,$O2136='112'!$I$6))),"x",""))</f>
        <v/>
      </c>
      <c r="U2136" s="84" t="str">
        <f>IF(ISERROR(FIND('112'!$M$9,G2136,1)),"",IF((AND(LEFT(G2136,2)=LEFT('112'!$M$9,2),B2136&lt;'112'!$K$9,$N2136='112'!$I$6)),"x",""))</f>
        <v/>
      </c>
      <c r="V2136" s="84" t="str">
        <f>IF(ISERROR(FIND('112'!$M$9,G2136,1)),"",IF((AND(RIGHT(G2136,2)=RIGHT('112'!$M$9,2),B2136&lt;'112'!$K$9,$O2136='112'!$I$6)),"x",""))</f>
        <v/>
      </c>
      <c r="W2136" s="84" t="str">
        <f>IF(AND('341-CT'!$H$9=H2136,OR(LEFT(N2136,3)=$W$7,LEFT(O2136,3)=$W$7)),"x","")</f>
        <v/>
      </c>
      <c r="X2136" s="84" t="str">
        <f>IF(OR(TH!N2136=TH!$X$7,O2136=TH!$X$7),"x","")</f>
        <v/>
      </c>
      <c r="Y2136" s="84" t="str">
        <f>IF(AND(OR(N2136="131",O2136="131"),H2136='131-CT'!$H$9),"x","")</f>
        <v/>
      </c>
      <c r="Z2136" s="84"/>
      <c r="AA2136" s="84" t="str">
        <f>IF(AND(MONTH(E2136)='IN-NX'!$J$5,'IN-NX'!$D$7=D2136),"x","")</f>
        <v/>
      </c>
      <c r="AB2136" s="84" t="str">
        <f>IF(AND(OR(LEFT(TH!N2136,2)="15",LEFT(TH!O2136,2)="15"),LEFT(TH!O2136,3)&lt;&gt;"111",'152-CT'!$J$8=TH!F2136),"x","")</f>
        <v/>
      </c>
      <c r="AC2136" s="84" t="str">
        <f>IF(AND(OR(LEFT(TH!N2136,2)="15",LEFT(TH!O2136,2)="15"),TK!$E$7=TH!F2136),"x","")</f>
        <v/>
      </c>
      <c r="AD2136" s="84" t="str">
        <f>IF(AND(N2136="1521",MONTH(C2136)='BK-NL'!$M$11),"x","")</f>
        <v/>
      </c>
      <c r="AF2136" s="351">
        <v>8</v>
      </c>
    </row>
    <row r="2137" spans="1:32" s="351" customFormat="1" ht="15.75" hidden="1" customHeight="1">
      <c r="A2137" s="336" t="str">
        <f>IF(B2137&lt;&gt;"",IF(AND(B2137='IN-TC'!$S$4,OR(TH!N2137="1111",TH!O2137="1111")),TH!D2137,""),"")</f>
        <v/>
      </c>
      <c r="B2137" s="63">
        <f t="shared" si="285"/>
        <v>8</v>
      </c>
      <c r="C2137" s="64">
        <v>42598</v>
      </c>
      <c r="D2137" s="64" t="s">
        <v>705</v>
      </c>
      <c r="E2137" s="64">
        <f t="shared" si="284"/>
        <v>42598</v>
      </c>
      <c r="F2137" s="73" t="s">
        <v>1657</v>
      </c>
      <c r="G2137" s="67" t="s">
        <v>918</v>
      </c>
      <c r="H2137" s="344"/>
      <c r="I2137" s="439"/>
      <c r="J2137" s="439"/>
      <c r="K2137" s="430"/>
      <c r="L2137" s="439"/>
      <c r="M2137" s="65">
        <v>5000</v>
      </c>
      <c r="N2137" s="84" t="s">
        <v>2001</v>
      </c>
      <c r="O2137" s="66" t="s">
        <v>26</v>
      </c>
      <c r="P2137" s="84" t="str">
        <f>IF(AND('331-CT'!$E$7=TH!H2137,OR(N2137="331",O2137="331")),"x","")</f>
        <v/>
      </c>
      <c r="Q2137" s="84" t="str">
        <f>IF(AND(B2137='111'!$L$11,OR($N2137=$Q$7,$O2137=$Q$7)),"x","")</f>
        <v/>
      </c>
      <c r="R2137" s="84" t="str">
        <f>IF(AND($N2137=$Q$7,$B2137&lt;'111'!$L$11),"x","")</f>
        <v/>
      </c>
      <c r="S2137" s="84" t="str">
        <f>IF(AND($O2137=$Q$7,$B2137&lt;'111'!$L$11),"x","")</f>
        <v/>
      </c>
      <c r="T2137" s="84" t="str">
        <f>IF(ISERROR(FIND('112'!$M$9,G2137,1)),"",IF((AND(FIND('112'!$M$9,G2137,1)&gt;=1,B2137='112'!$K$9,OR($N2137='112'!$I$6,$O2137='112'!$I$6))),"x",""))</f>
        <v/>
      </c>
      <c r="U2137" s="84" t="str">
        <f>IF(ISERROR(FIND('112'!$M$9,G2137,1)),"",IF((AND(LEFT(G2137,2)=LEFT('112'!$M$9,2),B2137&lt;'112'!$K$9,$N2137='112'!$I$6)),"x",""))</f>
        <v/>
      </c>
      <c r="V2137" s="84" t="str">
        <f>IF(ISERROR(FIND('112'!$M$9,G2137,1)),"",IF((AND(RIGHT(G2137,2)=RIGHT('112'!$M$9,2),B2137&lt;'112'!$K$9,$O2137='112'!$I$6)),"x",""))</f>
        <v/>
      </c>
      <c r="W2137" s="84" t="str">
        <f>IF(AND('341-CT'!$H$9=H2137,OR(LEFT(N2137,3)=$W$7,LEFT(O2137,3)=$W$7)),"x","")</f>
        <v/>
      </c>
      <c r="X2137" s="84" t="str">
        <f>IF(OR(TH!N2137=TH!$X$7,O2137=TH!$X$7),"x","")</f>
        <v/>
      </c>
      <c r="Y2137" s="84" t="str">
        <f>IF(AND(OR(N2137="131",O2137="131"),H2137='131-CT'!$H$9),"x","")</f>
        <v/>
      </c>
      <c r="Z2137" s="84"/>
      <c r="AA2137" s="84" t="str">
        <f>IF(AND(MONTH(E2137)='IN-NX'!$J$5,'IN-NX'!$D$7=D2137),"x","")</f>
        <v/>
      </c>
      <c r="AB2137" s="84" t="str">
        <f>IF(AND(OR(LEFT(TH!N2137,2)="15",LEFT(TH!O2137,2)="15"),LEFT(TH!O2137,3)&lt;&gt;"111",'152-CT'!$J$8=TH!F2137),"x","")</f>
        <v/>
      </c>
      <c r="AC2137" s="84" t="str">
        <f>IF(AND(OR(LEFT(TH!N2137,2)="15",LEFT(TH!O2137,2)="15"),TK!$E$7=TH!F2137),"x","")</f>
        <v/>
      </c>
      <c r="AD2137" s="84" t="str">
        <f>IF(AND(N2137="1521",MONTH(C2137)='BK-NL'!$M$11),"x","")</f>
        <v/>
      </c>
      <c r="AF2137" s="351">
        <v>8</v>
      </c>
    </row>
    <row r="2138" spans="1:32" s="351" customFormat="1" ht="15.75" hidden="1" customHeight="1">
      <c r="A2138" s="336" t="str">
        <f>IF(B2138&lt;&gt;"",IF(AND(B2138='IN-TC'!$S$4,OR(TH!N2138="1111",TH!O2138="1111")),TH!D2138,""),"")</f>
        <v/>
      </c>
      <c r="B2138" s="63">
        <f t="shared" si="285"/>
        <v>8</v>
      </c>
      <c r="C2138" s="64">
        <v>42606</v>
      </c>
      <c r="D2138" s="64" t="s">
        <v>705</v>
      </c>
      <c r="E2138" s="64">
        <f t="shared" si="284"/>
        <v>42606</v>
      </c>
      <c r="F2138" s="67" t="s">
        <v>1936</v>
      </c>
      <c r="G2138" s="67" t="s">
        <v>918</v>
      </c>
      <c r="H2138" s="73" t="s">
        <v>1662</v>
      </c>
      <c r="I2138" s="439"/>
      <c r="J2138" s="439"/>
      <c r="K2138" s="430"/>
      <c r="L2138" s="439"/>
      <c r="M2138" s="65">
        <v>28690200</v>
      </c>
      <c r="N2138" s="66" t="s">
        <v>8</v>
      </c>
      <c r="O2138" s="66" t="s">
        <v>26</v>
      </c>
      <c r="P2138" s="84" t="str">
        <f>IF(AND('331-CT'!$E$7=TH!H2138,OR(N2138="331",O2138="331")),"x","")</f>
        <v/>
      </c>
      <c r="Q2138" s="84" t="str">
        <f>IF(AND(B2138='111'!$L$11,OR($N2138=$Q$7,$O2138=$Q$7)),"x","")</f>
        <v/>
      </c>
      <c r="R2138" s="84" t="str">
        <f>IF(AND($N2138=$Q$7,$B2138&lt;'111'!$L$11),"x","")</f>
        <v/>
      </c>
      <c r="S2138" s="84" t="str">
        <f>IF(AND($O2138=$Q$7,$B2138&lt;'111'!$L$11),"x","")</f>
        <v/>
      </c>
      <c r="T2138" s="84" t="str">
        <f>IF(ISERROR(FIND('112'!$M$9,G2138,1)),"",IF((AND(FIND('112'!$M$9,G2138,1)&gt;=1,B2138='112'!$K$9,OR($N2138='112'!$I$6,$O2138='112'!$I$6))),"x",""))</f>
        <v/>
      </c>
      <c r="U2138" s="84" t="str">
        <f>IF(ISERROR(FIND('112'!$M$9,G2138,1)),"",IF((AND(LEFT(G2138,2)=LEFT('112'!$M$9,2),B2138&lt;'112'!$K$9,$N2138='112'!$I$6)),"x",""))</f>
        <v/>
      </c>
      <c r="V2138" s="84" t="str">
        <f>IF(ISERROR(FIND('112'!$M$9,G2138,1)),"",IF((AND(RIGHT(G2138,2)=RIGHT('112'!$M$9,2),B2138&lt;'112'!$K$9,$O2138='112'!$I$6)),"x",""))</f>
        <v/>
      </c>
      <c r="W2138" s="84" t="str">
        <f>IF(AND('341-CT'!$H$9=H2138,OR(LEFT(N2138,3)=$W$7,LEFT(O2138,3)=$W$7)),"x","")</f>
        <v/>
      </c>
      <c r="X2138" s="84" t="str">
        <f>IF(OR(TH!N2138=TH!$X$7,O2138=TH!$X$7),"x","")</f>
        <v/>
      </c>
      <c r="Y2138" s="84" t="str">
        <f>IF(AND(OR(N2138="131",O2138="131"),H2138='131-CT'!$H$9),"x","")</f>
        <v/>
      </c>
      <c r="Z2138" s="84"/>
      <c r="AA2138" s="84" t="str">
        <f>IF(AND(MONTH(E2138)='IN-NX'!$J$5,'IN-NX'!$D$7=D2138),"x","")</f>
        <v/>
      </c>
      <c r="AB2138" s="84" t="str">
        <f>IF(AND(OR(LEFT(TH!N2138,2)="15",LEFT(TH!O2138,2)="15"),LEFT(TH!O2138,3)&lt;&gt;"111",'152-CT'!$J$8=TH!F2138),"x","")</f>
        <v/>
      </c>
      <c r="AC2138" s="84" t="str">
        <f>IF(AND(OR(LEFT(TH!N2138,2)="15",LEFT(TH!O2138,2)="15"),TK!$E$7=TH!F2138),"x","")</f>
        <v/>
      </c>
      <c r="AD2138" s="84" t="str">
        <f>IF(AND(N2138="1521",MONTH(C2138)='BK-NL'!$M$11),"x","")</f>
        <v/>
      </c>
      <c r="AE2138" s="1146" t="str">
        <f>IF(H2138&lt;&gt;VLOOKUP(H2138,DSKH,1,0),"","x")</f>
        <v>x</v>
      </c>
    </row>
    <row r="2139" spans="1:32" s="351" customFormat="1" ht="15.75" customHeight="1">
      <c r="A2139" s="336" t="str">
        <f>IF(B2139&lt;&gt;"",IF(AND(B2139='IN-TC'!$S$4,OR(TH!N2139="1111",TH!O2139="1111")),TH!D2139,""),"")</f>
        <v/>
      </c>
      <c r="B2139" s="63">
        <f t="shared" si="285"/>
        <v>8</v>
      </c>
      <c r="C2139" s="64">
        <v>42606</v>
      </c>
      <c r="D2139" s="64" t="s">
        <v>705</v>
      </c>
      <c r="E2139" s="64">
        <f t="shared" si="284"/>
        <v>42606</v>
      </c>
      <c r="F2139" s="67" t="s">
        <v>1199</v>
      </c>
      <c r="G2139" s="67" t="s">
        <v>918</v>
      </c>
      <c r="H2139" s="73"/>
      <c r="I2139" s="439"/>
      <c r="J2139" s="439"/>
      <c r="K2139" s="430"/>
      <c r="L2139" s="439"/>
      <c r="M2139" s="65">
        <v>40000</v>
      </c>
      <c r="N2139" s="66" t="s">
        <v>101</v>
      </c>
      <c r="O2139" s="66" t="s">
        <v>26</v>
      </c>
      <c r="P2139" s="84" t="str">
        <f>IF(AND('331-CT'!$E$7=TH!H2139,OR(N2139="331",O2139="331")),"x","")</f>
        <v/>
      </c>
      <c r="Q2139" s="84" t="str">
        <f>IF(AND(B2139='111'!$L$11,OR($N2139=$Q$7,$O2139=$Q$7)),"x","")</f>
        <v/>
      </c>
      <c r="R2139" s="84" t="str">
        <f>IF(AND($N2139=$Q$7,$B2139&lt;'111'!$L$11),"x","")</f>
        <v/>
      </c>
      <c r="S2139" s="84" t="str">
        <f>IF(AND($O2139=$Q$7,$B2139&lt;'111'!$L$11),"x","")</f>
        <v/>
      </c>
      <c r="T2139" s="84" t="str">
        <f>IF(ISERROR(FIND('112'!$M$9,G2139,1)),"",IF((AND(FIND('112'!$M$9,G2139,1)&gt;=1,B2139='112'!$K$9,OR($N2139='112'!$I$6,$O2139='112'!$I$6))),"x",""))</f>
        <v/>
      </c>
      <c r="U2139" s="84" t="str">
        <f>IF(ISERROR(FIND('112'!$M$9,G2139,1)),"",IF((AND(LEFT(G2139,2)=LEFT('112'!$M$9,2),B2139&lt;'112'!$K$9,$N2139='112'!$I$6)),"x",""))</f>
        <v/>
      </c>
      <c r="V2139" s="84" t="str">
        <f>IF(ISERROR(FIND('112'!$M$9,G2139,1)),"",IF((AND(RIGHT(G2139,2)=RIGHT('112'!$M$9,2),B2139&lt;'112'!$K$9,$O2139='112'!$I$6)),"x",""))</f>
        <v/>
      </c>
      <c r="W2139" s="84" t="str">
        <f>IF(AND('341-CT'!$H$9=H2139,OR(LEFT(N2139,3)=$W$7,LEFT(O2139,3)=$W$7)),"x","")</f>
        <v/>
      </c>
      <c r="X2139" s="84" t="str">
        <f>IF(OR(TH!N2139=TH!$X$7,O2139=TH!$X$7),"x","")</f>
        <v/>
      </c>
      <c r="Y2139" s="84" t="str">
        <f>IF(AND(OR(N2139="131",O2139="131"),H2139='131-CT'!$H$9),"x","")</f>
        <v/>
      </c>
      <c r="Z2139" s="84"/>
      <c r="AA2139" s="84" t="str">
        <f>IF(AND(MONTH(E2139)='IN-NX'!$J$5,'IN-NX'!$D$7=D2139),"x","")</f>
        <v/>
      </c>
      <c r="AB2139" s="84" t="str">
        <f>IF(AND(OR(LEFT(TH!N2139,2)="15",LEFT(TH!O2139,2)="15"),LEFT(TH!O2139,3)&lt;&gt;"111",'152-CT'!$J$8=TH!F2139),"x","")</f>
        <v/>
      </c>
      <c r="AC2139" s="84" t="str">
        <f>IF(AND(OR(LEFT(TH!N2139,2)="15",LEFT(TH!O2139,2)="15"),TK!$E$7=TH!F2139),"x","")</f>
        <v/>
      </c>
      <c r="AD2139" s="84" t="str">
        <f>IF(AND(N2139="1521",MONTH(C2139)='BK-NL'!$M$11),"x","")</f>
        <v/>
      </c>
      <c r="AF2139" s="351">
        <v>8</v>
      </c>
    </row>
    <row r="2140" spans="1:32" s="351" customFormat="1" ht="15.75" hidden="1" customHeight="1">
      <c r="A2140" s="336" t="str">
        <f>IF(B2140&lt;&gt;"",IF(AND(B2140='IN-TC'!$S$4,OR(TH!N2140="1111",TH!O2140="1111")),TH!D2140,""),"")</f>
        <v/>
      </c>
      <c r="B2140" s="63">
        <f t="shared" si="285"/>
        <v>8</v>
      </c>
      <c r="C2140" s="64">
        <v>42606</v>
      </c>
      <c r="D2140" s="64" t="s">
        <v>705</v>
      </c>
      <c r="E2140" s="64">
        <f t="shared" si="284"/>
        <v>42606</v>
      </c>
      <c r="F2140" s="67" t="s">
        <v>1200</v>
      </c>
      <c r="G2140" s="67" t="s">
        <v>918</v>
      </c>
      <c r="H2140" s="73"/>
      <c r="I2140" s="439"/>
      <c r="J2140" s="439"/>
      <c r="K2140" s="430"/>
      <c r="L2140" s="439"/>
      <c r="M2140" s="65">
        <v>4000</v>
      </c>
      <c r="N2140" s="84" t="s">
        <v>2001</v>
      </c>
      <c r="O2140" s="66" t="s">
        <v>26</v>
      </c>
      <c r="P2140" s="84" t="str">
        <f>IF(AND('331-CT'!$E$7=TH!H2140,OR(N2140="331",O2140="331")),"x","")</f>
        <v/>
      </c>
      <c r="Q2140" s="84" t="str">
        <f>IF(AND(B2140='111'!$L$11,OR($N2140=$Q$7,$O2140=$Q$7)),"x","")</f>
        <v/>
      </c>
      <c r="R2140" s="84" t="str">
        <f>IF(AND($N2140=$Q$7,$B2140&lt;'111'!$L$11),"x","")</f>
        <v/>
      </c>
      <c r="S2140" s="84" t="str">
        <f>IF(AND($O2140=$Q$7,$B2140&lt;'111'!$L$11),"x","")</f>
        <v/>
      </c>
      <c r="T2140" s="84" t="str">
        <f>IF(ISERROR(FIND('112'!$M$9,G2140,1)),"",IF((AND(FIND('112'!$M$9,G2140,1)&gt;=1,B2140='112'!$K$9,OR($N2140='112'!$I$6,$O2140='112'!$I$6))),"x",""))</f>
        <v/>
      </c>
      <c r="U2140" s="84" t="str">
        <f>IF(ISERROR(FIND('112'!$M$9,G2140,1)),"",IF((AND(LEFT(G2140,2)=LEFT('112'!$M$9,2),B2140&lt;'112'!$K$9,$N2140='112'!$I$6)),"x",""))</f>
        <v/>
      </c>
      <c r="V2140" s="84" t="str">
        <f>IF(ISERROR(FIND('112'!$M$9,G2140,1)),"",IF((AND(RIGHT(G2140,2)=RIGHT('112'!$M$9,2),B2140&lt;'112'!$K$9,$O2140='112'!$I$6)),"x",""))</f>
        <v/>
      </c>
      <c r="W2140" s="84" t="str">
        <f>IF(AND('341-CT'!$H$9=H2140,OR(LEFT(N2140,3)=$W$7,LEFT(O2140,3)=$W$7)),"x","")</f>
        <v/>
      </c>
      <c r="X2140" s="84" t="str">
        <f>IF(OR(TH!N2140=TH!$X$7,O2140=TH!$X$7),"x","")</f>
        <v/>
      </c>
      <c r="Y2140" s="84" t="str">
        <f>IF(AND(OR(N2140="131",O2140="131"),H2140='131-CT'!$H$9),"x","")</f>
        <v/>
      </c>
      <c r="Z2140" s="84"/>
      <c r="AA2140" s="84" t="str">
        <f>IF(AND(MONTH(E2140)='IN-NX'!$J$5,'IN-NX'!$D$7=D2140),"x","")</f>
        <v/>
      </c>
      <c r="AB2140" s="84" t="str">
        <f>IF(AND(OR(LEFT(TH!N2140,2)="15",LEFT(TH!O2140,2)="15"),LEFT(TH!O2140,3)&lt;&gt;"111",'152-CT'!$J$8=TH!F2140),"x","")</f>
        <v/>
      </c>
      <c r="AC2140" s="84" t="str">
        <f>IF(AND(OR(LEFT(TH!N2140,2)="15",LEFT(TH!O2140,2)="15"),TK!$E$7=TH!F2140),"x","")</f>
        <v/>
      </c>
      <c r="AD2140" s="84" t="str">
        <f>IF(AND(N2140="1521",MONTH(C2140)='BK-NL'!$M$11),"x","")</f>
        <v/>
      </c>
      <c r="AF2140" s="351">
        <v>8</v>
      </c>
    </row>
    <row r="2141" spans="1:32" s="351" customFormat="1" ht="15.75" hidden="1" customHeight="1">
      <c r="A2141" s="336" t="str">
        <f>IF(B2141&lt;&gt;"",IF(AND(B2141='IN-TC'!$S$4,OR(TH!N2141="1111",TH!O2141="1111")),TH!D2141,""),"")</f>
        <v/>
      </c>
      <c r="B2141" s="63">
        <f t="shared" si="285"/>
        <v>8</v>
      </c>
      <c r="C2141" s="64">
        <v>42611</v>
      </c>
      <c r="D2141" s="64" t="s">
        <v>705</v>
      </c>
      <c r="E2141" s="64">
        <f t="shared" si="284"/>
        <v>42611</v>
      </c>
      <c r="F2141" s="67" t="s">
        <v>1201</v>
      </c>
      <c r="G2141" s="67" t="s">
        <v>1928</v>
      </c>
      <c r="H2141" s="73"/>
      <c r="I2141" s="439"/>
      <c r="J2141" s="439"/>
      <c r="K2141" s="430"/>
      <c r="L2141" s="439"/>
      <c r="M2141" s="65">
        <v>210000000</v>
      </c>
      <c r="N2141" s="66" t="s">
        <v>26</v>
      </c>
      <c r="O2141" s="66" t="s">
        <v>26</v>
      </c>
      <c r="P2141" s="84" t="str">
        <f>IF(AND('331-CT'!$E$7=TH!H2141,OR(N2141="331",O2141="331")),"x","")</f>
        <v/>
      </c>
      <c r="Q2141" s="84" t="str">
        <f>IF(AND(B2141='111'!$L$11,OR($N2141=$Q$7,$O2141=$Q$7)),"x","")</f>
        <v/>
      </c>
      <c r="R2141" s="84" t="str">
        <f>IF(AND($N2141=$Q$7,$B2141&lt;'111'!$L$11),"x","")</f>
        <v/>
      </c>
      <c r="S2141" s="84" t="str">
        <f>IF(AND($O2141=$Q$7,$B2141&lt;'111'!$L$11),"x","")</f>
        <v/>
      </c>
      <c r="T2141" s="84" t="str">
        <f>IF(ISERROR(FIND('112'!$M$9,G2141,1)),"",IF((AND(FIND('112'!$M$9,G2141,1)&gt;=1,B2141='112'!$K$9,OR($N2141='112'!$I$6,$O2141='112'!$I$6))),"x",""))</f>
        <v/>
      </c>
      <c r="U2141" s="84" t="str">
        <f>IF(ISERROR(FIND('112'!$M$9,G2141,1)),"",IF((AND(LEFT(G2141,2)=LEFT('112'!$M$9,2),B2141&lt;'112'!$K$9,$N2141='112'!$I$6)),"x",""))</f>
        <v/>
      </c>
      <c r="V2141" s="84" t="str">
        <f>IF(ISERROR(FIND('112'!$M$9,G2141,1)),"",IF((AND(RIGHT(G2141,2)=RIGHT('112'!$M$9,2),B2141&lt;'112'!$K$9,$O2141='112'!$I$6)),"x",""))</f>
        <v/>
      </c>
      <c r="W2141" s="84" t="str">
        <f>IF(AND('341-CT'!$H$9=H2141,OR(LEFT(N2141,3)=$W$7,LEFT(O2141,3)=$W$7)),"x","")</f>
        <v/>
      </c>
      <c r="X2141" s="84" t="str">
        <f>IF(OR(TH!N2141=TH!$X$7,O2141=TH!$X$7),"x","")</f>
        <v/>
      </c>
      <c r="Y2141" s="84" t="str">
        <f>IF(AND(OR(N2141="131",O2141="131"),H2141='131-CT'!$H$9),"x","")</f>
        <v/>
      </c>
      <c r="Z2141" s="84"/>
      <c r="AA2141" s="84" t="str">
        <f>IF(AND(MONTH(E2141)='IN-NX'!$J$5,'IN-NX'!$D$7=D2141),"x","")</f>
        <v/>
      </c>
      <c r="AB2141" s="84" t="str">
        <f>IF(AND(OR(LEFT(TH!N2141,2)="15",LEFT(TH!O2141,2)="15"),LEFT(TH!O2141,3)&lt;&gt;"111",'152-CT'!$J$8=TH!F2141),"x","")</f>
        <v/>
      </c>
      <c r="AC2141" s="84" t="str">
        <f>IF(AND(OR(LEFT(TH!N2141,2)="15",LEFT(TH!O2141,2)="15"),TK!$E$7=TH!F2141),"x","")</f>
        <v/>
      </c>
      <c r="AD2141" s="84" t="str">
        <f>IF(AND(N2141="1521",MONTH(C2141)='BK-NL'!$M$11),"x","")</f>
        <v/>
      </c>
    </row>
    <row r="2142" spans="1:32" s="351" customFormat="1" ht="15.75" customHeight="1">
      <c r="A2142" s="336" t="str">
        <f>IF(B2142&lt;&gt;"",IF(AND(B2142='IN-TC'!$S$4,OR(TH!N2142="1111",TH!O2142="1111")),TH!D2142,""),"")</f>
        <v/>
      </c>
      <c r="B2142" s="63">
        <f t="shared" si="285"/>
        <v>8</v>
      </c>
      <c r="C2142" s="64">
        <v>42611</v>
      </c>
      <c r="D2142" s="64" t="s">
        <v>705</v>
      </c>
      <c r="E2142" s="64">
        <f t="shared" si="284"/>
        <v>42611</v>
      </c>
      <c r="F2142" s="67" t="s">
        <v>1199</v>
      </c>
      <c r="G2142" s="67" t="s">
        <v>918</v>
      </c>
      <c r="H2142" s="73"/>
      <c r="I2142" s="439"/>
      <c r="J2142" s="439"/>
      <c r="K2142" s="430"/>
      <c r="L2142" s="439"/>
      <c r="M2142" s="65">
        <v>63000</v>
      </c>
      <c r="N2142" s="66" t="s">
        <v>101</v>
      </c>
      <c r="O2142" s="66" t="s">
        <v>26</v>
      </c>
      <c r="P2142" s="84" t="str">
        <f>IF(AND('331-CT'!$E$7=TH!H2142,OR(N2142="331",O2142="331")),"x","")</f>
        <v/>
      </c>
      <c r="Q2142" s="84" t="str">
        <f>IF(AND(B2142='111'!$L$11,OR($N2142=$Q$7,$O2142=$Q$7)),"x","")</f>
        <v/>
      </c>
      <c r="R2142" s="84" t="str">
        <f>IF(AND($N2142=$Q$7,$B2142&lt;'111'!$L$11),"x","")</f>
        <v/>
      </c>
      <c r="S2142" s="84" t="str">
        <f>IF(AND($O2142=$Q$7,$B2142&lt;'111'!$L$11),"x","")</f>
        <v/>
      </c>
      <c r="T2142" s="84" t="str">
        <f>IF(ISERROR(FIND('112'!$M$9,G2142,1)),"",IF((AND(FIND('112'!$M$9,G2142,1)&gt;=1,B2142='112'!$K$9,OR($N2142='112'!$I$6,$O2142='112'!$I$6))),"x",""))</f>
        <v/>
      </c>
      <c r="U2142" s="84" t="str">
        <f>IF(ISERROR(FIND('112'!$M$9,G2142,1)),"",IF((AND(LEFT(G2142,2)=LEFT('112'!$M$9,2),B2142&lt;'112'!$K$9,$N2142='112'!$I$6)),"x",""))</f>
        <v/>
      </c>
      <c r="V2142" s="84" t="str">
        <f>IF(ISERROR(FIND('112'!$M$9,G2142,1)),"",IF((AND(RIGHT(G2142,2)=RIGHT('112'!$M$9,2),B2142&lt;'112'!$K$9,$O2142='112'!$I$6)),"x",""))</f>
        <v/>
      </c>
      <c r="W2142" s="84" t="str">
        <f>IF(AND('341-CT'!$H$9=H2142,OR(LEFT(N2142,3)=$W$7,LEFT(O2142,3)=$W$7)),"x","")</f>
        <v/>
      </c>
      <c r="X2142" s="84" t="str">
        <f>IF(OR(TH!N2142=TH!$X$7,O2142=TH!$X$7),"x","")</f>
        <v/>
      </c>
      <c r="Y2142" s="84" t="str">
        <f>IF(AND(OR(N2142="131",O2142="131"),H2142='131-CT'!$H$9),"x","")</f>
        <v/>
      </c>
      <c r="Z2142" s="84"/>
      <c r="AA2142" s="84" t="str">
        <f>IF(AND(MONTH(E2142)='IN-NX'!$J$5,'IN-NX'!$D$7=D2142),"x","")</f>
        <v/>
      </c>
      <c r="AB2142" s="84" t="str">
        <f>IF(AND(OR(LEFT(TH!N2142,2)="15",LEFT(TH!O2142,2)="15"),LEFT(TH!O2142,3)&lt;&gt;"111",'152-CT'!$J$8=TH!F2142),"x","")</f>
        <v/>
      </c>
      <c r="AC2142" s="84" t="str">
        <f>IF(AND(OR(LEFT(TH!N2142,2)="15",LEFT(TH!O2142,2)="15"),TK!$E$7=TH!F2142),"x","")</f>
        <v/>
      </c>
      <c r="AD2142" s="84" t="str">
        <f>IF(AND(N2142="1521",MONTH(C2142)='BK-NL'!$M$11),"x","")</f>
        <v/>
      </c>
      <c r="AE2142" s="1146"/>
      <c r="AF2142" s="351">
        <v>8</v>
      </c>
    </row>
    <row r="2143" spans="1:32" s="351" customFormat="1" ht="15.75" hidden="1" customHeight="1">
      <c r="A2143" s="336" t="str">
        <f>IF(B2143&lt;&gt;"",IF(AND(B2143='IN-TC'!$S$4,OR(TH!N2143="1111",TH!O2143="1111")),TH!D2143,""),"")</f>
        <v/>
      </c>
      <c r="B2143" s="63">
        <f t="shared" si="285"/>
        <v>8</v>
      </c>
      <c r="C2143" s="64">
        <v>42611</v>
      </c>
      <c r="D2143" s="64" t="s">
        <v>705</v>
      </c>
      <c r="E2143" s="64">
        <f t="shared" si="284"/>
        <v>42611</v>
      </c>
      <c r="F2143" s="67" t="s">
        <v>1200</v>
      </c>
      <c r="G2143" s="67" t="s">
        <v>918</v>
      </c>
      <c r="H2143" s="73"/>
      <c r="I2143" s="439"/>
      <c r="J2143" s="439"/>
      <c r="K2143" s="430"/>
      <c r="L2143" s="439"/>
      <c r="M2143" s="65">
        <v>6300</v>
      </c>
      <c r="N2143" s="66" t="s">
        <v>2001</v>
      </c>
      <c r="O2143" s="66" t="s">
        <v>26</v>
      </c>
      <c r="P2143" s="84" t="str">
        <f>IF(AND('331-CT'!$E$7=TH!H2143,OR(N2143="331",O2143="331")),"x","")</f>
        <v/>
      </c>
      <c r="Q2143" s="84" t="str">
        <f>IF(AND(B2143='111'!$L$11,OR($N2143=$Q$7,$O2143=$Q$7)),"x","")</f>
        <v/>
      </c>
      <c r="R2143" s="84" t="str">
        <f>IF(AND($N2143=$Q$7,$B2143&lt;'111'!$L$11),"x","")</f>
        <v/>
      </c>
      <c r="S2143" s="84" t="str">
        <f>IF(AND($O2143=$Q$7,$B2143&lt;'111'!$L$11),"x","")</f>
        <v/>
      </c>
      <c r="T2143" s="84" t="str">
        <f>IF(ISERROR(FIND('112'!$M$9,G2143,1)),"",IF((AND(FIND('112'!$M$9,G2143,1)&gt;=1,B2143='112'!$K$9,OR($N2143='112'!$I$6,$O2143='112'!$I$6))),"x",""))</f>
        <v/>
      </c>
      <c r="U2143" s="84" t="str">
        <f>IF(ISERROR(FIND('112'!$M$9,G2143,1)),"",IF((AND(LEFT(G2143,2)=LEFT('112'!$M$9,2),B2143&lt;'112'!$K$9,$N2143='112'!$I$6)),"x",""))</f>
        <v/>
      </c>
      <c r="V2143" s="84" t="str">
        <f>IF(ISERROR(FIND('112'!$M$9,G2143,1)),"",IF((AND(RIGHT(G2143,2)=RIGHT('112'!$M$9,2),B2143&lt;'112'!$K$9,$O2143='112'!$I$6)),"x",""))</f>
        <v/>
      </c>
      <c r="W2143" s="84" t="str">
        <f>IF(AND('341-CT'!$H$9=H2143,OR(LEFT(N2143,3)=$W$7,LEFT(O2143,3)=$W$7)),"x","")</f>
        <v/>
      </c>
      <c r="X2143" s="84" t="str">
        <f>IF(OR(TH!N2143=TH!$X$7,O2143=TH!$X$7),"x","")</f>
        <v/>
      </c>
      <c r="Y2143" s="84" t="str">
        <f>IF(AND(OR(N2143="131",O2143="131"),H2143='131-CT'!$H$9),"x","")</f>
        <v/>
      </c>
      <c r="Z2143" s="84"/>
      <c r="AA2143" s="84" t="str">
        <f>IF(AND(MONTH(E2143)='IN-NX'!$J$5,'IN-NX'!$D$7=D2143),"x","")</f>
        <v/>
      </c>
      <c r="AB2143" s="84" t="str">
        <f>IF(AND(OR(LEFT(TH!N2143,2)="15",LEFT(TH!O2143,2)="15"),LEFT(TH!O2143,3)&lt;&gt;"111",'152-CT'!$J$8=TH!F2143),"x","")</f>
        <v/>
      </c>
      <c r="AC2143" s="84" t="str">
        <f>IF(AND(OR(LEFT(TH!N2143,2)="15",LEFT(TH!O2143,2)="15"),TK!$E$7=TH!F2143),"x","")</f>
        <v/>
      </c>
      <c r="AD2143" s="84" t="str">
        <f>IF(AND(N2143="1521",MONTH(C2143)='BK-NL'!$M$11),"x","")</f>
        <v/>
      </c>
      <c r="AF2143" s="351">
        <v>8</v>
      </c>
    </row>
    <row r="2144" spans="1:32" s="347" customFormat="1" ht="15.75" customHeight="1">
      <c r="A2144" s="1176" t="str">
        <f>IF(B2144&lt;&gt;"",IF(AND(B2144='IN-TC'!$S$4,OR(TH!N2144="1111",TH!O2144="1111")),TH!D2144,""),"")</f>
        <v/>
      </c>
      <c r="B2144" s="1003">
        <f t="shared" ref="B2144:B2171" si="286">IF(C2144&lt;&gt;"",MONTH(C2144),"")</f>
        <v>8</v>
      </c>
      <c r="C2144" s="80">
        <v>42613</v>
      </c>
      <c r="D2144" s="80" t="s">
        <v>582</v>
      </c>
      <c r="E2144" s="80">
        <v>42585</v>
      </c>
      <c r="F2144" s="81" t="s">
        <v>1754</v>
      </c>
      <c r="G2144" s="985" t="s">
        <v>1842</v>
      </c>
      <c r="H2144" s="82" t="s">
        <v>1756</v>
      </c>
      <c r="I2144" s="437">
        <v>750</v>
      </c>
      <c r="J2144" s="437">
        <v>42727.273000000001</v>
      </c>
      <c r="K2144" s="428"/>
      <c r="L2144" s="437"/>
      <c r="M2144" s="83">
        <f>ROUND(I2144*J2144,0)</f>
        <v>32045455</v>
      </c>
      <c r="N2144" s="84" t="s">
        <v>101</v>
      </c>
      <c r="O2144" s="84" t="s">
        <v>8</v>
      </c>
      <c r="P2144" s="84" t="str">
        <f>IF(AND('331-CT'!$E$7=TH!H2144,OR(N2144="331",O2144="331")),"x","")</f>
        <v/>
      </c>
      <c r="Q2144" s="84" t="str">
        <f>IF(AND(B2144='111'!$L$11,OR($N2144=$Q$7,$O2144=$Q$7)),"x","")</f>
        <v/>
      </c>
      <c r="R2144" s="84" t="str">
        <f>IF(AND($N2144=$Q$7,$B2144&lt;'111'!$L$11),"x","")</f>
        <v/>
      </c>
      <c r="S2144" s="84" t="str">
        <f>IF(AND($O2144=$Q$7,$B2144&lt;'111'!$L$11),"x","")</f>
        <v/>
      </c>
      <c r="T2144" s="84" t="str">
        <f>IF(ISERROR(FIND('112'!$M$9,G2144,1)),"",IF((AND(FIND('112'!$M$9,G2144,1)&gt;=1,B2144='112'!$K$9,OR($N2144='112'!$I$6,$O2144='112'!$I$6))),"x",""))</f>
        <v/>
      </c>
      <c r="U2144" s="84" t="str">
        <f>IF(ISERROR(FIND('112'!$M$9,G2144,1)),"",IF((AND(LEFT(G2144,2)=LEFT('112'!$M$9,2),B2144&lt;'112'!$K$9,$N2144='112'!$I$6)),"x",""))</f>
        <v/>
      </c>
      <c r="V2144" s="84" t="str">
        <f>IF(ISERROR(FIND('112'!$M$9,G2144,1)),"",IF((AND(RIGHT(G2144,2)=RIGHT('112'!$M$9,2),B2144&lt;'112'!$K$9,$O2144='112'!$I$6)),"x",""))</f>
        <v/>
      </c>
      <c r="W2144" s="84" t="str">
        <f>IF(AND('341-CT'!$H$9=H2144,OR(LEFT(N2144,3)=$W$7,LEFT(O2144,3)=$W$7)),"x","")</f>
        <v/>
      </c>
      <c r="X2144" s="84" t="str">
        <f>IF(OR(TH!N2144=TH!$X$7,O2144=TH!$X$7),"x","")</f>
        <v/>
      </c>
      <c r="Y2144" s="84" t="str">
        <f>IF(AND(OR(N2144="131",O2144="131"),H2144='131-CT'!$H$9),"x","")</f>
        <v/>
      </c>
      <c r="Z2144" s="84"/>
      <c r="AA2144" s="84" t="str">
        <f>IF(AND(MONTH(E2144)='IN-NX'!$J$5,'IN-NX'!$D$7=D2144),"x","")</f>
        <v/>
      </c>
      <c r="AB2144" s="84" t="str">
        <f>IF(AND(OR(LEFT(TH!N2144,2)="15",LEFT(TH!O2144,2)="15"),LEFT(TH!O2144,3)&lt;&gt;"111",'152-CT'!$J$8=TH!F2144),"x","")</f>
        <v/>
      </c>
      <c r="AC2144" s="84" t="str">
        <f>IF(AND(OR(LEFT(TH!N2144,2)="15",LEFT(TH!O2144,2)="15"),TK!$E$7=TH!F2144),"x","")</f>
        <v/>
      </c>
      <c r="AD2144" s="84" t="str">
        <f>IF(AND(N2144="1521",MONTH(C2144)='BK-NL'!$M$11),"x","")</f>
        <v/>
      </c>
      <c r="AE2144" s="343" t="str">
        <f t="shared" ref="AE2144:AE2171" si="287">IF(H2144&lt;&gt;VLOOKUP(H2144,DSKH,1,0),"","x")</f>
        <v>x</v>
      </c>
      <c r="AF2144" s="351">
        <v>8</v>
      </c>
    </row>
    <row r="2145" spans="1:32" s="347" customFormat="1" ht="15.75" hidden="1" customHeight="1">
      <c r="A2145" s="1176" t="str">
        <f>IF(B2145&lt;&gt;"",IF(AND(B2145='IN-TC'!$S$4,OR(TH!N2145="1111",TH!O2145="1111")),TH!D2145,""),"")</f>
        <v/>
      </c>
      <c r="B2145" s="1003">
        <f t="shared" si="286"/>
        <v>8</v>
      </c>
      <c r="C2145" s="80">
        <v>42613</v>
      </c>
      <c r="D2145" s="80" t="s">
        <v>582</v>
      </c>
      <c r="E2145" s="80">
        <v>42585</v>
      </c>
      <c r="F2145" s="81" t="s">
        <v>1755</v>
      </c>
      <c r="G2145" s="985" t="s">
        <v>1842</v>
      </c>
      <c r="H2145" s="82" t="s">
        <v>1756</v>
      </c>
      <c r="I2145" s="437"/>
      <c r="J2145" s="437"/>
      <c r="K2145" s="428"/>
      <c r="L2145" s="437"/>
      <c r="M2145" s="83">
        <v>3204545</v>
      </c>
      <c r="N2145" s="84" t="s">
        <v>2001</v>
      </c>
      <c r="O2145" s="84" t="s">
        <v>8</v>
      </c>
      <c r="P2145" s="84" t="str">
        <f>IF(AND('331-CT'!$E$7=TH!H2145,OR(N2145="331",O2145="331")),"x","")</f>
        <v/>
      </c>
      <c r="Q2145" s="84" t="str">
        <f>IF(AND(B2145='111'!$L$11,OR($N2145=$Q$7,$O2145=$Q$7)),"x","")</f>
        <v/>
      </c>
      <c r="R2145" s="84" t="str">
        <f>IF(AND($N2145=$Q$7,$B2145&lt;'111'!$L$11),"x","")</f>
        <v/>
      </c>
      <c r="S2145" s="84" t="str">
        <f>IF(AND($O2145=$Q$7,$B2145&lt;'111'!$L$11),"x","")</f>
        <v/>
      </c>
      <c r="T2145" s="84" t="str">
        <f>IF(ISERROR(FIND('112'!$M$9,G2145,1)),"",IF((AND(FIND('112'!$M$9,G2145,1)&gt;=1,B2145='112'!$K$9,OR($N2145='112'!$I$6,$O2145='112'!$I$6))),"x",""))</f>
        <v/>
      </c>
      <c r="U2145" s="84" t="str">
        <f>IF(ISERROR(FIND('112'!$M$9,G2145,1)),"",IF((AND(LEFT(G2145,2)=LEFT('112'!$M$9,2),B2145&lt;'112'!$K$9,$N2145='112'!$I$6)),"x",""))</f>
        <v/>
      </c>
      <c r="V2145" s="84" t="str">
        <f>IF(ISERROR(FIND('112'!$M$9,G2145,1)),"",IF((AND(RIGHT(G2145,2)=RIGHT('112'!$M$9,2),B2145&lt;'112'!$K$9,$O2145='112'!$I$6)),"x",""))</f>
        <v/>
      </c>
      <c r="W2145" s="84" t="str">
        <f>IF(AND('341-CT'!$H$9=H2145,OR(LEFT(N2145,3)=$W$7,LEFT(O2145,3)=$W$7)),"x","")</f>
        <v/>
      </c>
      <c r="X2145" s="84" t="str">
        <f>IF(OR(TH!N2145=TH!$X$7,O2145=TH!$X$7),"x","")</f>
        <v/>
      </c>
      <c r="Y2145" s="84" t="str">
        <f>IF(AND(OR(N2145="131",O2145="131"),H2145='131-CT'!$H$9),"x","")</f>
        <v/>
      </c>
      <c r="Z2145" s="84"/>
      <c r="AA2145" s="84" t="str">
        <f>IF(AND(MONTH(E2145)='IN-NX'!$J$5,'IN-NX'!$D$7=D2145),"x","")</f>
        <v/>
      </c>
      <c r="AB2145" s="84" t="str">
        <f>IF(AND(OR(LEFT(TH!N2145,2)="15",LEFT(TH!O2145,2)="15"),LEFT(TH!O2145,3)&lt;&gt;"111",'152-CT'!$J$8=TH!F2145),"x","")</f>
        <v/>
      </c>
      <c r="AC2145" s="84" t="str">
        <f>IF(AND(OR(LEFT(TH!N2145,2)="15",LEFT(TH!O2145,2)="15"),TK!$E$7=TH!F2145),"x","")</f>
        <v/>
      </c>
      <c r="AD2145" s="84" t="str">
        <f>IF(AND(N2145="1521",MONTH(C2145)='BK-NL'!$M$11),"x","")</f>
        <v/>
      </c>
      <c r="AE2145" s="343" t="str">
        <f t="shared" si="287"/>
        <v>x</v>
      </c>
      <c r="AF2145" s="351">
        <v>8</v>
      </c>
    </row>
    <row r="2146" spans="1:32" s="347" customFormat="1" ht="15.75" hidden="1" customHeight="1">
      <c r="A2146" s="1176" t="str">
        <f>IF(B2146&lt;&gt;"",IF(AND(B2146='IN-TC'!$S$4,OR(TH!N2146="1111",TH!O2146="1111")),TH!D2146,""),"")</f>
        <v/>
      </c>
      <c r="B2146" s="1003">
        <f t="shared" si="286"/>
        <v>8</v>
      </c>
      <c r="C2146" s="80">
        <v>42613</v>
      </c>
      <c r="D2146" s="80" t="s">
        <v>582</v>
      </c>
      <c r="E2146" s="80">
        <v>42586</v>
      </c>
      <c r="F2146" s="81" t="s">
        <v>1176</v>
      </c>
      <c r="G2146" s="985" t="s">
        <v>1856</v>
      </c>
      <c r="H2146" s="82" t="s">
        <v>629</v>
      </c>
      <c r="I2146" s="437"/>
      <c r="J2146" s="437"/>
      <c r="K2146" s="428"/>
      <c r="L2146" s="437"/>
      <c r="M2146" s="83">
        <v>2775000</v>
      </c>
      <c r="N2146" s="84" t="s">
        <v>591</v>
      </c>
      <c r="O2146" s="84" t="s">
        <v>8</v>
      </c>
      <c r="P2146" s="84" t="str">
        <f>IF(AND('331-CT'!$E$7=TH!H2146,OR(N2146="331",O2146="331")),"x","")</f>
        <v/>
      </c>
      <c r="Q2146" s="84" t="str">
        <f>IF(AND(B2146='111'!$L$11,OR($N2146=$Q$7,$O2146=$Q$7)),"x","")</f>
        <v/>
      </c>
      <c r="R2146" s="84" t="str">
        <f>IF(AND($N2146=$Q$7,$B2146&lt;'111'!$L$11),"x","")</f>
        <v/>
      </c>
      <c r="S2146" s="84" t="str">
        <f>IF(AND($O2146=$Q$7,$B2146&lt;'111'!$L$11),"x","")</f>
        <v/>
      </c>
      <c r="T2146" s="84" t="str">
        <f>IF(ISERROR(FIND('112'!$M$9,G2146,1)),"",IF((AND(FIND('112'!$M$9,G2146,1)&gt;=1,B2146='112'!$K$9,OR($N2146='112'!$I$6,$O2146='112'!$I$6))),"x",""))</f>
        <v/>
      </c>
      <c r="U2146" s="84" t="str">
        <f>IF(ISERROR(FIND('112'!$M$9,G2146,1)),"",IF((AND(LEFT(G2146,2)=LEFT('112'!$M$9,2),B2146&lt;'112'!$K$9,$N2146='112'!$I$6)),"x",""))</f>
        <v/>
      </c>
      <c r="V2146" s="84" t="str">
        <f>IF(ISERROR(FIND('112'!$M$9,G2146,1)),"",IF((AND(RIGHT(G2146,2)=RIGHT('112'!$M$9,2),B2146&lt;'112'!$K$9,$O2146='112'!$I$6)),"x",""))</f>
        <v/>
      </c>
      <c r="W2146" s="84" t="str">
        <f>IF(AND('341-CT'!$H$9=H2146,OR(LEFT(N2146,3)=$W$7,LEFT(O2146,3)=$W$7)),"x","")</f>
        <v/>
      </c>
      <c r="X2146" s="84" t="str">
        <f>IF(OR(TH!N2146=TH!$X$7,O2146=TH!$X$7),"x","")</f>
        <v/>
      </c>
      <c r="Y2146" s="84" t="str">
        <f>IF(AND(OR(N2146="131",O2146="131"),H2146='131-CT'!$H$9),"x","")</f>
        <v/>
      </c>
      <c r="Z2146" s="84"/>
      <c r="AA2146" s="84" t="str">
        <f>IF(AND(MONTH(E2146)='IN-NX'!$J$5,'IN-NX'!$D$7=D2146),"x","")</f>
        <v/>
      </c>
      <c r="AB2146" s="84" t="str">
        <f>IF(AND(OR(LEFT(TH!N2146,2)="15",LEFT(TH!O2146,2)="15"),LEFT(TH!O2146,3)&lt;&gt;"111",'152-CT'!$J$8=TH!F2146),"x","")</f>
        <v/>
      </c>
      <c r="AC2146" s="84" t="str">
        <f>IF(AND(OR(LEFT(TH!N2146,2)="15",LEFT(TH!O2146,2)="15"),TK!$E$7=TH!F2146),"x","")</f>
        <v/>
      </c>
      <c r="AD2146" s="84" t="str">
        <f>IF(AND(N2146="1521",MONTH(C2146)='BK-NL'!$M$11),"x","")</f>
        <v/>
      </c>
      <c r="AE2146" s="343" t="str">
        <f t="shared" si="287"/>
        <v>x</v>
      </c>
    </row>
    <row r="2147" spans="1:32" s="347" customFormat="1" ht="15.75" hidden="1" customHeight="1">
      <c r="A2147" s="1176" t="str">
        <f>IF(B2147&lt;&gt;"",IF(AND(B2147='IN-TC'!$S$4,OR(TH!N2147="1111",TH!O2147="1111")),TH!D2147,""),"")</f>
        <v/>
      </c>
      <c r="B2147" s="1003">
        <f t="shared" si="286"/>
        <v>8</v>
      </c>
      <c r="C2147" s="80">
        <v>42613</v>
      </c>
      <c r="D2147" s="80" t="s">
        <v>582</v>
      </c>
      <c r="E2147" s="80">
        <v>42586</v>
      </c>
      <c r="F2147" s="81" t="s">
        <v>638</v>
      </c>
      <c r="G2147" s="985" t="s">
        <v>1857</v>
      </c>
      <c r="H2147" s="82" t="s">
        <v>629</v>
      </c>
      <c r="I2147" s="437"/>
      <c r="J2147" s="437"/>
      <c r="K2147" s="428"/>
      <c r="L2147" s="437"/>
      <c r="M2147" s="83">
        <v>420000</v>
      </c>
      <c r="N2147" s="84" t="s">
        <v>591</v>
      </c>
      <c r="O2147" s="84" t="s">
        <v>8</v>
      </c>
      <c r="P2147" s="84" t="str">
        <f>IF(AND('331-CT'!$E$7=TH!H2147,OR(N2147="331",O2147="331")),"x","")</f>
        <v/>
      </c>
      <c r="Q2147" s="84" t="str">
        <f>IF(AND(B2147='111'!$L$11,OR($N2147=$Q$7,$O2147=$Q$7)),"x","")</f>
        <v/>
      </c>
      <c r="R2147" s="84" t="str">
        <f>IF(AND($N2147=$Q$7,$B2147&lt;'111'!$L$11),"x","")</f>
        <v/>
      </c>
      <c r="S2147" s="84" t="str">
        <f>IF(AND($O2147=$Q$7,$B2147&lt;'111'!$L$11),"x","")</f>
        <v/>
      </c>
      <c r="T2147" s="84" t="str">
        <f>IF(ISERROR(FIND('112'!$M$9,G2147,1)),"",IF((AND(FIND('112'!$M$9,G2147,1)&gt;=1,B2147='112'!$K$9,OR($N2147='112'!$I$6,$O2147='112'!$I$6))),"x",""))</f>
        <v/>
      </c>
      <c r="U2147" s="84" t="str">
        <f>IF(ISERROR(FIND('112'!$M$9,G2147,1)),"",IF((AND(LEFT(G2147,2)=LEFT('112'!$M$9,2),B2147&lt;'112'!$K$9,$N2147='112'!$I$6)),"x",""))</f>
        <v/>
      </c>
      <c r="V2147" s="84" t="str">
        <f>IF(ISERROR(FIND('112'!$M$9,G2147,1)),"",IF((AND(RIGHT(G2147,2)=RIGHT('112'!$M$9,2),B2147&lt;'112'!$K$9,$O2147='112'!$I$6)),"x",""))</f>
        <v/>
      </c>
      <c r="W2147" s="84" t="str">
        <f>IF(AND('341-CT'!$H$9=H2147,OR(LEFT(N2147,3)=$W$7,LEFT(O2147,3)=$W$7)),"x","")</f>
        <v/>
      </c>
      <c r="X2147" s="84" t="str">
        <f>IF(OR(TH!N2147=TH!$X$7,O2147=TH!$X$7),"x","")</f>
        <v/>
      </c>
      <c r="Y2147" s="84" t="str">
        <f>IF(AND(OR(N2147="131",O2147="131"),H2147='131-CT'!$H$9),"x","")</f>
        <v/>
      </c>
      <c r="Z2147" s="84"/>
      <c r="AA2147" s="84" t="str">
        <f>IF(AND(MONTH(E2147)='IN-NX'!$J$5,'IN-NX'!$D$7=D2147),"x","")</f>
        <v/>
      </c>
      <c r="AB2147" s="84" t="str">
        <f>IF(AND(OR(LEFT(TH!N2147,2)="15",LEFT(TH!O2147,2)="15"),LEFT(TH!O2147,3)&lt;&gt;"111",'152-CT'!$J$8=TH!F2147),"x","")</f>
        <v/>
      </c>
      <c r="AC2147" s="84" t="str">
        <f>IF(AND(OR(LEFT(TH!N2147,2)="15",LEFT(TH!O2147,2)="15"),TK!$E$7=TH!F2147),"x","")</f>
        <v/>
      </c>
      <c r="AD2147" s="84" t="str">
        <f>IF(AND(N2147="1521",MONTH(C2147)='BK-NL'!$M$11),"x","")</f>
        <v/>
      </c>
      <c r="AE2147" s="343" t="str">
        <f t="shared" si="287"/>
        <v>x</v>
      </c>
    </row>
    <row r="2148" spans="1:32" s="347" customFormat="1" ht="15.75" hidden="1" customHeight="1">
      <c r="A2148" s="1176" t="str">
        <f>IF(B2148&lt;&gt;"",IF(AND(B2148='IN-TC'!$S$4,OR(TH!N2148="1111",TH!O2148="1111")),TH!D2148,""),"")</f>
        <v/>
      </c>
      <c r="B2148" s="1003">
        <f t="shared" si="286"/>
        <v>8</v>
      </c>
      <c r="C2148" s="80">
        <v>42613</v>
      </c>
      <c r="D2148" s="80" t="s">
        <v>582</v>
      </c>
      <c r="E2148" s="80">
        <v>42586</v>
      </c>
      <c r="F2148" s="81" t="s">
        <v>1176</v>
      </c>
      <c r="G2148" s="985" t="s">
        <v>1858</v>
      </c>
      <c r="H2148" s="82" t="s">
        <v>629</v>
      </c>
      <c r="I2148" s="437"/>
      <c r="J2148" s="437"/>
      <c r="K2148" s="428"/>
      <c r="L2148" s="437"/>
      <c r="M2148" s="83">
        <v>6440000</v>
      </c>
      <c r="N2148" s="84" t="s">
        <v>591</v>
      </c>
      <c r="O2148" s="84" t="s">
        <v>8</v>
      </c>
      <c r="P2148" s="84" t="str">
        <f>IF(AND('331-CT'!$E$7=TH!H2148,OR(N2148="331",O2148="331")),"x","")</f>
        <v/>
      </c>
      <c r="Q2148" s="84" t="str">
        <f>IF(AND(B2148='111'!$L$11,OR($N2148=$Q$7,$O2148=$Q$7)),"x","")</f>
        <v/>
      </c>
      <c r="R2148" s="84" t="str">
        <f>IF(AND($N2148=$Q$7,$B2148&lt;'111'!$L$11),"x","")</f>
        <v/>
      </c>
      <c r="S2148" s="84" t="str">
        <f>IF(AND($O2148=$Q$7,$B2148&lt;'111'!$L$11),"x","")</f>
        <v/>
      </c>
      <c r="T2148" s="84" t="str">
        <f>IF(ISERROR(FIND('112'!$M$9,G2148,1)),"",IF((AND(FIND('112'!$M$9,G2148,1)&gt;=1,B2148='112'!$K$9,OR($N2148='112'!$I$6,$O2148='112'!$I$6))),"x",""))</f>
        <v/>
      </c>
      <c r="U2148" s="84" t="str">
        <f>IF(ISERROR(FIND('112'!$M$9,G2148,1)),"",IF((AND(LEFT(G2148,2)=LEFT('112'!$M$9,2),B2148&lt;'112'!$K$9,$N2148='112'!$I$6)),"x",""))</f>
        <v/>
      </c>
      <c r="V2148" s="84" t="str">
        <f>IF(ISERROR(FIND('112'!$M$9,G2148,1)),"",IF((AND(RIGHT(G2148,2)=RIGHT('112'!$M$9,2),B2148&lt;'112'!$K$9,$O2148='112'!$I$6)),"x",""))</f>
        <v/>
      </c>
      <c r="W2148" s="84" t="str">
        <f>IF(AND('341-CT'!$H$9=H2148,OR(LEFT(N2148,3)=$W$7,LEFT(O2148,3)=$W$7)),"x","")</f>
        <v/>
      </c>
      <c r="X2148" s="84" t="str">
        <f>IF(OR(TH!N2148=TH!$X$7,O2148=TH!$X$7),"x","")</f>
        <v/>
      </c>
      <c r="Y2148" s="84" t="str">
        <f>IF(AND(OR(N2148="131",O2148="131"),H2148='131-CT'!$H$9),"x","")</f>
        <v/>
      </c>
      <c r="Z2148" s="84"/>
      <c r="AA2148" s="84" t="str">
        <f>IF(AND(MONTH(E2148)='IN-NX'!$J$5,'IN-NX'!$D$7=D2148),"x","")</f>
        <v/>
      </c>
      <c r="AB2148" s="84" t="str">
        <f>IF(AND(OR(LEFT(TH!N2148,2)="15",LEFT(TH!O2148,2)="15"),LEFT(TH!O2148,3)&lt;&gt;"111",'152-CT'!$J$8=TH!F2148),"x","")</f>
        <v/>
      </c>
      <c r="AC2148" s="84" t="str">
        <f>IF(AND(OR(LEFT(TH!N2148,2)="15",LEFT(TH!O2148,2)="15"),TK!$E$7=TH!F2148),"x","")</f>
        <v/>
      </c>
      <c r="AD2148" s="84" t="str">
        <f>IF(AND(N2148="1521",MONTH(C2148)='BK-NL'!$M$11),"x","")</f>
        <v/>
      </c>
      <c r="AE2148" s="343" t="str">
        <f t="shared" si="287"/>
        <v>x</v>
      </c>
    </row>
    <row r="2149" spans="1:32" s="347" customFormat="1" ht="15.75" customHeight="1">
      <c r="A2149" s="1176" t="str">
        <f>IF(B2149&lt;&gt;"",IF(AND(B2149='IN-TC'!$S$4,OR(TH!N2149="1111",TH!O2149="1111")),TH!D2149,""),"")</f>
        <v/>
      </c>
      <c r="B2149" s="1003">
        <f t="shared" si="286"/>
        <v>8</v>
      </c>
      <c r="C2149" s="80">
        <v>42613</v>
      </c>
      <c r="D2149" s="80" t="s">
        <v>582</v>
      </c>
      <c r="E2149" s="80">
        <v>42589</v>
      </c>
      <c r="F2149" s="81" t="s">
        <v>1860</v>
      </c>
      <c r="G2149" s="985" t="s">
        <v>1865</v>
      </c>
      <c r="H2149" s="82" t="s">
        <v>632</v>
      </c>
      <c r="I2149" s="437"/>
      <c r="J2149" s="437"/>
      <c r="K2149" s="428"/>
      <c r="L2149" s="437"/>
      <c r="M2149" s="83">
        <v>29528100</v>
      </c>
      <c r="N2149" s="84" t="s">
        <v>282</v>
      </c>
      <c r="O2149" s="84" t="s">
        <v>8</v>
      </c>
      <c r="P2149" s="84" t="str">
        <f>IF(AND('331-CT'!$E$7=TH!H2149,OR(N2149="331",O2149="331")),"x","")</f>
        <v/>
      </c>
      <c r="Q2149" s="84" t="str">
        <f>IF(AND(B2149='111'!$L$11,OR($N2149=$Q$7,$O2149=$Q$7)),"x","")</f>
        <v/>
      </c>
      <c r="R2149" s="84" t="str">
        <f>IF(AND($N2149=$Q$7,$B2149&lt;'111'!$L$11),"x","")</f>
        <v/>
      </c>
      <c r="S2149" s="84" t="str">
        <f>IF(AND($O2149=$Q$7,$B2149&lt;'111'!$L$11),"x","")</f>
        <v/>
      </c>
      <c r="T2149" s="84" t="str">
        <f>IF(ISERROR(FIND('112'!$M$9,G2149,1)),"",IF((AND(FIND('112'!$M$9,G2149,1)&gt;=1,B2149='112'!$K$9,OR($N2149='112'!$I$6,$O2149='112'!$I$6))),"x",""))</f>
        <v/>
      </c>
      <c r="U2149" s="84" t="str">
        <f>IF(ISERROR(FIND('112'!$M$9,G2149,1)),"",IF((AND(LEFT(G2149,2)=LEFT('112'!$M$9,2),B2149&lt;'112'!$K$9,$N2149='112'!$I$6)),"x",""))</f>
        <v/>
      </c>
      <c r="V2149" s="84" t="str">
        <f>IF(ISERROR(FIND('112'!$M$9,G2149,1)),"",IF((AND(RIGHT(G2149,2)=RIGHT('112'!$M$9,2),B2149&lt;'112'!$K$9,$O2149='112'!$I$6)),"x",""))</f>
        <v/>
      </c>
      <c r="W2149" s="84" t="str">
        <f>IF(AND('341-CT'!$H$9=H2149,OR(LEFT(N2149,3)=$W$7,LEFT(O2149,3)=$W$7)),"x","")</f>
        <v/>
      </c>
      <c r="X2149" s="84" t="str">
        <f>IF(OR(TH!N2149=TH!$X$7,O2149=TH!$X$7),"x","")</f>
        <v/>
      </c>
      <c r="Y2149" s="84" t="str">
        <f>IF(AND(OR(N2149="131",O2149="131"),H2149='131-CT'!$H$9),"x","")</f>
        <v/>
      </c>
      <c r="Z2149" s="84"/>
      <c r="AA2149" s="84" t="str">
        <f>IF(AND(MONTH(E2149)='IN-NX'!$J$5,'IN-NX'!$D$7=D2149),"x","")</f>
        <v/>
      </c>
      <c r="AB2149" s="84" t="str">
        <f>IF(AND(OR(LEFT(TH!N2149,2)="15",LEFT(TH!O2149,2)="15"),LEFT(TH!O2149,3)&lt;&gt;"111",'152-CT'!$J$8=TH!F2149),"x","")</f>
        <v/>
      </c>
      <c r="AC2149" s="84" t="str">
        <f>IF(AND(OR(LEFT(TH!N2149,2)="15",LEFT(TH!O2149,2)="15"),TK!$E$7=TH!F2149),"x","")</f>
        <v/>
      </c>
      <c r="AD2149" s="84" t="str">
        <f>IF(AND(N2149="1521",MONTH(C2149)='BK-NL'!$M$11),"x","")</f>
        <v/>
      </c>
      <c r="AE2149" s="343" t="str">
        <f t="shared" si="287"/>
        <v>x</v>
      </c>
      <c r="AF2149" s="347">
        <v>8</v>
      </c>
    </row>
    <row r="2150" spans="1:32" s="347" customFormat="1" ht="15.75" hidden="1" customHeight="1">
      <c r="A2150" s="1176" t="str">
        <f>IF(B2150&lt;&gt;"",IF(AND(B2150='IN-TC'!$S$4,OR(TH!N2150="1111",TH!O2150="1111")),TH!D2150,""),"")</f>
        <v/>
      </c>
      <c r="B2150" s="1003">
        <f t="shared" si="286"/>
        <v>8</v>
      </c>
      <c r="C2150" s="80">
        <v>42613</v>
      </c>
      <c r="D2150" s="80" t="s">
        <v>582</v>
      </c>
      <c r="E2150" s="80">
        <v>42589</v>
      </c>
      <c r="F2150" s="81" t="s">
        <v>1859</v>
      </c>
      <c r="G2150" s="985" t="s">
        <v>1865</v>
      </c>
      <c r="H2150" s="82" t="s">
        <v>632</v>
      </c>
      <c r="I2150" s="437"/>
      <c r="J2150" s="437"/>
      <c r="K2150" s="428"/>
      <c r="L2150" s="437"/>
      <c r="M2150" s="83">
        <v>2952810</v>
      </c>
      <c r="N2150" s="84" t="s">
        <v>2001</v>
      </c>
      <c r="O2150" s="84" t="s">
        <v>8</v>
      </c>
      <c r="P2150" s="84" t="str">
        <f>IF(AND('331-CT'!$E$7=TH!H2150,OR(N2150="331",O2150="331")),"x","")</f>
        <v/>
      </c>
      <c r="Q2150" s="84" t="str">
        <f>IF(AND(B2150='111'!$L$11,OR($N2150=$Q$7,$O2150=$Q$7)),"x","")</f>
        <v/>
      </c>
      <c r="R2150" s="84" t="str">
        <f>IF(AND($N2150=$Q$7,$B2150&lt;'111'!$L$11),"x","")</f>
        <v/>
      </c>
      <c r="S2150" s="84" t="str">
        <f>IF(AND($O2150=$Q$7,$B2150&lt;'111'!$L$11),"x","")</f>
        <v/>
      </c>
      <c r="T2150" s="84" t="str">
        <f>IF(ISERROR(FIND('112'!$M$9,G2150,1)),"",IF((AND(FIND('112'!$M$9,G2150,1)&gt;=1,B2150='112'!$K$9,OR($N2150='112'!$I$6,$O2150='112'!$I$6))),"x",""))</f>
        <v/>
      </c>
      <c r="U2150" s="84" t="str">
        <f>IF(ISERROR(FIND('112'!$M$9,G2150,1)),"",IF((AND(LEFT(G2150,2)=LEFT('112'!$M$9,2),B2150&lt;'112'!$K$9,$N2150='112'!$I$6)),"x",""))</f>
        <v/>
      </c>
      <c r="V2150" s="84" t="str">
        <f>IF(ISERROR(FIND('112'!$M$9,G2150,1)),"",IF((AND(RIGHT(G2150,2)=RIGHT('112'!$M$9,2),B2150&lt;'112'!$K$9,$O2150='112'!$I$6)),"x",""))</f>
        <v/>
      </c>
      <c r="W2150" s="84" t="str">
        <f>IF(AND('341-CT'!$H$9=H2150,OR(LEFT(N2150,3)=$W$7,LEFT(O2150,3)=$W$7)),"x","")</f>
        <v/>
      </c>
      <c r="X2150" s="84" t="str">
        <f>IF(OR(TH!N2150=TH!$X$7,O2150=TH!$X$7),"x","")</f>
        <v/>
      </c>
      <c r="Y2150" s="84" t="str">
        <f>IF(AND(OR(N2150="131",O2150="131"),H2150='131-CT'!$H$9),"x","")</f>
        <v/>
      </c>
      <c r="Z2150" s="84"/>
      <c r="AA2150" s="84" t="str">
        <f>IF(AND(MONTH(E2150)='IN-NX'!$J$5,'IN-NX'!$D$7=D2150),"x","")</f>
        <v/>
      </c>
      <c r="AB2150" s="84" t="str">
        <f>IF(AND(OR(LEFT(TH!N2150,2)="15",LEFT(TH!O2150,2)="15"),LEFT(TH!O2150,3)&lt;&gt;"111",'152-CT'!$J$8=TH!F2150),"x","")</f>
        <v/>
      </c>
      <c r="AC2150" s="84" t="str">
        <f>IF(AND(OR(LEFT(TH!N2150,2)="15",LEFT(TH!O2150,2)="15"),TK!$E$7=TH!F2150),"x","")</f>
        <v/>
      </c>
      <c r="AD2150" s="84" t="str">
        <f>IF(AND(N2150="1521",MONTH(C2150)='BK-NL'!$M$11),"x","")</f>
        <v/>
      </c>
      <c r="AE2150" s="343" t="str">
        <f t="shared" si="287"/>
        <v>x</v>
      </c>
      <c r="AF2150" s="347">
        <v>8</v>
      </c>
    </row>
    <row r="2151" spans="1:32" s="347" customFormat="1" ht="15.75" hidden="1" customHeight="1">
      <c r="A2151" s="1176" t="str">
        <f>IF(B2151&lt;&gt;"",IF(AND(B2151='IN-TC'!$S$4,OR(TH!N2166="1111",TH!O2166="1111")),TH!D2166,""),"")</f>
        <v/>
      </c>
      <c r="B2151" s="1003">
        <f t="shared" si="286"/>
        <v>8</v>
      </c>
      <c r="C2151" s="80">
        <v>42613</v>
      </c>
      <c r="D2151" s="80" t="s">
        <v>582</v>
      </c>
      <c r="E2151" s="80">
        <v>42590</v>
      </c>
      <c r="F2151" s="81" t="s">
        <v>1507</v>
      </c>
      <c r="G2151" s="985" t="s">
        <v>1879</v>
      </c>
      <c r="H2151" s="82" t="s">
        <v>1505</v>
      </c>
      <c r="I2151" s="437"/>
      <c r="J2151" s="437"/>
      <c r="K2151" s="428"/>
      <c r="L2151" s="437"/>
      <c r="M2151" s="83">
        <v>21213500</v>
      </c>
      <c r="N2151" s="84" t="s">
        <v>591</v>
      </c>
      <c r="O2151" s="84" t="s">
        <v>8</v>
      </c>
      <c r="P2151" s="84" t="str">
        <f>IF(AND('331-CT'!$E$7=TH!H2166,OR(N2151="331",O2151="331")),"x","")</f>
        <v/>
      </c>
      <c r="Q2151" s="84" t="str">
        <f>IF(AND(B2151='111'!$L$11,OR($N2151=$Q$7,$O2151=$Q$7)),"x","")</f>
        <v/>
      </c>
      <c r="R2151" s="84" t="str">
        <f>IF(AND($N2151=$Q$7,$B2151&lt;'111'!$L$11),"x","")</f>
        <v/>
      </c>
      <c r="S2151" s="84" t="str">
        <f>IF(AND($O2151=$Q$7,$B2151&lt;'111'!$L$11),"x","")</f>
        <v/>
      </c>
      <c r="T2151" s="84" t="str">
        <f>IF(ISERROR(FIND('112'!$M$9,G2151,1)),"",IF((AND(FIND('112'!$M$9,G2151,1)&gt;=1,B2151='112'!$K$9,OR($N2151='112'!$I$6,$O2151='112'!$I$6))),"x",""))</f>
        <v/>
      </c>
      <c r="U2151" s="84" t="str">
        <f>IF(ISERROR(FIND('112'!$M$9,G2151,1)),"",IF((AND(LEFT(G2151,2)=LEFT('112'!$M$9,2),B2151&lt;'112'!$K$9,$N2151='112'!$I$6)),"x",""))</f>
        <v/>
      </c>
      <c r="V2151" s="84" t="str">
        <f>IF(ISERROR(FIND('112'!$M$9,G2151,1)),"",IF((AND(RIGHT(G2151,2)=RIGHT('112'!$M$9,2),B2151&lt;'112'!$K$9,$O2151='112'!$I$6)),"x",""))</f>
        <v/>
      </c>
      <c r="W2151" s="84" t="str">
        <f>IF(AND('341-CT'!$H$9=H2151,OR(LEFT(N2151,3)=$W$7,LEFT(O2151,3)=$W$7)),"x","")</f>
        <v/>
      </c>
      <c r="X2151" s="84" t="str">
        <f>IF(OR(TH!N2166=TH!$X$7,O2151=TH!$X$7),"x","")</f>
        <v/>
      </c>
      <c r="Y2151" s="84" t="str">
        <f>IF(AND(OR(N2151="131",O2151="131"),H2151='131-CT'!$H$9),"x","")</f>
        <v/>
      </c>
      <c r="Z2151" s="84"/>
      <c r="AA2151" s="84" t="str">
        <f>IF(AND(MONTH(E2151)='IN-NX'!$J$5,'IN-NX'!$D$7=D2151),"x","")</f>
        <v/>
      </c>
      <c r="AB2151" s="84" t="str">
        <f>IF(AND(OR(LEFT(TH!N2166,2)="15",LEFT(TH!O2166,2)="15"),LEFT(TH!O2166,3)&lt;&gt;"111",'152-CT'!$J$8=TH!F2166),"x","")</f>
        <v/>
      </c>
      <c r="AC2151" s="84" t="str">
        <f>IF(AND(OR(LEFT(TH!N2166,2)="15",LEFT(TH!O2166,2)="15"),TK!$E$7=TH!F2166),"x","")</f>
        <v/>
      </c>
      <c r="AD2151" s="84" t="str">
        <f>IF(AND(N2151="1521",MONTH(C2151)='BK-NL'!$M$11),"x","")</f>
        <v/>
      </c>
      <c r="AE2151" s="343" t="str">
        <f t="shared" si="287"/>
        <v>x</v>
      </c>
    </row>
    <row r="2152" spans="1:32" s="347" customFormat="1" ht="15.75" customHeight="1">
      <c r="A2152" s="1176" t="str">
        <f>IF(B2152&lt;&gt;"",IF(AND(B2152='IN-TC'!$S$4,OR(TH!N2167="1111",TH!O2167="1111")),TH!D2167,""),"")</f>
        <v/>
      </c>
      <c r="B2152" s="1003">
        <f t="shared" si="286"/>
        <v>8</v>
      </c>
      <c r="C2152" s="80">
        <v>42613</v>
      </c>
      <c r="D2152" s="80" t="s">
        <v>582</v>
      </c>
      <c r="E2152" s="80">
        <v>42590</v>
      </c>
      <c r="F2152" s="81" t="s">
        <v>1875</v>
      </c>
      <c r="G2152" s="985" t="s">
        <v>1880</v>
      </c>
      <c r="H2152" s="82" t="s">
        <v>1505</v>
      </c>
      <c r="I2152" s="437"/>
      <c r="J2152" s="437"/>
      <c r="K2152" s="428"/>
      <c r="L2152" s="437"/>
      <c r="M2152" s="83">
        <v>8507730</v>
      </c>
      <c r="N2152" s="84" t="s">
        <v>591</v>
      </c>
      <c r="O2152" s="84" t="s">
        <v>8</v>
      </c>
      <c r="P2152" s="84" t="str">
        <f>IF(AND('331-CT'!$E$7=TH!H2167,OR(N2152="331",O2152="331")),"x","")</f>
        <v/>
      </c>
      <c r="Q2152" s="84" t="str">
        <f>IF(AND(B2152='111'!$L$11,OR($N2152=$Q$7,$O2152=$Q$7)),"x","")</f>
        <v/>
      </c>
      <c r="R2152" s="84" t="str">
        <f>IF(AND($N2152=$Q$7,$B2152&lt;'111'!$L$11),"x","")</f>
        <v/>
      </c>
      <c r="S2152" s="84" t="str">
        <f>IF(AND($O2152=$Q$7,$B2152&lt;'111'!$L$11),"x","")</f>
        <v/>
      </c>
      <c r="T2152" s="84" t="str">
        <f>IF(ISERROR(FIND('112'!$M$9,G2152,1)),"",IF((AND(FIND('112'!$M$9,G2152,1)&gt;=1,B2152='112'!$K$9,OR($N2152='112'!$I$6,$O2152='112'!$I$6))),"x",""))</f>
        <v/>
      </c>
      <c r="U2152" s="84" t="str">
        <f>IF(ISERROR(FIND('112'!$M$9,G2152,1)),"",IF((AND(LEFT(G2152,2)=LEFT('112'!$M$9,2),B2152&lt;'112'!$K$9,$N2152='112'!$I$6)),"x",""))</f>
        <v/>
      </c>
      <c r="V2152" s="84" t="str">
        <f>IF(ISERROR(FIND('112'!$M$9,G2152,1)),"",IF((AND(RIGHT(G2152,2)=RIGHT('112'!$M$9,2),B2152&lt;'112'!$K$9,$O2152='112'!$I$6)),"x",""))</f>
        <v/>
      </c>
      <c r="W2152" s="84" t="str">
        <f>IF(AND('341-CT'!$H$9=H2152,OR(LEFT(N2152,3)=$W$7,LEFT(O2152,3)=$W$7)),"x","")</f>
        <v/>
      </c>
      <c r="X2152" s="84" t="str">
        <f>IF(OR(TH!N2167=TH!$X$7,O2152=TH!$X$7),"x","")</f>
        <v/>
      </c>
      <c r="Y2152" s="84" t="str">
        <f>IF(AND(OR(N2152="131",O2152="131"),H2152='131-CT'!$H$9),"x","")</f>
        <v/>
      </c>
      <c r="Z2152" s="84"/>
      <c r="AA2152" s="84" t="str">
        <f>IF(AND(MONTH(E2152)='IN-NX'!$J$5,'IN-NX'!$D$7=D2152),"x","")</f>
        <v/>
      </c>
      <c r="AB2152" s="84" t="str">
        <f>IF(AND(OR(LEFT(TH!N2167,2)="15",LEFT(TH!O2167,2)="15"),LEFT(TH!O2167,3)&lt;&gt;"111",'152-CT'!$J$8=TH!F2167),"x","")</f>
        <v/>
      </c>
      <c r="AC2152" s="84" t="str">
        <f>IF(AND(OR(LEFT(TH!N2167,2)="15",LEFT(TH!O2167,2)="15"),TK!$E$7=TH!F2167),"x","")</f>
        <v/>
      </c>
      <c r="AD2152" s="84" t="str">
        <f>IF(AND(N2152="1521",MONTH(C2152)='BK-NL'!$M$11),"x","")</f>
        <v/>
      </c>
      <c r="AE2152" s="343" t="str">
        <f t="shared" si="287"/>
        <v>x</v>
      </c>
      <c r="AF2152" s="347">
        <v>8</v>
      </c>
    </row>
    <row r="2153" spans="1:32" s="347" customFormat="1" ht="15.75" hidden="1" customHeight="1">
      <c r="A2153" s="1176" t="str">
        <f>IF(B2153&lt;&gt;"",IF(AND(B2153='IN-TC'!$S$4,OR(TH!N2168="1111",TH!O2168="1111")),TH!D2168,""),"")</f>
        <v/>
      </c>
      <c r="B2153" s="1003">
        <f t="shared" si="286"/>
        <v>8</v>
      </c>
      <c r="C2153" s="80">
        <v>42613</v>
      </c>
      <c r="D2153" s="80" t="s">
        <v>582</v>
      </c>
      <c r="E2153" s="80">
        <v>42590</v>
      </c>
      <c r="F2153" s="81" t="s">
        <v>1876</v>
      </c>
      <c r="G2153" s="985" t="s">
        <v>1880</v>
      </c>
      <c r="H2153" s="82" t="s">
        <v>1505</v>
      </c>
      <c r="I2153" s="437"/>
      <c r="J2153" s="437"/>
      <c r="K2153" s="428"/>
      <c r="L2153" s="437"/>
      <c r="M2153" s="83">
        <v>850773</v>
      </c>
      <c r="N2153" s="84" t="s">
        <v>2001</v>
      </c>
      <c r="O2153" s="84" t="s">
        <v>8</v>
      </c>
      <c r="P2153" s="84" t="str">
        <f>IF(AND('331-CT'!$E$7=TH!H2168,OR(N2153="331",O2153="331")),"x","")</f>
        <v/>
      </c>
      <c r="Q2153" s="84" t="str">
        <f>IF(AND(B2153='111'!$L$11,OR($N2153=$Q$7,$O2153=$Q$7)),"x","")</f>
        <v/>
      </c>
      <c r="R2153" s="84" t="str">
        <f>IF(AND($N2153=$Q$7,$B2153&lt;'111'!$L$11),"x","")</f>
        <v/>
      </c>
      <c r="S2153" s="84" t="str">
        <f>IF(AND($O2153=$Q$7,$B2153&lt;'111'!$L$11),"x","")</f>
        <v/>
      </c>
      <c r="T2153" s="84" t="str">
        <f>IF(ISERROR(FIND('112'!$M$9,G2153,1)),"",IF((AND(FIND('112'!$M$9,G2153,1)&gt;=1,B2153='112'!$K$9,OR($N2153='112'!$I$6,$O2153='112'!$I$6))),"x",""))</f>
        <v/>
      </c>
      <c r="U2153" s="84" t="str">
        <f>IF(ISERROR(FIND('112'!$M$9,G2153,1)),"",IF((AND(LEFT(G2153,2)=LEFT('112'!$M$9,2),B2153&lt;'112'!$K$9,$N2153='112'!$I$6)),"x",""))</f>
        <v/>
      </c>
      <c r="V2153" s="84" t="str">
        <f>IF(ISERROR(FIND('112'!$M$9,G2153,1)),"",IF((AND(RIGHT(G2153,2)=RIGHT('112'!$M$9,2),B2153&lt;'112'!$K$9,$O2153='112'!$I$6)),"x",""))</f>
        <v/>
      </c>
      <c r="W2153" s="84" t="str">
        <f>IF(AND('341-CT'!$H$9=H2153,OR(LEFT(N2153,3)=$W$7,LEFT(O2153,3)=$W$7)),"x","")</f>
        <v/>
      </c>
      <c r="X2153" s="84" t="str">
        <f>IF(OR(TH!N2168=TH!$X$7,O2153=TH!$X$7),"x","")</f>
        <v/>
      </c>
      <c r="Y2153" s="84" t="str">
        <f>IF(AND(OR(N2153="131",O2153="131"),H2153='131-CT'!$H$9),"x","")</f>
        <v/>
      </c>
      <c r="Z2153" s="84"/>
      <c r="AA2153" s="84" t="str">
        <f>IF(AND(MONTH(E2153)='IN-NX'!$J$5,'IN-NX'!$D$7=D2153),"x","")</f>
        <v/>
      </c>
      <c r="AB2153" s="84" t="str">
        <f>IF(AND(OR(LEFT(TH!N2168,2)="15",LEFT(TH!O2168,2)="15"),LEFT(TH!O2168,3)&lt;&gt;"111",'152-CT'!$J$8=TH!F2168),"x","")</f>
        <v/>
      </c>
      <c r="AC2153" s="84" t="str">
        <f>IF(AND(OR(LEFT(TH!N2168,2)="15",LEFT(TH!O2168,2)="15"),TK!$E$7=TH!F2168),"x","")</f>
        <v/>
      </c>
      <c r="AD2153" s="84" t="str">
        <f>IF(AND(N2153="1521",MONTH(C2153)='BK-NL'!$M$11),"x","")</f>
        <v/>
      </c>
      <c r="AE2153" s="343" t="str">
        <f t="shared" si="287"/>
        <v>x</v>
      </c>
      <c r="AF2153" s="347">
        <v>8</v>
      </c>
    </row>
    <row r="2154" spans="1:32" s="347" customFormat="1" ht="15.75" customHeight="1">
      <c r="A2154" s="1176" t="str">
        <f>IF(B2154&lt;&gt;"",IF(AND(B2154='IN-TC'!$S$4,OR(TH!N2155="1111",TH!O2155="1111")),TH!D2155,""),"")</f>
        <v/>
      </c>
      <c r="B2154" s="1003">
        <f t="shared" si="286"/>
        <v>8</v>
      </c>
      <c r="C2154" s="80">
        <v>42613</v>
      </c>
      <c r="D2154" s="80" t="s">
        <v>582</v>
      </c>
      <c r="E2154" s="80">
        <v>42591</v>
      </c>
      <c r="F2154" s="81" t="s">
        <v>639</v>
      </c>
      <c r="G2154" s="985" t="s">
        <v>1866</v>
      </c>
      <c r="H2154" s="82" t="s">
        <v>630</v>
      </c>
      <c r="I2154" s="437"/>
      <c r="J2154" s="437"/>
      <c r="K2154" s="428"/>
      <c r="L2154" s="437"/>
      <c r="M2154" s="83">
        <v>2000000</v>
      </c>
      <c r="N2154" s="84" t="s">
        <v>591</v>
      </c>
      <c r="O2154" s="84" t="s">
        <v>8</v>
      </c>
      <c r="P2154" s="84" t="str">
        <f>IF(AND('331-CT'!$E$7=TH!H2155,OR(N2154="331",O2154="331")),"x","")</f>
        <v/>
      </c>
      <c r="Q2154" s="84" t="str">
        <f>IF(AND(B2154='111'!$L$11,OR($N2154=$Q$7,$O2154=$Q$7)),"x","")</f>
        <v/>
      </c>
      <c r="R2154" s="84" t="str">
        <f>IF(AND($N2154=$Q$7,$B2154&lt;'111'!$L$11),"x","")</f>
        <v/>
      </c>
      <c r="S2154" s="84" t="str">
        <f>IF(AND($O2154=$Q$7,$B2154&lt;'111'!$L$11),"x","")</f>
        <v/>
      </c>
      <c r="T2154" s="84" t="str">
        <f>IF(ISERROR(FIND('112'!$M$9,G2154,1)),"",IF((AND(FIND('112'!$M$9,G2154,1)&gt;=1,B2154='112'!$K$9,OR($N2154='112'!$I$6,$O2154='112'!$I$6))),"x",""))</f>
        <v/>
      </c>
      <c r="U2154" s="84" t="str">
        <f>IF(ISERROR(FIND('112'!$M$9,G2154,1)),"",IF((AND(LEFT(G2154,2)=LEFT('112'!$M$9,2),B2154&lt;'112'!$K$9,$N2154='112'!$I$6)),"x",""))</f>
        <v/>
      </c>
      <c r="V2154" s="84" t="str">
        <f>IF(ISERROR(FIND('112'!$M$9,G2154,1)),"",IF((AND(RIGHT(G2154,2)=RIGHT('112'!$M$9,2),B2154&lt;'112'!$K$9,$O2154='112'!$I$6)),"x",""))</f>
        <v/>
      </c>
      <c r="W2154" s="84" t="str">
        <f>IF(AND('341-CT'!$H$9=H2154,OR(LEFT(N2154,3)=$W$7,LEFT(O2154,3)=$W$7)),"x","")</f>
        <v/>
      </c>
      <c r="X2154" s="84" t="str">
        <f>IF(OR(TH!N2155=TH!$X$7,O2154=TH!$X$7),"x","")</f>
        <v/>
      </c>
      <c r="Y2154" s="84" t="str">
        <f>IF(AND(OR(N2154="131",O2154="131"),H2154='131-CT'!$H$9),"x","")</f>
        <v/>
      </c>
      <c r="Z2154" s="84"/>
      <c r="AA2154" s="84" t="str">
        <f>IF(AND(MONTH(E2154)='IN-NX'!$J$5,'IN-NX'!$D$7=D2154),"x","")</f>
        <v/>
      </c>
      <c r="AB2154" s="84" t="str">
        <f>IF(AND(OR(LEFT(TH!N2155,2)="15",LEFT(TH!O2155,2)="15"),LEFT(TH!O2155,3)&lt;&gt;"111",'152-CT'!$J$8=TH!F2155),"x","")</f>
        <v/>
      </c>
      <c r="AC2154" s="84" t="str">
        <f>IF(AND(OR(LEFT(TH!N2155,2)="15",LEFT(TH!O2155,2)="15"),TK!$E$7=TH!F2155),"x","")</f>
        <v/>
      </c>
      <c r="AD2154" s="84" t="str">
        <f>IF(AND(N2154="1521",MONTH(C2154)='BK-NL'!$M$11),"x","")</f>
        <v/>
      </c>
      <c r="AE2154" s="343" t="str">
        <f t="shared" si="287"/>
        <v>x</v>
      </c>
      <c r="AF2154" s="347">
        <v>8</v>
      </c>
    </row>
    <row r="2155" spans="1:32" s="347" customFormat="1" ht="15.75" hidden="1" customHeight="1">
      <c r="A2155" s="1176" t="str">
        <f>IF(B2155&lt;&gt;"",IF(AND(B2155='IN-TC'!$S$4,OR(TH!N2156="1111",TH!O2156="1111")),TH!D2156,""),"")</f>
        <v/>
      </c>
      <c r="B2155" s="1003">
        <f t="shared" si="286"/>
        <v>8</v>
      </c>
      <c r="C2155" s="80">
        <v>42613</v>
      </c>
      <c r="D2155" s="80" t="s">
        <v>582</v>
      </c>
      <c r="E2155" s="80">
        <v>42591</v>
      </c>
      <c r="F2155" s="81" t="s">
        <v>640</v>
      </c>
      <c r="G2155" s="985" t="s">
        <v>1866</v>
      </c>
      <c r="H2155" s="82" t="s">
        <v>630</v>
      </c>
      <c r="I2155" s="437"/>
      <c r="J2155" s="437"/>
      <c r="K2155" s="428"/>
      <c r="L2155" s="437"/>
      <c r="M2155" s="83">
        <v>200000</v>
      </c>
      <c r="N2155" s="84" t="s">
        <v>2001</v>
      </c>
      <c r="O2155" s="84" t="s">
        <v>8</v>
      </c>
      <c r="P2155" s="84" t="str">
        <f>IF(AND('331-CT'!$E$7=TH!H2156,OR(N2155="331",O2155="331")),"x","")</f>
        <v/>
      </c>
      <c r="Q2155" s="84" t="str">
        <f>IF(AND(B2155='111'!$L$11,OR($N2155=$Q$7,$O2155=$Q$7)),"x","")</f>
        <v/>
      </c>
      <c r="R2155" s="84" t="str">
        <f>IF(AND($N2155=$Q$7,$B2155&lt;'111'!$L$11),"x","")</f>
        <v/>
      </c>
      <c r="S2155" s="84" t="str">
        <f>IF(AND($O2155=$Q$7,$B2155&lt;'111'!$L$11),"x","")</f>
        <v/>
      </c>
      <c r="T2155" s="84" t="str">
        <f>IF(ISERROR(FIND('112'!$M$9,G2155,1)),"",IF((AND(FIND('112'!$M$9,G2155,1)&gt;=1,B2155='112'!$K$9,OR($N2155='112'!$I$6,$O2155='112'!$I$6))),"x",""))</f>
        <v/>
      </c>
      <c r="U2155" s="84" t="str">
        <f>IF(ISERROR(FIND('112'!$M$9,G2155,1)),"",IF((AND(LEFT(G2155,2)=LEFT('112'!$M$9,2),B2155&lt;'112'!$K$9,$N2155='112'!$I$6)),"x",""))</f>
        <v/>
      </c>
      <c r="V2155" s="84" t="str">
        <f>IF(ISERROR(FIND('112'!$M$9,G2155,1)),"",IF((AND(RIGHT(G2155,2)=RIGHT('112'!$M$9,2),B2155&lt;'112'!$K$9,$O2155='112'!$I$6)),"x",""))</f>
        <v/>
      </c>
      <c r="W2155" s="84" t="str">
        <f>IF(AND('341-CT'!$H$9=H2155,OR(LEFT(N2155,3)=$W$7,LEFT(O2155,3)=$W$7)),"x","")</f>
        <v/>
      </c>
      <c r="X2155" s="84" t="str">
        <f>IF(OR(TH!N2156=TH!$X$7,O2155=TH!$X$7),"x","")</f>
        <v/>
      </c>
      <c r="Y2155" s="84" t="str">
        <f>IF(AND(OR(N2155="131",O2155="131"),H2155='131-CT'!$H$9),"x","")</f>
        <v/>
      </c>
      <c r="Z2155" s="84"/>
      <c r="AA2155" s="84" t="str">
        <f>IF(AND(MONTH(E2155)='IN-NX'!$J$5,'IN-NX'!$D$7=D2155),"x","")</f>
        <v/>
      </c>
      <c r="AB2155" s="84" t="str">
        <f>IF(AND(OR(LEFT(TH!N2156,2)="15",LEFT(TH!O2156,2)="15"),LEFT(TH!O2156,3)&lt;&gt;"111",'152-CT'!$J$8=TH!F2156),"x","")</f>
        <v/>
      </c>
      <c r="AC2155" s="84" t="str">
        <f>IF(AND(OR(LEFT(TH!N2156,2)="15",LEFT(TH!O2156,2)="15"),TK!$E$7=TH!F2156),"x","")</f>
        <v/>
      </c>
      <c r="AD2155" s="84" t="str">
        <f>IF(AND(N2155="1521",MONTH(C2155)='BK-NL'!$M$11),"x","")</f>
        <v/>
      </c>
      <c r="AE2155" s="343" t="str">
        <f t="shared" si="287"/>
        <v>x</v>
      </c>
      <c r="AF2155" s="347">
        <v>8</v>
      </c>
    </row>
    <row r="2156" spans="1:32" s="347" customFormat="1" ht="15.75" customHeight="1">
      <c r="A2156" s="1176" t="str">
        <f>IF(B2156&lt;&gt;"",IF(AND(B2156='IN-TC'!$S$4,OR(TH!N2157="1111",TH!O2157="1111")),TH!D2157,""),"")</f>
        <v/>
      </c>
      <c r="B2156" s="1003">
        <f t="shared" si="286"/>
        <v>8</v>
      </c>
      <c r="C2156" s="80">
        <v>42613</v>
      </c>
      <c r="D2156" s="80" t="s">
        <v>582</v>
      </c>
      <c r="E2156" s="80">
        <v>42593</v>
      </c>
      <c r="F2156" s="81" t="s">
        <v>639</v>
      </c>
      <c r="G2156" s="985" t="s">
        <v>1867</v>
      </c>
      <c r="H2156" s="82" t="s">
        <v>630</v>
      </c>
      <c r="I2156" s="437"/>
      <c r="J2156" s="437"/>
      <c r="K2156" s="428"/>
      <c r="L2156" s="437"/>
      <c r="M2156" s="83">
        <v>2000000</v>
      </c>
      <c r="N2156" s="84" t="s">
        <v>591</v>
      </c>
      <c r="O2156" s="84" t="s">
        <v>8</v>
      </c>
      <c r="P2156" s="84" t="str">
        <f>IF(AND('331-CT'!$E$7=TH!H2157,OR(N2156="331",O2156="331")),"x","")</f>
        <v/>
      </c>
      <c r="Q2156" s="84" t="str">
        <f>IF(AND(B2156='111'!$L$11,OR($N2156=$Q$7,$O2156=$Q$7)),"x","")</f>
        <v/>
      </c>
      <c r="R2156" s="84" t="str">
        <f>IF(AND($N2156=$Q$7,$B2156&lt;'111'!$L$11),"x","")</f>
        <v/>
      </c>
      <c r="S2156" s="84" t="str">
        <f>IF(AND($O2156=$Q$7,$B2156&lt;'111'!$L$11),"x","")</f>
        <v/>
      </c>
      <c r="T2156" s="84" t="str">
        <f>IF(ISERROR(FIND('112'!$M$9,G2156,1)),"",IF((AND(FIND('112'!$M$9,G2156,1)&gt;=1,B2156='112'!$K$9,OR($N2156='112'!$I$6,$O2156='112'!$I$6))),"x",""))</f>
        <v/>
      </c>
      <c r="U2156" s="84" t="str">
        <f>IF(ISERROR(FIND('112'!$M$9,G2156,1)),"",IF((AND(LEFT(G2156,2)=LEFT('112'!$M$9,2),B2156&lt;'112'!$K$9,$N2156='112'!$I$6)),"x",""))</f>
        <v/>
      </c>
      <c r="V2156" s="84" t="str">
        <f>IF(ISERROR(FIND('112'!$M$9,G2156,1)),"",IF((AND(RIGHT(G2156,2)=RIGHT('112'!$M$9,2),B2156&lt;'112'!$K$9,$O2156='112'!$I$6)),"x",""))</f>
        <v/>
      </c>
      <c r="W2156" s="84" t="str">
        <f>IF(AND('341-CT'!$H$9=H2156,OR(LEFT(N2156,3)=$W$7,LEFT(O2156,3)=$W$7)),"x","")</f>
        <v/>
      </c>
      <c r="X2156" s="84" t="str">
        <f>IF(OR(TH!N2157=TH!$X$7,O2156=TH!$X$7),"x","")</f>
        <v/>
      </c>
      <c r="Y2156" s="84" t="str">
        <f>IF(AND(OR(N2156="131",O2156="131"),H2156='131-CT'!$H$9),"x","")</f>
        <v/>
      </c>
      <c r="Z2156" s="84"/>
      <c r="AA2156" s="84" t="str">
        <f>IF(AND(MONTH(E2156)='IN-NX'!$J$5,'IN-NX'!$D$7=D2156),"x","")</f>
        <v/>
      </c>
      <c r="AB2156" s="84" t="str">
        <f>IF(AND(OR(LEFT(TH!N2157,2)="15",LEFT(TH!O2157,2)="15"),LEFT(TH!O2157,3)&lt;&gt;"111",'152-CT'!$J$8=TH!F2157),"x","")</f>
        <v/>
      </c>
      <c r="AC2156" s="84" t="str">
        <f>IF(AND(OR(LEFT(TH!N2157,2)="15",LEFT(TH!O2157,2)="15"),TK!$E$7=TH!F2157),"x","")</f>
        <v/>
      </c>
      <c r="AD2156" s="84" t="str">
        <f>IF(AND(N2156="1521",MONTH(C2156)='BK-NL'!$M$11),"x","")</f>
        <v/>
      </c>
      <c r="AE2156" s="343" t="str">
        <f t="shared" si="287"/>
        <v>x</v>
      </c>
      <c r="AF2156" s="347">
        <v>8</v>
      </c>
    </row>
    <row r="2157" spans="1:32" s="347" customFormat="1" ht="15.75" hidden="1" customHeight="1">
      <c r="A2157" s="1176" t="str">
        <f>IF(B2157&lt;&gt;"",IF(AND(B2157='IN-TC'!$S$4,OR(TH!N2158="1111",TH!O2158="1111")),TH!D2158,""),"")</f>
        <v/>
      </c>
      <c r="B2157" s="1003">
        <f t="shared" si="286"/>
        <v>8</v>
      </c>
      <c r="C2157" s="80">
        <v>42613</v>
      </c>
      <c r="D2157" s="80" t="s">
        <v>582</v>
      </c>
      <c r="E2157" s="80">
        <v>42593</v>
      </c>
      <c r="F2157" s="81" t="s">
        <v>640</v>
      </c>
      <c r="G2157" s="985" t="s">
        <v>1867</v>
      </c>
      <c r="H2157" s="82" t="s">
        <v>630</v>
      </c>
      <c r="I2157" s="437"/>
      <c r="J2157" s="437"/>
      <c r="K2157" s="428"/>
      <c r="L2157" s="437"/>
      <c r="M2157" s="83">
        <v>200000</v>
      </c>
      <c r="N2157" s="84" t="s">
        <v>2001</v>
      </c>
      <c r="O2157" s="84" t="s">
        <v>8</v>
      </c>
      <c r="P2157" s="84" t="str">
        <f>IF(AND('331-CT'!$E$7=TH!H2158,OR(N2157="331",O2157="331")),"x","")</f>
        <v/>
      </c>
      <c r="Q2157" s="84" t="str">
        <f>IF(AND(B2157='111'!$L$11,OR($N2157=$Q$7,$O2157=$Q$7)),"x","")</f>
        <v/>
      </c>
      <c r="R2157" s="84" t="str">
        <f>IF(AND($N2157=$Q$7,$B2157&lt;'111'!$L$11),"x","")</f>
        <v/>
      </c>
      <c r="S2157" s="84" t="str">
        <f>IF(AND($O2157=$Q$7,$B2157&lt;'111'!$L$11),"x","")</f>
        <v/>
      </c>
      <c r="T2157" s="84" t="str">
        <f>IF(ISERROR(FIND('112'!$M$9,G2157,1)),"",IF((AND(FIND('112'!$M$9,G2157,1)&gt;=1,B2157='112'!$K$9,OR($N2157='112'!$I$6,$O2157='112'!$I$6))),"x",""))</f>
        <v/>
      </c>
      <c r="U2157" s="84" t="str">
        <f>IF(ISERROR(FIND('112'!$M$9,G2157,1)),"",IF((AND(LEFT(G2157,2)=LEFT('112'!$M$9,2),B2157&lt;'112'!$K$9,$N2157='112'!$I$6)),"x",""))</f>
        <v/>
      </c>
      <c r="V2157" s="84" t="str">
        <f>IF(ISERROR(FIND('112'!$M$9,G2157,1)),"",IF((AND(RIGHT(G2157,2)=RIGHT('112'!$M$9,2),B2157&lt;'112'!$K$9,$O2157='112'!$I$6)),"x",""))</f>
        <v/>
      </c>
      <c r="W2157" s="84" t="str">
        <f>IF(AND('341-CT'!$H$9=H2157,OR(LEFT(N2157,3)=$W$7,LEFT(O2157,3)=$W$7)),"x","")</f>
        <v/>
      </c>
      <c r="X2157" s="84" t="str">
        <f>IF(OR(TH!N2158=TH!$X$7,O2157=TH!$X$7),"x","")</f>
        <v/>
      </c>
      <c r="Y2157" s="84" t="str">
        <f>IF(AND(OR(N2157="131",O2157="131"),H2157='131-CT'!$H$9),"x","")</f>
        <v/>
      </c>
      <c r="Z2157" s="84"/>
      <c r="AA2157" s="84" t="str">
        <f>IF(AND(MONTH(E2157)='IN-NX'!$J$5,'IN-NX'!$D$7=D2157),"x","")</f>
        <v/>
      </c>
      <c r="AB2157" s="84" t="str">
        <f>IF(AND(OR(LEFT(TH!N2158,2)="15",LEFT(TH!O2158,2)="15"),LEFT(TH!O2158,3)&lt;&gt;"111",'152-CT'!$J$8=TH!F2158),"x","")</f>
        <v/>
      </c>
      <c r="AC2157" s="84" t="str">
        <f>IF(AND(OR(LEFT(TH!N2158,2)="15",LEFT(TH!O2158,2)="15"),TK!$E$7=TH!F2158),"x","")</f>
        <v/>
      </c>
      <c r="AD2157" s="84" t="str">
        <f>IF(AND(N2157="1521",MONTH(C2157)='BK-NL'!$M$11),"x","")</f>
        <v/>
      </c>
      <c r="AE2157" s="343" t="str">
        <f t="shared" si="287"/>
        <v>x</v>
      </c>
      <c r="AF2157" s="347">
        <v>8</v>
      </c>
    </row>
    <row r="2158" spans="1:32" s="347" customFormat="1" ht="15.75" customHeight="1">
      <c r="A2158" s="1176" t="str">
        <f>IF(B2158&lt;&gt;"",IF(AND(B2158='IN-TC'!$S$4,OR(TH!N2151="1111",TH!O2151="1111")),TH!D2151,""),"")</f>
        <v/>
      </c>
      <c r="B2158" s="1003">
        <f t="shared" si="286"/>
        <v>8</v>
      </c>
      <c r="C2158" s="80">
        <v>42613</v>
      </c>
      <c r="D2158" s="80" t="s">
        <v>582</v>
      </c>
      <c r="E2158" s="80">
        <v>42598</v>
      </c>
      <c r="F2158" s="81" t="s">
        <v>1861</v>
      </c>
      <c r="G2158" s="985"/>
      <c r="H2158" s="82" t="s">
        <v>632</v>
      </c>
      <c r="I2158" s="437"/>
      <c r="J2158" s="437"/>
      <c r="K2158" s="428"/>
      <c r="L2158" s="437"/>
      <c r="M2158" s="83">
        <v>21931800</v>
      </c>
      <c r="N2158" s="84" t="s">
        <v>282</v>
      </c>
      <c r="O2158" s="84" t="s">
        <v>8</v>
      </c>
      <c r="P2158" s="84" t="str">
        <f>IF(AND('331-CT'!$E$7=TH!H2151,OR(N2158="331",O2158="331")),"x","")</f>
        <v/>
      </c>
      <c r="Q2158" s="84" t="str">
        <f>IF(AND(B2158='111'!$L$11,OR($N2158=$Q$7,$O2158=$Q$7)),"x","")</f>
        <v/>
      </c>
      <c r="R2158" s="84" t="str">
        <f>IF(AND($N2158=$Q$7,$B2158&lt;'111'!$L$11),"x","")</f>
        <v/>
      </c>
      <c r="S2158" s="84" t="str">
        <f>IF(AND($O2158=$Q$7,$B2158&lt;'111'!$L$11),"x","")</f>
        <v/>
      </c>
      <c r="T2158" s="84" t="str">
        <f>IF(ISERROR(FIND('112'!$M$9,G2158,1)),"",IF((AND(FIND('112'!$M$9,G2158,1)&gt;=1,B2158='112'!$K$9,OR($N2158='112'!$I$6,$O2158='112'!$I$6))),"x",""))</f>
        <v/>
      </c>
      <c r="U2158" s="84" t="str">
        <f>IF(ISERROR(FIND('112'!$M$9,G2158,1)),"",IF((AND(LEFT(G2158,2)=LEFT('112'!$M$9,2),B2158&lt;'112'!$K$9,$N2158='112'!$I$6)),"x",""))</f>
        <v/>
      </c>
      <c r="V2158" s="84" t="str">
        <f>IF(ISERROR(FIND('112'!$M$9,G2158,1)),"",IF((AND(RIGHT(G2158,2)=RIGHT('112'!$M$9,2),B2158&lt;'112'!$K$9,$O2158='112'!$I$6)),"x",""))</f>
        <v/>
      </c>
      <c r="W2158" s="84" t="str">
        <f>IF(AND('341-CT'!$H$9=H2158,OR(LEFT(N2158,3)=$W$7,LEFT(O2158,3)=$W$7)),"x","")</f>
        <v/>
      </c>
      <c r="X2158" s="84" t="str">
        <f>IF(OR(TH!N2151=TH!$X$7,O2158=TH!$X$7),"x","")</f>
        <v/>
      </c>
      <c r="Y2158" s="84" t="str">
        <f>IF(AND(OR(N2158="131",O2158="131"),H2158='131-CT'!$H$9),"x","")</f>
        <v/>
      </c>
      <c r="Z2158" s="84"/>
      <c r="AA2158" s="84" t="str">
        <f>IF(AND(MONTH(E2158)='IN-NX'!$J$5,'IN-NX'!$D$7=D2158),"x","")</f>
        <v/>
      </c>
      <c r="AB2158" s="84" t="str">
        <f>IF(AND(OR(LEFT(TH!N2151,2)="15",LEFT(TH!O2151,2)="15"),LEFT(TH!O2151,3)&lt;&gt;"111",'152-CT'!$J$8=TH!F2151),"x","")</f>
        <v/>
      </c>
      <c r="AC2158" s="84" t="str">
        <f>IF(AND(OR(LEFT(TH!N2151,2)="15",LEFT(TH!O2151,2)="15"),TK!$E$7=TH!F2151),"x","")</f>
        <v/>
      </c>
      <c r="AD2158" s="84" t="str">
        <f>IF(AND(N2158="1521",MONTH(C2158)='BK-NL'!$M$11),"x","")</f>
        <v/>
      </c>
      <c r="AE2158" s="343" t="str">
        <f t="shared" si="287"/>
        <v>x</v>
      </c>
      <c r="AF2158" s="347">
        <v>8</v>
      </c>
    </row>
    <row r="2159" spans="1:32" s="347" customFormat="1" ht="15.75" hidden="1" customHeight="1">
      <c r="A2159" s="1176" t="str">
        <f>IF(B2159&lt;&gt;"",IF(AND(B2159='IN-TC'!$S$4,OR(TH!N2152="1111",TH!O2152="1111")),TH!D2152,""),"")</f>
        <v/>
      </c>
      <c r="B2159" s="1003">
        <f t="shared" si="286"/>
        <v>8</v>
      </c>
      <c r="C2159" s="80">
        <v>42613</v>
      </c>
      <c r="D2159" s="80" t="s">
        <v>582</v>
      </c>
      <c r="E2159" s="80">
        <v>42598</v>
      </c>
      <c r="F2159" s="81" t="s">
        <v>1862</v>
      </c>
      <c r="G2159" s="985"/>
      <c r="H2159" s="82" t="s">
        <v>632</v>
      </c>
      <c r="I2159" s="437"/>
      <c r="J2159" s="437"/>
      <c r="K2159" s="428"/>
      <c r="L2159" s="437"/>
      <c r="M2159" s="83">
        <v>2193180</v>
      </c>
      <c r="N2159" s="84" t="s">
        <v>2001</v>
      </c>
      <c r="O2159" s="84" t="s">
        <v>8</v>
      </c>
      <c r="P2159" s="84" t="str">
        <f>IF(AND('331-CT'!$E$7=TH!H2152,OR(N2159="331",O2159="331")),"x","")</f>
        <v/>
      </c>
      <c r="Q2159" s="84" t="str">
        <f>IF(AND(B2159='111'!$L$11,OR($N2159=$Q$7,$O2159=$Q$7)),"x","")</f>
        <v/>
      </c>
      <c r="R2159" s="84" t="str">
        <f>IF(AND($N2159=$Q$7,$B2159&lt;'111'!$L$11),"x","")</f>
        <v/>
      </c>
      <c r="S2159" s="84" t="str">
        <f>IF(AND($O2159=$Q$7,$B2159&lt;'111'!$L$11),"x","")</f>
        <v/>
      </c>
      <c r="T2159" s="84" t="str">
        <f>IF(ISERROR(FIND('112'!$M$9,G2159,1)),"",IF((AND(FIND('112'!$M$9,G2159,1)&gt;=1,B2159='112'!$K$9,OR($N2159='112'!$I$6,$O2159='112'!$I$6))),"x",""))</f>
        <v/>
      </c>
      <c r="U2159" s="84" t="str">
        <f>IF(ISERROR(FIND('112'!$M$9,G2159,1)),"",IF((AND(LEFT(G2159,2)=LEFT('112'!$M$9,2),B2159&lt;'112'!$K$9,$N2159='112'!$I$6)),"x",""))</f>
        <v/>
      </c>
      <c r="V2159" s="84" t="str">
        <f>IF(ISERROR(FIND('112'!$M$9,G2159,1)),"",IF((AND(RIGHT(G2159,2)=RIGHT('112'!$M$9,2),B2159&lt;'112'!$K$9,$O2159='112'!$I$6)),"x",""))</f>
        <v/>
      </c>
      <c r="W2159" s="84" t="str">
        <f>IF(AND('341-CT'!$H$9=H2159,OR(LEFT(N2159,3)=$W$7,LEFT(O2159,3)=$W$7)),"x","")</f>
        <v/>
      </c>
      <c r="X2159" s="84" t="str">
        <f>IF(OR(TH!N2152=TH!$X$7,O2159=TH!$X$7),"x","")</f>
        <v/>
      </c>
      <c r="Y2159" s="84" t="str">
        <f>IF(AND(OR(N2159="131",O2159="131"),H2159='131-CT'!$H$9),"x","")</f>
        <v/>
      </c>
      <c r="Z2159" s="84"/>
      <c r="AA2159" s="84" t="str">
        <f>IF(AND(MONTH(E2159)='IN-NX'!$J$5,'IN-NX'!$D$7=D2159),"x","")</f>
        <v/>
      </c>
      <c r="AB2159" s="84" t="str">
        <f>IF(AND(OR(LEFT(TH!N2152,2)="15",LEFT(TH!O2152,2)="15"),LEFT(TH!O2152,3)&lt;&gt;"111",'152-CT'!$J$8=TH!F2152),"x","")</f>
        <v/>
      </c>
      <c r="AC2159" s="84" t="str">
        <f>IF(AND(OR(LEFT(TH!N2152,2)="15",LEFT(TH!O2152,2)="15"),TK!$E$7=TH!F2152),"x","")</f>
        <v/>
      </c>
      <c r="AD2159" s="84" t="str">
        <f>IF(AND(N2159="1521",MONTH(C2159)='BK-NL'!$M$11),"x","")</f>
        <v/>
      </c>
      <c r="AE2159" s="343" t="str">
        <f t="shared" si="287"/>
        <v>x</v>
      </c>
      <c r="AF2159" s="347">
        <v>8</v>
      </c>
    </row>
    <row r="2160" spans="1:32" s="347" customFormat="1" ht="15.75" hidden="1" customHeight="1">
      <c r="A2160" s="1176" t="str">
        <f>IF(B2160&lt;&gt;"",IF(AND(B2160='IN-TC'!$S$4,OR(TH!N2159="1111",TH!O2159="1111")),TH!D2159,""),"")</f>
        <v/>
      </c>
      <c r="B2160" s="1003">
        <f t="shared" si="286"/>
        <v>8</v>
      </c>
      <c r="C2160" s="80">
        <v>42613</v>
      </c>
      <c r="D2160" s="80" t="s">
        <v>582</v>
      </c>
      <c r="E2160" s="80">
        <v>42600</v>
      </c>
      <c r="F2160" s="81" t="s">
        <v>1868</v>
      </c>
      <c r="G2160" s="985" t="s">
        <v>1869</v>
      </c>
      <c r="H2160" s="82" t="s">
        <v>1870</v>
      </c>
      <c r="I2160" s="437"/>
      <c r="J2160" s="437"/>
      <c r="K2160" s="428"/>
      <c r="L2160" s="437"/>
      <c r="M2160" s="83">
        <v>6699000</v>
      </c>
      <c r="N2160" s="84" t="s">
        <v>591</v>
      </c>
      <c r="O2160" s="84" t="s">
        <v>8</v>
      </c>
      <c r="P2160" s="84" t="str">
        <f>IF(AND('331-CT'!$E$7=TH!H2159,OR(N2160="331",O2160="331")),"x","")</f>
        <v/>
      </c>
      <c r="Q2160" s="84" t="str">
        <f>IF(AND(B2160='111'!$L$11,OR($N2160=$Q$7,$O2160=$Q$7)),"x","")</f>
        <v/>
      </c>
      <c r="R2160" s="84" t="str">
        <f>IF(AND($N2160=$Q$7,$B2160&lt;'111'!$L$11),"x","")</f>
        <v/>
      </c>
      <c r="S2160" s="84" t="str">
        <f>IF(AND($O2160=$Q$7,$B2160&lt;'111'!$L$11),"x","")</f>
        <v/>
      </c>
      <c r="T2160" s="84" t="str">
        <f>IF(ISERROR(FIND('112'!$M$9,G2160,1)),"",IF((AND(FIND('112'!$M$9,G2160,1)&gt;=1,B2160='112'!$K$9,OR($N2160='112'!$I$6,$O2160='112'!$I$6))),"x",""))</f>
        <v/>
      </c>
      <c r="U2160" s="84" t="str">
        <f>IF(ISERROR(FIND('112'!$M$9,G2160,1)),"",IF((AND(LEFT(G2160,2)=LEFT('112'!$M$9,2),B2160&lt;'112'!$K$9,$N2160='112'!$I$6)),"x",""))</f>
        <v/>
      </c>
      <c r="V2160" s="84" t="str">
        <f>IF(ISERROR(FIND('112'!$M$9,G2160,1)),"",IF((AND(RIGHT(G2160,2)=RIGHT('112'!$M$9,2),B2160&lt;'112'!$K$9,$O2160='112'!$I$6)),"x",""))</f>
        <v/>
      </c>
      <c r="W2160" s="84" t="str">
        <f>IF(AND('341-CT'!$H$9=H2160,OR(LEFT(N2160,3)=$W$7,LEFT(O2160,3)=$W$7)),"x","")</f>
        <v/>
      </c>
      <c r="X2160" s="84" t="str">
        <f>IF(OR(TH!N2159=TH!$X$7,O2160=TH!$X$7),"x","")</f>
        <v/>
      </c>
      <c r="Y2160" s="84" t="str">
        <f>IF(AND(OR(N2160="131",O2160="131"),H2160='131-CT'!$H$9),"x","")</f>
        <v/>
      </c>
      <c r="Z2160" s="84"/>
      <c r="AA2160" s="84" t="str">
        <f>IF(AND(MONTH(E2160)='IN-NX'!$J$5,'IN-NX'!$D$7=D2160),"x","")</f>
        <v/>
      </c>
      <c r="AB2160" s="84" t="str">
        <f>IF(AND(OR(LEFT(TH!N2159,2)="15",LEFT(TH!O2159,2)="15"),LEFT(TH!O2159,3)&lt;&gt;"111",'152-CT'!$J$8=TH!F2159),"x","")</f>
        <v/>
      </c>
      <c r="AC2160" s="84" t="str">
        <f>IF(AND(OR(LEFT(TH!N2159,2)="15",LEFT(TH!O2159,2)="15"),TK!$E$7=TH!F2159),"x","")</f>
        <v/>
      </c>
      <c r="AD2160" s="84" t="str">
        <f>IF(AND(N2160="1521",MONTH(C2160)='BK-NL'!$M$11),"x","")</f>
        <v/>
      </c>
      <c r="AE2160" s="343" t="str">
        <f t="shared" si="287"/>
        <v>x</v>
      </c>
    </row>
    <row r="2161" spans="1:32" s="347" customFormat="1" ht="15.75" customHeight="1">
      <c r="A2161" s="1176" t="str">
        <f>IF(B2161&lt;&gt;"",IF(AND(B2161='IN-TC'!$S$4,OR(TH!N2160="1111",TH!O2160="1111")),TH!D2160,""),"")</f>
        <v/>
      </c>
      <c r="B2161" s="1003">
        <f t="shared" si="286"/>
        <v>8</v>
      </c>
      <c r="C2161" s="80">
        <v>42613</v>
      </c>
      <c r="D2161" s="80" t="s">
        <v>582</v>
      </c>
      <c r="E2161" s="80">
        <v>42600</v>
      </c>
      <c r="F2161" s="81" t="s">
        <v>1872</v>
      </c>
      <c r="G2161" s="985" t="s">
        <v>1871</v>
      </c>
      <c r="H2161" s="82" t="s">
        <v>1870</v>
      </c>
      <c r="I2161" s="437"/>
      <c r="J2161" s="437"/>
      <c r="K2161" s="428"/>
      <c r="L2161" s="437"/>
      <c r="M2161" s="83">
        <v>3731540</v>
      </c>
      <c r="N2161" s="84" t="s">
        <v>591</v>
      </c>
      <c r="O2161" s="84" t="s">
        <v>8</v>
      </c>
      <c r="P2161" s="84" t="str">
        <f>IF(AND('331-CT'!$E$7=TH!H2160,OR(N2161="331",O2161="331")),"x","")</f>
        <v/>
      </c>
      <c r="Q2161" s="84" t="str">
        <f>IF(AND(B2161='111'!$L$11,OR($N2161=$Q$7,$O2161=$Q$7)),"x","")</f>
        <v/>
      </c>
      <c r="R2161" s="84" t="str">
        <f>IF(AND($N2161=$Q$7,$B2161&lt;'111'!$L$11),"x","")</f>
        <v/>
      </c>
      <c r="S2161" s="84" t="str">
        <f>IF(AND($O2161=$Q$7,$B2161&lt;'111'!$L$11),"x","")</f>
        <v/>
      </c>
      <c r="T2161" s="84" t="str">
        <f>IF(ISERROR(FIND('112'!$M$9,G2161,1)),"",IF((AND(FIND('112'!$M$9,G2161,1)&gt;=1,B2161='112'!$K$9,OR($N2161='112'!$I$6,$O2161='112'!$I$6))),"x",""))</f>
        <v/>
      </c>
      <c r="U2161" s="84" t="str">
        <f>IF(ISERROR(FIND('112'!$M$9,G2161,1)),"",IF((AND(LEFT(G2161,2)=LEFT('112'!$M$9,2),B2161&lt;'112'!$K$9,$N2161='112'!$I$6)),"x",""))</f>
        <v/>
      </c>
      <c r="V2161" s="84" t="str">
        <f>IF(ISERROR(FIND('112'!$M$9,G2161,1)),"",IF((AND(RIGHT(G2161,2)=RIGHT('112'!$M$9,2),B2161&lt;'112'!$K$9,$O2161='112'!$I$6)),"x",""))</f>
        <v/>
      </c>
      <c r="W2161" s="84" t="str">
        <f>IF(AND('341-CT'!$H$9=H2161,OR(LEFT(N2161,3)=$W$7,LEFT(O2161,3)=$W$7)),"x","")</f>
        <v/>
      </c>
      <c r="X2161" s="84" t="str">
        <f>IF(OR(TH!N2160=TH!$X$7,O2161=TH!$X$7),"x","")</f>
        <v/>
      </c>
      <c r="Y2161" s="84" t="str">
        <f>IF(AND(OR(N2161="131",O2161="131"),H2161='131-CT'!$H$9),"x","")</f>
        <v/>
      </c>
      <c r="Z2161" s="84"/>
      <c r="AA2161" s="84" t="str">
        <f>IF(AND(MONTH(E2161)='IN-NX'!$J$5,'IN-NX'!$D$7=D2161),"x","")</f>
        <v/>
      </c>
      <c r="AB2161" s="84" t="str">
        <f>IF(AND(OR(LEFT(TH!N2160,2)="15",LEFT(TH!O2160,2)="15"),LEFT(TH!O2160,3)&lt;&gt;"111",'152-CT'!$J$8=TH!F2160),"x","")</f>
        <v/>
      </c>
      <c r="AC2161" s="84" t="str">
        <f>IF(AND(OR(LEFT(TH!N2160,2)="15",LEFT(TH!O2160,2)="15"),TK!$E$7=TH!F2160),"x","")</f>
        <v/>
      </c>
      <c r="AD2161" s="84" t="str">
        <f>IF(AND(N2161="1521",MONTH(C2161)='BK-NL'!$M$11),"x","")</f>
        <v/>
      </c>
      <c r="AE2161" s="343" t="str">
        <f t="shared" si="287"/>
        <v>x</v>
      </c>
      <c r="AF2161" s="347">
        <v>8</v>
      </c>
    </row>
    <row r="2162" spans="1:32" s="347" customFormat="1" ht="15.75" hidden="1" customHeight="1">
      <c r="A2162" s="1176" t="str">
        <f>IF(B2162&lt;&gt;"",IF(AND(B2162='IN-TC'!$S$4,OR(TH!N2161="1111",TH!O2161="1111")),TH!D2161,""),"")</f>
        <v/>
      </c>
      <c r="B2162" s="1003">
        <f t="shared" si="286"/>
        <v>8</v>
      </c>
      <c r="C2162" s="80">
        <v>42613</v>
      </c>
      <c r="D2162" s="80" t="s">
        <v>582</v>
      </c>
      <c r="E2162" s="80">
        <v>42600</v>
      </c>
      <c r="F2162" s="81" t="s">
        <v>1873</v>
      </c>
      <c r="G2162" s="985" t="s">
        <v>1871</v>
      </c>
      <c r="H2162" s="82" t="s">
        <v>1870</v>
      </c>
      <c r="I2162" s="437"/>
      <c r="J2162" s="437"/>
      <c r="K2162" s="428"/>
      <c r="L2162" s="437"/>
      <c r="M2162" s="83">
        <v>373154</v>
      </c>
      <c r="N2162" s="84" t="s">
        <v>2001</v>
      </c>
      <c r="O2162" s="84" t="s">
        <v>8</v>
      </c>
      <c r="P2162" s="84" t="str">
        <f>IF(AND('331-CT'!$E$7=TH!H2161,OR(N2162="331",O2162="331")),"x","")</f>
        <v/>
      </c>
      <c r="Q2162" s="84" t="str">
        <f>IF(AND(B2162='111'!$L$11,OR($N2162=$Q$7,$O2162=$Q$7)),"x","")</f>
        <v/>
      </c>
      <c r="R2162" s="84" t="str">
        <f>IF(AND($N2162=$Q$7,$B2162&lt;'111'!$L$11),"x","")</f>
        <v/>
      </c>
      <c r="S2162" s="84" t="str">
        <f>IF(AND($O2162=$Q$7,$B2162&lt;'111'!$L$11),"x","")</f>
        <v/>
      </c>
      <c r="T2162" s="84" t="str">
        <f>IF(ISERROR(FIND('112'!$M$9,G2162,1)),"",IF((AND(FIND('112'!$M$9,G2162,1)&gt;=1,B2162='112'!$K$9,OR($N2162='112'!$I$6,$O2162='112'!$I$6))),"x",""))</f>
        <v/>
      </c>
      <c r="U2162" s="84" t="str">
        <f>IF(ISERROR(FIND('112'!$M$9,G2162,1)),"",IF((AND(LEFT(G2162,2)=LEFT('112'!$M$9,2),B2162&lt;'112'!$K$9,$N2162='112'!$I$6)),"x",""))</f>
        <v/>
      </c>
      <c r="V2162" s="84" t="str">
        <f>IF(ISERROR(FIND('112'!$M$9,G2162,1)),"",IF((AND(RIGHT(G2162,2)=RIGHT('112'!$M$9,2),B2162&lt;'112'!$K$9,$O2162='112'!$I$6)),"x",""))</f>
        <v/>
      </c>
      <c r="W2162" s="84" t="str">
        <f>IF(AND('341-CT'!$H$9=H2162,OR(LEFT(N2162,3)=$W$7,LEFT(O2162,3)=$W$7)),"x","")</f>
        <v/>
      </c>
      <c r="X2162" s="84" t="str">
        <f>IF(OR(TH!N2161=TH!$X$7,O2162=TH!$X$7),"x","")</f>
        <v/>
      </c>
      <c r="Y2162" s="84" t="str">
        <f>IF(AND(OR(N2162="131",O2162="131"),H2162='131-CT'!$H$9),"x","")</f>
        <v/>
      </c>
      <c r="Z2162" s="84"/>
      <c r="AA2162" s="84" t="str">
        <f>IF(AND(MONTH(E2162)='IN-NX'!$J$5,'IN-NX'!$D$7=D2162),"x","")</f>
        <v/>
      </c>
      <c r="AB2162" s="84" t="str">
        <f>IF(AND(OR(LEFT(TH!N2161,2)="15",LEFT(TH!O2161,2)="15"),LEFT(TH!O2161,3)&lt;&gt;"111",'152-CT'!$J$8=TH!F2161),"x","")</f>
        <v/>
      </c>
      <c r="AC2162" s="84" t="str">
        <f>IF(AND(OR(LEFT(TH!N2161,2)="15",LEFT(TH!O2161,2)="15"),TK!$E$7=TH!F2161),"x","")</f>
        <v/>
      </c>
      <c r="AD2162" s="84" t="str">
        <f>IF(AND(N2162="1521",MONTH(C2162)='BK-NL'!$M$11),"x","")</f>
        <v/>
      </c>
      <c r="AE2162" s="343" t="str">
        <f t="shared" si="287"/>
        <v>x</v>
      </c>
      <c r="AF2162" s="347">
        <v>8</v>
      </c>
    </row>
    <row r="2163" spans="1:32" s="347" customFormat="1" ht="15.75" customHeight="1">
      <c r="A2163" s="1176" t="str">
        <f>IF(B2163&lt;&gt;"",IF(AND(B2163='IN-TC'!$S$4,OR(TH!N2153="1111",TH!O2153="1111")),TH!D2153,""),"")</f>
        <v/>
      </c>
      <c r="B2163" s="1003">
        <f t="shared" si="286"/>
        <v>8</v>
      </c>
      <c r="C2163" s="80">
        <v>42613</v>
      </c>
      <c r="D2163" s="80" t="s">
        <v>582</v>
      </c>
      <c r="E2163" s="80">
        <v>42608</v>
      </c>
      <c r="F2163" s="81" t="s">
        <v>1863</v>
      </c>
      <c r="G2163" s="985"/>
      <c r="H2163" s="82" t="s">
        <v>632</v>
      </c>
      <c r="I2163" s="437"/>
      <c r="J2163" s="437"/>
      <c r="K2163" s="428"/>
      <c r="L2163" s="437"/>
      <c r="M2163" s="83">
        <v>21880500</v>
      </c>
      <c r="N2163" s="84" t="s">
        <v>282</v>
      </c>
      <c r="O2163" s="84" t="s">
        <v>8</v>
      </c>
      <c r="P2163" s="84" t="str">
        <f>IF(AND('331-CT'!$E$7=TH!H2153,OR(N2163="331",O2163="331")),"x","")</f>
        <v/>
      </c>
      <c r="Q2163" s="84" t="str">
        <f>IF(AND(B2163='111'!$L$11,OR($N2163=$Q$7,$O2163=$Q$7)),"x","")</f>
        <v/>
      </c>
      <c r="R2163" s="84" t="str">
        <f>IF(AND($N2163=$Q$7,$B2163&lt;'111'!$L$11),"x","")</f>
        <v/>
      </c>
      <c r="S2163" s="84" t="str">
        <f>IF(AND($O2163=$Q$7,$B2163&lt;'111'!$L$11),"x","")</f>
        <v/>
      </c>
      <c r="T2163" s="84" t="str">
        <f>IF(ISERROR(FIND('112'!$M$9,G2163,1)),"",IF((AND(FIND('112'!$M$9,G2163,1)&gt;=1,B2163='112'!$K$9,OR($N2163='112'!$I$6,$O2163='112'!$I$6))),"x",""))</f>
        <v/>
      </c>
      <c r="U2163" s="84" t="str">
        <f>IF(ISERROR(FIND('112'!$M$9,G2163,1)),"",IF((AND(LEFT(G2163,2)=LEFT('112'!$M$9,2),B2163&lt;'112'!$K$9,$N2163='112'!$I$6)),"x",""))</f>
        <v/>
      </c>
      <c r="V2163" s="84" t="str">
        <f>IF(ISERROR(FIND('112'!$M$9,G2163,1)),"",IF((AND(RIGHT(G2163,2)=RIGHT('112'!$M$9,2),B2163&lt;'112'!$K$9,$O2163='112'!$I$6)),"x",""))</f>
        <v/>
      </c>
      <c r="W2163" s="84" t="str">
        <f>IF(AND('341-CT'!$H$9=H2163,OR(LEFT(N2163,3)=$W$7,LEFT(O2163,3)=$W$7)),"x","")</f>
        <v/>
      </c>
      <c r="X2163" s="84" t="str">
        <f>IF(OR(TH!N2153=TH!$X$7,O2163=TH!$X$7),"x","")</f>
        <v/>
      </c>
      <c r="Y2163" s="84" t="str">
        <f>IF(AND(OR(N2163="131",O2163="131"),H2163='131-CT'!$H$9),"x","")</f>
        <v/>
      </c>
      <c r="Z2163" s="84"/>
      <c r="AA2163" s="84" t="str">
        <f>IF(AND(MONTH(E2163)='IN-NX'!$J$5,'IN-NX'!$D$7=D2163),"x","")</f>
        <v/>
      </c>
      <c r="AB2163" s="84" t="str">
        <f>IF(AND(OR(LEFT(TH!N2153,2)="15",LEFT(TH!O2153,2)="15"),LEFT(TH!O2153,3)&lt;&gt;"111",'152-CT'!$J$8=TH!F2153),"x","")</f>
        <v/>
      </c>
      <c r="AC2163" s="84" t="str">
        <f>IF(AND(OR(LEFT(TH!N2153,2)="15",LEFT(TH!O2153,2)="15"),TK!$E$7=TH!F2153),"x","")</f>
        <v/>
      </c>
      <c r="AD2163" s="84" t="str">
        <f>IF(AND(N2163="1521",MONTH(C2163)='BK-NL'!$M$11),"x","")</f>
        <v/>
      </c>
      <c r="AE2163" s="343" t="str">
        <f t="shared" si="287"/>
        <v>x</v>
      </c>
      <c r="AF2163" s="347">
        <v>8</v>
      </c>
    </row>
    <row r="2164" spans="1:32" s="347" customFormat="1" ht="15.75" hidden="1" customHeight="1">
      <c r="A2164" s="1176" t="str">
        <f>IF(B2164&lt;&gt;"",IF(AND(B2164='IN-TC'!$S$4,OR(TH!N2154="1111",TH!O2154="1111")),TH!D2154,""),"")</f>
        <v/>
      </c>
      <c r="B2164" s="1003">
        <f t="shared" si="286"/>
        <v>8</v>
      </c>
      <c r="C2164" s="80">
        <v>42613</v>
      </c>
      <c r="D2164" s="80" t="s">
        <v>582</v>
      </c>
      <c r="E2164" s="80">
        <v>42608</v>
      </c>
      <c r="F2164" s="81" t="s">
        <v>1864</v>
      </c>
      <c r="G2164" s="985"/>
      <c r="H2164" s="82" t="s">
        <v>632</v>
      </c>
      <c r="I2164" s="437"/>
      <c r="J2164" s="437"/>
      <c r="K2164" s="428"/>
      <c r="L2164" s="437"/>
      <c r="M2164" s="83">
        <v>2188050</v>
      </c>
      <c r="N2164" s="84" t="s">
        <v>2001</v>
      </c>
      <c r="O2164" s="84" t="s">
        <v>8</v>
      </c>
      <c r="P2164" s="84" t="str">
        <f>IF(AND('331-CT'!$E$7=TH!H2154,OR(N2164="331",O2164="331")),"x","")</f>
        <v/>
      </c>
      <c r="Q2164" s="84" t="str">
        <f>IF(AND(B2164='111'!$L$11,OR($N2164=$Q$7,$O2164=$Q$7)),"x","")</f>
        <v/>
      </c>
      <c r="R2164" s="84" t="str">
        <f>IF(AND($N2164=$Q$7,$B2164&lt;'111'!$L$11),"x","")</f>
        <v/>
      </c>
      <c r="S2164" s="84" t="str">
        <f>IF(AND($O2164=$Q$7,$B2164&lt;'111'!$L$11),"x","")</f>
        <v/>
      </c>
      <c r="T2164" s="84" t="str">
        <f>IF(ISERROR(FIND('112'!$M$9,G2164,1)),"",IF((AND(FIND('112'!$M$9,G2164,1)&gt;=1,B2164='112'!$K$9,OR($N2164='112'!$I$6,$O2164='112'!$I$6))),"x",""))</f>
        <v/>
      </c>
      <c r="U2164" s="84" t="str">
        <f>IF(ISERROR(FIND('112'!$M$9,G2164,1)),"",IF((AND(LEFT(G2164,2)=LEFT('112'!$M$9,2),B2164&lt;'112'!$K$9,$N2164='112'!$I$6)),"x",""))</f>
        <v/>
      </c>
      <c r="V2164" s="84" t="str">
        <f>IF(ISERROR(FIND('112'!$M$9,G2164,1)),"",IF((AND(RIGHT(G2164,2)=RIGHT('112'!$M$9,2),B2164&lt;'112'!$K$9,$O2164='112'!$I$6)),"x",""))</f>
        <v/>
      </c>
      <c r="W2164" s="84" t="str">
        <f>IF(AND('341-CT'!$H$9=H2164,OR(LEFT(N2164,3)=$W$7,LEFT(O2164,3)=$W$7)),"x","")</f>
        <v/>
      </c>
      <c r="X2164" s="84" t="str">
        <f>IF(OR(TH!N2154=TH!$X$7,O2164=TH!$X$7),"x","")</f>
        <v/>
      </c>
      <c r="Y2164" s="84" t="str">
        <f>IF(AND(OR(N2164="131",O2164="131"),H2164='131-CT'!$H$9),"x","")</f>
        <v/>
      </c>
      <c r="Z2164" s="84"/>
      <c r="AA2164" s="84" t="str">
        <f>IF(AND(MONTH(E2164)='IN-NX'!$J$5,'IN-NX'!$D$7=D2164),"x","")</f>
        <v/>
      </c>
      <c r="AB2164" s="84" t="str">
        <f>IF(AND(OR(LEFT(TH!N2154,2)="15",LEFT(TH!O2154,2)="15"),LEFT(TH!O2154,3)&lt;&gt;"111",'152-CT'!$J$8=TH!F2154),"x","")</f>
        <v/>
      </c>
      <c r="AC2164" s="84" t="str">
        <f>IF(AND(OR(LEFT(TH!N2154,2)="15",LEFT(TH!O2154,2)="15"),TK!$E$7=TH!F2154),"x","")</f>
        <v/>
      </c>
      <c r="AD2164" s="84" t="str">
        <f>IF(AND(N2164="1521",MONTH(C2164)='BK-NL'!$M$11),"x","")</f>
        <v/>
      </c>
      <c r="AE2164" s="343" t="str">
        <f t="shared" si="287"/>
        <v>x</v>
      </c>
      <c r="AF2164" s="347">
        <v>8</v>
      </c>
    </row>
    <row r="2165" spans="1:32" s="347" customFormat="1" ht="15.75" customHeight="1">
      <c r="A2165" s="1176" t="str">
        <f>IF(B2165&lt;&gt;"",IF(AND(B2165='IN-TC'!$S$4,OR(TH!N2162="1111",TH!O2162="1111")),TH!D2162,""),"")</f>
        <v/>
      </c>
      <c r="B2165" s="1003">
        <f t="shared" si="286"/>
        <v>8</v>
      </c>
      <c r="C2165" s="80">
        <v>42613</v>
      </c>
      <c r="D2165" s="80" t="s">
        <v>582</v>
      </c>
      <c r="E2165" s="80">
        <v>42611</v>
      </c>
      <c r="F2165" s="81" t="s">
        <v>639</v>
      </c>
      <c r="G2165" s="985" t="s">
        <v>1944</v>
      </c>
      <c r="H2165" s="82" t="s">
        <v>630</v>
      </c>
      <c r="I2165" s="437"/>
      <c r="J2165" s="437"/>
      <c r="K2165" s="428"/>
      <c r="L2165" s="437"/>
      <c r="M2165" s="83">
        <v>2041360</v>
      </c>
      <c r="N2165" s="84" t="s">
        <v>591</v>
      </c>
      <c r="O2165" s="84" t="s">
        <v>8</v>
      </c>
      <c r="P2165" s="84" t="str">
        <f>IF(AND('331-CT'!$E$7=TH!H2162,OR(N2165="331",O2165="331")),"x","")</f>
        <v/>
      </c>
      <c r="Q2165" s="84" t="str">
        <f>IF(AND(B2165='111'!$L$11,OR($N2165=$Q$7,$O2165=$Q$7)),"x","")</f>
        <v/>
      </c>
      <c r="R2165" s="84" t="str">
        <f>IF(AND($N2165=$Q$7,$B2165&lt;'111'!$L$11),"x","")</f>
        <v/>
      </c>
      <c r="S2165" s="84" t="str">
        <f>IF(AND($O2165=$Q$7,$B2165&lt;'111'!$L$11),"x","")</f>
        <v/>
      </c>
      <c r="T2165" s="84" t="str">
        <f>IF(ISERROR(FIND('112'!$M$9,G2165,1)),"",IF((AND(FIND('112'!$M$9,G2165,1)&gt;=1,B2165='112'!$K$9,OR($N2165='112'!$I$6,$O2165='112'!$I$6))),"x",""))</f>
        <v/>
      </c>
      <c r="U2165" s="84" t="str">
        <f>IF(ISERROR(FIND('112'!$M$9,G2165,1)),"",IF((AND(LEFT(G2165,2)=LEFT('112'!$M$9,2),B2165&lt;'112'!$K$9,$N2165='112'!$I$6)),"x",""))</f>
        <v/>
      </c>
      <c r="V2165" s="84" t="str">
        <f>IF(ISERROR(FIND('112'!$M$9,G2165,1)),"",IF((AND(RIGHT(G2165,2)=RIGHT('112'!$M$9,2),B2165&lt;'112'!$K$9,$O2165='112'!$I$6)),"x",""))</f>
        <v/>
      </c>
      <c r="W2165" s="84" t="str">
        <f>IF(AND('341-CT'!$H$9=H2165,OR(LEFT(N2165,3)=$W$7,LEFT(O2165,3)=$W$7)),"x","")</f>
        <v/>
      </c>
      <c r="X2165" s="84" t="str">
        <f>IF(OR(TH!N2162=TH!$X$7,O2165=TH!$X$7),"x","")</f>
        <v/>
      </c>
      <c r="Y2165" s="84" t="str">
        <f>IF(AND(OR(N2165="131",O2165="131"),H2165='131-CT'!$H$9),"x","")</f>
        <v/>
      </c>
      <c r="Z2165" s="84"/>
      <c r="AA2165" s="84" t="str">
        <f>IF(AND(MONTH(E2165)='IN-NX'!$J$5,'IN-NX'!$D$7=D2165),"x","")</f>
        <v/>
      </c>
      <c r="AB2165" s="84" t="str">
        <f>IF(AND(OR(LEFT(TH!N2162,2)="15",LEFT(TH!O2162,2)="15"),LEFT(TH!O2162,3)&lt;&gt;"111",'152-CT'!$J$8=TH!F2162),"x","")</f>
        <v/>
      </c>
      <c r="AC2165" s="84" t="str">
        <f>IF(AND(OR(LEFT(TH!N2162,2)="15",LEFT(TH!O2162,2)="15"),TK!$E$7=TH!F2162),"x","")</f>
        <v/>
      </c>
      <c r="AD2165" s="84" t="str">
        <f>IF(AND(N2165="1521",MONTH(C2165)='BK-NL'!$M$11),"x","")</f>
        <v/>
      </c>
      <c r="AE2165" s="343" t="str">
        <f t="shared" si="287"/>
        <v>x</v>
      </c>
      <c r="AF2165" s="347">
        <v>8</v>
      </c>
    </row>
    <row r="2166" spans="1:32" s="347" customFormat="1" ht="15.75" hidden="1" customHeight="1">
      <c r="A2166" s="1176" t="str">
        <f>IF(B2166&lt;&gt;"",IF(AND(B2166='IN-TC'!$S$4,OR(TH!N2163="1111",TH!O2163="1111")),TH!D2163,""),"")</f>
        <v/>
      </c>
      <c r="B2166" s="1003">
        <f t="shared" si="286"/>
        <v>8</v>
      </c>
      <c r="C2166" s="80">
        <v>42613</v>
      </c>
      <c r="D2166" s="80" t="s">
        <v>582</v>
      </c>
      <c r="E2166" s="80">
        <v>42611</v>
      </c>
      <c r="F2166" s="81" t="s">
        <v>640</v>
      </c>
      <c r="G2166" s="985" t="s">
        <v>1944</v>
      </c>
      <c r="H2166" s="82" t="s">
        <v>630</v>
      </c>
      <c r="I2166" s="437"/>
      <c r="J2166" s="437"/>
      <c r="K2166" s="428"/>
      <c r="L2166" s="437"/>
      <c r="M2166" s="83">
        <v>204136</v>
      </c>
      <c r="N2166" s="84" t="s">
        <v>2001</v>
      </c>
      <c r="O2166" s="84" t="s">
        <v>8</v>
      </c>
      <c r="P2166" s="84" t="str">
        <f>IF(AND('331-CT'!$E$7=TH!H2163,OR(N2166="331",O2166="331")),"x","")</f>
        <v/>
      </c>
      <c r="Q2166" s="84" t="str">
        <f>IF(AND(B2166='111'!$L$11,OR($N2166=$Q$7,$O2166=$Q$7)),"x","")</f>
        <v/>
      </c>
      <c r="R2166" s="84" t="str">
        <f>IF(AND($N2166=$Q$7,$B2166&lt;'111'!$L$11),"x","")</f>
        <v/>
      </c>
      <c r="S2166" s="84" t="str">
        <f>IF(AND($O2166=$Q$7,$B2166&lt;'111'!$L$11),"x","")</f>
        <v/>
      </c>
      <c r="T2166" s="84" t="str">
        <f>IF(ISERROR(FIND('112'!$M$9,G2166,1)),"",IF((AND(FIND('112'!$M$9,G2166,1)&gt;=1,B2166='112'!$K$9,OR($N2166='112'!$I$6,$O2166='112'!$I$6))),"x",""))</f>
        <v/>
      </c>
      <c r="U2166" s="84" t="str">
        <f>IF(ISERROR(FIND('112'!$M$9,G2166,1)),"",IF((AND(LEFT(G2166,2)=LEFT('112'!$M$9,2),B2166&lt;'112'!$K$9,$N2166='112'!$I$6)),"x",""))</f>
        <v/>
      </c>
      <c r="V2166" s="84" t="str">
        <f>IF(ISERROR(FIND('112'!$M$9,G2166,1)),"",IF((AND(RIGHT(G2166,2)=RIGHT('112'!$M$9,2),B2166&lt;'112'!$K$9,$O2166='112'!$I$6)),"x",""))</f>
        <v/>
      </c>
      <c r="W2166" s="84" t="str">
        <f>IF(AND('341-CT'!$H$9=H2166,OR(LEFT(N2166,3)=$W$7,LEFT(O2166,3)=$W$7)),"x","")</f>
        <v/>
      </c>
      <c r="X2166" s="84" t="str">
        <f>IF(OR(TH!N2163=TH!$X$7,O2166=TH!$X$7),"x","")</f>
        <v/>
      </c>
      <c r="Y2166" s="84" t="str">
        <f>IF(AND(OR(N2166="131",O2166="131"),H2166='131-CT'!$H$9),"x","")</f>
        <v/>
      </c>
      <c r="Z2166" s="84"/>
      <c r="AA2166" s="84" t="str">
        <f>IF(AND(MONTH(E2166)='IN-NX'!$J$5,'IN-NX'!$D$7=D2166),"x","")</f>
        <v/>
      </c>
      <c r="AB2166" s="84" t="str">
        <f>IF(AND(OR(LEFT(TH!N2163,2)="15",LEFT(TH!O2163,2)="15"),LEFT(TH!O2163,3)&lt;&gt;"111",'152-CT'!$J$8=TH!F2163),"x","")</f>
        <v/>
      </c>
      <c r="AC2166" s="84" t="str">
        <f>IF(AND(OR(LEFT(TH!N2163,2)="15",LEFT(TH!O2163,2)="15"),TK!$E$7=TH!F2163),"x","")</f>
        <v/>
      </c>
      <c r="AD2166" s="84" t="str">
        <f>IF(AND(N2166="1521",MONTH(C2166)='BK-NL'!$M$11),"x","")</f>
        <v/>
      </c>
      <c r="AE2166" s="343" t="str">
        <f t="shared" si="287"/>
        <v>x</v>
      </c>
      <c r="AF2166" s="347">
        <v>8</v>
      </c>
    </row>
    <row r="2167" spans="1:32" s="347" customFormat="1" ht="15.75" customHeight="1">
      <c r="A2167" s="1176" t="str">
        <f>IF(B2167&lt;&gt;"",IF(AND(B2167='IN-TC'!$S$4,OR(TH!N2164="1111",TH!O2164="1111")),TH!D2164,""),"")</f>
        <v/>
      </c>
      <c r="B2167" s="1003">
        <f t="shared" si="286"/>
        <v>8</v>
      </c>
      <c r="C2167" s="80">
        <v>42613</v>
      </c>
      <c r="D2167" s="80" t="s">
        <v>582</v>
      </c>
      <c r="E2167" s="80">
        <v>42613</v>
      </c>
      <c r="F2167" s="81" t="s">
        <v>1872</v>
      </c>
      <c r="G2167" s="985" t="s">
        <v>1874</v>
      </c>
      <c r="H2167" s="82" t="s">
        <v>1870</v>
      </c>
      <c r="I2167" s="437"/>
      <c r="J2167" s="437"/>
      <c r="K2167" s="428"/>
      <c r="L2167" s="437"/>
      <c r="M2167" s="83">
        <v>4382920</v>
      </c>
      <c r="N2167" s="84" t="s">
        <v>591</v>
      </c>
      <c r="O2167" s="84" t="s">
        <v>8</v>
      </c>
      <c r="P2167" s="84" t="str">
        <f>IF(AND('331-CT'!$E$7=TH!H2164,OR(N2167="331",O2167="331")),"x","")</f>
        <v/>
      </c>
      <c r="Q2167" s="84" t="str">
        <f>IF(AND(B2167='111'!$L$11,OR($N2167=$Q$7,$O2167=$Q$7)),"x","")</f>
        <v/>
      </c>
      <c r="R2167" s="84" t="str">
        <f>IF(AND($N2167=$Q$7,$B2167&lt;'111'!$L$11),"x","")</f>
        <v/>
      </c>
      <c r="S2167" s="84" t="str">
        <f>IF(AND($O2167=$Q$7,$B2167&lt;'111'!$L$11),"x","")</f>
        <v/>
      </c>
      <c r="T2167" s="84" t="str">
        <f>IF(ISERROR(FIND('112'!$M$9,G2167,1)),"",IF((AND(FIND('112'!$M$9,G2167,1)&gt;=1,B2167='112'!$K$9,OR($N2167='112'!$I$6,$O2167='112'!$I$6))),"x",""))</f>
        <v/>
      </c>
      <c r="U2167" s="84" t="str">
        <f>IF(ISERROR(FIND('112'!$M$9,G2167,1)),"",IF((AND(LEFT(G2167,2)=LEFT('112'!$M$9,2),B2167&lt;'112'!$K$9,$N2167='112'!$I$6)),"x",""))</f>
        <v/>
      </c>
      <c r="V2167" s="84" t="str">
        <f>IF(ISERROR(FIND('112'!$M$9,G2167,1)),"",IF((AND(RIGHT(G2167,2)=RIGHT('112'!$M$9,2),B2167&lt;'112'!$K$9,$O2167='112'!$I$6)),"x",""))</f>
        <v/>
      </c>
      <c r="W2167" s="84" t="str">
        <f>IF(AND('341-CT'!$H$9=H2167,OR(LEFT(N2167,3)=$W$7,LEFT(O2167,3)=$W$7)),"x","")</f>
        <v/>
      </c>
      <c r="X2167" s="84" t="str">
        <f>IF(OR(TH!N2164=TH!$X$7,O2167=TH!$X$7),"x","")</f>
        <v/>
      </c>
      <c r="Y2167" s="84" t="str">
        <f>IF(AND(OR(N2167="131",O2167="131"),H2167='131-CT'!$H$9),"x","")</f>
        <v/>
      </c>
      <c r="Z2167" s="84"/>
      <c r="AA2167" s="84" t="str">
        <f>IF(AND(MONTH(E2167)='IN-NX'!$J$5,'IN-NX'!$D$7=D2167),"x","")</f>
        <v/>
      </c>
      <c r="AB2167" s="84" t="str">
        <f>IF(AND(OR(LEFT(TH!N2164,2)="15",LEFT(TH!O2164,2)="15"),LEFT(TH!O2164,3)&lt;&gt;"111",'152-CT'!$J$8=TH!F2164),"x","")</f>
        <v/>
      </c>
      <c r="AC2167" s="84" t="str">
        <f>IF(AND(OR(LEFT(TH!N2164,2)="15",LEFT(TH!O2164,2)="15"),TK!$E$7=TH!F2164),"x","")</f>
        <v/>
      </c>
      <c r="AD2167" s="84" t="str">
        <f>IF(AND(N2167="1521",MONTH(C2167)='BK-NL'!$M$11),"x","")</f>
        <v/>
      </c>
      <c r="AE2167" s="343" t="str">
        <f t="shared" si="287"/>
        <v>x</v>
      </c>
      <c r="AF2167" s="347">
        <v>8</v>
      </c>
    </row>
    <row r="2168" spans="1:32" s="347" customFormat="1" ht="15.75" hidden="1" customHeight="1">
      <c r="A2168" s="1176" t="str">
        <f>IF(B2168&lt;&gt;"",IF(AND(B2168='IN-TC'!$S$4,OR(TH!N2165="1111",TH!O2165="1111")),TH!D2165,""),"")</f>
        <v/>
      </c>
      <c r="B2168" s="1003">
        <f t="shared" si="286"/>
        <v>8</v>
      </c>
      <c r="C2168" s="80">
        <v>42613</v>
      </c>
      <c r="D2168" s="80" t="s">
        <v>582</v>
      </c>
      <c r="E2168" s="80">
        <v>42613</v>
      </c>
      <c r="F2168" s="81" t="s">
        <v>1873</v>
      </c>
      <c r="G2168" s="985" t="s">
        <v>1874</v>
      </c>
      <c r="H2168" s="82" t="s">
        <v>1870</v>
      </c>
      <c r="I2168" s="437"/>
      <c r="J2168" s="437"/>
      <c r="K2168" s="428"/>
      <c r="L2168" s="437"/>
      <c r="M2168" s="83">
        <v>438292</v>
      </c>
      <c r="N2168" s="84" t="s">
        <v>2001</v>
      </c>
      <c r="O2168" s="84" t="s">
        <v>8</v>
      </c>
      <c r="P2168" s="84" t="str">
        <f>IF(AND('331-CT'!$E$7=TH!H2165,OR(N2168="331",O2168="331")),"x","")</f>
        <v/>
      </c>
      <c r="Q2168" s="84" t="str">
        <f>IF(AND(B2168='111'!$L$11,OR($N2168=$Q$7,$O2168=$Q$7)),"x","")</f>
        <v/>
      </c>
      <c r="R2168" s="84" t="str">
        <f>IF(AND($N2168=$Q$7,$B2168&lt;'111'!$L$11),"x","")</f>
        <v/>
      </c>
      <c r="S2168" s="84" t="str">
        <f>IF(AND($O2168=$Q$7,$B2168&lt;'111'!$L$11),"x","")</f>
        <v/>
      </c>
      <c r="T2168" s="84" t="str">
        <f>IF(ISERROR(FIND('112'!$M$9,G2168,1)),"",IF((AND(FIND('112'!$M$9,G2168,1)&gt;=1,B2168='112'!$K$9,OR($N2168='112'!$I$6,$O2168='112'!$I$6))),"x",""))</f>
        <v/>
      </c>
      <c r="U2168" s="84" t="str">
        <f>IF(ISERROR(FIND('112'!$M$9,G2168,1)),"",IF((AND(LEFT(G2168,2)=LEFT('112'!$M$9,2),B2168&lt;'112'!$K$9,$N2168='112'!$I$6)),"x",""))</f>
        <v/>
      </c>
      <c r="V2168" s="84" t="str">
        <f>IF(ISERROR(FIND('112'!$M$9,G2168,1)),"",IF((AND(RIGHT(G2168,2)=RIGHT('112'!$M$9,2),B2168&lt;'112'!$K$9,$O2168='112'!$I$6)),"x",""))</f>
        <v/>
      </c>
      <c r="W2168" s="84" t="str">
        <f>IF(AND('341-CT'!$H$9=H2168,OR(LEFT(N2168,3)=$W$7,LEFT(O2168,3)=$W$7)),"x","")</f>
        <v/>
      </c>
      <c r="X2168" s="84" t="str">
        <f>IF(OR(TH!N2165=TH!$X$7,O2168=TH!$X$7),"x","")</f>
        <v/>
      </c>
      <c r="Y2168" s="84" t="str">
        <f>IF(AND(OR(N2168="131",O2168="131"),H2168='131-CT'!$H$9),"x","")</f>
        <v/>
      </c>
      <c r="Z2168" s="84"/>
      <c r="AA2168" s="84" t="str">
        <f>IF(AND(MONTH(E2168)='IN-NX'!$J$5,'IN-NX'!$D$7=D2168),"x","")</f>
        <v/>
      </c>
      <c r="AB2168" s="84" t="str">
        <f>IF(AND(OR(LEFT(TH!N2165,2)="15",LEFT(TH!O2165,2)="15"),LEFT(TH!O2165,3)&lt;&gt;"111",'152-CT'!$J$8=TH!F2165),"x","")</f>
        <v/>
      </c>
      <c r="AC2168" s="84" t="str">
        <f>IF(AND(OR(LEFT(TH!N2165,2)="15",LEFT(TH!O2165,2)="15"),TK!$E$7=TH!F2165),"x","")</f>
        <v/>
      </c>
      <c r="AD2168" s="84" t="str">
        <f>IF(AND(N2168="1521",MONTH(C2168)='BK-NL'!$M$11),"x","")</f>
        <v/>
      </c>
      <c r="AE2168" s="343" t="str">
        <f t="shared" si="287"/>
        <v>x</v>
      </c>
      <c r="AF2168" s="347">
        <v>8</v>
      </c>
    </row>
    <row r="2169" spans="1:32" s="347" customFormat="1" ht="15.75" hidden="1" customHeight="1">
      <c r="A2169" s="1176" t="str">
        <f>IF(B2169&lt;&gt;"",IF(AND(B2169='IN-TC'!$S$4,OR(TH!N2169="1111",TH!O2169="1111")),TH!D2169,""),"")</f>
        <v/>
      </c>
      <c r="B2169" s="1003">
        <f t="shared" si="286"/>
        <v>8</v>
      </c>
      <c r="C2169" s="80">
        <v>42613</v>
      </c>
      <c r="D2169" s="80" t="s">
        <v>582</v>
      </c>
      <c r="E2169" s="80">
        <v>42613</v>
      </c>
      <c r="F2169" s="81" t="s">
        <v>1868</v>
      </c>
      <c r="G2169" s="985" t="s">
        <v>1941</v>
      </c>
      <c r="H2169" s="82" t="s">
        <v>1943</v>
      </c>
      <c r="I2169" s="437"/>
      <c r="J2169" s="437"/>
      <c r="K2169" s="428"/>
      <c r="L2169" s="437"/>
      <c r="M2169" s="83">
        <v>24884526</v>
      </c>
      <c r="N2169" s="84" t="s">
        <v>591</v>
      </c>
      <c r="O2169" s="84" t="s">
        <v>8</v>
      </c>
      <c r="P2169" s="84" t="str">
        <f>IF(AND('331-CT'!$E$7=TH!H2169,OR(N2169="331",O2169="331")),"x","")</f>
        <v/>
      </c>
      <c r="Q2169" s="84" t="str">
        <f>IF(AND(B2169='111'!$L$11,OR($N2169=$Q$7,$O2169=$Q$7)),"x","")</f>
        <v/>
      </c>
      <c r="R2169" s="84" t="str">
        <f>IF(AND($N2169=$Q$7,$B2169&lt;'111'!$L$11),"x","")</f>
        <v/>
      </c>
      <c r="S2169" s="84" t="str">
        <f>IF(AND($O2169=$Q$7,$B2169&lt;'111'!$L$11),"x","")</f>
        <v/>
      </c>
      <c r="T2169" s="84" t="str">
        <f>IF(ISERROR(FIND('112'!$M$9,G2169,1)),"",IF((AND(FIND('112'!$M$9,G2169,1)&gt;=1,B2169='112'!$K$9,OR($N2169='112'!$I$6,$O2169='112'!$I$6))),"x",""))</f>
        <v/>
      </c>
      <c r="U2169" s="84" t="str">
        <f>IF(ISERROR(FIND('112'!$M$9,G2169,1)),"",IF((AND(LEFT(G2169,2)=LEFT('112'!$M$9,2),B2169&lt;'112'!$K$9,$N2169='112'!$I$6)),"x",""))</f>
        <v/>
      </c>
      <c r="V2169" s="84" t="str">
        <f>IF(ISERROR(FIND('112'!$M$9,G2169,1)),"",IF((AND(RIGHT(G2169,2)=RIGHT('112'!$M$9,2),B2169&lt;'112'!$K$9,$O2169='112'!$I$6)),"x",""))</f>
        <v/>
      </c>
      <c r="W2169" s="84" t="str">
        <f>IF(AND('341-CT'!$H$9=H2169,OR(LEFT(N2169,3)=$W$7,LEFT(O2169,3)=$W$7)),"x","")</f>
        <v/>
      </c>
      <c r="X2169" s="84" t="str">
        <f>IF(OR(TH!N2169=TH!$X$7,O2169=TH!$X$7),"x","")</f>
        <v/>
      </c>
      <c r="Y2169" s="84" t="str">
        <f>IF(AND(OR(N2169="131",O2169="131"),H2169='131-CT'!$H$9),"x","")</f>
        <v/>
      </c>
      <c r="Z2169" s="84"/>
      <c r="AA2169" s="84" t="str">
        <f>IF(AND(MONTH(E2169)='IN-NX'!$J$5,'IN-NX'!$D$7=D2169),"x","")</f>
        <v/>
      </c>
      <c r="AB2169" s="84" t="str">
        <f>IF(AND(OR(LEFT(TH!N2169,2)="15",LEFT(TH!O2169,2)="15"),LEFT(TH!O2169,3)&lt;&gt;"111",'152-CT'!$J$8=TH!F2169),"x","")</f>
        <v/>
      </c>
      <c r="AC2169" s="84" t="str">
        <f>IF(AND(OR(LEFT(TH!N2169,2)="15",LEFT(TH!O2169,2)="15"),TK!$E$7=TH!F2169),"x","")</f>
        <v/>
      </c>
      <c r="AD2169" s="84" t="str">
        <f>IF(AND(N2169="1521",MONTH(C2169)='BK-NL'!$M$11),"x","")</f>
        <v/>
      </c>
      <c r="AE2169" s="343" t="str">
        <f t="shared" si="287"/>
        <v>x</v>
      </c>
    </row>
    <row r="2170" spans="1:32" s="347" customFormat="1" ht="15.75" customHeight="1">
      <c r="A2170" s="1176" t="str">
        <f>IF(B2170&lt;&gt;"",IF(AND(B2170='IN-TC'!$S$4,OR(TH!N2170="1111",TH!O2170="1111")),TH!D2170,""),"")</f>
        <v/>
      </c>
      <c r="B2170" s="1003">
        <f t="shared" si="286"/>
        <v>8</v>
      </c>
      <c r="C2170" s="80">
        <v>42613</v>
      </c>
      <c r="D2170" s="80" t="s">
        <v>582</v>
      </c>
      <c r="E2170" s="80">
        <v>42613</v>
      </c>
      <c r="F2170" s="81" t="s">
        <v>1939</v>
      </c>
      <c r="G2170" s="985" t="s">
        <v>1942</v>
      </c>
      <c r="H2170" s="82" t="s">
        <v>1943</v>
      </c>
      <c r="I2170" s="437"/>
      <c r="J2170" s="437"/>
      <c r="K2170" s="428"/>
      <c r="L2170" s="437"/>
      <c r="M2170" s="83">
        <v>2569100</v>
      </c>
      <c r="N2170" s="84" t="s">
        <v>591</v>
      </c>
      <c r="O2170" s="84" t="s">
        <v>8</v>
      </c>
      <c r="P2170" s="84" t="str">
        <f>IF(AND('331-CT'!$E$7=TH!H2170,OR(N2170="331",O2170="331")),"x","")</f>
        <v/>
      </c>
      <c r="Q2170" s="84" t="str">
        <f>IF(AND(B2170='111'!$L$11,OR($N2170=$Q$7,$O2170=$Q$7)),"x","")</f>
        <v/>
      </c>
      <c r="R2170" s="84" t="str">
        <f>IF(AND($N2170=$Q$7,$B2170&lt;'111'!$L$11),"x","")</f>
        <v/>
      </c>
      <c r="S2170" s="84" t="str">
        <f>IF(AND($O2170=$Q$7,$B2170&lt;'111'!$L$11),"x","")</f>
        <v/>
      </c>
      <c r="T2170" s="84" t="str">
        <f>IF(ISERROR(FIND('112'!$M$9,G2170,1)),"",IF((AND(FIND('112'!$M$9,G2170,1)&gt;=1,B2170='112'!$K$9,OR($N2170='112'!$I$6,$O2170='112'!$I$6))),"x",""))</f>
        <v/>
      </c>
      <c r="U2170" s="84" t="str">
        <f>IF(ISERROR(FIND('112'!$M$9,G2170,1)),"",IF((AND(LEFT(G2170,2)=LEFT('112'!$M$9,2),B2170&lt;'112'!$K$9,$N2170='112'!$I$6)),"x",""))</f>
        <v/>
      </c>
      <c r="V2170" s="84" t="str">
        <f>IF(ISERROR(FIND('112'!$M$9,G2170,1)),"",IF((AND(RIGHT(G2170,2)=RIGHT('112'!$M$9,2),B2170&lt;'112'!$K$9,$O2170='112'!$I$6)),"x",""))</f>
        <v/>
      </c>
      <c r="W2170" s="84" t="str">
        <f>IF(AND('341-CT'!$H$9=H2170,OR(LEFT(N2170,3)=$W$7,LEFT(O2170,3)=$W$7)),"x","")</f>
        <v/>
      </c>
      <c r="X2170" s="84" t="str">
        <f>IF(OR(TH!N2170=TH!$X$7,O2170=TH!$X$7),"x","")</f>
        <v/>
      </c>
      <c r="Y2170" s="84" t="str">
        <f>IF(AND(OR(N2170="131",O2170="131"),H2170='131-CT'!$H$9),"x","")</f>
        <v/>
      </c>
      <c r="Z2170" s="84"/>
      <c r="AA2170" s="84" t="str">
        <f>IF(AND(MONTH(E2170)='IN-NX'!$J$5,'IN-NX'!$D$7=D2170),"x","")</f>
        <v/>
      </c>
      <c r="AB2170" s="84" t="str">
        <f>IF(AND(OR(LEFT(TH!N2170,2)="15",LEFT(TH!O2170,2)="15"),LEFT(TH!O2170,3)&lt;&gt;"111",'152-CT'!$J$8=TH!F2170),"x","")</f>
        <v/>
      </c>
      <c r="AC2170" s="84" t="str">
        <f>IF(AND(OR(LEFT(TH!N2170,2)="15",LEFT(TH!O2170,2)="15"),TK!$E$7=TH!F2170),"x","")</f>
        <v/>
      </c>
      <c r="AD2170" s="84" t="str">
        <f>IF(AND(N2170="1521",MONTH(C2170)='BK-NL'!$M$11),"x","")</f>
        <v/>
      </c>
      <c r="AE2170" s="343" t="str">
        <f t="shared" si="287"/>
        <v>x</v>
      </c>
      <c r="AF2170" s="347">
        <v>8</v>
      </c>
    </row>
    <row r="2171" spans="1:32" s="347" customFormat="1" ht="15.75" hidden="1" customHeight="1">
      <c r="A2171" s="1176" t="str">
        <f>IF(B2171&lt;&gt;"",IF(AND(B2171='IN-TC'!$S$4,OR(TH!N2171="1111",TH!O2171="1111")),TH!D2171,""),"")</f>
        <v/>
      </c>
      <c r="B2171" s="1003">
        <f t="shared" si="286"/>
        <v>8</v>
      </c>
      <c r="C2171" s="80">
        <v>42613</v>
      </c>
      <c r="D2171" s="80" t="s">
        <v>582</v>
      </c>
      <c r="E2171" s="80">
        <v>42613</v>
      </c>
      <c r="F2171" s="81" t="s">
        <v>1940</v>
      </c>
      <c r="G2171" s="985" t="s">
        <v>1942</v>
      </c>
      <c r="H2171" s="82" t="s">
        <v>1943</v>
      </c>
      <c r="I2171" s="437"/>
      <c r="J2171" s="437"/>
      <c r="K2171" s="428"/>
      <c r="L2171" s="437"/>
      <c r="M2171" s="83">
        <v>256910</v>
      </c>
      <c r="N2171" s="84" t="s">
        <v>2001</v>
      </c>
      <c r="O2171" s="84" t="s">
        <v>8</v>
      </c>
      <c r="P2171" s="84" t="str">
        <f>IF(AND('331-CT'!$E$7=TH!H2171,OR(N2171="331",O2171="331")),"x","")</f>
        <v/>
      </c>
      <c r="Q2171" s="84" t="str">
        <f>IF(AND(B2171='111'!$L$11,OR($N2171=$Q$7,$O2171=$Q$7)),"x","")</f>
        <v/>
      </c>
      <c r="R2171" s="84" t="str">
        <f>IF(AND($N2171=$Q$7,$B2171&lt;'111'!$L$11),"x","")</f>
        <v/>
      </c>
      <c r="S2171" s="84" t="str">
        <f>IF(AND($O2171=$Q$7,$B2171&lt;'111'!$L$11),"x","")</f>
        <v/>
      </c>
      <c r="T2171" s="84" t="str">
        <f>IF(ISERROR(FIND('112'!$M$9,G2171,1)),"",IF((AND(FIND('112'!$M$9,G2171,1)&gt;=1,B2171='112'!$K$9,OR($N2171='112'!$I$6,$O2171='112'!$I$6))),"x",""))</f>
        <v/>
      </c>
      <c r="U2171" s="84" t="str">
        <f>IF(ISERROR(FIND('112'!$M$9,G2171,1)),"",IF((AND(LEFT(G2171,2)=LEFT('112'!$M$9,2),B2171&lt;'112'!$K$9,$N2171='112'!$I$6)),"x",""))</f>
        <v/>
      </c>
      <c r="V2171" s="84" t="str">
        <f>IF(ISERROR(FIND('112'!$M$9,G2171,1)),"",IF((AND(RIGHT(G2171,2)=RIGHT('112'!$M$9,2),B2171&lt;'112'!$K$9,$O2171='112'!$I$6)),"x",""))</f>
        <v/>
      </c>
      <c r="W2171" s="84" t="str">
        <f>IF(AND('341-CT'!$H$9=H2171,OR(LEFT(N2171,3)=$W$7,LEFT(O2171,3)=$W$7)),"x","")</f>
        <v/>
      </c>
      <c r="X2171" s="84" t="str">
        <f>IF(OR(TH!N2171=TH!$X$7,O2171=TH!$X$7),"x","")</f>
        <v/>
      </c>
      <c r="Y2171" s="84" t="str">
        <f>IF(AND(OR(N2171="131",O2171="131"),H2171='131-CT'!$H$9),"x","")</f>
        <v/>
      </c>
      <c r="Z2171" s="84"/>
      <c r="AA2171" s="84" t="str">
        <f>IF(AND(MONTH(E2171)='IN-NX'!$J$5,'IN-NX'!$D$7=D2171),"x","")</f>
        <v/>
      </c>
      <c r="AB2171" s="84" t="str">
        <f>IF(AND(OR(LEFT(TH!N2171,2)="15",LEFT(TH!O2171,2)="15"),LEFT(TH!O2171,3)&lt;&gt;"111",'152-CT'!$J$8=TH!F2171),"x","")</f>
        <v/>
      </c>
      <c r="AC2171" s="84" t="str">
        <f>IF(AND(OR(LEFT(TH!N2171,2)="15",LEFT(TH!O2171,2)="15"),TK!$E$7=TH!F2171),"x","")</f>
        <v/>
      </c>
      <c r="AD2171" s="84" t="str">
        <f>IF(AND(N2171="1521",MONTH(C2171)='BK-NL'!$M$11),"x","")</f>
        <v/>
      </c>
      <c r="AE2171" s="343" t="str">
        <f t="shared" si="287"/>
        <v>x</v>
      </c>
      <c r="AF2171" s="347">
        <v>8</v>
      </c>
    </row>
    <row r="2172" spans="1:32" s="351" customFormat="1" ht="15.75" hidden="1" customHeight="1">
      <c r="A2172" s="336" t="str">
        <f>IF(B2172&lt;&gt;"",IF(AND(B2172='IN-TC'!$S$4,OR(TH!N2172="1111",TH!O2172="1111")),TH!D2172,""),"")</f>
        <v/>
      </c>
      <c r="B2172" s="63" t="str">
        <f t="shared" si="285"/>
        <v/>
      </c>
      <c r="C2172" s="64"/>
      <c r="D2172" s="64"/>
      <c r="E2172" s="64"/>
      <c r="F2172" s="73" t="s">
        <v>949</v>
      </c>
      <c r="G2172" s="81" t="s">
        <v>344</v>
      </c>
      <c r="H2172" s="82" t="s">
        <v>1968</v>
      </c>
      <c r="I2172" s="437"/>
      <c r="J2172" s="437"/>
      <c r="K2172" s="428"/>
      <c r="L2172" s="437"/>
      <c r="M2172" s="83">
        <v>86550000</v>
      </c>
      <c r="N2172" s="84" t="s">
        <v>8</v>
      </c>
      <c r="O2172" s="84" t="s">
        <v>63</v>
      </c>
      <c r="P2172" s="84" t="str">
        <f>IF(AND('331-CT'!$E$7=TH!H2172,OR(N2172="331",O2172="331")),"x","")</f>
        <v/>
      </c>
      <c r="Q2172" s="84" t="str">
        <f>IF(AND(B2172='111'!$L$11,OR($N2172=$Q$7,$O2172=$Q$7)),"x","")</f>
        <v/>
      </c>
      <c r="R2172" s="84" t="str">
        <f>IF(AND($N2172=$Q$7,$B2172&lt;'111'!$L$11),"x","")</f>
        <v/>
      </c>
      <c r="S2172" s="84" t="str">
        <f>IF(AND($O2172=$Q$7,$B2172&lt;'111'!$L$11),"x","")</f>
        <v/>
      </c>
      <c r="T2172" s="84" t="str">
        <f>IF(ISERROR(FIND('112'!$M$9,G2172,1)),"",IF((AND(FIND('112'!$M$9,G2172,1)&gt;=1,B2172='112'!$K$9,OR($N2172='112'!$I$6,$O2172='112'!$I$6))),"x",""))</f>
        <v/>
      </c>
      <c r="U2172" s="84" t="str">
        <f>IF(ISERROR(FIND('112'!$M$9,G2172,1)),"",IF((AND(LEFT(G2172,2)=LEFT('112'!$M$9,2),B2172&lt;'112'!$K$9,$N2172='112'!$I$6)),"x",""))</f>
        <v/>
      </c>
      <c r="V2172" s="84" t="str">
        <f>IF(ISERROR(FIND('112'!$M$9,G2172,1)),"",IF((AND(RIGHT(G2172,2)=RIGHT('112'!$M$9,2),B2172&lt;'112'!$K$9,$O2172='112'!$I$6)),"x",""))</f>
        <v/>
      </c>
      <c r="W2172" s="84" t="str">
        <f>IF(AND('341-CT'!$H$9=H2172,OR(LEFT(N2172,3)=$W$7,LEFT(O2172,3)=$W$7)),"x","")</f>
        <v/>
      </c>
      <c r="X2172" s="84" t="str">
        <f>IF(OR(TH!N2172=TH!$X$7,O2172=TH!$X$7),"x","")</f>
        <v/>
      </c>
      <c r="Y2172" s="84" t="str">
        <f>IF(AND(OR(N2172="131",O2172="131"),H2172='131-CT'!$H$9),"x","")</f>
        <v/>
      </c>
      <c r="Z2172" s="84"/>
      <c r="AA2172" s="84" t="str">
        <f>IF(AND(MONTH(E2172)='IN-NX'!$J$5,'IN-NX'!$D$7=D2172),"x","")</f>
        <v/>
      </c>
      <c r="AB2172" s="84" t="str">
        <f>IF(AND(OR(LEFT(TH!N2172,2)="15",LEFT(TH!O2172,2)="15"),LEFT(TH!O2172,3)&lt;&gt;"111",'152-CT'!$J$8=TH!F2172),"x","")</f>
        <v/>
      </c>
      <c r="AC2172" s="84" t="str">
        <f>IF(AND(OR(LEFT(TH!N2172,2)="15",LEFT(TH!O2172,2)="15"),TK!$E$7=TH!F2172),"x","")</f>
        <v/>
      </c>
      <c r="AD2172" s="84" t="str">
        <f>IF(AND(N2172="1521",MONTH(C2172)='BK-NL'!$M$11),"x","")</f>
        <v/>
      </c>
    </row>
    <row r="2173" spans="1:32" s="351" customFormat="1" ht="15.75" hidden="1" customHeight="1">
      <c r="A2173" s="336" t="str">
        <f>IF(B2173&lt;&gt;"",IF(AND(B2173='IN-TC'!$S$4,OR(TH!N2173="1111",TH!O2173="1111")),TH!D2173,""),"")</f>
        <v/>
      </c>
      <c r="B2173" s="63" t="str">
        <f t="shared" si="285"/>
        <v/>
      </c>
      <c r="C2173" s="64"/>
      <c r="D2173" s="64"/>
      <c r="E2173" s="64"/>
      <c r="F2173" s="73" t="s">
        <v>949</v>
      </c>
      <c r="G2173" s="81" t="s">
        <v>344</v>
      </c>
      <c r="H2173" s="82" t="s">
        <v>437</v>
      </c>
      <c r="I2173" s="437"/>
      <c r="J2173" s="437"/>
      <c r="K2173" s="428"/>
      <c r="L2173" s="437"/>
      <c r="M2173" s="83">
        <v>100305000</v>
      </c>
      <c r="N2173" s="84" t="s">
        <v>8</v>
      </c>
      <c r="O2173" s="84" t="s">
        <v>63</v>
      </c>
      <c r="P2173" s="84" t="str">
        <f>IF(AND('331-CT'!$E$7=TH!H2173,OR(N2173="331",O2173="331")),"x","")</f>
        <v/>
      </c>
      <c r="Q2173" s="84" t="str">
        <f>IF(AND(B2173='111'!$L$11,OR($N2173=$Q$7,$O2173=$Q$7)),"x","")</f>
        <v/>
      </c>
      <c r="R2173" s="84" t="str">
        <f>IF(AND($N2173=$Q$7,$B2173&lt;'111'!$L$11),"x","")</f>
        <v/>
      </c>
      <c r="S2173" s="84" t="str">
        <f>IF(AND($O2173=$Q$7,$B2173&lt;'111'!$L$11),"x","")</f>
        <v/>
      </c>
      <c r="T2173" s="84" t="str">
        <f>IF(ISERROR(FIND('112'!$M$9,G2173,1)),"",IF((AND(FIND('112'!$M$9,G2173,1)&gt;=1,B2173='112'!$K$9,OR($N2173='112'!$I$6,$O2173='112'!$I$6))),"x",""))</f>
        <v/>
      </c>
      <c r="U2173" s="84" t="str">
        <f>IF(ISERROR(FIND('112'!$M$9,G2173,1)),"",IF((AND(LEFT(G2173,2)=LEFT('112'!$M$9,2),B2173&lt;'112'!$K$9,$N2173='112'!$I$6)),"x",""))</f>
        <v/>
      </c>
      <c r="V2173" s="84" t="str">
        <f>IF(ISERROR(FIND('112'!$M$9,G2173,1)),"",IF((AND(RIGHT(G2173,2)=RIGHT('112'!$M$9,2),B2173&lt;'112'!$K$9,$O2173='112'!$I$6)),"x",""))</f>
        <v/>
      </c>
      <c r="W2173" s="84" t="str">
        <f>IF(AND('341-CT'!$H$9=H2173,OR(LEFT(N2173,3)=$W$7,LEFT(O2173,3)=$W$7)),"x","")</f>
        <v/>
      </c>
      <c r="X2173" s="84" t="str">
        <f>IF(OR(TH!N2173=TH!$X$7,O2173=TH!$X$7),"x","")</f>
        <v/>
      </c>
      <c r="Y2173" s="84" t="str">
        <f>IF(AND(OR(N2173="131",O2173="131"),H2173='131-CT'!$H$9),"x","")</f>
        <v/>
      </c>
      <c r="Z2173" s="84"/>
      <c r="AA2173" s="84" t="str">
        <f>IF(AND(MONTH(E2173)='IN-NX'!$J$5,'IN-NX'!$D$7=D2173),"x","")</f>
        <v/>
      </c>
      <c r="AB2173" s="84" t="str">
        <f>IF(AND(OR(LEFT(TH!N2173,2)="15",LEFT(TH!O2173,2)="15"),LEFT(TH!O2173,3)&lt;&gt;"111",'152-CT'!$J$8=TH!F2173),"x","")</f>
        <v/>
      </c>
      <c r="AC2173" s="84" t="str">
        <f>IF(AND(OR(LEFT(TH!N2173,2)="15",LEFT(TH!O2173,2)="15"),TK!$E$7=TH!F2173),"x","")</f>
        <v/>
      </c>
      <c r="AD2173" s="84" t="str">
        <f>IF(AND(N2173="1521",MONTH(C2173)='BK-NL'!$M$11),"x","")</f>
        <v/>
      </c>
    </row>
    <row r="2174" spans="1:32" s="351" customFormat="1" ht="15.75" hidden="1" customHeight="1">
      <c r="A2174" s="336" t="str">
        <f>IF(B2174&lt;&gt;"",IF(AND(B2174='IN-TC'!$S$4,OR(TH!N2174="1111",TH!O2174="1111")),TH!D2174,""),"")</f>
        <v/>
      </c>
      <c r="B2174" s="63" t="str">
        <f t="shared" si="285"/>
        <v/>
      </c>
      <c r="C2174" s="64"/>
      <c r="D2174" s="64"/>
      <c r="E2174" s="64"/>
      <c r="F2174" s="73" t="s">
        <v>949</v>
      </c>
      <c r="G2174" s="81" t="s">
        <v>344</v>
      </c>
      <c r="H2174" s="82" t="s">
        <v>383</v>
      </c>
      <c r="I2174" s="437"/>
      <c r="J2174" s="437"/>
      <c r="K2174" s="428"/>
      <c r="L2174" s="437"/>
      <c r="M2174" s="83">
        <v>3296800000</v>
      </c>
      <c r="N2174" s="84" t="s">
        <v>8</v>
      </c>
      <c r="O2174" s="84" t="s">
        <v>63</v>
      </c>
      <c r="P2174" s="84" t="str">
        <f>IF(AND('331-CT'!$E$7=TH!H2174,OR(N2174="331",O2174="331")),"x","")</f>
        <v/>
      </c>
      <c r="Q2174" s="84" t="str">
        <f>IF(AND(B2174='111'!$L$11,OR($N2174=$Q$7,$O2174=$Q$7)),"x","")</f>
        <v/>
      </c>
      <c r="R2174" s="84" t="str">
        <f>IF(AND($N2174=$Q$7,$B2174&lt;'111'!$L$11),"x","")</f>
        <v/>
      </c>
      <c r="S2174" s="84" t="str">
        <f>IF(AND($O2174=$Q$7,$B2174&lt;'111'!$L$11),"x","")</f>
        <v/>
      </c>
      <c r="T2174" s="84" t="str">
        <f>IF(ISERROR(FIND('112'!$M$9,G2174,1)),"",IF((AND(FIND('112'!$M$9,G2174,1)&gt;=1,B2174='112'!$K$9,OR($N2174='112'!$I$6,$O2174='112'!$I$6))),"x",""))</f>
        <v/>
      </c>
      <c r="U2174" s="84" t="str">
        <f>IF(ISERROR(FIND('112'!$M$9,G2174,1)),"",IF((AND(LEFT(G2174,2)=LEFT('112'!$M$9,2),B2174&lt;'112'!$K$9,$N2174='112'!$I$6)),"x",""))</f>
        <v/>
      </c>
      <c r="V2174" s="84" t="str">
        <f>IF(ISERROR(FIND('112'!$M$9,G2174,1)),"",IF((AND(RIGHT(G2174,2)=RIGHT('112'!$M$9,2),B2174&lt;'112'!$K$9,$O2174='112'!$I$6)),"x",""))</f>
        <v/>
      </c>
      <c r="W2174" s="84" t="str">
        <f>IF(AND('341-CT'!$H$9=H2174,OR(LEFT(N2174,3)=$W$7,LEFT(O2174,3)=$W$7)),"x","")</f>
        <v/>
      </c>
      <c r="X2174" s="84" t="str">
        <f>IF(OR(TH!N2174=TH!$X$7,O2174=TH!$X$7),"x","")</f>
        <v/>
      </c>
      <c r="Y2174" s="84" t="str">
        <f>IF(AND(OR(N2174="131",O2174="131"),H2174='131-CT'!$H$9),"x","")</f>
        <v/>
      </c>
      <c r="Z2174" s="84"/>
      <c r="AA2174" s="84" t="str">
        <f>IF(AND(MONTH(E2174)='IN-NX'!$J$5,'IN-NX'!$D$7=D2174),"x","")</f>
        <v/>
      </c>
      <c r="AB2174" s="84" t="str">
        <f>IF(AND(OR(LEFT(TH!N2174,2)="15",LEFT(TH!O2174,2)="15"),LEFT(TH!O2174,3)&lt;&gt;"111",'152-CT'!$J$8=TH!F2174),"x","")</f>
        <v/>
      </c>
      <c r="AC2174" s="84" t="str">
        <f>IF(AND(OR(LEFT(TH!N2174,2)="15",LEFT(TH!O2174,2)="15"),TK!$E$7=TH!F2174),"x","")</f>
        <v/>
      </c>
      <c r="AD2174" s="84" t="str">
        <f>IF(AND(N2174="1521",MONTH(C2174)='BK-NL'!$M$11),"x","")</f>
        <v/>
      </c>
    </row>
    <row r="2175" spans="1:32" s="351" customFormat="1" ht="15.75" hidden="1" customHeight="1">
      <c r="A2175" s="336" t="str">
        <f>IF(B2175&lt;&gt;"",IF(AND(B2175='IN-TC'!$S$4,OR(TH!N2175="1111",TH!O2175="1111")),TH!D2175,""),"")</f>
        <v/>
      </c>
      <c r="B2175" s="63" t="str">
        <f t="shared" si="285"/>
        <v/>
      </c>
      <c r="C2175" s="64"/>
      <c r="D2175" s="64"/>
      <c r="E2175" s="64"/>
      <c r="F2175" s="73" t="s">
        <v>949</v>
      </c>
      <c r="G2175" s="81" t="s">
        <v>344</v>
      </c>
      <c r="H2175" s="82" t="s">
        <v>1980</v>
      </c>
      <c r="I2175" s="437"/>
      <c r="J2175" s="437"/>
      <c r="K2175" s="428"/>
      <c r="L2175" s="437"/>
      <c r="M2175" s="83">
        <v>463260000</v>
      </c>
      <c r="N2175" s="84" t="s">
        <v>8</v>
      </c>
      <c r="O2175" s="84" t="s">
        <v>63</v>
      </c>
      <c r="P2175" s="84" t="str">
        <f>IF(AND('331-CT'!$E$7=TH!H2175,OR(N2175="331",O2175="331")),"x","")</f>
        <v/>
      </c>
      <c r="Q2175" s="84" t="str">
        <f>IF(AND(B2175='111'!$L$11,OR($N2175=$Q$7,$O2175=$Q$7)),"x","")</f>
        <v/>
      </c>
      <c r="R2175" s="84" t="str">
        <f>IF(AND($N2175=$Q$7,$B2175&lt;'111'!$L$11),"x","")</f>
        <v/>
      </c>
      <c r="S2175" s="84" t="str">
        <f>IF(AND($O2175=$Q$7,$B2175&lt;'111'!$L$11),"x","")</f>
        <v/>
      </c>
      <c r="T2175" s="84" t="str">
        <f>IF(ISERROR(FIND('112'!$M$9,G2175,1)),"",IF((AND(FIND('112'!$M$9,G2175,1)&gt;=1,B2175='112'!$K$9,OR($N2175='112'!$I$6,$O2175='112'!$I$6))),"x",""))</f>
        <v/>
      </c>
      <c r="U2175" s="84" t="str">
        <f>IF(ISERROR(FIND('112'!$M$9,G2175,1)),"",IF((AND(LEFT(G2175,2)=LEFT('112'!$M$9,2),B2175&lt;'112'!$K$9,$N2175='112'!$I$6)),"x",""))</f>
        <v/>
      </c>
      <c r="V2175" s="84" t="str">
        <f>IF(ISERROR(FIND('112'!$M$9,G2175,1)),"",IF((AND(RIGHT(G2175,2)=RIGHT('112'!$M$9,2),B2175&lt;'112'!$K$9,$O2175='112'!$I$6)),"x",""))</f>
        <v/>
      </c>
      <c r="W2175" s="84" t="str">
        <f>IF(AND('341-CT'!$H$9=H2175,OR(LEFT(N2175,3)=$W$7,LEFT(O2175,3)=$W$7)),"x","")</f>
        <v/>
      </c>
      <c r="X2175" s="84" t="str">
        <f>IF(OR(TH!N2175=TH!$X$7,O2175=TH!$X$7),"x","")</f>
        <v/>
      </c>
      <c r="Y2175" s="84" t="str">
        <f>IF(AND(OR(N2175="131",O2175="131"),H2175='131-CT'!$H$9),"x","")</f>
        <v/>
      </c>
      <c r="Z2175" s="84"/>
      <c r="AA2175" s="84" t="str">
        <f>IF(AND(MONTH(E2175)='IN-NX'!$J$5,'IN-NX'!$D$7=D2175),"x","")</f>
        <v/>
      </c>
      <c r="AB2175" s="84" t="str">
        <f>IF(AND(OR(LEFT(TH!N2175,2)="15",LEFT(TH!O2175,2)="15"),LEFT(TH!O2175,3)&lt;&gt;"111",'152-CT'!$J$8=TH!F2175),"x","")</f>
        <v/>
      </c>
      <c r="AC2175" s="84" t="str">
        <f>IF(AND(OR(LEFT(TH!N2175,2)="15",LEFT(TH!O2175,2)="15"),TK!$E$7=TH!F2175),"x","")</f>
        <v/>
      </c>
      <c r="AD2175" s="84" t="str">
        <f>IF(AND(N2175="1521",MONTH(C2175)='BK-NL'!$M$11),"x","")</f>
        <v/>
      </c>
    </row>
    <row r="2176" spans="1:32" s="351" customFormat="1" ht="15.75" hidden="1" customHeight="1">
      <c r="A2176" s="336" t="str">
        <f>IF(B2176&lt;&gt;"",IF(AND(B2176='IN-TC'!$S$4,OR(TH!N2176="1111",TH!O2176="1111")),TH!D2176,""),"")</f>
        <v/>
      </c>
      <c r="B2176" s="63" t="str">
        <f t="shared" si="285"/>
        <v/>
      </c>
      <c r="C2176" s="64"/>
      <c r="D2176" s="64"/>
      <c r="E2176" s="64"/>
      <c r="F2176" s="73" t="s">
        <v>949</v>
      </c>
      <c r="G2176" s="81" t="s">
        <v>344</v>
      </c>
      <c r="H2176" s="82" t="s">
        <v>442</v>
      </c>
      <c r="I2176" s="437"/>
      <c r="J2176" s="437"/>
      <c r="K2176" s="428"/>
      <c r="L2176" s="437"/>
      <c r="M2176" s="83">
        <v>533601500</v>
      </c>
      <c r="N2176" s="84" t="s">
        <v>8</v>
      </c>
      <c r="O2176" s="84" t="s">
        <v>63</v>
      </c>
      <c r="P2176" s="84" t="str">
        <f>IF(AND('331-CT'!$E$7=TH!H2176,OR(N2176="331",O2176="331")),"x","")</f>
        <v/>
      </c>
      <c r="Q2176" s="84" t="str">
        <f>IF(AND(B2176='111'!$L$11,OR($N2176=$Q$7,$O2176=$Q$7)),"x","")</f>
        <v/>
      </c>
      <c r="R2176" s="84" t="str">
        <f>IF(AND($N2176=$Q$7,$B2176&lt;'111'!$L$11),"x","")</f>
        <v/>
      </c>
      <c r="S2176" s="84" t="str">
        <f>IF(AND($O2176=$Q$7,$B2176&lt;'111'!$L$11),"x","")</f>
        <v/>
      </c>
      <c r="T2176" s="84" t="str">
        <f>IF(ISERROR(FIND('112'!$M$9,G2176,1)),"",IF((AND(FIND('112'!$M$9,G2176,1)&gt;=1,B2176='112'!$K$9,OR($N2176='112'!$I$6,$O2176='112'!$I$6))),"x",""))</f>
        <v/>
      </c>
      <c r="U2176" s="84" t="str">
        <f>IF(ISERROR(FIND('112'!$M$9,G2176,1)),"",IF((AND(LEFT(G2176,2)=LEFT('112'!$M$9,2),B2176&lt;'112'!$K$9,$N2176='112'!$I$6)),"x",""))</f>
        <v/>
      </c>
      <c r="V2176" s="84" t="str">
        <f>IF(ISERROR(FIND('112'!$M$9,G2176,1)),"",IF((AND(RIGHT(G2176,2)=RIGHT('112'!$M$9,2),B2176&lt;'112'!$K$9,$O2176='112'!$I$6)),"x",""))</f>
        <v/>
      </c>
      <c r="W2176" s="84" t="str">
        <f>IF(AND('341-CT'!$H$9=H2176,OR(LEFT(N2176,3)=$W$7,LEFT(O2176,3)=$W$7)),"x","")</f>
        <v/>
      </c>
      <c r="X2176" s="84" t="str">
        <f>IF(OR(TH!N2176=TH!$X$7,O2176=TH!$X$7),"x","")</f>
        <v/>
      </c>
      <c r="Y2176" s="84" t="str">
        <f>IF(AND(OR(N2176="131",O2176="131"),H2176='131-CT'!$H$9),"x","")</f>
        <v/>
      </c>
      <c r="Z2176" s="84"/>
      <c r="AA2176" s="84" t="str">
        <f>IF(AND(MONTH(E2176)='IN-NX'!$J$5,'IN-NX'!$D$7=D2176),"x","")</f>
        <v/>
      </c>
      <c r="AB2176" s="84" t="str">
        <f>IF(AND(OR(LEFT(TH!N2176,2)="15",LEFT(TH!O2176,2)="15"),LEFT(TH!O2176,3)&lt;&gt;"111",'152-CT'!$J$8=TH!F2176),"x","")</f>
        <v/>
      </c>
      <c r="AC2176" s="84" t="str">
        <f>IF(AND(OR(LEFT(TH!N2176,2)="15",LEFT(TH!O2176,2)="15"),TK!$E$7=TH!F2176),"x","")</f>
        <v/>
      </c>
      <c r="AD2176" s="84" t="str">
        <f>IF(AND(N2176="1521",MONTH(C2176)='BK-NL'!$M$11),"x","")</f>
        <v/>
      </c>
    </row>
    <row r="2177" spans="1:30" s="351" customFormat="1" ht="15.75" hidden="1" customHeight="1">
      <c r="A2177" s="336" t="str">
        <f>IF(B2177&lt;&gt;"",IF(AND(B2177='IN-TC'!$S$4,OR(TH!N2177="1111",TH!O2177="1111")),TH!D2177,""),"")</f>
        <v/>
      </c>
      <c r="B2177" s="63" t="str">
        <f t="shared" si="285"/>
        <v/>
      </c>
      <c r="C2177" s="64"/>
      <c r="D2177" s="64"/>
      <c r="E2177" s="64"/>
      <c r="F2177" s="73" t="s">
        <v>949</v>
      </c>
      <c r="G2177" s="81" t="s">
        <v>344</v>
      </c>
      <c r="H2177" s="966" t="s">
        <v>1979</v>
      </c>
      <c r="I2177" s="961"/>
      <c r="J2177" s="961"/>
      <c r="K2177" s="967"/>
      <c r="L2177" s="961"/>
      <c r="M2177" s="83">
        <v>745605000</v>
      </c>
      <c r="N2177" s="84" t="s">
        <v>8</v>
      </c>
      <c r="O2177" s="84" t="s">
        <v>63</v>
      </c>
      <c r="P2177" s="84" t="str">
        <f>IF(AND('331-CT'!$E$7=TH!H2177,OR(N2177="331",O2177="331")),"x","")</f>
        <v/>
      </c>
      <c r="Q2177" s="84" t="str">
        <f>IF(AND(B2177='111'!$L$11,OR($N2177=$Q$7,$O2177=$Q$7)),"x","")</f>
        <v/>
      </c>
      <c r="R2177" s="84" t="str">
        <f>IF(AND($N2177=$Q$7,$B2177&lt;'111'!$L$11),"x","")</f>
        <v/>
      </c>
      <c r="S2177" s="84" t="str">
        <f>IF(AND($O2177=$Q$7,$B2177&lt;'111'!$L$11),"x","")</f>
        <v/>
      </c>
      <c r="T2177" s="84" t="str">
        <f>IF(ISERROR(FIND('112'!$M$9,G2177,1)),"",IF((AND(FIND('112'!$M$9,G2177,1)&gt;=1,B2177='112'!$K$9,OR($N2177='112'!$I$6,$O2177='112'!$I$6))),"x",""))</f>
        <v/>
      </c>
      <c r="U2177" s="84" t="str">
        <f>IF(ISERROR(FIND('112'!$M$9,G2177,1)),"",IF((AND(LEFT(G2177,2)=LEFT('112'!$M$9,2),B2177&lt;'112'!$K$9,$N2177='112'!$I$6)),"x",""))</f>
        <v/>
      </c>
      <c r="V2177" s="84" t="str">
        <f>IF(ISERROR(FIND('112'!$M$9,G2177,1)),"",IF((AND(RIGHT(G2177,2)=RIGHT('112'!$M$9,2),B2177&lt;'112'!$K$9,$O2177='112'!$I$6)),"x",""))</f>
        <v/>
      </c>
      <c r="W2177" s="84" t="str">
        <f>IF(AND('341-CT'!$H$9=H2177,OR(LEFT(N2177,3)=$W$7,LEFT(O2177,3)=$W$7)),"x","")</f>
        <v/>
      </c>
      <c r="X2177" s="84" t="str">
        <f>IF(OR(TH!N2177=TH!$X$7,O2177=TH!$X$7),"x","")</f>
        <v/>
      </c>
      <c r="Y2177" s="84" t="str">
        <f>IF(AND(OR(N2177="131",O2177="131"),H2177='131-CT'!$H$9),"x","")</f>
        <v/>
      </c>
      <c r="Z2177" s="84"/>
      <c r="AA2177" s="84" t="str">
        <f>IF(AND(MONTH(E2177)='IN-NX'!$J$5,'IN-NX'!$D$7=D2177),"x","")</f>
        <v/>
      </c>
      <c r="AB2177" s="84" t="str">
        <f>IF(AND(OR(LEFT(TH!N2177,2)="15",LEFT(TH!O2177,2)="15"),LEFT(TH!O2177,3)&lt;&gt;"111",'152-CT'!$J$8=TH!F2177),"x","")</f>
        <v/>
      </c>
      <c r="AC2177" s="84" t="str">
        <f>IF(AND(OR(LEFT(TH!N2177,2)="15",LEFT(TH!O2177,2)="15"),TK!$E$7=TH!F2177),"x","")</f>
        <v/>
      </c>
      <c r="AD2177" s="84" t="str">
        <f>IF(AND(N2177="1521",MONTH(C2177)='BK-NL'!$M$11),"x","")</f>
        <v/>
      </c>
    </row>
    <row r="2178" spans="1:30" s="351" customFormat="1" ht="15.75" hidden="1" customHeight="1">
      <c r="A2178" s="336" t="str">
        <f>IF(B2178&lt;&gt;"",IF(AND(B2178='IN-TC'!$S$4,OR(TH!N2178="1111",TH!O2178="1111")),TH!D2178,""),"")</f>
        <v/>
      </c>
      <c r="B2178" s="63" t="str">
        <f t="shared" si="285"/>
        <v/>
      </c>
      <c r="C2178" s="64"/>
      <c r="D2178" s="64"/>
      <c r="E2178" s="64"/>
      <c r="F2178" s="73" t="s">
        <v>949</v>
      </c>
      <c r="G2178" s="81" t="s">
        <v>344</v>
      </c>
      <c r="H2178" s="82" t="s">
        <v>388</v>
      </c>
      <c r="I2178" s="437"/>
      <c r="J2178" s="437"/>
      <c r="K2178" s="428"/>
      <c r="L2178" s="437"/>
      <c r="M2178" s="83">
        <v>1141810000</v>
      </c>
      <c r="N2178" s="84" t="s">
        <v>8</v>
      </c>
      <c r="O2178" s="84" t="s">
        <v>63</v>
      </c>
      <c r="P2178" s="84" t="str">
        <f>IF(AND('331-CT'!$E$7=TH!H2178,OR(N2178="331",O2178="331")),"x","")</f>
        <v/>
      </c>
      <c r="Q2178" s="84" t="str">
        <f>IF(AND(B2178='111'!$L$11,OR($N2178=$Q$7,$O2178=$Q$7)),"x","")</f>
        <v/>
      </c>
      <c r="R2178" s="84" t="str">
        <f>IF(AND($N2178=$Q$7,$B2178&lt;'111'!$L$11),"x","")</f>
        <v/>
      </c>
      <c r="S2178" s="84" t="str">
        <f>IF(AND($O2178=$Q$7,$B2178&lt;'111'!$L$11),"x","")</f>
        <v/>
      </c>
      <c r="T2178" s="84" t="str">
        <f>IF(ISERROR(FIND('112'!$M$9,G2178,1)),"",IF((AND(FIND('112'!$M$9,G2178,1)&gt;=1,B2178='112'!$K$9,OR($N2178='112'!$I$6,$O2178='112'!$I$6))),"x",""))</f>
        <v/>
      </c>
      <c r="U2178" s="84" t="str">
        <f>IF(ISERROR(FIND('112'!$M$9,G2178,1)),"",IF((AND(LEFT(G2178,2)=LEFT('112'!$M$9,2),B2178&lt;'112'!$K$9,$N2178='112'!$I$6)),"x",""))</f>
        <v/>
      </c>
      <c r="V2178" s="84" t="str">
        <f>IF(ISERROR(FIND('112'!$M$9,G2178,1)),"",IF((AND(RIGHT(G2178,2)=RIGHT('112'!$M$9,2),B2178&lt;'112'!$K$9,$O2178='112'!$I$6)),"x",""))</f>
        <v/>
      </c>
      <c r="W2178" s="84" t="str">
        <f>IF(AND('341-CT'!$H$9=H2178,OR(LEFT(N2178,3)=$W$7,LEFT(O2178,3)=$W$7)),"x","")</f>
        <v/>
      </c>
      <c r="X2178" s="84" t="str">
        <f>IF(OR(TH!N2178=TH!$X$7,O2178=TH!$X$7),"x","")</f>
        <v/>
      </c>
      <c r="Y2178" s="84" t="str">
        <f>IF(AND(OR(N2178="131",O2178="131"),H2178='131-CT'!$H$9),"x","")</f>
        <v/>
      </c>
      <c r="Z2178" s="84"/>
      <c r="AA2178" s="84" t="str">
        <f>IF(AND(MONTH(E2178)='IN-NX'!$J$5,'IN-NX'!$D$7=D2178),"x","")</f>
        <v/>
      </c>
      <c r="AB2178" s="84" t="str">
        <f>IF(AND(OR(LEFT(TH!N2178,2)="15",LEFT(TH!O2178,2)="15"),LEFT(TH!O2178,3)&lt;&gt;"111",'152-CT'!$J$8=TH!F2178),"x","")</f>
        <v/>
      </c>
      <c r="AC2178" s="84" t="str">
        <f>IF(AND(OR(LEFT(TH!N2178,2)="15",LEFT(TH!O2178,2)="15"),TK!$E$7=TH!F2178),"x","")</f>
        <v/>
      </c>
      <c r="AD2178" s="84" t="str">
        <f>IF(AND(N2178="1521",MONTH(C2178)='BK-NL'!$M$11),"x","")</f>
        <v/>
      </c>
    </row>
    <row r="2179" spans="1:30" s="351" customFormat="1" ht="15.75" hidden="1" customHeight="1">
      <c r="A2179" s="336" t="str">
        <f>IF(B2179&lt;&gt;"",IF(AND(B2179='IN-TC'!$S$4,OR(TH!N2179="1111",TH!O2179="1111")),TH!D2179,""),"")</f>
        <v/>
      </c>
      <c r="B2179" s="63" t="str">
        <f t="shared" si="285"/>
        <v/>
      </c>
      <c r="C2179" s="64"/>
      <c r="D2179" s="64"/>
      <c r="E2179" s="64"/>
      <c r="F2179" s="73" t="s">
        <v>949</v>
      </c>
      <c r="G2179" s="81" t="s">
        <v>344</v>
      </c>
      <c r="H2179" s="82" t="s">
        <v>361</v>
      </c>
      <c r="I2179" s="437"/>
      <c r="J2179" s="437"/>
      <c r="K2179" s="428"/>
      <c r="L2179" s="437"/>
      <c r="M2179" s="83">
        <v>500865500</v>
      </c>
      <c r="N2179" s="84" t="s">
        <v>8</v>
      </c>
      <c r="O2179" s="84" t="s">
        <v>63</v>
      </c>
      <c r="P2179" s="84" t="str">
        <f>IF(AND('331-CT'!$E$7=TH!H2179,OR(N2179="331",O2179="331")),"x","")</f>
        <v/>
      </c>
      <c r="Q2179" s="84" t="str">
        <f>IF(AND(B2179='111'!$L$11,OR($N2179=$Q$7,$O2179=$Q$7)),"x","")</f>
        <v/>
      </c>
      <c r="R2179" s="84" t="str">
        <f>IF(AND($N2179=$Q$7,$B2179&lt;'111'!$L$11),"x","")</f>
        <v/>
      </c>
      <c r="S2179" s="84" t="str">
        <f>IF(AND($O2179=$Q$7,$B2179&lt;'111'!$L$11),"x","")</f>
        <v/>
      </c>
      <c r="T2179" s="84" t="str">
        <f>IF(ISERROR(FIND('112'!$M$9,G2179,1)),"",IF((AND(FIND('112'!$M$9,G2179,1)&gt;=1,B2179='112'!$K$9,OR($N2179='112'!$I$6,$O2179='112'!$I$6))),"x",""))</f>
        <v/>
      </c>
      <c r="U2179" s="84" t="str">
        <f>IF(ISERROR(FIND('112'!$M$9,G2179,1)),"",IF((AND(LEFT(G2179,2)=LEFT('112'!$M$9,2),B2179&lt;'112'!$K$9,$N2179='112'!$I$6)),"x",""))</f>
        <v/>
      </c>
      <c r="V2179" s="84" t="str">
        <f>IF(ISERROR(FIND('112'!$M$9,G2179,1)),"",IF((AND(RIGHT(G2179,2)=RIGHT('112'!$M$9,2),B2179&lt;'112'!$K$9,$O2179='112'!$I$6)),"x",""))</f>
        <v/>
      </c>
      <c r="W2179" s="84" t="str">
        <f>IF(AND('341-CT'!$H$9=H2179,OR(LEFT(N2179,3)=$W$7,LEFT(O2179,3)=$W$7)),"x","")</f>
        <v/>
      </c>
      <c r="X2179" s="84" t="str">
        <f>IF(OR(TH!N2179=TH!$X$7,O2179=TH!$X$7),"x","")</f>
        <v/>
      </c>
      <c r="Y2179" s="84" t="str">
        <f>IF(AND(OR(N2179="131",O2179="131"),H2179='131-CT'!$H$9),"x","")</f>
        <v/>
      </c>
      <c r="Z2179" s="84"/>
      <c r="AA2179" s="84" t="str">
        <f>IF(AND(MONTH(E2179)='IN-NX'!$J$5,'IN-NX'!$D$7=D2179),"x","")</f>
        <v/>
      </c>
      <c r="AB2179" s="84" t="str">
        <f>IF(AND(OR(LEFT(TH!N2179,2)="15",LEFT(TH!O2179,2)="15"),LEFT(TH!O2179,3)&lt;&gt;"111",'152-CT'!$J$8=TH!F2179),"x","")</f>
        <v/>
      </c>
      <c r="AC2179" s="84" t="str">
        <f>IF(AND(OR(LEFT(TH!N2179,2)="15",LEFT(TH!O2179,2)="15"),TK!$E$7=TH!F2179),"x","")</f>
        <v/>
      </c>
      <c r="AD2179" s="84" t="str">
        <f>IF(AND(N2179="1521",MONTH(C2179)='BK-NL'!$M$11),"x","")</f>
        <v/>
      </c>
    </row>
    <row r="2180" spans="1:30" s="351" customFormat="1" ht="15.75" hidden="1" customHeight="1">
      <c r="A2180" s="336" t="str">
        <f>IF(B2180&lt;&gt;"",IF(AND(B2180='IN-TC'!$S$4,OR(TH!N2180="1111",TH!O2180="1111")),TH!D2180,""),"")</f>
        <v/>
      </c>
      <c r="B2180" s="63" t="str">
        <f t="shared" si="285"/>
        <v/>
      </c>
      <c r="C2180" s="64"/>
      <c r="D2180" s="64"/>
      <c r="E2180" s="64"/>
      <c r="F2180" s="73" t="s">
        <v>949</v>
      </c>
      <c r="G2180" s="81" t="s">
        <v>344</v>
      </c>
      <c r="H2180" s="966" t="s">
        <v>346</v>
      </c>
      <c r="I2180" s="961"/>
      <c r="J2180" s="961"/>
      <c r="K2180" s="967"/>
      <c r="L2180" s="961"/>
      <c r="M2180" s="83">
        <v>429265000</v>
      </c>
      <c r="N2180" s="84" t="s">
        <v>8</v>
      </c>
      <c r="O2180" s="84" t="s">
        <v>63</v>
      </c>
      <c r="P2180" s="84" t="str">
        <f>IF(AND('331-CT'!$E$7=TH!H2180,OR(N2180="331",O2180="331")),"x","")</f>
        <v/>
      </c>
      <c r="Q2180" s="84" t="str">
        <f>IF(AND(B2180='111'!$L$11,OR($N2180=$Q$7,$O2180=$Q$7)),"x","")</f>
        <v/>
      </c>
      <c r="R2180" s="84" t="str">
        <f>IF(AND($N2180=$Q$7,$B2180&lt;'111'!$L$11),"x","")</f>
        <v/>
      </c>
      <c r="S2180" s="84" t="str">
        <f>IF(AND($O2180=$Q$7,$B2180&lt;'111'!$L$11),"x","")</f>
        <v/>
      </c>
      <c r="T2180" s="84" t="str">
        <f>IF(ISERROR(FIND('112'!$M$9,G2180,1)),"",IF((AND(FIND('112'!$M$9,G2180,1)&gt;=1,B2180='112'!$K$9,OR($N2180='112'!$I$6,$O2180='112'!$I$6))),"x",""))</f>
        <v/>
      </c>
      <c r="U2180" s="84" t="str">
        <f>IF(ISERROR(FIND('112'!$M$9,G2180,1)),"",IF((AND(LEFT(G2180,2)=LEFT('112'!$M$9,2),B2180&lt;'112'!$K$9,$N2180='112'!$I$6)),"x",""))</f>
        <v/>
      </c>
      <c r="V2180" s="84" t="str">
        <f>IF(ISERROR(FIND('112'!$M$9,G2180,1)),"",IF((AND(RIGHT(G2180,2)=RIGHT('112'!$M$9,2),B2180&lt;'112'!$K$9,$O2180='112'!$I$6)),"x",""))</f>
        <v/>
      </c>
      <c r="W2180" s="84" t="str">
        <f>IF(AND('341-CT'!$H$9=H2180,OR(LEFT(N2180,3)=$W$7,LEFT(O2180,3)=$W$7)),"x","")</f>
        <v/>
      </c>
      <c r="X2180" s="84" t="str">
        <f>IF(OR(TH!N2180=TH!$X$7,O2180=TH!$X$7),"x","")</f>
        <v/>
      </c>
      <c r="Y2180" s="84" t="str">
        <f>IF(AND(OR(N2180="131",O2180="131"),H2180='131-CT'!$H$9),"x","")</f>
        <v/>
      </c>
      <c r="Z2180" s="84"/>
      <c r="AA2180" s="84" t="str">
        <f>IF(AND(MONTH(E2180)='IN-NX'!$J$5,'IN-NX'!$D$7=D2180),"x","")</f>
        <v/>
      </c>
      <c r="AB2180" s="84" t="str">
        <f>IF(AND(OR(LEFT(TH!N2180,2)="15",LEFT(TH!O2180,2)="15"),LEFT(TH!O2180,3)&lt;&gt;"111",'152-CT'!$J$8=TH!F2180),"x","")</f>
        <v/>
      </c>
      <c r="AC2180" s="84" t="str">
        <f>IF(AND(OR(LEFT(TH!N2180,2)="15",LEFT(TH!O2180,2)="15"),TK!$E$7=TH!F2180),"x","")</f>
        <v/>
      </c>
      <c r="AD2180" s="84" t="str">
        <f>IF(AND(N2180="1521",MONTH(C2180)='BK-NL'!$M$11),"x","")</f>
        <v/>
      </c>
    </row>
    <row r="2181" spans="1:30" s="351" customFormat="1" ht="15.75" hidden="1" customHeight="1">
      <c r="A2181" s="336" t="str">
        <f>IF(B2181&lt;&gt;"",IF(AND(B2181='IN-TC'!$S$4,OR(TH!N2181="1111",TH!O2181="1111")),TH!D2181,""),"")</f>
        <v/>
      </c>
      <c r="B2181" s="63" t="str">
        <f t="shared" si="285"/>
        <v/>
      </c>
      <c r="C2181" s="64"/>
      <c r="D2181" s="64"/>
      <c r="E2181" s="64"/>
      <c r="F2181" s="73" t="s">
        <v>949</v>
      </c>
      <c r="G2181" s="81" t="s">
        <v>344</v>
      </c>
      <c r="H2181" s="82" t="s">
        <v>433</v>
      </c>
      <c r="I2181" s="437"/>
      <c r="J2181" s="437"/>
      <c r="K2181" s="428"/>
      <c r="L2181" s="437"/>
      <c r="M2181" s="83">
        <v>651203000</v>
      </c>
      <c r="N2181" s="84" t="s">
        <v>8</v>
      </c>
      <c r="O2181" s="84" t="s">
        <v>63</v>
      </c>
      <c r="P2181" s="84" t="str">
        <f>IF(AND('331-CT'!$E$7=TH!H2181,OR(N2181="331",O2181="331")),"x","")</f>
        <v/>
      </c>
      <c r="Q2181" s="84" t="str">
        <f>IF(AND(B2181='111'!$L$11,OR($N2181=$Q$7,$O2181=$Q$7)),"x","")</f>
        <v/>
      </c>
      <c r="R2181" s="84" t="str">
        <f>IF(AND($N2181=$Q$7,$B2181&lt;'111'!$L$11),"x","")</f>
        <v/>
      </c>
      <c r="S2181" s="84" t="str">
        <f>IF(AND($O2181=$Q$7,$B2181&lt;'111'!$L$11),"x","")</f>
        <v/>
      </c>
      <c r="T2181" s="84" t="str">
        <f>IF(ISERROR(FIND('112'!$M$9,G2181,1)),"",IF((AND(FIND('112'!$M$9,G2181,1)&gt;=1,B2181='112'!$K$9,OR($N2181='112'!$I$6,$O2181='112'!$I$6))),"x",""))</f>
        <v/>
      </c>
      <c r="U2181" s="84" t="str">
        <f>IF(ISERROR(FIND('112'!$M$9,G2181,1)),"",IF((AND(LEFT(G2181,2)=LEFT('112'!$M$9,2),B2181&lt;'112'!$K$9,$N2181='112'!$I$6)),"x",""))</f>
        <v/>
      </c>
      <c r="V2181" s="84" t="str">
        <f>IF(ISERROR(FIND('112'!$M$9,G2181,1)),"",IF((AND(RIGHT(G2181,2)=RIGHT('112'!$M$9,2),B2181&lt;'112'!$K$9,$O2181='112'!$I$6)),"x",""))</f>
        <v/>
      </c>
      <c r="W2181" s="84" t="str">
        <f>IF(AND('341-CT'!$H$9=H2181,OR(LEFT(N2181,3)=$W$7,LEFT(O2181,3)=$W$7)),"x","")</f>
        <v/>
      </c>
      <c r="X2181" s="84" t="str">
        <f>IF(OR(TH!N2181=TH!$X$7,O2181=TH!$X$7),"x","")</f>
        <v/>
      </c>
      <c r="Y2181" s="84" t="str">
        <f>IF(AND(OR(N2181="131",O2181="131"),H2181='131-CT'!$H$9),"x","")</f>
        <v/>
      </c>
      <c r="Z2181" s="84"/>
      <c r="AA2181" s="84" t="str">
        <f>IF(AND(MONTH(E2181)='IN-NX'!$J$5,'IN-NX'!$D$7=D2181),"x","")</f>
        <v/>
      </c>
      <c r="AB2181" s="84" t="str">
        <f>IF(AND(OR(LEFT(TH!N2181,2)="15",LEFT(TH!O2181,2)="15"),LEFT(TH!O2181,3)&lt;&gt;"111",'152-CT'!$J$8=TH!F2181),"x","")</f>
        <v/>
      </c>
      <c r="AC2181" s="84" t="str">
        <f>IF(AND(OR(LEFT(TH!N2181,2)="15",LEFT(TH!O2181,2)="15"),TK!$E$7=TH!F2181),"x","")</f>
        <v/>
      </c>
      <c r="AD2181" s="84" t="str">
        <f>IF(AND(N2181="1521",MONTH(C2181)='BK-NL'!$M$11),"x","")</f>
        <v/>
      </c>
    </row>
    <row r="2182" spans="1:30" s="351" customFormat="1" ht="15.75" hidden="1" customHeight="1">
      <c r="A2182" s="336" t="str">
        <f>IF(B2182&lt;&gt;"",IF(AND(B2182='IN-TC'!$S$4,OR(TH!N2182="1111",TH!O2182="1111")),TH!D2182,""),"")</f>
        <v/>
      </c>
      <c r="B2182" s="63" t="str">
        <f t="shared" si="285"/>
        <v/>
      </c>
      <c r="C2182" s="64"/>
      <c r="D2182" s="64"/>
      <c r="E2182" s="64"/>
      <c r="F2182" s="73" t="s">
        <v>949</v>
      </c>
      <c r="G2182" s="81" t="s">
        <v>344</v>
      </c>
      <c r="H2182" s="82" t="s">
        <v>1988</v>
      </c>
      <c r="I2182" s="437"/>
      <c r="J2182" s="437"/>
      <c r="K2182" s="428"/>
      <c r="L2182" s="437"/>
      <c r="M2182" s="83">
        <v>2082875000</v>
      </c>
      <c r="N2182" s="84" t="s">
        <v>8</v>
      </c>
      <c r="O2182" s="84" t="s">
        <v>63</v>
      </c>
      <c r="P2182" s="84" t="str">
        <f>IF(AND('331-CT'!$E$7=TH!H2182,OR(N2182="331",O2182="331")),"x","")</f>
        <v/>
      </c>
      <c r="Q2182" s="84" t="str">
        <f>IF(AND(B2182='111'!$L$11,OR($N2182=$Q$7,$O2182=$Q$7)),"x","")</f>
        <v/>
      </c>
      <c r="R2182" s="84" t="str">
        <f>IF(AND($N2182=$Q$7,$B2182&lt;'111'!$L$11),"x","")</f>
        <v/>
      </c>
      <c r="S2182" s="84" t="str">
        <f>IF(AND($O2182=$Q$7,$B2182&lt;'111'!$L$11),"x","")</f>
        <v/>
      </c>
      <c r="T2182" s="84" t="str">
        <f>IF(ISERROR(FIND('112'!$M$9,G2182,1)),"",IF((AND(FIND('112'!$M$9,G2182,1)&gt;=1,B2182='112'!$K$9,OR($N2182='112'!$I$6,$O2182='112'!$I$6))),"x",""))</f>
        <v/>
      </c>
      <c r="U2182" s="84" t="str">
        <f>IF(ISERROR(FIND('112'!$M$9,G2182,1)),"",IF((AND(LEFT(G2182,2)=LEFT('112'!$M$9,2),B2182&lt;'112'!$K$9,$N2182='112'!$I$6)),"x",""))</f>
        <v/>
      </c>
      <c r="V2182" s="84" t="str">
        <f>IF(ISERROR(FIND('112'!$M$9,G2182,1)),"",IF((AND(RIGHT(G2182,2)=RIGHT('112'!$M$9,2),B2182&lt;'112'!$K$9,$O2182='112'!$I$6)),"x",""))</f>
        <v/>
      </c>
      <c r="W2182" s="84" t="str">
        <f>IF(AND('341-CT'!$H$9=H2182,OR(LEFT(N2182,3)=$W$7,LEFT(O2182,3)=$W$7)),"x","")</f>
        <v/>
      </c>
      <c r="X2182" s="84" t="str">
        <f>IF(OR(TH!N2182=TH!$X$7,O2182=TH!$X$7),"x","")</f>
        <v/>
      </c>
      <c r="Y2182" s="84" t="str">
        <f>IF(AND(OR(N2182="131",O2182="131"),H2182='131-CT'!$H$9),"x","")</f>
        <v/>
      </c>
      <c r="Z2182" s="84"/>
      <c r="AA2182" s="84" t="str">
        <f>IF(AND(MONTH(E2182)='IN-NX'!$J$5,'IN-NX'!$D$7=D2182),"x","")</f>
        <v/>
      </c>
      <c r="AB2182" s="84" t="str">
        <f>IF(AND(OR(LEFT(TH!N2182,2)="15",LEFT(TH!O2182,2)="15"),LEFT(TH!O2182,3)&lt;&gt;"111",'152-CT'!$J$8=TH!F2182),"x","")</f>
        <v/>
      </c>
      <c r="AC2182" s="84" t="str">
        <f>IF(AND(OR(LEFT(TH!N2182,2)="15",LEFT(TH!O2182,2)="15"),TK!$E$7=TH!F2182),"x","")</f>
        <v/>
      </c>
      <c r="AD2182" s="84" t="str">
        <f>IF(AND(N2182="1521",MONTH(C2182)='BK-NL'!$M$11),"x","")</f>
        <v/>
      </c>
    </row>
    <row r="2183" spans="1:30" s="351" customFormat="1" ht="15.75" hidden="1" customHeight="1">
      <c r="A2183" s="336" t="str">
        <f>IF(B2183&lt;&gt;"",IF(AND(B2183='IN-TC'!$S$4,OR(TH!N2183="1111",TH!O2183="1111")),TH!D2183,""),"")</f>
        <v/>
      </c>
      <c r="B2183" s="63" t="str">
        <f t="shared" si="285"/>
        <v/>
      </c>
      <c r="C2183" s="64"/>
      <c r="D2183" s="64"/>
      <c r="E2183" s="64"/>
      <c r="F2183" s="73" t="s">
        <v>949</v>
      </c>
      <c r="G2183" s="81" t="s">
        <v>344</v>
      </c>
      <c r="H2183" s="82" t="s">
        <v>364</v>
      </c>
      <c r="I2183" s="437"/>
      <c r="J2183" s="437"/>
      <c r="K2183" s="428"/>
      <c r="L2183" s="437"/>
      <c r="M2183" s="83">
        <v>489487500</v>
      </c>
      <c r="N2183" s="84" t="s">
        <v>8</v>
      </c>
      <c r="O2183" s="84" t="s">
        <v>63</v>
      </c>
      <c r="P2183" s="84" t="str">
        <f>IF(AND('331-CT'!$E$7=TH!H2183,OR(N2183="331",O2183="331")),"x","")</f>
        <v/>
      </c>
      <c r="Q2183" s="84" t="str">
        <f>IF(AND(B2183='111'!$L$11,OR($N2183=$Q$7,$O2183=$Q$7)),"x","")</f>
        <v/>
      </c>
      <c r="R2183" s="84" t="str">
        <f>IF(AND($N2183=$Q$7,$B2183&lt;'111'!$L$11),"x","")</f>
        <v/>
      </c>
      <c r="S2183" s="84" t="str">
        <f>IF(AND($O2183=$Q$7,$B2183&lt;'111'!$L$11),"x","")</f>
        <v/>
      </c>
      <c r="T2183" s="84" t="str">
        <f>IF(ISERROR(FIND('112'!$M$9,G2183,1)),"",IF((AND(FIND('112'!$M$9,G2183,1)&gt;=1,B2183='112'!$K$9,OR($N2183='112'!$I$6,$O2183='112'!$I$6))),"x",""))</f>
        <v/>
      </c>
      <c r="U2183" s="84" t="str">
        <f>IF(ISERROR(FIND('112'!$M$9,G2183,1)),"",IF((AND(LEFT(G2183,2)=LEFT('112'!$M$9,2),B2183&lt;'112'!$K$9,$N2183='112'!$I$6)),"x",""))</f>
        <v/>
      </c>
      <c r="V2183" s="84" t="str">
        <f>IF(ISERROR(FIND('112'!$M$9,G2183,1)),"",IF((AND(RIGHT(G2183,2)=RIGHT('112'!$M$9,2),B2183&lt;'112'!$K$9,$O2183='112'!$I$6)),"x",""))</f>
        <v/>
      </c>
      <c r="W2183" s="84" t="str">
        <f>IF(AND('341-CT'!$H$9=H2183,OR(LEFT(N2183,3)=$W$7,LEFT(O2183,3)=$W$7)),"x","")</f>
        <v/>
      </c>
      <c r="X2183" s="84" t="str">
        <f>IF(OR(TH!N2183=TH!$X$7,O2183=TH!$X$7),"x","")</f>
        <v/>
      </c>
      <c r="Y2183" s="84" t="str">
        <f>IF(AND(OR(N2183="131",O2183="131"),H2183='131-CT'!$H$9),"x","")</f>
        <v/>
      </c>
      <c r="Z2183" s="84"/>
      <c r="AA2183" s="84" t="str">
        <f>IF(AND(MONTH(E2183)='IN-NX'!$J$5,'IN-NX'!$D$7=D2183),"x","")</f>
        <v/>
      </c>
      <c r="AB2183" s="84" t="str">
        <f>IF(AND(OR(LEFT(TH!N2183,2)="15",LEFT(TH!O2183,2)="15"),LEFT(TH!O2183,3)&lt;&gt;"111",'152-CT'!$J$8=TH!F2183),"x","")</f>
        <v/>
      </c>
      <c r="AC2183" s="84" t="str">
        <f>IF(AND(OR(LEFT(TH!N2183,2)="15",LEFT(TH!O2183,2)="15"),TK!$E$7=TH!F2183),"x","")</f>
        <v/>
      </c>
      <c r="AD2183" s="84" t="str">
        <f>IF(AND(N2183="1521",MONTH(C2183)='BK-NL'!$M$11),"x","")</f>
        <v/>
      </c>
    </row>
    <row r="2184" spans="1:30" s="351" customFormat="1" ht="15.75" hidden="1" customHeight="1">
      <c r="A2184" s="336" t="str">
        <f>IF(B2184&lt;&gt;"",IF(AND(B2184='IN-TC'!$S$4,OR(TH!N2184="1111",TH!O2184="1111")),TH!D2184,""),"")</f>
        <v/>
      </c>
      <c r="B2184" s="63" t="str">
        <f t="shared" si="285"/>
        <v/>
      </c>
      <c r="C2184" s="64"/>
      <c r="D2184" s="64"/>
      <c r="E2184" s="64"/>
      <c r="F2184" s="73" t="s">
        <v>949</v>
      </c>
      <c r="G2184" s="81" t="s">
        <v>344</v>
      </c>
      <c r="H2184" s="82" t="s">
        <v>1982</v>
      </c>
      <c r="I2184" s="437"/>
      <c r="J2184" s="437"/>
      <c r="K2184" s="428"/>
      <c r="L2184" s="437"/>
      <c r="M2184" s="83">
        <v>729650000</v>
      </c>
      <c r="N2184" s="84" t="s">
        <v>8</v>
      </c>
      <c r="O2184" s="84" t="s">
        <v>63</v>
      </c>
      <c r="P2184" s="84" t="str">
        <f>IF(AND('331-CT'!$E$7=TH!H2184,OR(N2184="331",O2184="331")),"x","")</f>
        <v/>
      </c>
      <c r="Q2184" s="84" t="str">
        <f>IF(AND(B2184='111'!$L$11,OR($N2184=$Q$7,$O2184=$Q$7)),"x","")</f>
        <v/>
      </c>
      <c r="R2184" s="84" t="str">
        <f>IF(AND($N2184=$Q$7,$B2184&lt;'111'!$L$11),"x","")</f>
        <v/>
      </c>
      <c r="S2184" s="84" t="str">
        <f>IF(AND($O2184=$Q$7,$B2184&lt;'111'!$L$11),"x","")</f>
        <v/>
      </c>
      <c r="T2184" s="84" t="str">
        <f>IF(ISERROR(FIND('112'!$M$9,G2184,1)),"",IF((AND(FIND('112'!$M$9,G2184,1)&gt;=1,B2184='112'!$K$9,OR($N2184='112'!$I$6,$O2184='112'!$I$6))),"x",""))</f>
        <v/>
      </c>
      <c r="U2184" s="84" t="str">
        <f>IF(ISERROR(FIND('112'!$M$9,G2184,1)),"",IF((AND(LEFT(G2184,2)=LEFT('112'!$M$9,2),B2184&lt;'112'!$K$9,$N2184='112'!$I$6)),"x",""))</f>
        <v/>
      </c>
      <c r="V2184" s="84" t="str">
        <f>IF(ISERROR(FIND('112'!$M$9,G2184,1)),"",IF((AND(RIGHT(G2184,2)=RIGHT('112'!$M$9,2),B2184&lt;'112'!$K$9,$O2184='112'!$I$6)),"x",""))</f>
        <v/>
      </c>
      <c r="W2184" s="84" t="str">
        <f>IF(AND('341-CT'!$H$9=H2184,OR(LEFT(N2184,3)=$W$7,LEFT(O2184,3)=$W$7)),"x","")</f>
        <v/>
      </c>
      <c r="X2184" s="84" t="str">
        <f>IF(OR(TH!N2184=TH!$X$7,O2184=TH!$X$7),"x","")</f>
        <v/>
      </c>
      <c r="Y2184" s="84" t="str">
        <f>IF(AND(OR(N2184="131",O2184="131"),H2184='131-CT'!$H$9),"x","")</f>
        <v/>
      </c>
      <c r="Z2184" s="84"/>
      <c r="AA2184" s="84" t="str">
        <f>IF(AND(MONTH(E2184)='IN-NX'!$J$5,'IN-NX'!$D$7=D2184),"x","")</f>
        <v/>
      </c>
      <c r="AB2184" s="84" t="str">
        <f>IF(AND(OR(LEFT(TH!N2184,2)="15",LEFT(TH!O2184,2)="15"),LEFT(TH!O2184,3)&lt;&gt;"111",'152-CT'!$J$8=TH!F2184),"x","")</f>
        <v/>
      </c>
      <c r="AC2184" s="84" t="str">
        <f>IF(AND(OR(LEFT(TH!N2184,2)="15",LEFT(TH!O2184,2)="15"),TK!$E$7=TH!F2184),"x","")</f>
        <v/>
      </c>
      <c r="AD2184" s="84" t="str">
        <f>IF(AND(N2184="1521",MONTH(C2184)='BK-NL'!$M$11),"x","")</f>
        <v/>
      </c>
    </row>
    <row r="2185" spans="1:30" s="351" customFormat="1" ht="15.75" hidden="1" customHeight="1">
      <c r="A2185" s="336" t="str">
        <f>IF(B2185&lt;&gt;"",IF(AND(B2185='IN-TC'!$S$4,OR(TH!N2185="1111",TH!O2185="1111")),TH!D2185,""),"")</f>
        <v/>
      </c>
      <c r="B2185" s="63" t="str">
        <f t="shared" si="285"/>
        <v/>
      </c>
      <c r="C2185" s="64"/>
      <c r="D2185" s="64"/>
      <c r="E2185" s="64"/>
      <c r="F2185" s="73" t="s">
        <v>949</v>
      </c>
      <c r="G2185" s="81" t="s">
        <v>344</v>
      </c>
      <c r="H2185" s="966" t="s">
        <v>391</v>
      </c>
      <c r="I2185" s="961"/>
      <c r="J2185" s="961"/>
      <c r="K2185" s="967"/>
      <c r="L2185" s="961"/>
      <c r="M2185" s="83">
        <v>3073305000</v>
      </c>
      <c r="N2185" s="84" t="s">
        <v>8</v>
      </c>
      <c r="O2185" s="84" t="s">
        <v>63</v>
      </c>
      <c r="P2185" s="84" t="str">
        <f>IF(AND('331-CT'!$E$7=TH!H2185,OR(N2185="331",O2185="331")),"x","")</f>
        <v/>
      </c>
      <c r="Q2185" s="84" t="str">
        <f>IF(AND(B2185='111'!$L$11,OR($N2185=$Q$7,$O2185=$Q$7)),"x","")</f>
        <v/>
      </c>
      <c r="R2185" s="84" t="str">
        <f>IF(AND($N2185=$Q$7,$B2185&lt;'111'!$L$11),"x","")</f>
        <v/>
      </c>
      <c r="S2185" s="84" t="str">
        <f>IF(AND($O2185=$Q$7,$B2185&lt;'111'!$L$11),"x","")</f>
        <v/>
      </c>
      <c r="T2185" s="84" t="str">
        <f>IF(ISERROR(FIND('112'!$M$9,G2185,1)),"",IF((AND(FIND('112'!$M$9,G2185,1)&gt;=1,B2185='112'!$K$9,OR($N2185='112'!$I$6,$O2185='112'!$I$6))),"x",""))</f>
        <v/>
      </c>
      <c r="U2185" s="84" t="str">
        <f>IF(ISERROR(FIND('112'!$M$9,G2185,1)),"",IF((AND(LEFT(G2185,2)=LEFT('112'!$M$9,2),B2185&lt;'112'!$K$9,$N2185='112'!$I$6)),"x",""))</f>
        <v/>
      </c>
      <c r="V2185" s="84" t="str">
        <f>IF(ISERROR(FIND('112'!$M$9,G2185,1)),"",IF((AND(RIGHT(G2185,2)=RIGHT('112'!$M$9,2),B2185&lt;'112'!$K$9,$O2185='112'!$I$6)),"x",""))</f>
        <v/>
      </c>
      <c r="W2185" s="84" t="str">
        <f>IF(AND('341-CT'!$H$9=H2185,OR(LEFT(N2185,3)=$W$7,LEFT(O2185,3)=$W$7)),"x","")</f>
        <v/>
      </c>
      <c r="X2185" s="84" t="str">
        <f>IF(OR(TH!N2185=TH!$X$7,O2185=TH!$X$7),"x","")</f>
        <v/>
      </c>
      <c r="Y2185" s="84" t="str">
        <f>IF(AND(OR(N2185="131",O2185="131"),H2185='131-CT'!$H$9),"x","")</f>
        <v/>
      </c>
      <c r="Z2185" s="84"/>
      <c r="AA2185" s="84" t="str">
        <f>IF(AND(MONTH(E2185)='IN-NX'!$J$5,'IN-NX'!$D$7=D2185),"x","")</f>
        <v/>
      </c>
      <c r="AB2185" s="84" t="str">
        <f>IF(AND(OR(LEFT(TH!N2185,2)="15",LEFT(TH!O2185,2)="15"),LEFT(TH!O2185,3)&lt;&gt;"111",'152-CT'!$J$8=TH!F2185),"x","")</f>
        <v/>
      </c>
      <c r="AC2185" s="84" t="str">
        <f>IF(AND(OR(LEFT(TH!N2185,2)="15",LEFT(TH!O2185,2)="15"),TK!$E$7=TH!F2185),"x","")</f>
        <v/>
      </c>
      <c r="AD2185" s="84" t="str">
        <f>IF(AND(N2185="1521",MONTH(C2185)='BK-NL'!$M$11),"x","")</f>
        <v/>
      </c>
    </row>
    <row r="2186" spans="1:30" s="351" customFormat="1" ht="15.75" hidden="1" customHeight="1">
      <c r="A2186" s="336" t="str">
        <f>IF(B2186&lt;&gt;"",IF(AND(B2186='IN-TC'!$S$4,OR(TH!N2186="1111",TH!O2186="1111")),TH!D2186,""),"")</f>
        <v/>
      </c>
      <c r="B2186" s="63" t="str">
        <f t="shared" si="285"/>
        <v/>
      </c>
      <c r="C2186" s="64"/>
      <c r="D2186" s="64"/>
      <c r="E2186" s="64"/>
      <c r="F2186" s="73" t="s">
        <v>949</v>
      </c>
      <c r="G2186" s="81" t="s">
        <v>338</v>
      </c>
      <c r="H2186" s="966" t="s">
        <v>349</v>
      </c>
      <c r="I2186" s="437"/>
      <c r="J2186" s="437"/>
      <c r="K2186" s="428"/>
      <c r="L2186" s="437"/>
      <c r="M2186" s="83">
        <v>505687000</v>
      </c>
      <c r="N2186" s="84" t="s">
        <v>8</v>
      </c>
      <c r="O2186" s="84" t="s">
        <v>63</v>
      </c>
      <c r="P2186" s="84" t="str">
        <f>IF(AND('331-CT'!$E$7=TH!H2186,OR(N2186="331",O2186="331")),"x","")</f>
        <v/>
      </c>
      <c r="Q2186" s="84" t="str">
        <f>IF(AND(B2186='111'!$L$11,OR($N2186=$Q$7,$O2186=$Q$7)),"x","")</f>
        <v/>
      </c>
      <c r="R2186" s="84" t="str">
        <f>IF(AND($N2186=$Q$7,$B2186&lt;'111'!$L$11),"x","")</f>
        <v/>
      </c>
      <c r="S2186" s="84" t="str">
        <f>IF(AND($O2186=$Q$7,$B2186&lt;'111'!$L$11),"x","")</f>
        <v/>
      </c>
      <c r="T2186" s="84" t="str">
        <f>IF(ISERROR(FIND('112'!$M$9,G2186,1)),"",IF((AND(FIND('112'!$M$9,G2186,1)&gt;=1,B2186='112'!$K$9,OR($N2186='112'!$I$6,$O2186='112'!$I$6))),"x",""))</f>
        <v/>
      </c>
      <c r="U2186" s="84" t="str">
        <f>IF(ISERROR(FIND('112'!$M$9,G2186,1)),"",IF((AND(LEFT(G2186,2)=LEFT('112'!$M$9,2),B2186&lt;'112'!$K$9,$N2186='112'!$I$6)),"x",""))</f>
        <v/>
      </c>
      <c r="V2186" s="84" t="str">
        <f>IF(ISERROR(FIND('112'!$M$9,G2186,1)),"",IF((AND(RIGHT(G2186,2)=RIGHT('112'!$M$9,2),B2186&lt;'112'!$K$9,$O2186='112'!$I$6)),"x",""))</f>
        <v/>
      </c>
      <c r="W2186" s="84" t="str">
        <f>IF(AND('341-CT'!$H$9=H2186,OR(LEFT(N2186,3)=$W$7,LEFT(O2186,3)=$W$7)),"x","")</f>
        <v/>
      </c>
      <c r="X2186" s="84" t="str">
        <f>IF(OR(TH!N2186=TH!$X$7,O2186=TH!$X$7),"x","")</f>
        <v/>
      </c>
      <c r="Y2186" s="84" t="str">
        <f>IF(AND(OR(N2186="131",O2186="131"),H2186='131-CT'!$H$9),"x","")</f>
        <v/>
      </c>
      <c r="Z2186" s="84"/>
      <c r="AA2186" s="84" t="str">
        <f>IF(AND(MONTH(E2186)='IN-NX'!$J$5,'IN-NX'!$D$7=D2186),"x","")</f>
        <v/>
      </c>
      <c r="AB2186" s="84" t="str">
        <f>IF(AND(OR(LEFT(TH!N2186,2)="15",LEFT(TH!O2186,2)="15"),LEFT(TH!O2186,3)&lt;&gt;"111",'152-CT'!$J$8=TH!F2186),"x","")</f>
        <v/>
      </c>
      <c r="AC2186" s="84" t="str">
        <f>IF(AND(OR(LEFT(TH!N2186,2)="15",LEFT(TH!O2186,2)="15"),TK!$E$7=TH!F2186),"x","")</f>
        <v/>
      </c>
      <c r="AD2186" s="84" t="str">
        <f>IF(AND(N2186="1521",MONTH(C2186)='BK-NL'!$M$11),"x","")</f>
        <v/>
      </c>
    </row>
    <row r="2187" spans="1:30" s="351" customFormat="1" ht="15.75" hidden="1" customHeight="1">
      <c r="A2187" s="336" t="str">
        <f>IF(B2187&lt;&gt;"",IF(AND(B2187='IN-TC'!$S$4,OR(TH!N2187="1111",TH!O2187="1111")),TH!D2187,""),"")</f>
        <v/>
      </c>
      <c r="B2187" s="63" t="str">
        <f t="shared" si="285"/>
        <v/>
      </c>
      <c r="C2187" s="64"/>
      <c r="D2187" s="64"/>
      <c r="E2187" s="64"/>
      <c r="F2187" s="73" t="s">
        <v>949</v>
      </c>
      <c r="G2187" s="81" t="s">
        <v>338</v>
      </c>
      <c r="H2187" s="966" t="s">
        <v>367</v>
      </c>
      <c r="I2187" s="437"/>
      <c r="J2187" s="437"/>
      <c r="K2187" s="428"/>
      <c r="L2187" s="437"/>
      <c r="M2187" s="83">
        <v>400845000</v>
      </c>
      <c r="N2187" s="84" t="s">
        <v>8</v>
      </c>
      <c r="O2187" s="84" t="s">
        <v>63</v>
      </c>
      <c r="P2187" s="84" t="str">
        <f>IF(AND('331-CT'!$E$7=TH!H2187,OR(N2187="331",O2187="331")),"x","")</f>
        <v/>
      </c>
      <c r="Q2187" s="84" t="str">
        <f>IF(AND(B2187='111'!$L$11,OR($N2187=$Q$7,$O2187=$Q$7)),"x","")</f>
        <v/>
      </c>
      <c r="R2187" s="84" t="str">
        <f>IF(AND($N2187=$Q$7,$B2187&lt;'111'!$L$11),"x","")</f>
        <v/>
      </c>
      <c r="S2187" s="84" t="str">
        <f>IF(AND($O2187=$Q$7,$B2187&lt;'111'!$L$11),"x","")</f>
        <v/>
      </c>
      <c r="T2187" s="84" t="str">
        <f>IF(ISERROR(FIND('112'!$M$9,G2187,1)),"",IF((AND(FIND('112'!$M$9,G2187,1)&gt;=1,B2187='112'!$K$9,OR($N2187='112'!$I$6,$O2187='112'!$I$6))),"x",""))</f>
        <v/>
      </c>
      <c r="U2187" s="84" t="str">
        <f>IF(ISERROR(FIND('112'!$M$9,G2187,1)),"",IF((AND(LEFT(G2187,2)=LEFT('112'!$M$9,2),B2187&lt;'112'!$K$9,$N2187='112'!$I$6)),"x",""))</f>
        <v/>
      </c>
      <c r="V2187" s="84" t="str">
        <f>IF(ISERROR(FIND('112'!$M$9,G2187,1)),"",IF((AND(RIGHT(G2187,2)=RIGHT('112'!$M$9,2),B2187&lt;'112'!$K$9,$O2187='112'!$I$6)),"x",""))</f>
        <v/>
      </c>
      <c r="W2187" s="84" t="str">
        <f>IF(AND('341-CT'!$H$9=H2187,OR(LEFT(N2187,3)=$W$7,LEFT(O2187,3)=$W$7)),"x","")</f>
        <v/>
      </c>
      <c r="X2187" s="84" t="str">
        <f>IF(OR(TH!N2187=TH!$X$7,O2187=TH!$X$7),"x","")</f>
        <v/>
      </c>
      <c r="Y2187" s="84" t="str">
        <f>IF(AND(OR(N2187="131",O2187="131"),H2187='131-CT'!$H$9),"x","")</f>
        <v/>
      </c>
      <c r="Z2187" s="84"/>
      <c r="AA2187" s="84" t="str">
        <f>IF(AND(MONTH(E2187)='IN-NX'!$J$5,'IN-NX'!$D$7=D2187),"x","")</f>
        <v/>
      </c>
      <c r="AB2187" s="84" t="str">
        <f>IF(AND(OR(LEFT(TH!N2187,2)="15",LEFT(TH!O2187,2)="15"),LEFT(TH!O2187,3)&lt;&gt;"111",'152-CT'!$J$8=TH!F2187),"x","")</f>
        <v/>
      </c>
      <c r="AC2187" s="84" t="str">
        <f>IF(AND(OR(LEFT(TH!N2187,2)="15",LEFT(TH!O2187,2)="15"),TK!$E$7=TH!F2187),"x","")</f>
        <v/>
      </c>
      <c r="AD2187" s="84" t="str">
        <f>IF(AND(N2187="1521",MONTH(C2187)='BK-NL'!$M$11),"x","")</f>
        <v/>
      </c>
    </row>
    <row r="2188" spans="1:30" s="351" customFormat="1" ht="15.75" hidden="1" customHeight="1">
      <c r="A2188" s="336" t="str">
        <f>IF(B2188&lt;&gt;"",IF(AND(B2188='IN-TC'!$S$4,OR(TH!N2188="1111",TH!O2188="1111")),TH!D2188,""),"")</f>
        <v/>
      </c>
      <c r="B2188" s="63" t="str">
        <f t="shared" si="285"/>
        <v/>
      </c>
      <c r="C2188" s="64"/>
      <c r="D2188" s="64"/>
      <c r="E2188" s="64"/>
      <c r="F2188" s="73" t="s">
        <v>949</v>
      </c>
      <c r="G2188" s="81" t="s">
        <v>338</v>
      </c>
      <c r="H2188" s="966" t="s">
        <v>1981</v>
      </c>
      <c r="I2188" s="437"/>
      <c r="J2188" s="437"/>
      <c r="K2188" s="428"/>
      <c r="L2188" s="437"/>
      <c r="M2188" s="83">
        <v>747735000</v>
      </c>
      <c r="N2188" s="84" t="s">
        <v>8</v>
      </c>
      <c r="O2188" s="84" t="s">
        <v>63</v>
      </c>
      <c r="P2188" s="84" t="str">
        <f>IF(AND('331-CT'!$E$7=TH!H2188,OR(N2188="331",O2188="331")),"x","")</f>
        <v/>
      </c>
      <c r="Q2188" s="84" t="str">
        <f>IF(AND(B2188='111'!$L$11,OR($N2188=$Q$7,$O2188=$Q$7)),"x","")</f>
        <v/>
      </c>
      <c r="R2188" s="84" t="str">
        <f>IF(AND($N2188=$Q$7,$B2188&lt;'111'!$L$11),"x","")</f>
        <v/>
      </c>
      <c r="S2188" s="84" t="str">
        <f>IF(AND($O2188=$Q$7,$B2188&lt;'111'!$L$11),"x","")</f>
        <v/>
      </c>
      <c r="T2188" s="84" t="str">
        <f>IF(ISERROR(FIND('112'!$M$9,G2188,1)),"",IF((AND(FIND('112'!$M$9,G2188,1)&gt;=1,B2188='112'!$K$9,OR($N2188='112'!$I$6,$O2188='112'!$I$6))),"x",""))</f>
        <v/>
      </c>
      <c r="U2188" s="84" t="str">
        <f>IF(ISERROR(FIND('112'!$M$9,G2188,1)),"",IF((AND(LEFT(G2188,2)=LEFT('112'!$M$9,2),B2188&lt;'112'!$K$9,$N2188='112'!$I$6)),"x",""))</f>
        <v/>
      </c>
      <c r="V2188" s="84" t="str">
        <f>IF(ISERROR(FIND('112'!$M$9,G2188,1)),"",IF((AND(RIGHT(G2188,2)=RIGHT('112'!$M$9,2),B2188&lt;'112'!$K$9,$O2188='112'!$I$6)),"x",""))</f>
        <v/>
      </c>
      <c r="W2188" s="84" t="str">
        <f>IF(AND('341-CT'!$H$9=H2188,OR(LEFT(N2188,3)=$W$7,LEFT(O2188,3)=$W$7)),"x","")</f>
        <v/>
      </c>
      <c r="X2188" s="84" t="str">
        <f>IF(OR(TH!N2188=TH!$X$7,O2188=TH!$X$7),"x","")</f>
        <v/>
      </c>
      <c r="Y2188" s="84" t="str">
        <f>IF(AND(OR(N2188="131",O2188="131"),H2188='131-CT'!$H$9),"x","")</f>
        <v/>
      </c>
      <c r="Z2188" s="84"/>
      <c r="AA2188" s="84" t="str">
        <f>IF(AND(MONTH(E2188)='IN-NX'!$J$5,'IN-NX'!$D$7=D2188),"x","")</f>
        <v/>
      </c>
      <c r="AB2188" s="84" t="str">
        <f>IF(AND(OR(LEFT(TH!N2188,2)="15",LEFT(TH!O2188,2)="15"),LEFT(TH!O2188,3)&lt;&gt;"111",'152-CT'!$J$8=TH!F2188),"x","")</f>
        <v/>
      </c>
      <c r="AC2188" s="84" t="str">
        <f>IF(AND(OR(LEFT(TH!N2188,2)="15",LEFT(TH!O2188,2)="15"),TK!$E$7=TH!F2188),"x","")</f>
        <v/>
      </c>
      <c r="AD2188" s="84" t="str">
        <f>IF(AND(N2188="1521",MONTH(C2188)='BK-NL'!$M$11),"x","")</f>
        <v/>
      </c>
    </row>
    <row r="2189" spans="1:30" s="351" customFormat="1" ht="15.75" hidden="1" customHeight="1">
      <c r="A2189" s="336" t="str">
        <f>IF(B2189&lt;&gt;"",IF(AND(B2189='IN-TC'!$S$4,OR(TH!N2189="1111",TH!O2189="1111")),TH!D2189,""),"")</f>
        <v/>
      </c>
      <c r="B2189" s="63" t="str">
        <f t="shared" ref="B2189:B2220" si="288">IF(C2189&lt;&gt;"",MONTH(C2189),"")</f>
        <v/>
      </c>
      <c r="C2189" s="64"/>
      <c r="D2189" s="64"/>
      <c r="E2189" s="64"/>
      <c r="F2189" s="73" t="s">
        <v>949</v>
      </c>
      <c r="G2189" s="81" t="s">
        <v>338</v>
      </c>
      <c r="H2189" s="966" t="s">
        <v>1984</v>
      </c>
      <c r="I2189" s="437"/>
      <c r="J2189" s="437"/>
      <c r="K2189" s="428"/>
      <c r="L2189" s="437"/>
      <c r="M2189" s="83">
        <v>80150000</v>
      </c>
      <c r="N2189" s="84" t="s">
        <v>8</v>
      </c>
      <c r="O2189" s="84" t="s">
        <v>63</v>
      </c>
      <c r="P2189" s="84" t="str">
        <f>IF(AND('331-CT'!$E$7=TH!H2189,OR(N2189="331",O2189="331")),"x","")</f>
        <v/>
      </c>
      <c r="Q2189" s="84" t="str">
        <f>IF(AND(B2189='111'!$L$11,OR($N2189=$Q$7,$O2189=$Q$7)),"x","")</f>
        <v/>
      </c>
      <c r="R2189" s="84" t="str">
        <f>IF(AND($N2189=$Q$7,$B2189&lt;'111'!$L$11),"x","")</f>
        <v/>
      </c>
      <c r="S2189" s="84" t="str">
        <f>IF(AND($O2189=$Q$7,$B2189&lt;'111'!$L$11),"x","")</f>
        <v/>
      </c>
      <c r="T2189" s="84" t="str">
        <f>IF(ISERROR(FIND('112'!$M$9,G2189,1)),"",IF((AND(FIND('112'!$M$9,G2189,1)&gt;=1,B2189='112'!$K$9,OR($N2189='112'!$I$6,$O2189='112'!$I$6))),"x",""))</f>
        <v/>
      </c>
      <c r="U2189" s="84" t="str">
        <f>IF(ISERROR(FIND('112'!$M$9,G2189,1)),"",IF((AND(LEFT(G2189,2)=LEFT('112'!$M$9,2),B2189&lt;'112'!$K$9,$N2189='112'!$I$6)),"x",""))</f>
        <v/>
      </c>
      <c r="V2189" s="84" t="str">
        <f>IF(ISERROR(FIND('112'!$M$9,G2189,1)),"",IF((AND(RIGHT(G2189,2)=RIGHT('112'!$M$9,2),B2189&lt;'112'!$K$9,$O2189='112'!$I$6)),"x",""))</f>
        <v/>
      </c>
      <c r="W2189" s="84" t="str">
        <f>IF(AND('341-CT'!$H$9=H2189,OR(LEFT(N2189,3)=$W$7,LEFT(O2189,3)=$W$7)),"x","")</f>
        <v/>
      </c>
      <c r="X2189" s="84" t="str">
        <f>IF(OR(TH!N2189=TH!$X$7,O2189=TH!$X$7),"x","")</f>
        <v/>
      </c>
      <c r="Y2189" s="84" t="str">
        <f>IF(AND(OR(N2189="131",O2189="131"),H2189='131-CT'!$H$9),"x","")</f>
        <v/>
      </c>
      <c r="Z2189" s="84"/>
      <c r="AA2189" s="84" t="str">
        <f>IF(AND(MONTH(E2189)='IN-NX'!$J$5,'IN-NX'!$D$7=D2189),"x","")</f>
        <v/>
      </c>
      <c r="AB2189" s="84" t="str">
        <f>IF(AND(OR(LEFT(TH!N2189,2)="15",LEFT(TH!O2189,2)="15"),LEFT(TH!O2189,3)&lt;&gt;"111",'152-CT'!$J$8=TH!F2189),"x","")</f>
        <v/>
      </c>
      <c r="AC2189" s="84" t="str">
        <f>IF(AND(OR(LEFT(TH!N2189,2)="15",LEFT(TH!O2189,2)="15"),TK!$E$7=TH!F2189),"x","")</f>
        <v/>
      </c>
      <c r="AD2189" s="84" t="str">
        <f>IF(AND(N2189="1521",MONTH(C2189)='BK-NL'!$M$11),"x","")</f>
        <v/>
      </c>
    </row>
    <row r="2190" spans="1:30" s="351" customFormat="1" ht="15.75" hidden="1" customHeight="1">
      <c r="A2190" s="336" t="str">
        <f>IF(B2190&lt;&gt;"",IF(AND(B2190='IN-TC'!$S$4,OR(TH!N2190="1111",TH!O2190="1111")),TH!D2190,""),"")</f>
        <v/>
      </c>
      <c r="B2190" s="63" t="str">
        <f t="shared" si="288"/>
        <v/>
      </c>
      <c r="C2190" s="64"/>
      <c r="D2190" s="64"/>
      <c r="E2190" s="64"/>
      <c r="F2190" s="73" t="s">
        <v>949</v>
      </c>
      <c r="G2190" s="81" t="s">
        <v>338</v>
      </c>
      <c r="H2190" s="966" t="s">
        <v>438</v>
      </c>
      <c r="I2190" s="961"/>
      <c r="J2190" s="961"/>
      <c r="K2190" s="967"/>
      <c r="L2190" s="961"/>
      <c r="M2190" s="83">
        <v>640273500</v>
      </c>
      <c r="N2190" s="84" t="s">
        <v>8</v>
      </c>
      <c r="O2190" s="84" t="s">
        <v>63</v>
      </c>
      <c r="P2190" s="84" t="str">
        <f>IF(AND('331-CT'!$E$7=TH!H2190,OR(N2190="331",O2190="331")),"x","")</f>
        <v/>
      </c>
      <c r="Q2190" s="84" t="str">
        <f>IF(AND(B2190='111'!$L$11,OR($N2190=$Q$7,$O2190=$Q$7)),"x","")</f>
        <v/>
      </c>
      <c r="R2190" s="84" t="str">
        <f>IF(AND($N2190=$Q$7,$B2190&lt;'111'!$L$11),"x","")</f>
        <v/>
      </c>
      <c r="S2190" s="84" t="str">
        <f>IF(AND($O2190=$Q$7,$B2190&lt;'111'!$L$11),"x","")</f>
        <v/>
      </c>
      <c r="T2190" s="84" t="str">
        <f>IF(ISERROR(FIND('112'!$M$9,G2190,1)),"",IF((AND(FIND('112'!$M$9,G2190,1)&gt;=1,B2190='112'!$K$9,OR($N2190='112'!$I$6,$O2190='112'!$I$6))),"x",""))</f>
        <v/>
      </c>
      <c r="U2190" s="84" t="str">
        <f>IF(ISERROR(FIND('112'!$M$9,G2190,1)),"",IF((AND(LEFT(G2190,2)=LEFT('112'!$M$9,2),B2190&lt;'112'!$K$9,$N2190='112'!$I$6)),"x",""))</f>
        <v/>
      </c>
      <c r="V2190" s="84" t="str">
        <f>IF(ISERROR(FIND('112'!$M$9,G2190,1)),"",IF((AND(RIGHT(G2190,2)=RIGHT('112'!$M$9,2),B2190&lt;'112'!$K$9,$O2190='112'!$I$6)),"x",""))</f>
        <v/>
      </c>
      <c r="W2190" s="84" t="str">
        <f>IF(AND('341-CT'!$H$9=H2190,OR(LEFT(N2190,3)=$W$7,LEFT(O2190,3)=$W$7)),"x","")</f>
        <v/>
      </c>
      <c r="X2190" s="84" t="str">
        <f>IF(OR(TH!N2190=TH!$X$7,O2190=TH!$X$7),"x","")</f>
        <v/>
      </c>
      <c r="Y2190" s="84" t="str">
        <f>IF(AND(OR(N2190="131",O2190="131"),H2190='131-CT'!$H$9),"x","")</f>
        <v/>
      </c>
      <c r="Z2190" s="84"/>
      <c r="AA2190" s="84" t="str">
        <f>IF(AND(MONTH(E2190)='IN-NX'!$J$5,'IN-NX'!$D$7=D2190),"x","")</f>
        <v/>
      </c>
      <c r="AB2190" s="84" t="str">
        <f>IF(AND(OR(LEFT(TH!N2190,2)="15",LEFT(TH!O2190,2)="15"),LEFT(TH!O2190,3)&lt;&gt;"111",'152-CT'!$J$8=TH!F2190),"x","")</f>
        <v/>
      </c>
      <c r="AC2190" s="84" t="str">
        <f>IF(AND(OR(LEFT(TH!N2190,2)="15",LEFT(TH!O2190,2)="15"),TK!$E$7=TH!F2190),"x","")</f>
        <v/>
      </c>
      <c r="AD2190" s="84" t="str">
        <f>IF(AND(N2190="1521",MONTH(C2190)='BK-NL'!$M$11),"x","")</f>
        <v/>
      </c>
    </row>
    <row r="2191" spans="1:30" s="351" customFormat="1" ht="15.75" hidden="1" customHeight="1">
      <c r="A2191" s="336" t="str">
        <f>IF(B2191&lt;&gt;"",IF(AND(B2191='IN-TC'!$S$4,OR(TH!N2191="1111",TH!O2191="1111")),TH!D2191,""),"")</f>
        <v/>
      </c>
      <c r="B2191" s="63" t="str">
        <f t="shared" si="288"/>
        <v/>
      </c>
      <c r="C2191" s="64"/>
      <c r="D2191" s="64"/>
      <c r="E2191" s="64"/>
      <c r="F2191" s="73" t="s">
        <v>949</v>
      </c>
      <c r="G2191" s="67"/>
      <c r="H2191" s="73" t="s">
        <v>1986</v>
      </c>
      <c r="I2191" s="439"/>
      <c r="J2191" s="439"/>
      <c r="K2191" s="430"/>
      <c r="L2191" s="439"/>
      <c r="M2191" s="65">
        <v>87150000</v>
      </c>
      <c r="N2191" s="84" t="s">
        <v>8</v>
      </c>
      <c r="O2191" s="84" t="s">
        <v>63</v>
      </c>
      <c r="P2191" s="84" t="str">
        <f>IF(AND('331-CT'!$E$7=TH!H2191,OR(N2191="331",O2191="331")),"x","")</f>
        <v/>
      </c>
      <c r="Q2191" s="84" t="str">
        <f>IF(AND(B2191='111'!$L$11,OR($N2191=$Q$7,$O2191=$Q$7)),"x","")</f>
        <v/>
      </c>
      <c r="R2191" s="84" t="str">
        <f>IF(AND($N2191=$Q$7,$B2191&lt;'111'!$L$11),"x","")</f>
        <v/>
      </c>
      <c r="S2191" s="84" t="str">
        <f>IF(AND($O2191=$Q$7,$B2191&lt;'111'!$L$11),"x","")</f>
        <v/>
      </c>
      <c r="T2191" s="84" t="str">
        <f>IF(ISERROR(FIND('112'!$M$9,G2191,1)),"",IF((AND(FIND('112'!$M$9,G2191,1)&gt;=1,B2191='112'!$K$9,OR($N2191='112'!$I$6,$O2191='112'!$I$6))),"x",""))</f>
        <v/>
      </c>
      <c r="U2191" s="84" t="str">
        <f>IF(ISERROR(FIND('112'!$M$9,G2191,1)),"",IF((AND(LEFT(G2191,2)=LEFT('112'!$M$9,2),B2191&lt;'112'!$K$9,$N2191='112'!$I$6)),"x",""))</f>
        <v/>
      </c>
      <c r="V2191" s="84" t="str">
        <f>IF(ISERROR(FIND('112'!$M$9,G2191,1)),"",IF((AND(RIGHT(G2191,2)=RIGHT('112'!$M$9,2),B2191&lt;'112'!$K$9,$O2191='112'!$I$6)),"x",""))</f>
        <v/>
      </c>
      <c r="W2191" s="84" t="str">
        <f>IF(AND('341-CT'!$H$9=H2191,OR(LEFT(N2191,3)=$W$7,LEFT(O2191,3)=$W$7)),"x","")</f>
        <v/>
      </c>
      <c r="X2191" s="84" t="str">
        <f>IF(OR(TH!N2191=TH!$X$7,O2191=TH!$X$7),"x","")</f>
        <v/>
      </c>
      <c r="Y2191" s="84" t="str">
        <f>IF(AND(OR(N2191="131",O2191="131"),H2191='131-CT'!$H$9),"x","")</f>
        <v/>
      </c>
      <c r="Z2191" s="84"/>
      <c r="AA2191" s="84" t="str">
        <f>IF(AND(MONTH(E2191)='IN-NX'!$J$5,'IN-NX'!$D$7=D2191),"x","")</f>
        <v/>
      </c>
      <c r="AB2191" s="84" t="str">
        <f>IF(AND(OR(LEFT(TH!N2191,2)="15",LEFT(TH!O2191,2)="15"),LEFT(TH!O2191,3)&lt;&gt;"111",'152-CT'!$J$8=TH!F2191),"x","")</f>
        <v/>
      </c>
      <c r="AC2191" s="84" t="str">
        <f>IF(AND(OR(LEFT(TH!N2191,2)="15",LEFT(TH!O2191,2)="15"),TK!$E$7=TH!F2191),"x","")</f>
        <v/>
      </c>
      <c r="AD2191" s="84" t="str">
        <f>IF(AND(N2191="1521",MONTH(C2191)='BK-NL'!$M$11),"x","")</f>
        <v/>
      </c>
    </row>
    <row r="2192" spans="1:30" s="351" customFormat="1" ht="15.75" hidden="1" customHeight="1">
      <c r="A2192" s="336" t="str">
        <f>IF(B2192&lt;&gt;"",IF(AND(B2192='IN-TC'!$S$4,OR(TH!N2192="1111",TH!O2192="1111")),TH!D2192,""),"")</f>
        <v/>
      </c>
      <c r="B2192" s="63" t="str">
        <f t="shared" si="288"/>
        <v/>
      </c>
      <c r="C2192" s="64"/>
      <c r="D2192" s="64"/>
      <c r="E2192" s="64"/>
      <c r="F2192" s="73" t="s">
        <v>949</v>
      </c>
      <c r="G2192" s="67"/>
      <c r="H2192" s="73" t="s">
        <v>1985</v>
      </c>
      <c r="I2192" s="439"/>
      <c r="J2192" s="439"/>
      <c r="K2192" s="430"/>
      <c r="L2192" s="439"/>
      <c r="M2192" s="65">
        <v>190225000</v>
      </c>
      <c r="N2192" s="84" t="s">
        <v>8</v>
      </c>
      <c r="O2192" s="84" t="s">
        <v>63</v>
      </c>
      <c r="P2192" s="84" t="str">
        <f>IF(AND('331-CT'!$E$7=TH!H2192,OR(N2192="331",O2192="331")),"x","")</f>
        <v/>
      </c>
      <c r="Q2192" s="84" t="str">
        <f>IF(AND(B2192='111'!$L$11,OR($N2192=$Q$7,$O2192=$Q$7)),"x","")</f>
        <v/>
      </c>
      <c r="R2192" s="84" t="str">
        <f>IF(AND($N2192=$Q$7,$B2192&lt;'111'!$L$11),"x","")</f>
        <v/>
      </c>
      <c r="S2192" s="84" t="str">
        <f>IF(AND($O2192=$Q$7,$B2192&lt;'111'!$L$11),"x","")</f>
        <v/>
      </c>
      <c r="T2192" s="84" t="str">
        <f>IF(ISERROR(FIND('112'!$M$9,G2192,1)),"",IF((AND(FIND('112'!$M$9,G2192,1)&gt;=1,B2192='112'!$K$9,OR($N2192='112'!$I$6,$O2192='112'!$I$6))),"x",""))</f>
        <v/>
      </c>
      <c r="U2192" s="84" t="str">
        <f>IF(ISERROR(FIND('112'!$M$9,G2192,1)),"",IF((AND(LEFT(G2192,2)=LEFT('112'!$M$9,2),B2192&lt;'112'!$K$9,$N2192='112'!$I$6)),"x",""))</f>
        <v/>
      </c>
      <c r="V2192" s="84" t="str">
        <f>IF(ISERROR(FIND('112'!$M$9,G2192,1)),"",IF((AND(RIGHT(G2192,2)=RIGHT('112'!$M$9,2),B2192&lt;'112'!$K$9,$O2192='112'!$I$6)),"x",""))</f>
        <v/>
      </c>
      <c r="W2192" s="84" t="str">
        <f>IF(AND('341-CT'!$H$9=H2192,OR(LEFT(N2192,3)=$W$7,LEFT(O2192,3)=$W$7)),"x","")</f>
        <v/>
      </c>
      <c r="X2192" s="84" t="str">
        <f>IF(OR(TH!N2192=TH!$X$7,O2192=TH!$X$7),"x","")</f>
        <v/>
      </c>
      <c r="Y2192" s="84" t="str">
        <f>IF(AND(OR(N2192="131",O2192="131"),H2192='131-CT'!$H$9),"x","")</f>
        <v/>
      </c>
      <c r="Z2192" s="84"/>
      <c r="AA2192" s="84" t="str">
        <f>IF(AND(MONTH(E2192)='IN-NX'!$J$5,'IN-NX'!$D$7=D2192),"x","")</f>
        <v/>
      </c>
      <c r="AB2192" s="84" t="str">
        <f>IF(AND(OR(LEFT(TH!N2192,2)="15",LEFT(TH!O2192,2)="15"),LEFT(TH!O2192,3)&lt;&gt;"111",'152-CT'!$J$8=TH!F2192),"x","")</f>
        <v/>
      </c>
      <c r="AC2192" s="84" t="str">
        <f>IF(AND(OR(LEFT(TH!N2192,2)="15",LEFT(TH!O2192,2)="15"),TK!$E$7=TH!F2192),"x","")</f>
        <v/>
      </c>
      <c r="AD2192" s="84" t="str">
        <f>IF(AND(N2192="1521",MONTH(C2192)='BK-NL'!$M$11),"x","")</f>
        <v/>
      </c>
    </row>
    <row r="2193" spans="1:30" s="351" customFormat="1" ht="15.75" hidden="1" customHeight="1">
      <c r="A2193" s="336" t="str">
        <f>IF(B2193&lt;&gt;"",IF(AND(B2193='IN-TC'!$S$4,OR(TH!N2193="1111",TH!O2193="1111")),TH!D2193,""),"")</f>
        <v/>
      </c>
      <c r="B2193" s="63" t="str">
        <f t="shared" si="288"/>
        <v/>
      </c>
      <c r="C2193" s="64"/>
      <c r="D2193" s="64"/>
      <c r="E2193" s="64"/>
      <c r="F2193" s="73" t="s">
        <v>949</v>
      </c>
      <c r="G2193" s="67"/>
      <c r="H2193" s="73" t="s">
        <v>1967</v>
      </c>
      <c r="I2193" s="439"/>
      <c r="J2193" s="439"/>
      <c r="K2193" s="430"/>
      <c r="L2193" s="439"/>
      <c r="M2193" s="65">
        <v>147750000</v>
      </c>
      <c r="N2193" s="84" t="s">
        <v>8</v>
      </c>
      <c r="O2193" s="84" t="s">
        <v>63</v>
      </c>
      <c r="P2193" s="84" t="str">
        <f>IF(AND('331-CT'!$E$7=TH!H2193,OR(N2193="331",O2193="331")),"x","")</f>
        <v/>
      </c>
      <c r="Q2193" s="84" t="str">
        <f>IF(AND(B2193='111'!$L$11,OR($N2193=$Q$7,$O2193=$Q$7)),"x","")</f>
        <v/>
      </c>
      <c r="R2193" s="84" t="str">
        <f>IF(AND($N2193=$Q$7,$B2193&lt;'111'!$L$11),"x","")</f>
        <v/>
      </c>
      <c r="S2193" s="84" t="str">
        <f>IF(AND($O2193=$Q$7,$B2193&lt;'111'!$L$11),"x","")</f>
        <v/>
      </c>
      <c r="T2193" s="84" t="str">
        <f>IF(ISERROR(FIND('112'!$M$9,G2193,1)),"",IF((AND(FIND('112'!$M$9,G2193,1)&gt;=1,B2193='112'!$K$9,OR($N2193='112'!$I$6,$O2193='112'!$I$6))),"x",""))</f>
        <v/>
      </c>
      <c r="U2193" s="84" t="str">
        <f>IF(ISERROR(FIND('112'!$M$9,G2193,1)),"",IF((AND(LEFT(G2193,2)=LEFT('112'!$M$9,2),B2193&lt;'112'!$K$9,$N2193='112'!$I$6)),"x",""))</f>
        <v/>
      </c>
      <c r="V2193" s="84" t="str">
        <f>IF(ISERROR(FIND('112'!$M$9,G2193,1)),"",IF((AND(RIGHT(G2193,2)=RIGHT('112'!$M$9,2),B2193&lt;'112'!$K$9,$O2193='112'!$I$6)),"x",""))</f>
        <v/>
      </c>
      <c r="W2193" s="84" t="str">
        <f>IF(AND('341-CT'!$H$9=H2193,OR(LEFT(N2193,3)=$W$7,LEFT(O2193,3)=$W$7)),"x","")</f>
        <v/>
      </c>
      <c r="X2193" s="84" t="str">
        <f>IF(OR(TH!N2193=TH!$X$7,O2193=TH!$X$7),"x","")</f>
        <v/>
      </c>
      <c r="Y2193" s="84" t="str">
        <f>IF(AND(OR(N2193="131",O2193="131"),H2193='131-CT'!$H$9),"x","")</f>
        <v/>
      </c>
      <c r="Z2193" s="84"/>
      <c r="AA2193" s="84" t="str">
        <f>IF(AND(MONTH(E2193)='IN-NX'!$J$5,'IN-NX'!$D$7=D2193),"x","")</f>
        <v/>
      </c>
      <c r="AB2193" s="84" t="str">
        <f>IF(AND(OR(LEFT(TH!N2193,2)="15",LEFT(TH!O2193,2)="15"),LEFT(TH!O2193,3)&lt;&gt;"111",'152-CT'!$J$8=TH!F2193),"x","")</f>
        <v/>
      </c>
      <c r="AC2193" s="84" t="str">
        <f>IF(AND(OR(LEFT(TH!N2193,2)="15",LEFT(TH!O2193,2)="15"),TK!$E$7=TH!F2193),"x","")</f>
        <v/>
      </c>
      <c r="AD2193" s="84" t="str">
        <f>IF(AND(N2193="1521",MONTH(C2193)='BK-NL'!$M$11),"x","")</f>
        <v/>
      </c>
    </row>
    <row r="2194" spans="1:30" s="351" customFormat="1" ht="15.75" hidden="1" customHeight="1">
      <c r="A2194" s="336" t="str">
        <f>IF(B2194&lt;&gt;"",IF(AND(B2194='IN-TC'!$S$4,OR(TH!N2194="1111",TH!O2194="1111")),TH!D2194,""),"")</f>
        <v/>
      </c>
      <c r="B2194" s="63" t="str">
        <f t="shared" si="288"/>
        <v/>
      </c>
      <c r="C2194" s="64"/>
      <c r="D2194" s="64"/>
      <c r="E2194" s="64"/>
      <c r="F2194" s="73" t="s">
        <v>949</v>
      </c>
      <c r="G2194" s="67"/>
      <c r="H2194" s="73" t="s">
        <v>393</v>
      </c>
      <c r="I2194" s="439"/>
      <c r="J2194" s="439"/>
      <c r="K2194" s="430"/>
      <c r="L2194" s="439"/>
      <c r="M2194" s="65">
        <v>1172310000</v>
      </c>
      <c r="N2194" s="84" t="s">
        <v>8</v>
      </c>
      <c r="O2194" s="84" t="s">
        <v>63</v>
      </c>
      <c r="P2194" s="84" t="str">
        <f>IF(AND('331-CT'!$E$7=TH!H2194,OR(N2194="331",O2194="331")),"x","")</f>
        <v/>
      </c>
      <c r="Q2194" s="84" t="str">
        <f>IF(AND(B2194='111'!$L$11,OR($N2194=$Q$7,$O2194=$Q$7)),"x","")</f>
        <v/>
      </c>
      <c r="R2194" s="84" t="str">
        <f>IF(AND($N2194=$Q$7,$B2194&lt;'111'!$L$11),"x","")</f>
        <v/>
      </c>
      <c r="S2194" s="84" t="str">
        <f>IF(AND($O2194=$Q$7,$B2194&lt;'111'!$L$11),"x","")</f>
        <v/>
      </c>
      <c r="T2194" s="84" t="str">
        <f>IF(ISERROR(FIND('112'!$M$9,G2194,1)),"",IF((AND(FIND('112'!$M$9,G2194,1)&gt;=1,B2194='112'!$K$9,OR($N2194='112'!$I$6,$O2194='112'!$I$6))),"x",""))</f>
        <v/>
      </c>
      <c r="U2194" s="84" t="str">
        <f>IF(ISERROR(FIND('112'!$M$9,G2194,1)),"",IF((AND(LEFT(G2194,2)=LEFT('112'!$M$9,2),B2194&lt;'112'!$K$9,$N2194='112'!$I$6)),"x",""))</f>
        <v/>
      </c>
      <c r="V2194" s="84" t="str">
        <f>IF(ISERROR(FIND('112'!$M$9,G2194,1)),"",IF((AND(RIGHT(G2194,2)=RIGHT('112'!$M$9,2),B2194&lt;'112'!$K$9,$O2194='112'!$I$6)),"x",""))</f>
        <v/>
      </c>
      <c r="W2194" s="84" t="str">
        <f>IF(AND('341-CT'!$H$9=H2194,OR(LEFT(N2194,3)=$W$7,LEFT(O2194,3)=$W$7)),"x","")</f>
        <v/>
      </c>
      <c r="X2194" s="84" t="str">
        <f>IF(OR(TH!N2194=TH!$X$7,O2194=TH!$X$7),"x","")</f>
        <v/>
      </c>
      <c r="Y2194" s="84" t="str">
        <f>IF(AND(OR(N2194="131",O2194="131"),H2194='131-CT'!$H$9),"x","")</f>
        <v/>
      </c>
      <c r="Z2194" s="84"/>
      <c r="AA2194" s="84" t="str">
        <f>IF(AND(MONTH(E2194)='IN-NX'!$J$5,'IN-NX'!$D$7=D2194),"x","")</f>
        <v/>
      </c>
      <c r="AB2194" s="84" t="str">
        <f>IF(AND(OR(LEFT(TH!N2194,2)="15",LEFT(TH!O2194,2)="15"),LEFT(TH!O2194,3)&lt;&gt;"111",'152-CT'!$J$8=TH!F2194),"x","")</f>
        <v/>
      </c>
      <c r="AC2194" s="84" t="str">
        <f>IF(AND(OR(LEFT(TH!N2194,2)="15",LEFT(TH!O2194,2)="15"),TK!$E$7=TH!F2194),"x","")</f>
        <v/>
      </c>
      <c r="AD2194" s="84" t="str">
        <f>IF(AND(N2194="1521",MONTH(C2194)='BK-NL'!$M$11),"x","")</f>
        <v/>
      </c>
    </row>
    <row r="2195" spans="1:30" s="351" customFormat="1" ht="15.75" hidden="1" customHeight="1">
      <c r="A2195" s="336" t="str">
        <f>IF(B2195&lt;&gt;"",IF(AND(B2195='IN-TC'!$S$4,OR(TH!N2195="1111",TH!O2195="1111")),TH!D2195,""),"")</f>
        <v/>
      </c>
      <c r="B2195" s="63" t="str">
        <f t="shared" si="288"/>
        <v/>
      </c>
      <c r="C2195" s="64"/>
      <c r="D2195" s="64"/>
      <c r="E2195" s="64"/>
      <c r="F2195" s="73" t="s">
        <v>949</v>
      </c>
      <c r="G2195" s="67"/>
      <c r="H2195" s="73" t="s">
        <v>385</v>
      </c>
      <c r="I2195" s="439"/>
      <c r="J2195" s="439"/>
      <c r="K2195" s="430"/>
      <c r="L2195" s="439"/>
      <c r="M2195" s="65">
        <v>1986530000</v>
      </c>
      <c r="N2195" s="84" t="s">
        <v>8</v>
      </c>
      <c r="O2195" s="84" t="s">
        <v>63</v>
      </c>
      <c r="P2195" s="84" t="str">
        <f>IF(AND('331-CT'!$E$7=TH!H2195,OR(N2195="331",O2195="331")),"x","")</f>
        <v/>
      </c>
      <c r="Q2195" s="84" t="str">
        <f>IF(AND(B2195='111'!$L$11,OR($N2195=$Q$7,$O2195=$Q$7)),"x","")</f>
        <v/>
      </c>
      <c r="R2195" s="84" t="str">
        <f>IF(AND($N2195=$Q$7,$B2195&lt;'111'!$L$11),"x","")</f>
        <v/>
      </c>
      <c r="S2195" s="84" t="str">
        <f>IF(AND($O2195=$Q$7,$B2195&lt;'111'!$L$11),"x","")</f>
        <v/>
      </c>
      <c r="T2195" s="84" t="str">
        <f>IF(ISERROR(FIND('112'!$M$9,G2195,1)),"",IF((AND(FIND('112'!$M$9,G2195,1)&gt;=1,B2195='112'!$K$9,OR($N2195='112'!$I$6,$O2195='112'!$I$6))),"x",""))</f>
        <v/>
      </c>
      <c r="U2195" s="84" t="str">
        <f>IF(ISERROR(FIND('112'!$M$9,G2195,1)),"",IF((AND(LEFT(G2195,2)=LEFT('112'!$M$9,2),B2195&lt;'112'!$K$9,$N2195='112'!$I$6)),"x",""))</f>
        <v/>
      </c>
      <c r="V2195" s="84" t="str">
        <f>IF(ISERROR(FIND('112'!$M$9,G2195,1)),"",IF((AND(RIGHT(G2195,2)=RIGHT('112'!$M$9,2),B2195&lt;'112'!$K$9,$O2195='112'!$I$6)),"x",""))</f>
        <v/>
      </c>
      <c r="W2195" s="84" t="str">
        <f>IF(AND('341-CT'!$H$9=H2195,OR(LEFT(N2195,3)=$W$7,LEFT(O2195,3)=$W$7)),"x","")</f>
        <v/>
      </c>
      <c r="X2195" s="84" t="str">
        <f>IF(OR(TH!N2195=TH!$X$7,O2195=TH!$X$7),"x","")</f>
        <v/>
      </c>
      <c r="Y2195" s="84" t="str">
        <f>IF(AND(OR(N2195="131",O2195="131"),H2195='131-CT'!$H$9),"x","")</f>
        <v/>
      </c>
      <c r="Z2195" s="84"/>
      <c r="AA2195" s="84" t="str">
        <f>IF(AND(MONTH(E2195)='IN-NX'!$J$5,'IN-NX'!$D$7=D2195),"x","")</f>
        <v/>
      </c>
      <c r="AB2195" s="84" t="str">
        <f>IF(AND(OR(LEFT(TH!N2195,2)="15",LEFT(TH!O2195,2)="15"),LEFT(TH!O2195,3)&lt;&gt;"111",'152-CT'!$J$8=TH!F2195),"x","")</f>
        <v/>
      </c>
      <c r="AC2195" s="84" t="str">
        <f>IF(AND(OR(LEFT(TH!N2195,2)="15",LEFT(TH!O2195,2)="15"),TK!$E$7=TH!F2195),"x","")</f>
        <v/>
      </c>
      <c r="AD2195" s="84" t="str">
        <f>IF(AND(N2195="1521",MONTH(C2195)='BK-NL'!$M$11),"x","")</f>
        <v/>
      </c>
    </row>
    <row r="2196" spans="1:30" s="351" customFormat="1" ht="15.75" hidden="1" customHeight="1">
      <c r="A2196" s="336" t="str">
        <f>IF(B2196&lt;&gt;"",IF(AND(B2196='IN-TC'!$S$4,OR(TH!N2196="1111",TH!O2196="1111")),TH!D2196,""),"")</f>
        <v/>
      </c>
      <c r="B2196" s="63" t="str">
        <f t="shared" si="288"/>
        <v/>
      </c>
      <c r="C2196" s="64"/>
      <c r="D2196" s="64"/>
      <c r="E2196" s="64"/>
      <c r="F2196" s="73" t="s">
        <v>949</v>
      </c>
      <c r="G2196" s="67"/>
      <c r="H2196" s="73" t="s">
        <v>446</v>
      </c>
      <c r="I2196" s="439"/>
      <c r="J2196" s="439"/>
      <c r="K2196" s="430"/>
      <c r="L2196" s="439"/>
      <c r="M2196" s="65">
        <v>656584500</v>
      </c>
      <c r="N2196" s="84" t="s">
        <v>8</v>
      </c>
      <c r="O2196" s="84" t="s">
        <v>63</v>
      </c>
      <c r="P2196" s="84" t="str">
        <f>IF(AND('331-CT'!$E$7=TH!H2196,OR(N2196="331",O2196="331")),"x","")</f>
        <v/>
      </c>
      <c r="Q2196" s="84" t="str">
        <f>IF(AND(B2196='111'!$L$11,OR($N2196=$Q$7,$O2196=$Q$7)),"x","")</f>
        <v/>
      </c>
      <c r="R2196" s="84" t="str">
        <f>IF(AND($N2196=$Q$7,$B2196&lt;'111'!$L$11),"x","")</f>
        <v/>
      </c>
      <c r="S2196" s="84" t="str">
        <f>IF(AND($O2196=$Q$7,$B2196&lt;'111'!$L$11),"x","")</f>
        <v/>
      </c>
      <c r="T2196" s="84" t="str">
        <f>IF(ISERROR(FIND('112'!$M$9,G2196,1)),"",IF((AND(FIND('112'!$M$9,G2196,1)&gt;=1,B2196='112'!$K$9,OR($N2196='112'!$I$6,$O2196='112'!$I$6))),"x",""))</f>
        <v/>
      </c>
      <c r="U2196" s="84" t="str">
        <f>IF(ISERROR(FIND('112'!$M$9,G2196,1)),"",IF((AND(LEFT(G2196,2)=LEFT('112'!$M$9,2),B2196&lt;'112'!$K$9,$N2196='112'!$I$6)),"x",""))</f>
        <v/>
      </c>
      <c r="V2196" s="84" t="str">
        <f>IF(ISERROR(FIND('112'!$M$9,G2196,1)),"",IF((AND(RIGHT(G2196,2)=RIGHT('112'!$M$9,2),B2196&lt;'112'!$K$9,$O2196='112'!$I$6)),"x",""))</f>
        <v/>
      </c>
      <c r="W2196" s="84" t="str">
        <f>IF(AND('341-CT'!$H$9=H2196,OR(LEFT(N2196,3)=$W$7,LEFT(O2196,3)=$W$7)),"x","")</f>
        <v/>
      </c>
      <c r="X2196" s="84" t="str">
        <f>IF(OR(TH!N2196=TH!$X$7,O2196=TH!$X$7),"x","")</f>
        <v/>
      </c>
      <c r="Y2196" s="84" t="str">
        <f>IF(AND(OR(N2196="131",O2196="131"),H2196='131-CT'!$H$9),"x","")</f>
        <v/>
      </c>
      <c r="Z2196" s="84"/>
      <c r="AA2196" s="84" t="str">
        <f>IF(AND(MONTH(E2196)='IN-NX'!$J$5,'IN-NX'!$D$7=D2196),"x","")</f>
        <v/>
      </c>
      <c r="AB2196" s="84" t="str">
        <f>IF(AND(OR(LEFT(TH!N2196,2)="15",LEFT(TH!O2196,2)="15"),LEFT(TH!O2196,3)&lt;&gt;"111",'152-CT'!$J$8=TH!F2196),"x","")</f>
        <v/>
      </c>
      <c r="AC2196" s="84" t="str">
        <f>IF(AND(OR(LEFT(TH!N2196,2)="15",LEFT(TH!O2196,2)="15"),TK!$E$7=TH!F2196),"x","")</f>
        <v/>
      </c>
      <c r="AD2196" s="84" t="str">
        <f>IF(AND(N2196="1521",MONTH(C2196)='BK-NL'!$M$11),"x","")</f>
        <v/>
      </c>
    </row>
    <row r="2197" spans="1:30" s="351" customFormat="1" ht="15.75" hidden="1" customHeight="1">
      <c r="A2197" s="336" t="str">
        <f>IF(B2197&lt;&gt;"",IF(AND(B2197='IN-TC'!$S$4,OR(TH!N2197="1111",TH!O2197="1111")),TH!D2197,""),"")</f>
        <v/>
      </c>
      <c r="B2197" s="63" t="str">
        <f t="shared" si="288"/>
        <v/>
      </c>
      <c r="C2197" s="64"/>
      <c r="D2197" s="64"/>
      <c r="E2197" s="64"/>
      <c r="F2197" s="73" t="s">
        <v>949</v>
      </c>
      <c r="G2197" s="67"/>
      <c r="H2197" s="73" t="s">
        <v>428</v>
      </c>
      <c r="I2197" s="439"/>
      <c r="J2197" s="439"/>
      <c r="K2197" s="430"/>
      <c r="L2197" s="439"/>
      <c r="M2197" s="65">
        <v>369666500</v>
      </c>
      <c r="N2197" s="84" t="s">
        <v>8</v>
      </c>
      <c r="O2197" s="84" t="s">
        <v>63</v>
      </c>
      <c r="P2197" s="84" t="str">
        <f>IF(AND('331-CT'!$E$7=TH!H2197,OR(N2197="331",O2197="331")),"x","")</f>
        <v/>
      </c>
      <c r="Q2197" s="84" t="str">
        <f>IF(AND(B2197='111'!$L$11,OR($N2197=$Q$7,$O2197=$Q$7)),"x","")</f>
        <v/>
      </c>
      <c r="R2197" s="84" t="str">
        <f>IF(AND($N2197=$Q$7,$B2197&lt;'111'!$L$11),"x","")</f>
        <v/>
      </c>
      <c r="S2197" s="84" t="str">
        <f>IF(AND($O2197=$Q$7,$B2197&lt;'111'!$L$11),"x","")</f>
        <v/>
      </c>
      <c r="T2197" s="84" t="str">
        <f>IF(ISERROR(FIND('112'!$M$9,G2197,1)),"",IF((AND(FIND('112'!$M$9,G2197,1)&gt;=1,B2197='112'!$K$9,OR($N2197='112'!$I$6,$O2197='112'!$I$6))),"x",""))</f>
        <v/>
      </c>
      <c r="U2197" s="84" t="str">
        <f>IF(ISERROR(FIND('112'!$M$9,G2197,1)),"",IF((AND(LEFT(G2197,2)=LEFT('112'!$M$9,2),B2197&lt;'112'!$K$9,$N2197='112'!$I$6)),"x",""))</f>
        <v/>
      </c>
      <c r="V2197" s="84" t="str">
        <f>IF(ISERROR(FIND('112'!$M$9,G2197,1)),"",IF((AND(RIGHT(G2197,2)=RIGHT('112'!$M$9,2),B2197&lt;'112'!$K$9,$O2197='112'!$I$6)),"x",""))</f>
        <v/>
      </c>
      <c r="W2197" s="84" t="str">
        <f>IF(AND('341-CT'!$H$9=H2197,OR(LEFT(N2197,3)=$W$7,LEFT(O2197,3)=$W$7)),"x","")</f>
        <v/>
      </c>
      <c r="X2197" s="84" t="str">
        <f>IF(OR(TH!N2197=TH!$X$7,O2197=TH!$X$7),"x","")</f>
        <v/>
      </c>
      <c r="Y2197" s="84" t="str">
        <f>IF(AND(OR(N2197="131",O2197="131"),H2197='131-CT'!$H$9),"x","")</f>
        <v/>
      </c>
      <c r="Z2197" s="84"/>
      <c r="AA2197" s="84" t="str">
        <f>IF(AND(MONTH(E2197)='IN-NX'!$J$5,'IN-NX'!$D$7=D2197),"x","")</f>
        <v/>
      </c>
      <c r="AB2197" s="84" t="str">
        <f>IF(AND(OR(LEFT(TH!N2197,2)="15",LEFT(TH!O2197,2)="15"),LEFT(TH!O2197,3)&lt;&gt;"111",'152-CT'!$J$8=TH!F2197),"x","")</f>
        <v/>
      </c>
      <c r="AC2197" s="84" t="str">
        <f>IF(AND(OR(LEFT(TH!N2197,2)="15",LEFT(TH!O2197,2)="15"),TK!$E$7=TH!F2197),"x","")</f>
        <v/>
      </c>
      <c r="AD2197" s="84" t="str">
        <f>IF(AND(N2197="1521",MONTH(C2197)='BK-NL'!$M$11),"x","")</f>
        <v/>
      </c>
    </row>
    <row r="2198" spans="1:30" s="351" customFormat="1" ht="15.75" hidden="1" customHeight="1">
      <c r="A2198" s="336" t="str">
        <f>IF(B2198&lt;&gt;"",IF(AND(B2198='IN-TC'!$S$4,OR(TH!N2198="1111",TH!O2198="1111")),TH!D2198,""),"")</f>
        <v/>
      </c>
      <c r="B2198" s="63" t="str">
        <f t="shared" si="288"/>
        <v/>
      </c>
      <c r="C2198" s="64"/>
      <c r="D2198" s="64"/>
      <c r="E2198" s="64"/>
      <c r="F2198" s="73" t="s">
        <v>949</v>
      </c>
      <c r="G2198" s="67"/>
      <c r="H2198" s="73" t="s">
        <v>431</v>
      </c>
      <c r="I2198" s="439"/>
      <c r="J2198" s="439"/>
      <c r="K2198" s="430"/>
      <c r="L2198" s="439"/>
      <c r="M2198" s="65">
        <v>433726000</v>
      </c>
      <c r="N2198" s="84" t="s">
        <v>8</v>
      </c>
      <c r="O2198" s="84" t="s">
        <v>63</v>
      </c>
      <c r="P2198" s="84" t="str">
        <f>IF(AND('331-CT'!$E$7=TH!H2198,OR(N2198="331",O2198="331")),"x","")</f>
        <v/>
      </c>
      <c r="Q2198" s="84" t="str">
        <f>IF(AND(B2198='111'!$L$11,OR($N2198=$Q$7,$O2198=$Q$7)),"x","")</f>
        <v/>
      </c>
      <c r="R2198" s="84" t="str">
        <f>IF(AND($N2198=$Q$7,$B2198&lt;'111'!$L$11),"x","")</f>
        <v/>
      </c>
      <c r="S2198" s="84" t="str">
        <f>IF(AND($O2198=$Q$7,$B2198&lt;'111'!$L$11),"x","")</f>
        <v/>
      </c>
      <c r="T2198" s="84" t="str">
        <f>IF(ISERROR(FIND('112'!$M$9,G2198,1)),"",IF((AND(FIND('112'!$M$9,G2198,1)&gt;=1,B2198='112'!$K$9,OR($N2198='112'!$I$6,$O2198='112'!$I$6))),"x",""))</f>
        <v/>
      </c>
      <c r="U2198" s="84" t="str">
        <f>IF(ISERROR(FIND('112'!$M$9,G2198,1)),"",IF((AND(LEFT(G2198,2)=LEFT('112'!$M$9,2),B2198&lt;'112'!$K$9,$N2198='112'!$I$6)),"x",""))</f>
        <v/>
      </c>
      <c r="V2198" s="84" t="str">
        <f>IF(ISERROR(FIND('112'!$M$9,G2198,1)),"",IF((AND(RIGHT(G2198,2)=RIGHT('112'!$M$9,2),B2198&lt;'112'!$K$9,$O2198='112'!$I$6)),"x",""))</f>
        <v/>
      </c>
      <c r="W2198" s="84" t="str">
        <f>IF(AND('341-CT'!$H$9=H2198,OR(LEFT(N2198,3)=$W$7,LEFT(O2198,3)=$W$7)),"x","")</f>
        <v/>
      </c>
      <c r="X2198" s="84" t="str">
        <f>IF(OR(TH!N2198=TH!$X$7,O2198=TH!$X$7),"x","")</f>
        <v/>
      </c>
      <c r="Y2198" s="84" t="str">
        <f>IF(AND(OR(N2198="131",O2198="131"),H2198='131-CT'!$H$9),"x","")</f>
        <v/>
      </c>
      <c r="Z2198" s="84"/>
      <c r="AA2198" s="84" t="str">
        <f>IF(AND(MONTH(E2198)='IN-NX'!$J$5,'IN-NX'!$D$7=D2198),"x","")</f>
        <v/>
      </c>
      <c r="AB2198" s="84" t="str">
        <f>IF(AND(OR(LEFT(TH!N2198,2)="15",LEFT(TH!O2198,2)="15"),LEFT(TH!O2198,3)&lt;&gt;"111",'152-CT'!$J$8=TH!F2198),"x","")</f>
        <v/>
      </c>
      <c r="AC2198" s="84" t="str">
        <f>IF(AND(OR(LEFT(TH!N2198,2)="15",LEFT(TH!O2198,2)="15"),TK!$E$7=TH!F2198),"x","")</f>
        <v/>
      </c>
      <c r="AD2198" s="84" t="str">
        <f>IF(AND(N2198="1521",MONTH(C2198)='BK-NL'!$M$11),"x","")</f>
        <v/>
      </c>
    </row>
    <row r="2199" spans="1:30" s="351" customFormat="1" ht="15.75" hidden="1" customHeight="1">
      <c r="A2199" s="336" t="str">
        <f>IF(B2199&lt;&gt;"",IF(AND(B2199='IN-TC'!$S$4,OR(TH!N2199="1111",TH!O2199="1111")),TH!D2199,""),"")</f>
        <v/>
      </c>
      <c r="B2199" s="63" t="str">
        <f t="shared" si="288"/>
        <v/>
      </c>
      <c r="C2199" s="64"/>
      <c r="D2199" s="64"/>
      <c r="E2199" s="64"/>
      <c r="F2199" s="73" t="s">
        <v>949</v>
      </c>
      <c r="G2199" s="67"/>
      <c r="H2199" s="73" t="s">
        <v>409</v>
      </c>
      <c r="I2199" s="439"/>
      <c r="J2199" s="439"/>
      <c r="K2199" s="430"/>
      <c r="L2199" s="439"/>
      <c r="M2199" s="65">
        <v>112500000</v>
      </c>
      <c r="N2199" s="84" t="s">
        <v>8</v>
      </c>
      <c r="O2199" s="84" t="s">
        <v>63</v>
      </c>
      <c r="P2199" s="84" t="str">
        <f>IF(AND('331-CT'!$E$7=TH!H2199,OR(N2199="331",O2199="331")),"x","")</f>
        <v/>
      </c>
      <c r="Q2199" s="84" t="str">
        <f>IF(AND(B2199='111'!$L$11,OR($N2199=$Q$7,$O2199=$Q$7)),"x","")</f>
        <v/>
      </c>
      <c r="R2199" s="84" t="str">
        <f>IF(AND($N2199=$Q$7,$B2199&lt;'111'!$L$11),"x","")</f>
        <v/>
      </c>
      <c r="S2199" s="84" t="str">
        <f>IF(AND($O2199=$Q$7,$B2199&lt;'111'!$L$11),"x","")</f>
        <v/>
      </c>
      <c r="T2199" s="84" t="str">
        <f>IF(ISERROR(FIND('112'!$M$9,G2199,1)),"",IF((AND(FIND('112'!$M$9,G2199,1)&gt;=1,B2199='112'!$K$9,OR($N2199='112'!$I$6,$O2199='112'!$I$6))),"x",""))</f>
        <v/>
      </c>
      <c r="U2199" s="84" t="str">
        <f>IF(ISERROR(FIND('112'!$M$9,G2199,1)),"",IF((AND(LEFT(G2199,2)=LEFT('112'!$M$9,2),B2199&lt;'112'!$K$9,$N2199='112'!$I$6)),"x",""))</f>
        <v/>
      </c>
      <c r="V2199" s="84" t="str">
        <f>IF(ISERROR(FIND('112'!$M$9,G2199,1)),"",IF((AND(RIGHT(G2199,2)=RIGHT('112'!$M$9,2),B2199&lt;'112'!$K$9,$O2199='112'!$I$6)),"x",""))</f>
        <v/>
      </c>
      <c r="W2199" s="84" t="str">
        <f>IF(AND('341-CT'!$H$9=H2199,OR(LEFT(N2199,3)=$W$7,LEFT(O2199,3)=$W$7)),"x","")</f>
        <v/>
      </c>
      <c r="X2199" s="84" t="str">
        <f>IF(OR(TH!N2199=TH!$X$7,O2199=TH!$X$7),"x","")</f>
        <v/>
      </c>
      <c r="Y2199" s="84" t="str">
        <f>IF(AND(OR(N2199="131",O2199="131"),H2199='131-CT'!$H$9),"x","")</f>
        <v/>
      </c>
      <c r="Z2199" s="84"/>
      <c r="AA2199" s="84" t="str">
        <f>IF(AND(MONTH(E2199)='IN-NX'!$J$5,'IN-NX'!$D$7=D2199),"x","")</f>
        <v/>
      </c>
      <c r="AB2199" s="84" t="str">
        <f>IF(AND(OR(LEFT(TH!N2199,2)="15",LEFT(TH!O2199,2)="15"),LEFT(TH!O2199,3)&lt;&gt;"111",'152-CT'!$J$8=TH!F2199),"x","")</f>
        <v/>
      </c>
      <c r="AC2199" s="84" t="str">
        <f>IF(AND(OR(LEFT(TH!N2199,2)="15",LEFT(TH!O2199,2)="15"),TK!$E$7=TH!F2199),"x","")</f>
        <v/>
      </c>
      <c r="AD2199" s="84" t="str">
        <f>IF(AND(N2199="1521",MONTH(C2199)='BK-NL'!$M$11),"x","")</f>
        <v/>
      </c>
    </row>
    <row r="2200" spans="1:30" s="351" customFormat="1" ht="15.75" hidden="1" customHeight="1">
      <c r="A2200" s="336" t="str">
        <f>IF(B2200&lt;&gt;"",IF(AND(B2200='IN-TC'!$S$4,OR(TH!N2200="1111",TH!O2200="1111")),TH!D2200,""),"")</f>
        <v/>
      </c>
      <c r="B2200" s="63" t="str">
        <f t="shared" si="288"/>
        <v/>
      </c>
      <c r="C2200" s="64"/>
      <c r="D2200" s="64"/>
      <c r="E2200" s="64"/>
      <c r="F2200" s="67"/>
      <c r="G2200" s="67"/>
      <c r="H2200" s="73"/>
      <c r="I2200" s="439"/>
      <c r="J2200" s="439"/>
      <c r="K2200" s="430"/>
      <c r="L2200" s="439"/>
      <c r="M2200" s="65"/>
      <c r="N2200" s="66"/>
      <c r="O2200" s="66"/>
      <c r="P2200" s="84" t="str">
        <f>IF(AND('331-CT'!$E$7=TH!H2200,OR(N2200="331",O2200="331")),"x","")</f>
        <v/>
      </c>
      <c r="Q2200" s="84" t="str">
        <f>IF(AND(B2200='111'!$L$11,OR($N2200=$Q$7,$O2200=$Q$7)),"x","")</f>
        <v/>
      </c>
      <c r="R2200" s="84" t="str">
        <f>IF(AND($N2200=$Q$7,$B2200&lt;'111'!$L$11),"x","")</f>
        <v/>
      </c>
      <c r="S2200" s="84" t="str">
        <f>IF(AND($O2200=$Q$7,$B2200&lt;'111'!$L$11),"x","")</f>
        <v/>
      </c>
      <c r="T2200" s="84" t="str">
        <f>IF(ISERROR(FIND('112'!$M$9,G2200,1)),"",IF((AND(FIND('112'!$M$9,G2200,1)&gt;=1,B2200='112'!$K$9,OR($N2200='112'!$I$6,$O2200='112'!$I$6))),"x",""))</f>
        <v/>
      </c>
      <c r="U2200" s="84" t="str">
        <f>IF(ISERROR(FIND('112'!$M$9,G2200,1)),"",IF((AND(LEFT(G2200,2)=LEFT('112'!$M$9,2),B2200&lt;'112'!$K$9,$N2200='112'!$I$6)),"x",""))</f>
        <v/>
      </c>
      <c r="V2200" s="84" t="str">
        <f>IF(ISERROR(FIND('112'!$M$9,G2200,1)),"",IF((AND(RIGHT(G2200,2)=RIGHT('112'!$M$9,2),B2200&lt;'112'!$K$9,$O2200='112'!$I$6)),"x",""))</f>
        <v/>
      </c>
      <c r="W2200" s="84" t="str">
        <f>IF(AND('341-CT'!$H$9=H2200,OR(LEFT(N2200,3)=$W$7,LEFT(O2200,3)=$W$7)),"x","")</f>
        <v/>
      </c>
      <c r="X2200" s="84" t="str">
        <f>IF(OR(TH!N2200=TH!$X$7,O2200=TH!$X$7),"x","")</f>
        <v/>
      </c>
      <c r="Y2200" s="84" t="str">
        <f>IF(AND(OR(N2200="131",O2200="131"),H2200='131-CT'!$H$9),"x","")</f>
        <v/>
      </c>
      <c r="Z2200" s="84"/>
      <c r="AA2200" s="84" t="str">
        <f>IF(AND(MONTH(E2200)='IN-NX'!$J$5,'IN-NX'!$D$7=D2200),"x","")</f>
        <v/>
      </c>
      <c r="AB2200" s="84" t="str">
        <f>IF(AND(OR(LEFT(TH!N2200,2)="15",LEFT(TH!O2200,2)="15"),LEFT(TH!O2200,3)&lt;&gt;"111",'152-CT'!$J$8=TH!F2200),"x","")</f>
        <v/>
      </c>
      <c r="AC2200" s="84" t="str">
        <f>IF(AND(OR(LEFT(TH!N2200,2)="15",LEFT(TH!O2200,2)="15"),TK!$E$7=TH!F2200),"x","")</f>
        <v/>
      </c>
      <c r="AD2200" s="84" t="str">
        <f>IF(AND(N2200="1521",MONTH(C2200)='BK-NL'!$M$11),"x","")</f>
        <v/>
      </c>
    </row>
    <row r="2201" spans="1:30" s="351" customFormat="1" ht="15.75" hidden="1" customHeight="1">
      <c r="A2201" s="336" t="str">
        <f>IF(B2201&lt;&gt;"",IF(AND(B2201='IN-TC'!$S$4,OR(TH!N2201="1111",TH!O2201="1111")),TH!D2201,""),"")</f>
        <v/>
      </c>
      <c r="B2201" s="63" t="str">
        <f t="shared" si="288"/>
        <v/>
      </c>
      <c r="C2201" s="64"/>
      <c r="D2201" s="64"/>
      <c r="E2201" s="64"/>
      <c r="F2201" s="67"/>
      <c r="G2201" s="67"/>
      <c r="H2201" s="73"/>
      <c r="I2201" s="439"/>
      <c r="J2201" s="439"/>
      <c r="K2201" s="430"/>
      <c r="L2201" s="439"/>
      <c r="M2201" s="65"/>
      <c r="N2201" s="66"/>
      <c r="O2201" s="66"/>
      <c r="P2201" s="84" t="str">
        <f>IF(AND('331-CT'!$E$7=TH!H2201,OR(N2201="331",O2201="331")),"x","")</f>
        <v/>
      </c>
      <c r="Q2201" s="84" t="str">
        <f>IF(AND(B2201='111'!$L$11,OR($N2201=$Q$7,$O2201=$Q$7)),"x","")</f>
        <v/>
      </c>
      <c r="R2201" s="84" t="str">
        <f>IF(AND($N2201=$Q$7,$B2201&lt;'111'!$L$11),"x","")</f>
        <v/>
      </c>
      <c r="S2201" s="84" t="str">
        <f>IF(AND($O2201=$Q$7,$B2201&lt;'111'!$L$11),"x","")</f>
        <v/>
      </c>
      <c r="T2201" s="84" t="str">
        <f>IF(ISERROR(FIND('112'!$M$9,G2201,1)),"",IF((AND(FIND('112'!$M$9,G2201,1)&gt;=1,B2201='112'!$K$9,OR($N2201='112'!$I$6,$O2201='112'!$I$6))),"x",""))</f>
        <v/>
      </c>
      <c r="U2201" s="84" t="str">
        <f>IF(ISERROR(FIND('112'!$M$9,G2201,1)),"",IF((AND(LEFT(G2201,2)=LEFT('112'!$M$9,2),B2201&lt;'112'!$K$9,$N2201='112'!$I$6)),"x",""))</f>
        <v/>
      </c>
      <c r="V2201" s="84" t="str">
        <f>IF(ISERROR(FIND('112'!$M$9,G2201,1)),"",IF((AND(RIGHT(G2201,2)=RIGHT('112'!$M$9,2),B2201&lt;'112'!$K$9,$O2201='112'!$I$6)),"x",""))</f>
        <v/>
      </c>
      <c r="W2201" s="84" t="str">
        <f>IF(AND('341-CT'!$H$9=H2201,OR(LEFT(N2201,3)=$W$7,LEFT(O2201,3)=$W$7)),"x","")</f>
        <v/>
      </c>
      <c r="X2201" s="84" t="str">
        <f>IF(OR(TH!N2201=TH!$X$7,O2201=TH!$X$7),"x","")</f>
        <v/>
      </c>
      <c r="Y2201" s="84" t="str">
        <f>IF(AND(OR(N2201="131",O2201="131"),H2201='131-CT'!$H$9),"x","")</f>
        <v/>
      </c>
      <c r="Z2201" s="84"/>
      <c r="AA2201" s="84" t="str">
        <f>IF(AND(MONTH(E2201)='IN-NX'!$J$5,'IN-NX'!$D$7=D2201),"x","")</f>
        <v/>
      </c>
      <c r="AB2201" s="84" t="str">
        <f>IF(AND(OR(LEFT(TH!N2201,2)="15",LEFT(TH!O2201,2)="15"),LEFT(TH!O2201,3)&lt;&gt;"111",'152-CT'!$J$8=TH!F2201),"x","")</f>
        <v/>
      </c>
      <c r="AC2201" s="84" t="str">
        <f>IF(AND(OR(LEFT(TH!N2201,2)="15",LEFT(TH!O2201,2)="15"),TK!$E$7=TH!F2201),"x","")</f>
        <v/>
      </c>
      <c r="AD2201" s="84" t="str">
        <f>IF(AND(N2201="1521",MONTH(C2201)='BK-NL'!$M$11),"x","")</f>
        <v/>
      </c>
    </row>
    <row r="2202" spans="1:30" s="351" customFormat="1" ht="15.75" hidden="1" customHeight="1">
      <c r="A2202" s="336" t="str">
        <f>IF(B2202&lt;&gt;"",IF(AND(B2202='IN-TC'!$S$4,OR(TH!N2202="1111",TH!O2202="1111")),TH!D2202,""),"")</f>
        <v/>
      </c>
      <c r="B2202" s="63" t="str">
        <f t="shared" si="288"/>
        <v/>
      </c>
      <c r="C2202" s="64"/>
      <c r="D2202" s="64"/>
      <c r="E2202" s="64"/>
      <c r="F2202" s="67"/>
      <c r="G2202" s="67"/>
      <c r="H2202" s="73"/>
      <c r="I2202" s="439"/>
      <c r="J2202" s="439"/>
      <c r="K2202" s="430"/>
      <c r="L2202" s="439"/>
      <c r="M2202" s="65"/>
      <c r="N2202" s="66"/>
      <c r="O2202" s="66"/>
      <c r="P2202" s="84" t="str">
        <f>IF(AND('331-CT'!$E$7=TH!H2202,OR(N2202="331",O2202="331")),"x","")</f>
        <v/>
      </c>
      <c r="Q2202" s="84" t="str">
        <f>IF(AND(B2202='111'!$L$11,OR($N2202=$Q$7,$O2202=$Q$7)),"x","")</f>
        <v/>
      </c>
      <c r="R2202" s="84" t="str">
        <f>IF(AND($N2202=$Q$7,$B2202&lt;'111'!$L$11),"x","")</f>
        <v/>
      </c>
      <c r="S2202" s="84" t="str">
        <f>IF(AND($O2202=$Q$7,$B2202&lt;'111'!$L$11),"x","")</f>
        <v/>
      </c>
      <c r="T2202" s="84" t="str">
        <f>IF(ISERROR(FIND('112'!$M$9,G2202,1)),"",IF((AND(FIND('112'!$M$9,G2202,1)&gt;=1,B2202='112'!$K$9,OR($N2202='112'!$I$6,$O2202='112'!$I$6))),"x",""))</f>
        <v/>
      </c>
      <c r="U2202" s="84" t="str">
        <f>IF(ISERROR(FIND('112'!$M$9,G2202,1)),"",IF((AND(LEFT(G2202,2)=LEFT('112'!$M$9,2),B2202&lt;'112'!$K$9,$N2202='112'!$I$6)),"x",""))</f>
        <v/>
      </c>
      <c r="V2202" s="84" t="str">
        <f>IF(ISERROR(FIND('112'!$M$9,G2202,1)),"",IF((AND(RIGHT(G2202,2)=RIGHT('112'!$M$9,2),B2202&lt;'112'!$K$9,$O2202='112'!$I$6)),"x",""))</f>
        <v/>
      </c>
      <c r="W2202" s="84" t="str">
        <f>IF(AND('341-CT'!$H$9=H2202,OR(LEFT(N2202,3)=$W$7,LEFT(O2202,3)=$W$7)),"x","")</f>
        <v/>
      </c>
      <c r="X2202" s="84" t="str">
        <f>IF(OR(TH!N2202=TH!$X$7,O2202=TH!$X$7),"x","")</f>
        <v/>
      </c>
      <c r="Y2202" s="84" t="str">
        <f>IF(AND(OR(N2202="131",O2202="131"),H2202='131-CT'!$H$9),"x","")</f>
        <v/>
      </c>
      <c r="Z2202" s="84"/>
      <c r="AA2202" s="84" t="str">
        <f>IF(AND(MONTH(E2202)='IN-NX'!$J$5,'IN-NX'!$D$7=D2202),"x","")</f>
        <v/>
      </c>
      <c r="AB2202" s="84" t="str">
        <f>IF(AND(OR(LEFT(TH!N2202,2)="15",LEFT(TH!O2202,2)="15"),LEFT(TH!O2202,3)&lt;&gt;"111",'152-CT'!$J$8=TH!F2202),"x","")</f>
        <v/>
      </c>
      <c r="AC2202" s="84" t="str">
        <f>IF(AND(OR(LEFT(TH!N2202,2)="15",LEFT(TH!O2202,2)="15"),TK!$E$7=TH!F2202),"x","")</f>
        <v/>
      </c>
      <c r="AD2202" s="84" t="str">
        <f>IF(AND(N2202="1521",MONTH(C2202)='BK-NL'!$M$11),"x","")</f>
        <v/>
      </c>
    </row>
    <row r="2203" spans="1:30" s="351" customFormat="1" ht="15.75" hidden="1" customHeight="1">
      <c r="A2203" s="336" t="str">
        <f>IF(B2203&lt;&gt;"",IF(AND(B2203='IN-TC'!$S$4,OR(TH!N2203="1111",TH!O2203="1111")),TH!D2203,""),"")</f>
        <v/>
      </c>
      <c r="B2203" s="63" t="str">
        <f t="shared" si="288"/>
        <v/>
      </c>
      <c r="C2203" s="64"/>
      <c r="D2203" s="64"/>
      <c r="E2203" s="64"/>
      <c r="F2203" s="67"/>
      <c r="G2203" s="67"/>
      <c r="H2203" s="73"/>
      <c r="I2203" s="439"/>
      <c r="J2203" s="439"/>
      <c r="K2203" s="430"/>
      <c r="L2203" s="439"/>
      <c r="M2203" s="65"/>
      <c r="N2203" s="66"/>
      <c r="O2203" s="66"/>
      <c r="P2203" s="84" t="str">
        <f>IF(AND('331-CT'!$E$7=TH!H2203,OR(N2203="331",O2203="331")),"x","")</f>
        <v/>
      </c>
      <c r="Q2203" s="84" t="str">
        <f>IF(AND(B2203='111'!$L$11,OR($N2203=$Q$7,$O2203=$Q$7)),"x","")</f>
        <v/>
      </c>
      <c r="R2203" s="84" t="str">
        <f>IF(AND($N2203=$Q$7,$B2203&lt;'111'!$L$11),"x","")</f>
        <v/>
      </c>
      <c r="S2203" s="84" t="str">
        <f>IF(AND($O2203=$Q$7,$B2203&lt;'111'!$L$11),"x","")</f>
        <v/>
      </c>
      <c r="T2203" s="84" t="str">
        <f>IF(ISERROR(FIND('112'!$M$9,G2203,1)),"",IF((AND(FIND('112'!$M$9,G2203,1)&gt;=1,B2203='112'!$K$9,OR($N2203='112'!$I$6,$O2203='112'!$I$6))),"x",""))</f>
        <v/>
      </c>
      <c r="U2203" s="84" t="str">
        <f>IF(ISERROR(FIND('112'!$M$9,G2203,1)),"",IF((AND(LEFT(G2203,2)=LEFT('112'!$M$9,2),B2203&lt;'112'!$K$9,$N2203='112'!$I$6)),"x",""))</f>
        <v/>
      </c>
      <c r="V2203" s="84" t="str">
        <f>IF(ISERROR(FIND('112'!$M$9,G2203,1)),"",IF((AND(RIGHT(G2203,2)=RIGHT('112'!$M$9,2),B2203&lt;'112'!$K$9,$O2203='112'!$I$6)),"x",""))</f>
        <v/>
      </c>
      <c r="W2203" s="84" t="str">
        <f>IF(AND('341-CT'!$H$9=H2203,OR(LEFT(N2203,3)=$W$7,LEFT(O2203,3)=$W$7)),"x","")</f>
        <v/>
      </c>
      <c r="X2203" s="84" t="str">
        <f>IF(OR(TH!N2203=TH!$X$7,O2203=TH!$X$7),"x","")</f>
        <v/>
      </c>
      <c r="Y2203" s="84" t="str">
        <f>IF(AND(OR(N2203="131",O2203="131"),H2203='131-CT'!$H$9),"x","")</f>
        <v/>
      </c>
      <c r="Z2203" s="84"/>
      <c r="AA2203" s="84" t="str">
        <f>IF(AND(MONTH(E2203)='IN-NX'!$J$5,'IN-NX'!$D$7=D2203),"x","")</f>
        <v/>
      </c>
      <c r="AB2203" s="84" t="str">
        <f>IF(AND(OR(LEFT(TH!N2203,2)="15",LEFT(TH!O2203,2)="15"),LEFT(TH!O2203,3)&lt;&gt;"111",'152-CT'!$J$8=TH!F2203),"x","")</f>
        <v/>
      </c>
      <c r="AC2203" s="84" t="str">
        <f>IF(AND(OR(LEFT(TH!N2203,2)="15",LEFT(TH!O2203,2)="15"),TK!$E$7=TH!F2203),"x","")</f>
        <v/>
      </c>
      <c r="AD2203" s="84" t="str">
        <f>IF(AND(N2203="1521",MONTH(C2203)='BK-NL'!$M$11),"x","")</f>
        <v/>
      </c>
    </row>
    <row r="2204" spans="1:30" s="351" customFormat="1" ht="15.75" hidden="1" customHeight="1">
      <c r="A2204" s="336" t="str">
        <f>IF(B2204&lt;&gt;"",IF(AND(B2204='IN-TC'!$S$4,OR(TH!N2204="1111",TH!O2204="1111")),TH!D2204,""),"")</f>
        <v/>
      </c>
      <c r="B2204" s="63" t="str">
        <f t="shared" si="288"/>
        <v/>
      </c>
      <c r="C2204" s="64"/>
      <c r="D2204" s="64"/>
      <c r="E2204" s="64"/>
      <c r="F2204" s="67"/>
      <c r="G2204" s="67"/>
      <c r="H2204" s="73"/>
      <c r="I2204" s="439"/>
      <c r="J2204" s="439"/>
      <c r="K2204" s="430"/>
      <c r="L2204" s="439"/>
      <c r="M2204" s="65"/>
      <c r="N2204" s="66"/>
      <c r="O2204" s="66"/>
      <c r="P2204" s="84" t="str">
        <f>IF(AND('331-CT'!$E$7=TH!H2204,OR(N2204="331",O2204="331")),"x","")</f>
        <v/>
      </c>
      <c r="Q2204" s="84" t="str">
        <f>IF(AND(B2204='111'!$L$11,OR($N2204=$Q$7,$O2204=$Q$7)),"x","")</f>
        <v/>
      </c>
      <c r="R2204" s="84" t="str">
        <f>IF(AND($N2204=$Q$7,$B2204&lt;'111'!$L$11),"x","")</f>
        <v/>
      </c>
      <c r="S2204" s="84" t="str">
        <f>IF(AND($O2204=$Q$7,$B2204&lt;'111'!$L$11),"x","")</f>
        <v/>
      </c>
      <c r="T2204" s="84" t="str">
        <f>IF(ISERROR(FIND('112'!$M$9,G2204,1)),"",IF((AND(FIND('112'!$M$9,G2204,1)&gt;=1,B2204='112'!$K$9,OR($N2204='112'!$I$6,$O2204='112'!$I$6))),"x",""))</f>
        <v/>
      </c>
      <c r="U2204" s="84" t="str">
        <f>IF(ISERROR(FIND('112'!$M$9,G2204,1)),"",IF((AND(LEFT(G2204,2)=LEFT('112'!$M$9,2),B2204&lt;'112'!$K$9,$N2204='112'!$I$6)),"x",""))</f>
        <v/>
      </c>
      <c r="V2204" s="84" t="str">
        <f>IF(ISERROR(FIND('112'!$M$9,G2204,1)),"",IF((AND(RIGHT(G2204,2)=RIGHT('112'!$M$9,2),B2204&lt;'112'!$K$9,$O2204='112'!$I$6)),"x",""))</f>
        <v/>
      </c>
      <c r="W2204" s="84" t="str">
        <f>IF(AND('341-CT'!$H$9=H2204,OR(LEFT(N2204,3)=$W$7,LEFT(O2204,3)=$W$7)),"x","")</f>
        <v/>
      </c>
      <c r="X2204" s="84" t="str">
        <f>IF(OR(TH!N2204=TH!$X$7,O2204=TH!$X$7),"x","")</f>
        <v/>
      </c>
      <c r="Y2204" s="84" t="str">
        <f>IF(AND(OR(N2204="131",O2204="131"),H2204='131-CT'!$H$9),"x","")</f>
        <v/>
      </c>
      <c r="Z2204" s="84"/>
      <c r="AA2204" s="84" t="str">
        <f>IF(AND(MONTH(E2204)='IN-NX'!$J$5,'IN-NX'!$D$7=D2204),"x","")</f>
        <v/>
      </c>
      <c r="AB2204" s="84" t="str">
        <f>IF(AND(OR(LEFT(TH!N2204,2)="15",LEFT(TH!O2204,2)="15"),LEFT(TH!O2204,3)&lt;&gt;"111",'152-CT'!$J$8=TH!F2204),"x","")</f>
        <v/>
      </c>
      <c r="AC2204" s="84" t="str">
        <f>IF(AND(OR(LEFT(TH!N2204,2)="15",LEFT(TH!O2204,2)="15"),TK!$E$7=TH!F2204),"x","")</f>
        <v/>
      </c>
      <c r="AD2204" s="84" t="str">
        <f>IF(AND(N2204="1521",MONTH(C2204)='BK-NL'!$M$11),"x","")</f>
        <v/>
      </c>
    </row>
    <row r="2205" spans="1:30" s="351" customFormat="1" ht="15.75" hidden="1" customHeight="1">
      <c r="A2205" s="336" t="str">
        <f>IF(B2205&lt;&gt;"",IF(AND(B2205='IN-TC'!$S$4,OR(TH!N2205="1111",TH!O2205="1111")),TH!D2205,""),"")</f>
        <v/>
      </c>
      <c r="B2205" s="63" t="str">
        <f t="shared" si="288"/>
        <v/>
      </c>
      <c r="C2205" s="64"/>
      <c r="D2205" s="64"/>
      <c r="E2205" s="64"/>
      <c r="F2205" s="67"/>
      <c r="G2205" s="67"/>
      <c r="H2205" s="73"/>
      <c r="I2205" s="439"/>
      <c r="J2205" s="439"/>
      <c r="K2205" s="430"/>
      <c r="L2205" s="439"/>
      <c r="M2205" s="65"/>
      <c r="N2205" s="66"/>
      <c r="O2205" s="66"/>
      <c r="P2205" s="84" t="str">
        <f>IF(AND('331-CT'!$E$7=TH!H2205,OR(N2205="331",O2205="331")),"x","")</f>
        <v/>
      </c>
      <c r="Q2205" s="84" t="str">
        <f>IF(AND(B2205='111'!$L$11,OR($N2205=$Q$7,$O2205=$Q$7)),"x","")</f>
        <v/>
      </c>
      <c r="R2205" s="84" t="str">
        <f>IF(AND($N2205=$Q$7,$B2205&lt;'111'!$L$11),"x","")</f>
        <v/>
      </c>
      <c r="S2205" s="84" t="str">
        <f>IF(AND($O2205=$Q$7,$B2205&lt;'111'!$L$11),"x","")</f>
        <v/>
      </c>
      <c r="T2205" s="84" t="str">
        <f>IF(ISERROR(FIND('112'!$M$9,G2205,1)),"",IF((AND(FIND('112'!$M$9,G2205,1)&gt;=1,B2205='112'!$K$9,OR($N2205='112'!$I$6,$O2205='112'!$I$6))),"x",""))</f>
        <v/>
      </c>
      <c r="U2205" s="84" t="str">
        <f>IF(ISERROR(FIND('112'!$M$9,G2205,1)),"",IF((AND(LEFT(G2205,2)=LEFT('112'!$M$9,2),B2205&lt;'112'!$K$9,$N2205='112'!$I$6)),"x",""))</f>
        <v/>
      </c>
      <c r="V2205" s="84" t="str">
        <f>IF(ISERROR(FIND('112'!$M$9,G2205,1)),"",IF((AND(RIGHT(G2205,2)=RIGHT('112'!$M$9,2),B2205&lt;'112'!$K$9,$O2205='112'!$I$6)),"x",""))</f>
        <v/>
      </c>
      <c r="W2205" s="84" t="str">
        <f>IF(AND('341-CT'!$H$9=H2205,OR(LEFT(N2205,3)=$W$7,LEFT(O2205,3)=$W$7)),"x","")</f>
        <v/>
      </c>
      <c r="X2205" s="84" t="str">
        <f>IF(OR(TH!N2205=TH!$X$7,O2205=TH!$X$7),"x","")</f>
        <v/>
      </c>
      <c r="Y2205" s="84" t="str">
        <f>IF(AND(OR(N2205="131",O2205="131"),H2205='131-CT'!$H$9),"x","")</f>
        <v/>
      </c>
      <c r="Z2205" s="84"/>
      <c r="AA2205" s="84" t="str">
        <f>IF(AND(MONTH(E2205)='IN-NX'!$J$5,'IN-NX'!$D$7=D2205),"x","")</f>
        <v/>
      </c>
      <c r="AB2205" s="84" t="str">
        <f>IF(AND(OR(LEFT(TH!N2205,2)="15",LEFT(TH!O2205,2)="15"),LEFT(TH!O2205,3)&lt;&gt;"111",'152-CT'!$J$8=TH!F2205),"x","")</f>
        <v/>
      </c>
      <c r="AC2205" s="84" t="str">
        <f>IF(AND(OR(LEFT(TH!N2205,2)="15",LEFT(TH!O2205,2)="15"),TK!$E$7=TH!F2205),"x","")</f>
        <v/>
      </c>
      <c r="AD2205" s="84" t="str">
        <f>IF(AND(N2205="1521",MONTH(C2205)='BK-NL'!$M$11),"x","")</f>
        <v/>
      </c>
    </row>
    <row r="2206" spans="1:30" s="351" customFormat="1" ht="15.75" hidden="1" customHeight="1">
      <c r="A2206" s="336" t="str">
        <f>IF(B2206&lt;&gt;"",IF(AND(B2206='IN-TC'!$S$4,OR(TH!N2206="1111",TH!O2206="1111")),TH!D2206,""),"")</f>
        <v/>
      </c>
      <c r="B2206" s="63" t="str">
        <f t="shared" si="288"/>
        <v/>
      </c>
      <c r="C2206" s="64"/>
      <c r="D2206" s="64"/>
      <c r="E2206" s="64"/>
      <c r="F2206" s="67"/>
      <c r="G2206" s="67"/>
      <c r="H2206" s="73"/>
      <c r="I2206" s="439"/>
      <c r="J2206" s="439"/>
      <c r="K2206" s="430"/>
      <c r="L2206" s="439"/>
      <c r="M2206" s="65"/>
      <c r="N2206" s="66"/>
      <c r="O2206" s="66"/>
      <c r="P2206" s="84" t="str">
        <f>IF(AND('331-CT'!$E$7=TH!H2206,OR(N2206="331",O2206="331")),"x","")</f>
        <v/>
      </c>
      <c r="Q2206" s="84" t="str">
        <f>IF(AND(B2206='111'!$L$11,OR($N2206=$Q$7,$O2206=$Q$7)),"x","")</f>
        <v/>
      </c>
      <c r="R2206" s="84" t="str">
        <f>IF(AND($N2206=$Q$7,$B2206&lt;'111'!$L$11),"x","")</f>
        <v/>
      </c>
      <c r="S2206" s="84" t="str">
        <f>IF(AND($O2206=$Q$7,$B2206&lt;'111'!$L$11),"x","")</f>
        <v/>
      </c>
      <c r="T2206" s="84" t="str">
        <f>IF(ISERROR(FIND('112'!$M$9,G2206,1)),"",IF((AND(FIND('112'!$M$9,G2206,1)&gt;=1,B2206='112'!$K$9,OR($N2206='112'!$I$6,$O2206='112'!$I$6))),"x",""))</f>
        <v/>
      </c>
      <c r="U2206" s="84" t="str">
        <f>IF(ISERROR(FIND('112'!$M$9,G2206,1)),"",IF((AND(LEFT(G2206,2)=LEFT('112'!$M$9,2),B2206&lt;'112'!$K$9,$N2206='112'!$I$6)),"x",""))</f>
        <v/>
      </c>
      <c r="V2206" s="84" t="str">
        <f>IF(ISERROR(FIND('112'!$M$9,G2206,1)),"",IF((AND(RIGHT(G2206,2)=RIGHT('112'!$M$9,2),B2206&lt;'112'!$K$9,$O2206='112'!$I$6)),"x",""))</f>
        <v/>
      </c>
      <c r="W2206" s="84" t="str">
        <f>IF(AND('341-CT'!$H$9=H2206,OR(LEFT(N2206,3)=$W$7,LEFT(O2206,3)=$W$7)),"x","")</f>
        <v/>
      </c>
      <c r="X2206" s="84" t="str">
        <f>IF(OR(TH!N2206=TH!$X$7,O2206=TH!$X$7),"x","")</f>
        <v/>
      </c>
      <c r="Y2206" s="84" t="str">
        <f>IF(AND(OR(N2206="131",O2206="131"),H2206='131-CT'!$H$9),"x","")</f>
        <v/>
      </c>
      <c r="Z2206" s="84"/>
      <c r="AA2206" s="84" t="str">
        <f>IF(AND(MONTH(E2206)='IN-NX'!$J$5,'IN-NX'!$D$7=D2206),"x","")</f>
        <v/>
      </c>
      <c r="AB2206" s="84" t="str">
        <f>IF(AND(OR(LEFT(TH!N2206,2)="15",LEFT(TH!O2206,2)="15"),LEFT(TH!O2206,3)&lt;&gt;"111",'152-CT'!$J$8=TH!F2206),"x","")</f>
        <v/>
      </c>
      <c r="AC2206" s="84" t="str">
        <f>IF(AND(OR(LEFT(TH!N2206,2)="15",LEFT(TH!O2206,2)="15"),TK!$E$7=TH!F2206),"x","")</f>
        <v/>
      </c>
      <c r="AD2206" s="84" t="str">
        <f>IF(AND(N2206="1521",MONTH(C2206)='BK-NL'!$M$11),"x","")</f>
        <v/>
      </c>
    </row>
    <row r="2207" spans="1:30" s="351" customFormat="1" ht="15.75" hidden="1" customHeight="1">
      <c r="A2207" s="336" t="str">
        <f>IF(B2207&lt;&gt;"",IF(AND(B2207='IN-TC'!$S$4,OR(TH!N2207="1111",TH!O2207="1111")),TH!D2207,""),"")</f>
        <v/>
      </c>
      <c r="B2207" s="63" t="str">
        <f t="shared" si="288"/>
        <v/>
      </c>
      <c r="C2207" s="64"/>
      <c r="D2207" s="64"/>
      <c r="E2207" s="64"/>
      <c r="F2207" s="67"/>
      <c r="G2207" s="67"/>
      <c r="H2207" s="73"/>
      <c r="I2207" s="439"/>
      <c r="J2207" s="439"/>
      <c r="K2207" s="430"/>
      <c r="L2207" s="439"/>
      <c r="M2207" s="65"/>
      <c r="N2207" s="66"/>
      <c r="O2207" s="66"/>
      <c r="P2207" s="84" t="str">
        <f>IF(AND('331-CT'!$E$7=TH!H2207,OR(N2207="331",O2207="331")),"x","")</f>
        <v/>
      </c>
      <c r="Q2207" s="84" t="str">
        <f>IF(AND(B2207='111'!$L$11,OR($N2207=$Q$7,$O2207=$Q$7)),"x","")</f>
        <v/>
      </c>
      <c r="R2207" s="84" t="str">
        <f>IF(AND($N2207=$Q$7,$B2207&lt;'111'!$L$11),"x","")</f>
        <v/>
      </c>
      <c r="S2207" s="84" t="str">
        <f>IF(AND($O2207=$Q$7,$B2207&lt;'111'!$L$11),"x","")</f>
        <v/>
      </c>
      <c r="T2207" s="84" t="str">
        <f>IF(ISERROR(FIND('112'!$M$9,G2207,1)),"",IF((AND(FIND('112'!$M$9,G2207,1)&gt;=1,B2207='112'!$K$9,OR($N2207='112'!$I$6,$O2207='112'!$I$6))),"x",""))</f>
        <v/>
      </c>
      <c r="U2207" s="84" t="str">
        <f>IF(ISERROR(FIND('112'!$M$9,G2207,1)),"",IF((AND(LEFT(G2207,2)=LEFT('112'!$M$9,2),B2207&lt;'112'!$K$9,$N2207='112'!$I$6)),"x",""))</f>
        <v/>
      </c>
      <c r="V2207" s="84" t="str">
        <f>IF(ISERROR(FIND('112'!$M$9,G2207,1)),"",IF((AND(RIGHT(G2207,2)=RIGHT('112'!$M$9,2),B2207&lt;'112'!$K$9,$O2207='112'!$I$6)),"x",""))</f>
        <v/>
      </c>
      <c r="W2207" s="84" t="str">
        <f>IF(AND('341-CT'!$H$9=H2207,OR(LEFT(N2207,3)=$W$7,LEFT(O2207,3)=$W$7)),"x","")</f>
        <v/>
      </c>
      <c r="X2207" s="84" t="str">
        <f>IF(OR(TH!N2207=TH!$X$7,O2207=TH!$X$7),"x","")</f>
        <v/>
      </c>
      <c r="Y2207" s="84" t="str">
        <f>IF(AND(OR(N2207="131",O2207="131"),H2207='131-CT'!$H$9),"x","")</f>
        <v/>
      </c>
      <c r="Z2207" s="84"/>
      <c r="AA2207" s="84" t="str">
        <f>IF(AND(MONTH(E2207)='IN-NX'!$J$5,'IN-NX'!$D$7=D2207),"x","")</f>
        <v/>
      </c>
      <c r="AB2207" s="84" t="str">
        <f>IF(AND(OR(LEFT(TH!N2207,2)="15",LEFT(TH!O2207,2)="15"),LEFT(TH!O2207,3)&lt;&gt;"111",'152-CT'!$J$8=TH!F2207),"x","")</f>
        <v/>
      </c>
      <c r="AC2207" s="84" t="str">
        <f>IF(AND(OR(LEFT(TH!N2207,2)="15",LEFT(TH!O2207,2)="15"),TK!$E$7=TH!F2207),"x","")</f>
        <v/>
      </c>
      <c r="AD2207" s="84" t="str">
        <f>IF(AND(N2207="1521",MONTH(C2207)='BK-NL'!$M$11),"x","")</f>
        <v/>
      </c>
    </row>
    <row r="2208" spans="1:30" s="351" customFormat="1" ht="15.75" hidden="1" customHeight="1">
      <c r="A2208" s="336" t="str">
        <f>IF(B2208&lt;&gt;"",IF(AND(B2208='IN-TC'!$S$4,OR(TH!N2208="1111",TH!O2208="1111")),TH!D2208,""),"")</f>
        <v/>
      </c>
      <c r="B2208" s="63" t="str">
        <f t="shared" si="288"/>
        <v/>
      </c>
      <c r="C2208" s="64"/>
      <c r="D2208" s="64"/>
      <c r="E2208" s="64"/>
      <c r="F2208" s="67"/>
      <c r="G2208" s="67"/>
      <c r="H2208" s="73"/>
      <c r="I2208" s="439"/>
      <c r="J2208" s="439"/>
      <c r="K2208" s="430"/>
      <c r="L2208" s="439"/>
      <c r="M2208" s="65"/>
      <c r="N2208" s="66"/>
      <c r="O2208" s="66"/>
      <c r="P2208" s="84" t="str">
        <f>IF(AND('331-CT'!$E$7=TH!H2208,OR(N2208="331",O2208="331")),"x","")</f>
        <v/>
      </c>
      <c r="Q2208" s="84" t="str">
        <f>IF(AND(B2208='111'!$L$11,OR($N2208=$Q$7,$O2208=$Q$7)),"x","")</f>
        <v/>
      </c>
      <c r="R2208" s="84" t="str">
        <f>IF(AND($N2208=$Q$7,$B2208&lt;'111'!$L$11),"x","")</f>
        <v/>
      </c>
      <c r="S2208" s="84" t="str">
        <f>IF(AND($O2208=$Q$7,$B2208&lt;'111'!$L$11),"x","")</f>
        <v/>
      </c>
      <c r="T2208" s="84" t="str">
        <f>IF(ISERROR(FIND('112'!$M$9,G2208,1)),"",IF((AND(FIND('112'!$M$9,G2208,1)&gt;=1,B2208='112'!$K$9,OR($N2208='112'!$I$6,$O2208='112'!$I$6))),"x",""))</f>
        <v/>
      </c>
      <c r="U2208" s="84" t="str">
        <f>IF(ISERROR(FIND('112'!$M$9,G2208,1)),"",IF((AND(LEFT(G2208,2)=LEFT('112'!$M$9,2),B2208&lt;'112'!$K$9,$N2208='112'!$I$6)),"x",""))</f>
        <v/>
      </c>
      <c r="V2208" s="84" t="str">
        <f>IF(ISERROR(FIND('112'!$M$9,G2208,1)),"",IF((AND(RIGHT(G2208,2)=RIGHT('112'!$M$9,2),B2208&lt;'112'!$K$9,$O2208='112'!$I$6)),"x",""))</f>
        <v/>
      </c>
      <c r="W2208" s="84" t="str">
        <f>IF(AND('341-CT'!$H$9=H2208,OR(LEFT(N2208,3)=$W$7,LEFT(O2208,3)=$W$7)),"x","")</f>
        <v/>
      </c>
      <c r="X2208" s="84" t="str">
        <f>IF(OR(TH!N2208=TH!$X$7,O2208=TH!$X$7),"x","")</f>
        <v/>
      </c>
      <c r="Y2208" s="84" t="str">
        <f>IF(AND(OR(N2208="131",O2208="131"),H2208='131-CT'!$H$9),"x","")</f>
        <v/>
      </c>
      <c r="Z2208" s="84"/>
      <c r="AA2208" s="84" t="str">
        <f>IF(AND(MONTH(E2208)='IN-NX'!$J$5,'IN-NX'!$D$7=D2208),"x","")</f>
        <v/>
      </c>
      <c r="AB2208" s="84" t="str">
        <f>IF(AND(OR(LEFT(TH!N2208,2)="15",LEFT(TH!O2208,2)="15"),LEFT(TH!O2208,3)&lt;&gt;"111",'152-CT'!$J$8=TH!F2208),"x","")</f>
        <v/>
      </c>
      <c r="AC2208" s="84" t="str">
        <f>IF(AND(OR(LEFT(TH!N2208,2)="15",LEFT(TH!O2208,2)="15"),TK!$E$7=TH!F2208),"x","")</f>
        <v/>
      </c>
      <c r="AD2208" s="84" t="str">
        <f>IF(AND(N2208="1521",MONTH(C2208)='BK-NL'!$M$11),"x","")</f>
        <v/>
      </c>
    </row>
    <row r="2209" spans="1:30" s="351" customFormat="1" ht="15.75" hidden="1" customHeight="1">
      <c r="A2209" s="336" t="str">
        <f>IF(B2209&lt;&gt;"",IF(AND(B2209='IN-TC'!$S$4,OR(TH!N2209="1111",TH!O2209="1111")),TH!D2209,""),"")</f>
        <v/>
      </c>
      <c r="B2209" s="63" t="str">
        <f t="shared" si="288"/>
        <v/>
      </c>
      <c r="C2209" s="64"/>
      <c r="D2209" s="64"/>
      <c r="E2209" s="64"/>
      <c r="F2209" s="67"/>
      <c r="G2209" s="67"/>
      <c r="H2209" s="73"/>
      <c r="I2209" s="439"/>
      <c r="J2209" s="439"/>
      <c r="K2209" s="430"/>
      <c r="L2209" s="439"/>
      <c r="M2209" s="65"/>
      <c r="N2209" s="66"/>
      <c r="O2209" s="66"/>
      <c r="P2209" s="84" t="str">
        <f>IF(AND('331-CT'!$E$7=TH!H2209,OR(N2209="331",O2209="331")),"x","")</f>
        <v/>
      </c>
      <c r="Q2209" s="84" t="str">
        <f>IF(AND(B2209='111'!$L$11,OR($N2209=$Q$7,$O2209=$Q$7)),"x","")</f>
        <v/>
      </c>
      <c r="R2209" s="84" t="str">
        <f>IF(AND($N2209=$Q$7,$B2209&lt;'111'!$L$11),"x","")</f>
        <v/>
      </c>
      <c r="S2209" s="84" t="str">
        <f>IF(AND($O2209=$Q$7,$B2209&lt;'111'!$L$11),"x","")</f>
        <v/>
      </c>
      <c r="T2209" s="84" t="str">
        <f>IF(ISERROR(FIND('112'!$M$9,G2209,1)),"",IF((AND(FIND('112'!$M$9,G2209,1)&gt;=1,B2209='112'!$K$9,OR($N2209='112'!$I$6,$O2209='112'!$I$6))),"x",""))</f>
        <v/>
      </c>
      <c r="U2209" s="84" t="str">
        <f>IF(ISERROR(FIND('112'!$M$9,G2209,1)),"",IF((AND(LEFT(G2209,2)=LEFT('112'!$M$9,2),B2209&lt;'112'!$K$9,$N2209='112'!$I$6)),"x",""))</f>
        <v/>
      </c>
      <c r="V2209" s="84" t="str">
        <f>IF(ISERROR(FIND('112'!$M$9,G2209,1)),"",IF((AND(RIGHT(G2209,2)=RIGHT('112'!$M$9,2),B2209&lt;'112'!$K$9,$O2209='112'!$I$6)),"x",""))</f>
        <v/>
      </c>
      <c r="W2209" s="84" t="str">
        <f>IF(AND('341-CT'!$H$9=H2209,OR(LEFT(N2209,3)=$W$7,LEFT(O2209,3)=$W$7)),"x","")</f>
        <v/>
      </c>
      <c r="X2209" s="84" t="str">
        <f>IF(OR(TH!N2209=TH!$X$7,O2209=TH!$X$7),"x","")</f>
        <v/>
      </c>
      <c r="Y2209" s="84" t="str">
        <f>IF(AND(OR(N2209="131",O2209="131"),H2209='131-CT'!$H$9),"x","")</f>
        <v/>
      </c>
      <c r="Z2209" s="84"/>
      <c r="AA2209" s="84" t="str">
        <f>IF(AND(MONTH(E2209)='IN-NX'!$J$5,'IN-NX'!$D$7=D2209),"x","")</f>
        <v/>
      </c>
      <c r="AB2209" s="84" t="str">
        <f>IF(AND(OR(LEFT(TH!N2209,2)="15",LEFT(TH!O2209,2)="15"),LEFT(TH!O2209,3)&lt;&gt;"111",'152-CT'!$J$8=TH!F2209),"x","")</f>
        <v/>
      </c>
      <c r="AC2209" s="84" t="str">
        <f>IF(AND(OR(LEFT(TH!N2209,2)="15",LEFT(TH!O2209,2)="15"),TK!$E$7=TH!F2209),"x","")</f>
        <v/>
      </c>
      <c r="AD2209" s="84" t="str">
        <f>IF(AND(N2209="1521",MONTH(C2209)='BK-NL'!$M$11),"x","")</f>
        <v/>
      </c>
    </row>
    <row r="2210" spans="1:30" s="351" customFormat="1" ht="15.75" hidden="1" customHeight="1">
      <c r="A2210" s="336" t="str">
        <f>IF(B2210&lt;&gt;"",IF(AND(B2210='IN-TC'!$S$4,OR(TH!N2210="1111",TH!O2210="1111")),TH!D2210,""),"")</f>
        <v/>
      </c>
      <c r="B2210" s="63" t="str">
        <f t="shared" si="288"/>
        <v/>
      </c>
      <c r="C2210" s="64"/>
      <c r="D2210" s="64"/>
      <c r="E2210" s="64"/>
      <c r="F2210" s="67"/>
      <c r="G2210" s="67"/>
      <c r="H2210" s="73"/>
      <c r="I2210" s="439"/>
      <c r="J2210" s="439"/>
      <c r="K2210" s="430"/>
      <c r="L2210" s="439"/>
      <c r="M2210" s="65"/>
      <c r="N2210" s="66"/>
      <c r="O2210" s="66"/>
      <c r="P2210" s="84" t="str">
        <f>IF(AND('331-CT'!$E$7=TH!H2210,OR(N2210="331",O2210="331")),"x","")</f>
        <v/>
      </c>
      <c r="Q2210" s="84" t="str">
        <f>IF(AND(B2210='111'!$L$11,OR($N2210=$Q$7,$O2210=$Q$7)),"x","")</f>
        <v/>
      </c>
      <c r="R2210" s="84" t="str">
        <f>IF(AND($N2210=$Q$7,$B2210&lt;'111'!$L$11),"x","")</f>
        <v/>
      </c>
      <c r="S2210" s="84" t="str">
        <f>IF(AND($O2210=$Q$7,$B2210&lt;'111'!$L$11),"x","")</f>
        <v/>
      </c>
      <c r="T2210" s="84" t="str">
        <f>IF(ISERROR(FIND('112'!$M$9,G2210,1)),"",IF((AND(FIND('112'!$M$9,G2210,1)&gt;=1,B2210='112'!$K$9,OR($N2210='112'!$I$6,$O2210='112'!$I$6))),"x",""))</f>
        <v/>
      </c>
      <c r="U2210" s="84" t="str">
        <f>IF(ISERROR(FIND('112'!$M$9,G2210,1)),"",IF((AND(LEFT(G2210,2)=LEFT('112'!$M$9,2),B2210&lt;'112'!$K$9,$N2210='112'!$I$6)),"x",""))</f>
        <v/>
      </c>
      <c r="V2210" s="84" t="str">
        <f>IF(ISERROR(FIND('112'!$M$9,G2210,1)),"",IF((AND(RIGHT(G2210,2)=RIGHT('112'!$M$9,2),B2210&lt;'112'!$K$9,$O2210='112'!$I$6)),"x",""))</f>
        <v/>
      </c>
      <c r="W2210" s="84" t="str">
        <f>IF(AND('341-CT'!$H$9=H2210,OR(LEFT(N2210,3)=$W$7,LEFT(O2210,3)=$W$7)),"x","")</f>
        <v/>
      </c>
      <c r="X2210" s="84" t="str">
        <f>IF(OR(TH!N2210=TH!$X$7,O2210=TH!$X$7),"x","")</f>
        <v/>
      </c>
      <c r="Y2210" s="84" t="str">
        <f>IF(AND(OR(N2210="131",O2210="131"),H2210='131-CT'!$H$9),"x","")</f>
        <v/>
      </c>
      <c r="Z2210" s="84"/>
      <c r="AA2210" s="84" t="str">
        <f>IF(AND(MONTH(E2210)='IN-NX'!$J$5,'IN-NX'!$D$7=D2210),"x","")</f>
        <v/>
      </c>
      <c r="AB2210" s="84" t="str">
        <f>IF(AND(OR(LEFT(TH!N2210,2)="15",LEFT(TH!O2210,2)="15"),LEFT(TH!O2210,3)&lt;&gt;"111",'152-CT'!$J$8=TH!F2210),"x","")</f>
        <v/>
      </c>
      <c r="AC2210" s="84" t="str">
        <f>IF(AND(OR(LEFT(TH!N2210,2)="15",LEFT(TH!O2210,2)="15"),TK!$E$7=TH!F2210),"x","")</f>
        <v/>
      </c>
      <c r="AD2210" s="84" t="str">
        <f>IF(AND(N2210="1521",MONTH(C2210)='BK-NL'!$M$11),"x","")</f>
        <v/>
      </c>
    </row>
    <row r="2211" spans="1:30" s="351" customFormat="1" ht="15.75" hidden="1" customHeight="1">
      <c r="A2211" s="336" t="str">
        <f>IF(B2211&lt;&gt;"",IF(AND(B2211='IN-TC'!$S$4,OR(TH!N2211="1111",TH!O2211="1111")),TH!D2211,""),"")</f>
        <v/>
      </c>
      <c r="B2211" s="63" t="str">
        <f t="shared" si="288"/>
        <v/>
      </c>
      <c r="C2211" s="64"/>
      <c r="D2211" s="64"/>
      <c r="E2211" s="64"/>
      <c r="F2211" s="67"/>
      <c r="G2211" s="67"/>
      <c r="H2211" s="73"/>
      <c r="I2211" s="439"/>
      <c r="J2211" s="439"/>
      <c r="K2211" s="430"/>
      <c r="L2211" s="439"/>
      <c r="M2211" s="65"/>
      <c r="N2211" s="66"/>
      <c r="O2211" s="66"/>
      <c r="P2211" s="84" t="str">
        <f>IF(AND('331-CT'!$E$7=TH!H2211,OR(N2211="331",O2211="331")),"x","")</f>
        <v/>
      </c>
      <c r="Q2211" s="84" t="str">
        <f>IF(AND(B2211='111'!$L$11,OR($N2211=$Q$7,$O2211=$Q$7)),"x","")</f>
        <v/>
      </c>
      <c r="R2211" s="84" t="str">
        <f>IF(AND($N2211=$Q$7,$B2211&lt;'111'!$L$11),"x","")</f>
        <v/>
      </c>
      <c r="S2211" s="84" t="str">
        <f>IF(AND($O2211=$Q$7,$B2211&lt;'111'!$L$11),"x","")</f>
        <v/>
      </c>
      <c r="T2211" s="84" t="str">
        <f>IF(ISERROR(FIND('112'!$M$9,G2211,1)),"",IF((AND(FIND('112'!$M$9,G2211,1)&gt;=1,B2211='112'!$K$9,OR($N2211='112'!$I$6,$O2211='112'!$I$6))),"x",""))</f>
        <v/>
      </c>
      <c r="U2211" s="84" t="str">
        <f>IF(ISERROR(FIND('112'!$M$9,G2211,1)),"",IF((AND(LEFT(G2211,2)=LEFT('112'!$M$9,2),B2211&lt;'112'!$K$9,$N2211='112'!$I$6)),"x",""))</f>
        <v/>
      </c>
      <c r="V2211" s="84" t="str">
        <f>IF(ISERROR(FIND('112'!$M$9,G2211,1)),"",IF((AND(RIGHT(G2211,2)=RIGHT('112'!$M$9,2),B2211&lt;'112'!$K$9,$O2211='112'!$I$6)),"x",""))</f>
        <v/>
      </c>
      <c r="W2211" s="84" t="str">
        <f>IF(AND('341-CT'!$H$9=H2211,OR(LEFT(N2211,3)=$W$7,LEFT(O2211,3)=$W$7)),"x","")</f>
        <v/>
      </c>
      <c r="X2211" s="84" t="str">
        <f>IF(OR(TH!N2211=TH!$X$7,O2211=TH!$X$7),"x","")</f>
        <v/>
      </c>
      <c r="Y2211" s="84" t="str">
        <f>IF(AND(OR(N2211="131",O2211="131"),H2211='131-CT'!$H$9),"x","")</f>
        <v/>
      </c>
      <c r="Z2211" s="84"/>
      <c r="AA2211" s="84" t="str">
        <f>IF(AND(MONTH(E2211)='IN-NX'!$J$5,'IN-NX'!$D$7=D2211),"x","")</f>
        <v/>
      </c>
      <c r="AB2211" s="84" t="str">
        <f>IF(AND(OR(LEFT(TH!N2211,2)="15",LEFT(TH!O2211,2)="15"),LEFT(TH!O2211,3)&lt;&gt;"111",'152-CT'!$J$8=TH!F2211),"x","")</f>
        <v/>
      </c>
      <c r="AC2211" s="84" t="str">
        <f>IF(AND(OR(LEFT(TH!N2211,2)="15",LEFT(TH!O2211,2)="15"),TK!$E$7=TH!F2211),"x","")</f>
        <v/>
      </c>
      <c r="AD2211" s="84" t="str">
        <f>IF(AND(N2211="1521",MONTH(C2211)='BK-NL'!$M$11),"x","")</f>
        <v/>
      </c>
    </row>
    <row r="2212" spans="1:30" s="351" customFormat="1" ht="15.75" hidden="1" customHeight="1">
      <c r="A2212" s="336" t="str">
        <f>IF(B2212&lt;&gt;"",IF(AND(B2212='IN-TC'!$S$4,OR(TH!N2212="1111",TH!O2212="1111")),TH!D2212,""),"")</f>
        <v/>
      </c>
      <c r="B2212" s="63" t="str">
        <f t="shared" si="288"/>
        <v/>
      </c>
      <c r="C2212" s="64"/>
      <c r="D2212" s="64"/>
      <c r="E2212" s="64"/>
      <c r="F2212" s="67"/>
      <c r="G2212" s="67"/>
      <c r="H2212" s="73"/>
      <c r="I2212" s="439"/>
      <c r="J2212" s="439"/>
      <c r="K2212" s="430"/>
      <c r="L2212" s="439"/>
      <c r="M2212" s="65"/>
      <c r="N2212" s="66"/>
      <c r="O2212" s="66"/>
      <c r="P2212" s="84" t="str">
        <f>IF(AND('331-CT'!$E$7=TH!H2212,OR(N2212="331",O2212="331")),"x","")</f>
        <v/>
      </c>
      <c r="Q2212" s="84" t="str">
        <f>IF(AND(B2212='111'!$L$11,OR($N2212=$Q$7,$O2212=$Q$7)),"x","")</f>
        <v/>
      </c>
      <c r="R2212" s="84" t="str">
        <f>IF(AND($N2212=$Q$7,$B2212&lt;'111'!$L$11),"x","")</f>
        <v/>
      </c>
      <c r="S2212" s="84" t="str">
        <f>IF(AND($O2212=$Q$7,$B2212&lt;'111'!$L$11),"x","")</f>
        <v/>
      </c>
      <c r="T2212" s="84" t="str">
        <f>IF(ISERROR(FIND('112'!$M$9,G2212,1)),"",IF((AND(FIND('112'!$M$9,G2212,1)&gt;=1,B2212='112'!$K$9,OR($N2212='112'!$I$6,$O2212='112'!$I$6))),"x",""))</f>
        <v/>
      </c>
      <c r="U2212" s="84" t="str">
        <f>IF(ISERROR(FIND('112'!$M$9,G2212,1)),"",IF((AND(LEFT(G2212,2)=LEFT('112'!$M$9,2),B2212&lt;'112'!$K$9,$N2212='112'!$I$6)),"x",""))</f>
        <v/>
      </c>
      <c r="V2212" s="84" t="str">
        <f>IF(ISERROR(FIND('112'!$M$9,G2212,1)),"",IF((AND(RIGHT(G2212,2)=RIGHT('112'!$M$9,2),B2212&lt;'112'!$K$9,$O2212='112'!$I$6)),"x",""))</f>
        <v/>
      </c>
      <c r="W2212" s="84" t="str">
        <f>IF(AND('341-CT'!$H$9=H2212,OR(LEFT(N2212,3)=$W$7,LEFT(O2212,3)=$W$7)),"x","")</f>
        <v/>
      </c>
      <c r="X2212" s="84" t="str">
        <f>IF(OR(TH!N2212=TH!$X$7,O2212=TH!$X$7),"x","")</f>
        <v/>
      </c>
      <c r="Y2212" s="84" t="str">
        <f>IF(AND(OR(N2212="131",O2212="131"),H2212='131-CT'!$H$9),"x","")</f>
        <v/>
      </c>
      <c r="Z2212" s="84"/>
      <c r="AA2212" s="84" t="str">
        <f>IF(AND(MONTH(E2212)='IN-NX'!$J$5,'IN-NX'!$D$7=D2212),"x","")</f>
        <v/>
      </c>
      <c r="AB2212" s="84" t="str">
        <f>IF(AND(OR(LEFT(TH!N2212,2)="15",LEFT(TH!O2212,2)="15"),LEFT(TH!O2212,3)&lt;&gt;"111",'152-CT'!$J$8=TH!F2212),"x","")</f>
        <v/>
      </c>
      <c r="AC2212" s="84" t="str">
        <f>IF(AND(OR(LEFT(TH!N2212,2)="15",LEFT(TH!O2212,2)="15"),TK!$E$7=TH!F2212),"x","")</f>
        <v/>
      </c>
      <c r="AD2212" s="84" t="str">
        <f>IF(AND(N2212="1521",MONTH(C2212)='BK-NL'!$M$11),"x","")</f>
        <v/>
      </c>
    </row>
    <row r="2213" spans="1:30" s="351" customFormat="1" ht="15.75" hidden="1" customHeight="1">
      <c r="A2213" s="336" t="str">
        <f>IF(B2213&lt;&gt;"",IF(AND(B2213='IN-TC'!$S$4,OR(TH!N2213="1111",TH!O2213="1111")),TH!D2213,""),"")</f>
        <v/>
      </c>
      <c r="B2213" s="63" t="str">
        <f t="shared" si="288"/>
        <v/>
      </c>
      <c r="C2213" s="64"/>
      <c r="D2213" s="64"/>
      <c r="E2213" s="64"/>
      <c r="F2213" s="67"/>
      <c r="G2213" s="67"/>
      <c r="H2213" s="73"/>
      <c r="I2213" s="439"/>
      <c r="J2213" s="439"/>
      <c r="K2213" s="430"/>
      <c r="L2213" s="439"/>
      <c r="M2213" s="65"/>
      <c r="N2213" s="66"/>
      <c r="O2213" s="66"/>
      <c r="P2213" s="84" t="str">
        <f>IF(AND('331-CT'!$E$7=TH!H2213,OR(N2213="331",O2213="331")),"x","")</f>
        <v/>
      </c>
      <c r="Q2213" s="84" t="str">
        <f>IF(AND(B2213='111'!$L$11,OR($N2213=$Q$7,$O2213=$Q$7)),"x","")</f>
        <v/>
      </c>
      <c r="R2213" s="84" t="str">
        <f>IF(AND($N2213=$Q$7,$B2213&lt;'111'!$L$11),"x","")</f>
        <v/>
      </c>
      <c r="S2213" s="84" t="str">
        <f>IF(AND($O2213=$Q$7,$B2213&lt;'111'!$L$11),"x","")</f>
        <v/>
      </c>
      <c r="T2213" s="84" t="str">
        <f>IF(ISERROR(FIND('112'!$M$9,G2213,1)),"",IF((AND(FIND('112'!$M$9,G2213,1)&gt;=1,B2213='112'!$K$9,OR($N2213='112'!$I$6,$O2213='112'!$I$6))),"x",""))</f>
        <v/>
      </c>
      <c r="U2213" s="84" t="str">
        <f>IF(ISERROR(FIND('112'!$M$9,G2213,1)),"",IF((AND(LEFT(G2213,2)=LEFT('112'!$M$9,2),B2213&lt;'112'!$K$9,$N2213='112'!$I$6)),"x",""))</f>
        <v/>
      </c>
      <c r="V2213" s="84" t="str">
        <f>IF(ISERROR(FIND('112'!$M$9,G2213,1)),"",IF((AND(RIGHT(G2213,2)=RIGHT('112'!$M$9,2),B2213&lt;'112'!$K$9,$O2213='112'!$I$6)),"x",""))</f>
        <v/>
      </c>
      <c r="W2213" s="84" t="str">
        <f>IF(AND('341-CT'!$H$9=H2213,OR(LEFT(N2213,3)=$W$7,LEFT(O2213,3)=$W$7)),"x","")</f>
        <v/>
      </c>
      <c r="X2213" s="84" t="str">
        <f>IF(OR(TH!N2213=TH!$X$7,O2213=TH!$X$7),"x","")</f>
        <v/>
      </c>
      <c r="Y2213" s="84" t="str">
        <f>IF(AND(OR(N2213="131",O2213="131"),H2213='131-CT'!$H$9),"x","")</f>
        <v/>
      </c>
      <c r="Z2213" s="84"/>
      <c r="AA2213" s="84" t="str">
        <f>IF(AND(MONTH(E2213)='IN-NX'!$J$5,'IN-NX'!$D$7=D2213),"x","")</f>
        <v/>
      </c>
      <c r="AB2213" s="84" t="str">
        <f>IF(AND(OR(LEFT(TH!N2213,2)="15",LEFT(TH!O2213,2)="15"),LEFT(TH!O2213,3)&lt;&gt;"111",'152-CT'!$J$8=TH!F2213),"x","")</f>
        <v/>
      </c>
      <c r="AC2213" s="84" t="str">
        <f>IF(AND(OR(LEFT(TH!N2213,2)="15",LEFT(TH!O2213,2)="15"),TK!$E$7=TH!F2213),"x","")</f>
        <v/>
      </c>
      <c r="AD2213" s="84" t="str">
        <f>IF(AND(N2213="1521",MONTH(C2213)='BK-NL'!$M$11),"x","")</f>
        <v/>
      </c>
    </row>
    <row r="2214" spans="1:30" s="351" customFormat="1" ht="15.75" hidden="1" customHeight="1">
      <c r="A2214" s="336" t="str">
        <f>IF(B2214&lt;&gt;"",IF(AND(B2214='IN-TC'!$S$4,OR(TH!N2214="1111",TH!O2214="1111")),TH!D2214,""),"")</f>
        <v/>
      </c>
      <c r="B2214" s="63" t="str">
        <f t="shared" si="288"/>
        <v/>
      </c>
      <c r="C2214" s="64"/>
      <c r="D2214" s="64"/>
      <c r="E2214" s="64"/>
      <c r="F2214" s="67"/>
      <c r="G2214" s="67"/>
      <c r="H2214" s="73"/>
      <c r="I2214" s="439"/>
      <c r="J2214" s="439"/>
      <c r="K2214" s="430"/>
      <c r="L2214" s="439"/>
      <c r="M2214" s="65"/>
      <c r="N2214" s="66"/>
      <c r="O2214" s="66"/>
      <c r="P2214" s="84" t="str">
        <f>IF(AND('331-CT'!$E$7=TH!H2214,OR(N2214="331",O2214="331")),"x","")</f>
        <v/>
      </c>
      <c r="Q2214" s="84" t="str">
        <f>IF(AND(B2214='111'!$L$11,OR($N2214=$Q$7,$O2214=$Q$7)),"x","")</f>
        <v/>
      </c>
      <c r="R2214" s="84" t="str">
        <f>IF(AND($N2214=$Q$7,$B2214&lt;'111'!$L$11),"x","")</f>
        <v/>
      </c>
      <c r="S2214" s="84" t="str">
        <f>IF(AND($O2214=$Q$7,$B2214&lt;'111'!$L$11),"x","")</f>
        <v/>
      </c>
      <c r="T2214" s="84" t="str">
        <f>IF(ISERROR(FIND('112'!$M$9,G2214,1)),"",IF((AND(FIND('112'!$M$9,G2214,1)&gt;=1,B2214='112'!$K$9,OR($N2214='112'!$I$6,$O2214='112'!$I$6))),"x",""))</f>
        <v/>
      </c>
      <c r="U2214" s="84" t="str">
        <f>IF(ISERROR(FIND('112'!$M$9,G2214,1)),"",IF((AND(LEFT(G2214,2)=LEFT('112'!$M$9,2),B2214&lt;'112'!$K$9,$N2214='112'!$I$6)),"x",""))</f>
        <v/>
      </c>
      <c r="V2214" s="84" t="str">
        <f>IF(ISERROR(FIND('112'!$M$9,G2214,1)),"",IF((AND(RIGHT(G2214,2)=RIGHT('112'!$M$9,2),B2214&lt;'112'!$K$9,$O2214='112'!$I$6)),"x",""))</f>
        <v/>
      </c>
      <c r="W2214" s="84" t="str">
        <f>IF(AND('341-CT'!$H$9=H2214,OR(LEFT(N2214,3)=$W$7,LEFT(O2214,3)=$W$7)),"x","")</f>
        <v/>
      </c>
      <c r="X2214" s="84" t="str">
        <f>IF(OR(TH!N2214=TH!$X$7,O2214=TH!$X$7),"x","")</f>
        <v/>
      </c>
      <c r="Y2214" s="84" t="str">
        <f>IF(AND(OR(N2214="131",O2214="131"),H2214='131-CT'!$H$9),"x","")</f>
        <v/>
      </c>
      <c r="Z2214" s="84"/>
      <c r="AA2214" s="84" t="str">
        <f>IF(AND(MONTH(E2214)='IN-NX'!$J$5,'IN-NX'!$D$7=D2214),"x","")</f>
        <v/>
      </c>
      <c r="AB2214" s="84" t="str">
        <f>IF(AND(OR(LEFT(TH!N2214,2)="15",LEFT(TH!O2214,2)="15"),LEFT(TH!O2214,3)&lt;&gt;"111",'152-CT'!$J$8=TH!F2214),"x","")</f>
        <v/>
      </c>
      <c r="AC2214" s="84" t="str">
        <f>IF(AND(OR(LEFT(TH!N2214,2)="15",LEFT(TH!O2214,2)="15"),TK!$E$7=TH!F2214),"x","")</f>
        <v/>
      </c>
      <c r="AD2214" s="84" t="str">
        <f>IF(AND(N2214="1521",MONTH(C2214)='BK-NL'!$M$11),"x","")</f>
        <v/>
      </c>
    </row>
    <row r="2215" spans="1:30" s="351" customFormat="1" ht="15.75" hidden="1" customHeight="1">
      <c r="A2215" s="336" t="str">
        <f>IF(B2215&lt;&gt;"",IF(AND(B2215='IN-TC'!$S$4,OR(TH!N2215="1111",TH!O2215="1111")),TH!D2215,""),"")</f>
        <v/>
      </c>
      <c r="B2215" s="63" t="str">
        <f t="shared" si="288"/>
        <v/>
      </c>
      <c r="C2215" s="64"/>
      <c r="D2215" s="64"/>
      <c r="E2215" s="64"/>
      <c r="F2215" s="67"/>
      <c r="G2215" s="67"/>
      <c r="H2215" s="73"/>
      <c r="I2215" s="439"/>
      <c r="J2215" s="439"/>
      <c r="K2215" s="430"/>
      <c r="L2215" s="439"/>
      <c r="M2215" s="65"/>
      <c r="N2215" s="66"/>
      <c r="O2215" s="66"/>
      <c r="P2215" s="84" t="str">
        <f>IF(AND('331-CT'!$E$7=TH!H2215,OR(N2215="331",O2215="331")),"x","")</f>
        <v/>
      </c>
      <c r="Q2215" s="84" t="str">
        <f>IF(AND(B2215='111'!$L$11,OR($N2215=$Q$7,$O2215=$Q$7)),"x","")</f>
        <v/>
      </c>
      <c r="R2215" s="84" t="str">
        <f>IF(AND($N2215=$Q$7,$B2215&lt;'111'!$L$11),"x","")</f>
        <v/>
      </c>
      <c r="S2215" s="84" t="str">
        <f>IF(AND($O2215=$Q$7,$B2215&lt;'111'!$L$11),"x","")</f>
        <v/>
      </c>
      <c r="T2215" s="84" t="str">
        <f>IF(ISERROR(FIND('112'!$M$9,G2215,1)),"",IF((AND(FIND('112'!$M$9,G2215,1)&gt;=1,B2215='112'!$K$9,OR($N2215='112'!$I$6,$O2215='112'!$I$6))),"x",""))</f>
        <v/>
      </c>
      <c r="U2215" s="84" t="str">
        <f>IF(ISERROR(FIND('112'!$M$9,G2215,1)),"",IF((AND(LEFT(G2215,2)=LEFT('112'!$M$9,2),B2215&lt;'112'!$K$9,$N2215='112'!$I$6)),"x",""))</f>
        <v/>
      </c>
      <c r="V2215" s="84" t="str">
        <f>IF(ISERROR(FIND('112'!$M$9,G2215,1)),"",IF((AND(RIGHT(G2215,2)=RIGHT('112'!$M$9,2),B2215&lt;'112'!$K$9,$O2215='112'!$I$6)),"x",""))</f>
        <v/>
      </c>
      <c r="W2215" s="84" t="str">
        <f>IF(AND('341-CT'!$H$9=H2215,OR(LEFT(N2215,3)=$W$7,LEFT(O2215,3)=$W$7)),"x","")</f>
        <v/>
      </c>
      <c r="X2215" s="84" t="str">
        <f>IF(OR(TH!N2215=TH!$X$7,O2215=TH!$X$7),"x","")</f>
        <v/>
      </c>
      <c r="Y2215" s="84" t="str">
        <f>IF(AND(OR(N2215="131",O2215="131"),H2215='131-CT'!$H$9),"x","")</f>
        <v/>
      </c>
      <c r="Z2215" s="84"/>
      <c r="AA2215" s="84" t="str">
        <f>IF(AND(MONTH(E2215)='IN-NX'!$J$5,'IN-NX'!$D$7=D2215),"x","")</f>
        <v/>
      </c>
      <c r="AB2215" s="84" t="str">
        <f>IF(AND(OR(LEFT(TH!N2215,2)="15",LEFT(TH!O2215,2)="15"),LEFT(TH!O2215,3)&lt;&gt;"111",'152-CT'!$J$8=TH!F2215),"x","")</f>
        <v/>
      </c>
      <c r="AC2215" s="84" t="str">
        <f>IF(AND(OR(LEFT(TH!N2215,2)="15",LEFT(TH!O2215,2)="15"),TK!$E$7=TH!F2215),"x","")</f>
        <v/>
      </c>
      <c r="AD2215" s="84" t="str">
        <f>IF(AND(N2215="1521",MONTH(C2215)='BK-NL'!$M$11),"x","")</f>
        <v/>
      </c>
    </row>
    <row r="2216" spans="1:30" s="351" customFormat="1" ht="15.75" hidden="1" customHeight="1">
      <c r="A2216" s="336" t="str">
        <f>IF(B2216&lt;&gt;"",IF(AND(B2216='IN-TC'!$S$4,OR(TH!N2216="1111",TH!O2216="1111")),TH!D2216,""),"")</f>
        <v/>
      </c>
      <c r="B2216" s="63" t="str">
        <f t="shared" si="288"/>
        <v/>
      </c>
      <c r="C2216" s="64"/>
      <c r="D2216" s="64"/>
      <c r="E2216" s="64"/>
      <c r="F2216" s="67"/>
      <c r="G2216" s="67"/>
      <c r="H2216" s="73"/>
      <c r="I2216" s="439"/>
      <c r="J2216" s="439"/>
      <c r="K2216" s="430"/>
      <c r="L2216" s="439"/>
      <c r="M2216" s="65"/>
      <c r="N2216" s="66"/>
      <c r="O2216" s="66"/>
      <c r="P2216" s="84" t="str">
        <f>IF(AND('331-CT'!$E$7=TH!H2216,OR(N2216="331",O2216="331")),"x","")</f>
        <v/>
      </c>
      <c r="Q2216" s="84" t="str">
        <f>IF(AND(B2216='111'!$L$11,OR($N2216=$Q$7,$O2216=$Q$7)),"x","")</f>
        <v/>
      </c>
      <c r="R2216" s="84" t="str">
        <f>IF(AND($N2216=$Q$7,$B2216&lt;'111'!$L$11),"x","")</f>
        <v/>
      </c>
      <c r="S2216" s="84" t="str">
        <f>IF(AND($O2216=$Q$7,$B2216&lt;'111'!$L$11),"x","")</f>
        <v/>
      </c>
      <c r="T2216" s="84" t="str">
        <f>IF(ISERROR(FIND('112'!$M$9,G2216,1)),"",IF((AND(FIND('112'!$M$9,G2216,1)&gt;=1,B2216='112'!$K$9,OR($N2216='112'!$I$6,$O2216='112'!$I$6))),"x",""))</f>
        <v/>
      </c>
      <c r="U2216" s="84" t="str">
        <f>IF(ISERROR(FIND('112'!$M$9,G2216,1)),"",IF((AND(LEFT(G2216,2)=LEFT('112'!$M$9,2),B2216&lt;'112'!$K$9,$N2216='112'!$I$6)),"x",""))</f>
        <v/>
      </c>
      <c r="V2216" s="84" t="str">
        <f>IF(ISERROR(FIND('112'!$M$9,G2216,1)),"",IF((AND(RIGHT(G2216,2)=RIGHT('112'!$M$9,2),B2216&lt;'112'!$K$9,$O2216='112'!$I$6)),"x",""))</f>
        <v/>
      </c>
      <c r="W2216" s="84" t="str">
        <f>IF(AND('341-CT'!$H$9=H2216,OR(LEFT(N2216,3)=$W$7,LEFT(O2216,3)=$W$7)),"x","")</f>
        <v/>
      </c>
      <c r="X2216" s="84" t="str">
        <f>IF(OR(TH!N2216=TH!$X$7,O2216=TH!$X$7),"x","")</f>
        <v/>
      </c>
      <c r="Y2216" s="84" t="str">
        <f>IF(AND(OR(N2216="131",O2216="131"),H2216='131-CT'!$H$9),"x","")</f>
        <v/>
      </c>
      <c r="Z2216" s="84"/>
      <c r="AA2216" s="84" t="str">
        <f>IF(AND(MONTH(E2216)='IN-NX'!$J$5,'IN-NX'!$D$7=D2216),"x","")</f>
        <v/>
      </c>
      <c r="AB2216" s="84" t="str">
        <f>IF(AND(OR(LEFT(TH!N2216,2)="15",LEFT(TH!O2216,2)="15"),LEFT(TH!O2216,3)&lt;&gt;"111",'152-CT'!$J$8=TH!F2216),"x","")</f>
        <v/>
      </c>
      <c r="AC2216" s="84" t="str">
        <f>IF(AND(OR(LEFT(TH!N2216,2)="15",LEFT(TH!O2216,2)="15"),TK!$E$7=TH!F2216),"x","")</f>
        <v/>
      </c>
      <c r="AD2216" s="84" t="str">
        <f>IF(AND(N2216="1521",MONTH(C2216)='BK-NL'!$M$11),"x","")</f>
        <v/>
      </c>
    </row>
    <row r="2217" spans="1:30" s="351" customFormat="1" ht="15.75" hidden="1" customHeight="1">
      <c r="A2217" s="336" t="str">
        <f>IF(B2217&lt;&gt;"",IF(AND(B2217='IN-TC'!$S$4,OR(TH!N2217="1111",TH!O2217="1111")),TH!D2217,""),"")</f>
        <v/>
      </c>
      <c r="B2217" s="63" t="str">
        <f t="shared" si="288"/>
        <v/>
      </c>
      <c r="C2217" s="64"/>
      <c r="D2217" s="64"/>
      <c r="E2217" s="64"/>
      <c r="F2217" s="67"/>
      <c r="G2217" s="67"/>
      <c r="H2217" s="73"/>
      <c r="I2217" s="439"/>
      <c r="J2217" s="439"/>
      <c r="K2217" s="430"/>
      <c r="L2217" s="439"/>
      <c r="M2217" s="65"/>
      <c r="N2217" s="66"/>
      <c r="O2217" s="66"/>
      <c r="P2217" s="84" t="str">
        <f>IF(AND('331-CT'!$E$7=TH!H2217,OR(N2217="331",O2217="331")),"x","")</f>
        <v/>
      </c>
      <c r="Q2217" s="84" t="str">
        <f>IF(AND(B2217='111'!$L$11,OR($N2217=$Q$7,$O2217=$Q$7)),"x","")</f>
        <v/>
      </c>
      <c r="R2217" s="84" t="str">
        <f>IF(AND($N2217=$Q$7,$B2217&lt;'111'!$L$11),"x","")</f>
        <v/>
      </c>
      <c r="S2217" s="84" t="str">
        <f>IF(AND($O2217=$Q$7,$B2217&lt;'111'!$L$11),"x","")</f>
        <v/>
      </c>
      <c r="T2217" s="84" t="str">
        <f>IF(ISERROR(FIND('112'!$M$9,G2217,1)),"",IF((AND(FIND('112'!$M$9,G2217,1)&gt;=1,B2217='112'!$K$9,OR($N2217='112'!$I$6,$O2217='112'!$I$6))),"x",""))</f>
        <v/>
      </c>
      <c r="U2217" s="84" t="str">
        <f>IF(ISERROR(FIND('112'!$M$9,G2217,1)),"",IF((AND(LEFT(G2217,2)=LEFT('112'!$M$9,2),B2217&lt;'112'!$K$9,$N2217='112'!$I$6)),"x",""))</f>
        <v/>
      </c>
      <c r="V2217" s="84" t="str">
        <f>IF(ISERROR(FIND('112'!$M$9,G2217,1)),"",IF((AND(RIGHT(G2217,2)=RIGHT('112'!$M$9,2),B2217&lt;'112'!$K$9,$O2217='112'!$I$6)),"x",""))</f>
        <v/>
      </c>
      <c r="W2217" s="84" t="str">
        <f>IF(AND('341-CT'!$H$9=H2217,OR(LEFT(N2217,3)=$W$7,LEFT(O2217,3)=$W$7)),"x","")</f>
        <v/>
      </c>
      <c r="X2217" s="84" t="str">
        <f>IF(OR(TH!N2217=TH!$X$7,O2217=TH!$X$7),"x","")</f>
        <v/>
      </c>
      <c r="Y2217" s="84" t="str">
        <f>IF(AND(OR(N2217="131",O2217="131"),H2217='131-CT'!$H$9),"x","")</f>
        <v/>
      </c>
      <c r="Z2217" s="84"/>
      <c r="AA2217" s="84" t="str">
        <f>IF(AND(MONTH(E2217)='IN-NX'!$J$5,'IN-NX'!$D$7=D2217),"x","")</f>
        <v/>
      </c>
      <c r="AB2217" s="84" t="str">
        <f>IF(AND(OR(LEFT(TH!N2217,2)="15",LEFT(TH!O2217,2)="15"),LEFT(TH!O2217,3)&lt;&gt;"111",'152-CT'!$J$8=TH!F2217),"x","")</f>
        <v/>
      </c>
      <c r="AC2217" s="84" t="str">
        <f>IF(AND(OR(LEFT(TH!N2217,2)="15",LEFT(TH!O2217,2)="15"),TK!$E$7=TH!F2217),"x","")</f>
        <v/>
      </c>
      <c r="AD2217" s="84" t="str">
        <f>IF(AND(N2217="1521",MONTH(C2217)='BK-NL'!$M$11),"x","")</f>
        <v/>
      </c>
    </row>
    <row r="2218" spans="1:30" s="351" customFormat="1" ht="15.75" hidden="1" customHeight="1">
      <c r="A2218" s="336" t="str">
        <f>IF(B2218&lt;&gt;"",IF(AND(B2218='IN-TC'!$S$4,OR(TH!N2218="1111",TH!O2218="1111")),TH!D2218,""),"")</f>
        <v/>
      </c>
      <c r="B2218" s="63" t="str">
        <f t="shared" si="288"/>
        <v/>
      </c>
      <c r="C2218" s="64"/>
      <c r="D2218" s="64"/>
      <c r="E2218" s="64"/>
      <c r="F2218" s="67"/>
      <c r="G2218" s="67"/>
      <c r="H2218" s="73"/>
      <c r="I2218" s="439"/>
      <c r="J2218" s="439"/>
      <c r="K2218" s="430"/>
      <c r="L2218" s="439"/>
      <c r="M2218" s="65"/>
      <c r="N2218" s="66"/>
      <c r="O2218" s="66"/>
      <c r="P2218" s="84" t="str">
        <f>IF(AND('331-CT'!$E$7=TH!H2218,OR(N2218="331",O2218="331")),"x","")</f>
        <v/>
      </c>
      <c r="Q2218" s="84" t="str">
        <f>IF(AND(B2218='111'!$L$11,OR($N2218=$Q$7,$O2218=$Q$7)),"x","")</f>
        <v/>
      </c>
      <c r="R2218" s="84" t="str">
        <f>IF(AND($N2218=$Q$7,$B2218&lt;'111'!$L$11),"x","")</f>
        <v/>
      </c>
      <c r="S2218" s="84" t="str">
        <f>IF(AND($O2218=$Q$7,$B2218&lt;'111'!$L$11),"x","")</f>
        <v/>
      </c>
      <c r="T2218" s="84" t="str">
        <f>IF(ISERROR(FIND('112'!$M$9,G2218,1)),"",IF((AND(FIND('112'!$M$9,G2218,1)&gt;=1,B2218='112'!$K$9,OR($N2218='112'!$I$6,$O2218='112'!$I$6))),"x",""))</f>
        <v/>
      </c>
      <c r="U2218" s="84" t="str">
        <f>IF(ISERROR(FIND('112'!$M$9,G2218,1)),"",IF((AND(LEFT(G2218,2)=LEFT('112'!$M$9,2),B2218&lt;'112'!$K$9,$N2218='112'!$I$6)),"x",""))</f>
        <v/>
      </c>
      <c r="V2218" s="84" t="str">
        <f>IF(ISERROR(FIND('112'!$M$9,G2218,1)),"",IF((AND(RIGHT(G2218,2)=RIGHT('112'!$M$9,2),B2218&lt;'112'!$K$9,$O2218='112'!$I$6)),"x",""))</f>
        <v/>
      </c>
      <c r="W2218" s="84" t="str">
        <f>IF(AND('341-CT'!$H$9=H2218,OR(LEFT(N2218,3)=$W$7,LEFT(O2218,3)=$W$7)),"x","")</f>
        <v/>
      </c>
      <c r="X2218" s="84" t="str">
        <f>IF(OR(TH!N2218=TH!$X$7,O2218=TH!$X$7),"x","")</f>
        <v/>
      </c>
      <c r="Y2218" s="84" t="str">
        <f>IF(AND(OR(N2218="131",O2218="131"),H2218='131-CT'!$H$9),"x","")</f>
        <v/>
      </c>
      <c r="Z2218" s="84"/>
      <c r="AA2218" s="84" t="str">
        <f>IF(AND(MONTH(E2218)='IN-NX'!$J$5,'IN-NX'!$D$7=D2218),"x","")</f>
        <v/>
      </c>
      <c r="AB2218" s="84" t="str">
        <f>IF(AND(OR(LEFT(TH!N2218,2)="15",LEFT(TH!O2218,2)="15"),LEFT(TH!O2218,3)&lt;&gt;"111",'152-CT'!$J$8=TH!F2218),"x","")</f>
        <v/>
      </c>
      <c r="AC2218" s="84" t="str">
        <f>IF(AND(OR(LEFT(TH!N2218,2)="15",LEFT(TH!O2218,2)="15"),TK!$E$7=TH!F2218),"x","")</f>
        <v/>
      </c>
      <c r="AD2218" s="84" t="str">
        <f>IF(AND(N2218="1521",MONTH(C2218)='BK-NL'!$M$11),"x","")</f>
        <v/>
      </c>
    </row>
    <row r="2219" spans="1:30" s="351" customFormat="1" ht="15.75" hidden="1" customHeight="1">
      <c r="A2219" s="336" t="str">
        <f>IF(B2219&lt;&gt;"",IF(AND(B2219='IN-TC'!$S$4,OR(TH!N2219="1111",TH!O2219="1111")),TH!D2219,""),"")</f>
        <v/>
      </c>
      <c r="B2219" s="63" t="str">
        <f t="shared" si="288"/>
        <v/>
      </c>
      <c r="C2219" s="64"/>
      <c r="D2219" s="64"/>
      <c r="E2219" s="64"/>
      <c r="F2219" s="67"/>
      <c r="G2219" s="67"/>
      <c r="H2219" s="73"/>
      <c r="I2219" s="439"/>
      <c r="J2219" s="439"/>
      <c r="K2219" s="430"/>
      <c r="L2219" s="439"/>
      <c r="M2219" s="65"/>
      <c r="N2219" s="66"/>
      <c r="O2219" s="66"/>
      <c r="P2219" s="84" t="str">
        <f>IF(AND('331-CT'!$E$7=TH!H2219,OR(N2219="331",O2219="331")),"x","")</f>
        <v/>
      </c>
      <c r="Q2219" s="84" t="str">
        <f>IF(AND(B2219='111'!$L$11,OR($N2219=$Q$7,$O2219=$Q$7)),"x","")</f>
        <v/>
      </c>
      <c r="R2219" s="84" t="str">
        <f>IF(AND($N2219=$Q$7,$B2219&lt;'111'!$L$11),"x","")</f>
        <v/>
      </c>
      <c r="S2219" s="84" t="str">
        <f>IF(AND($O2219=$Q$7,$B2219&lt;'111'!$L$11),"x","")</f>
        <v/>
      </c>
      <c r="T2219" s="84" t="str">
        <f>IF(ISERROR(FIND('112'!$M$9,G2219,1)),"",IF((AND(FIND('112'!$M$9,G2219,1)&gt;=1,B2219='112'!$K$9,OR($N2219='112'!$I$6,$O2219='112'!$I$6))),"x",""))</f>
        <v/>
      </c>
      <c r="U2219" s="84" t="str">
        <f>IF(ISERROR(FIND('112'!$M$9,G2219,1)),"",IF((AND(LEFT(G2219,2)=LEFT('112'!$M$9,2),B2219&lt;'112'!$K$9,$N2219='112'!$I$6)),"x",""))</f>
        <v/>
      </c>
      <c r="V2219" s="84" t="str">
        <f>IF(ISERROR(FIND('112'!$M$9,G2219,1)),"",IF((AND(RIGHT(G2219,2)=RIGHT('112'!$M$9,2),B2219&lt;'112'!$K$9,$O2219='112'!$I$6)),"x",""))</f>
        <v/>
      </c>
      <c r="W2219" s="84" t="str">
        <f>IF(AND('341-CT'!$H$9=H2219,OR(LEFT(N2219,3)=$W$7,LEFT(O2219,3)=$W$7)),"x","")</f>
        <v/>
      </c>
      <c r="X2219" s="84" t="str">
        <f>IF(OR(TH!N2219=TH!$X$7,O2219=TH!$X$7),"x","")</f>
        <v/>
      </c>
      <c r="Y2219" s="84" t="str">
        <f>IF(AND(OR(N2219="131",O2219="131"),H2219='131-CT'!$H$9),"x","")</f>
        <v/>
      </c>
      <c r="Z2219" s="84"/>
      <c r="AA2219" s="84" t="str">
        <f>IF(AND(MONTH(E2219)='IN-NX'!$J$5,'IN-NX'!$D$7=D2219),"x","")</f>
        <v/>
      </c>
      <c r="AB2219" s="84" t="str">
        <f>IF(AND(OR(LEFT(TH!N2219,2)="15",LEFT(TH!O2219,2)="15"),LEFT(TH!O2219,3)&lt;&gt;"111",'152-CT'!$J$8=TH!F2219),"x","")</f>
        <v/>
      </c>
      <c r="AC2219" s="84" t="str">
        <f>IF(AND(OR(LEFT(TH!N2219,2)="15",LEFT(TH!O2219,2)="15"),TK!$E$7=TH!F2219),"x","")</f>
        <v/>
      </c>
      <c r="AD2219" s="84" t="str">
        <f>IF(AND(N2219="1521",MONTH(C2219)='BK-NL'!$M$11),"x","")</f>
        <v/>
      </c>
    </row>
    <row r="2220" spans="1:30" s="351" customFormat="1" ht="15.75" hidden="1" customHeight="1">
      <c r="A2220" s="336" t="str">
        <f>IF(B2220&lt;&gt;"",IF(AND(B2220='IN-TC'!$S$4,OR(TH!N2220="1111",TH!O2220="1111")),TH!D2220,""),"")</f>
        <v/>
      </c>
      <c r="B2220" s="63" t="str">
        <f t="shared" si="288"/>
        <v/>
      </c>
      <c r="C2220" s="64"/>
      <c r="D2220" s="64"/>
      <c r="E2220" s="64"/>
      <c r="F2220" s="67"/>
      <c r="G2220" s="67"/>
      <c r="H2220" s="73"/>
      <c r="I2220" s="439"/>
      <c r="J2220" s="439"/>
      <c r="K2220" s="430"/>
      <c r="L2220" s="439"/>
      <c r="M2220" s="65"/>
      <c r="N2220" s="66"/>
      <c r="O2220" s="66"/>
      <c r="P2220" s="84" t="str">
        <f>IF(AND('331-CT'!$E$7=TH!H2220,OR(N2220="331",O2220="331")),"x","")</f>
        <v/>
      </c>
      <c r="Q2220" s="84" t="str">
        <f>IF(AND(B2220='111'!$L$11,OR($N2220=$Q$7,$O2220=$Q$7)),"x","")</f>
        <v/>
      </c>
      <c r="R2220" s="84" t="str">
        <f>IF(AND($N2220=$Q$7,$B2220&lt;'111'!$L$11),"x","")</f>
        <v/>
      </c>
      <c r="S2220" s="84" t="str">
        <f>IF(AND($O2220=$Q$7,$B2220&lt;'111'!$L$11),"x","")</f>
        <v/>
      </c>
      <c r="T2220" s="84" t="str">
        <f>IF(ISERROR(FIND('112'!$M$9,G2220,1)),"",IF((AND(FIND('112'!$M$9,G2220,1)&gt;=1,B2220='112'!$K$9,OR($N2220='112'!$I$6,$O2220='112'!$I$6))),"x",""))</f>
        <v/>
      </c>
      <c r="U2220" s="84" t="str">
        <f>IF(ISERROR(FIND('112'!$M$9,G2220,1)),"",IF((AND(LEFT(G2220,2)=LEFT('112'!$M$9,2),B2220&lt;'112'!$K$9,$N2220='112'!$I$6)),"x",""))</f>
        <v/>
      </c>
      <c r="V2220" s="84" t="str">
        <f>IF(ISERROR(FIND('112'!$M$9,G2220,1)),"",IF((AND(RIGHT(G2220,2)=RIGHT('112'!$M$9,2),B2220&lt;'112'!$K$9,$O2220='112'!$I$6)),"x",""))</f>
        <v/>
      </c>
      <c r="W2220" s="84" t="str">
        <f>IF(AND('341-CT'!$H$9=H2220,OR(LEFT(N2220,3)=$W$7,LEFT(O2220,3)=$W$7)),"x","")</f>
        <v/>
      </c>
      <c r="X2220" s="84" t="str">
        <f>IF(OR(TH!N2220=TH!$X$7,O2220=TH!$X$7),"x","")</f>
        <v/>
      </c>
      <c r="Y2220" s="84" t="str">
        <f>IF(AND(OR(N2220="131",O2220="131"),H2220='131-CT'!$H$9),"x","")</f>
        <v/>
      </c>
      <c r="Z2220" s="84"/>
      <c r="AA2220" s="84" t="str">
        <f>IF(AND(MONTH(E2220)='IN-NX'!$J$5,'IN-NX'!$D$7=D2220),"x","")</f>
        <v/>
      </c>
      <c r="AB2220" s="84" t="str">
        <f>IF(AND(OR(LEFT(TH!N2220,2)="15",LEFT(TH!O2220,2)="15"),LEFT(TH!O2220,3)&lt;&gt;"111",'152-CT'!$J$8=TH!F2220),"x","")</f>
        <v/>
      </c>
      <c r="AC2220" s="84" t="str">
        <f>IF(AND(OR(LEFT(TH!N2220,2)="15",LEFT(TH!O2220,2)="15"),TK!$E$7=TH!F2220),"x","")</f>
        <v/>
      </c>
      <c r="AD2220" s="84" t="str">
        <f>IF(AND(N2220="1521",MONTH(C2220)='BK-NL'!$M$11),"x","")</f>
        <v/>
      </c>
    </row>
    <row r="2221" spans="1:30" s="351" customFormat="1" ht="15.75" hidden="1" customHeight="1">
      <c r="A2221" s="336" t="str">
        <f>IF(B2221&lt;&gt;"",IF(AND(B2221='IN-TC'!$S$4,OR(TH!N2221="1111",TH!O2221="1111")),TH!D2221,""),"")</f>
        <v/>
      </c>
      <c r="B2221" s="63" t="str">
        <f t="shared" ref="B2221:B2233" si="289">IF(C2221&lt;&gt;"",MONTH(C2221),"")</f>
        <v/>
      </c>
      <c r="C2221" s="64"/>
      <c r="D2221" s="64"/>
      <c r="E2221" s="64"/>
      <c r="F2221" s="67"/>
      <c r="G2221" s="67"/>
      <c r="H2221" s="73"/>
      <c r="I2221" s="439"/>
      <c r="J2221" s="439"/>
      <c r="K2221" s="430"/>
      <c r="L2221" s="439"/>
      <c r="M2221" s="65"/>
      <c r="N2221" s="66"/>
      <c r="O2221" s="66"/>
      <c r="P2221" s="84" t="str">
        <f>IF(AND('331-CT'!$E$7=TH!H2221,OR(N2221="331",O2221="331")),"x","")</f>
        <v/>
      </c>
      <c r="Q2221" s="84" t="str">
        <f>IF(AND(B2221='111'!$L$11,OR($N2221=$Q$7,$O2221=$Q$7)),"x","")</f>
        <v/>
      </c>
      <c r="R2221" s="84" t="str">
        <f>IF(AND($N2221=$Q$7,$B2221&lt;'111'!$L$11),"x","")</f>
        <v/>
      </c>
      <c r="S2221" s="84" t="str">
        <f>IF(AND($O2221=$Q$7,$B2221&lt;'111'!$L$11),"x","")</f>
        <v/>
      </c>
      <c r="T2221" s="84" t="str">
        <f>IF(ISERROR(FIND('112'!$M$9,G2221,1)),"",IF((AND(FIND('112'!$M$9,G2221,1)&gt;=1,B2221='112'!$K$9,OR($N2221='112'!$I$6,$O2221='112'!$I$6))),"x",""))</f>
        <v/>
      </c>
      <c r="U2221" s="84" t="str">
        <f>IF(ISERROR(FIND('112'!$M$9,G2221,1)),"",IF((AND(LEFT(G2221,2)=LEFT('112'!$M$9,2),B2221&lt;'112'!$K$9,$N2221='112'!$I$6)),"x",""))</f>
        <v/>
      </c>
      <c r="V2221" s="84" t="str">
        <f>IF(ISERROR(FIND('112'!$M$9,G2221,1)),"",IF((AND(RIGHT(G2221,2)=RIGHT('112'!$M$9,2),B2221&lt;'112'!$K$9,$O2221='112'!$I$6)),"x",""))</f>
        <v/>
      </c>
      <c r="W2221" s="84" t="str">
        <f>IF(AND('341-CT'!$H$9=H2221,OR(LEFT(N2221,3)=$W$7,LEFT(O2221,3)=$W$7)),"x","")</f>
        <v/>
      </c>
      <c r="X2221" s="84" t="str">
        <f>IF(OR(TH!N2221=TH!$X$7,O2221=TH!$X$7),"x","")</f>
        <v/>
      </c>
      <c r="Y2221" s="84" t="str">
        <f>IF(AND(OR(N2221="131",O2221="131"),H2221='131-CT'!$H$9),"x","")</f>
        <v/>
      </c>
      <c r="Z2221" s="84"/>
      <c r="AA2221" s="84" t="str">
        <f>IF(AND(MONTH(E2221)='IN-NX'!$J$5,'IN-NX'!$D$7=D2221),"x","")</f>
        <v/>
      </c>
      <c r="AB2221" s="84" t="str">
        <f>IF(AND(OR(LEFT(TH!N2221,2)="15",LEFT(TH!O2221,2)="15"),LEFT(TH!O2221,3)&lt;&gt;"111",'152-CT'!$J$8=TH!F2221),"x","")</f>
        <v/>
      </c>
      <c r="AC2221" s="84" t="str">
        <f>IF(AND(OR(LEFT(TH!N2221,2)="15",LEFT(TH!O2221,2)="15"),TK!$E$7=TH!F2221),"x","")</f>
        <v/>
      </c>
      <c r="AD2221" s="84" t="str">
        <f>IF(AND(N2221="1521",MONTH(C2221)='BK-NL'!$M$11),"x","")</f>
        <v/>
      </c>
    </row>
    <row r="2222" spans="1:30" s="351" customFormat="1" ht="15.75" hidden="1" customHeight="1">
      <c r="A2222" s="336" t="str">
        <f>IF(B2222&lt;&gt;"",IF(AND(B2222='IN-TC'!$S$4,OR(TH!N2222="1111",TH!O2222="1111")),TH!D2222,""),"")</f>
        <v/>
      </c>
      <c r="B2222" s="63" t="str">
        <f t="shared" si="289"/>
        <v/>
      </c>
      <c r="C2222" s="64"/>
      <c r="D2222" s="64"/>
      <c r="E2222" s="64"/>
      <c r="F2222" s="67"/>
      <c r="G2222" s="67"/>
      <c r="H2222" s="73"/>
      <c r="I2222" s="439"/>
      <c r="J2222" s="439"/>
      <c r="K2222" s="430"/>
      <c r="L2222" s="439"/>
      <c r="M2222" s="65"/>
      <c r="N2222" s="66"/>
      <c r="O2222" s="66"/>
      <c r="P2222" s="84" t="str">
        <f>IF(AND('331-CT'!$E$7=TH!H2222,OR(N2222="331",O2222="331")),"x","")</f>
        <v/>
      </c>
      <c r="Q2222" s="84" t="str">
        <f>IF(AND(B2222='111'!$L$11,OR($N2222=$Q$7,$O2222=$Q$7)),"x","")</f>
        <v/>
      </c>
      <c r="R2222" s="84" t="str">
        <f>IF(AND($N2222=$Q$7,$B2222&lt;'111'!$L$11),"x","")</f>
        <v/>
      </c>
      <c r="S2222" s="84" t="str">
        <f>IF(AND($O2222=$Q$7,$B2222&lt;'111'!$L$11),"x","")</f>
        <v/>
      </c>
      <c r="T2222" s="84" t="str">
        <f>IF(ISERROR(FIND('112'!$M$9,G2222,1)),"",IF((AND(FIND('112'!$M$9,G2222,1)&gt;=1,B2222='112'!$K$9,OR($N2222='112'!$I$6,$O2222='112'!$I$6))),"x",""))</f>
        <v/>
      </c>
      <c r="U2222" s="84" t="str">
        <f>IF(ISERROR(FIND('112'!$M$9,G2222,1)),"",IF((AND(LEFT(G2222,2)=LEFT('112'!$M$9,2),B2222&lt;'112'!$K$9,$N2222='112'!$I$6)),"x",""))</f>
        <v/>
      </c>
      <c r="V2222" s="84" t="str">
        <f>IF(ISERROR(FIND('112'!$M$9,G2222,1)),"",IF((AND(RIGHT(G2222,2)=RIGHT('112'!$M$9,2),B2222&lt;'112'!$K$9,$O2222='112'!$I$6)),"x",""))</f>
        <v/>
      </c>
      <c r="W2222" s="84" t="str">
        <f>IF(AND('341-CT'!$H$9=H2222,OR(LEFT(N2222,3)=$W$7,LEFT(O2222,3)=$W$7)),"x","")</f>
        <v/>
      </c>
      <c r="X2222" s="84" t="str">
        <f>IF(OR(TH!N2222=TH!$X$7,O2222=TH!$X$7),"x","")</f>
        <v/>
      </c>
      <c r="Y2222" s="84" t="str">
        <f>IF(AND(OR(N2222="131",O2222="131"),H2222='131-CT'!$H$9),"x","")</f>
        <v/>
      </c>
      <c r="Z2222" s="84"/>
      <c r="AA2222" s="84" t="str">
        <f>IF(AND(MONTH(E2222)='IN-NX'!$J$5,'IN-NX'!$D$7=D2222),"x","")</f>
        <v/>
      </c>
      <c r="AB2222" s="84" t="str">
        <f>IF(AND(OR(LEFT(TH!N2222,2)="15",LEFT(TH!O2222,2)="15"),LEFT(TH!O2222,3)&lt;&gt;"111",'152-CT'!$J$8=TH!F2222),"x","")</f>
        <v/>
      </c>
      <c r="AC2222" s="84" t="str">
        <f>IF(AND(OR(LEFT(TH!N2222,2)="15",LEFT(TH!O2222,2)="15"),TK!$E$7=TH!F2222),"x","")</f>
        <v/>
      </c>
      <c r="AD2222" s="84" t="str">
        <f>IF(AND(N2222="1521",MONTH(C2222)='BK-NL'!$M$11),"x","")</f>
        <v/>
      </c>
    </row>
    <row r="2223" spans="1:30" s="351" customFormat="1" ht="15.75" hidden="1" customHeight="1">
      <c r="A2223" s="336" t="str">
        <f>IF(B2223&lt;&gt;"",IF(AND(B2223='IN-TC'!$S$4,OR(TH!N2223="1111",TH!O2223="1111")),TH!D2223,""),"")</f>
        <v/>
      </c>
      <c r="B2223" s="63" t="str">
        <f t="shared" si="289"/>
        <v/>
      </c>
      <c r="C2223" s="64"/>
      <c r="D2223" s="64"/>
      <c r="E2223" s="64"/>
      <c r="F2223" s="67"/>
      <c r="G2223" s="67"/>
      <c r="H2223" s="73"/>
      <c r="I2223" s="439"/>
      <c r="J2223" s="439"/>
      <c r="K2223" s="430"/>
      <c r="L2223" s="439"/>
      <c r="M2223" s="65"/>
      <c r="N2223" s="66"/>
      <c r="O2223" s="66"/>
      <c r="P2223" s="84" t="str">
        <f>IF(AND('331-CT'!$E$7=TH!H2223,OR(N2223="331",O2223="331")),"x","")</f>
        <v/>
      </c>
      <c r="Q2223" s="84" t="str">
        <f>IF(AND(B2223='111'!$L$11,OR($N2223=$Q$7,$O2223=$Q$7)),"x","")</f>
        <v/>
      </c>
      <c r="R2223" s="84" t="str">
        <f>IF(AND($N2223=$Q$7,$B2223&lt;'111'!$L$11),"x","")</f>
        <v/>
      </c>
      <c r="S2223" s="84" t="str">
        <f>IF(AND($O2223=$Q$7,$B2223&lt;'111'!$L$11),"x","")</f>
        <v/>
      </c>
      <c r="T2223" s="84" t="str">
        <f>IF(ISERROR(FIND('112'!$M$9,G2223,1)),"",IF((AND(FIND('112'!$M$9,G2223,1)&gt;=1,B2223='112'!$K$9,OR($N2223='112'!$I$6,$O2223='112'!$I$6))),"x",""))</f>
        <v/>
      </c>
      <c r="U2223" s="84" t="str">
        <f>IF(ISERROR(FIND('112'!$M$9,G2223,1)),"",IF((AND(LEFT(G2223,2)=LEFT('112'!$M$9,2),B2223&lt;'112'!$K$9,$N2223='112'!$I$6)),"x",""))</f>
        <v/>
      </c>
      <c r="V2223" s="84" t="str">
        <f>IF(ISERROR(FIND('112'!$M$9,G2223,1)),"",IF((AND(RIGHT(G2223,2)=RIGHT('112'!$M$9,2),B2223&lt;'112'!$K$9,$O2223='112'!$I$6)),"x",""))</f>
        <v/>
      </c>
      <c r="W2223" s="84" t="str">
        <f>IF(AND('341-CT'!$H$9=H2223,OR(LEFT(N2223,3)=$W$7,LEFT(O2223,3)=$W$7)),"x","")</f>
        <v/>
      </c>
      <c r="X2223" s="84" t="str">
        <f>IF(OR(TH!N2223=TH!$X$7,O2223=TH!$X$7),"x","")</f>
        <v/>
      </c>
      <c r="Y2223" s="84" t="str">
        <f>IF(AND(OR(N2223="131",O2223="131"),H2223='131-CT'!$H$9),"x","")</f>
        <v/>
      </c>
      <c r="Z2223" s="84"/>
      <c r="AA2223" s="84" t="str">
        <f>IF(AND(MONTH(E2223)='IN-NX'!$J$5,'IN-NX'!$D$7=D2223),"x","")</f>
        <v/>
      </c>
      <c r="AB2223" s="84" t="str">
        <f>IF(AND(OR(LEFT(TH!N2223,2)="15",LEFT(TH!O2223,2)="15"),LEFT(TH!O2223,3)&lt;&gt;"111",'152-CT'!$J$8=TH!F2223),"x","")</f>
        <v/>
      </c>
      <c r="AC2223" s="84" t="str">
        <f>IF(AND(OR(LEFT(TH!N2223,2)="15",LEFT(TH!O2223,2)="15"),TK!$E$7=TH!F2223),"x","")</f>
        <v/>
      </c>
      <c r="AD2223" s="84" t="str">
        <f>IF(AND(N2223="1521",MONTH(C2223)='BK-NL'!$M$11),"x","")</f>
        <v/>
      </c>
    </row>
    <row r="2224" spans="1:30" s="351" customFormat="1" ht="15.75" hidden="1" customHeight="1">
      <c r="A2224" s="336" t="str">
        <f>IF(B2224&lt;&gt;"",IF(AND(B2224='IN-TC'!$S$4,OR(TH!N2224="1111",TH!O2224="1111")),TH!D2224,""),"")</f>
        <v/>
      </c>
      <c r="B2224" s="63" t="str">
        <f t="shared" si="289"/>
        <v/>
      </c>
      <c r="C2224" s="64"/>
      <c r="D2224" s="64"/>
      <c r="E2224" s="64"/>
      <c r="F2224" s="67"/>
      <c r="G2224" s="67"/>
      <c r="H2224" s="73"/>
      <c r="I2224" s="439"/>
      <c r="J2224" s="439"/>
      <c r="K2224" s="430"/>
      <c r="L2224" s="439"/>
      <c r="M2224" s="65"/>
      <c r="N2224" s="66"/>
      <c r="O2224" s="66"/>
      <c r="P2224" s="84" t="str">
        <f>IF(AND('331-CT'!$E$7=TH!H2224,OR(N2224="331",O2224="331")),"x","")</f>
        <v/>
      </c>
      <c r="Q2224" s="84" t="str">
        <f>IF(AND(B2224='111'!$L$11,OR($N2224=$Q$7,$O2224=$Q$7)),"x","")</f>
        <v/>
      </c>
      <c r="R2224" s="84" t="str">
        <f>IF(AND($N2224=$Q$7,$B2224&lt;'111'!$L$11),"x","")</f>
        <v/>
      </c>
      <c r="S2224" s="84" t="str">
        <f>IF(AND($O2224=$Q$7,$B2224&lt;'111'!$L$11),"x","")</f>
        <v/>
      </c>
      <c r="T2224" s="84" t="str">
        <f>IF(ISERROR(FIND('112'!$M$9,G2224,1)),"",IF((AND(FIND('112'!$M$9,G2224,1)&gt;=1,B2224='112'!$K$9,OR($N2224='112'!$I$6,$O2224='112'!$I$6))),"x",""))</f>
        <v/>
      </c>
      <c r="U2224" s="84" t="str">
        <f>IF(ISERROR(FIND('112'!$M$9,G2224,1)),"",IF((AND(LEFT(G2224,2)=LEFT('112'!$M$9,2),B2224&lt;'112'!$K$9,$N2224='112'!$I$6)),"x",""))</f>
        <v/>
      </c>
      <c r="V2224" s="84" t="str">
        <f>IF(ISERROR(FIND('112'!$M$9,G2224,1)),"",IF((AND(RIGHT(G2224,2)=RIGHT('112'!$M$9,2),B2224&lt;'112'!$K$9,$O2224='112'!$I$6)),"x",""))</f>
        <v/>
      </c>
      <c r="W2224" s="84" t="str">
        <f>IF(AND('341-CT'!$H$9=H2224,OR(LEFT(N2224,3)=$W$7,LEFT(O2224,3)=$W$7)),"x","")</f>
        <v/>
      </c>
      <c r="X2224" s="84" t="str">
        <f>IF(OR(TH!N2224=TH!$X$7,O2224=TH!$X$7),"x","")</f>
        <v/>
      </c>
      <c r="Y2224" s="84" t="str">
        <f>IF(AND(OR(N2224="131",O2224="131"),H2224='131-CT'!$H$9),"x","")</f>
        <v/>
      </c>
      <c r="Z2224" s="84"/>
      <c r="AA2224" s="84" t="str">
        <f>IF(AND(MONTH(E2224)='IN-NX'!$J$5,'IN-NX'!$D$7=D2224),"x","")</f>
        <v/>
      </c>
      <c r="AB2224" s="84" t="str">
        <f>IF(AND(OR(LEFT(TH!N2224,2)="15",LEFT(TH!O2224,2)="15"),LEFT(TH!O2224,3)&lt;&gt;"111",'152-CT'!$J$8=TH!F2224),"x","")</f>
        <v/>
      </c>
      <c r="AC2224" s="84" t="str">
        <f>IF(AND(OR(LEFT(TH!N2224,2)="15",LEFT(TH!O2224,2)="15"),TK!$E$7=TH!F2224),"x","")</f>
        <v/>
      </c>
      <c r="AD2224" s="84" t="str">
        <f>IF(AND(N2224="1521",MONTH(C2224)='BK-NL'!$M$11),"x","")</f>
        <v/>
      </c>
    </row>
    <row r="2225" spans="1:30" s="351" customFormat="1" ht="15.75" hidden="1" customHeight="1">
      <c r="A2225" s="336" t="str">
        <f>IF(B2225&lt;&gt;"",IF(AND(B2225='IN-TC'!$S$4,OR(TH!N2225="1111",TH!O2225="1111")),TH!D2225,""),"")</f>
        <v/>
      </c>
      <c r="B2225" s="63" t="str">
        <f t="shared" si="289"/>
        <v/>
      </c>
      <c r="C2225" s="64"/>
      <c r="D2225" s="64"/>
      <c r="E2225" s="64"/>
      <c r="F2225" s="67"/>
      <c r="G2225" s="67"/>
      <c r="H2225" s="73"/>
      <c r="I2225" s="439"/>
      <c r="J2225" s="439"/>
      <c r="K2225" s="430"/>
      <c r="L2225" s="439"/>
      <c r="M2225" s="65"/>
      <c r="N2225" s="66"/>
      <c r="O2225" s="66"/>
      <c r="P2225" s="84" t="str">
        <f>IF(AND('331-CT'!$E$7=TH!H2225,OR(N2225="331",O2225="331")),"x","")</f>
        <v/>
      </c>
      <c r="Q2225" s="84" t="str">
        <f>IF(AND(B2225='111'!$L$11,OR($N2225=$Q$7,$O2225=$Q$7)),"x","")</f>
        <v/>
      </c>
      <c r="R2225" s="84" t="str">
        <f>IF(AND($N2225=$Q$7,$B2225&lt;'111'!$L$11),"x","")</f>
        <v/>
      </c>
      <c r="S2225" s="84" t="str">
        <f>IF(AND($O2225=$Q$7,$B2225&lt;'111'!$L$11),"x","")</f>
        <v/>
      </c>
      <c r="T2225" s="84" t="str">
        <f>IF(ISERROR(FIND('112'!$M$9,G2225,1)),"",IF((AND(FIND('112'!$M$9,G2225,1)&gt;=1,B2225='112'!$K$9,OR($N2225='112'!$I$6,$O2225='112'!$I$6))),"x",""))</f>
        <v/>
      </c>
      <c r="U2225" s="84" t="str">
        <f>IF(ISERROR(FIND('112'!$M$9,G2225,1)),"",IF((AND(LEFT(G2225,2)=LEFT('112'!$M$9,2),B2225&lt;'112'!$K$9,$N2225='112'!$I$6)),"x",""))</f>
        <v/>
      </c>
      <c r="V2225" s="84" t="str">
        <f>IF(ISERROR(FIND('112'!$M$9,G2225,1)),"",IF((AND(RIGHT(G2225,2)=RIGHT('112'!$M$9,2),B2225&lt;'112'!$K$9,$O2225='112'!$I$6)),"x",""))</f>
        <v/>
      </c>
      <c r="W2225" s="84" t="str">
        <f>IF(AND('341-CT'!$H$9=H2225,OR(LEFT(N2225,3)=$W$7,LEFT(O2225,3)=$W$7)),"x","")</f>
        <v/>
      </c>
      <c r="X2225" s="84" t="str">
        <f>IF(OR(TH!N2225=TH!$X$7,O2225=TH!$X$7),"x","")</f>
        <v/>
      </c>
      <c r="Y2225" s="84" t="str">
        <f>IF(AND(OR(N2225="131",O2225="131"),H2225='131-CT'!$H$9),"x","")</f>
        <v/>
      </c>
      <c r="Z2225" s="84"/>
      <c r="AA2225" s="84" t="str">
        <f>IF(AND(MONTH(E2225)='IN-NX'!$J$5,'IN-NX'!$D$7=D2225),"x","")</f>
        <v/>
      </c>
      <c r="AB2225" s="84" t="str">
        <f>IF(AND(OR(LEFT(TH!N2225,2)="15",LEFT(TH!O2225,2)="15"),LEFT(TH!O2225,3)&lt;&gt;"111",'152-CT'!$J$8=TH!F2225),"x","")</f>
        <v/>
      </c>
      <c r="AC2225" s="84" t="str">
        <f>IF(AND(OR(LEFT(TH!N2225,2)="15",LEFT(TH!O2225,2)="15"),TK!$E$7=TH!F2225),"x","")</f>
        <v/>
      </c>
      <c r="AD2225" s="84" t="str">
        <f>IF(AND(N2225="1521",MONTH(C2225)='BK-NL'!$M$11),"x","")</f>
        <v/>
      </c>
    </row>
    <row r="2226" spans="1:30" s="351" customFormat="1" ht="15.75" hidden="1" customHeight="1">
      <c r="A2226" s="336" t="str">
        <f>IF(B2226&lt;&gt;"",IF(AND(B2226='IN-TC'!$S$4,OR(TH!N2226="1111",TH!O2226="1111")),TH!D2226,""),"")</f>
        <v/>
      </c>
      <c r="B2226" s="63" t="str">
        <f t="shared" si="289"/>
        <v/>
      </c>
      <c r="C2226" s="64"/>
      <c r="D2226" s="64"/>
      <c r="E2226" s="64"/>
      <c r="F2226" s="67"/>
      <c r="G2226" s="67"/>
      <c r="H2226" s="73"/>
      <c r="I2226" s="439"/>
      <c r="J2226" s="439"/>
      <c r="K2226" s="430"/>
      <c r="L2226" s="439"/>
      <c r="M2226" s="65"/>
      <c r="N2226" s="66"/>
      <c r="O2226" s="66"/>
      <c r="P2226" s="84" t="str">
        <f>IF(AND('331-CT'!$E$7=TH!H2226,OR(N2226="331",O2226="331")),"x","")</f>
        <v/>
      </c>
      <c r="Q2226" s="84" t="str">
        <f>IF(AND(B2226='111'!$L$11,OR($N2226=$Q$7,$O2226=$Q$7)),"x","")</f>
        <v/>
      </c>
      <c r="R2226" s="84" t="str">
        <f>IF(AND($N2226=$Q$7,$B2226&lt;'111'!$L$11),"x","")</f>
        <v/>
      </c>
      <c r="S2226" s="84" t="str">
        <f>IF(AND($O2226=$Q$7,$B2226&lt;'111'!$L$11),"x","")</f>
        <v/>
      </c>
      <c r="T2226" s="84" t="str">
        <f>IF(ISERROR(FIND('112'!$M$9,G2226,1)),"",IF((AND(FIND('112'!$M$9,G2226,1)&gt;=1,B2226='112'!$K$9,OR($N2226='112'!$I$6,$O2226='112'!$I$6))),"x",""))</f>
        <v/>
      </c>
      <c r="U2226" s="84" t="str">
        <f>IF(ISERROR(FIND('112'!$M$9,G2226,1)),"",IF((AND(LEFT(G2226,2)=LEFT('112'!$M$9,2),B2226&lt;'112'!$K$9,$N2226='112'!$I$6)),"x",""))</f>
        <v/>
      </c>
      <c r="V2226" s="84" t="str">
        <f>IF(ISERROR(FIND('112'!$M$9,G2226,1)),"",IF((AND(RIGHT(G2226,2)=RIGHT('112'!$M$9,2),B2226&lt;'112'!$K$9,$O2226='112'!$I$6)),"x",""))</f>
        <v/>
      </c>
      <c r="W2226" s="84" t="str">
        <f>IF(AND('341-CT'!$H$9=H2226,OR(LEFT(N2226,3)=$W$7,LEFT(O2226,3)=$W$7)),"x","")</f>
        <v/>
      </c>
      <c r="X2226" s="84" t="str">
        <f>IF(OR(TH!N2226=TH!$X$7,O2226=TH!$X$7),"x","")</f>
        <v/>
      </c>
      <c r="Y2226" s="84" t="str">
        <f>IF(AND(OR(N2226="131",O2226="131"),H2226='131-CT'!$H$9),"x","")</f>
        <v/>
      </c>
      <c r="Z2226" s="84"/>
      <c r="AA2226" s="84" t="str">
        <f>IF(AND(MONTH(E2226)='IN-NX'!$J$5,'IN-NX'!$D$7=D2226),"x","")</f>
        <v/>
      </c>
      <c r="AB2226" s="84" t="str">
        <f>IF(AND(OR(LEFT(TH!N2226,2)="15",LEFT(TH!O2226,2)="15"),LEFT(TH!O2226,3)&lt;&gt;"111",'152-CT'!$J$8=TH!F2226),"x","")</f>
        <v/>
      </c>
      <c r="AC2226" s="84" t="str">
        <f>IF(AND(OR(LEFT(TH!N2226,2)="15",LEFT(TH!O2226,2)="15"),TK!$E$7=TH!F2226),"x","")</f>
        <v/>
      </c>
      <c r="AD2226" s="84" t="str">
        <f>IF(AND(N2226="1521",MONTH(C2226)='BK-NL'!$M$11),"x","")</f>
        <v/>
      </c>
    </row>
    <row r="2227" spans="1:30" s="351" customFormat="1" ht="15.75" hidden="1" customHeight="1">
      <c r="A2227" s="336" t="str">
        <f>IF(B2227&lt;&gt;"",IF(AND(B2227='IN-TC'!$S$4,OR(TH!N2227="1111",TH!O2227="1111")),TH!D2227,""),"")</f>
        <v/>
      </c>
      <c r="B2227" s="63" t="str">
        <f t="shared" si="289"/>
        <v/>
      </c>
      <c r="C2227" s="64"/>
      <c r="D2227" s="64"/>
      <c r="E2227" s="64"/>
      <c r="F2227" s="67"/>
      <c r="G2227" s="67"/>
      <c r="H2227" s="73"/>
      <c r="I2227" s="439"/>
      <c r="J2227" s="439"/>
      <c r="K2227" s="430"/>
      <c r="L2227" s="439"/>
      <c r="M2227" s="65"/>
      <c r="N2227" s="66"/>
      <c r="O2227" s="66"/>
      <c r="P2227" s="84" t="str">
        <f>IF(AND('331-CT'!$E$7=TH!H2227,OR(N2227="331",O2227="331")),"x","")</f>
        <v/>
      </c>
      <c r="Q2227" s="84" t="str">
        <f>IF(AND(B2227='111'!$L$11,OR($N2227=$Q$7,$O2227=$Q$7)),"x","")</f>
        <v/>
      </c>
      <c r="R2227" s="84" t="str">
        <f>IF(AND($N2227=$Q$7,$B2227&lt;'111'!$L$11),"x","")</f>
        <v/>
      </c>
      <c r="S2227" s="84" t="str">
        <f>IF(AND($O2227=$Q$7,$B2227&lt;'111'!$L$11),"x","")</f>
        <v/>
      </c>
      <c r="T2227" s="84" t="str">
        <f>IF(ISERROR(FIND('112'!$M$9,G2227,1)),"",IF((AND(FIND('112'!$M$9,G2227,1)&gt;=1,B2227='112'!$K$9,OR($N2227='112'!$I$6,$O2227='112'!$I$6))),"x",""))</f>
        <v/>
      </c>
      <c r="U2227" s="84" t="str">
        <f>IF(ISERROR(FIND('112'!$M$9,G2227,1)),"",IF((AND(LEFT(G2227,2)=LEFT('112'!$M$9,2),B2227&lt;'112'!$K$9,$N2227='112'!$I$6)),"x",""))</f>
        <v/>
      </c>
      <c r="V2227" s="84" t="str">
        <f>IF(ISERROR(FIND('112'!$M$9,G2227,1)),"",IF((AND(RIGHT(G2227,2)=RIGHT('112'!$M$9,2),B2227&lt;'112'!$K$9,$O2227='112'!$I$6)),"x",""))</f>
        <v/>
      </c>
      <c r="W2227" s="84" t="str">
        <f>IF(AND('341-CT'!$H$9=H2227,OR(LEFT(N2227,3)=$W$7,LEFT(O2227,3)=$W$7)),"x","")</f>
        <v/>
      </c>
      <c r="X2227" s="84" t="str">
        <f>IF(OR(TH!N2227=TH!$X$7,O2227=TH!$X$7),"x","")</f>
        <v/>
      </c>
      <c r="Y2227" s="84" t="str">
        <f>IF(AND(OR(N2227="131",O2227="131"),H2227='131-CT'!$H$9),"x","")</f>
        <v/>
      </c>
      <c r="Z2227" s="84"/>
      <c r="AA2227" s="84" t="str">
        <f>IF(AND(MONTH(E2227)='IN-NX'!$J$5,'IN-NX'!$D$7=D2227),"x","")</f>
        <v/>
      </c>
      <c r="AB2227" s="84" t="str">
        <f>IF(AND(OR(LEFT(TH!N2227,2)="15",LEFT(TH!O2227,2)="15"),LEFT(TH!O2227,3)&lt;&gt;"111",'152-CT'!$J$8=TH!F2227),"x","")</f>
        <v/>
      </c>
      <c r="AC2227" s="84" t="str">
        <f>IF(AND(OR(LEFT(TH!N2227,2)="15",LEFT(TH!O2227,2)="15"),TK!$E$7=TH!F2227),"x","")</f>
        <v/>
      </c>
      <c r="AD2227" s="84" t="str">
        <f>IF(AND(N2227="1521",MONTH(C2227)='BK-NL'!$M$11),"x","")</f>
        <v/>
      </c>
    </row>
    <row r="2228" spans="1:30" s="351" customFormat="1" ht="15.75" hidden="1" customHeight="1">
      <c r="A2228" s="336" t="str">
        <f>IF(B2228&lt;&gt;"",IF(AND(B2228='IN-TC'!$S$4,OR(TH!N2228="1111",TH!O2228="1111")),TH!D2228,""),"")</f>
        <v/>
      </c>
      <c r="B2228" s="63" t="str">
        <f t="shared" si="289"/>
        <v/>
      </c>
      <c r="C2228" s="64"/>
      <c r="D2228" s="64"/>
      <c r="E2228" s="64"/>
      <c r="F2228" s="67"/>
      <c r="G2228" s="67"/>
      <c r="H2228" s="73"/>
      <c r="I2228" s="439"/>
      <c r="J2228" s="439"/>
      <c r="K2228" s="430"/>
      <c r="L2228" s="439"/>
      <c r="M2228" s="65"/>
      <c r="N2228" s="66"/>
      <c r="O2228" s="66"/>
      <c r="P2228" s="84" t="str">
        <f>IF(AND('331-CT'!$E$7=TH!H2228,OR(N2228="331",O2228="331")),"x","")</f>
        <v/>
      </c>
      <c r="Q2228" s="84" t="str">
        <f>IF(AND(B2228='111'!$L$11,OR($N2228=$Q$7,$O2228=$Q$7)),"x","")</f>
        <v/>
      </c>
      <c r="R2228" s="84" t="str">
        <f>IF(AND($N2228=$Q$7,$B2228&lt;'111'!$L$11),"x","")</f>
        <v/>
      </c>
      <c r="S2228" s="84" t="str">
        <f>IF(AND($O2228=$Q$7,$B2228&lt;'111'!$L$11),"x","")</f>
        <v/>
      </c>
      <c r="T2228" s="84" t="str">
        <f>IF(ISERROR(FIND('112'!$M$9,G2228,1)),"",IF((AND(FIND('112'!$M$9,G2228,1)&gt;=1,B2228='112'!$K$9,OR($N2228='112'!$I$6,$O2228='112'!$I$6))),"x",""))</f>
        <v/>
      </c>
      <c r="U2228" s="84" t="str">
        <f>IF(ISERROR(FIND('112'!$M$9,G2228,1)),"",IF((AND(LEFT(G2228,2)=LEFT('112'!$M$9,2),B2228&lt;'112'!$K$9,$N2228='112'!$I$6)),"x",""))</f>
        <v/>
      </c>
      <c r="V2228" s="84" t="str">
        <f>IF(ISERROR(FIND('112'!$M$9,G2228,1)),"",IF((AND(RIGHT(G2228,2)=RIGHT('112'!$M$9,2),B2228&lt;'112'!$K$9,$O2228='112'!$I$6)),"x",""))</f>
        <v/>
      </c>
      <c r="W2228" s="84" t="str">
        <f>IF(AND('341-CT'!$H$9=H2228,OR(LEFT(N2228,3)=$W$7,LEFT(O2228,3)=$W$7)),"x","")</f>
        <v/>
      </c>
      <c r="X2228" s="84" t="str">
        <f>IF(OR(TH!N2228=TH!$X$7,O2228=TH!$X$7),"x","")</f>
        <v/>
      </c>
      <c r="Y2228" s="84" t="str">
        <f>IF(AND(OR(N2228="131",O2228="131"),H2228='131-CT'!$H$9),"x","")</f>
        <v/>
      </c>
      <c r="Z2228" s="84"/>
      <c r="AA2228" s="84" t="str">
        <f>IF(AND(MONTH(E2228)='IN-NX'!$J$5,'IN-NX'!$D$7=D2228),"x","")</f>
        <v/>
      </c>
      <c r="AB2228" s="84" t="str">
        <f>IF(AND(OR(LEFT(TH!N2228,2)="15",LEFT(TH!O2228,2)="15"),LEFT(TH!O2228,3)&lt;&gt;"111",'152-CT'!$J$8=TH!F2228),"x","")</f>
        <v/>
      </c>
      <c r="AC2228" s="84" t="str">
        <f>IF(AND(OR(LEFT(TH!N2228,2)="15",LEFT(TH!O2228,2)="15"),TK!$E$7=TH!F2228),"x","")</f>
        <v/>
      </c>
      <c r="AD2228" s="84" t="str">
        <f>IF(AND(N2228="1521",MONTH(C2228)='BK-NL'!$M$11),"x","")</f>
        <v/>
      </c>
    </row>
    <row r="2229" spans="1:30" s="351" customFormat="1" ht="15.75" hidden="1" customHeight="1">
      <c r="A2229" s="336" t="str">
        <f>IF(B2229&lt;&gt;"",IF(AND(B2229='IN-TC'!$S$4,OR(TH!N2229="1111",TH!O2229="1111")),TH!D2229,""),"")</f>
        <v/>
      </c>
      <c r="B2229" s="63" t="str">
        <f t="shared" si="289"/>
        <v/>
      </c>
      <c r="C2229" s="64"/>
      <c r="D2229" s="64"/>
      <c r="E2229" s="64"/>
      <c r="F2229" s="67"/>
      <c r="G2229" s="67"/>
      <c r="H2229" s="73"/>
      <c r="I2229" s="439"/>
      <c r="J2229" s="439"/>
      <c r="K2229" s="430"/>
      <c r="L2229" s="439"/>
      <c r="M2229" s="65"/>
      <c r="N2229" s="66"/>
      <c r="O2229" s="66"/>
      <c r="P2229" s="84" t="str">
        <f>IF(AND('331-CT'!$E$7=TH!H2229,OR(N2229="331",O2229="331")),"x","")</f>
        <v/>
      </c>
      <c r="Q2229" s="84" t="str">
        <f>IF(AND(B2229='111'!$L$11,OR($N2229=$Q$7,$O2229=$Q$7)),"x","")</f>
        <v/>
      </c>
      <c r="R2229" s="84" t="str">
        <f>IF(AND($N2229=$Q$7,$B2229&lt;'111'!$L$11),"x","")</f>
        <v/>
      </c>
      <c r="S2229" s="84" t="str">
        <f>IF(AND($O2229=$Q$7,$B2229&lt;'111'!$L$11),"x","")</f>
        <v/>
      </c>
      <c r="T2229" s="84" t="str">
        <f>IF(ISERROR(FIND('112'!$M$9,G2229,1)),"",IF((AND(FIND('112'!$M$9,G2229,1)&gt;=1,B2229='112'!$K$9,OR($N2229='112'!$I$6,$O2229='112'!$I$6))),"x",""))</f>
        <v/>
      </c>
      <c r="U2229" s="84" t="str">
        <f>IF(ISERROR(FIND('112'!$M$9,G2229,1)),"",IF((AND(LEFT(G2229,2)=LEFT('112'!$M$9,2),B2229&lt;'112'!$K$9,$N2229='112'!$I$6)),"x",""))</f>
        <v/>
      </c>
      <c r="V2229" s="84" t="str">
        <f>IF(ISERROR(FIND('112'!$M$9,G2229,1)),"",IF((AND(RIGHT(G2229,2)=RIGHT('112'!$M$9,2),B2229&lt;'112'!$K$9,$O2229='112'!$I$6)),"x",""))</f>
        <v/>
      </c>
      <c r="W2229" s="84" t="str">
        <f>IF(AND('341-CT'!$H$9=H2229,OR(LEFT(N2229,3)=$W$7,LEFT(O2229,3)=$W$7)),"x","")</f>
        <v/>
      </c>
      <c r="X2229" s="84" t="str">
        <f>IF(OR(TH!N2229=TH!$X$7,O2229=TH!$X$7),"x","")</f>
        <v/>
      </c>
      <c r="Y2229" s="84" t="str">
        <f>IF(AND(OR(N2229="131",O2229="131"),H2229='131-CT'!$H$9),"x","")</f>
        <v/>
      </c>
      <c r="Z2229" s="84"/>
      <c r="AA2229" s="84" t="str">
        <f>IF(AND(MONTH(E2229)='IN-NX'!$J$5,'IN-NX'!$D$7=D2229),"x","")</f>
        <v/>
      </c>
      <c r="AB2229" s="84" t="str">
        <f>IF(AND(OR(LEFT(TH!N2229,2)="15",LEFT(TH!O2229,2)="15"),LEFT(TH!O2229,3)&lt;&gt;"111",'152-CT'!$J$8=TH!F2229),"x","")</f>
        <v/>
      </c>
      <c r="AC2229" s="84" t="str">
        <f>IF(AND(OR(LEFT(TH!N2229,2)="15",LEFT(TH!O2229,2)="15"),TK!$E$7=TH!F2229),"x","")</f>
        <v/>
      </c>
      <c r="AD2229" s="84" t="str">
        <f>IF(AND(N2229="1521",MONTH(C2229)='BK-NL'!$M$11),"x","")</f>
        <v/>
      </c>
    </row>
    <row r="2230" spans="1:30" s="351" customFormat="1" ht="15.75" hidden="1" customHeight="1">
      <c r="A2230" s="336" t="str">
        <f>IF(B2230&lt;&gt;"",IF(AND(B2230='IN-TC'!$S$4,OR(TH!N2230="1111",TH!O2230="1111")),TH!D2230,""),"")</f>
        <v/>
      </c>
      <c r="B2230" s="63" t="str">
        <f t="shared" si="289"/>
        <v/>
      </c>
      <c r="C2230" s="64"/>
      <c r="D2230" s="64"/>
      <c r="E2230" s="64"/>
      <c r="F2230" s="67"/>
      <c r="G2230" s="67"/>
      <c r="H2230" s="73"/>
      <c r="I2230" s="439"/>
      <c r="J2230" s="439"/>
      <c r="K2230" s="430"/>
      <c r="L2230" s="439"/>
      <c r="M2230" s="65"/>
      <c r="N2230" s="66"/>
      <c r="O2230" s="66"/>
      <c r="P2230" s="84" t="str">
        <f>IF(AND('331-CT'!$E$7=TH!H2230,OR(N2230="331",O2230="331")),"x","")</f>
        <v/>
      </c>
      <c r="Q2230" s="84" t="str">
        <f>IF(AND(B2230='111'!$L$11,OR($N2230=$Q$7,$O2230=$Q$7)),"x","")</f>
        <v/>
      </c>
      <c r="R2230" s="84" t="str">
        <f>IF(AND($N2230=$Q$7,$B2230&lt;'111'!$L$11),"x","")</f>
        <v/>
      </c>
      <c r="S2230" s="84" t="str">
        <f>IF(AND($O2230=$Q$7,$B2230&lt;'111'!$L$11),"x","")</f>
        <v/>
      </c>
      <c r="T2230" s="84" t="str">
        <f>IF(ISERROR(FIND('112'!$M$9,G2230,1)),"",IF((AND(FIND('112'!$M$9,G2230,1)&gt;=1,B2230='112'!$K$9,OR($N2230='112'!$I$6,$O2230='112'!$I$6))),"x",""))</f>
        <v/>
      </c>
      <c r="U2230" s="84" t="str">
        <f>IF(ISERROR(FIND('112'!$M$9,G2230,1)),"",IF((AND(LEFT(G2230,2)=LEFT('112'!$M$9,2),B2230&lt;'112'!$K$9,$N2230='112'!$I$6)),"x",""))</f>
        <v/>
      </c>
      <c r="V2230" s="84" t="str">
        <f>IF(ISERROR(FIND('112'!$M$9,G2230,1)),"",IF((AND(RIGHT(G2230,2)=RIGHT('112'!$M$9,2),B2230&lt;'112'!$K$9,$O2230='112'!$I$6)),"x",""))</f>
        <v/>
      </c>
      <c r="W2230" s="84" t="str">
        <f>IF(AND('341-CT'!$H$9=H2230,OR(LEFT(N2230,3)=$W$7,LEFT(O2230,3)=$W$7)),"x","")</f>
        <v/>
      </c>
      <c r="X2230" s="84" t="str">
        <f>IF(OR(TH!N2230=TH!$X$7,O2230=TH!$X$7),"x","")</f>
        <v/>
      </c>
      <c r="Y2230" s="84" t="str">
        <f>IF(AND(OR(N2230="131",O2230="131"),H2230='131-CT'!$H$9),"x","")</f>
        <v/>
      </c>
      <c r="Z2230" s="84"/>
      <c r="AA2230" s="84" t="str">
        <f>IF(AND(MONTH(E2230)='IN-NX'!$J$5,'IN-NX'!$D$7=D2230),"x","")</f>
        <v/>
      </c>
      <c r="AB2230" s="84" t="str">
        <f>IF(AND(OR(LEFT(TH!N2230,2)="15",LEFT(TH!O2230,2)="15"),LEFT(TH!O2230,3)&lt;&gt;"111",'152-CT'!$J$8=TH!F2230),"x","")</f>
        <v/>
      </c>
      <c r="AC2230" s="84" t="str">
        <f>IF(AND(OR(LEFT(TH!N2230,2)="15",LEFT(TH!O2230,2)="15"),TK!$E$7=TH!F2230),"x","")</f>
        <v/>
      </c>
      <c r="AD2230" s="84" t="str">
        <f>IF(AND(N2230="1521",MONTH(C2230)='BK-NL'!$M$11),"x","")</f>
        <v/>
      </c>
    </row>
    <row r="2231" spans="1:30" s="351" customFormat="1" ht="15.75" hidden="1" customHeight="1">
      <c r="A2231" s="336" t="str">
        <f>IF(B2231&lt;&gt;"",IF(AND(B2231='IN-TC'!$S$4,OR(TH!N2231="1111",TH!O2231="1111")),TH!D2231,""),"")</f>
        <v/>
      </c>
      <c r="B2231" s="63" t="str">
        <f t="shared" si="289"/>
        <v/>
      </c>
      <c r="C2231" s="64"/>
      <c r="D2231" s="64"/>
      <c r="E2231" s="64"/>
      <c r="F2231" s="67"/>
      <c r="G2231" s="67"/>
      <c r="H2231" s="73"/>
      <c r="I2231" s="439"/>
      <c r="J2231" s="439"/>
      <c r="K2231" s="430"/>
      <c r="L2231" s="439"/>
      <c r="M2231" s="65"/>
      <c r="N2231" s="66"/>
      <c r="O2231" s="66"/>
      <c r="P2231" s="84" t="str">
        <f>IF(AND('331-CT'!$E$7=TH!H2231,OR(N2231="331",O2231="331")),"x","")</f>
        <v/>
      </c>
      <c r="Q2231" s="84" t="str">
        <f>IF(AND(B2231='111'!$L$11,OR($N2231=$Q$7,$O2231=$Q$7)),"x","")</f>
        <v/>
      </c>
      <c r="R2231" s="84" t="str">
        <f>IF(AND($N2231=$Q$7,$B2231&lt;'111'!$L$11),"x","")</f>
        <v/>
      </c>
      <c r="S2231" s="84" t="str">
        <f>IF(AND($O2231=$Q$7,$B2231&lt;'111'!$L$11),"x","")</f>
        <v/>
      </c>
      <c r="T2231" s="84" t="str">
        <f>IF(ISERROR(FIND('112'!$M$9,G2231,1)),"",IF((AND(FIND('112'!$M$9,G2231,1)&gt;=1,B2231='112'!$K$9,OR($N2231='112'!$I$6,$O2231='112'!$I$6))),"x",""))</f>
        <v/>
      </c>
      <c r="U2231" s="84" t="str">
        <f>IF(ISERROR(FIND('112'!$M$9,G2231,1)),"",IF((AND(LEFT(G2231,2)=LEFT('112'!$M$9,2),B2231&lt;'112'!$K$9,$N2231='112'!$I$6)),"x",""))</f>
        <v/>
      </c>
      <c r="V2231" s="84" t="str">
        <f>IF(ISERROR(FIND('112'!$M$9,G2231,1)),"",IF((AND(RIGHT(G2231,2)=RIGHT('112'!$M$9,2),B2231&lt;'112'!$K$9,$O2231='112'!$I$6)),"x",""))</f>
        <v/>
      </c>
      <c r="W2231" s="84" t="str">
        <f>IF(AND('341-CT'!$H$9=H2231,OR(LEFT(N2231,3)=$W$7,LEFT(O2231,3)=$W$7)),"x","")</f>
        <v/>
      </c>
      <c r="X2231" s="84" t="str">
        <f>IF(OR(TH!N2231=TH!$X$7,O2231=TH!$X$7),"x","")</f>
        <v/>
      </c>
      <c r="Y2231" s="84" t="str">
        <f>IF(AND(OR(N2231="131",O2231="131"),H2231='131-CT'!$H$9),"x","")</f>
        <v/>
      </c>
      <c r="Z2231" s="84"/>
      <c r="AA2231" s="84" t="str">
        <f>IF(AND(MONTH(E2231)='IN-NX'!$J$5,'IN-NX'!$D$7=D2231),"x","")</f>
        <v/>
      </c>
      <c r="AB2231" s="84" t="str">
        <f>IF(AND(OR(LEFT(TH!N2231,2)="15",LEFT(TH!O2231,2)="15"),LEFT(TH!O2231,3)&lt;&gt;"111",'152-CT'!$J$8=TH!F2231),"x","")</f>
        <v/>
      </c>
      <c r="AC2231" s="84" t="str">
        <f>IF(AND(OR(LEFT(TH!N2231,2)="15",LEFT(TH!O2231,2)="15"),TK!$E$7=TH!F2231),"x","")</f>
        <v/>
      </c>
      <c r="AD2231" s="84" t="str">
        <f>IF(AND(N2231="1521",MONTH(C2231)='BK-NL'!$M$11),"x","")</f>
        <v/>
      </c>
    </row>
    <row r="2232" spans="1:30" s="351" customFormat="1" ht="15.75" hidden="1" customHeight="1">
      <c r="A2232" s="336" t="str">
        <f>IF(B2232&lt;&gt;"",IF(AND(B2232='IN-TC'!$S$4,OR(TH!N2232="1111",TH!O2232="1111")),TH!D2232,""),"")</f>
        <v/>
      </c>
      <c r="B2232" s="63" t="str">
        <f t="shared" si="289"/>
        <v/>
      </c>
      <c r="C2232" s="64"/>
      <c r="D2232" s="64"/>
      <c r="E2232" s="64"/>
      <c r="F2232" s="67"/>
      <c r="G2232" s="67"/>
      <c r="H2232" s="73"/>
      <c r="I2232" s="439"/>
      <c r="J2232" s="439"/>
      <c r="K2232" s="430"/>
      <c r="L2232" s="439"/>
      <c r="M2232" s="65"/>
      <c r="N2232" s="66"/>
      <c r="O2232" s="66"/>
      <c r="P2232" s="84" t="str">
        <f>IF(AND('331-CT'!$E$7=TH!H2232,OR(N2232="331",O2232="331")),"x","")</f>
        <v/>
      </c>
      <c r="Q2232" s="84" t="str">
        <f>IF(AND(B2232='111'!$L$11,OR($N2232=$Q$7,$O2232=$Q$7)),"x","")</f>
        <v/>
      </c>
      <c r="R2232" s="84" t="str">
        <f>IF(AND($N2232=$Q$7,$B2232&lt;'111'!$L$11),"x","")</f>
        <v/>
      </c>
      <c r="S2232" s="84" t="str">
        <f>IF(AND($O2232=$Q$7,$B2232&lt;'111'!$L$11),"x","")</f>
        <v/>
      </c>
      <c r="T2232" s="84" t="str">
        <f>IF(ISERROR(FIND('112'!$M$9,G2232,1)),"",IF((AND(FIND('112'!$M$9,G2232,1)&gt;=1,B2232='112'!$K$9,OR($N2232='112'!$I$6,$O2232='112'!$I$6))),"x",""))</f>
        <v/>
      </c>
      <c r="U2232" s="84" t="str">
        <f>IF(ISERROR(FIND('112'!$M$9,G2232,1)),"",IF((AND(LEFT(G2232,2)=LEFT('112'!$M$9,2),B2232&lt;'112'!$K$9,$N2232='112'!$I$6)),"x",""))</f>
        <v/>
      </c>
      <c r="V2232" s="84" t="str">
        <f>IF(ISERROR(FIND('112'!$M$9,G2232,1)),"",IF((AND(RIGHT(G2232,2)=RIGHT('112'!$M$9,2),B2232&lt;'112'!$K$9,$O2232='112'!$I$6)),"x",""))</f>
        <v/>
      </c>
      <c r="W2232" s="84" t="str">
        <f>IF(AND('341-CT'!$H$9=H2232,OR(LEFT(N2232,3)=$W$7,LEFT(O2232,3)=$W$7)),"x","")</f>
        <v/>
      </c>
      <c r="X2232" s="84" t="str">
        <f>IF(OR(TH!N2232=TH!$X$7,O2232=TH!$X$7),"x","")</f>
        <v/>
      </c>
      <c r="Y2232" s="84" t="str">
        <f>IF(AND(OR(N2232="131",O2232="131"),H2232='131-CT'!$H$9),"x","")</f>
        <v/>
      </c>
      <c r="Z2232" s="84"/>
      <c r="AA2232" s="84" t="str">
        <f>IF(AND(MONTH(E2232)='IN-NX'!$J$5,'IN-NX'!$D$7=D2232),"x","")</f>
        <v/>
      </c>
      <c r="AB2232" s="84" t="str">
        <f>IF(AND(OR(LEFT(TH!N2232,2)="15",LEFT(TH!O2232,2)="15"),LEFT(TH!O2232,3)&lt;&gt;"111",'152-CT'!$J$8=TH!F2232),"x","")</f>
        <v/>
      </c>
      <c r="AC2232" s="84" t="str">
        <f>IF(AND(OR(LEFT(TH!N2232,2)="15",LEFT(TH!O2232,2)="15"),TK!$E$7=TH!F2232),"x","")</f>
        <v/>
      </c>
      <c r="AD2232" s="84" t="str">
        <f>IF(AND(N2232="1521",MONTH(C2232)='BK-NL'!$M$11),"x","")</f>
        <v/>
      </c>
    </row>
    <row r="2233" spans="1:30" s="351" customFormat="1" ht="15.75" hidden="1" customHeight="1">
      <c r="A2233" s="336" t="str">
        <f>IF(B2233&lt;&gt;"",IF(AND(B2233='IN-TC'!$S$4,OR(TH!N2233="1111",TH!O2233="1111")),TH!D2233,""),"")</f>
        <v/>
      </c>
      <c r="B2233" s="63" t="str">
        <f t="shared" si="289"/>
        <v/>
      </c>
      <c r="C2233" s="64"/>
      <c r="D2233" s="64"/>
      <c r="E2233" s="64"/>
      <c r="F2233" s="67"/>
      <c r="G2233" s="67"/>
      <c r="H2233" s="73"/>
      <c r="I2233" s="439"/>
      <c r="J2233" s="439"/>
      <c r="K2233" s="430"/>
      <c r="L2233" s="439"/>
      <c r="M2233" s="65"/>
      <c r="N2233" s="66"/>
      <c r="O2233" s="66"/>
      <c r="P2233" s="84" t="str">
        <f>IF(AND('331-CT'!$E$7=TH!H2233,OR(N2233="331",O2233="331")),"x","")</f>
        <v/>
      </c>
      <c r="Q2233" s="84" t="str">
        <f>IF(AND(B2233='111'!$L$11,OR($N2233=$Q$7,$O2233=$Q$7)),"x","")</f>
        <v/>
      </c>
      <c r="R2233" s="84" t="str">
        <f>IF(AND($N2233=$Q$7,$B2233&lt;'111'!$L$11),"x","")</f>
        <v/>
      </c>
      <c r="S2233" s="84" t="str">
        <f>IF(AND($O2233=$Q$7,$B2233&lt;'111'!$L$11),"x","")</f>
        <v/>
      </c>
      <c r="T2233" s="84" t="str">
        <f>IF(ISERROR(FIND('112'!$M$9,G2233,1)),"",IF((AND(FIND('112'!$M$9,G2233,1)&gt;=1,B2233='112'!$K$9,OR($N2233='112'!$I$6,$O2233='112'!$I$6))),"x",""))</f>
        <v/>
      </c>
      <c r="U2233" s="84" t="str">
        <f>IF(ISERROR(FIND('112'!$M$9,G2233,1)),"",IF((AND(LEFT(G2233,2)=LEFT('112'!$M$9,2),B2233&lt;'112'!$K$9,$N2233='112'!$I$6)),"x",""))</f>
        <v/>
      </c>
      <c r="V2233" s="84" t="str">
        <f>IF(ISERROR(FIND('112'!$M$9,G2233,1)),"",IF((AND(RIGHT(G2233,2)=RIGHT('112'!$M$9,2),B2233&lt;'112'!$K$9,$O2233='112'!$I$6)),"x",""))</f>
        <v/>
      </c>
      <c r="W2233" s="84" t="str">
        <f>IF(AND('341-CT'!$H$9=H2233,OR(LEFT(N2233,3)=$W$7,LEFT(O2233,3)=$W$7)),"x","")</f>
        <v/>
      </c>
      <c r="X2233" s="84" t="str">
        <f>IF(OR(TH!N2233=TH!$X$7,O2233=TH!$X$7),"x","")</f>
        <v/>
      </c>
      <c r="Y2233" s="84" t="str">
        <f>IF(AND(OR(N2233="131",O2233="131"),H2233='131-CT'!$H$9),"x","")</f>
        <v/>
      </c>
      <c r="Z2233" s="84"/>
      <c r="AA2233" s="84" t="str">
        <f>IF(AND(MONTH(E2233)='IN-NX'!$J$5,'IN-NX'!$D$7=D2233),"x","")</f>
        <v/>
      </c>
      <c r="AB2233" s="84" t="str">
        <f>IF(AND(OR(LEFT(TH!N2233,2)="15",LEFT(TH!O2233,2)="15"),LEFT(TH!O2233,3)&lt;&gt;"111",'152-CT'!$J$8=TH!F2233),"x","")</f>
        <v/>
      </c>
      <c r="AC2233" s="84" t="str">
        <f>IF(AND(OR(LEFT(TH!N2233,2)="15",LEFT(TH!O2233,2)="15"),TK!$E$7=TH!F2233),"x","")</f>
        <v/>
      </c>
      <c r="AD2233" s="84" t="str">
        <f>IF(AND(N2233="1521",MONTH(C2233)='BK-NL'!$M$11),"x","")</f>
        <v/>
      </c>
    </row>
    <row r="2234" spans="1:30" s="351" customFormat="1" ht="15.75" hidden="1" customHeight="1">
      <c r="A2234" s="336" t="str">
        <f>IF(B2234&lt;&gt;"",IF(AND(B2234='IN-TC'!$S$4,OR(TH!N2234="1111",TH!O2234="1111")),TH!D2234,""),"")</f>
        <v/>
      </c>
      <c r="B2234" s="63" t="str">
        <f t="shared" ref="B2234:B2304" si="290">IF(C2234&lt;&gt;"",MONTH(C2234),"")</f>
        <v/>
      </c>
      <c r="C2234" s="64"/>
      <c r="D2234" s="64"/>
      <c r="E2234" s="64"/>
      <c r="F2234" s="67"/>
      <c r="G2234" s="67"/>
      <c r="H2234" s="73"/>
      <c r="I2234" s="439"/>
      <c r="J2234" s="439"/>
      <c r="K2234" s="430"/>
      <c r="L2234" s="439"/>
      <c r="M2234" s="65"/>
      <c r="N2234" s="66"/>
      <c r="O2234" s="66"/>
      <c r="P2234" s="84" t="str">
        <f>IF(AND('331-CT'!$E$7=TH!H2234,OR(N2234="331",O2234="331")),"x","")</f>
        <v/>
      </c>
      <c r="Q2234" s="84" t="str">
        <f>IF(AND(B2234='111'!$L$11,OR($N2234=$Q$7,$O2234=$Q$7)),"x","")</f>
        <v/>
      </c>
      <c r="R2234" s="84" t="str">
        <f>IF(AND($N2234=$Q$7,$B2234&lt;'111'!$L$11),"x","")</f>
        <v/>
      </c>
      <c r="S2234" s="84" t="str">
        <f>IF(AND($O2234=$Q$7,$B2234&lt;'111'!$L$11),"x","")</f>
        <v/>
      </c>
      <c r="T2234" s="84" t="str">
        <f>IF(ISERROR(FIND('112'!$M$9,G2234,1)),"",IF((AND(FIND('112'!$M$9,G2234,1)&gt;=1,B2234='112'!$K$9,OR($N2234='112'!$I$6,$O2234='112'!$I$6))),"x",""))</f>
        <v/>
      </c>
      <c r="U2234" s="84" t="str">
        <f>IF(ISERROR(FIND('112'!$M$9,G2234,1)),"",IF((AND(LEFT(G2234,2)=LEFT('112'!$M$9,2),B2234&lt;'112'!$K$9,$N2234='112'!$I$6)),"x",""))</f>
        <v/>
      </c>
      <c r="V2234" s="84" t="str">
        <f>IF(ISERROR(FIND('112'!$M$9,G2234,1)),"",IF((AND(RIGHT(G2234,2)=RIGHT('112'!$M$9,2),B2234&lt;'112'!$K$9,$O2234='112'!$I$6)),"x",""))</f>
        <v/>
      </c>
      <c r="W2234" s="84" t="str">
        <f>IF(AND('341-CT'!$H$9=H2234,OR(LEFT(N2234,3)=$W$7,LEFT(O2234,3)=$W$7)),"x","")</f>
        <v/>
      </c>
      <c r="X2234" s="84" t="str">
        <f>IF(OR(TH!N2234=TH!$X$7,O2234=TH!$X$7),"x","")</f>
        <v/>
      </c>
      <c r="Y2234" s="84" t="str">
        <f>IF(AND(OR(N2234="131",O2234="131"),H2234='131-CT'!$H$9),"x","")</f>
        <v/>
      </c>
      <c r="Z2234" s="84"/>
      <c r="AA2234" s="84" t="str">
        <f>IF(AND(MONTH(E2234)='IN-NX'!$J$5,'IN-NX'!$D$7=D2234),"x","")</f>
        <v/>
      </c>
      <c r="AB2234" s="84" t="str">
        <f>IF(AND(OR(LEFT(TH!N2234,2)="15",LEFT(TH!O2234,2)="15"),LEFT(TH!O2234,3)&lt;&gt;"111",'152-CT'!$J$8=TH!F2234),"x","")</f>
        <v/>
      </c>
      <c r="AC2234" s="84" t="str">
        <f>IF(AND(OR(LEFT(TH!N2234,2)="15",LEFT(TH!O2234,2)="15"),TK!$E$7=TH!F2234),"x","")</f>
        <v/>
      </c>
      <c r="AD2234" s="84" t="str">
        <f>IF(AND(N2234="1521",MONTH(C2234)='BK-NL'!$M$11),"x","")</f>
        <v/>
      </c>
    </row>
    <row r="2235" spans="1:30" s="351" customFormat="1" ht="15.75" hidden="1" customHeight="1">
      <c r="A2235" s="336" t="str">
        <f>IF(B2235&lt;&gt;"",IF(AND(B2235='IN-TC'!$S$4,OR(TH!N2235="1111",TH!O2235="1111")),TH!D2235,""),"")</f>
        <v/>
      </c>
      <c r="B2235" s="63" t="str">
        <f t="shared" si="290"/>
        <v/>
      </c>
      <c r="C2235" s="64"/>
      <c r="D2235" s="64"/>
      <c r="E2235" s="64"/>
      <c r="F2235" s="67"/>
      <c r="G2235" s="67"/>
      <c r="H2235" s="73"/>
      <c r="I2235" s="439"/>
      <c r="J2235" s="439"/>
      <c r="K2235" s="430"/>
      <c r="L2235" s="439"/>
      <c r="M2235" s="65"/>
      <c r="N2235" s="66"/>
      <c r="O2235" s="66"/>
      <c r="P2235" s="84" t="str">
        <f>IF(AND('331-CT'!$E$7=TH!H2235,OR(N2235="331",O2235="331")),"x","")</f>
        <v/>
      </c>
      <c r="Q2235" s="84" t="str">
        <f>IF(AND(B2235='111'!$L$11,OR($N2235=$Q$7,$O2235=$Q$7)),"x","")</f>
        <v/>
      </c>
      <c r="R2235" s="84" t="str">
        <f>IF(AND($N2235=$Q$7,$B2235&lt;'111'!$L$11),"x","")</f>
        <v/>
      </c>
      <c r="S2235" s="84" t="str">
        <f>IF(AND($O2235=$Q$7,$B2235&lt;'111'!$L$11),"x","")</f>
        <v/>
      </c>
      <c r="T2235" s="84" t="str">
        <f>IF(ISERROR(FIND('112'!$M$9,G2235,1)),"",IF((AND(FIND('112'!$M$9,G2235,1)&gt;=1,B2235='112'!$K$9,OR($N2235='112'!$I$6,$O2235='112'!$I$6))),"x",""))</f>
        <v/>
      </c>
      <c r="U2235" s="84" t="str">
        <f>IF(ISERROR(FIND('112'!$M$9,G2235,1)),"",IF((AND(LEFT(G2235,2)=LEFT('112'!$M$9,2),B2235&lt;'112'!$K$9,$N2235='112'!$I$6)),"x",""))</f>
        <v/>
      </c>
      <c r="V2235" s="84" t="str">
        <f>IF(ISERROR(FIND('112'!$M$9,G2235,1)),"",IF((AND(RIGHT(G2235,2)=RIGHT('112'!$M$9,2),B2235&lt;'112'!$K$9,$O2235='112'!$I$6)),"x",""))</f>
        <v/>
      </c>
      <c r="W2235" s="84" t="str">
        <f>IF(AND('341-CT'!$H$9=H2235,OR(LEFT(N2235,3)=$W$7,LEFT(O2235,3)=$W$7)),"x","")</f>
        <v/>
      </c>
      <c r="X2235" s="84" t="str">
        <f>IF(OR(TH!N2235=TH!$X$7,O2235=TH!$X$7),"x","")</f>
        <v/>
      </c>
      <c r="Y2235" s="84" t="str">
        <f>IF(AND(OR(N2235="131",O2235="131"),H2235='131-CT'!$H$9),"x","")</f>
        <v/>
      </c>
      <c r="Z2235" s="84"/>
      <c r="AA2235" s="84" t="str">
        <f>IF(AND(MONTH(E2235)='IN-NX'!$J$5,'IN-NX'!$D$7=D2235),"x","")</f>
        <v/>
      </c>
      <c r="AB2235" s="84" t="str">
        <f>IF(AND(OR(LEFT(TH!N2235,2)="15",LEFT(TH!O2235,2)="15"),LEFT(TH!O2235,3)&lt;&gt;"111",'152-CT'!$J$8=TH!F2235),"x","")</f>
        <v/>
      </c>
      <c r="AC2235" s="84" t="str">
        <f>IF(AND(OR(LEFT(TH!N2235,2)="15",LEFT(TH!O2235,2)="15"),TK!$E$7=TH!F2235),"x","")</f>
        <v/>
      </c>
      <c r="AD2235" s="84" t="str">
        <f>IF(AND(N2235="1521",MONTH(C2235)='BK-NL'!$M$11),"x","")</f>
        <v/>
      </c>
    </row>
    <row r="2236" spans="1:30" s="351" customFormat="1" ht="15.75" hidden="1" customHeight="1">
      <c r="A2236" s="336" t="str">
        <f>IF(B2236&lt;&gt;"",IF(AND(B2236='IN-TC'!$S$4,OR(TH!N2236="1111",TH!O2236="1111")),TH!D2236,""),"")</f>
        <v/>
      </c>
      <c r="B2236" s="63" t="str">
        <f t="shared" si="290"/>
        <v/>
      </c>
      <c r="C2236" s="64"/>
      <c r="D2236" s="64"/>
      <c r="E2236" s="64"/>
      <c r="F2236" s="67"/>
      <c r="G2236" s="67"/>
      <c r="H2236" s="73"/>
      <c r="I2236" s="439"/>
      <c r="J2236" s="439"/>
      <c r="K2236" s="430"/>
      <c r="L2236" s="439"/>
      <c r="M2236" s="65"/>
      <c r="N2236" s="66"/>
      <c r="O2236" s="66"/>
      <c r="P2236" s="84" t="str">
        <f>IF(AND('331-CT'!$E$7=TH!H2236,OR(N2236="331",O2236="331")),"x","")</f>
        <v/>
      </c>
      <c r="Q2236" s="84" t="str">
        <f>IF(AND(B2236='111'!$L$11,OR($N2236=$Q$7,$O2236=$Q$7)),"x","")</f>
        <v/>
      </c>
      <c r="R2236" s="84" t="str">
        <f>IF(AND($N2236=$Q$7,$B2236&lt;'111'!$L$11),"x","")</f>
        <v/>
      </c>
      <c r="S2236" s="84" t="str">
        <f>IF(AND($O2236=$Q$7,$B2236&lt;'111'!$L$11),"x","")</f>
        <v/>
      </c>
      <c r="T2236" s="84" t="str">
        <f>IF(ISERROR(FIND('112'!$M$9,G2236,1)),"",IF((AND(FIND('112'!$M$9,G2236,1)&gt;=1,B2236='112'!$K$9,OR($N2236='112'!$I$6,$O2236='112'!$I$6))),"x",""))</f>
        <v/>
      </c>
      <c r="U2236" s="84" t="str">
        <f>IF(ISERROR(FIND('112'!$M$9,G2236,1)),"",IF((AND(LEFT(G2236,2)=LEFT('112'!$M$9,2),B2236&lt;'112'!$K$9,$N2236='112'!$I$6)),"x",""))</f>
        <v/>
      </c>
      <c r="V2236" s="84" t="str">
        <f>IF(ISERROR(FIND('112'!$M$9,G2236,1)),"",IF((AND(RIGHT(G2236,2)=RIGHT('112'!$M$9,2),B2236&lt;'112'!$K$9,$O2236='112'!$I$6)),"x",""))</f>
        <v/>
      </c>
      <c r="W2236" s="84" t="str">
        <f>IF(AND('341-CT'!$H$9=H2236,OR(LEFT(N2236,3)=$W$7,LEFT(O2236,3)=$W$7)),"x","")</f>
        <v/>
      </c>
      <c r="X2236" s="84" t="str">
        <f>IF(OR(TH!N2236=TH!$X$7,O2236=TH!$X$7),"x","")</f>
        <v/>
      </c>
      <c r="Y2236" s="84" t="str">
        <f>IF(AND(OR(N2236="131",O2236="131"),H2236='131-CT'!$H$9),"x","")</f>
        <v/>
      </c>
      <c r="Z2236" s="84"/>
      <c r="AA2236" s="84" t="str">
        <f>IF(AND(MONTH(E2236)='IN-NX'!$J$5,'IN-NX'!$D$7=D2236),"x","")</f>
        <v/>
      </c>
      <c r="AB2236" s="84" t="str">
        <f>IF(AND(OR(LEFT(TH!N2236,2)="15",LEFT(TH!O2236,2)="15"),LEFT(TH!O2236,3)&lt;&gt;"111",'152-CT'!$J$8=TH!F2236),"x","")</f>
        <v/>
      </c>
      <c r="AC2236" s="84" t="str">
        <f>IF(AND(OR(LEFT(TH!N2236,2)="15",LEFT(TH!O2236,2)="15"),TK!$E$7=TH!F2236),"x","")</f>
        <v/>
      </c>
      <c r="AD2236" s="84" t="str">
        <f>IF(AND(N2236="1521",MONTH(C2236)='BK-NL'!$M$11),"x","")</f>
        <v/>
      </c>
    </row>
    <row r="2237" spans="1:30" s="351" customFormat="1" ht="15.75" hidden="1" customHeight="1">
      <c r="A2237" s="336" t="str">
        <f>IF(B2237&lt;&gt;"",IF(AND(B2237='IN-TC'!$S$4,OR(TH!N2237="1111",TH!O2237="1111")),TH!D2237,""),"")</f>
        <v/>
      </c>
      <c r="B2237" s="63" t="str">
        <f t="shared" si="290"/>
        <v/>
      </c>
      <c r="C2237" s="64"/>
      <c r="D2237" s="64"/>
      <c r="E2237" s="64"/>
      <c r="F2237" s="67"/>
      <c r="G2237" s="67"/>
      <c r="H2237" s="73"/>
      <c r="I2237" s="439"/>
      <c r="J2237" s="439"/>
      <c r="K2237" s="430"/>
      <c r="L2237" s="439"/>
      <c r="M2237" s="65"/>
      <c r="N2237" s="66"/>
      <c r="O2237" s="66"/>
      <c r="P2237" s="84" t="str">
        <f>IF(AND('331-CT'!$E$7=TH!H2237,OR(N2237="331",O2237="331")),"x","")</f>
        <v/>
      </c>
      <c r="Q2237" s="84" t="str">
        <f>IF(AND(B2237='111'!$L$11,OR($N2237=$Q$7,$O2237=$Q$7)),"x","")</f>
        <v/>
      </c>
      <c r="R2237" s="84" t="str">
        <f>IF(AND($N2237=$Q$7,$B2237&lt;'111'!$L$11),"x","")</f>
        <v/>
      </c>
      <c r="S2237" s="84" t="str">
        <f>IF(AND($O2237=$Q$7,$B2237&lt;'111'!$L$11),"x","")</f>
        <v/>
      </c>
      <c r="T2237" s="84" t="str">
        <f>IF(ISERROR(FIND('112'!$M$9,G2237,1)),"",IF((AND(FIND('112'!$M$9,G2237,1)&gt;=1,B2237='112'!$K$9,OR($N2237='112'!$I$6,$O2237='112'!$I$6))),"x",""))</f>
        <v/>
      </c>
      <c r="U2237" s="84" t="str">
        <f>IF(ISERROR(FIND('112'!$M$9,G2237,1)),"",IF((AND(LEFT(G2237,2)=LEFT('112'!$M$9,2),B2237&lt;'112'!$K$9,$N2237='112'!$I$6)),"x",""))</f>
        <v/>
      </c>
      <c r="V2237" s="84" t="str">
        <f>IF(ISERROR(FIND('112'!$M$9,G2237,1)),"",IF((AND(RIGHT(G2237,2)=RIGHT('112'!$M$9,2),B2237&lt;'112'!$K$9,$O2237='112'!$I$6)),"x",""))</f>
        <v/>
      </c>
      <c r="W2237" s="84" t="str">
        <f>IF(AND('341-CT'!$H$9=H2237,OR(LEFT(N2237,3)=$W$7,LEFT(O2237,3)=$W$7)),"x","")</f>
        <v/>
      </c>
      <c r="X2237" s="84" t="str">
        <f>IF(OR(TH!N2237=TH!$X$7,O2237=TH!$X$7),"x","")</f>
        <v/>
      </c>
      <c r="Y2237" s="84" t="str">
        <f>IF(AND(OR(N2237="131",O2237="131"),H2237='131-CT'!$H$9),"x","")</f>
        <v/>
      </c>
      <c r="Z2237" s="84"/>
      <c r="AA2237" s="84" t="str">
        <f>IF(AND(MONTH(E2237)='IN-NX'!$J$5,'IN-NX'!$D$7=D2237),"x","")</f>
        <v/>
      </c>
      <c r="AB2237" s="84" t="str">
        <f>IF(AND(OR(LEFT(TH!N2237,2)="15",LEFT(TH!O2237,2)="15"),LEFT(TH!O2237,3)&lt;&gt;"111",'152-CT'!$J$8=TH!F2237),"x","")</f>
        <v/>
      </c>
      <c r="AC2237" s="84" t="str">
        <f>IF(AND(OR(LEFT(TH!N2237,2)="15",LEFT(TH!O2237,2)="15"),TK!$E$7=TH!F2237),"x","")</f>
        <v/>
      </c>
      <c r="AD2237" s="84" t="str">
        <f>IF(AND(N2237="1521",MONTH(C2237)='BK-NL'!$M$11),"x","")</f>
        <v/>
      </c>
    </row>
    <row r="2238" spans="1:30" s="351" customFormat="1" ht="15.75" hidden="1" customHeight="1">
      <c r="A2238" s="336" t="str">
        <f>IF(B2238&lt;&gt;"",IF(AND(B2238='IN-TC'!$S$4,OR(TH!N2238="1111",TH!O2238="1111")),TH!D2238,""),"")</f>
        <v/>
      </c>
      <c r="B2238" s="63" t="str">
        <f t="shared" si="290"/>
        <v/>
      </c>
      <c r="C2238" s="64"/>
      <c r="D2238" s="64"/>
      <c r="E2238" s="64"/>
      <c r="F2238" s="67"/>
      <c r="G2238" s="67"/>
      <c r="H2238" s="73"/>
      <c r="I2238" s="439"/>
      <c r="J2238" s="439"/>
      <c r="K2238" s="430"/>
      <c r="L2238" s="439"/>
      <c r="M2238" s="65"/>
      <c r="N2238" s="66"/>
      <c r="O2238" s="66"/>
      <c r="P2238" s="84" t="str">
        <f>IF(AND('331-CT'!$E$7=TH!H2238,OR(N2238="331",O2238="331")),"x","")</f>
        <v/>
      </c>
      <c r="Q2238" s="84" t="str">
        <f>IF(AND(B2238='111'!$L$11,OR($N2238=$Q$7,$O2238=$Q$7)),"x","")</f>
        <v/>
      </c>
      <c r="R2238" s="84" t="str">
        <f>IF(AND($N2238=$Q$7,$B2238&lt;'111'!$L$11),"x","")</f>
        <v/>
      </c>
      <c r="S2238" s="84" t="str">
        <f>IF(AND($O2238=$Q$7,$B2238&lt;'111'!$L$11),"x","")</f>
        <v/>
      </c>
      <c r="T2238" s="84" t="str">
        <f>IF(ISERROR(FIND('112'!$M$9,G2238,1)),"",IF((AND(FIND('112'!$M$9,G2238,1)&gt;=1,B2238='112'!$K$9,OR($N2238='112'!$I$6,$O2238='112'!$I$6))),"x",""))</f>
        <v/>
      </c>
      <c r="U2238" s="84" t="str">
        <f>IF(ISERROR(FIND('112'!$M$9,G2238,1)),"",IF((AND(LEFT(G2238,2)=LEFT('112'!$M$9,2),B2238&lt;'112'!$K$9,$N2238='112'!$I$6)),"x",""))</f>
        <v/>
      </c>
      <c r="V2238" s="84" t="str">
        <f>IF(ISERROR(FIND('112'!$M$9,G2238,1)),"",IF((AND(RIGHT(G2238,2)=RIGHT('112'!$M$9,2),B2238&lt;'112'!$K$9,$O2238='112'!$I$6)),"x",""))</f>
        <v/>
      </c>
      <c r="W2238" s="84" t="str">
        <f>IF(AND('341-CT'!$H$9=H2238,OR(LEFT(N2238,3)=$W$7,LEFT(O2238,3)=$W$7)),"x","")</f>
        <v/>
      </c>
      <c r="X2238" s="84" t="str">
        <f>IF(OR(TH!N2238=TH!$X$7,O2238=TH!$X$7),"x","")</f>
        <v/>
      </c>
      <c r="Y2238" s="84" t="str">
        <f>IF(AND(OR(N2238="131",O2238="131"),H2238='131-CT'!$H$9),"x","")</f>
        <v/>
      </c>
      <c r="Z2238" s="84"/>
      <c r="AA2238" s="84" t="str">
        <f>IF(AND(MONTH(E2238)='IN-NX'!$J$5,'IN-NX'!$D$7=D2238),"x","")</f>
        <v/>
      </c>
      <c r="AB2238" s="84" t="str">
        <f>IF(AND(OR(LEFT(TH!N2238,2)="15",LEFT(TH!O2238,2)="15"),LEFT(TH!O2238,3)&lt;&gt;"111",'152-CT'!$J$8=TH!F2238),"x","")</f>
        <v/>
      </c>
      <c r="AC2238" s="84" t="str">
        <f>IF(AND(OR(LEFT(TH!N2238,2)="15",LEFT(TH!O2238,2)="15"),TK!$E$7=TH!F2238),"x","")</f>
        <v/>
      </c>
      <c r="AD2238" s="84" t="str">
        <f>IF(AND(N2238="1521",MONTH(C2238)='BK-NL'!$M$11),"x","")</f>
        <v/>
      </c>
    </row>
    <row r="2239" spans="1:30" s="351" customFormat="1" ht="15.75" hidden="1" customHeight="1">
      <c r="A2239" s="336" t="str">
        <f>IF(B2239&lt;&gt;"",IF(AND(B2239='IN-TC'!$S$4,OR(TH!N2239="1111",TH!O2239="1111")),TH!D2239,""),"")</f>
        <v/>
      </c>
      <c r="B2239" s="63" t="str">
        <f t="shared" si="290"/>
        <v/>
      </c>
      <c r="C2239" s="64"/>
      <c r="D2239" s="64"/>
      <c r="E2239" s="64"/>
      <c r="F2239" s="67"/>
      <c r="G2239" s="67"/>
      <c r="H2239" s="73"/>
      <c r="I2239" s="439"/>
      <c r="J2239" s="439"/>
      <c r="K2239" s="430"/>
      <c r="L2239" s="439"/>
      <c r="M2239" s="65"/>
      <c r="N2239" s="66"/>
      <c r="O2239" s="66"/>
      <c r="P2239" s="84" t="str">
        <f>IF(AND('331-CT'!$E$7=TH!H2239,OR(N2239="331",O2239="331")),"x","")</f>
        <v/>
      </c>
      <c r="Q2239" s="84" t="str">
        <f>IF(AND(B2239='111'!$L$11,OR($N2239=$Q$7,$O2239=$Q$7)),"x","")</f>
        <v/>
      </c>
      <c r="R2239" s="84" t="str">
        <f>IF(AND($N2239=$Q$7,$B2239&lt;'111'!$L$11),"x","")</f>
        <v/>
      </c>
      <c r="S2239" s="84" t="str">
        <f>IF(AND($O2239=$Q$7,$B2239&lt;'111'!$L$11),"x","")</f>
        <v/>
      </c>
      <c r="T2239" s="84" t="str">
        <f>IF(ISERROR(FIND('112'!$M$9,G2239,1)),"",IF((AND(FIND('112'!$M$9,G2239,1)&gt;=1,B2239='112'!$K$9,OR($N2239='112'!$I$6,$O2239='112'!$I$6))),"x",""))</f>
        <v/>
      </c>
      <c r="U2239" s="84" t="str">
        <f>IF(ISERROR(FIND('112'!$M$9,G2239,1)),"",IF((AND(LEFT(G2239,2)=LEFT('112'!$M$9,2),B2239&lt;'112'!$K$9,$N2239='112'!$I$6)),"x",""))</f>
        <v/>
      </c>
      <c r="V2239" s="84" t="str">
        <f>IF(ISERROR(FIND('112'!$M$9,G2239,1)),"",IF((AND(RIGHT(G2239,2)=RIGHT('112'!$M$9,2),B2239&lt;'112'!$K$9,$O2239='112'!$I$6)),"x",""))</f>
        <v/>
      </c>
      <c r="W2239" s="84" t="str">
        <f>IF(AND('341-CT'!$H$9=H2239,OR(LEFT(N2239,3)=$W$7,LEFT(O2239,3)=$W$7)),"x","")</f>
        <v/>
      </c>
      <c r="X2239" s="84" t="str">
        <f>IF(OR(TH!N2239=TH!$X$7,O2239=TH!$X$7),"x","")</f>
        <v/>
      </c>
      <c r="Y2239" s="84" t="str">
        <f>IF(AND(OR(N2239="131",O2239="131"),H2239='131-CT'!$H$9),"x","")</f>
        <v/>
      </c>
      <c r="Z2239" s="84"/>
      <c r="AA2239" s="84" t="str">
        <f>IF(AND(MONTH(E2239)='IN-NX'!$J$5,'IN-NX'!$D$7=D2239),"x","")</f>
        <v/>
      </c>
      <c r="AB2239" s="84" t="str">
        <f>IF(AND(OR(LEFT(TH!N2239,2)="15",LEFT(TH!O2239,2)="15"),LEFT(TH!O2239,3)&lt;&gt;"111",'152-CT'!$J$8=TH!F2239),"x","")</f>
        <v/>
      </c>
      <c r="AC2239" s="84" t="str">
        <f>IF(AND(OR(LEFT(TH!N2239,2)="15",LEFT(TH!O2239,2)="15"),TK!$E$7=TH!F2239),"x","")</f>
        <v/>
      </c>
      <c r="AD2239" s="84" t="str">
        <f>IF(AND(N2239="1521",MONTH(C2239)='BK-NL'!$M$11),"x","")</f>
        <v/>
      </c>
    </row>
    <row r="2240" spans="1:30" s="351" customFormat="1" ht="15.75" hidden="1" customHeight="1">
      <c r="A2240" s="336" t="str">
        <f>IF(B2240&lt;&gt;"",IF(AND(B2240='IN-TC'!$S$4,OR(TH!N2240="1111",TH!O2240="1111")),TH!D2240,""),"")</f>
        <v/>
      </c>
      <c r="B2240" s="63" t="str">
        <f t="shared" si="290"/>
        <v/>
      </c>
      <c r="C2240" s="64"/>
      <c r="D2240" s="64"/>
      <c r="E2240" s="64"/>
      <c r="F2240" s="67"/>
      <c r="G2240" s="67"/>
      <c r="H2240" s="73"/>
      <c r="I2240" s="439"/>
      <c r="J2240" s="439"/>
      <c r="K2240" s="430"/>
      <c r="L2240" s="439"/>
      <c r="M2240" s="65"/>
      <c r="N2240" s="66"/>
      <c r="O2240" s="66"/>
      <c r="P2240" s="84" t="str">
        <f>IF(AND('331-CT'!$E$7=TH!H2240,OR(N2240="331",O2240="331")),"x","")</f>
        <v/>
      </c>
      <c r="Q2240" s="84" t="str">
        <f>IF(AND(B2240='111'!$L$11,OR($N2240=$Q$7,$O2240=$Q$7)),"x","")</f>
        <v/>
      </c>
      <c r="R2240" s="84" t="str">
        <f>IF(AND($N2240=$Q$7,$B2240&lt;'111'!$L$11),"x","")</f>
        <v/>
      </c>
      <c r="S2240" s="84" t="str">
        <f>IF(AND($O2240=$Q$7,$B2240&lt;'111'!$L$11),"x","")</f>
        <v/>
      </c>
      <c r="T2240" s="84" t="str">
        <f>IF(ISERROR(FIND('112'!$M$9,G2240,1)),"",IF((AND(FIND('112'!$M$9,G2240,1)&gt;=1,B2240='112'!$K$9,OR($N2240='112'!$I$6,$O2240='112'!$I$6))),"x",""))</f>
        <v/>
      </c>
      <c r="U2240" s="84" t="str">
        <f>IF(ISERROR(FIND('112'!$M$9,G2240,1)),"",IF((AND(LEFT(G2240,2)=LEFT('112'!$M$9,2),B2240&lt;'112'!$K$9,$N2240='112'!$I$6)),"x",""))</f>
        <v/>
      </c>
      <c r="V2240" s="84" t="str">
        <f>IF(ISERROR(FIND('112'!$M$9,G2240,1)),"",IF((AND(RIGHT(G2240,2)=RIGHT('112'!$M$9,2),B2240&lt;'112'!$K$9,$O2240='112'!$I$6)),"x",""))</f>
        <v/>
      </c>
      <c r="W2240" s="84" t="str">
        <f>IF(AND('341-CT'!$H$9=H2240,OR(LEFT(N2240,3)=$W$7,LEFT(O2240,3)=$W$7)),"x","")</f>
        <v/>
      </c>
      <c r="X2240" s="84" t="str">
        <f>IF(OR(TH!N2240=TH!$X$7,O2240=TH!$X$7),"x","")</f>
        <v/>
      </c>
      <c r="Y2240" s="84" t="str">
        <f>IF(AND(OR(N2240="131",O2240="131"),H2240='131-CT'!$H$9),"x","")</f>
        <v/>
      </c>
      <c r="Z2240" s="84"/>
      <c r="AA2240" s="84" t="str">
        <f>IF(AND(MONTH(E2240)='IN-NX'!$J$5,'IN-NX'!$D$7=D2240),"x","")</f>
        <v/>
      </c>
      <c r="AB2240" s="84" t="str">
        <f>IF(AND(OR(LEFT(TH!N2240,2)="15",LEFT(TH!O2240,2)="15"),LEFT(TH!O2240,3)&lt;&gt;"111",'152-CT'!$J$8=TH!F2240),"x","")</f>
        <v/>
      </c>
      <c r="AC2240" s="84" t="str">
        <f>IF(AND(OR(LEFT(TH!N2240,2)="15",LEFT(TH!O2240,2)="15"),TK!$E$7=TH!F2240),"x","")</f>
        <v/>
      </c>
      <c r="AD2240" s="84" t="str">
        <f>IF(AND(N2240="1521",MONTH(C2240)='BK-NL'!$M$11),"x","")</f>
        <v/>
      </c>
    </row>
    <row r="2241" spans="1:30" s="351" customFormat="1" ht="15.75" hidden="1" customHeight="1">
      <c r="A2241" s="336" t="str">
        <f>IF(B2241&lt;&gt;"",IF(AND(B2241='IN-TC'!$S$4,OR(TH!N2241="1111",TH!O2241="1111")),TH!D2241,""),"")</f>
        <v/>
      </c>
      <c r="B2241" s="63" t="str">
        <f t="shared" si="290"/>
        <v/>
      </c>
      <c r="C2241" s="64"/>
      <c r="D2241" s="64"/>
      <c r="E2241" s="64"/>
      <c r="F2241" s="67"/>
      <c r="G2241" s="67"/>
      <c r="H2241" s="73"/>
      <c r="I2241" s="439"/>
      <c r="J2241" s="439"/>
      <c r="K2241" s="430"/>
      <c r="L2241" s="439"/>
      <c r="M2241" s="65"/>
      <c r="N2241" s="66"/>
      <c r="O2241" s="66"/>
      <c r="P2241" s="84" t="str">
        <f>IF(AND('331-CT'!$E$7=TH!H2241,OR(N2241="331",O2241="331")),"x","")</f>
        <v/>
      </c>
      <c r="Q2241" s="84" t="str">
        <f>IF(AND(B2241='111'!$L$11,OR($N2241=$Q$7,$O2241=$Q$7)),"x","")</f>
        <v/>
      </c>
      <c r="R2241" s="84" t="str">
        <f>IF(AND($N2241=$Q$7,$B2241&lt;'111'!$L$11),"x","")</f>
        <v/>
      </c>
      <c r="S2241" s="84" t="str">
        <f>IF(AND($O2241=$Q$7,$B2241&lt;'111'!$L$11),"x","")</f>
        <v/>
      </c>
      <c r="T2241" s="84" t="str">
        <f>IF(ISERROR(FIND('112'!$M$9,G2241,1)),"",IF((AND(FIND('112'!$M$9,G2241,1)&gt;=1,B2241='112'!$K$9,OR($N2241='112'!$I$6,$O2241='112'!$I$6))),"x",""))</f>
        <v/>
      </c>
      <c r="U2241" s="84" t="str">
        <f>IF(ISERROR(FIND('112'!$M$9,G2241,1)),"",IF((AND(LEFT(G2241,2)=LEFT('112'!$M$9,2),B2241&lt;'112'!$K$9,$N2241='112'!$I$6)),"x",""))</f>
        <v/>
      </c>
      <c r="V2241" s="84" t="str">
        <f>IF(ISERROR(FIND('112'!$M$9,G2241,1)),"",IF((AND(RIGHT(G2241,2)=RIGHT('112'!$M$9,2),B2241&lt;'112'!$K$9,$O2241='112'!$I$6)),"x",""))</f>
        <v/>
      </c>
      <c r="W2241" s="84" t="str">
        <f>IF(AND('341-CT'!$H$9=H2241,OR(LEFT(N2241,3)=$W$7,LEFT(O2241,3)=$W$7)),"x","")</f>
        <v/>
      </c>
      <c r="X2241" s="84" t="str">
        <f>IF(OR(TH!N2241=TH!$X$7,O2241=TH!$X$7),"x","")</f>
        <v/>
      </c>
      <c r="Y2241" s="84" t="str">
        <f>IF(AND(OR(N2241="131",O2241="131"),H2241='131-CT'!$H$9),"x","")</f>
        <v/>
      </c>
      <c r="Z2241" s="84"/>
      <c r="AA2241" s="84" t="str">
        <f>IF(AND(MONTH(E2241)='IN-NX'!$J$5,'IN-NX'!$D$7=D2241),"x","")</f>
        <v/>
      </c>
      <c r="AB2241" s="84" t="str">
        <f>IF(AND(OR(LEFT(TH!N2241,2)="15",LEFT(TH!O2241,2)="15"),LEFT(TH!O2241,3)&lt;&gt;"111",'152-CT'!$J$8=TH!F2241),"x","")</f>
        <v/>
      </c>
      <c r="AC2241" s="84" t="str">
        <f>IF(AND(OR(LEFT(TH!N2241,2)="15",LEFT(TH!O2241,2)="15"),TK!$E$7=TH!F2241),"x","")</f>
        <v/>
      </c>
      <c r="AD2241" s="84" t="str">
        <f>IF(AND(N2241="1521",MONTH(C2241)='BK-NL'!$M$11),"x","")</f>
        <v/>
      </c>
    </row>
    <row r="2242" spans="1:30" s="351" customFormat="1" ht="15.75" hidden="1" customHeight="1">
      <c r="A2242" s="336" t="str">
        <f>IF(B2242&lt;&gt;"",IF(AND(B2242='IN-TC'!$S$4,OR(TH!N2242="1111",TH!O2242="1111")),TH!D2242,""),"")</f>
        <v/>
      </c>
      <c r="B2242" s="63" t="str">
        <f t="shared" si="290"/>
        <v/>
      </c>
      <c r="C2242" s="64"/>
      <c r="D2242" s="64"/>
      <c r="E2242" s="64"/>
      <c r="F2242" s="67"/>
      <c r="G2242" s="67"/>
      <c r="H2242" s="73"/>
      <c r="I2242" s="439"/>
      <c r="J2242" s="439"/>
      <c r="K2242" s="430"/>
      <c r="L2242" s="439"/>
      <c r="M2242" s="65"/>
      <c r="N2242" s="66"/>
      <c r="O2242" s="66"/>
      <c r="P2242" s="84" t="str">
        <f>IF(AND('331-CT'!$E$7=TH!H2242,OR(N2242="331",O2242="331")),"x","")</f>
        <v/>
      </c>
      <c r="Q2242" s="84" t="str">
        <f>IF(AND(B2242='111'!$L$11,OR($N2242=$Q$7,$O2242=$Q$7)),"x","")</f>
        <v/>
      </c>
      <c r="R2242" s="84" t="str">
        <f>IF(AND($N2242=$Q$7,$B2242&lt;'111'!$L$11),"x","")</f>
        <v/>
      </c>
      <c r="S2242" s="84" t="str">
        <f>IF(AND($O2242=$Q$7,$B2242&lt;'111'!$L$11),"x","")</f>
        <v/>
      </c>
      <c r="T2242" s="84" t="str">
        <f>IF(ISERROR(FIND('112'!$M$9,G2242,1)),"",IF((AND(FIND('112'!$M$9,G2242,1)&gt;=1,B2242='112'!$K$9,OR($N2242='112'!$I$6,$O2242='112'!$I$6))),"x",""))</f>
        <v/>
      </c>
      <c r="U2242" s="84" t="str">
        <f>IF(ISERROR(FIND('112'!$M$9,G2242,1)),"",IF((AND(LEFT(G2242,2)=LEFT('112'!$M$9,2),B2242&lt;'112'!$K$9,$N2242='112'!$I$6)),"x",""))</f>
        <v/>
      </c>
      <c r="V2242" s="84" t="str">
        <f>IF(ISERROR(FIND('112'!$M$9,G2242,1)),"",IF((AND(RIGHT(G2242,2)=RIGHT('112'!$M$9,2),B2242&lt;'112'!$K$9,$O2242='112'!$I$6)),"x",""))</f>
        <v/>
      </c>
      <c r="W2242" s="84" t="str">
        <f>IF(AND('341-CT'!$H$9=H2242,OR(LEFT(N2242,3)=$W$7,LEFT(O2242,3)=$W$7)),"x","")</f>
        <v/>
      </c>
      <c r="X2242" s="84" t="str">
        <f>IF(OR(TH!N2242=TH!$X$7,O2242=TH!$X$7),"x","")</f>
        <v/>
      </c>
      <c r="Y2242" s="84" t="str">
        <f>IF(AND(OR(N2242="131",O2242="131"),H2242='131-CT'!$H$9),"x","")</f>
        <v/>
      </c>
      <c r="Z2242" s="84"/>
      <c r="AA2242" s="84" t="str">
        <f>IF(AND(MONTH(E2242)='IN-NX'!$J$5,'IN-NX'!$D$7=D2242),"x","")</f>
        <v/>
      </c>
      <c r="AB2242" s="84" t="str">
        <f>IF(AND(OR(LEFT(TH!N2242,2)="15",LEFT(TH!O2242,2)="15"),LEFT(TH!O2242,3)&lt;&gt;"111",'152-CT'!$J$8=TH!F2242),"x","")</f>
        <v/>
      </c>
      <c r="AC2242" s="84" t="str">
        <f>IF(AND(OR(LEFT(TH!N2242,2)="15",LEFT(TH!O2242,2)="15"),TK!$E$7=TH!F2242),"x","")</f>
        <v/>
      </c>
      <c r="AD2242" s="84" t="str">
        <f>IF(AND(N2242="1521",MONTH(C2242)='BK-NL'!$M$11),"x","")</f>
        <v/>
      </c>
    </row>
    <row r="2243" spans="1:30" s="351" customFormat="1" ht="15.75" hidden="1" customHeight="1">
      <c r="A2243" s="336" t="str">
        <f>IF(B2243&lt;&gt;"",IF(AND(B2243='IN-TC'!$S$4,OR(TH!N2243="1111",TH!O2243="1111")),TH!D2243,""),"")</f>
        <v/>
      </c>
      <c r="B2243" s="63" t="str">
        <f t="shared" si="290"/>
        <v/>
      </c>
      <c r="C2243" s="64"/>
      <c r="D2243" s="64"/>
      <c r="E2243" s="64"/>
      <c r="F2243" s="67"/>
      <c r="G2243" s="67"/>
      <c r="H2243" s="73"/>
      <c r="I2243" s="439"/>
      <c r="J2243" s="439"/>
      <c r="K2243" s="430"/>
      <c r="L2243" s="439"/>
      <c r="M2243" s="65"/>
      <c r="N2243" s="66"/>
      <c r="O2243" s="66"/>
      <c r="P2243" s="84" t="str">
        <f>IF(AND('331-CT'!$E$7=TH!H2243,OR(N2243="331",O2243="331")),"x","")</f>
        <v/>
      </c>
      <c r="Q2243" s="84" t="str">
        <f>IF(AND(B2243='111'!$L$11,OR($N2243=$Q$7,$O2243=$Q$7)),"x","")</f>
        <v/>
      </c>
      <c r="R2243" s="84" t="str">
        <f>IF(AND($N2243=$Q$7,$B2243&lt;'111'!$L$11),"x","")</f>
        <v/>
      </c>
      <c r="S2243" s="84" t="str">
        <f>IF(AND($O2243=$Q$7,$B2243&lt;'111'!$L$11),"x","")</f>
        <v/>
      </c>
      <c r="T2243" s="84" t="str">
        <f>IF(ISERROR(FIND('112'!$M$9,G2243,1)),"",IF((AND(FIND('112'!$M$9,G2243,1)&gt;=1,B2243='112'!$K$9,OR($N2243='112'!$I$6,$O2243='112'!$I$6))),"x",""))</f>
        <v/>
      </c>
      <c r="U2243" s="84" t="str">
        <f>IF(ISERROR(FIND('112'!$M$9,G2243,1)),"",IF((AND(LEFT(G2243,2)=LEFT('112'!$M$9,2),B2243&lt;'112'!$K$9,$N2243='112'!$I$6)),"x",""))</f>
        <v/>
      </c>
      <c r="V2243" s="84" t="str">
        <f>IF(ISERROR(FIND('112'!$M$9,G2243,1)),"",IF((AND(RIGHT(G2243,2)=RIGHT('112'!$M$9,2),B2243&lt;'112'!$K$9,$O2243='112'!$I$6)),"x",""))</f>
        <v/>
      </c>
      <c r="W2243" s="84" t="str">
        <f>IF(AND('341-CT'!$H$9=H2243,OR(LEFT(N2243,3)=$W$7,LEFT(O2243,3)=$W$7)),"x","")</f>
        <v/>
      </c>
      <c r="X2243" s="84" t="str">
        <f>IF(OR(TH!N2243=TH!$X$7,O2243=TH!$X$7),"x","")</f>
        <v/>
      </c>
      <c r="Y2243" s="84" t="str">
        <f>IF(AND(OR(N2243="131",O2243="131"),H2243='131-CT'!$H$9),"x","")</f>
        <v/>
      </c>
      <c r="Z2243" s="84"/>
      <c r="AA2243" s="84" t="str">
        <f>IF(AND(MONTH(E2243)='IN-NX'!$J$5,'IN-NX'!$D$7=D2243),"x","")</f>
        <v/>
      </c>
      <c r="AB2243" s="84" t="str">
        <f>IF(AND(OR(LEFT(TH!N2243,2)="15",LEFT(TH!O2243,2)="15"),LEFT(TH!O2243,3)&lt;&gt;"111",'152-CT'!$J$8=TH!F2243),"x","")</f>
        <v/>
      </c>
      <c r="AC2243" s="84" t="str">
        <f>IF(AND(OR(LEFT(TH!N2243,2)="15",LEFT(TH!O2243,2)="15"),TK!$E$7=TH!F2243),"x","")</f>
        <v/>
      </c>
      <c r="AD2243" s="84" t="str">
        <f>IF(AND(N2243="1521",MONTH(C2243)='BK-NL'!$M$11),"x","")</f>
        <v/>
      </c>
    </row>
    <row r="2244" spans="1:30" s="351" customFormat="1" ht="15.75" hidden="1" customHeight="1">
      <c r="A2244" s="336" t="str">
        <f>IF(B2244&lt;&gt;"",IF(AND(B2244='IN-TC'!$S$4,OR(TH!N2244="1111",TH!O2244="1111")),TH!D2244,""),"")</f>
        <v/>
      </c>
      <c r="B2244" s="63" t="str">
        <f t="shared" si="290"/>
        <v/>
      </c>
      <c r="C2244" s="64"/>
      <c r="D2244" s="64"/>
      <c r="E2244" s="64"/>
      <c r="F2244" s="67"/>
      <c r="G2244" s="67"/>
      <c r="H2244" s="73"/>
      <c r="I2244" s="439"/>
      <c r="J2244" s="439"/>
      <c r="K2244" s="430"/>
      <c r="L2244" s="439"/>
      <c r="M2244" s="65"/>
      <c r="N2244" s="66"/>
      <c r="O2244" s="66"/>
      <c r="P2244" s="84" t="str">
        <f>IF(AND('331-CT'!$E$7=TH!H2244,OR(N2244="331",O2244="331")),"x","")</f>
        <v/>
      </c>
      <c r="Q2244" s="84" t="str">
        <f>IF(AND(B2244='111'!$L$11,OR($N2244=$Q$7,$O2244=$Q$7)),"x","")</f>
        <v/>
      </c>
      <c r="R2244" s="84" t="str">
        <f>IF(AND($N2244=$Q$7,$B2244&lt;'111'!$L$11),"x","")</f>
        <v/>
      </c>
      <c r="S2244" s="84" t="str">
        <f>IF(AND($O2244=$Q$7,$B2244&lt;'111'!$L$11),"x","")</f>
        <v/>
      </c>
      <c r="T2244" s="84" t="str">
        <f>IF(ISERROR(FIND('112'!$M$9,G2244,1)),"",IF((AND(FIND('112'!$M$9,G2244,1)&gt;=1,B2244='112'!$K$9,OR($N2244='112'!$I$6,$O2244='112'!$I$6))),"x",""))</f>
        <v/>
      </c>
      <c r="U2244" s="84" t="str">
        <f>IF(ISERROR(FIND('112'!$M$9,G2244,1)),"",IF((AND(LEFT(G2244,2)=LEFT('112'!$M$9,2),B2244&lt;'112'!$K$9,$N2244='112'!$I$6)),"x",""))</f>
        <v/>
      </c>
      <c r="V2244" s="84" t="str">
        <f>IF(ISERROR(FIND('112'!$M$9,G2244,1)),"",IF((AND(RIGHT(G2244,2)=RIGHT('112'!$M$9,2),B2244&lt;'112'!$K$9,$O2244='112'!$I$6)),"x",""))</f>
        <v/>
      </c>
      <c r="W2244" s="84" t="str">
        <f>IF(AND('341-CT'!$H$9=H2244,OR(LEFT(N2244,3)=$W$7,LEFT(O2244,3)=$W$7)),"x","")</f>
        <v/>
      </c>
      <c r="X2244" s="84" t="str">
        <f>IF(OR(TH!N2244=TH!$X$7,O2244=TH!$X$7),"x","")</f>
        <v/>
      </c>
      <c r="Y2244" s="84" t="str">
        <f>IF(AND(OR(N2244="131",O2244="131"),H2244='131-CT'!$H$9),"x","")</f>
        <v/>
      </c>
      <c r="Z2244" s="84"/>
      <c r="AA2244" s="84" t="str">
        <f>IF(AND(MONTH(E2244)='IN-NX'!$J$5,'IN-NX'!$D$7=D2244),"x","")</f>
        <v/>
      </c>
      <c r="AB2244" s="84" t="str">
        <f>IF(AND(OR(LEFT(TH!N2244,2)="15",LEFT(TH!O2244,2)="15"),LEFT(TH!O2244,3)&lt;&gt;"111",'152-CT'!$J$8=TH!F2244),"x","")</f>
        <v/>
      </c>
      <c r="AC2244" s="84" t="str">
        <f>IF(AND(OR(LEFT(TH!N2244,2)="15",LEFT(TH!O2244,2)="15"),TK!$E$7=TH!F2244),"x","")</f>
        <v/>
      </c>
      <c r="AD2244" s="84" t="str">
        <f>IF(AND(N2244="1521",MONTH(C2244)='BK-NL'!$M$11),"x","")</f>
        <v/>
      </c>
    </row>
    <row r="2245" spans="1:30" s="351" customFormat="1" ht="15.75" hidden="1" customHeight="1">
      <c r="A2245" s="336" t="str">
        <f>IF(B2245&lt;&gt;"",IF(AND(B2245='IN-TC'!$S$4,OR(TH!N2245="1111",TH!O2245="1111")),TH!D2245,""),"")</f>
        <v/>
      </c>
      <c r="B2245" s="63" t="str">
        <f t="shared" si="290"/>
        <v/>
      </c>
      <c r="C2245" s="64"/>
      <c r="D2245" s="64"/>
      <c r="E2245" s="64"/>
      <c r="F2245" s="67"/>
      <c r="G2245" s="67"/>
      <c r="H2245" s="73"/>
      <c r="I2245" s="439"/>
      <c r="J2245" s="439"/>
      <c r="K2245" s="430"/>
      <c r="L2245" s="439"/>
      <c r="M2245" s="65"/>
      <c r="N2245" s="66"/>
      <c r="O2245" s="66"/>
      <c r="P2245" s="84" t="str">
        <f>IF(AND('331-CT'!$E$7=TH!H2245,OR(N2245="331",O2245="331")),"x","")</f>
        <v/>
      </c>
      <c r="Q2245" s="84" t="str">
        <f>IF(AND(B2245='111'!$L$11,OR($N2245=$Q$7,$O2245=$Q$7)),"x","")</f>
        <v/>
      </c>
      <c r="R2245" s="84" t="str">
        <f>IF(AND($N2245=$Q$7,$B2245&lt;'111'!$L$11),"x","")</f>
        <v/>
      </c>
      <c r="S2245" s="84" t="str">
        <f>IF(AND($O2245=$Q$7,$B2245&lt;'111'!$L$11),"x","")</f>
        <v/>
      </c>
      <c r="T2245" s="84" t="str">
        <f>IF(ISERROR(FIND('112'!$M$9,G2245,1)),"",IF((AND(FIND('112'!$M$9,G2245,1)&gt;=1,B2245='112'!$K$9,OR($N2245='112'!$I$6,$O2245='112'!$I$6))),"x",""))</f>
        <v/>
      </c>
      <c r="U2245" s="84" t="str">
        <f>IF(ISERROR(FIND('112'!$M$9,G2245,1)),"",IF((AND(LEFT(G2245,2)=LEFT('112'!$M$9,2),B2245&lt;'112'!$K$9,$N2245='112'!$I$6)),"x",""))</f>
        <v/>
      </c>
      <c r="V2245" s="84" t="str">
        <f>IF(ISERROR(FIND('112'!$M$9,G2245,1)),"",IF((AND(RIGHT(G2245,2)=RIGHT('112'!$M$9,2),B2245&lt;'112'!$K$9,$O2245='112'!$I$6)),"x",""))</f>
        <v/>
      </c>
      <c r="W2245" s="84" t="str">
        <f>IF(AND('341-CT'!$H$9=H2245,OR(LEFT(N2245,3)=$W$7,LEFT(O2245,3)=$W$7)),"x","")</f>
        <v/>
      </c>
      <c r="X2245" s="84" t="str">
        <f>IF(OR(TH!N2245=TH!$X$7,O2245=TH!$X$7),"x","")</f>
        <v/>
      </c>
      <c r="Y2245" s="84" t="str">
        <f>IF(AND(OR(N2245="131",O2245="131"),H2245='131-CT'!$H$9),"x","")</f>
        <v/>
      </c>
      <c r="Z2245" s="84"/>
      <c r="AA2245" s="84" t="str">
        <f>IF(AND(MONTH(E2245)='IN-NX'!$J$5,'IN-NX'!$D$7=D2245),"x","")</f>
        <v/>
      </c>
      <c r="AB2245" s="84" t="str">
        <f>IF(AND(OR(LEFT(TH!N2245,2)="15",LEFT(TH!O2245,2)="15"),LEFT(TH!O2245,3)&lt;&gt;"111",'152-CT'!$J$8=TH!F2245),"x","")</f>
        <v/>
      </c>
      <c r="AC2245" s="84" t="str">
        <f>IF(AND(OR(LEFT(TH!N2245,2)="15",LEFT(TH!O2245,2)="15"),TK!$E$7=TH!F2245),"x","")</f>
        <v/>
      </c>
      <c r="AD2245" s="84" t="str">
        <f>IF(AND(N2245="1521",MONTH(C2245)='BK-NL'!$M$11),"x","")</f>
        <v/>
      </c>
    </row>
    <row r="2246" spans="1:30" s="351" customFormat="1" ht="15.75" hidden="1" customHeight="1">
      <c r="A2246" s="336" t="str">
        <f>IF(B2246&lt;&gt;"",IF(AND(B2246='IN-TC'!$S$4,OR(TH!N2246="1111",TH!O2246="1111")),TH!D2246,""),"")</f>
        <v/>
      </c>
      <c r="B2246" s="63" t="str">
        <f t="shared" si="290"/>
        <v/>
      </c>
      <c r="C2246" s="64"/>
      <c r="D2246" s="64"/>
      <c r="E2246" s="64"/>
      <c r="F2246" s="67"/>
      <c r="G2246" s="67"/>
      <c r="H2246" s="73"/>
      <c r="I2246" s="439"/>
      <c r="J2246" s="439"/>
      <c r="K2246" s="430"/>
      <c r="L2246" s="439"/>
      <c r="M2246" s="65"/>
      <c r="N2246" s="66"/>
      <c r="O2246" s="66"/>
      <c r="P2246" s="84" t="str">
        <f>IF(AND('331-CT'!$E$7=TH!H2246,OR(N2246="331",O2246="331")),"x","")</f>
        <v/>
      </c>
      <c r="Q2246" s="84" t="str">
        <f>IF(AND(B2246='111'!$L$11,OR($N2246=$Q$7,$O2246=$Q$7)),"x","")</f>
        <v/>
      </c>
      <c r="R2246" s="84" t="str">
        <f>IF(AND($N2246=$Q$7,$B2246&lt;'111'!$L$11),"x","")</f>
        <v/>
      </c>
      <c r="S2246" s="84" t="str">
        <f>IF(AND($O2246=$Q$7,$B2246&lt;'111'!$L$11),"x","")</f>
        <v/>
      </c>
      <c r="T2246" s="84" t="str">
        <f>IF(ISERROR(FIND('112'!$M$9,G2246,1)),"",IF((AND(FIND('112'!$M$9,G2246,1)&gt;=1,B2246='112'!$K$9,OR($N2246='112'!$I$6,$O2246='112'!$I$6))),"x",""))</f>
        <v/>
      </c>
      <c r="U2246" s="84" t="str">
        <f>IF(ISERROR(FIND('112'!$M$9,G2246,1)),"",IF((AND(LEFT(G2246,2)=LEFT('112'!$M$9,2),B2246&lt;'112'!$K$9,$N2246='112'!$I$6)),"x",""))</f>
        <v/>
      </c>
      <c r="V2246" s="84" t="str">
        <f>IF(ISERROR(FIND('112'!$M$9,G2246,1)),"",IF((AND(RIGHT(G2246,2)=RIGHT('112'!$M$9,2),B2246&lt;'112'!$K$9,$O2246='112'!$I$6)),"x",""))</f>
        <v/>
      </c>
      <c r="W2246" s="84" t="str">
        <f>IF(AND('341-CT'!$H$9=H2246,OR(LEFT(N2246,3)=$W$7,LEFT(O2246,3)=$W$7)),"x","")</f>
        <v/>
      </c>
      <c r="X2246" s="84" t="str">
        <f>IF(OR(TH!N2246=TH!$X$7,O2246=TH!$X$7),"x","")</f>
        <v/>
      </c>
      <c r="Y2246" s="84" t="str">
        <f>IF(AND(OR(N2246="131",O2246="131"),H2246='131-CT'!$H$9),"x","")</f>
        <v/>
      </c>
      <c r="Z2246" s="84"/>
      <c r="AA2246" s="84" t="str">
        <f>IF(AND(MONTH(E2246)='IN-NX'!$J$5,'IN-NX'!$D$7=D2246),"x","")</f>
        <v/>
      </c>
      <c r="AB2246" s="84" t="str">
        <f>IF(AND(OR(LEFT(TH!N2246,2)="15",LEFT(TH!O2246,2)="15"),LEFT(TH!O2246,3)&lt;&gt;"111",'152-CT'!$J$8=TH!F2246),"x","")</f>
        <v/>
      </c>
      <c r="AC2246" s="84" t="str">
        <f>IF(AND(OR(LEFT(TH!N2246,2)="15",LEFT(TH!O2246,2)="15"),TK!$E$7=TH!F2246),"x","")</f>
        <v/>
      </c>
      <c r="AD2246" s="84" t="str">
        <f>IF(AND(N2246="1521",MONTH(C2246)='BK-NL'!$M$11),"x","")</f>
        <v/>
      </c>
    </row>
    <row r="2247" spans="1:30" s="351" customFormat="1" ht="15.75" hidden="1" customHeight="1">
      <c r="A2247" s="336" t="str">
        <f>IF(B2247&lt;&gt;"",IF(AND(B2247='IN-TC'!$S$4,OR(TH!N2247="1111",TH!O2247="1111")),TH!D2247,""),"")</f>
        <v/>
      </c>
      <c r="B2247" s="63" t="str">
        <f t="shared" si="290"/>
        <v/>
      </c>
      <c r="C2247" s="64"/>
      <c r="D2247" s="64"/>
      <c r="E2247" s="64"/>
      <c r="F2247" s="67"/>
      <c r="G2247" s="67"/>
      <c r="H2247" s="73"/>
      <c r="I2247" s="439"/>
      <c r="J2247" s="439"/>
      <c r="K2247" s="430"/>
      <c r="L2247" s="439"/>
      <c r="M2247" s="65"/>
      <c r="N2247" s="66"/>
      <c r="O2247" s="66"/>
      <c r="P2247" s="84" t="str">
        <f>IF(AND('331-CT'!$E$7=TH!H2247,OR(N2247="331",O2247="331")),"x","")</f>
        <v/>
      </c>
      <c r="Q2247" s="84" t="str">
        <f>IF(AND(B2247='111'!$L$11,OR($N2247=$Q$7,$O2247=$Q$7)),"x","")</f>
        <v/>
      </c>
      <c r="R2247" s="84" t="str">
        <f>IF(AND($N2247=$Q$7,$B2247&lt;'111'!$L$11),"x","")</f>
        <v/>
      </c>
      <c r="S2247" s="84" t="str">
        <f>IF(AND($O2247=$Q$7,$B2247&lt;'111'!$L$11),"x","")</f>
        <v/>
      </c>
      <c r="T2247" s="84" t="str">
        <f>IF(ISERROR(FIND('112'!$M$9,G2247,1)),"",IF((AND(FIND('112'!$M$9,G2247,1)&gt;=1,B2247='112'!$K$9,OR($N2247='112'!$I$6,$O2247='112'!$I$6))),"x",""))</f>
        <v/>
      </c>
      <c r="U2247" s="84" t="str">
        <f>IF(ISERROR(FIND('112'!$M$9,G2247,1)),"",IF((AND(LEFT(G2247,2)=LEFT('112'!$M$9,2),B2247&lt;'112'!$K$9,$N2247='112'!$I$6)),"x",""))</f>
        <v/>
      </c>
      <c r="V2247" s="84" t="str">
        <f>IF(ISERROR(FIND('112'!$M$9,G2247,1)),"",IF((AND(RIGHT(G2247,2)=RIGHT('112'!$M$9,2),B2247&lt;'112'!$K$9,$O2247='112'!$I$6)),"x",""))</f>
        <v/>
      </c>
      <c r="W2247" s="84" t="str">
        <f>IF(AND('341-CT'!$H$9=H2247,OR(LEFT(N2247,3)=$W$7,LEFT(O2247,3)=$W$7)),"x","")</f>
        <v/>
      </c>
      <c r="X2247" s="84" t="str">
        <f>IF(OR(TH!N2247=TH!$X$7,O2247=TH!$X$7),"x","")</f>
        <v/>
      </c>
      <c r="Y2247" s="84" t="str">
        <f>IF(AND(OR(N2247="131",O2247="131"),H2247='131-CT'!$H$9),"x","")</f>
        <v/>
      </c>
      <c r="Z2247" s="84"/>
      <c r="AA2247" s="84" t="str">
        <f>IF(AND(MONTH(E2247)='IN-NX'!$J$5,'IN-NX'!$D$7=D2247),"x","")</f>
        <v/>
      </c>
      <c r="AB2247" s="84" t="str">
        <f>IF(AND(OR(LEFT(TH!N2247,2)="15",LEFT(TH!O2247,2)="15"),LEFT(TH!O2247,3)&lt;&gt;"111",'152-CT'!$J$8=TH!F2247),"x","")</f>
        <v/>
      </c>
      <c r="AC2247" s="84" t="str">
        <f>IF(AND(OR(LEFT(TH!N2247,2)="15",LEFT(TH!O2247,2)="15"),TK!$E$7=TH!F2247),"x","")</f>
        <v/>
      </c>
      <c r="AD2247" s="84" t="str">
        <f>IF(AND(N2247="1521",MONTH(C2247)='BK-NL'!$M$11),"x","")</f>
        <v/>
      </c>
    </row>
    <row r="2248" spans="1:30" s="351" customFormat="1" ht="15.75" hidden="1" customHeight="1">
      <c r="A2248" s="336" t="str">
        <f>IF(B2248&lt;&gt;"",IF(AND(B2248='IN-TC'!$S$4,OR(TH!N2248="1111",TH!O2248="1111")),TH!D2248,""),"")</f>
        <v/>
      </c>
      <c r="B2248" s="63" t="str">
        <f t="shared" si="290"/>
        <v/>
      </c>
      <c r="C2248" s="64"/>
      <c r="D2248" s="64"/>
      <c r="E2248" s="64"/>
      <c r="F2248" s="67"/>
      <c r="G2248" s="67"/>
      <c r="H2248" s="73"/>
      <c r="I2248" s="439"/>
      <c r="J2248" s="439"/>
      <c r="K2248" s="430"/>
      <c r="L2248" s="439"/>
      <c r="M2248" s="65"/>
      <c r="N2248" s="66"/>
      <c r="O2248" s="66"/>
      <c r="P2248" s="84" t="str">
        <f>IF(AND('331-CT'!$E$7=TH!H2248,OR(N2248="331",O2248="331")),"x","")</f>
        <v/>
      </c>
      <c r="Q2248" s="84" t="str">
        <f>IF(AND(B2248='111'!$L$11,OR($N2248=$Q$7,$O2248=$Q$7)),"x","")</f>
        <v/>
      </c>
      <c r="R2248" s="84" t="str">
        <f>IF(AND($N2248=$Q$7,$B2248&lt;'111'!$L$11),"x","")</f>
        <v/>
      </c>
      <c r="S2248" s="84" t="str">
        <f>IF(AND($O2248=$Q$7,$B2248&lt;'111'!$L$11),"x","")</f>
        <v/>
      </c>
      <c r="T2248" s="84" t="str">
        <f>IF(ISERROR(FIND('112'!$M$9,G2248,1)),"",IF((AND(FIND('112'!$M$9,G2248,1)&gt;=1,B2248='112'!$K$9,OR($N2248='112'!$I$6,$O2248='112'!$I$6))),"x",""))</f>
        <v/>
      </c>
      <c r="U2248" s="84" t="str">
        <f>IF(ISERROR(FIND('112'!$M$9,G2248,1)),"",IF((AND(LEFT(G2248,2)=LEFT('112'!$M$9,2),B2248&lt;'112'!$K$9,$N2248='112'!$I$6)),"x",""))</f>
        <v/>
      </c>
      <c r="V2248" s="84" t="str">
        <f>IF(ISERROR(FIND('112'!$M$9,G2248,1)),"",IF((AND(RIGHT(G2248,2)=RIGHT('112'!$M$9,2),B2248&lt;'112'!$K$9,$O2248='112'!$I$6)),"x",""))</f>
        <v/>
      </c>
      <c r="W2248" s="84" t="str">
        <f>IF(AND('341-CT'!$H$9=H2248,OR(LEFT(N2248,3)=$W$7,LEFT(O2248,3)=$W$7)),"x","")</f>
        <v/>
      </c>
      <c r="X2248" s="84" t="str">
        <f>IF(OR(TH!N2248=TH!$X$7,O2248=TH!$X$7),"x","")</f>
        <v/>
      </c>
      <c r="Y2248" s="84" t="str">
        <f>IF(AND(OR(N2248="131",O2248="131"),H2248='131-CT'!$H$9),"x","")</f>
        <v/>
      </c>
      <c r="Z2248" s="84"/>
      <c r="AA2248" s="84" t="str">
        <f>IF(AND(MONTH(E2248)='IN-NX'!$J$5,'IN-NX'!$D$7=D2248),"x","")</f>
        <v/>
      </c>
      <c r="AB2248" s="84" t="str">
        <f>IF(AND(OR(LEFT(TH!N2248,2)="15",LEFT(TH!O2248,2)="15"),LEFT(TH!O2248,3)&lt;&gt;"111",'152-CT'!$J$8=TH!F2248),"x","")</f>
        <v/>
      </c>
      <c r="AC2248" s="84" t="str">
        <f>IF(AND(OR(LEFT(TH!N2248,2)="15",LEFT(TH!O2248,2)="15"),TK!$E$7=TH!F2248),"x","")</f>
        <v/>
      </c>
      <c r="AD2248" s="84" t="str">
        <f>IF(AND(N2248="1521",MONTH(C2248)='BK-NL'!$M$11),"x","")</f>
        <v/>
      </c>
    </row>
    <row r="2249" spans="1:30" s="351" customFormat="1" ht="15.75" hidden="1" customHeight="1">
      <c r="A2249" s="336" t="str">
        <f>IF(B2249&lt;&gt;"",IF(AND(B2249='IN-TC'!$S$4,OR(TH!N2249="1111",TH!O2249="1111")),TH!D2249,""),"")</f>
        <v/>
      </c>
      <c r="B2249" s="63" t="str">
        <f t="shared" si="290"/>
        <v/>
      </c>
      <c r="C2249" s="64"/>
      <c r="D2249" s="64"/>
      <c r="E2249" s="64"/>
      <c r="F2249" s="67"/>
      <c r="G2249" s="67"/>
      <c r="H2249" s="73"/>
      <c r="I2249" s="439"/>
      <c r="J2249" s="439"/>
      <c r="K2249" s="430"/>
      <c r="L2249" s="439"/>
      <c r="M2249" s="65"/>
      <c r="N2249" s="66"/>
      <c r="O2249" s="66"/>
      <c r="P2249" s="84" t="str">
        <f>IF(AND('331-CT'!$E$7=TH!H2249,OR(N2249="331",O2249="331")),"x","")</f>
        <v/>
      </c>
      <c r="Q2249" s="84" t="str">
        <f>IF(AND(B2249='111'!$L$11,OR($N2249=$Q$7,$O2249=$Q$7)),"x","")</f>
        <v/>
      </c>
      <c r="R2249" s="84" t="str">
        <f>IF(AND($N2249=$Q$7,$B2249&lt;'111'!$L$11),"x","")</f>
        <v/>
      </c>
      <c r="S2249" s="84" t="str">
        <f>IF(AND($O2249=$Q$7,$B2249&lt;'111'!$L$11),"x","")</f>
        <v/>
      </c>
      <c r="T2249" s="84" t="str">
        <f>IF(ISERROR(FIND('112'!$M$9,G2249,1)),"",IF((AND(FIND('112'!$M$9,G2249,1)&gt;=1,B2249='112'!$K$9,OR($N2249='112'!$I$6,$O2249='112'!$I$6))),"x",""))</f>
        <v/>
      </c>
      <c r="U2249" s="84" t="str">
        <f>IF(ISERROR(FIND('112'!$M$9,G2249,1)),"",IF((AND(LEFT(G2249,2)=LEFT('112'!$M$9,2),B2249&lt;'112'!$K$9,$N2249='112'!$I$6)),"x",""))</f>
        <v/>
      </c>
      <c r="V2249" s="84" t="str">
        <f>IF(ISERROR(FIND('112'!$M$9,G2249,1)),"",IF((AND(RIGHT(G2249,2)=RIGHT('112'!$M$9,2),B2249&lt;'112'!$K$9,$O2249='112'!$I$6)),"x",""))</f>
        <v/>
      </c>
      <c r="W2249" s="84" t="str">
        <f>IF(AND('341-CT'!$H$9=H2249,OR(LEFT(N2249,3)=$W$7,LEFT(O2249,3)=$W$7)),"x","")</f>
        <v/>
      </c>
      <c r="X2249" s="84" t="str">
        <f>IF(OR(TH!N2249=TH!$X$7,O2249=TH!$X$7),"x","")</f>
        <v/>
      </c>
      <c r="Y2249" s="84" t="str">
        <f>IF(AND(OR(N2249="131",O2249="131"),H2249='131-CT'!$H$9),"x","")</f>
        <v/>
      </c>
      <c r="Z2249" s="84"/>
      <c r="AA2249" s="84" t="str">
        <f>IF(AND(MONTH(E2249)='IN-NX'!$J$5,'IN-NX'!$D$7=D2249),"x","")</f>
        <v/>
      </c>
      <c r="AB2249" s="84" t="str">
        <f>IF(AND(OR(LEFT(TH!N2249,2)="15",LEFT(TH!O2249,2)="15"),LEFT(TH!O2249,3)&lt;&gt;"111",'152-CT'!$J$8=TH!F2249),"x","")</f>
        <v/>
      </c>
      <c r="AC2249" s="84" t="str">
        <f>IF(AND(OR(LEFT(TH!N2249,2)="15",LEFT(TH!O2249,2)="15"),TK!$E$7=TH!F2249),"x","")</f>
        <v/>
      </c>
      <c r="AD2249" s="84" t="str">
        <f>IF(AND(N2249="1521",MONTH(C2249)='BK-NL'!$M$11),"x","")</f>
        <v/>
      </c>
    </row>
    <row r="2250" spans="1:30" s="351" customFormat="1" ht="15.75" hidden="1" customHeight="1">
      <c r="A2250" s="336" t="str">
        <f>IF(B2250&lt;&gt;"",IF(AND(B2250='IN-TC'!$S$4,OR(TH!N2250="1111",TH!O2250="1111")),TH!D2250,""),"")</f>
        <v/>
      </c>
      <c r="B2250" s="63" t="str">
        <f t="shared" si="290"/>
        <v/>
      </c>
      <c r="C2250" s="64"/>
      <c r="D2250" s="64"/>
      <c r="E2250" s="64"/>
      <c r="F2250" s="67"/>
      <c r="G2250" s="67"/>
      <c r="H2250" s="73"/>
      <c r="I2250" s="439"/>
      <c r="J2250" s="439"/>
      <c r="K2250" s="430"/>
      <c r="L2250" s="439"/>
      <c r="M2250" s="65"/>
      <c r="N2250" s="66"/>
      <c r="O2250" s="66"/>
      <c r="P2250" s="84" t="str">
        <f>IF(AND('331-CT'!$E$7=TH!H2250,OR(N2250="331",O2250="331")),"x","")</f>
        <v/>
      </c>
      <c r="Q2250" s="84" t="str">
        <f>IF(AND(B2250='111'!$L$11,OR($N2250=$Q$7,$O2250=$Q$7)),"x","")</f>
        <v/>
      </c>
      <c r="R2250" s="84" t="str">
        <f>IF(AND($N2250=$Q$7,$B2250&lt;'111'!$L$11),"x","")</f>
        <v/>
      </c>
      <c r="S2250" s="84" t="str">
        <f>IF(AND($O2250=$Q$7,$B2250&lt;'111'!$L$11),"x","")</f>
        <v/>
      </c>
      <c r="T2250" s="84" t="str">
        <f>IF(ISERROR(FIND('112'!$M$9,G2250,1)),"",IF((AND(FIND('112'!$M$9,G2250,1)&gt;=1,B2250='112'!$K$9,OR($N2250='112'!$I$6,$O2250='112'!$I$6))),"x",""))</f>
        <v/>
      </c>
      <c r="U2250" s="84" t="str">
        <f>IF(ISERROR(FIND('112'!$M$9,G2250,1)),"",IF((AND(LEFT(G2250,2)=LEFT('112'!$M$9,2),B2250&lt;'112'!$K$9,$N2250='112'!$I$6)),"x",""))</f>
        <v/>
      </c>
      <c r="V2250" s="84" t="str">
        <f>IF(ISERROR(FIND('112'!$M$9,G2250,1)),"",IF((AND(RIGHT(G2250,2)=RIGHT('112'!$M$9,2),B2250&lt;'112'!$K$9,$O2250='112'!$I$6)),"x",""))</f>
        <v/>
      </c>
      <c r="W2250" s="84" t="str">
        <f>IF(AND('341-CT'!$H$9=H2250,OR(LEFT(N2250,3)=$W$7,LEFT(O2250,3)=$W$7)),"x","")</f>
        <v/>
      </c>
      <c r="X2250" s="84" t="str">
        <f>IF(OR(TH!N2250=TH!$X$7,O2250=TH!$X$7),"x","")</f>
        <v/>
      </c>
      <c r="Y2250" s="84" t="str">
        <f>IF(AND(OR(N2250="131",O2250="131"),H2250='131-CT'!$H$9),"x","")</f>
        <v/>
      </c>
      <c r="Z2250" s="84"/>
      <c r="AA2250" s="84" t="str">
        <f>IF(AND(MONTH(E2250)='IN-NX'!$J$5,'IN-NX'!$D$7=D2250),"x","")</f>
        <v/>
      </c>
      <c r="AB2250" s="84" t="str">
        <f>IF(AND(OR(LEFT(TH!N2250,2)="15",LEFT(TH!O2250,2)="15"),LEFT(TH!O2250,3)&lt;&gt;"111",'152-CT'!$J$8=TH!F2250),"x","")</f>
        <v/>
      </c>
      <c r="AC2250" s="84" t="str">
        <f>IF(AND(OR(LEFT(TH!N2250,2)="15",LEFT(TH!O2250,2)="15"),TK!$E$7=TH!F2250),"x","")</f>
        <v/>
      </c>
      <c r="AD2250" s="84" t="str">
        <f>IF(AND(N2250="1521",MONTH(C2250)='BK-NL'!$M$11),"x","")</f>
        <v/>
      </c>
    </row>
    <row r="2251" spans="1:30" s="351" customFormat="1" ht="15.75" hidden="1" customHeight="1">
      <c r="A2251" s="336" t="str">
        <f>IF(B2251&lt;&gt;"",IF(AND(B2251='IN-TC'!$S$4,OR(TH!N2251="1111",TH!O2251="1111")),TH!D2251,""),"")</f>
        <v/>
      </c>
      <c r="B2251" s="63" t="str">
        <f t="shared" si="290"/>
        <v/>
      </c>
      <c r="C2251" s="64"/>
      <c r="D2251" s="64"/>
      <c r="E2251" s="64"/>
      <c r="F2251" s="67"/>
      <c r="G2251" s="67"/>
      <c r="H2251" s="73"/>
      <c r="I2251" s="439"/>
      <c r="J2251" s="439"/>
      <c r="K2251" s="430"/>
      <c r="L2251" s="439"/>
      <c r="M2251" s="65"/>
      <c r="N2251" s="66"/>
      <c r="O2251" s="66"/>
      <c r="P2251" s="84" t="str">
        <f>IF(AND('331-CT'!$E$7=TH!H2251,OR(N2251="331",O2251="331")),"x","")</f>
        <v/>
      </c>
      <c r="Q2251" s="84" t="str">
        <f>IF(AND(B2251='111'!$L$11,OR($N2251=$Q$7,$O2251=$Q$7)),"x","")</f>
        <v/>
      </c>
      <c r="R2251" s="84" t="str">
        <f>IF(AND($N2251=$Q$7,$B2251&lt;'111'!$L$11),"x","")</f>
        <v/>
      </c>
      <c r="S2251" s="84" t="str">
        <f>IF(AND($O2251=$Q$7,$B2251&lt;'111'!$L$11),"x","")</f>
        <v/>
      </c>
      <c r="T2251" s="84" t="str">
        <f>IF(ISERROR(FIND('112'!$M$9,G2251,1)),"",IF((AND(FIND('112'!$M$9,G2251,1)&gt;=1,B2251='112'!$K$9,OR($N2251='112'!$I$6,$O2251='112'!$I$6))),"x",""))</f>
        <v/>
      </c>
      <c r="U2251" s="84" t="str">
        <f>IF(ISERROR(FIND('112'!$M$9,G2251,1)),"",IF((AND(LEFT(G2251,2)=LEFT('112'!$M$9,2),B2251&lt;'112'!$K$9,$N2251='112'!$I$6)),"x",""))</f>
        <v/>
      </c>
      <c r="V2251" s="84" t="str">
        <f>IF(ISERROR(FIND('112'!$M$9,G2251,1)),"",IF((AND(RIGHT(G2251,2)=RIGHT('112'!$M$9,2),B2251&lt;'112'!$K$9,$O2251='112'!$I$6)),"x",""))</f>
        <v/>
      </c>
      <c r="W2251" s="84" t="str">
        <f>IF(AND('341-CT'!$H$9=H2251,OR(LEFT(N2251,3)=$W$7,LEFT(O2251,3)=$W$7)),"x","")</f>
        <v/>
      </c>
      <c r="X2251" s="84" t="str">
        <f>IF(OR(TH!N2251=TH!$X$7,O2251=TH!$X$7),"x","")</f>
        <v/>
      </c>
      <c r="Y2251" s="84" t="str">
        <f>IF(AND(OR(N2251="131",O2251="131"),H2251='131-CT'!$H$9),"x","")</f>
        <v/>
      </c>
      <c r="Z2251" s="84"/>
      <c r="AA2251" s="84" t="str">
        <f>IF(AND(MONTH(E2251)='IN-NX'!$J$5,'IN-NX'!$D$7=D2251),"x","")</f>
        <v/>
      </c>
      <c r="AB2251" s="84" t="str">
        <f>IF(AND(OR(LEFT(TH!N2251,2)="15",LEFT(TH!O2251,2)="15"),LEFT(TH!O2251,3)&lt;&gt;"111",'152-CT'!$J$8=TH!F2251),"x","")</f>
        <v/>
      </c>
      <c r="AC2251" s="84" t="str">
        <f>IF(AND(OR(LEFT(TH!N2251,2)="15",LEFT(TH!O2251,2)="15"),TK!$E$7=TH!F2251),"x","")</f>
        <v/>
      </c>
      <c r="AD2251" s="84" t="str">
        <f>IF(AND(N2251="1521",MONTH(C2251)='BK-NL'!$M$11),"x","")</f>
        <v/>
      </c>
    </row>
    <row r="2252" spans="1:30" s="351" customFormat="1" ht="15.75" hidden="1" customHeight="1">
      <c r="A2252" s="336" t="str">
        <f>IF(B2252&lt;&gt;"",IF(AND(B2252='IN-TC'!$S$4,OR(TH!N2252="1111",TH!O2252="1111")),TH!D2252,""),"")</f>
        <v/>
      </c>
      <c r="B2252" s="63" t="str">
        <f t="shared" si="290"/>
        <v/>
      </c>
      <c r="C2252" s="64"/>
      <c r="D2252" s="64"/>
      <c r="E2252" s="64"/>
      <c r="F2252" s="67"/>
      <c r="G2252" s="67"/>
      <c r="H2252" s="73"/>
      <c r="I2252" s="439"/>
      <c r="J2252" s="439"/>
      <c r="K2252" s="430"/>
      <c r="L2252" s="439"/>
      <c r="M2252" s="65"/>
      <c r="N2252" s="66"/>
      <c r="O2252" s="66"/>
      <c r="P2252" s="84" t="str">
        <f>IF(AND('331-CT'!$E$7=TH!H2252,OR(N2252="331",O2252="331")),"x","")</f>
        <v/>
      </c>
      <c r="Q2252" s="84" t="str">
        <f>IF(AND(B2252='111'!$L$11,OR($N2252=$Q$7,$O2252=$Q$7)),"x","")</f>
        <v/>
      </c>
      <c r="R2252" s="84" t="str">
        <f>IF(AND($N2252=$Q$7,$B2252&lt;'111'!$L$11),"x","")</f>
        <v/>
      </c>
      <c r="S2252" s="84" t="str">
        <f>IF(AND($O2252=$Q$7,$B2252&lt;'111'!$L$11),"x","")</f>
        <v/>
      </c>
      <c r="T2252" s="84" t="str">
        <f>IF(ISERROR(FIND('112'!$M$9,G2252,1)),"",IF((AND(FIND('112'!$M$9,G2252,1)&gt;=1,B2252='112'!$K$9,OR($N2252='112'!$I$6,$O2252='112'!$I$6))),"x",""))</f>
        <v/>
      </c>
      <c r="U2252" s="84" t="str">
        <f>IF(ISERROR(FIND('112'!$M$9,G2252,1)),"",IF((AND(LEFT(G2252,2)=LEFT('112'!$M$9,2),B2252&lt;'112'!$K$9,$N2252='112'!$I$6)),"x",""))</f>
        <v/>
      </c>
      <c r="V2252" s="84" t="str">
        <f>IF(ISERROR(FIND('112'!$M$9,G2252,1)),"",IF((AND(RIGHT(G2252,2)=RIGHT('112'!$M$9,2),B2252&lt;'112'!$K$9,$O2252='112'!$I$6)),"x",""))</f>
        <v/>
      </c>
      <c r="W2252" s="84" t="str">
        <f>IF(AND('341-CT'!$H$9=H2252,OR(LEFT(N2252,3)=$W$7,LEFT(O2252,3)=$W$7)),"x","")</f>
        <v/>
      </c>
      <c r="X2252" s="84" t="str">
        <f>IF(OR(TH!N2252=TH!$X$7,O2252=TH!$X$7),"x","")</f>
        <v/>
      </c>
      <c r="Y2252" s="84" t="str">
        <f>IF(AND(OR(N2252="131",O2252="131"),H2252='131-CT'!$H$9),"x","")</f>
        <v/>
      </c>
      <c r="Z2252" s="84"/>
      <c r="AA2252" s="84" t="str">
        <f>IF(AND(MONTH(E2252)='IN-NX'!$J$5,'IN-NX'!$D$7=D2252),"x","")</f>
        <v/>
      </c>
      <c r="AB2252" s="84" t="str">
        <f>IF(AND(OR(LEFT(TH!N2252,2)="15",LEFT(TH!O2252,2)="15"),LEFT(TH!O2252,3)&lt;&gt;"111",'152-CT'!$J$8=TH!F2252),"x","")</f>
        <v/>
      </c>
      <c r="AC2252" s="84" t="str">
        <f>IF(AND(OR(LEFT(TH!N2252,2)="15",LEFT(TH!O2252,2)="15"),TK!$E$7=TH!F2252),"x","")</f>
        <v/>
      </c>
      <c r="AD2252" s="84" t="str">
        <f>IF(AND(N2252="1521",MONTH(C2252)='BK-NL'!$M$11),"x","")</f>
        <v/>
      </c>
    </row>
    <row r="2253" spans="1:30" s="351" customFormat="1" ht="15.75" hidden="1" customHeight="1">
      <c r="A2253" s="336" t="str">
        <f>IF(B2253&lt;&gt;"",IF(AND(B2253='IN-TC'!$S$4,OR(TH!N2253="1111",TH!O2253="1111")),TH!D2253,""),"")</f>
        <v/>
      </c>
      <c r="B2253" s="63" t="str">
        <f t="shared" si="290"/>
        <v/>
      </c>
      <c r="C2253" s="64"/>
      <c r="D2253" s="64"/>
      <c r="E2253" s="64"/>
      <c r="F2253" s="67"/>
      <c r="G2253" s="67"/>
      <c r="H2253" s="73"/>
      <c r="I2253" s="439"/>
      <c r="J2253" s="439"/>
      <c r="K2253" s="430"/>
      <c r="L2253" s="439"/>
      <c r="M2253" s="65"/>
      <c r="N2253" s="66"/>
      <c r="O2253" s="66"/>
      <c r="P2253" s="84" t="str">
        <f>IF(AND('331-CT'!$E$7=TH!H2253,OR(N2253="331",O2253="331")),"x","")</f>
        <v/>
      </c>
      <c r="Q2253" s="84" t="str">
        <f>IF(AND(B2253='111'!$L$11,OR($N2253=$Q$7,$O2253=$Q$7)),"x","")</f>
        <v/>
      </c>
      <c r="R2253" s="84" t="str">
        <f>IF(AND($N2253=$Q$7,$B2253&lt;'111'!$L$11),"x","")</f>
        <v/>
      </c>
      <c r="S2253" s="84" t="str">
        <f>IF(AND($O2253=$Q$7,$B2253&lt;'111'!$L$11),"x","")</f>
        <v/>
      </c>
      <c r="T2253" s="84" t="str">
        <f>IF(ISERROR(FIND('112'!$M$9,G2253,1)),"",IF((AND(FIND('112'!$M$9,G2253,1)&gt;=1,B2253='112'!$K$9,OR($N2253='112'!$I$6,$O2253='112'!$I$6))),"x",""))</f>
        <v/>
      </c>
      <c r="U2253" s="84" t="str">
        <f>IF(ISERROR(FIND('112'!$M$9,G2253,1)),"",IF((AND(LEFT(G2253,2)=LEFT('112'!$M$9,2),B2253&lt;'112'!$K$9,$N2253='112'!$I$6)),"x",""))</f>
        <v/>
      </c>
      <c r="V2253" s="84" t="str">
        <f>IF(ISERROR(FIND('112'!$M$9,G2253,1)),"",IF((AND(RIGHT(G2253,2)=RIGHT('112'!$M$9,2),B2253&lt;'112'!$K$9,$O2253='112'!$I$6)),"x",""))</f>
        <v/>
      </c>
      <c r="W2253" s="84" t="str">
        <f>IF(AND('341-CT'!$H$9=H2253,OR(LEFT(N2253,3)=$W$7,LEFT(O2253,3)=$W$7)),"x","")</f>
        <v/>
      </c>
      <c r="X2253" s="84" t="str">
        <f>IF(OR(TH!N2253=TH!$X$7,O2253=TH!$X$7),"x","")</f>
        <v/>
      </c>
      <c r="Y2253" s="84" t="str">
        <f>IF(AND(OR(N2253="131",O2253="131"),H2253='131-CT'!$H$9),"x","")</f>
        <v/>
      </c>
      <c r="Z2253" s="84"/>
      <c r="AA2253" s="84" t="str">
        <f>IF(AND(MONTH(E2253)='IN-NX'!$J$5,'IN-NX'!$D$7=D2253),"x","")</f>
        <v/>
      </c>
      <c r="AB2253" s="84" t="str">
        <f>IF(AND(OR(LEFT(TH!N2253,2)="15",LEFT(TH!O2253,2)="15"),LEFT(TH!O2253,3)&lt;&gt;"111",'152-CT'!$J$8=TH!F2253),"x","")</f>
        <v/>
      </c>
      <c r="AC2253" s="84" t="str">
        <f>IF(AND(OR(LEFT(TH!N2253,2)="15",LEFT(TH!O2253,2)="15"),TK!$E$7=TH!F2253),"x","")</f>
        <v/>
      </c>
      <c r="AD2253" s="84" t="str">
        <f>IF(AND(N2253="1521",MONTH(C2253)='BK-NL'!$M$11),"x","")</f>
        <v/>
      </c>
    </row>
    <row r="2254" spans="1:30" s="351" customFormat="1" ht="15.75" hidden="1" customHeight="1">
      <c r="A2254" s="336" t="str">
        <f>IF(B2254&lt;&gt;"",IF(AND(B2254='IN-TC'!$S$4,OR(TH!N2254="1111",TH!O2254="1111")),TH!D2254,""),"")</f>
        <v/>
      </c>
      <c r="B2254" s="63" t="str">
        <f t="shared" si="290"/>
        <v/>
      </c>
      <c r="C2254" s="64"/>
      <c r="D2254" s="64"/>
      <c r="E2254" s="64"/>
      <c r="F2254" s="67"/>
      <c r="G2254" s="67"/>
      <c r="H2254" s="73"/>
      <c r="I2254" s="439"/>
      <c r="J2254" s="439"/>
      <c r="K2254" s="430"/>
      <c r="L2254" s="439"/>
      <c r="M2254" s="65"/>
      <c r="N2254" s="66"/>
      <c r="O2254" s="66"/>
      <c r="P2254" s="84" t="str">
        <f>IF(AND('331-CT'!$E$7=TH!H2254,OR(N2254="331",O2254="331")),"x","")</f>
        <v/>
      </c>
      <c r="Q2254" s="84" t="str">
        <f>IF(AND(B2254='111'!$L$11,OR($N2254=$Q$7,$O2254=$Q$7)),"x","")</f>
        <v/>
      </c>
      <c r="R2254" s="84" t="str">
        <f>IF(AND($N2254=$Q$7,$B2254&lt;'111'!$L$11),"x","")</f>
        <v/>
      </c>
      <c r="S2254" s="84" t="str">
        <f>IF(AND($O2254=$Q$7,$B2254&lt;'111'!$L$11),"x","")</f>
        <v/>
      </c>
      <c r="T2254" s="84" t="str">
        <f>IF(ISERROR(FIND('112'!$M$9,G2254,1)),"",IF((AND(FIND('112'!$M$9,G2254,1)&gt;=1,B2254='112'!$K$9,OR($N2254='112'!$I$6,$O2254='112'!$I$6))),"x",""))</f>
        <v/>
      </c>
      <c r="U2254" s="84" t="str">
        <f>IF(ISERROR(FIND('112'!$M$9,G2254,1)),"",IF((AND(LEFT(G2254,2)=LEFT('112'!$M$9,2),B2254&lt;'112'!$K$9,$N2254='112'!$I$6)),"x",""))</f>
        <v/>
      </c>
      <c r="V2254" s="84" t="str">
        <f>IF(ISERROR(FIND('112'!$M$9,G2254,1)),"",IF((AND(RIGHT(G2254,2)=RIGHT('112'!$M$9,2),B2254&lt;'112'!$K$9,$O2254='112'!$I$6)),"x",""))</f>
        <v/>
      </c>
      <c r="W2254" s="84" t="str">
        <f>IF(AND('341-CT'!$H$9=H2254,OR(LEFT(N2254,3)=$W$7,LEFT(O2254,3)=$W$7)),"x","")</f>
        <v/>
      </c>
      <c r="X2254" s="84" t="str">
        <f>IF(OR(TH!N2254=TH!$X$7,O2254=TH!$X$7),"x","")</f>
        <v/>
      </c>
      <c r="Y2254" s="84" t="str">
        <f>IF(AND(OR(N2254="131",O2254="131"),H2254='131-CT'!$H$9),"x","")</f>
        <v/>
      </c>
      <c r="Z2254" s="84"/>
      <c r="AA2254" s="84" t="str">
        <f>IF(AND(MONTH(E2254)='IN-NX'!$J$5,'IN-NX'!$D$7=D2254),"x","")</f>
        <v/>
      </c>
      <c r="AB2254" s="84" t="str">
        <f>IF(AND(OR(LEFT(TH!N2254,2)="15",LEFT(TH!O2254,2)="15"),LEFT(TH!O2254,3)&lt;&gt;"111",'152-CT'!$J$8=TH!F2254),"x","")</f>
        <v/>
      </c>
      <c r="AC2254" s="84" t="str">
        <f>IF(AND(OR(LEFT(TH!N2254,2)="15",LEFT(TH!O2254,2)="15"),TK!$E$7=TH!F2254),"x","")</f>
        <v/>
      </c>
      <c r="AD2254" s="84" t="str">
        <f>IF(AND(N2254="1521",MONTH(C2254)='BK-NL'!$M$11),"x","")</f>
        <v/>
      </c>
    </row>
    <row r="2255" spans="1:30" s="351" customFormat="1" ht="15.75" hidden="1" customHeight="1">
      <c r="A2255" s="336" t="str">
        <f>IF(B2255&lt;&gt;"",IF(AND(B2255='IN-TC'!$S$4,OR(TH!N2255="1111",TH!O2255="1111")),TH!D2255,""),"")</f>
        <v/>
      </c>
      <c r="B2255" s="63" t="str">
        <f t="shared" si="290"/>
        <v/>
      </c>
      <c r="C2255" s="64"/>
      <c r="D2255" s="64"/>
      <c r="E2255" s="64"/>
      <c r="F2255" s="67"/>
      <c r="G2255" s="67"/>
      <c r="H2255" s="73"/>
      <c r="I2255" s="439"/>
      <c r="J2255" s="439"/>
      <c r="K2255" s="430"/>
      <c r="L2255" s="439"/>
      <c r="M2255" s="65"/>
      <c r="N2255" s="66"/>
      <c r="O2255" s="66"/>
      <c r="P2255" s="84" t="str">
        <f>IF(AND('331-CT'!$E$7=TH!H2255,OR(N2255="331",O2255="331")),"x","")</f>
        <v/>
      </c>
      <c r="Q2255" s="84" t="str">
        <f>IF(AND(B2255='111'!$L$11,OR($N2255=$Q$7,$O2255=$Q$7)),"x","")</f>
        <v/>
      </c>
      <c r="R2255" s="84" t="str">
        <f>IF(AND($N2255=$Q$7,$B2255&lt;'111'!$L$11),"x","")</f>
        <v/>
      </c>
      <c r="S2255" s="84" t="str">
        <f>IF(AND($O2255=$Q$7,$B2255&lt;'111'!$L$11),"x","")</f>
        <v/>
      </c>
      <c r="T2255" s="84" t="str">
        <f>IF(ISERROR(FIND('112'!$M$9,G2255,1)),"",IF((AND(FIND('112'!$M$9,G2255,1)&gt;=1,B2255='112'!$K$9,OR($N2255='112'!$I$6,$O2255='112'!$I$6))),"x",""))</f>
        <v/>
      </c>
      <c r="U2255" s="84" t="str">
        <f>IF(ISERROR(FIND('112'!$M$9,G2255,1)),"",IF((AND(LEFT(G2255,2)=LEFT('112'!$M$9,2),B2255&lt;'112'!$K$9,$N2255='112'!$I$6)),"x",""))</f>
        <v/>
      </c>
      <c r="V2255" s="84" t="str">
        <f>IF(ISERROR(FIND('112'!$M$9,G2255,1)),"",IF((AND(RIGHT(G2255,2)=RIGHT('112'!$M$9,2),B2255&lt;'112'!$K$9,$O2255='112'!$I$6)),"x",""))</f>
        <v/>
      </c>
      <c r="W2255" s="84" t="str">
        <f>IF(AND('341-CT'!$H$9=H2255,OR(LEFT(N2255,3)=$W$7,LEFT(O2255,3)=$W$7)),"x","")</f>
        <v/>
      </c>
      <c r="X2255" s="84" t="str">
        <f>IF(OR(TH!N2255=TH!$X$7,O2255=TH!$X$7),"x","")</f>
        <v/>
      </c>
      <c r="Y2255" s="84" t="str">
        <f>IF(AND(OR(N2255="131",O2255="131"),H2255='131-CT'!$H$9),"x","")</f>
        <v/>
      </c>
      <c r="Z2255" s="84"/>
      <c r="AA2255" s="84" t="str">
        <f>IF(AND(MONTH(E2255)='IN-NX'!$J$5,'IN-NX'!$D$7=D2255),"x","")</f>
        <v/>
      </c>
      <c r="AB2255" s="84" t="str">
        <f>IF(AND(OR(LEFT(TH!N2255,2)="15",LEFT(TH!O2255,2)="15"),LEFT(TH!O2255,3)&lt;&gt;"111",'152-CT'!$J$8=TH!F2255),"x","")</f>
        <v/>
      </c>
      <c r="AC2255" s="84" t="str">
        <f>IF(AND(OR(LEFT(TH!N2255,2)="15",LEFT(TH!O2255,2)="15"),TK!$E$7=TH!F2255),"x","")</f>
        <v/>
      </c>
      <c r="AD2255" s="84" t="str">
        <f>IF(AND(N2255="1521",MONTH(C2255)='BK-NL'!$M$11),"x","")</f>
        <v/>
      </c>
    </row>
    <row r="2256" spans="1:30" s="351" customFormat="1" ht="15.75" hidden="1" customHeight="1">
      <c r="A2256" s="336" t="str">
        <f>IF(B2256&lt;&gt;"",IF(AND(B2256='IN-TC'!$S$4,OR(TH!N2256="1111",TH!O2256="1111")),TH!D2256,""),"")</f>
        <v/>
      </c>
      <c r="B2256" s="63" t="str">
        <f t="shared" si="290"/>
        <v/>
      </c>
      <c r="C2256" s="64"/>
      <c r="D2256" s="64"/>
      <c r="E2256" s="64"/>
      <c r="F2256" s="67"/>
      <c r="G2256" s="67"/>
      <c r="H2256" s="73"/>
      <c r="I2256" s="439"/>
      <c r="J2256" s="439"/>
      <c r="K2256" s="430"/>
      <c r="L2256" s="439"/>
      <c r="M2256" s="65"/>
      <c r="N2256" s="66"/>
      <c r="O2256" s="66"/>
      <c r="P2256" s="84" t="str">
        <f>IF(AND('331-CT'!$E$7=TH!H2256,OR(N2256="331",O2256="331")),"x","")</f>
        <v/>
      </c>
      <c r="Q2256" s="84" t="str">
        <f>IF(AND(B2256='111'!$L$11,OR($N2256=$Q$7,$O2256=$Q$7)),"x","")</f>
        <v/>
      </c>
      <c r="R2256" s="84" t="str">
        <f>IF(AND($N2256=$Q$7,$B2256&lt;'111'!$L$11),"x","")</f>
        <v/>
      </c>
      <c r="S2256" s="84" t="str">
        <f>IF(AND($O2256=$Q$7,$B2256&lt;'111'!$L$11),"x","")</f>
        <v/>
      </c>
      <c r="T2256" s="84" t="str">
        <f>IF(ISERROR(FIND('112'!$M$9,G2256,1)),"",IF((AND(FIND('112'!$M$9,G2256,1)&gt;=1,B2256='112'!$K$9,OR($N2256='112'!$I$6,$O2256='112'!$I$6))),"x",""))</f>
        <v/>
      </c>
      <c r="U2256" s="84" t="str">
        <f>IF(ISERROR(FIND('112'!$M$9,G2256,1)),"",IF((AND(LEFT(G2256,2)=LEFT('112'!$M$9,2),B2256&lt;'112'!$K$9,$N2256='112'!$I$6)),"x",""))</f>
        <v/>
      </c>
      <c r="V2256" s="84" t="str">
        <f>IF(ISERROR(FIND('112'!$M$9,G2256,1)),"",IF((AND(RIGHT(G2256,2)=RIGHT('112'!$M$9,2),B2256&lt;'112'!$K$9,$O2256='112'!$I$6)),"x",""))</f>
        <v/>
      </c>
      <c r="W2256" s="84" t="str">
        <f>IF(AND('341-CT'!$H$9=H2256,OR(LEFT(N2256,3)=$W$7,LEFT(O2256,3)=$W$7)),"x","")</f>
        <v/>
      </c>
      <c r="X2256" s="84" t="str">
        <f>IF(OR(TH!N2256=TH!$X$7,O2256=TH!$X$7),"x","")</f>
        <v/>
      </c>
      <c r="Y2256" s="84" t="str">
        <f>IF(AND(OR(N2256="131",O2256="131"),H2256='131-CT'!$H$9),"x","")</f>
        <v/>
      </c>
      <c r="Z2256" s="84"/>
      <c r="AA2256" s="84" t="str">
        <f>IF(AND(MONTH(E2256)='IN-NX'!$J$5,'IN-NX'!$D$7=D2256),"x","")</f>
        <v/>
      </c>
      <c r="AB2256" s="84" t="str">
        <f>IF(AND(OR(LEFT(TH!N2256,2)="15",LEFT(TH!O2256,2)="15"),LEFT(TH!O2256,3)&lt;&gt;"111",'152-CT'!$J$8=TH!F2256),"x","")</f>
        <v/>
      </c>
      <c r="AC2256" s="84" t="str">
        <f>IF(AND(OR(LEFT(TH!N2256,2)="15",LEFT(TH!O2256,2)="15"),TK!$E$7=TH!F2256),"x","")</f>
        <v/>
      </c>
      <c r="AD2256" s="84" t="str">
        <f>IF(AND(N2256="1521",MONTH(C2256)='BK-NL'!$M$11),"x","")</f>
        <v/>
      </c>
    </row>
    <row r="2257" spans="1:30" s="351" customFormat="1" ht="15.75" hidden="1" customHeight="1">
      <c r="A2257" s="336" t="str">
        <f>IF(B2257&lt;&gt;"",IF(AND(B2257='IN-TC'!$S$4,OR(TH!N2257="1111",TH!O2257="1111")),TH!D2257,""),"")</f>
        <v/>
      </c>
      <c r="B2257" s="63" t="str">
        <f t="shared" si="290"/>
        <v/>
      </c>
      <c r="C2257" s="64"/>
      <c r="D2257" s="64"/>
      <c r="E2257" s="64"/>
      <c r="F2257" s="67"/>
      <c r="G2257" s="67"/>
      <c r="H2257" s="73"/>
      <c r="I2257" s="439"/>
      <c r="J2257" s="439"/>
      <c r="K2257" s="430"/>
      <c r="L2257" s="439"/>
      <c r="M2257" s="65"/>
      <c r="N2257" s="66"/>
      <c r="O2257" s="66"/>
      <c r="P2257" s="84" t="str">
        <f>IF(AND('331-CT'!$E$7=TH!H2257,OR(N2257="331",O2257="331")),"x","")</f>
        <v/>
      </c>
      <c r="Q2257" s="84" t="str">
        <f>IF(AND(B2257='111'!$L$11,OR($N2257=$Q$7,$O2257=$Q$7)),"x","")</f>
        <v/>
      </c>
      <c r="R2257" s="84" t="str">
        <f>IF(AND($N2257=$Q$7,$B2257&lt;'111'!$L$11),"x","")</f>
        <v/>
      </c>
      <c r="S2257" s="84" t="str">
        <f>IF(AND($O2257=$Q$7,$B2257&lt;'111'!$L$11),"x","")</f>
        <v/>
      </c>
      <c r="T2257" s="84" t="str">
        <f>IF(ISERROR(FIND('112'!$M$9,G2257,1)),"",IF((AND(FIND('112'!$M$9,G2257,1)&gt;=1,B2257='112'!$K$9,OR($N2257='112'!$I$6,$O2257='112'!$I$6))),"x",""))</f>
        <v/>
      </c>
      <c r="U2257" s="84" t="str">
        <f>IF(ISERROR(FIND('112'!$M$9,G2257,1)),"",IF((AND(LEFT(G2257,2)=LEFT('112'!$M$9,2),B2257&lt;'112'!$K$9,$N2257='112'!$I$6)),"x",""))</f>
        <v/>
      </c>
      <c r="V2257" s="84" t="str">
        <f>IF(ISERROR(FIND('112'!$M$9,G2257,1)),"",IF((AND(RIGHT(G2257,2)=RIGHT('112'!$M$9,2),B2257&lt;'112'!$K$9,$O2257='112'!$I$6)),"x",""))</f>
        <v/>
      </c>
      <c r="W2257" s="84" t="str">
        <f>IF(AND('341-CT'!$H$9=H2257,OR(LEFT(N2257,3)=$W$7,LEFT(O2257,3)=$W$7)),"x","")</f>
        <v/>
      </c>
      <c r="X2257" s="84" t="str">
        <f>IF(OR(TH!N2257=TH!$X$7,O2257=TH!$X$7),"x","")</f>
        <v/>
      </c>
      <c r="Y2257" s="84" t="str">
        <f>IF(AND(OR(N2257="131",O2257="131"),H2257='131-CT'!$H$9),"x","")</f>
        <v/>
      </c>
      <c r="Z2257" s="84"/>
      <c r="AA2257" s="84" t="str">
        <f>IF(AND(MONTH(E2257)='IN-NX'!$J$5,'IN-NX'!$D$7=D2257),"x","")</f>
        <v/>
      </c>
      <c r="AB2257" s="84" t="str">
        <f>IF(AND(OR(LEFT(TH!N2257,2)="15",LEFT(TH!O2257,2)="15"),LEFT(TH!O2257,3)&lt;&gt;"111",'152-CT'!$J$8=TH!F2257),"x","")</f>
        <v/>
      </c>
      <c r="AC2257" s="84" t="str">
        <f>IF(AND(OR(LEFT(TH!N2257,2)="15",LEFT(TH!O2257,2)="15"),TK!$E$7=TH!F2257),"x","")</f>
        <v/>
      </c>
      <c r="AD2257" s="84" t="str">
        <f>IF(AND(N2257="1521",MONTH(C2257)='BK-NL'!$M$11),"x","")</f>
        <v/>
      </c>
    </row>
    <row r="2258" spans="1:30" s="351" customFormat="1" ht="15.75" hidden="1" customHeight="1">
      <c r="A2258" s="336" t="str">
        <f>IF(B2258&lt;&gt;"",IF(AND(B2258='IN-TC'!$S$4,OR(TH!N2258="1111",TH!O2258="1111")),TH!D2258,""),"")</f>
        <v/>
      </c>
      <c r="B2258" s="63" t="str">
        <f t="shared" si="290"/>
        <v/>
      </c>
      <c r="C2258" s="64"/>
      <c r="D2258" s="64"/>
      <c r="E2258" s="64"/>
      <c r="F2258" s="67"/>
      <c r="G2258" s="67"/>
      <c r="H2258" s="73"/>
      <c r="I2258" s="439"/>
      <c r="J2258" s="439"/>
      <c r="K2258" s="430"/>
      <c r="L2258" s="439"/>
      <c r="M2258" s="65"/>
      <c r="N2258" s="66"/>
      <c r="O2258" s="66"/>
      <c r="P2258" s="84" t="str">
        <f>IF(AND('331-CT'!$E$7=TH!H2258,OR(N2258="331",O2258="331")),"x","")</f>
        <v/>
      </c>
      <c r="Q2258" s="84" t="str">
        <f>IF(AND(B2258='111'!$L$11,OR($N2258=$Q$7,$O2258=$Q$7)),"x","")</f>
        <v/>
      </c>
      <c r="R2258" s="84" t="str">
        <f>IF(AND($N2258=$Q$7,$B2258&lt;'111'!$L$11),"x","")</f>
        <v/>
      </c>
      <c r="S2258" s="84" t="str">
        <f>IF(AND($O2258=$Q$7,$B2258&lt;'111'!$L$11),"x","")</f>
        <v/>
      </c>
      <c r="T2258" s="84" t="str">
        <f>IF(ISERROR(FIND('112'!$M$9,G2258,1)),"",IF((AND(FIND('112'!$M$9,G2258,1)&gt;=1,B2258='112'!$K$9,OR($N2258='112'!$I$6,$O2258='112'!$I$6))),"x",""))</f>
        <v/>
      </c>
      <c r="U2258" s="84" t="str">
        <f>IF(ISERROR(FIND('112'!$M$9,G2258,1)),"",IF((AND(LEFT(G2258,2)=LEFT('112'!$M$9,2),B2258&lt;'112'!$K$9,$N2258='112'!$I$6)),"x",""))</f>
        <v/>
      </c>
      <c r="V2258" s="84" t="str">
        <f>IF(ISERROR(FIND('112'!$M$9,G2258,1)),"",IF((AND(RIGHT(G2258,2)=RIGHT('112'!$M$9,2),B2258&lt;'112'!$K$9,$O2258='112'!$I$6)),"x",""))</f>
        <v/>
      </c>
      <c r="W2258" s="84" t="str">
        <f>IF(AND('341-CT'!$H$9=H2258,OR(LEFT(N2258,3)=$W$7,LEFT(O2258,3)=$W$7)),"x","")</f>
        <v/>
      </c>
      <c r="X2258" s="84" t="str">
        <f>IF(OR(TH!N2258=TH!$X$7,O2258=TH!$X$7),"x","")</f>
        <v/>
      </c>
      <c r="Y2258" s="84" t="str">
        <f>IF(AND(OR(N2258="131",O2258="131"),H2258='131-CT'!$H$9),"x","")</f>
        <v/>
      </c>
      <c r="Z2258" s="84"/>
      <c r="AA2258" s="84" t="str">
        <f>IF(AND(MONTH(E2258)='IN-NX'!$J$5,'IN-NX'!$D$7=D2258),"x","")</f>
        <v/>
      </c>
      <c r="AB2258" s="84" t="str">
        <f>IF(AND(OR(LEFT(TH!N2258,2)="15",LEFT(TH!O2258,2)="15"),LEFT(TH!O2258,3)&lt;&gt;"111",'152-CT'!$J$8=TH!F2258),"x","")</f>
        <v/>
      </c>
      <c r="AC2258" s="84" t="str">
        <f>IF(AND(OR(LEFT(TH!N2258,2)="15",LEFT(TH!O2258,2)="15"),TK!$E$7=TH!F2258),"x","")</f>
        <v/>
      </c>
      <c r="AD2258" s="84" t="str">
        <f>IF(AND(N2258="1521",MONTH(C2258)='BK-NL'!$M$11),"x","")</f>
        <v/>
      </c>
    </row>
    <row r="2259" spans="1:30" s="351" customFormat="1" ht="15.75" hidden="1" customHeight="1">
      <c r="A2259" s="336" t="str">
        <f>IF(B2259&lt;&gt;"",IF(AND(B2259='IN-TC'!$S$4,OR(TH!N2259="1111",TH!O2259="1111")),TH!D2259,""),"")</f>
        <v/>
      </c>
      <c r="B2259" s="63" t="str">
        <f t="shared" si="290"/>
        <v/>
      </c>
      <c r="C2259" s="64"/>
      <c r="D2259" s="64"/>
      <c r="E2259" s="64"/>
      <c r="F2259" s="67"/>
      <c r="G2259" s="67"/>
      <c r="H2259" s="73"/>
      <c r="I2259" s="439"/>
      <c r="J2259" s="439"/>
      <c r="K2259" s="430"/>
      <c r="L2259" s="439"/>
      <c r="M2259" s="65"/>
      <c r="N2259" s="66"/>
      <c r="O2259" s="66"/>
      <c r="P2259" s="84" t="str">
        <f>IF(AND('331-CT'!$E$7=TH!H2259,OR(N2259="331",O2259="331")),"x","")</f>
        <v/>
      </c>
      <c r="Q2259" s="84" t="str">
        <f>IF(AND(B2259='111'!$L$11,OR($N2259=$Q$7,$O2259=$Q$7)),"x","")</f>
        <v/>
      </c>
      <c r="R2259" s="84" t="str">
        <f>IF(AND($N2259=$Q$7,$B2259&lt;'111'!$L$11),"x","")</f>
        <v/>
      </c>
      <c r="S2259" s="84" t="str">
        <f>IF(AND($O2259=$Q$7,$B2259&lt;'111'!$L$11),"x","")</f>
        <v/>
      </c>
      <c r="T2259" s="84" t="str">
        <f>IF(ISERROR(FIND('112'!$M$9,G2259,1)),"",IF((AND(FIND('112'!$M$9,G2259,1)&gt;=1,B2259='112'!$K$9,OR($N2259='112'!$I$6,$O2259='112'!$I$6))),"x",""))</f>
        <v/>
      </c>
      <c r="U2259" s="84" t="str">
        <f>IF(ISERROR(FIND('112'!$M$9,G2259,1)),"",IF((AND(LEFT(G2259,2)=LEFT('112'!$M$9,2),B2259&lt;'112'!$K$9,$N2259='112'!$I$6)),"x",""))</f>
        <v/>
      </c>
      <c r="V2259" s="84" t="str">
        <f>IF(ISERROR(FIND('112'!$M$9,G2259,1)),"",IF((AND(RIGHT(G2259,2)=RIGHT('112'!$M$9,2),B2259&lt;'112'!$K$9,$O2259='112'!$I$6)),"x",""))</f>
        <v/>
      </c>
      <c r="W2259" s="84" t="str">
        <f>IF(AND('341-CT'!$H$9=H2259,OR(LEFT(N2259,3)=$W$7,LEFT(O2259,3)=$W$7)),"x","")</f>
        <v/>
      </c>
      <c r="X2259" s="84" t="str">
        <f>IF(OR(TH!N2259=TH!$X$7,O2259=TH!$X$7),"x","")</f>
        <v/>
      </c>
      <c r="Y2259" s="84" t="str">
        <f>IF(AND(OR(N2259="131",O2259="131"),H2259='131-CT'!$H$9),"x","")</f>
        <v/>
      </c>
      <c r="Z2259" s="84"/>
      <c r="AA2259" s="84" t="str">
        <f>IF(AND(MONTH(E2259)='IN-NX'!$J$5,'IN-NX'!$D$7=D2259),"x","")</f>
        <v/>
      </c>
      <c r="AB2259" s="84" t="str">
        <f>IF(AND(OR(LEFT(TH!N2259,2)="15",LEFT(TH!O2259,2)="15"),LEFT(TH!O2259,3)&lt;&gt;"111",'152-CT'!$J$8=TH!F2259),"x","")</f>
        <v/>
      </c>
      <c r="AC2259" s="84" t="str">
        <f>IF(AND(OR(LEFT(TH!N2259,2)="15",LEFT(TH!O2259,2)="15"),TK!$E$7=TH!F2259),"x","")</f>
        <v/>
      </c>
      <c r="AD2259" s="84" t="str">
        <f>IF(AND(N2259="1521",MONTH(C2259)='BK-NL'!$M$11),"x","")</f>
        <v/>
      </c>
    </row>
    <row r="2260" spans="1:30" s="351" customFormat="1" ht="15.75" hidden="1" customHeight="1">
      <c r="A2260" s="336" t="str">
        <f>IF(B2260&lt;&gt;"",IF(AND(B2260='IN-TC'!$S$4,OR(TH!N2260="1111",TH!O2260="1111")),TH!D2260,""),"")</f>
        <v/>
      </c>
      <c r="B2260" s="63" t="str">
        <f t="shared" si="290"/>
        <v/>
      </c>
      <c r="C2260" s="64"/>
      <c r="D2260" s="64"/>
      <c r="E2260" s="64"/>
      <c r="F2260" s="67"/>
      <c r="G2260" s="67"/>
      <c r="H2260" s="73"/>
      <c r="I2260" s="439"/>
      <c r="J2260" s="439"/>
      <c r="K2260" s="430"/>
      <c r="L2260" s="439"/>
      <c r="M2260" s="65"/>
      <c r="N2260" s="66"/>
      <c r="O2260" s="66"/>
      <c r="P2260" s="84" t="str">
        <f>IF(AND('331-CT'!$E$7=TH!H2260,OR(N2260="331",O2260="331")),"x","")</f>
        <v/>
      </c>
      <c r="Q2260" s="84" t="str">
        <f>IF(AND(B2260='111'!$L$11,OR($N2260=$Q$7,$O2260=$Q$7)),"x","")</f>
        <v/>
      </c>
      <c r="R2260" s="84" t="str">
        <f>IF(AND($N2260=$Q$7,$B2260&lt;'111'!$L$11),"x","")</f>
        <v/>
      </c>
      <c r="S2260" s="84" t="str">
        <f>IF(AND($O2260=$Q$7,$B2260&lt;'111'!$L$11),"x","")</f>
        <v/>
      </c>
      <c r="T2260" s="84" t="str">
        <f>IF(ISERROR(FIND('112'!$M$9,G2260,1)),"",IF((AND(FIND('112'!$M$9,G2260,1)&gt;=1,B2260='112'!$K$9,OR($N2260='112'!$I$6,$O2260='112'!$I$6))),"x",""))</f>
        <v/>
      </c>
      <c r="U2260" s="84" t="str">
        <f>IF(ISERROR(FIND('112'!$M$9,G2260,1)),"",IF((AND(LEFT(G2260,2)=LEFT('112'!$M$9,2),B2260&lt;'112'!$K$9,$N2260='112'!$I$6)),"x",""))</f>
        <v/>
      </c>
      <c r="V2260" s="84" t="str">
        <f>IF(ISERROR(FIND('112'!$M$9,G2260,1)),"",IF((AND(RIGHT(G2260,2)=RIGHT('112'!$M$9,2),B2260&lt;'112'!$K$9,$O2260='112'!$I$6)),"x",""))</f>
        <v/>
      </c>
      <c r="W2260" s="84" t="str">
        <f>IF(AND('341-CT'!$H$9=H2260,OR(LEFT(N2260,3)=$W$7,LEFT(O2260,3)=$W$7)),"x","")</f>
        <v/>
      </c>
      <c r="X2260" s="84" t="str">
        <f>IF(OR(TH!N2260=TH!$X$7,O2260=TH!$X$7),"x","")</f>
        <v/>
      </c>
      <c r="Y2260" s="84" t="str">
        <f>IF(AND(OR(N2260="131",O2260="131"),H2260='131-CT'!$H$9),"x","")</f>
        <v/>
      </c>
      <c r="Z2260" s="84"/>
      <c r="AA2260" s="84" t="str">
        <f>IF(AND(MONTH(E2260)='IN-NX'!$J$5,'IN-NX'!$D$7=D2260),"x","")</f>
        <v/>
      </c>
      <c r="AB2260" s="84" t="str">
        <f>IF(AND(OR(LEFT(TH!N2260,2)="15",LEFT(TH!O2260,2)="15"),LEFT(TH!O2260,3)&lt;&gt;"111",'152-CT'!$J$8=TH!F2260),"x","")</f>
        <v/>
      </c>
      <c r="AC2260" s="84" t="str">
        <f>IF(AND(OR(LEFT(TH!N2260,2)="15",LEFT(TH!O2260,2)="15"),TK!$E$7=TH!F2260),"x","")</f>
        <v/>
      </c>
      <c r="AD2260" s="84" t="str">
        <f>IF(AND(N2260="1521",MONTH(C2260)='BK-NL'!$M$11),"x","")</f>
        <v/>
      </c>
    </row>
    <row r="2261" spans="1:30" s="351" customFormat="1" ht="15.75" hidden="1" customHeight="1">
      <c r="A2261" s="336" t="str">
        <f>IF(B2261&lt;&gt;"",IF(AND(B2261='IN-TC'!$S$4,OR(TH!N2261="1111",TH!O2261="1111")),TH!D2261,""),"")</f>
        <v/>
      </c>
      <c r="B2261" s="63" t="str">
        <f t="shared" si="290"/>
        <v/>
      </c>
      <c r="C2261" s="64"/>
      <c r="D2261" s="64"/>
      <c r="E2261" s="64"/>
      <c r="F2261" s="67"/>
      <c r="G2261" s="67"/>
      <c r="H2261" s="73"/>
      <c r="I2261" s="439"/>
      <c r="J2261" s="439"/>
      <c r="K2261" s="430"/>
      <c r="L2261" s="439"/>
      <c r="M2261" s="65"/>
      <c r="N2261" s="66"/>
      <c r="O2261" s="66"/>
      <c r="P2261" s="84" t="str">
        <f>IF(AND('331-CT'!$E$7=TH!H2261,OR(N2261="331",O2261="331")),"x","")</f>
        <v/>
      </c>
      <c r="Q2261" s="84" t="str">
        <f>IF(AND(B2261='111'!$L$11,OR($N2261=$Q$7,$O2261=$Q$7)),"x","")</f>
        <v/>
      </c>
      <c r="R2261" s="84" t="str">
        <f>IF(AND($N2261=$Q$7,$B2261&lt;'111'!$L$11),"x","")</f>
        <v/>
      </c>
      <c r="S2261" s="84" t="str">
        <f>IF(AND($O2261=$Q$7,$B2261&lt;'111'!$L$11),"x","")</f>
        <v/>
      </c>
      <c r="T2261" s="84" t="str">
        <f>IF(ISERROR(FIND('112'!$M$9,G2261,1)),"",IF((AND(FIND('112'!$M$9,G2261,1)&gt;=1,B2261='112'!$K$9,OR($N2261='112'!$I$6,$O2261='112'!$I$6))),"x",""))</f>
        <v/>
      </c>
      <c r="U2261" s="84" t="str">
        <f>IF(ISERROR(FIND('112'!$M$9,G2261,1)),"",IF((AND(LEFT(G2261,2)=LEFT('112'!$M$9,2),B2261&lt;'112'!$K$9,$N2261='112'!$I$6)),"x",""))</f>
        <v/>
      </c>
      <c r="V2261" s="84" t="str">
        <f>IF(ISERROR(FIND('112'!$M$9,G2261,1)),"",IF((AND(RIGHT(G2261,2)=RIGHT('112'!$M$9,2),B2261&lt;'112'!$K$9,$O2261='112'!$I$6)),"x",""))</f>
        <v/>
      </c>
      <c r="W2261" s="84" t="str">
        <f>IF(AND('341-CT'!$H$9=H2261,OR(LEFT(N2261,3)=$W$7,LEFT(O2261,3)=$W$7)),"x","")</f>
        <v/>
      </c>
      <c r="X2261" s="84" t="str">
        <f>IF(OR(TH!N2261=TH!$X$7,O2261=TH!$X$7),"x","")</f>
        <v/>
      </c>
      <c r="Y2261" s="84" t="str">
        <f>IF(AND(OR(N2261="131",O2261="131"),H2261='131-CT'!$H$9),"x","")</f>
        <v/>
      </c>
      <c r="Z2261" s="84"/>
      <c r="AA2261" s="84" t="str">
        <f>IF(AND(MONTH(E2261)='IN-NX'!$J$5,'IN-NX'!$D$7=D2261),"x","")</f>
        <v/>
      </c>
      <c r="AB2261" s="84" t="str">
        <f>IF(AND(OR(LEFT(TH!N2261,2)="15",LEFT(TH!O2261,2)="15"),LEFT(TH!O2261,3)&lt;&gt;"111",'152-CT'!$J$8=TH!F2261),"x","")</f>
        <v/>
      </c>
      <c r="AC2261" s="84" t="str">
        <f>IF(AND(OR(LEFT(TH!N2261,2)="15",LEFT(TH!O2261,2)="15"),TK!$E$7=TH!F2261),"x","")</f>
        <v/>
      </c>
      <c r="AD2261" s="84" t="str">
        <f>IF(AND(N2261="1521",MONTH(C2261)='BK-NL'!$M$11),"x","")</f>
        <v/>
      </c>
    </row>
    <row r="2262" spans="1:30" s="351" customFormat="1" ht="15.75" hidden="1" customHeight="1">
      <c r="A2262" s="336" t="str">
        <f>IF(B2262&lt;&gt;"",IF(AND(B2262='IN-TC'!$S$4,OR(TH!N2262="1111",TH!O2262="1111")),TH!D2262,""),"")</f>
        <v/>
      </c>
      <c r="B2262" s="63" t="str">
        <f t="shared" si="290"/>
        <v/>
      </c>
      <c r="C2262" s="64"/>
      <c r="D2262" s="64"/>
      <c r="E2262" s="64"/>
      <c r="F2262" s="67"/>
      <c r="G2262" s="67"/>
      <c r="H2262" s="73"/>
      <c r="I2262" s="439"/>
      <c r="J2262" s="439"/>
      <c r="K2262" s="430"/>
      <c r="L2262" s="439"/>
      <c r="M2262" s="65"/>
      <c r="N2262" s="66"/>
      <c r="O2262" s="66"/>
      <c r="P2262" s="84" t="str">
        <f>IF(AND('331-CT'!$E$7=TH!H2262,OR(N2262="331",O2262="331")),"x","")</f>
        <v/>
      </c>
      <c r="Q2262" s="84" t="str">
        <f>IF(AND(B2262='111'!$L$11,OR($N2262=$Q$7,$O2262=$Q$7)),"x","")</f>
        <v/>
      </c>
      <c r="R2262" s="84" t="str">
        <f>IF(AND($N2262=$Q$7,$B2262&lt;'111'!$L$11),"x","")</f>
        <v/>
      </c>
      <c r="S2262" s="84" t="str">
        <f>IF(AND($O2262=$Q$7,$B2262&lt;'111'!$L$11),"x","")</f>
        <v/>
      </c>
      <c r="T2262" s="84" t="str">
        <f>IF(ISERROR(FIND('112'!$M$9,G2262,1)),"",IF((AND(FIND('112'!$M$9,G2262,1)&gt;=1,B2262='112'!$K$9,OR($N2262='112'!$I$6,$O2262='112'!$I$6))),"x",""))</f>
        <v/>
      </c>
      <c r="U2262" s="84" t="str">
        <f>IF(ISERROR(FIND('112'!$M$9,G2262,1)),"",IF((AND(LEFT(G2262,2)=LEFT('112'!$M$9,2),B2262&lt;'112'!$K$9,$N2262='112'!$I$6)),"x",""))</f>
        <v/>
      </c>
      <c r="V2262" s="84" t="str">
        <f>IF(ISERROR(FIND('112'!$M$9,G2262,1)),"",IF((AND(RIGHT(G2262,2)=RIGHT('112'!$M$9,2),B2262&lt;'112'!$K$9,$O2262='112'!$I$6)),"x",""))</f>
        <v/>
      </c>
      <c r="W2262" s="84" t="str">
        <f>IF(AND('341-CT'!$H$9=H2262,OR(LEFT(N2262,3)=$W$7,LEFT(O2262,3)=$W$7)),"x","")</f>
        <v/>
      </c>
      <c r="X2262" s="84" t="str">
        <f>IF(OR(TH!N2262=TH!$X$7,O2262=TH!$X$7),"x","")</f>
        <v/>
      </c>
      <c r="Y2262" s="84" t="str">
        <f>IF(AND(OR(N2262="131",O2262="131"),H2262='131-CT'!$H$9),"x","")</f>
        <v/>
      </c>
      <c r="Z2262" s="84"/>
      <c r="AA2262" s="84" t="str">
        <f>IF(AND(MONTH(E2262)='IN-NX'!$J$5,'IN-NX'!$D$7=D2262),"x","")</f>
        <v/>
      </c>
      <c r="AB2262" s="84" t="str">
        <f>IF(AND(OR(LEFT(TH!N2262,2)="15",LEFT(TH!O2262,2)="15"),LEFT(TH!O2262,3)&lt;&gt;"111",'152-CT'!$J$8=TH!F2262),"x","")</f>
        <v/>
      </c>
      <c r="AC2262" s="84" t="str">
        <f>IF(AND(OR(LEFT(TH!N2262,2)="15",LEFT(TH!O2262,2)="15"),TK!$E$7=TH!F2262),"x","")</f>
        <v/>
      </c>
      <c r="AD2262" s="84" t="str">
        <f>IF(AND(N2262="1521",MONTH(C2262)='BK-NL'!$M$11),"x","")</f>
        <v/>
      </c>
    </row>
    <row r="2263" spans="1:30" s="351" customFormat="1" ht="15.75" hidden="1" customHeight="1">
      <c r="A2263" s="336" t="str">
        <f>IF(B2263&lt;&gt;"",IF(AND(B2263='IN-TC'!$S$4,OR(TH!N2263="1111",TH!O2263="1111")),TH!D2263,""),"")</f>
        <v/>
      </c>
      <c r="B2263" s="63" t="str">
        <f t="shared" si="290"/>
        <v/>
      </c>
      <c r="C2263" s="64"/>
      <c r="D2263" s="64"/>
      <c r="E2263" s="64"/>
      <c r="F2263" s="67"/>
      <c r="G2263" s="67"/>
      <c r="H2263" s="73"/>
      <c r="I2263" s="439"/>
      <c r="J2263" s="439"/>
      <c r="K2263" s="430"/>
      <c r="L2263" s="439"/>
      <c r="M2263" s="65"/>
      <c r="N2263" s="66"/>
      <c r="O2263" s="66"/>
      <c r="P2263" s="84" t="str">
        <f>IF(AND('331-CT'!$E$7=TH!H2263,OR(N2263="331",O2263="331")),"x","")</f>
        <v/>
      </c>
      <c r="Q2263" s="84" t="str">
        <f>IF(AND(B2263='111'!$L$11,OR($N2263=$Q$7,$O2263=$Q$7)),"x","")</f>
        <v/>
      </c>
      <c r="R2263" s="84" t="str">
        <f>IF(AND($N2263=$Q$7,$B2263&lt;'111'!$L$11),"x","")</f>
        <v/>
      </c>
      <c r="S2263" s="84" t="str">
        <f>IF(AND($O2263=$Q$7,$B2263&lt;'111'!$L$11),"x","")</f>
        <v/>
      </c>
      <c r="T2263" s="84" t="str">
        <f>IF(ISERROR(FIND('112'!$M$9,G2263,1)),"",IF((AND(FIND('112'!$M$9,G2263,1)&gt;=1,B2263='112'!$K$9,OR($N2263='112'!$I$6,$O2263='112'!$I$6))),"x",""))</f>
        <v/>
      </c>
      <c r="U2263" s="84" t="str">
        <f>IF(ISERROR(FIND('112'!$M$9,G2263,1)),"",IF((AND(LEFT(G2263,2)=LEFT('112'!$M$9,2),B2263&lt;'112'!$K$9,$N2263='112'!$I$6)),"x",""))</f>
        <v/>
      </c>
      <c r="V2263" s="84" t="str">
        <f>IF(ISERROR(FIND('112'!$M$9,G2263,1)),"",IF((AND(RIGHT(G2263,2)=RIGHT('112'!$M$9,2),B2263&lt;'112'!$K$9,$O2263='112'!$I$6)),"x",""))</f>
        <v/>
      </c>
      <c r="W2263" s="84" t="str">
        <f>IF(AND('341-CT'!$H$9=H2263,OR(LEFT(N2263,3)=$W$7,LEFT(O2263,3)=$W$7)),"x","")</f>
        <v/>
      </c>
      <c r="X2263" s="84" t="str">
        <f>IF(OR(TH!N2263=TH!$X$7,O2263=TH!$X$7),"x","")</f>
        <v/>
      </c>
      <c r="Y2263" s="84" t="str">
        <f>IF(AND(OR(N2263="131",O2263="131"),H2263='131-CT'!$H$9),"x","")</f>
        <v/>
      </c>
      <c r="Z2263" s="84"/>
      <c r="AA2263" s="84" t="str">
        <f>IF(AND(MONTH(E2263)='IN-NX'!$J$5,'IN-NX'!$D$7=D2263),"x","")</f>
        <v/>
      </c>
      <c r="AB2263" s="84" t="str">
        <f>IF(AND(OR(LEFT(TH!N2263,2)="15",LEFT(TH!O2263,2)="15"),LEFT(TH!O2263,3)&lt;&gt;"111",'152-CT'!$J$8=TH!F2263),"x","")</f>
        <v/>
      </c>
      <c r="AC2263" s="84" t="str">
        <f>IF(AND(OR(LEFT(TH!N2263,2)="15",LEFT(TH!O2263,2)="15"),TK!$E$7=TH!F2263),"x","")</f>
        <v/>
      </c>
      <c r="AD2263" s="84" t="str">
        <f>IF(AND(N2263="1521",MONTH(C2263)='BK-NL'!$M$11),"x","")</f>
        <v/>
      </c>
    </row>
    <row r="2264" spans="1:30" s="351" customFormat="1" ht="15.75" hidden="1" customHeight="1">
      <c r="A2264" s="336" t="str">
        <f>IF(B2264&lt;&gt;"",IF(AND(B2264='IN-TC'!$S$4,OR(TH!N2264="1111",TH!O2264="1111")),TH!D2264,""),"")</f>
        <v/>
      </c>
      <c r="B2264" s="63" t="str">
        <f t="shared" si="290"/>
        <v/>
      </c>
      <c r="C2264" s="64"/>
      <c r="D2264" s="64"/>
      <c r="E2264" s="64"/>
      <c r="F2264" s="67"/>
      <c r="G2264" s="67"/>
      <c r="H2264" s="73"/>
      <c r="I2264" s="439"/>
      <c r="J2264" s="439"/>
      <c r="K2264" s="430"/>
      <c r="L2264" s="439"/>
      <c r="M2264" s="65"/>
      <c r="N2264" s="66"/>
      <c r="O2264" s="66"/>
      <c r="P2264" s="84" t="str">
        <f>IF(AND('331-CT'!$E$7=TH!H2264,OR(N2264="331",O2264="331")),"x","")</f>
        <v/>
      </c>
      <c r="Q2264" s="84" t="str">
        <f>IF(AND(B2264='111'!$L$11,OR($N2264=$Q$7,$O2264=$Q$7)),"x","")</f>
        <v/>
      </c>
      <c r="R2264" s="84" t="str">
        <f>IF(AND($N2264=$Q$7,$B2264&lt;'111'!$L$11),"x","")</f>
        <v/>
      </c>
      <c r="S2264" s="84" t="str">
        <f>IF(AND($O2264=$Q$7,$B2264&lt;'111'!$L$11),"x","")</f>
        <v/>
      </c>
      <c r="T2264" s="84" t="str">
        <f>IF(ISERROR(FIND('112'!$M$9,G2264,1)),"",IF((AND(FIND('112'!$M$9,G2264,1)&gt;=1,B2264='112'!$K$9,OR($N2264='112'!$I$6,$O2264='112'!$I$6))),"x",""))</f>
        <v/>
      </c>
      <c r="U2264" s="84" t="str">
        <f>IF(ISERROR(FIND('112'!$M$9,G2264,1)),"",IF((AND(LEFT(G2264,2)=LEFT('112'!$M$9,2),B2264&lt;'112'!$K$9,$N2264='112'!$I$6)),"x",""))</f>
        <v/>
      </c>
      <c r="V2264" s="84" t="str">
        <f>IF(ISERROR(FIND('112'!$M$9,G2264,1)),"",IF((AND(RIGHT(G2264,2)=RIGHT('112'!$M$9,2),B2264&lt;'112'!$K$9,$O2264='112'!$I$6)),"x",""))</f>
        <v/>
      </c>
      <c r="W2264" s="84" t="str">
        <f>IF(AND('341-CT'!$H$9=H2264,OR(LEFT(N2264,3)=$W$7,LEFT(O2264,3)=$W$7)),"x","")</f>
        <v/>
      </c>
      <c r="X2264" s="84" t="str">
        <f>IF(OR(TH!N2264=TH!$X$7,O2264=TH!$X$7),"x","")</f>
        <v/>
      </c>
      <c r="Y2264" s="84" t="str">
        <f>IF(AND(OR(N2264="131",O2264="131"),H2264='131-CT'!$H$9),"x","")</f>
        <v/>
      </c>
      <c r="Z2264" s="84"/>
      <c r="AA2264" s="84" t="str">
        <f>IF(AND(MONTH(E2264)='IN-NX'!$J$5,'IN-NX'!$D$7=D2264),"x","")</f>
        <v/>
      </c>
      <c r="AB2264" s="84" t="str">
        <f>IF(AND(OR(LEFT(TH!N2264,2)="15",LEFT(TH!O2264,2)="15"),LEFT(TH!O2264,3)&lt;&gt;"111",'152-CT'!$J$8=TH!F2264),"x","")</f>
        <v/>
      </c>
      <c r="AC2264" s="84" t="str">
        <f>IF(AND(OR(LEFT(TH!N2264,2)="15",LEFT(TH!O2264,2)="15"),TK!$E$7=TH!F2264),"x","")</f>
        <v/>
      </c>
      <c r="AD2264" s="84" t="str">
        <f>IF(AND(N2264="1521",MONTH(C2264)='BK-NL'!$M$11),"x","")</f>
        <v/>
      </c>
    </row>
    <row r="2265" spans="1:30" s="351" customFormat="1" ht="15.75" hidden="1" customHeight="1">
      <c r="A2265" s="336" t="str">
        <f>IF(B2265&lt;&gt;"",IF(AND(B2265='IN-TC'!$S$4,OR(TH!N2265="1111",TH!O2265="1111")),TH!D2265,""),"")</f>
        <v/>
      </c>
      <c r="B2265" s="63" t="str">
        <f t="shared" si="290"/>
        <v/>
      </c>
      <c r="C2265" s="64"/>
      <c r="D2265" s="64"/>
      <c r="E2265" s="64"/>
      <c r="F2265" s="67"/>
      <c r="G2265" s="67"/>
      <c r="H2265" s="73"/>
      <c r="I2265" s="439"/>
      <c r="J2265" s="439"/>
      <c r="K2265" s="430"/>
      <c r="L2265" s="439"/>
      <c r="M2265" s="65"/>
      <c r="N2265" s="66"/>
      <c r="O2265" s="66"/>
      <c r="P2265" s="84" t="str">
        <f>IF(AND('331-CT'!$E$7=TH!H2265,OR(N2265="331",O2265="331")),"x","")</f>
        <v/>
      </c>
      <c r="Q2265" s="84" t="str">
        <f>IF(AND(B2265='111'!$L$11,OR($N2265=$Q$7,$O2265=$Q$7)),"x","")</f>
        <v/>
      </c>
      <c r="R2265" s="84" t="str">
        <f>IF(AND($N2265=$Q$7,$B2265&lt;'111'!$L$11),"x","")</f>
        <v/>
      </c>
      <c r="S2265" s="84" t="str">
        <f>IF(AND($O2265=$Q$7,$B2265&lt;'111'!$L$11),"x","")</f>
        <v/>
      </c>
      <c r="T2265" s="84" t="str">
        <f>IF(ISERROR(FIND('112'!$M$9,G2265,1)),"",IF((AND(FIND('112'!$M$9,G2265,1)&gt;=1,B2265='112'!$K$9,OR($N2265='112'!$I$6,$O2265='112'!$I$6))),"x",""))</f>
        <v/>
      </c>
      <c r="U2265" s="84" t="str">
        <f>IF(ISERROR(FIND('112'!$M$9,G2265,1)),"",IF((AND(LEFT(G2265,2)=LEFT('112'!$M$9,2),B2265&lt;'112'!$K$9,$N2265='112'!$I$6)),"x",""))</f>
        <v/>
      </c>
      <c r="V2265" s="84" t="str">
        <f>IF(ISERROR(FIND('112'!$M$9,G2265,1)),"",IF((AND(RIGHT(G2265,2)=RIGHT('112'!$M$9,2),B2265&lt;'112'!$K$9,$O2265='112'!$I$6)),"x",""))</f>
        <v/>
      </c>
      <c r="W2265" s="84" t="str">
        <f>IF(AND('341-CT'!$H$9=H2265,OR(LEFT(N2265,3)=$W$7,LEFT(O2265,3)=$W$7)),"x","")</f>
        <v/>
      </c>
      <c r="X2265" s="84" t="str">
        <f>IF(OR(TH!N2265=TH!$X$7,O2265=TH!$X$7),"x","")</f>
        <v/>
      </c>
      <c r="Y2265" s="84" t="str">
        <f>IF(AND(OR(N2265="131",O2265="131"),H2265='131-CT'!$H$9),"x","")</f>
        <v/>
      </c>
      <c r="Z2265" s="84"/>
      <c r="AA2265" s="84" t="str">
        <f>IF(AND(MONTH(E2265)='IN-NX'!$J$5,'IN-NX'!$D$7=D2265),"x","")</f>
        <v/>
      </c>
      <c r="AB2265" s="84" t="str">
        <f>IF(AND(OR(LEFT(TH!N2265,2)="15",LEFT(TH!O2265,2)="15"),LEFT(TH!O2265,3)&lt;&gt;"111",'152-CT'!$J$8=TH!F2265),"x","")</f>
        <v/>
      </c>
      <c r="AC2265" s="84" t="str">
        <f>IF(AND(OR(LEFT(TH!N2265,2)="15",LEFT(TH!O2265,2)="15"),TK!$E$7=TH!F2265),"x","")</f>
        <v/>
      </c>
      <c r="AD2265" s="84" t="str">
        <f>IF(AND(N2265="1521",MONTH(C2265)='BK-NL'!$M$11),"x","")</f>
        <v/>
      </c>
    </row>
    <row r="2266" spans="1:30" s="351" customFormat="1" ht="15.75" hidden="1" customHeight="1">
      <c r="A2266" s="336" t="str">
        <f>IF(B2266&lt;&gt;"",IF(AND(B2266='IN-TC'!$S$4,OR(TH!N2266="1111",TH!O2266="1111")),TH!D2266,""),"")</f>
        <v/>
      </c>
      <c r="B2266" s="63" t="str">
        <f t="shared" si="290"/>
        <v/>
      </c>
      <c r="C2266" s="64"/>
      <c r="D2266" s="64"/>
      <c r="E2266" s="64"/>
      <c r="F2266" s="67"/>
      <c r="G2266" s="67"/>
      <c r="H2266" s="73"/>
      <c r="I2266" s="439"/>
      <c r="J2266" s="439"/>
      <c r="K2266" s="430"/>
      <c r="L2266" s="439"/>
      <c r="M2266" s="65"/>
      <c r="N2266" s="66"/>
      <c r="O2266" s="66"/>
      <c r="P2266" s="84" t="str">
        <f>IF(AND('331-CT'!$E$7=TH!H2266,OR(N2266="331",O2266="331")),"x","")</f>
        <v/>
      </c>
      <c r="Q2266" s="84" t="str">
        <f>IF(AND(B2266='111'!$L$11,OR($N2266=$Q$7,$O2266=$Q$7)),"x","")</f>
        <v/>
      </c>
      <c r="R2266" s="84" t="str">
        <f>IF(AND($N2266=$Q$7,$B2266&lt;'111'!$L$11),"x","")</f>
        <v/>
      </c>
      <c r="S2266" s="84" t="str">
        <f>IF(AND($O2266=$Q$7,$B2266&lt;'111'!$L$11),"x","")</f>
        <v/>
      </c>
      <c r="T2266" s="84" t="str">
        <f>IF(ISERROR(FIND('112'!$M$9,G2266,1)),"",IF((AND(FIND('112'!$M$9,G2266,1)&gt;=1,B2266='112'!$K$9,OR($N2266='112'!$I$6,$O2266='112'!$I$6))),"x",""))</f>
        <v/>
      </c>
      <c r="U2266" s="84" t="str">
        <f>IF(ISERROR(FIND('112'!$M$9,G2266,1)),"",IF((AND(LEFT(G2266,2)=LEFT('112'!$M$9,2),B2266&lt;'112'!$K$9,$N2266='112'!$I$6)),"x",""))</f>
        <v/>
      </c>
      <c r="V2266" s="84" t="str">
        <f>IF(ISERROR(FIND('112'!$M$9,G2266,1)),"",IF((AND(RIGHT(G2266,2)=RIGHT('112'!$M$9,2),B2266&lt;'112'!$K$9,$O2266='112'!$I$6)),"x",""))</f>
        <v/>
      </c>
      <c r="W2266" s="84" t="str">
        <f>IF(AND('341-CT'!$H$9=H2266,OR(LEFT(N2266,3)=$W$7,LEFT(O2266,3)=$W$7)),"x","")</f>
        <v/>
      </c>
      <c r="X2266" s="84" t="str">
        <f>IF(OR(TH!N2266=TH!$X$7,O2266=TH!$X$7),"x","")</f>
        <v/>
      </c>
      <c r="Y2266" s="84" t="str">
        <f>IF(AND(OR(N2266="131",O2266="131"),H2266='131-CT'!$H$9),"x","")</f>
        <v/>
      </c>
      <c r="Z2266" s="84"/>
      <c r="AA2266" s="84" t="str">
        <f>IF(AND(MONTH(E2266)='IN-NX'!$J$5,'IN-NX'!$D$7=D2266),"x","")</f>
        <v/>
      </c>
      <c r="AB2266" s="84" t="str">
        <f>IF(AND(OR(LEFT(TH!N2266,2)="15",LEFT(TH!O2266,2)="15"),LEFT(TH!O2266,3)&lt;&gt;"111",'152-CT'!$J$8=TH!F2266),"x","")</f>
        <v/>
      </c>
      <c r="AC2266" s="84" t="str">
        <f>IF(AND(OR(LEFT(TH!N2266,2)="15",LEFT(TH!O2266,2)="15"),TK!$E$7=TH!F2266),"x","")</f>
        <v/>
      </c>
      <c r="AD2266" s="84" t="str">
        <f>IF(AND(N2266="1521",MONTH(C2266)='BK-NL'!$M$11),"x","")</f>
        <v/>
      </c>
    </row>
    <row r="2267" spans="1:30" s="351" customFormat="1" ht="15.75" hidden="1" customHeight="1">
      <c r="A2267" s="336" t="str">
        <f>IF(B2267&lt;&gt;"",IF(AND(B2267='IN-TC'!$S$4,OR(TH!N2267="1111",TH!O2267="1111")),TH!D2267,""),"")</f>
        <v/>
      </c>
      <c r="B2267" s="63" t="str">
        <f t="shared" si="290"/>
        <v/>
      </c>
      <c r="C2267" s="64"/>
      <c r="D2267" s="64"/>
      <c r="E2267" s="64"/>
      <c r="F2267" s="67"/>
      <c r="G2267" s="67"/>
      <c r="H2267" s="73"/>
      <c r="I2267" s="439"/>
      <c r="J2267" s="439"/>
      <c r="K2267" s="430"/>
      <c r="L2267" s="439"/>
      <c r="M2267" s="65"/>
      <c r="N2267" s="66"/>
      <c r="O2267" s="66"/>
      <c r="P2267" s="84" t="str">
        <f>IF(AND('331-CT'!$E$7=TH!H2267,OR(N2267="331",O2267="331")),"x","")</f>
        <v/>
      </c>
      <c r="Q2267" s="84" t="str">
        <f>IF(AND(B2267='111'!$L$11,OR($N2267=$Q$7,$O2267=$Q$7)),"x","")</f>
        <v/>
      </c>
      <c r="R2267" s="84" t="str">
        <f>IF(AND($N2267=$Q$7,$B2267&lt;'111'!$L$11),"x","")</f>
        <v/>
      </c>
      <c r="S2267" s="84" t="str">
        <f>IF(AND($O2267=$Q$7,$B2267&lt;'111'!$L$11),"x","")</f>
        <v/>
      </c>
      <c r="T2267" s="84" t="str">
        <f>IF(ISERROR(FIND('112'!$M$9,G2267,1)),"",IF((AND(FIND('112'!$M$9,G2267,1)&gt;=1,B2267='112'!$K$9,OR($N2267='112'!$I$6,$O2267='112'!$I$6))),"x",""))</f>
        <v/>
      </c>
      <c r="U2267" s="84" t="str">
        <f>IF(ISERROR(FIND('112'!$M$9,G2267,1)),"",IF((AND(LEFT(G2267,2)=LEFT('112'!$M$9,2),B2267&lt;'112'!$K$9,$N2267='112'!$I$6)),"x",""))</f>
        <v/>
      </c>
      <c r="V2267" s="84" t="str">
        <f>IF(ISERROR(FIND('112'!$M$9,G2267,1)),"",IF((AND(RIGHT(G2267,2)=RIGHT('112'!$M$9,2),B2267&lt;'112'!$K$9,$O2267='112'!$I$6)),"x",""))</f>
        <v/>
      </c>
      <c r="W2267" s="84" t="str">
        <f>IF(AND('341-CT'!$H$9=H2267,OR(LEFT(N2267,3)=$W$7,LEFT(O2267,3)=$W$7)),"x","")</f>
        <v/>
      </c>
      <c r="X2267" s="84" t="str">
        <f>IF(OR(TH!N2267=TH!$X$7,O2267=TH!$X$7),"x","")</f>
        <v/>
      </c>
      <c r="Y2267" s="84" t="str">
        <f>IF(AND(OR(N2267="131",O2267="131"),H2267='131-CT'!$H$9),"x","")</f>
        <v/>
      </c>
      <c r="Z2267" s="84"/>
      <c r="AA2267" s="84" t="str">
        <f>IF(AND(MONTH(E2267)='IN-NX'!$J$5,'IN-NX'!$D$7=D2267),"x","")</f>
        <v/>
      </c>
      <c r="AB2267" s="84" t="str">
        <f>IF(AND(OR(LEFT(TH!N2267,2)="15",LEFT(TH!O2267,2)="15"),LEFT(TH!O2267,3)&lt;&gt;"111",'152-CT'!$J$8=TH!F2267),"x","")</f>
        <v/>
      </c>
      <c r="AC2267" s="84" t="str">
        <f>IF(AND(OR(LEFT(TH!N2267,2)="15",LEFT(TH!O2267,2)="15"),TK!$E$7=TH!F2267),"x","")</f>
        <v/>
      </c>
      <c r="AD2267" s="84" t="str">
        <f>IF(AND(N2267="1521",MONTH(C2267)='BK-NL'!$M$11),"x","")</f>
        <v/>
      </c>
    </row>
    <row r="2268" spans="1:30" s="351" customFormat="1" ht="15.75" hidden="1" customHeight="1">
      <c r="A2268" s="336" t="str">
        <f>IF(B2268&lt;&gt;"",IF(AND(B2268='IN-TC'!$S$4,OR(TH!N2268="1111",TH!O2268="1111")),TH!D2268,""),"")</f>
        <v/>
      </c>
      <c r="B2268" s="63" t="str">
        <f t="shared" si="290"/>
        <v/>
      </c>
      <c r="C2268" s="64"/>
      <c r="D2268" s="64"/>
      <c r="E2268" s="64"/>
      <c r="F2268" s="67"/>
      <c r="G2268" s="67"/>
      <c r="H2268" s="73"/>
      <c r="I2268" s="439"/>
      <c r="J2268" s="439"/>
      <c r="K2268" s="430"/>
      <c r="L2268" s="439"/>
      <c r="M2268" s="65"/>
      <c r="N2268" s="66"/>
      <c r="O2268" s="66"/>
      <c r="P2268" s="84" t="str">
        <f>IF(AND('331-CT'!$E$7=TH!H2268,OR(N2268="331",O2268="331")),"x","")</f>
        <v/>
      </c>
      <c r="Q2268" s="84" t="str">
        <f>IF(AND(B2268='111'!$L$11,OR($N2268=$Q$7,$O2268=$Q$7)),"x","")</f>
        <v/>
      </c>
      <c r="R2268" s="84" t="str">
        <f>IF(AND($N2268=$Q$7,$B2268&lt;'111'!$L$11),"x","")</f>
        <v/>
      </c>
      <c r="S2268" s="84" t="str">
        <f>IF(AND($O2268=$Q$7,$B2268&lt;'111'!$L$11),"x","")</f>
        <v/>
      </c>
      <c r="T2268" s="84" t="str">
        <f>IF(ISERROR(FIND('112'!$M$9,G2268,1)),"",IF((AND(FIND('112'!$M$9,G2268,1)&gt;=1,B2268='112'!$K$9,OR($N2268='112'!$I$6,$O2268='112'!$I$6))),"x",""))</f>
        <v/>
      </c>
      <c r="U2268" s="84" t="str">
        <f>IF(ISERROR(FIND('112'!$M$9,G2268,1)),"",IF((AND(LEFT(G2268,2)=LEFT('112'!$M$9,2),B2268&lt;'112'!$K$9,$N2268='112'!$I$6)),"x",""))</f>
        <v/>
      </c>
      <c r="V2268" s="84" t="str">
        <f>IF(ISERROR(FIND('112'!$M$9,G2268,1)),"",IF((AND(RIGHT(G2268,2)=RIGHT('112'!$M$9,2),B2268&lt;'112'!$K$9,$O2268='112'!$I$6)),"x",""))</f>
        <v/>
      </c>
      <c r="W2268" s="84" t="str">
        <f>IF(AND('341-CT'!$H$9=H2268,OR(LEFT(N2268,3)=$W$7,LEFT(O2268,3)=$W$7)),"x","")</f>
        <v/>
      </c>
      <c r="X2268" s="84" t="str">
        <f>IF(OR(TH!N2268=TH!$X$7,O2268=TH!$X$7),"x","")</f>
        <v/>
      </c>
      <c r="Y2268" s="84" t="str">
        <f>IF(AND(OR(N2268="131",O2268="131"),H2268='131-CT'!$H$9),"x","")</f>
        <v/>
      </c>
      <c r="Z2268" s="84"/>
      <c r="AA2268" s="84" t="str">
        <f>IF(AND(MONTH(E2268)='IN-NX'!$J$5,'IN-NX'!$D$7=D2268),"x","")</f>
        <v/>
      </c>
      <c r="AB2268" s="84" t="str">
        <f>IF(AND(OR(LEFT(TH!N2268,2)="15",LEFT(TH!O2268,2)="15"),LEFT(TH!O2268,3)&lt;&gt;"111",'152-CT'!$J$8=TH!F2268),"x","")</f>
        <v/>
      </c>
      <c r="AC2268" s="84" t="str">
        <f>IF(AND(OR(LEFT(TH!N2268,2)="15",LEFT(TH!O2268,2)="15"),TK!$E$7=TH!F2268),"x","")</f>
        <v/>
      </c>
      <c r="AD2268" s="84" t="str">
        <f>IF(AND(N2268="1521",MONTH(C2268)='BK-NL'!$M$11),"x","")</f>
        <v/>
      </c>
    </row>
    <row r="2269" spans="1:30" s="351" customFormat="1" ht="15.75" hidden="1" customHeight="1">
      <c r="A2269" s="336" t="str">
        <f>IF(B2269&lt;&gt;"",IF(AND(B2269='IN-TC'!$S$4,OR(TH!N2269="1111",TH!O2269="1111")),TH!D2269,""),"")</f>
        <v/>
      </c>
      <c r="B2269" s="63" t="str">
        <f t="shared" si="290"/>
        <v/>
      </c>
      <c r="C2269" s="64"/>
      <c r="D2269" s="64"/>
      <c r="E2269" s="64"/>
      <c r="F2269" s="67"/>
      <c r="G2269" s="67"/>
      <c r="H2269" s="73"/>
      <c r="I2269" s="439"/>
      <c r="J2269" s="439"/>
      <c r="K2269" s="430"/>
      <c r="L2269" s="439"/>
      <c r="M2269" s="65"/>
      <c r="N2269" s="66"/>
      <c r="O2269" s="66"/>
      <c r="P2269" s="84" t="str">
        <f>IF(AND('331-CT'!$E$7=TH!H2269,OR(N2269="331",O2269="331")),"x","")</f>
        <v/>
      </c>
      <c r="Q2269" s="84" t="str">
        <f>IF(AND(B2269='111'!$L$11,OR($N2269=$Q$7,$O2269=$Q$7)),"x","")</f>
        <v/>
      </c>
      <c r="R2269" s="84" t="str">
        <f>IF(AND($N2269=$Q$7,$B2269&lt;'111'!$L$11),"x","")</f>
        <v/>
      </c>
      <c r="S2269" s="84" t="str">
        <f>IF(AND($O2269=$Q$7,$B2269&lt;'111'!$L$11),"x","")</f>
        <v/>
      </c>
      <c r="T2269" s="84" t="str">
        <f>IF(ISERROR(FIND('112'!$M$9,G2269,1)),"",IF((AND(FIND('112'!$M$9,G2269,1)&gt;=1,B2269='112'!$K$9,OR($N2269='112'!$I$6,$O2269='112'!$I$6))),"x",""))</f>
        <v/>
      </c>
      <c r="U2269" s="84" t="str">
        <f>IF(ISERROR(FIND('112'!$M$9,G2269,1)),"",IF((AND(LEFT(G2269,2)=LEFT('112'!$M$9,2),B2269&lt;'112'!$K$9,$N2269='112'!$I$6)),"x",""))</f>
        <v/>
      </c>
      <c r="V2269" s="84" t="str">
        <f>IF(ISERROR(FIND('112'!$M$9,G2269,1)),"",IF((AND(RIGHT(G2269,2)=RIGHT('112'!$M$9,2),B2269&lt;'112'!$K$9,$O2269='112'!$I$6)),"x",""))</f>
        <v/>
      </c>
      <c r="W2269" s="84" t="str">
        <f>IF(AND('341-CT'!$H$9=H2269,OR(LEFT(N2269,3)=$W$7,LEFT(O2269,3)=$W$7)),"x","")</f>
        <v/>
      </c>
      <c r="X2269" s="84" t="str">
        <f>IF(OR(TH!N2269=TH!$X$7,O2269=TH!$X$7),"x","")</f>
        <v/>
      </c>
      <c r="Y2269" s="84" t="str">
        <f>IF(AND(OR(N2269="131",O2269="131"),H2269='131-CT'!$H$9),"x","")</f>
        <v/>
      </c>
      <c r="Z2269" s="84"/>
      <c r="AA2269" s="84" t="str">
        <f>IF(AND(MONTH(E2269)='IN-NX'!$J$5,'IN-NX'!$D$7=D2269),"x","")</f>
        <v/>
      </c>
      <c r="AB2269" s="84" t="str">
        <f>IF(AND(OR(LEFT(TH!N2269,2)="15",LEFT(TH!O2269,2)="15"),LEFT(TH!O2269,3)&lt;&gt;"111",'152-CT'!$J$8=TH!F2269),"x","")</f>
        <v/>
      </c>
      <c r="AC2269" s="84" t="str">
        <f>IF(AND(OR(LEFT(TH!N2269,2)="15",LEFT(TH!O2269,2)="15"),TK!$E$7=TH!F2269),"x","")</f>
        <v/>
      </c>
      <c r="AD2269" s="84" t="str">
        <f>IF(AND(N2269="1521",MONTH(C2269)='BK-NL'!$M$11),"x","")</f>
        <v/>
      </c>
    </row>
    <row r="2270" spans="1:30" s="351" customFormat="1" ht="15.75" hidden="1" customHeight="1">
      <c r="A2270" s="336" t="str">
        <f>IF(B2270&lt;&gt;"",IF(AND(B2270='IN-TC'!$S$4,OR(TH!N2270="1111",TH!O2270="1111")),TH!D2270,""),"")</f>
        <v/>
      </c>
      <c r="B2270" s="63" t="str">
        <f t="shared" si="290"/>
        <v/>
      </c>
      <c r="C2270" s="64"/>
      <c r="D2270" s="64"/>
      <c r="E2270" s="64"/>
      <c r="F2270" s="67"/>
      <c r="G2270" s="67"/>
      <c r="H2270" s="73"/>
      <c r="I2270" s="439"/>
      <c r="J2270" s="439"/>
      <c r="K2270" s="430"/>
      <c r="L2270" s="439"/>
      <c r="M2270" s="65"/>
      <c r="N2270" s="66"/>
      <c r="O2270" s="66"/>
      <c r="P2270" s="84" t="str">
        <f>IF(AND('331-CT'!$E$7=TH!H2270,OR(N2270="331",O2270="331")),"x","")</f>
        <v/>
      </c>
      <c r="Q2270" s="84" t="str">
        <f>IF(AND(B2270='111'!$L$11,OR($N2270=$Q$7,$O2270=$Q$7)),"x","")</f>
        <v/>
      </c>
      <c r="R2270" s="84" t="str">
        <f>IF(AND($N2270=$Q$7,$B2270&lt;'111'!$L$11),"x","")</f>
        <v/>
      </c>
      <c r="S2270" s="84" t="str">
        <f>IF(AND($O2270=$Q$7,$B2270&lt;'111'!$L$11),"x","")</f>
        <v/>
      </c>
      <c r="T2270" s="84" t="str">
        <f>IF(ISERROR(FIND('112'!$M$9,G2270,1)),"",IF((AND(FIND('112'!$M$9,G2270,1)&gt;=1,B2270='112'!$K$9,OR($N2270='112'!$I$6,$O2270='112'!$I$6))),"x",""))</f>
        <v/>
      </c>
      <c r="U2270" s="84" t="str">
        <f>IF(ISERROR(FIND('112'!$M$9,G2270,1)),"",IF((AND(LEFT(G2270,2)=LEFT('112'!$M$9,2),B2270&lt;'112'!$K$9,$N2270='112'!$I$6)),"x",""))</f>
        <v/>
      </c>
      <c r="V2270" s="84" t="str">
        <f>IF(ISERROR(FIND('112'!$M$9,G2270,1)),"",IF((AND(RIGHT(G2270,2)=RIGHT('112'!$M$9,2),B2270&lt;'112'!$K$9,$O2270='112'!$I$6)),"x",""))</f>
        <v/>
      </c>
      <c r="W2270" s="84" t="str">
        <f>IF(AND('341-CT'!$H$9=H2270,OR(LEFT(N2270,3)=$W$7,LEFT(O2270,3)=$W$7)),"x","")</f>
        <v/>
      </c>
      <c r="X2270" s="84" t="str">
        <f>IF(OR(TH!N2270=TH!$X$7,O2270=TH!$X$7),"x","")</f>
        <v/>
      </c>
      <c r="Y2270" s="84" t="str">
        <f>IF(AND(OR(N2270="131",O2270="131"),H2270='131-CT'!$H$9),"x","")</f>
        <v/>
      </c>
      <c r="Z2270" s="84"/>
      <c r="AA2270" s="84" t="str">
        <f>IF(AND(MONTH(E2270)='IN-NX'!$J$5,'IN-NX'!$D$7=D2270),"x","")</f>
        <v/>
      </c>
      <c r="AB2270" s="84" t="str">
        <f>IF(AND(OR(LEFT(TH!N2270,2)="15",LEFT(TH!O2270,2)="15"),LEFT(TH!O2270,3)&lt;&gt;"111",'152-CT'!$J$8=TH!F2270),"x","")</f>
        <v/>
      </c>
      <c r="AC2270" s="84" t="str">
        <f>IF(AND(OR(LEFT(TH!N2270,2)="15",LEFT(TH!O2270,2)="15"),TK!$E$7=TH!F2270),"x","")</f>
        <v/>
      </c>
      <c r="AD2270" s="84" t="str">
        <f>IF(AND(N2270="1521",MONTH(C2270)='BK-NL'!$M$11),"x","")</f>
        <v/>
      </c>
    </row>
    <row r="2271" spans="1:30" s="351" customFormat="1" ht="15.75" hidden="1" customHeight="1">
      <c r="A2271" s="336" t="str">
        <f>IF(B2271&lt;&gt;"",IF(AND(B2271='IN-TC'!$S$4,OR(TH!N2271="1111",TH!O2271="1111")),TH!D2271,""),"")</f>
        <v/>
      </c>
      <c r="B2271" s="63" t="str">
        <f t="shared" si="290"/>
        <v/>
      </c>
      <c r="C2271" s="64"/>
      <c r="D2271" s="64"/>
      <c r="E2271" s="64"/>
      <c r="F2271" s="67"/>
      <c r="G2271" s="67"/>
      <c r="H2271" s="73"/>
      <c r="I2271" s="439"/>
      <c r="J2271" s="439"/>
      <c r="K2271" s="430"/>
      <c r="L2271" s="439"/>
      <c r="M2271" s="65"/>
      <c r="N2271" s="66"/>
      <c r="O2271" s="66"/>
      <c r="P2271" s="84" t="str">
        <f>IF(AND('331-CT'!$E$7=TH!H2271,OR(N2271="331",O2271="331")),"x","")</f>
        <v/>
      </c>
      <c r="Q2271" s="84" t="str">
        <f>IF(AND(B2271='111'!$L$11,OR($N2271=$Q$7,$O2271=$Q$7)),"x","")</f>
        <v/>
      </c>
      <c r="R2271" s="84" t="str">
        <f>IF(AND($N2271=$Q$7,$B2271&lt;'111'!$L$11),"x","")</f>
        <v/>
      </c>
      <c r="S2271" s="84" t="str">
        <f>IF(AND($O2271=$Q$7,$B2271&lt;'111'!$L$11),"x","")</f>
        <v/>
      </c>
      <c r="T2271" s="84" t="str">
        <f>IF(ISERROR(FIND('112'!$M$9,G2271,1)),"",IF((AND(FIND('112'!$M$9,G2271,1)&gt;=1,B2271='112'!$K$9,OR($N2271='112'!$I$6,$O2271='112'!$I$6))),"x",""))</f>
        <v/>
      </c>
      <c r="U2271" s="84" t="str">
        <f>IF(ISERROR(FIND('112'!$M$9,G2271,1)),"",IF((AND(LEFT(G2271,2)=LEFT('112'!$M$9,2),B2271&lt;'112'!$K$9,$N2271='112'!$I$6)),"x",""))</f>
        <v/>
      </c>
      <c r="V2271" s="84" t="str">
        <f>IF(ISERROR(FIND('112'!$M$9,G2271,1)),"",IF((AND(RIGHT(G2271,2)=RIGHT('112'!$M$9,2),B2271&lt;'112'!$K$9,$O2271='112'!$I$6)),"x",""))</f>
        <v/>
      </c>
      <c r="W2271" s="84" t="str">
        <f>IF(AND('341-CT'!$H$9=H2271,OR(LEFT(N2271,3)=$W$7,LEFT(O2271,3)=$W$7)),"x","")</f>
        <v/>
      </c>
      <c r="X2271" s="84" t="str">
        <f>IF(OR(TH!N2271=TH!$X$7,O2271=TH!$X$7),"x","")</f>
        <v/>
      </c>
      <c r="Y2271" s="84" t="str">
        <f>IF(AND(OR(N2271="131",O2271="131"),H2271='131-CT'!$H$9),"x","")</f>
        <v/>
      </c>
      <c r="Z2271" s="84"/>
      <c r="AA2271" s="84" t="str">
        <f>IF(AND(MONTH(E2271)='IN-NX'!$J$5,'IN-NX'!$D$7=D2271),"x","")</f>
        <v/>
      </c>
      <c r="AB2271" s="84" t="str">
        <f>IF(AND(OR(LEFT(TH!N2271,2)="15",LEFT(TH!O2271,2)="15"),LEFT(TH!O2271,3)&lt;&gt;"111",'152-CT'!$J$8=TH!F2271),"x","")</f>
        <v/>
      </c>
      <c r="AC2271" s="84" t="str">
        <f>IF(AND(OR(LEFT(TH!N2271,2)="15",LEFT(TH!O2271,2)="15"),TK!$E$7=TH!F2271),"x","")</f>
        <v/>
      </c>
      <c r="AD2271" s="84" t="str">
        <f>IF(AND(N2271="1521",MONTH(C2271)='BK-NL'!$M$11),"x","")</f>
        <v/>
      </c>
    </row>
    <row r="2272" spans="1:30" s="351" customFormat="1" ht="15.75" hidden="1" customHeight="1">
      <c r="A2272" s="336" t="str">
        <f>IF(B2272&lt;&gt;"",IF(AND(B2272='IN-TC'!$S$4,OR(TH!N2272="1111",TH!O2272="1111")),TH!D2272,""),"")</f>
        <v/>
      </c>
      <c r="B2272" s="63" t="str">
        <f t="shared" si="290"/>
        <v/>
      </c>
      <c r="C2272" s="64"/>
      <c r="D2272" s="64"/>
      <c r="E2272" s="64"/>
      <c r="F2272" s="67"/>
      <c r="G2272" s="67"/>
      <c r="H2272" s="73"/>
      <c r="I2272" s="439"/>
      <c r="J2272" s="439"/>
      <c r="K2272" s="430"/>
      <c r="L2272" s="439"/>
      <c r="M2272" s="65"/>
      <c r="N2272" s="66"/>
      <c r="O2272" s="66"/>
      <c r="P2272" s="84" t="str">
        <f>IF(AND('331-CT'!$E$7=TH!H2272,OR(N2272="331",O2272="331")),"x","")</f>
        <v/>
      </c>
      <c r="Q2272" s="84" t="str">
        <f>IF(AND(B2272='111'!$L$11,OR($N2272=$Q$7,$O2272=$Q$7)),"x","")</f>
        <v/>
      </c>
      <c r="R2272" s="84" t="str">
        <f>IF(AND($N2272=$Q$7,$B2272&lt;'111'!$L$11),"x","")</f>
        <v/>
      </c>
      <c r="S2272" s="84" t="str">
        <f>IF(AND($O2272=$Q$7,$B2272&lt;'111'!$L$11),"x","")</f>
        <v/>
      </c>
      <c r="T2272" s="84" t="str">
        <f>IF(ISERROR(FIND('112'!$M$9,G2272,1)),"",IF((AND(FIND('112'!$M$9,G2272,1)&gt;=1,B2272='112'!$K$9,OR($N2272='112'!$I$6,$O2272='112'!$I$6))),"x",""))</f>
        <v/>
      </c>
      <c r="U2272" s="84" t="str">
        <f>IF(ISERROR(FIND('112'!$M$9,G2272,1)),"",IF((AND(LEFT(G2272,2)=LEFT('112'!$M$9,2),B2272&lt;'112'!$K$9,$N2272='112'!$I$6)),"x",""))</f>
        <v/>
      </c>
      <c r="V2272" s="84" t="str">
        <f>IF(ISERROR(FIND('112'!$M$9,G2272,1)),"",IF((AND(RIGHT(G2272,2)=RIGHT('112'!$M$9,2),B2272&lt;'112'!$K$9,$O2272='112'!$I$6)),"x",""))</f>
        <v/>
      </c>
      <c r="W2272" s="84" t="str">
        <f>IF(AND('341-CT'!$H$9=H2272,OR(LEFT(N2272,3)=$W$7,LEFT(O2272,3)=$W$7)),"x","")</f>
        <v/>
      </c>
      <c r="X2272" s="84" t="str">
        <f>IF(OR(TH!N2272=TH!$X$7,O2272=TH!$X$7),"x","")</f>
        <v/>
      </c>
      <c r="Y2272" s="84" t="str">
        <f>IF(AND(OR(N2272="131",O2272="131"),H2272='131-CT'!$H$9),"x","")</f>
        <v/>
      </c>
      <c r="Z2272" s="84"/>
      <c r="AA2272" s="84" t="str">
        <f>IF(AND(MONTH(E2272)='IN-NX'!$J$5,'IN-NX'!$D$7=D2272),"x","")</f>
        <v/>
      </c>
      <c r="AB2272" s="84" t="str">
        <f>IF(AND(OR(LEFT(TH!N2272,2)="15",LEFT(TH!O2272,2)="15"),LEFT(TH!O2272,3)&lt;&gt;"111",'152-CT'!$J$8=TH!F2272),"x","")</f>
        <v/>
      </c>
      <c r="AC2272" s="84" t="str">
        <f>IF(AND(OR(LEFT(TH!N2272,2)="15",LEFT(TH!O2272,2)="15"),TK!$E$7=TH!F2272),"x","")</f>
        <v/>
      </c>
      <c r="AD2272" s="84" t="str">
        <f>IF(AND(N2272="1521",MONTH(C2272)='BK-NL'!$M$11),"x","")</f>
        <v/>
      </c>
    </row>
    <row r="2273" spans="1:30" s="351" customFormat="1" ht="15.75" hidden="1" customHeight="1">
      <c r="A2273" s="336" t="str">
        <f>IF(B2273&lt;&gt;"",IF(AND(B2273='IN-TC'!$S$4,OR(TH!N2273="1111",TH!O2273="1111")),TH!D2273,""),"")</f>
        <v/>
      </c>
      <c r="B2273" s="63" t="str">
        <f t="shared" si="290"/>
        <v/>
      </c>
      <c r="C2273" s="64"/>
      <c r="D2273" s="64"/>
      <c r="E2273" s="64"/>
      <c r="F2273" s="67"/>
      <c r="G2273" s="67"/>
      <c r="H2273" s="73"/>
      <c r="I2273" s="439"/>
      <c r="J2273" s="439"/>
      <c r="K2273" s="430"/>
      <c r="L2273" s="439"/>
      <c r="M2273" s="65"/>
      <c r="N2273" s="66"/>
      <c r="O2273" s="66"/>
      <c r="P2273" s="84" t="str">
        <f>IF(AND('331-CT'!$E$7=TH!H2273,OR(N2273="331",O2273="331")),"x","")</f>
        <v/>
      </c>
      <c r="Q2273" s="84" t="str">
        <f>IF(AND(B2273='111'!$L$11,OR($N2273=$Q$7,$O2273=$Q$7)),"x","")</f>
        <v/>
      </c>
      <c r="R2273" s="84" t="str">
        <f>IF(AND($N2273=$Q$7,$B2273&lt;'111'!$L$11),"x","")</f>
        <v/>
      </c>
      <c r="S2273" s="84" t="str">
        <f>IF(AND($O2273=$Q$7,$B2273&lt;'111'!$L$11),"x","")</f>
        <v/>
      </c>
      <c r="T2273" s="84" t="str">
        <f>IF(ISERROR(FIND('112'!$M$9,G2273,1)),"",IF((AND(FIND('112'!$M$9,G2273,1)&gt;=1,B2273='112'!$K$9,OR($N2273='112'!$I$6,$O2273='112'!$I$6))),"x",""))</f>
        <v/>
      </c>
      <c r="U2273" s="84" t="str">
        <f>IF(ISERROR(FIND('112'!$M$9,G2273,1)),"",IF((AND(LEFT(G2273,2)=LEFT('112'!$M$9,2),B2273&lt;'112'!$K$9,$N2273='112'!$I$6)),"x",""))</f>
        <v/>
      </c>
      <c r="V2273" s="84" t="str">
        <f>IF(ISERROR(FIND('112'!$M$9,G2273,1)),"",IF((AND(RIGHT(G2273,2)=RIGHT('112'!$M$9,2),B2273&lt;'112'!$K$9,$O2273='112'!$I$6)),"x",""))</f>
        <v/>
      </c>
      <c r="W2273" s="84" t="str">
        <f>IF(AND('341-CT'!$H$9=H2273,OR(LEFT(N2273,3)=$W$7,LEFT(O2273,3)=$W$7)),"x","")</f>
        <v/>
      </c>
      <c r="X2273" s="84" t="str">
        <f>IF(OR(TH!N2273=TH!$X$7,O2273=TH!$X$7),"x","")</f>
        <v/>
      </c>
      <c r="Y2273" s="84" t="str">
        <f>IF(AND(OR(N2273="131",O2273="131"),H2273='131-CT'!$H$9),"x","")</f>
        <v/>
      </c>
      <c r="Z2273" s="84"/>
      <c r="AA2273" s="84" t="str">
        <f>IF(AND(MONTH(E2273)='IN-NX'!$J$5,'IN-NX'!$D$7=D2273),"x","")</f>
        <v/>
      </c>
      <c r="AB2273" s="84" t="str">
        <f>IF(AND(OR(LEFT(TH!N2273,2)="15",LEFT(TH!O2273,2)="15"),LEFT(TH!O2273,3)&lt;&gt;"111",'152-CT'!$J$8=TH!F2273),"x","")</f>
        <v/>
      </c>
      <c r="AC2273" s="84" t="str">
        <f>IF(AND(OR(LEFT(TH!N2273,2)="15",LEFT(TH!O2273,2)="15"),TK!$E$7=TH!F2273),"x","")</f>
        <v/>
      </c>
      <c r="AD2273" s="84" t="str">
        <f>IF(AND(N2273="1521",MONTH(C2273)='BK-NL'!$M$11),"x","")</f>
        <v/>
      </c>
    </row>
    <row r="2274" spans="1:30" s="351" customFormat="1" ht="15.75" hidden="1" customHeight="1">
      <c r="A2274" s="336" t="str">
        <f>IF(B2274&lt;&gt;"",IF(AND(B2274='IN-TC'!$S$4,OR(TH!N2274="1111",TH!O2274="1111")),TH!D2274,""),"")</f>
        <v/>
      </c>
      <c r="B2274" s="63" t="str">
        <f t="shared" si="290"/>
        <v/>
      </c>
      <c r="C2274" s="64"/>
      <c r="D2274" s="64"/>
      <c r="E2274" s="64"/>
      <c r="F2274" s="67"/>
      <c r="G2274" s="67"/>
      <c r="H2274" s="73"/>
      <c r="I2274" s="439"/>
      <c r="J2274" s="439"/>
      <c r="K2274" s="430"/>
      <c r="L2274" s="439"/>
      <c r="M2274" s="65"/>
      <c r="N2274" s="66"/>
      <c r="O2274" s="66"/>
      <c r="P2274" s="84" t="str">
        <f>IF(AND('331-CT'!$E$7=TH!H2274,OR(N2274="331",O2274="331")),"x","")</f>
        <v/>
      </c>
      <c r="Q2274" s="84" t="str">
        <f>IF(AND(B2274='111'!$L$11,OR($N2274=$Q$7,$O2274=$Q$7)),"x","")</f>
        <v/>
      </c>
      <c r="R2274" s="84" t="str">
        <f>IF(AND($N2274=$Q$7,$B2274&lt;'111'!$L$11),"x","")</f>
        <v/>
      </c>
      <c r="S2274" s="84" t="str">
        <f>IF(AND($O2274=$Q$7,$B2274&lt;'111'!$L$11),"x","")</f>
        <v/>
      </c>
      <c r="T2274" s="84" t="str">
        <f>IF(ISERROR(FIND('112'!$M$9,G2274,1)),"",IF((AND(FIND('112'!$M$9,G2274,1)&gt;=1,B2274='112'!$K$9,OR($N2274='112'!$I$6,$O2274='112'!$I$6))),"x",""))</f>
        <v/>
      </c>
      <c r="U2274" s="84" t="str">
        <f>IF(ISERROR(FIND('112'!$M$9,G2274,1)),"",IF((AND(LEFT(G2274,2)=LEFT('112'!$M$9,2),B2274&lt;'112'!$K$9,$N2274='112'!$I$6)),"x",""))</f>
        <v/>
      </c>
      <c r="V2274" s="84" t="str">
        <f>IF(ISERROR(FIND('112'!$M$9,G2274,1)),"",IF((AND(RIGHT(G2274,2)=RIGHT('112'!$M$9,2),B2274&lt;'112'!$K$9,$O2274='112'!$I$6)),"x",""))</f>
        <v/>
      </c>
      <c r="W2274" s="84" t="str">
        <f>IF(AND('341-CT'!$H$9=H2274,OR(LEFT(N2274,3)=$W$7,LEFT(O2274,3)=$W$7)),"x","")</f>
        <v/>
      </c>
      <c r="X2274" s="84" t="str">
        <f>IF(OR(TH!N2274=TH!$X$7,O2274=TH!$X$7),"x","")</f>
        <v/>
      </c>
      <c r="Y2274" s="84" t="str">
        <f>IF(AND(OR(N2274="131",O2274="131"),H2274='131-CT'!$H$9),"x","")</f>
        <v/>
      </c>
      <c r="Z2274" s="84"/>
      <c r="AA2274" s="84" t="str">
        <f>IF(AND(MONTH(E2274)='IN-NX'!$J$5,'IN-NX'!$D$7=D2274),"x","")</f>
        <v/>
      </c>
      <c r="AB2274" s="84" t="str">
        <f>IF(AND(OR(LEFT(TH!N2274,2)="15",LEFT(TH!O2274,2)="15"),LEFT(TH!O2274,3)&lt;&gt;"111",'152-CT'!$J$8=TH!F2274),"x","")</f>
        <v/>
      </c>
      <c r="AC2274" s="84" t="str">
        <f>IF(AND(OR(LEFT(TH!N2274,2)="15",LEFT(TH!O2274,2)="15"),TK!$E$7=TH!F2274),"x","")</f>
        <v/>
      </c>
      <c r="AD2274" s="84" t="str">
        <f>IF(AND(N2274="1521",MONTH(C2274)='BK-NL'!$M$11),"x","")</f>
        <v/>
      </c>
    </row>
    <row r="2275" spans="1:30" s="351" customFormat="1" ht="15.75" hidden="1" customHeight="1">
      <c r="A2275" s="336" t="str">
        <f>IF(B2275&lt;&gt;"",IF(AND(B2275='IN-TC'!$S$4,OR(TH!N2275="1111",TH!O2275="1111")),TH!D2275,""),"")</f>
        <v/>
      </c>
      <c r="B2275" s="63" t="str">
        <f t="shared" si="290"/>
        <v/>
      </c>
      <c r="C2275" s="64"/>
      <c r="D2275" s="64"/>
      <c r="E2275" s="64"/>
      <c r="F2275" s="67"/>
      <c r="G2275" s="67"/>
      <c r="H2275" s="73"/>
      <c r="I2275" s="439"/>
      <c r="J2275" s="439"/>
      <c r="K2275" s="430"/>
      <c r="L2275" s="439"/>
      <c r="M2275" s="65"/>
      <c r="N2275" s="66"/>
      <c r="O2275" s="66"/>
      <c r="P2275" s="84" t="str">
        <f>IF(AND('331-CT'!$E$7=TH!H2275,OR(N2275="331",O2275="331")),"x","")</f>
        <v/>
      </c>
      <c r="Q2275" s="84" t="str">
        <f>IF(AND(B2275='111'!$L$11,OR($N2275=$Q$7,$O2275=$Q$7)),"x","")</f>
        <v/>
      </c>
      <c r="R2275" s="84" t="str">
        <f>IF(AND($N2275=$Q$7,$B2275&lt;'111'!$L$11),"x","")</f>
        <v/>
      </c>
      <c r="S2275" s="84" t="str">
        <f>IF(AND($O2275=$Q$7,$B2275&lt;'111'!$L$11),"x","")</f>
        <v/>
      </c>
      <c r="T2275" s="84" t="str">
        <f>IF(ISERROR(FIND('112'!$M$9,G2275,1)),"",IF((AND(FIND('112'!$M$9,G2275,1)&gt;=1,B2275='112'!$K$9,OR($N2275='112'!$I$6,$O2275='112'!$I$6))),"x",""))</f>
        <v/>
      </c>
      <c r="U2275" s="84" t="str">
        <f>IF(ISERROR(FIND('112'!$M$9,G2275,1)),"",IF((AND(LEFT(G2275,2)=LEFT('112'!$M$9,2),B2275&lt;'112'!$K$9,$N2275='112'!$I$6)),"x",""))</f>
        <v/>
      </c>
      <c r="V2275" s="84" t="str">
        <f>IF(ISERROR(FIND('112'!$M$9,G2275,1)),"",IF((AND(RIGHT(G2275,2)=RIGHT('112'!$M$9,2),B2275&lt;'112'!$K$9,$O2275='112'!$I$6)),"x",""))</f>
        <v/>
      </c>
      <c r="W2275" s="84" t="str">
        <f>IF(AND('341-CT'!$H$9=H2275,OR(LEFT(N2275,3)=$W$7,LEFT(O2275,3)=$W$7)),"x","")</f>
        <v/>
      </c>
      <c r="X2275" s="84" t="str">
        <f>IF(OR(TH!N2275=TH!$X$7,O2275=TH!$X$7),"x","")</f>
        <v/>
      </c>
      <c r="Y2275" s="84" t="str">
        <f>IF(AND(OR(N2275="131",O2275="131"),H2275='131-CT'!$H$9),"x","")</f>
        <v/>
      </c>
      <c r="Z2275" s="84"/>
      <c r="AA2275" s="84" t="str">
        <f>IF(AND(MONTH(E2275)='IN-NX'!$J$5,'IN-NX'!$D$7=D2275),"x","")</f>
        <v/>
      </c>
      <c r="AB2275" s="84" t="str">
        <f>IF(AND(OR(LEFT(TH!N2275,2)="15",LEFT(TH!O2275,2)="15"),LEFT(TH!O2275,3)&lt;&gt;"111",'152-CT'!$J$8=TH!F2275),"x","")</f>
        <v/>
      </c>
      <c r="AC2275" s="84" t="str">
        <f>IF(AND(OR(LEFT(TH!N2275,2)="15",LEFT(TH!O2275,2)="15"),TK!$E$7=TH!F2275),"x","")</f>
        <v/>
      </c>
      <c r="AD2275" s="84" t="str">
        <f>IF(AND(N2275="1521",MONTH(C2275)='BK-NL'!$M$11),"x","")</f>
        <v/>
      </c>
    </row>
    <row r="2276" spans="1:30" s="351" customFormat="1" ht="15.75" hidden="1" customHeight="1">
      <c r="A2276" s="336" t="str">
        <f>IF(B2276&lt;&gt;"",IF(AND(B2276='IN-TC'!$S$4,OR(TH!N2276="1111",TH!O2276="1111")),TH!D2276,""),"")</f>
        <v/>
      </c>
      <c r="B2276" s="63" t="str">
        <f t="shared" si="290"/>
        <v/>
      </c>
      <c r="C2276" s="64"/>
      <c r="D2276" s="64"/>
      <c r="E2276" s="64"/>
      <c r="F2276" s="67"/>
      <c r="G2276" s="67"/>
      <c r="H2276" s="73"/>
      <c r="I2276" s="439"/>
      <c r="J2276" s="439"/>
      <c r="K2276" s="430"/>
      <c r="L2276" s="439"/>
      <c r="M2276" s="65"/>
      <c r="N2276" s="66"/>
      <c r="O2276" s="66"/>
      <c r="P2276" s="84" t="str">
        <f>IF(AND('331-CT'!$E$7=TH!H2276,OR(N2276="331",O2276="331")),"x","")</f>
        <v/>
      </c>
      <c r="Q2276" s="84" t="str">
        <f>IF(AND(B2276='111'!$L$11,OR($N2276=$Q$7,$O2276=$Q$7)),"x","")</f>
        <v/>
      </c>
      <c r="R2276" s="84" t="str">
        <f>IF(AND($N2276=$Q$7,$B2276&lt;'111'!$L$11),"x","")</f>
        <v/>
      </c>
      <c r="S2276" s="84" t="str">
        <f>IF(AND($O2276=$Q$7,$B2276&lt;'111'!$L$11),"x","")</f>
        <v/>
      </c>
      <c r="T2276" s="84" t="str">
        <f>IF(ISERROR(FIND('112'!$M$9,G2276,1)),"",IF((AND(FIND('112'!$M$9,G2276,1)&gt;=1,B2276='112'!$K$9,OR($N2276='112'!$I$6,$O2276='112'!$I$6))),"x",""))</f>
        <v/>
      </c>
      <c r="U2276" s="84" t="str">
        <f>IF(ISERROR(FIND('112'!$M$9,G2276,1)),"",IF((AND(LEFT(G2276,2)=LEFT('112'!$M$9,2),B2276&lt;'112'!$K$9,$N2276='112'!$I$6)),"x",""))</f>
        <v/>
      </c>
      <c r="V2276" s="84" t="str">
        <f>IF(ISERROR(FIND('112'!$M$9,G2276,1)),"",IF((AND(RIGHT(G2276,2)=RIGHT('112'!$M$9,2),B2276&lt;'112'!$K$9,$O2276='112'!$I$6)),"x",""))</f>
        <v/>
      </c>
      <c r="W2276" s="84" t="str">
        <f>IF(AND('341-CT'!$H$9=H2276,OR(LEFT(N2276,3)=$W$7,LEFT(O2276,3)=$W$7)),"x","")</f>
        <v/>
      </c>
      <c r="X2276" s="84" t="str">
        <f>IF(OR(TH!N2276=TH!$X$7,O2276=TH!$X$7),"x","")</f>
        <v/>
      </c>
      <c r="Y2276" s="84" t="str">
        <f>IF(AND(OR(N2276="131",O2276="131"),H2276='131-CT'!$H$9),"x","")</f>
        <v/>
      </c>
      <c r="Z2276" s="84"/>
      <c r="AA2276" s="84" t="str">
        <f>IF(AND(MONTH(E2276)='IN-NX'!$J$5,'IN-NX'!$D$7=D2276),"x","")</f>
        <v/>
      </c>
      <c r="AB2276" s="84" t="str">
        <f>IF(AND(OR(LEFT(TH!N2276,2)="15",LEFT(TH!O2276,2)="15"),LEFT(TH!O2276,3)&lt;&gt;"111",'152-CT'!$J$8=TH!F2276),"x","")</f>
        <v/>
      </c>
      <c r="AC2276" s="84" t="str">
        <f>IF(AND(OR(LEFT(TH!N2276,2)="15",LEFT(TH!O2276,2)="15"),TK!$E$7=TH!F2276),"x","")</f>
        <v/>
      </c>
      <c r="AD2276" s="84" t="str">
        <f>IF(AND(N2276="1521",MONTH(C2276)='BK-NL'!$M$11),"x","")</f>
        <v/>
      </c>
    </row>
    <row r="2277" spans="1:30" s="351" customFormat="1" ht="15.75" hidden="1" customHeight="1">
      <c r="A2277" s="336" t="str">
        <f>IF(B2277&lt;&gt;"",IF(AND(B2277='IN-TC'!$S$4,OR(TH!N2277="1111",TH!O2277="1111")),TH!D2277,""),"")</f>
        <v/>
      </c>
      <c r="B2277" s="63" t="str">
        <f t="shared" si="290"/>
        <v/>
      </c>
      <c r="C2277" s="64"/>
      <c r="D2277" s="64"/>
      <c r="E2277" s="64"/>
      <c r="F2277" s="67"/>
      <c r="G2277" s="67"/>
      <c r="H2277" s="73"/>
      <c r="I2277" s="439"/>
      <c r="J2277" s="439"/>
      <c r="K2277" s="430"/>
      <c r="L2277" s="439"/>
      <c r="M2277" s="65"/>
      <c r="N2277" s="66"/>
      <c r="O2277" s="66"/>
      <c r="P2277" s="84" t="str">
        <f>IF(AND('331-CT'!$E$7=TH!H2277,OR(N2277="331",O2277="331")),"x","")</f>
        <v/>
      </c>
      <c r="Q2277" s="84" t="str">
        <f>IF(AND(B2277='111'!$L$11,OR($N2277=$Q$7,$O2277=$Q$7)),"x","")</f>
        <v/>
      </c>
      <c r="R2277" s="84" t="str">
        <f>IF(AND($N2277=$Q$7,$B2277&lt;'111'!$L$11),"x","")</f>
        <v/>
      </c>
      <c r="S2277" s="84" t="str">
        <f>IF(AND($O2277=$Q$7,$B2277&lt;'111'!$L$11),"x","")</f>
        <v/>
      </c>
      <c r="T2277" s="84" t="str">
        <f>IF(ISERROR(FIND('112'!$M$9,G2277,1)),"",IF((AND(FIND('112'!$M$9,G2277,1)&gt;=1,B2277='112'!$K$9,OR($N2277='112'!$I$6,$O2277='112'!$I$6))),"x",""))</f>
        <v/>
      </c>
      <c r="U2277" s="84" t="str">
        <f>IF(ISERROR(FIND('112'!$M$9,G2277,1)),"",IF((AND(LEFT(G2277,2)=LEFT('112'!$M$9,2),B2277&lt;'112'!$K$9,$N2277='112'!$I$6)),"x",""))</f>
        <v/>
      </c>
      <c r="V2277" s="84" t="str">
        <f>IF(ISERROR(FIND('112'!$M$9,G2277,1)),"",IF((AND(RIGHT(G2277,2)=RIGHT('112'!$M$9,2),B2277&lt;'112'!$K$9,$O2277='112'!$I$6)),"x",""))</f>
        <v/>
      </c>
      <c r="W2277" s="84" t="str">
        <f>IF(AND('341-CT'!$H$9=H2277,OR(LEFT(N2277,3)=$W$7,LEFT(O2277,3)=$W$7)),"x","")</f>
        <v/>
      </c>
      <c r="X2277" s="84" t="str">
        <f>IF(OR(TH!N2277=TH!$X$7,O2277=TH!$X$7),"x","")</f>
        <v/>
      </c>
      <c r="Y2277" s="84" t="str">
        <f>IF(AND(OR(N2277="131",O2277="131"),H2277='131-CT'!$H$9),"x","")</f>
        <v/>
      </c>
      <c r="Z2277" s="84"/>
      <c r="AA2277" s="84" t="str">
        <f>IF(AND(MONTH(E2277)='IN-NX'!$J$5,'IN-NX'!$D$7=D2277),"x","")</f>
        <v/>
      </c>
      <c r="AB2277" s="84" t="str">
        <f>IF(AND(OR(LEFT(TH!N2277,2)="15",LEFT(TH!O2277,2)="15"),LEFT(TH!O2277,3)&lt;&gt;"111",'152-CT'!$J$8=TH!F2277),"x","")</f>
        <v/>
      </c>
      <c r="AC2277" s="84" t="str">
        <f>IF(AND(OR(LEFT(TH!N2277,2)="15",LEFT(TH!O2277,2)="15"),TK!$E$7=TH!F2277),"x","")</f>
        <v/>
      </c>
      <c r="AD2277" s="84" t="str">
        <f>IF(AND(N2277="1521",MONTH(C2277)='BK-NL'!$M$11),"x","")</f>
        <v/>
      </c>
    </row>
    <row r="2278" spans="1:30" s="351" customFormat="1" ht="15.75" hidden="1" customHeight="1">
      <c r="A2278" s="336" t="str">
        <f>IF(B2278&lt;&gt;"",IF(AND(B2278='IN-TC'!$S$4,OR(TH!N2278="1111",TH!O2278="1111")),TH!D2278,""),"")</f>
        <v/>
      </c>
      <c r="B2278" s="63" t="str">
        <f t="shared" si="290"/>
        <v/>
      </c>
      <c r="C2278" s="64"/>
      <c r="D2278" s="64"/>
      <c r="E2278" s="64"/>
      <c r="F2278" s="67"/>
      <c r="G2278" s="67"/>
      <c r="H2278" s="73"/>
      <c r="I2278" s="439"/>
      <c r="J2278" s="439"/>
      <c r="K2278" s="430"/>
      <c r="L2278" s="439"/>
      <c r="M2278" s="65"/>
      <c r="N2278" s="66"/>
      <c r="O2278" s="66"/>
      <c r="P2278" s="84" t="str">
        <f>IF(AND('331-CT'!$E$7=TH!H2278,OR(N2278="331",O2278="331")),"x","")</f>
        <v/>
      </c>
      <c r="Q2278" s="84" t="str">
        <f>IF(AND(B2278='111'!$L$11,OR($N2278=$Q$7,$O2278=$Q$7)),"x","")</f>
        <v/>
      </c>
      <c r="R2278" s="84" t="str">
        <f>IF(AND($N2278=$Q$7,$B2278&lt;'111'!$L$11),"x","")</f>
        <v/>
      </c>
      <c r="S2278" s="84" t="str">
        <f>IF(AND($O2278=$Q$7,$B2278&lt;'111'!$L$11),"x","")</f>
        <v/>
      </c>
      <c r="T2278" s="84" t="str">
        <f>IF(ISERROR(FIND('112'!$M$9,G2278,1)),"",IF((AND(FIND('112'!$M$9,G2278,1)&gt;=1,B2278='112'!$K$9,OR($N2278='112'!$I$6,$O2278='112'!$I$6))),"x",""))</f>
        <v/>
      </c>
      <c r="U2278" s="84" t="str">
        <f>IF(ISERROR(FIND('112'!$M$9,G2278,1)),"",IF((AND(LEFT(G2278,2)=LEFT('112'!$M$9,2),B2278&lt;'112'!$K$9,$N2278='112'!$I$6)),"x",""))</f>
        <v/>
      </c>
      <c r="V2278" s="84" t="str">
        <f>IF(ISERROR(FIND('112'!$M$9,G2278,1)),"",IF((AND(RIGHT(G2278,2)=RIGHT('112'!$M$9,2),B2278&lt;'112'!$K$9,$O2278='112'!$I$6)),"x",""))</f>
        <v/>
      </c>
      <c r="W2278" s="84" t="str">
        <f>IF(AND('341-CT'!$H$9=H2278,OR(LEFT(N2278,3)=$W$7,LEFT(O2278,3)=$W$7)),"x","")</f>
        <v/>
      </c>
      <c r="X2278" s="84" t="str">
        <f>IF(OR(TH!N2278=TH!$X$7,O2278=TH!$X$7),"x","")</f>
        <v/>
      </c>
      <c r="Y2278" s="84" t="str">
        <f>IF(AND(OR(N2278="131",O2278="131"),H2278='131-CT'!$H$9),"x","")</f>
        <v/>
      </c>
      <c r="Z2278" s="84"/>
      <c r="AA2278" s="84" t="str">
        <f>IF(AND(MONTH(E2278)='IN-NX'!$J$5,'IN-NX'!$D$7=D2278),"x","")</f>
        <v/>
      </c>
      <c r="AB2278" s="84" t="str">
        <f>IF(AND(OR(LEFT(TH!N2278,2)="15",LEFT(TH!O2278,2)="15"),LEFT(TH!O2278,3)&lt;&gt;"111",'152-CT'!$J$8=TH!F2278),"x","")</f>
        <v/>
      </c>
      <c r="AC2278" s="84" t="str">
        <f>IF(AND(OR(LEFT(TH!N2278,2)="15",LEFT(TH!O2278,2)="15"),TK!$E$7=TH!F2278),"x","")</f>
        <v/>
      </c>
      <c r="AD2278" s="84" t="str">
        <f>IF(AND(N2278="1521",MONTH(C2278)='BK-NL'!$M$11),"x","")</f>
        <v/>
      </c>
    </row>
    <row r="2279" spans="1:30" s="351" customFormat="1" ht="15.75" hidden="1" customHeight="1">
      <c r="A2279" s="336" t="str">
        <f>IF(B2279&lt;&gt;"",IF(AND(B2279='IN-TC'!$S$4,OR(TH!N2279="1111",TH!O2279="1111")),TH!D2279,""),"")</f>
        <v/>
      </c>
      <c r="B2279" s="63" t="str">
        <f t="shared" si="290"/>
        <v/>
      </c>
      <c r="C2279" s="64"/>
      <c r="D2279" s="64"/>
      <c r="E2279" s="64"/>
      <c r="F2279" s="67"/>
      <c r="G2279" s="67"/>
      <c r="H2279" s="73"/>
      <c r="I2279" s="439"/>
      <c r="J2279" s="439"/>
      <c r="K2279" s="430"/>
      <c r="L2279" s="439"/>
      <c r="M2279" s="65"/>
      <c r="N2279" s="66"/>
      <c r="O2279" s="66"/>
      <c r="P2279" s="84" t="str">
        <f>IF(AND('331-CT'!$E$7=TH!H2279,OR(N2279="331",O2279="331")),"x","")</f>
        <v/>
      </c>
      <c r="Q2279" s="84" t="str">
        <f>IF(AND(B2279='111'!$L$11,OR($N2279=$Q$7,$O2279=$Q$7)),"x","")</f>
        <v/>
      </c>
      <c r="R2279" s="84" t="str">
        <f>IF(AND($N2279=$Q$7,$B2279&lt;'111'!$L$11),"x","")</f>
        <v/>
      </c>
      <c r="S2279" s="84" t="str">
        <f>IF(AND($O2279=$Q$7,$B2279&lt;'111'!$L$11),"x","")</f>
        <v/>
      </c>
      <c r="T2279" s="84" t="str">
        <f>IF(ISERROR(FIND('112'!$M$9,G2279,1)),"",IF((AND(FIND('112'!$M$9,G2279,1)&gt;=1,B2279='112'!$K$9,OR($N2279='112'!$I$6,$O2279='112'!$I$6))),"x",""))</f>
        <v/>
      </c>
      <c r="U2279" s="84" t="str">
        <f>IF(ISERROR(FIND('112'!$M$9,G2279,1)),"",IF((AND(LEFT(G2279,2)=LEFT('112'!$M$9,2),B2279&lt;'112'!$K$9,$N2279='112'!$I$6)),"x",""))</f>
        <v/>
      </c>
      <c r="V2279" s="84" t="str">
        <f>IF(ISERROR(FIND('112'!$M$9,G2279,1)),"",IF((AND(RIGHT(G2279,2)=RIGHT('112'!$M$9,2),B2279&lt;'112'!$K$9,$O2279='112'!$I$6)),"x",""))</f>
        <v/>
      </c>
      <c r="W2279" s="84" t="str">
        <f>IF(AND('341-CT'!$H$9=H2279,OR(LEFT(N2279,3)=$W$7,LEFT(O2279,3)=$W$7)),"x","")</f>
        <v/>
      </c>
      <c r="X2279" s="84" t="str">
        <f>IF(OR(TH!N2279=TH!$X$7,O2279=TH!$X$7),"x","")</f>
        <v/>
      </c>
      <c r="Y2279" s="84" t="str">
        <f>IF(AND(OR(N2279="131",O2279="131"),H2279='131-CT'!$H$9),"x","")</f>
        <v/>
      </c>
      <c r="Z2279" s="84"/>
      <c r="AA2279" s="84" t="str">
        <f>IF(AND(MONTH(E2279)='IN-NX'!$J$5,'IN-NX'!$D$7=D2279),"x","")</f>
        <v/>
      </c>
      <c r="AB2279" s="84" t="str">
        <f>IF(AND(OR(LEFT(TH!N2279,2)="15",LEFT(TH!O2279,2)="15"),LEFT(TH!O2279,3)&lt;&gt;"111",'152-CT'!$J$8=TH!F2279),"x","")</f>
        <v/>
      </c>
      <c r="AC2279" s="84" t="str">
        <f>IF(AND(OR(LEFT(TH!N2279,2)="15",LEFT(TH!O2279,2)="15"),TK!$E$7=TH!F2279),"x","")</f>
        <v/>
      </c>
      <c r="AD2279" s="84" t="str">
        <f>IF(AND(N2279="1521",MONTH(C2279)='BK-NL'!$M$11),"x","")</f>
        <v/>
      </c>
    </row>
    <row r="2280" spans="1:30" s="351" customFormat="1" ht="15.75" hidden="1" customHeight="1">
      <c r="A2280" s="336" t="str">
        <f>IF(B2280&lt;&gt;"",IF(AND(B2280='IN-TC'!$S$4,OR(TH!N2280="1111",TH!O2280="1111")),TH!D2280,""),"")</f>
        <v/>
      </c>
      <c r="B2280" s="63" t="str">
        <f t="shared" si="290"/>
        <v/>
      </c>
      <c r="C2280" s="64"/>
      <c r="D2280" s="64"/>
      <c r="E2280" s="64"/>
      <c r="F2280" s="67"/>
      <c r="G2280" s="67"/>
      <c r="H2280" s="73"/>
      <c r="I2280" s="439"/>
      <c r="J2280" s="439"/>
      <c r="K2280" s="430"/>
      <c r="L2280" s="439"/>
      <c r="M2280" s="65"/>
      <c r="N2280" s="66"/>
      <c r="O2280" s="66"/>
      <c r="P2280" s="84" t="str">
        <f>IF(AND('331-CT'!$E$7=TH!H2280,OR(N2280="331",O2280="331")),"x","")</f>
        <v/>
      </c>
      <c r="Q2280" s="84" t="str">
        <f>IF(AND(B2280='111'!$L$11,OR($N2280=$Q$7,$O2280=$Q$7)),"x","")</f>
        <v/>
      </c>
      <c r="R2280" s="84" t="str">
        <f>IF(AND($N2280=$Q$7,$B2280&lt;'111'!$L$11),"x","")</f>
        <v/>
      </c>
      <c r="S2280" s="84" t="str">
        <f>IF(AND($O2280=$Q$7,$B2280&lt;'111'!$L$11),"x","")</f>
        <v/>
      </c>
      <c r="T2280" s="84" t="str">
        <f>IF(ISERROR(FIND('112'!$M$9,G2280,1)),"",IF((AND(FIND('112'!$M$9,G2280,1)&gt;=1,B2280='112'!$K$9,OR($N2280='112'!$I$6,$O2280='112'!$I$6))),"x",""))</f>
        <v/>
      </c>
      <c r="U2280" s="84" t="str">
        <f>IF(ISERROR(FIND('112'!$M$9,G2280,1)),"",IF((AND(LEFT(G2280,2)=LEFT('112'!$M$9,2),B2280&lt;'112'!$K$9,$N2280='112'!$I$6)),"x",""))</f>
        <v/>
      </c>
      <c r="V2280" s="84" t="str">
        <f>IF(ISERROR(FIND('112'!$M$9,G2280,1)),"",IF((AND(RIGHT(G2280,2)=RIGHT('112'!$M$9,2),B2280&lt;'112'!$K$9,$O2280='112'!$I$6)),"x",""))</f>
        <v/>
      </c>
      <c r="W2280" s="84" t="str">
        <f>IF(AND('341-CT'!$H$9=H2280,OR(LEFT(N2280,3)=$W$7,LEFT(O2280,3)=$W$7)),"x","")</f>
        <v/>
      </c>
      <c r="X2280" s="84" t="str">
        <f>IF(OR(TH!N2280=TH!$X$7,O2280=TH!$X$7),"x","")</f>
        <v/>
      </c>
      <c r="Y2280" s="84" t="str">
        <f>IF(AND(OR(N2280="131",O2280="131"),H2280='131-CT'!$H$9),"x","")</f>
        <v/>
      </c>
      <c r="Z2280" s="84"/>
      <c r="AA2280" s="84" t="str">
        <f>IF(AND(MONTH(E2280)='IN-NX'!$J$5,'IN-NX'!$D$7=D2280),"x","")</f>
        <v/>
      </c>
      <c r="AB2280" s="84" t="str">
        <f>IF(AND(OR(LEFT(TH!N2280,2)="15",LEFT(TH!O2280,2)="15"),LEFT(TH!O2280,3)&lt;&gt;"111",'152-CT'!$J$8=TH!F2280),"x","")</f>
        <v/>
      </c>
      <c r="AC2280" s="84" t="str">
        <f>IF(AND(OR(LEFT(TH!N2280,2)="15",LEFT(TH!O2280,2)="15"),TK!$E$7=TH!F2280),"x","")</f>
        <v/>
      </c>
      <c r="AD2280" s="84" t="str">
        <f>IF(AND(N2280="1521",MONTH(C2280)='BK-NL'!$M$11),"x","")</f>
        <v/>
      </c>
    </row>
    <row r="2281" spans="1:30" s="351" customFormat="1" ht="15.75" hidden="1" customHeight="1">
      <c r="A2281" s="336" t="str">
        <f>IF(B2281&lt;&gt;"",IF(AND(B2281='IN-TC'!$S$4,OR(TH!N2281="1111",TH!O2281="1111")),TH!D2281,""),"")</f>
        <v/>
      </c>
      <c r="B2281" s="63" t="str">
        <f t="shared" si="290"/>
        <v/>
      </c>
      <c r="C2281" s="64"/>
      <c r="D2281" s="64"/>
      <c r="E2281" s="64"/>
      <c r="F2281" s="67"/>
      <c r="G2281" s="67"/>
      <c r="H2281" s="73"/>
      <c r="I2281" s="439"/>
      <c r="J2281" s="439"/>
      <c r="K2281" s="430"/>
      <c r="L2281" s="439"/>
      <c r="M2281" s="65"/>
      <c r="N2281" s="66"/>
      <c r="O2281" s="66"/>
      <c r="P2281" s="84" t="str">
        <f>IF(AND('331-CT'!$E$7=TH!H2281,OR(N2281="331",O2281="331")),"x","")</f>
        <v/>
      </c>
      <c r="Q2281" s="84" t="str">
        <f>IF(AND(B2281='111'!$L$11,OR($N2281=$Q$7,$O2281=$Q$7)),"x","")</f>
        <v/>
      </c>
      <c r="R2281" s="84" t="str">
        <f>IF(AND($N2281=$Q$7,$B2281&lt;'111'!$L$11),"x","")</f>
        <v/>
      </c>
      <c r="S2281" s="84" t="str">
        <f>IF(AND($O2281=$Q$7,$B2281&lt;'111'!$L$11),"x","")</f>
        <v/>
      </c>
      <c r="T2281" s="84" t="str">
        <f>IF(ISERROR(FIND('112'!$M$9,G2281,1)),"",IF((AND(FIND('112'!$M$9,G2281,1)&gt;=1,B2281='112'!$K$9,OR($N2281='112'!$I$6,$O2281='112'!$I$6))),"x",""))</f>
        <v/>
      </c>
      <c r="U2281" s="84" t="str">
        <f>IF(ISERROR(FIND('112'!$M$9,G2281,1)),"",IF((AND(LEFT(G2281,2)=LEFT('112'!$M$9,2),B2281&lt;'112'!$K$9,$N2281='112'!$I$6)),"x",""))</f>
        <v/>
      </c>
      <c r="V2281" s="84" t="str">
        <f>IF(ISERROR(FIND('112'!$M$9,G2281,1)),"",IF((AND(RIGHT(G2281,2)=RIGHT('112'!$M$9,2),B2281&lt;'112'!$K$9,$O2281='112'!$I$6)),"x",""))</f>
        <v/>
      </c>
      <c r="W2281" s="84" t="str">
        <f>IF(AND('341-CT'!$H$9=H2281,OR(LEFT(N2281,3)=$W$7,LEFT(O2281,3)=$W$7)),"x","")</f>
        <v/>
      </c>
      <c r="X2281" s="84" t="str">
        <f>IF(OR(TH!N2281=TH!$X$7,O2281=TH!$X$7),"x","")</f>
        <v/>
      </c>
      <c r="Y2281" s="84" t="str">
        <f>IF(AND(OR(N2281="131",O2281="131"),H2281='131-CT'!$H$9),"x","")</f>
        <v/>
      </c>
      <c r="Z2281" s="84"/>
      <c r="AA2281" s="84" t="str">
        <f>IF(AND(MONTH(E2281)='IN-NX'!$J$5,'IN-NX'!$D$7=D2281),"x","")</f>
        <v/>
      </c>
      <c r="AB2281" s="84" t="str">
        <f>IF(AND(OR(LEFT(TH!N2281,2)="15",LEFT(TH!O2281,2)="15"),LEFT(TH!O2281,3)&lt;&gt;"111",'152-CT'!$J$8=TH!F2281),"x","")</f>
        <v/>
      </c>
      <c r="AC2281" s="84" t="str">
        <f>IF(AND(OR(LEFT(TH!N2281,2)="15",LEFT(TH!O2281,2)="15"),TK!$E$7=TH!F2281),"x","")</f>
        <v/>
      </c>
      <c r="AD2281" s="84" t="str">
        <f>IF(AND(N2281="1521",MONTH(C2281)='BK-NL'!$M$11),"x","")</f>
        <v/>
      </c>
    </row>
    <row r="2282" spans="1:30" s="351" customFormat="1" ht="15.75" hidden="1" customHeight="1">
      <c r="A2282" s="336" t="str">
        <f>IF(B2282&lt;&gt;"",IF(AND(B2282='IN-TC'!$S$4,OR(TH!N2282="1111",TH!O2282="1111")),TH!D2282,""),"")</f>
        <v/>
      </c>
      <c r="B2282" s="63" t="str">
        <f t="shared" si="290"/>
        <v/>
      </c>
      <c r="C2282" s="64"/>
      <c r="D2282" s="64"/>
      <c r="E2282" s="64"/>
      <c r="F2282" s="67"/>
      <c r="G2282" s="67"/>
      <c r="H2282" s="73"/>
      <c r="I2282" s="439"/>
      <c r="J2282" s="439"/>
      <c r="K2282" s="430"/>
      <c r="L2282" s="439"/>
      <c r="M2282" s="65"/>
      <c r="N2282" s="66"/>
      <c r="O2282" s="66"/>
      <c r="P2282" s="84" t="str">
        <f>IF(AND('331-CT'!$E$7=TH!H2282,OR(N2282="331",O2282="331")),"x","")</f>
        <v/>
      </c>
      <c r="Q2282" s="84" t="str">
        <f>IF(AND(B2282='111'!$L$11,OR($N2282=$Q$7,$O2282=$Q$7)),"x","")</f>
        <v/>
      </c>
      <c r="R2282" s="84" t="str">
        <f>IF(AND($N2282=$Q$7,$B2282&lt;'111'!$L$11),"x","")</f>
        <v/>
      </c>
      <c r="S2282" s="84" t="str">
        <f>IF(AND($O2282=$Q$7,$B2282&lt;'111'!$L$11),"x","")</f>
        <v/>
      </c>
      <c r="T2282" s="84" t="str">
        <f>IF(ISERROR(FIND('112'!$M$9,G2282,1)),"",IF((AND(FIND('112'!$M$9,G2282,1)&gt;=1,B2282='112'!$K$9,OR($N2282='112'!$I$6,$O2282='112'!$I$6))),"x",""))</f>
        <v/>
      </c>
      <c r="U2282" s="84" t="str">
        <f>IF(ISERROR(FIND('112'!$M$9,G2282,1)),"",IF((AND(LEFT(G2282,2)=LEFT('112'!$M$9,2),B2282&lt;'112'!$K$9,$N2282='112'!$I$6)),"x",""))</f>
        <v/>
      </c>
      <c r="V2282" s="84" t="str">
        <f>IF(ISERROR(FIND('112'!$M$9,G2282,1)),"",IF((AND(RIGHT(G2282,2)=RIGHT('112'!$M$9,2),B2282&lt;'112'!$K$9,$O2282='112'!$I$6)),"x",""))</f>
        <v/>
      </c>
      <c r="W2282" s="84" t="str">
        <f>IF(AND('341-CT'!$H$9=H2282,OR(LEFT(N2282,3)=$W$7,LEFT(O2282,3)=$W$7)),"x","")</f>
        <v/>
      </c>
      <c r="X2282" s="84" t="str">
        <f>IF(OR(TH!N2282=TH!$X$7,O2282=TH!$X$7),"x","")</f>
        <v/>
      </c>
      <c r="Y2282" s="84" t="str">
        <f>IF(AND(OR(N2282="131",O2282="131"),H2282='131-CT'!$H$9),"x","")</f>
        <v/>
      </c>
      <c r="Z2282" s="84"/>
      <c r="AA2282" s="84" t="str">
        <f>IF(AND(MONTH(E2282)='IN-NX'!$J$5,'IN-NX'!$D$7=D2282),"x","")</f>
        <v/>
      </c>
      <c r="AB2282" s="84" t="str">
        <f>IF(AND(OR(LEFT(TH!N2282,2)="15",LEFT(TH!O2282,2)="15"),LEFT(TH!O2282,3)&lt;&gt;"111",'152-CT'!$J$8=TH!F2282),"x","")</f>
        <v/>
      </c>
      <c r="AC2282" s="84" t="str">
        <f>IF(AND(OR(LEFT(TH!N2282,2)="15",LEFT(TH!O2282,2)="15"),TK!$E$7=TH!F2282),"x","")</f>
        <v/>
      </c>
      <c r="AD2282" s="84" t="str">
        <f>IF(AND(N2282="1521",MONTH(C2282)='BK-NL'!$M$11),"x","")</f>
        <v/>
      </c>
    </row>
    <row r="2283" spans="1:30" s="351" customFormat="1" ht="15.75" hidden="1" customHeight="1">
      <c r="A2283" s="336" t="str">
        <f>IF(B2283&lt;&gt;"",IF(AND(B2283='IN-TC'!$S$4,OR(TH!N2283="1111",TH!O2283="1111")),TH!D2283,""),"")</f>
        <v/>
      </c>
      <c r="B2283" s="63" t="str">
        <f t="shared" si="290"/>
        <v/>
      </c>
      <c r="C2283" s="64"/>
      <c r="D2283" s="64"/>
      <c r="E2283" s="64"/>
      <c r="F2283" s="67"/>
      <c r="G2283" s="67"/>
      <c r="H2283" s="73"/>
      <c r="I2283" s="439"/>
      <c r="J2283" s="439"/>
      <c r="K2283" s="430"/>
      <c r="L2283" s="439"/>
      <c r="M2283" s="65"/>
      <c r="N2283" s="66"/>
      <c r="O2283" s="66"/>
      <c r="P2283" s="84" t="str">
        <f>IF(AND('331-CT'!$E$7=TH!H2283,OR(N2283="331",O2283="331")),"x","")</f>
        <v/>
      </c>
      <c r="Q2283" s="84" t="str">
        <f>IF(AND(B2283='111'!$L$11,OR($N2283=$Q$7,$O2283=$Q$7)),"x","")</f>
        <v/>
      </c>
      <c r="R2283" s="84" t="str">
        <f>IF(AND($N2283=$Q$7,$B2283&lt;'111'!$L$11),"x","")</f>
        <v/>
      </c>
      <c r="S2283" s="84" t="str">
        <f>IF(AND($O2283=$Q$7,$B2283&lt;'111'!$L$11),"x","")</f>
        <v/>
      </c>
      <c r="T2283" s="84" t="str">
        <f>IF(ISERROR(FIND('112'!$M$9,G2283,1)),"",IF((AND(FIND('112'!$M$9,G2283,1)&gt;=1,B2283='112'!$K$9,OR($N2283='112'!$I$6,$O2283='112'!$I$6))),"x",""))</f>
        <v/>
      </c>
      <c r="U2283" s="84" t="str">
        <f>IF(ISERROR(FIND('112'!$M$9,G2283,1)),"",IF((AND(LEFT(G2283,2)=LEFT('112'!$M$9,2),B2283&lt;'112'!$K$9,$N2283='112'!$I$6)),"x",""))</f>
        <v/>
      </c>
      <c r="V2283" s="84" t="str">
        <f>IF(ISERROR(FIND('112'!$M$9,G2283,1)),"",IF((AND(RIGHT(G2283,2)=RIGHT('112'!$M$9,2),B2283&lt;'112'!$K$9,$O2283='112'!$I$6)),"x",""))</f>
        <v/>
      </c>
      <c r="W2283" s="84" t="str">
        <f>IF(AND('341-CT'!$H$9=H2283,OR(LEFT(N2283,3)=$W$7,LEFT(O2283,3)=$W$7)),"x","")</f>
        <v/>
      </c>
      <c r="X2283" s="84" t="str">
        <f>IF(OR(TH!N2283=TH!$X$7,O2283=TH!$X$7),"x","")</f>
        <v/>
      </c>
      <c r="Y2283" s="84" t="str">
        <f>IF(AND(OR(N2283="131",O2283="131"),H2283='131-CT'!$H$9),"x","")</f>
        <v/>
      </c>
      <c r="Z2283" s="84"/>
      <c r="AA2283" s="84" t="str">
        <f>IF(AND(MONTH(E2283)='IN-NX'!$J$5,'IN-NX'!$D$7=D2283),"x","")</f>
        <v/>
      </c>
      <c r="AB2283" s="84" t="str">
        <f>IF(AND(OR(LEFT(TH!N2283,2)="15",LEFT(TH!O2283,2)="15"),LEFT(TH!O2283,3)&lt;&gt;"111",'152-CT'!$J$8=TH!F2283),"x","")</f>
        <v/>
      </c>
      <c r="AC2283" s="84" t="str">
        <f>IF(AND(OR(LEFT(TH!N2283,2)="15",LEFT(TH!O2283,2)="15"),TK!$E$7=TH!F2283),"x","")</f>
        <v/>
      </c>
      <c r="AD2283" s="84" t="str">
        <f>IF(AND(N2283="1521",MONTH(C2283)='BK-NL'!$M$11),"x","")</f>
        <v/>
      </c>
    </row>
    <row r="2284" spans="1:30" s="351" customFormat="1" ht="15.75" hidden="1" customHeight="1">
      <c r="A2284" s="336" t="str">
        <f>IF(B2284&lt;&gt;"",IF(AND(B2284='IN-TC'!$S$4,OR(TH!N2284="1111",TH!O2284="1111")),TH!D2284,""),"")</f>
        <v/>
      </c>
      <c r="B2284" s="63" t="str">
        <f t="shared" si="290"/>
        <v/>
      </c>
      <c r="C2284" s="64"/>
      <c r="D2284" s="64"/>
      <c r="E2284" s="64"/>
      <c r="F2284" s="67"/>
      <c r="G2284" s="67"/>
      <c r="H2284" s="73"/>
      <c r="I2284" s="439"/>
      <c r="J2284" s="439"/>
      <c r="K2284" s="430"/>
      <c r="L2284" s="439"/>
      <c r="M2284" s="65"/>
      <c r="N2284" s="66"/>
      <c r="O2284" s="66"/>
      <c r="P2284" s="84" t="str">
        <f>IF(AND('331-CT'!$E$7=TH!H2284,OR(N2284="331",O2284="331")),"x","")</f>
        <v/>
      </c>
      <c r="Q2284" s="84" t="str">
        <f>IF(AND(B2284='111'!$L$11,OR($N2284=$Q$7,$O2284=$Q$7)),"x","")</f>
        <v/>
      </c>
      <c r="R2284" s="84" t="str">
        <f>IF(AND($N2284=$Q$7,$B2284&lt;'111'!$L$11),"x","")</f>
        <v/>
      </c>
      <c r="S2284" s="84" t="str">
        <f>IF(AND($O2284=$Q$7,$B2284&lt;'111'!$L$11),"x","")</f>
        <v/>
      </c>
      <c r="T2284" s="84" t="str">
        <f>IF(ISERROR(FIND('112'!$M$9,G2284,1)),"",IF((AND(FIND('112'!$M$9,G2284,1)&gt;=1,B2284='112'!$K$9,OR($N2284='112'!$I$6,$O2284='112'!$I$6))),"x",""))</f>
        <v/>
      </c>
      <c r="U2284" s="84" t="str">
        <f>IF(ISERROR(FIND('112'!$M$9,G2284,1)),"",IF((AND(LEFT(G2284,2)=LEFT('112'!$M$9,2),B2284&lt;'112'!$K$9,$N2284='112'!$I$6)),"x",""))</f>
        <v/>
      </c>
      <c r="V2284" s="84" t="str">
        <f>IF(ISERROR(FIND('112'!$M$9,G2284,1)),"",IF((AND(RIGHT(G2284,2)=RIGHT('112'!$M$9,2),B2284&lt;'112'!$K$9,$O2284='112'!$I$6)),"x",""))</f>
        <v/>
      </c>
      <c r="W2284" s="84" t="str">
        <f>IF(AND('341-CT'!$H$9=H2284,OR(LEFT(N2284,3)=$W$7,LEFT(O2284,3)=$W$7)),"x","")</f>
        <v/>
      </c>
      <c r="X2284" s="84" t="str">
        <f>IF(OR(TH!N2284=TH!$X$7,O2284=TH!$X$7),"x","")</f>
        <v/>
      </c>
      <c r="Y2284" s="84" t="str">
        <f>IF(AND(OR(N2284="131",O2284="131"),H2284='131-CT'!$H$9),"x","")</f>
        <v/>
      </c>
      <c r="Z2284" s="84"/>
      <c r="AA2284" s="84" t="str">
        <f>IF(AND(MONTH(E2284)='IN-NX'!$J$5,'IN-NX'!$D$7=D2284),"x","")</f>
        <v/>
      </c>
      <c r="AB2284" s="84" t="str">
        <f>IF(AND(OR(LEFT(TH!N2284,2)="15",LEFT(TH!O2284,2)="15"),LEFT(TH!O2284,3)&lt;&gt;"111",'152-CT'!$J$8=TH!F2284),"x","")</f>
        <v/>
      </c>
      <c r="AC2284" s="84" t="str">
        <f>IF(AND(OR(LEFT(TH!N2284,2)="15",LEFT(TH!O2284,2)="15"),TK!$E$7=TH!F2284),"x","")</f>
        <v/>
      </c>
      <c r="AD2284" s="84" t="str">
        <f>IF(AND(N2284="1521",MONTH(C2284)='BK-NL'!$M$11),"x","")</f>
        <v/>
      </c>
    </row>
    <row r="2285" spans="1:30" s="351" customFormat="1" ht="15.75" hidden="1" customHeight="1">
      <c r="A2285" s="336" t="str">
        <f>IF(B2285&lt;&gt;"",IF(AND(B2285='IN-TC'!$S$4,OR(TH!N2285="1111",TH!O2285="1111")),TH!D2285,""),"")</f>
        <v/>
      </c>
      <c r="B2285" s="63" t="str">
        <f t="shared" si="290"/>
        <v/>
      </c>
      <c r="C2285" s="64"/>
      <c r="D2285" s="64"/>
      <c r="E2285" s="64"/>
      <c r="F2285" s="67"/>
      <c r="G2285" s="67"/>
      <c r="H2285" s="73"/>
      <c r="I2285" s="439"/>
      <c r="J2285" s="439"/>
      <c r="K2285" s="430"/>
      <c r="L2285" s="439"/>
      <c r="M2285" s="65"/>
      <c r="N2285" s="66"/>
      <c r="O2285" s="66"/>
      <c r="P2285" s="84" t="str">
        <f>IF(AND('331-CT'!$E$7=TH!H2285,OR(N2285="331",O2285="331")),"x","")</f>
        <v/>
      </c>
      <c r="Q2285" s="84" t="str">
        <f>IF(AND(B2285='111'!$L$11,OR($N2285=$Q$7,$O2285=$Q$7)),"x","")</f>
        <v/>
      </c>
      <c r="R2285" s="84" t="str">
        <f>IF(AND($N2285=$Q$7,$B2285&lt;'111'!$L$11),"x","")</f>
        <v/>
      </c>
      <c r="S2285" s="84" t="str">
        <f>IF(AND($O2285=$Q$7,$B2285&lt;'111'!$L$11),"x","")</f>
        <v/>
      </c>
      <c r="T2285" s="84" t="str">
        <f>IF(ISERROR(FIND('112'!$M$9,G2285,1)),"",IF((AND(FIND('112'!$M$9,G2285,1)&gt;=1,B2285='112'!$K$9,OR($N2285='112'!$I$6,$O2285='112'!$I$6))),"x",""))</f>
        <v/>
      </c>
      <c r="U2285" s="84" t="str">
        <f>IF(ISERROR(FIND('112'!$M$9,G2285,1)),"",IF((AND(LEFT(G2285,2)=LEFT('112'!$M$9,2),B2285&lt;'112'!$K$9,$N2285='112'!$I$6)),"x",""))</f>
        <v/>
      </c>
      <c r="V2285" s="84" t="str">
        <f>IF(ISERROR(FIND('112'!$M$9,G2285,1)),"",IF((AND(RIGHT(G2285,2)=RIGHT('112'!$M$9,2),B2285&lt;'112'!$K$9,$O2285='112'!$I$6)),"x",""))</f>
        <v/>
      </c>
      <c r="W2285" s="84" t="str">
        <f>IF(AND('341-CT'!$H$9=H2285,OR(LEFT(N2285,3)=$W$7,LEFT(O2285,3)=$W$7)),"x","")</f>
        <v/>
      </c>
      <c r="X2285" s="84" t="str">
        <f>IF(OR(TH!N2285=TH!$X$7,O2285=TH!$X$7),"x","")</f>
        <v/>
      </c>
      <c r="Y2285" s="84" t="str">
        <f>IF(AND(OR(N2285="131",O2285="131"),H2285='131-CT'!$H$9),"x","")</f>
        <v/>
      </c>
      <c r="Z2285" s="84"/>
      <c r="AA2285" s="84" t="str">
        <f>IF(AND(MONTH(E2285)='IN-NX'!$J$5,'IN-NX'!$D$7=D2285),"x","")</f>
        <v/>
      </c>
      <c r="AB2285" s="84" t="str">
        <f>IF(AND(OR(LEFT(TH!N2285,2)="15",LEFT(TH!O2285,2)="15"),LEFT(TH!O2285,3)&lt;&gt;"111",'152-CT'!$J$8=TH!F2285),"x","")</f>
        <v/>
      </c>
      <c r="AC2285" s="84" t="str">
        <f>IF(AND(OR(LEFT(TH!N2285,2)="15",LEFT(TH!O2285,2)="15"),TK!$E$7=TH!F2285),"x","")</f>
        <v/>
      </c>
      <c r="AD2285" s="84" t="str">
        <f>IF(AND(N2285="1521",MONTH(C2285)='BK-NL'!$M$11),"x","")</f>
        <v/>
      </c>
    </row>
    <row r="2286" spans="1:30" s="351" customFormat="1" ht="15.75" hidden="1" customHeight="1">
      <c r="A2286" s="336" t="str">
        <f>IF(B2286&lt;&gt;"",IF(AND(B2286='IN-TC'!$S$4,OR(TH!N2286="1111",TH!O2286="1111")),TH!D2286,""),"")</f>
        <v/>
      </c>
      <c r="B2286" s="63" t="str">
        <f t="shared" si="290"/>
        <v/>
      </c>
      <c r="C2286" s="64"/>
      <c r="D2286" s="64"/>
      <c r="E2286" s="64"/>
      <c r="F2286" s="67"/>
      <c r="G2286" s="67"/>
      <c r="H2286" s="73"/>
      <c r="I2286" s="439"/>
      <c r="J2286" s="439"/>
      <c r="K2286" s="430"/>
      <c r="L2286" s="439"/>
      <c r="M2286" s="65"/>
      <c r="N2286" s="66"/>
      <c r="O2286" s="66"/>
      <c r="P2286" s="84" t="str">
        <f>IF(AND('331-CT'!$E$7=TH!H2286,OR(N2286="331",O2286="331")),"x","")</f>
        <v/>
      </c>
      <c r="Q2286" s="84" t="str">
        <f>IF(AND(B2286='111'!$L$11,OR($N2286=$Q$7,$O2286=$Q$7)),"x","")</f>
        <v/>
      </c>
      <c r="R2286" s="84" t="str">
        <f>IF(AND($N2286=$Q$7,$B2286&lt;'111'!$L$11),"x","")</f>
        <v/>
      </c>
      <c r="S2286" s="84" t="str">
        <f>IF(AND($O2286=$Q$7,$B2286&lt;'111'!$L$11),"x","")</f>
        <v/>
      </c>
      <c r="T2286" s="84" t="str">
        <f>IF(ISERROR(FIND('112'!$M$9,G2286,1)),"",IF((AND(FIND('112'!$M$9,G2286,1)&gt;=1,B2286='112'!$K$9,OR($N2286='112'!$I$6,$O2286='112'!$I$6))),"x",""))</f>
        <v/>
      </c>
      <c r="U2286" s="84" t="str">
        <f>IF(ISERROR(FIND('112'!$M$9,G2286,1)),"",IF((AND(LEFT(G2286,2)=LEFT('112'!$M$9,2),B2286&lt;'112'!$K$9,$N2286='112'!$I$6)),"x",""))</f>
        <v/>
      </c>
      <c r="V2286" s="84" t="str">
        <f>IF(ISERROR(FIND('112'!$M$9,G2286,1)),"",IF((AND(RIGHT(G2286,2)=RIGHT('112'!$M$9,2),B2286&lt;'112'!$K$9,$O2286='112'!$I$6)),"x",""))</f>
        <v/>
      </c>
      <c r="W2286" s="84" t="str">
        <f>IF(AND('341-CT'!$H$9=H2286,OR(LEFT(N2286,3)=$W$7,LEFT(O2286,3)=$W$7)),"x","")</f>
        <v/>
      </c>
      <c r="X2286" s="84" t="str">
        <f>IF(OR(TH!N2286=TH!$X$7,O2286=TH!$X$7),"x","")</f>
        <v/>
      </c>
      <c r="Y2286" s="84" t="str">
        <f>IF(AND(OR(N2286="131",O2286="131"),H2286='131-CT'!$H$9),"x","")</f>
        <v/>
      </c>
      <c r="Z2286" s="84"/>
      <c r="AA2286" s="84" t="str">
        <f>IF(AND(MONTH(E2286)='IN-NX'!$J$5,'IN-NX'!$D$7=D2286),"x","")</f>
        <v/>
      </c>
      <c r="AB2286" s="84" t="str">
        <f>IF(AND(OR(LEFT(TH!N2286,2)="15",LEFT(TH!O2286,2)="15"),LEFT(TH!O2286,3)&lt;&gt;"111",'152-CT'!$J$8=TH!F2286),"x","")</f>
        <v/>
      </c>
      <c r="AC2286" s="84" t="str">
        <f>IF(AND(OR(LEFT(TH!N2286,2)="15",LEFT(TH!O2286,2)="15"),TK!$E$7=TH!F2286),"x","")</f>
        <v/>
      </c>
      <c r="AD2286" s="84" t="str">
        <f>IF(AND(N2286="1521",MONTH(C2286)='BK-NL'!$M$11),"x","")</f>
        <v/>
      </c>
    </row>
    <row r="2287" spans="1:30" s="351" customFormat="1" ht="15.75" hidden="1" customHeight="1">
      <c r="A2287" s="336" t="str">
        <f>IF(B2287&lt;&gt;"",IF(AND(B2287='IN-TC'!$S$4,OR(TH!N2287="1111",TH!O2287="1111")),TH!D2287,""),"")</f>
        <v/>
      </c>
      <c r="B2287" s="63" t="str">
        <f t="shared" si="290"/>
        <v/>
      </c>
      <c r="C2287" s="64"/>
      <c r="D2287" s="64"/>
      <c r="E2287" s="64"/>
      <c r="F2287" s="67"/>
      <c r="G2287" s="67"/>
      <c r="H2287" s="73"/>
      <c r="I2287" s="439"/>
      <c r="J2287" s="439"/>
      <c r="K2287" s="430"/>
      <c r="L2287" s="439"/>
      <c r="M2287" s="65"/>
      <c r="N2287" s="66"/>
      <c r="O2287" s="66"/>
      <c r="P2287" s="84" t="str">
        <f>IF(AND('331-CT'!$E$7=TH!H2287,OR(N2287="331",O2287="331")),"x","")</f>
        <v/>
      </c>
      <c r="Q2287" s="84" t="str">
        <f>IF(AND(B2287='111'!$L$11,OR($N2287=$Q$7,$O2287=$Q$7)),"x","")</f>
        <v/>
      </c>
      <c r="R2287" s="84" t="str">
        <f>IF(AND($N2287=$Q$7,$B2287&lt;'111'!$L$11),"x","")</f>
        <v/>
      </c>
      <c r="S2287" s="84" t="str">
        <f>IF(AND($O2287=$Q$7,$B2287&lt;'111'!$L$11),"x","")</f>
        <v/>
      </c>
      <c r="T2287" s="84" t="str">
        <f>IF(ISERROR(FIND('112'!$M$9,G2287,1)),"",IF((AND(FIND('112'!$M$9,G2287,1)&gt;=1,B2287='112'!$K$9,OR($N2287='112'!$I$6,$O2287='112'!$I$6))),"x",""))</f>
        <v/>
      </c>
      <c r="U2287" s="84" t="str">
        <f>IF(ISERROR(FIND('112'!$M$9,G2287,1)),"",IF((AND(LEFT(G2287,2)=LEFT('112'!$M$9,2),B2287&lt;'112'!$K$9,$N2287='112'!$I$6)),"x",""))</f>
        <v/>
      </c>
      <c r="V2287" s="84" t="str">
        <f>IF(ISERROR(FIND('112'!$M$9,G2287,1)),"",IF((AND(RIGHT(G2287,2)=RIGHT('112'!$M$9,2),B2287&lt;'112'!$K$9,$O2287='112'!$I$6)),"x",""))</f>
        <v/>
      </c>
      <c r="W2287" s="84" t="str">
        <f>IF(AND('341-CT'!$H$9=H2287,OR(LEFT(N2287,3)=$W$7,LEFT(O2287,3)=$W$7)),"x","")</f>
        <v/>
      </c>
      <c r="X2287" s="84" t="str">
        <f>IF(OR(TH!N2287=TH!$X$7,O2287=TH!$X$7),"x","")</f>
        <v/>
      </c>
      <c r="Y2287" s="84" t="str">
        <f>IF(AND(OR(N2287="131",O2287="131"),H2287='131-CT'!$H$9),"x","")</f>
        <v/>
      </c>
      <c r="Z2287" s="84"/>
      <c r="AA2287" s="84" t="str">
        <f>IF(AND(MONTH(E2287)='IN-NX'!$J$5,'IN-NX'!$D$7=D2287),"x","")</f>
        <v/>
      </c>
      <c r="AB2287" s="84" t="str">
        <f>IF(AND(OR(LEFT(TH!N2287,2)="15",LEFT(TH!O2287,2)="15"),LEFT(TH!O2287,3)&lt;&gt;"111",'152-CT'!$J$8=TH!F2287),"x","")</f>
        <v/>
      </c>
      <c r="AC2287" s="84" t="str">
        <f>IF(AND(OR(LEFT(TH!N2287,2)="15",LEFT(TH!O2287,2)="15"),TK!$E$7=TH!F2287),"x","")</f>
        <v/>
      </c>
      <c r="AD2287" s="84" t="str">
        <f>IF(AND(N2287="1521",MONTH(C2287)='BK-NL'!$M$11),"x","")</f>
        <v/>
      </c>
    </row>
    <row r="2288" spans="1:30" s="351" customFormat="1" ht="15.75" hidden="1" customHeight="1">
      <c r="A2288" s="336" t="str">
        <f>IF(B2288&lt;&gt;"",IF(AND(B2288='IN-TC'!$S$4,OR(TH!N2288="1111",TH!O2288="1111")),TH!D2288,""),"")</f>
        <v/>
      </c>
      <c r="B2288" s="63" t="str">
        <f t="shared" si="290"/>
        <v/>
      </c>
      <c r="C2288" s="64"/>
      <c r="D2288" s="64"/>
      <c r="E2288" s="64"/>
      <c r="F2288" s="67"/>
      <c r="G2288" s="67"/>
      <c r="H2288" s="73"/>
      <c r="I2288" s="439"/>
      <c r="J2288" s="439"/>
      <c r="K2288" s="430"/>
      <c r="L2288" s="439"/>
      <c r="M2288" s="65"/>
      <c r="N2288" s="66"/>
      <c r="O2288" s="66"/>
      <c r="P2288" s="84" t="str">
        <f>IF(AND('331-CT'!$E$7=TH!H2288,OR(N2288="331",O2288="331")),"x","")</f>
        <v/>
      </c>
      <c r="Q2288" s="84" t="str">
        <f>IF(AND(B2288='111'!$L$11,OR($N2288=$Q$7,$O2288=$Q$7)),"x","")</f>
        <v/>
      </c>
      <c r="R2288" s="84" t="str">
        <f>IF(AND($N2288=$Q$7,$B2288&lt;'111'!$L$11),"x","")</f>
        <v/>
      </c>
      <c r="S2288" s="84" t="str">
        <f>IF(AND($O2288=$Q$7,$B2288&lt;'111'!$L$11),"x","")</f>
        <v/>
      </c>
      <c r="T2288" s="84" t="str">
        <f>IF(ISERROR(FIND('112'!$M$9,G2288,1)),"",IF((AND(FIND('112'!$M$9,G2288,1)&gt;=1,B2288='112'!$K$9,OR($N2288='112'!$I$6,$O2288='112'!$I$6))),"x",""))</f>
        <v/>
      </c>
      <c r="U2288" s="84" t="str">
        <f>IF(ISERROR(FIND('112'!$M$9,G2288,1)),"",IF((AND(LEFT(G2288,2)=LEFT('112'!$M$9,2),B2288&lt;'112'!$K$9,$N2288='112'!$I$6)),"x",""))</f>
        <v/>
      </c>
      <c r="V2288" s="84" t="str">
        <f>IF(ISERROR(FIND('112'!$M$9,G2288,1)),"",IF((AND(RIGHT(G2288,2)=RIGHT('112'!$M$9,2),B2288&lt;'112'!$K$9,$O2288='112'!$I$6)),"x",""))</f>
        <v/>
      </c>
      <c r="W2288" s="84" t="str">
        <f>IF(AND('341-CT'!$H$9=H2288,OR(LEFT(N2288,3)=$W$7,LEFT(O2288,3)=$W$7)),"x","")</f>
        <v/>
      </c>
      <c r="X2288" s="84" t="str">
        <f>IF(OR(TH!N2288=TH!$X$7,O2288=TH!$X$7),"x","")</f>
        <v/>
      </c>
      <c r="Y2288" s="84" t="str">
        <f>IF(AND(OR(N2288="131",O2288="131"),H2288='131-CT'!$H$9),"x","")</f>
        <v/>
      </c>
      <c r="Z2288" s="84"/>
      <c r="AA2288" s="84" t="str">
        <f>IF(AND(MONTH(E2288)='IN-NX'!$J$5,'IN-NX'!$D$7=D2288),"x","")</f>
        <v/>
      </c>
      <c r="AB2288" s="84" t="str">
        <f>IF(AND(OR(LEFT(TH!N2288,2)="15",LEFT(TH!O2288,2)="15"),LEFT(TH!O2288,3)&lt;&gt;"111",'152-CT'!$J$8=TH!F2288),"x","")</f>
        <v/>
      </c>
      <c r="AC2288" s="84" t="str">
        <f>IF(AND(OR(LEFT(TH!N2288,2)="15",LEFT(TH!O2288,2)="15"),TK!$E$7=TH!F2288),"x","")</f>
        <v/>
      </c>
      <c r="AD2288" s="84" t="str">
        <f>IF(AND(N2288="1521",MONTH(C2288)='BK-NL'!$M$11),"x","")</f>
        <v/>
      </c>
    </row>
    <row r="2289" spans="1:30" s="351" customFormat="1" ht="15.75" hidden="1" customHeight="1">
      <c r="A2289" s="336" t="str">
        <f>IF(B2289&lt;&gt;"",IF(AND(B2289='IN-TC'!$S$4,OR(TH!N2289="1111",TH!O2289="1111")),TH!D2289,""),"")</f>
        <v/>
      </c>
      <c r="B2289" s="63" t="str">
        <f t="shared" si="290"/>
        <v/>
      </c>
      <c r="C2289" s="64"/>
      <c r="D2289" s="64"/>
      <c r="E2289" s="64"/>
      <c r="F2289" s="67"/>
      <c r="G2289" s="67"/>
      <c r="H2289" s="73"/>
      <c r="I2289" s="439"/>
      <c r="J2289" s="439"/>
      <c r="K2289" s="430"/>
      <c r="L2289" s="439"/>
      <c r="M2289" s="65"/>
      <c r="N2289" s="66"/>
      <c r="O2289" s="66"/>
      <c r="P2289" s="84" t="str">
        <f>IF(AND('331-CT'!$E$7=TH!H2289,OR(N2289="331",O2289="331")),"x","")</f>
        <v/>
      </c>
      <c r="Q2289" s="84" t="str">
        <f>IF(AND(B2289='111'!$L$11,OR($N2289=$Q$7,$O2289=$Q$7)),"x","")</f>
        <v/>
      </c>
      <c r="R2289" s="84" t="str">
        <f>IF(AND($N2289=$Q$7,$B2289&lt;'111'!$L$11),"x","")</f>
        <v/>
      </c>
      <c r="S2289" s="84" t="str">
        <f>IF(AND($O2289=$Q$7,$B2289&lt;'111'!$L$11),"x","")</f>
        <v/>
      </c>
      <c r="T2289" s="84" t="str">
        <f>IF(ISERROR(FIND('112'!$M$9,G2289,1)),"",IF((AND(FIND('112'!$M$9,G2289,1)&gt;=1,B2289='112'!$K$9,OR($N2289='112'!$I$6,$O2289='112'!$I$6))),"x",""))</f>
        <v/>
      </c>
      <c r="U2289" s="84" t="str">
        <f>IF(ISERROR(FIND('112'!$M$9,G2289,1)),"",IF((AND(LEFT(G2289,2)=LEFT('112'!$M$9,2),B2289&lt;'112'!$K$9,$N2289='112'!$I$6)),"x",""))</f>
        <v/>
      </c>
      <c r="V2289" s="84" t="str">
        <f>IF(ISERROR(FIND('112'!$M$9,G2289,1)),"",IF((AND(RIGHT(G2289,2)=RIGHT('112'!$M$9,2),B2289&lt;'112'!$K$9,$O2289='112'!$I$6)),"x",""))</f>
        <v/>
      </c>
      <c r="W2289" s="84" t="str">
        <f>IF(AND('341-CT'!$H$9=H2289,OR(LEFT(N2289,3)=$W$7,LEFT(O2289,3)=$W$7)),"x","")</f>
        <v/>
      </c>
      <c r="X2289" s="84" t="str">
        <f>IF(OR(TH!N2289=TH!$X$7,O2289=TH!$X$7),"x","")</f>
        <v/>
      </c>
      <c r="Y2289" s="84" t="str">
        <f>IF(AND(OR(N2289="131",O2289="131"),H2289='131-CT'!$H$9),"x","")</f>
        <v/>
      </c>
      <c r="Z2289" s="84"/>
      <c r="AA2289" s="84" t="str">
        <f>IF(AND(MONTH(E2289)='IN-NX'!$J$5,'IN-NX'!$D$7=D2289),"x","")</f>
        <v/>
      </c>
      <c r="AB2289" s="84" t="str">
        <f>IF(AND(OR(LEFT(TH!N2289,2)="15",LEFT(TH!O2289,2)="15"),LEFT(TH!O2289,3)&lt;&gt;"111",'152-CT'!$J$8=TH!F2289),"x","")</f>
        <v/>
      </c>
      <c r="AC2289" s="84" t="str">
        <f>IF(AND(OR(LEFT(TH!N2289,2)="15",LEFT(TH!O2289,2)="15"),TK!$E$7=TH!F2289),"x","")</f>
        <v/>
      </c>
      <c r="AD2289" s="84" t="str">
        <f>IF(AND(N2289="1521",MONTH(C2289)='BK-NL'!$M$11),"x","")</f>
        <v/>
      </c>
    </row>
    <row r="2290" spans="1:30" s="351" customFormat="1" ht="15.75" hidden="1" customHeight="1">
      <c r="A2290" s="336" t="str">
        <f>IF(B2290&lt;&gt;"",IF(AND(B2290='IN-TC'!$S$4,OR(TH!N2290="1111",TH!O2290="1111")),TH!D2290,""),"")</f>
        <v/>
      </c>
      <c r="B2290" s="63" t="str">
        <f t="shared" si="290"/>
        <v/>
      </c>
      <c r="C2290" s="64"/>
      <c r="D2290" s="64"/>
      <c r="E2290" s="64"/>
      <c r="F2290" s="67"/>
      <c r="G2290" s="67"/>
      <c r="H2290" s="73"/>
      <c r="I2290" s="439"/>
      <c r="J2290" s="439"/>
      <c r="K2290" s="430"/>
      <c r="L2290" s="439"/>
      <c r="M2290" s="65"/>
      <c r="N2290" s="66"/>
      <c r="O2290" s="66"/>
      <c r="P2290" s="84" t="str">
        <f>IF(AND('331-CT'!$E$7=TH!H2290,OR(N2290="331",O2290="331")),"x","")</f>
        <v/>
      </c>
      <c r="Q2290" s="84" t="str">
        <f>IF(AND(B2290='111'!$L$11,OR($N2290=$Q$7,$O2290=$Q$7)),"x","")</f>
        <v/>
      </c>
      <c r="R2290" s="84" t="str">
        <f>IF(AND($N2290=$Q$7,$B2290&lt;'111'!$L$11),"x","")</f>
        <v/>
      </c>
      <c r="S2290" s="84" t="str">
        <f>IF(AND($O2290=$Q$7,$B2290&lt;'111'!$L$11),"x","")</f>
        <v/>
      </c>
      <c r="T2290" s="84" t="str">
        <f>IF(ISERROR(FIND('112'!$M$9,G2290,1)),"",IF((AND(FIND('112'!$M$9,G2290,1)&gt;=1,B2290='112'!$K$9,OR($N2290='112'!$I$6,$O2290='112'!$I$6))),"x",""))</f>
        <v/>
      </c>
      <c r="U2290" s="84" t="str">
        <f>IF(ISERROR(FIND('112'!$M$9,G2290,1)),"",IF((AND(LEFT(G2290,2)=LEFT('112'!$M$9,2),B2290&lt;'112'!$K$9,$N2290='112'!$I$6)),"x",""))</f>
        <v/>
      </c>
      <c r="V2290" s="84" t="str">
        <f>IF(ISERROR(FIND('112'!$M$9,G2290,1)),"",IF((AND(RIGHT(G2290,2)=RIGHT('112'!$M$9,2),B2290&lt;'112'!$K$9,$O2290='112'!$I$6)),"x",""))</f>
        <v/>
      </c>
      <c r="W2290" s="84" t="str">
        <f>IF(AND('341-CT'!$H$9=H2290,OR(LEFT(N2290,3)=$W$7,LEFT(O2290,3)=$W$7)),"x","")</f>
        <v/>
      </c>
      <c r="X2290" s="84" t="str">
        <f>IF(OR(TH!N2290=TH!$X$7,O2290=TH!$X$7),"x","")</f>
        <v/>
      </c>
      <c r="Y2290" s="84" t="str">
        <f>IF(AND(OR(N2290="131",O2290="131"),H2290='131-CT'!$H$9),"x","")</f>
        <v/>
      </c>
      <c r="Z2290" s="84"/>
      <c r="AA2290" s="84" t="str">
        <f>IF(AND(MONTH(E2290)='IN-NX'!$J$5,'IN-NX'!$D$7=D2290),"x","")</f>
        <v/>
      </c>
      <c r="AB2290" s="84" t="str">
        <f>IF(AND(OR(LEFT(TH!N2290,2)="15",LEFT(TH!O2290,2)="15"),LEFT(TH!O2290,3)&lt;&gt;"111",'152-CT'!$J$8=TH!F2290),"x","")</f>
        <v/>
      </c>
      <c r="AC2290" s="84" t="str">
        <f>IF(AND(OR(LEFT(TH!N2290,2)="15",LEFT(TH!O2290,2)="15"),TK!$E$7=TH!F2290),"x","")</f>
        <v/>
      </c>
      <c r="AD2290" s="84" t="str">
        <f>IF(AND(N2290="1521",MONTH(C2290)='BK-NL'!$M$11),"x","")</f>
        <v/>
      </c>
    </row>
    <row r="2291" spans="1:30" s="351" customFormat="1" ht="15.75" hidden="1" customHeight="1">
      <c r="A2291" s="336" t="str">
        <f>IF(B2291&lt;&gt;"",IF(AND(B2291='IN-TC'!$S$4,OR(TH!N2291="1111",TH!O2291="1111")),TH!D2291,""),"")</f>
        <v/>
      </c>
      <c r="B2291" s="63" t="str">
        <f t="shared" si="290"/>
        <v/>
      </c>
      <c r="C2291" s="64"/>
      <c r="D2291" s="64"/>
      <c r="E2291" s="64"/>
      <c r="F2291" s="67"/>
      <c r="G2291" s="67"/>
      <c r="H2291" s="73"/>
      <c r="I2291" s="439"/>
      <c r="J2291" s="439"/>
      <c r="K2291" s="430"/>
      <c r="L2291" s="439"/>
      <c r="M2291" s="65"/>
      <c r="N2291" s="66"/>
      <c r="O2291" s="66"/>
      <c r="P2291" s="84" t="str">
        <f>IF(AND('331-CT'!$E$7=TH!H2291,OR(N2291="331",O2291="331")),"x","")</f>
        <v/>
      </c>
      <c r="Q2291" s="84" t="str">
        <f>IF(AND(B2291='111'!$L$11,OR($N2291=$Q$7,$O2291=$Q$7)),"x","")</f>
        <v/>
      </c>
      <c r="R2291" s="84" t="str">
        <f>IF(AND($N2291=$Q$7,$B2291&lt;'111'!$L$11),"x","")</f>
        <v/>
      </c>
      <c r="S2291" s="84" t="str">
        <f>IF(AND($O2291=$Q$7,$B2291&lt;'111'!$L$11),"x","")</f>
        <v/>
      </c>
      <c r="T2291" s="84" t="str">
        <f>IF(ISERROR(FIND('112'!$M$9,G2291,1)),"",IF((AND(FIND('112'!$M$9,G2291,1)&gt;=1,B2291='112'!$K$9,OR($N2291='112'!$I$6,$O2291='112'!$I$6))),"x",""))</f>
        <v/>
      </c>
      <c r="U2291" s="84" t="str">
        <f>IF(ISERROR(FIND('112'!$M$9,G2291,1)),"",IF((AND(LEFT(G2291,2)=LEFT('112'!$M$9,2),B2291&lt;'112'!$K$9,$N2291='112'!$I$6)),"x",""))</f>
        <v/>
      </c>
      <c r="V2291" s="84" t="str">
        <f>IF(ISERROR(FIND('112'!$M$9,G2291,1)),"",IF((AND(RIGHT(G2291,2)=RIGHT('112'!$M$9,2),B2291&lt;'112'!$K$9,$O2291='112'!$I$6)),"x",""))</f>
        <v/>
      </c>
      <c r="W2291" s="84" t="str">
        <f>IF(AND('341-CT'!$H$9=H2291,OR(LEFT(N2291,3)=$W$7,LEFT(O2291,3)=$W$7)),"x","")</f>
        <v/>
      </c>
      <c r="X2291" s="84" t="str">
        <f>IF(OR(TH!N2291=TH!$X$7,O2291=TH!$X$7),"x","")</f>
        <v/>
      </c>
      <c r="Y2291" s="84" t="str">
        <f>IF(AND(OR(N2291="131",O2291="131"),H2291='131-CT'!$H$9),"x","")</f>
        <v/>
      </c>
      <c r="Z2291" s="84"/>
      <c r="AA2291" s="84" t="str">
        <f>IF(AND(MONTH(E2291)='IN-NX'!$J$5,'IN-NX'!$D$7=D2291),"x","")</f>
        <v/>
      </c>
      <c r="AB2291" s="84" t="str">
        <f>IF(AND(OR(LEFT(TH!N2291,2)="15",LEFT(TH!O2291,2)="15"),LEFT(TH!O2291,3)&lt;&gt;"111",'152-CT'!$J$8=TH!F2291),"x","")</f>
        <v/>
      </c>
      <c r="AC2291" s="84" t="str">
        <f>IF(AND(OR(LEFT(TH!N2291,2)="15",LEFT(TH!O2291,2)="15"),TK!$E$7=TH!F2291),"x","")</f>
        <v/>
      </c>
      <c r="AD2291" s="84" t="str">
        <f>IF(AND(N2291="1521",MONTH(C2291)='BK-NL'!$M$11),"x","")</f>
        <v/>
      </c>
    </row>
    <row r="2292" spans="1:30" s="351" customFormat="1" ht="15.75" hidden="1" customHeight="1">
      <c r="A2292" s="336" t="str">
        <f>IF(B2292&lt;&gt;"",IF(AND(B2292='IN-TC'!$S$4,OR(TH!N2292="1111",TH!O2292="1111")),TH!D2292,""),"")</f>
        <v/>
      </c>
      <c r="B2292" s="63" t="str">
        <f t="shared" si="290"/>
        <v/>
      </c>
      <c r="C2292" s="64"/>
      <c r="D2292" s="64"/>
      <c r="E2292" s="64"/>
      <c r="F2292" s="67"/>
      <c r="G2292" s="67"/>
      <c r="H2292" s="73"/>
      <c r="I2292" s="439"/>
      <c r="J2292" s="439"/>
      <c r="K2292" s="430"/>
      <c r="L2292" s="439"/>
      <c r="M2292" s="65"/>
      <c r="N2292" s="66"/>
      <c r="O2292" s="66"/>
      <c r="P2292" s="84" t="str">
        <f>IF(AND('331-CT'!$E$7=TH!H2292,OR(N2292="331",O2292="331")),"x","")</f>
        <v/>
      </c>
      <c r="Q2292" s="84" t="str">
        <f>IF(AND(B2292='111'!$L$11,OR($N2292=$Q$7,$O2292=$Q$7)),"x","")</f>
        <v/>
      </c>
      <c r="R2292" s="84" t="str">
        <f>IF(AND($N2292=$Q$7,$B2292&lt;'111'!$L$11),"x","")</f>
        <v/>
      </c>
      <c r="S2292" s="84" t="str">
        <f>IF(AND($O2292=$Q$7,$B2292&lt;'111'!$L$11),"x","")</f>
        <v/>
      </c>
      <c r="T2292" s="84" t="str">
        <f>IF(ISERROR(FIND('112'!$M$9,G2292,1)),"",IF((AND(FIND('112'!$M$9,G2292,1)&gt;=1,B2292='112'!$K$9,OR($N2292='112'!$I$6,$O2292='112'!$I$6))),"x",""))</f>
        <v/>
      </c>
      <c r="U2292" s="84" t="str">
        <f>IF(ISERROR(FIND('112'!$M$9,G2292,1)),"",IF((AND(LEFT(G2292,2)=LEFT('112'!$M$9,2),B2292&lt;'112'!$K$9,$N2292='112'!$I$6)),"x",""))</f>
        <v/>
      </c>
      <c r="V2292" s="84" t="str">
        <f>IF(ISERROR(FIND('112'!$M$9,G2292,1)),"",IF((AND(RIGHT(G2292,2)=RIGHT('112'!$M$9,2),B2292&lt;'112'!$K$9,$O2292='112'!$I$6)),"x",""))</f>
        <v/>
      </c>
      <c r="W2292" s="84" t="str">
        <f>IF(AND('341-CT'!$H$9=H2292,OR(LEFT(N2292,3)=$W$7,LEFT(O2292,3)=$W$7)),"x","")</f>
        <v/>
      </c>
      <c r="X2292" s="84" t="str">
        <f>IF(OR(TH!N2292=TH!$X$7,O2292=TH!$X$7),"x","")</f>
        <v/>
      </c>
      <c r="Y2292" s="84" t="str">
        <f>IF(AND(OR(N2292="131",O2292="131"),H2292='131-CT'!$H$9),"x","")</f>
        <v/>
      </c>
      <c r="Z2292" s="84"/>
      <c r="AA2292" s="84" t="str">
        <f>IF(AND(MONTH(E2292)='IN-NX'!$J$5,'IN-NX'!$D$7=D2292),"x","")</f>
        <v/>
      </c>
      <c r="AB2292" s="84" t="str">
        <f>IF(AND(OR(LEFT(TH!N2292,2)="15",LEFT(TH!O2292,2)="15"),LEFT(TH!O2292,3)&lt;&gt;"111",'152-CT'!$J$8=TH!F2292),"x","")</f>
        <v/>
      </c>
      <c r="AC2292" s="84" t="str">
        <f>IF(AND(OR(LEFT(TH!N2292,2)="15",LEFT(TH!O2292,2)="15"),TK!$E$7=TH!F2292),"x","")</f>
        <v/>
      </c>
      <c r="AD2292" s="84" t="str">
        <f>IF(AND(N2292="1521",MONTH(C2292)='BK-NL'!$M$11),"x","")</f>
        <v/>
      </c>
    </row>
    <row r="2293" spans="1:30" s="351" customFormat="1" ht="15.75" hidden="1" customHeight="1">
      <c r="A2293" s="336" t="str">
        <f>IF(B2293&lt;&gt;"",IF(AND(B2293='IN-TC'!$S$4,OR(TH!N2293="1111",TH!O2293="1111")),TH!D2293,""),"")</f>
        <v/>
      </c>
      <c r="B2293" s="63" t="str">
        <f t="shared" si="290"/>
        <v/>
      </c>
      <c r="C2293" s="64"/>
      <c r="D2293" s="64"/>
      <c r="E2293" s="64"/>
      <c r="F2293" s="67"/>
      <c r="G2293" s="67"/>
      <c r="H2293" s="73"/>
      <c r="I2293" s="439"/>
      <c r="J2293" s="439"/>
      <c r="K2293" s="430"/>
      <c r="L2293" s="439"/>
      <c r="M2293" s="65"/>
      <c r="N2293" s="66"/>
      <c r="O2293" s="66"/>
      <c r="P2293" s="84" t="str">
        <f>IF(AND('331-CT'!$E$7=TH!H2293,OR(N2293="331",O2293="331")),"x","")</f>
        <v/>
      </c>
      <c r="Q2293" s="84" t="str">
        <f>IF(AND(B2293='111'!$L$11,OR($N2293=$Q$7,$O2293=$Q$7)),"x","")</f>
        <v/>
      </c>
      <c r="R2293" s="84" t="str">
        <f>IF(AND($N2293=$Q$7,$B2293&lt;'111'!$L$11),"x","")</f>
        <v/>
      </c>
      <c r="S2293" s="84" t="str">
        <f>IF(AND($O2293=$Q$7,$B2293&lt;'111'!$L$11),"x","")</f>
        <v/>
      </c>
      <c r="T2293" s="84" t="str">
        <f>IF(ISERROR(FIND('112'!$M$9,G2293,1)),"",IF((AND(FIND('112'!$M$9,G2293,1)&gt;=1,B2293='112'!$K$9,OR($N2293='112'!$I$6,$O2293='112'!$I$6))),"x",""))</f>
        <v/>
      </c>
      <c r="U2293" s="84" t="str">
        <f>IF(ISERROR(FIND('112'!$M$9,G2293,1)),"",IF((AND(LEFT(G2293,2)=LEFT('112'!$M$9,2),B2293&lt;'112'!$K$9,$N2293='112'!$I$6)),"x",""))</f>
        <v/>
      </c>
      <c r="V2293" s="84" t="str">
        <f>IF(ISERROR(FIND('112'!$M$9,G2293,1)),"",IF((AND(RIGHT(G2293,2)=RIGHT('112'!$M$9,2),B2293&lt;'112'!$K$9,$O2293='112'!$I$6)),"x",""))</f>
        <v/>
      </c>
      <c r="W2293" s="84" t="str">
        <f>IF(AND('341-CT'!$H$9=H2293,OR(LEFT(N2293,3)=$W$7,LEFT(O2293,3)=$W$7)),"x","")</f>
        <v/>
      </c>
      <c r="X2293" s="84" t="str">
        <f>IF(OR(TH!N2293=TH!$X$7,O2293=TH!$X$7),"x","")</f>
        <v/>
      </c>
      <c r="Y2293" s="84" t="str">
        <f>IF(AND(OR(N2293="131",O2293="131"),H2293='131-CT'!$H$9),"x","")</f>
        <v/>
      </c>
      <c r="Z2293" s="84"/>
      <c r="AA2293" s="84" t="str">
        <f>IF(AND(MONTH(E2293)='IN-NX'!$J$5,'IN-NX'!$D$7=D2293),"x","")</f>
        <v/>
      </c>
      <c r="AB2293" s="84" t="str">
        <f>IF(AND(OR(LEFT(TH!N2293,2)="15",LEFT(TH!O2293,2)="15"),LEFT(TH!O2293,3)&lt;&gt;"111",'152-CT'!$J$8=TH!F2293),"x","")</f>
        <v/>
      </c>
      <c r="AC2293" s="84" t="str">
        <f>IF(AND(OR(LEFT(TH!N2293,2)="15",LEFT(TH!O2293,2)="15"),TK!$E$7=TH!F2293),"x","")</f>
        <v/>
      </c>
      <c r="AD2293" s="84" t="str">
        <f>IF(AND(N2293="1521",MONTH(C2293)='BK-NL'!$M$11),"x","")</f>
        <v/>
      </c>
    </row>
    <row r="2294" spans="1:30" s="351" customFormat="1" ht="15.75" hidden="1" customHeight="1">
      <c r="A2294" s="336" t="str">
        <f>IF(B2294&lt;&gt;"",IF(AND(B2294='IN-TC'!$S$4,OR(TH!N2294="1111",TH!O2294="1111")),TH!D2294,""),"")</f>
        <v/>
      </c>
      <c r="B2294" s="63" t="str">
        <f t="shared" si="290"/>
        <v/>
      </c>
      <c r="C2294" s="64"/>
      <c r="D2294" s="64"/>
      <c r="E2294" s="64"/>
      <c r="F2294" s="67"/>
      <c r="G2294" s="67"/>
      <c r="H2294" s="73"/>
      <c r="I2294" s="439"/>
      <c r="J2294" s="439"/>
      <c r="K2294" s="430"/>
      <c r="L2294" s="439"/>
      <c r="M2294" s="65"/>
      <c r="N2294" s="66"/>
      <c r="O2294" s="66"/>
      <c r="P2294" s="84" t="str">
        <f>IF(AND('331-CT'!$E$7=TH!H2294,OR(N2294="331",O2294="331")),"x","")</f>
        <v/>
      </c>
      <c r="Q2294" s="84" t="str">
        <f>IF(AND(B2294='111'!$L$11,OR($N2294=$Q$7,$O2294=$Q$7)),"x","")</f>
        <v/>
      </c>
      <c r="R2294" s="84" t="str">
        <f>IF(AND($N2294=$Q$7,$B2294&lt;'111'!$L$11),"x","")</f>
        <v/>
      </c>
      <c r="S2294" s="84" t="str">
        <f>IF(AND($O2294=$Q$7,$B2294&lt;'111'!$L$11),"x","")</f>
        <v/>
      </c>
      <c r="T2294" s="84" t="str">
        <f>IF(ISERROR(FIND('112'!$M$9,G2294,1)),"",IF((AND(FIND('112'!$M$9,G2294,1)&gt;=1,B2294='112'!$K$9,OR($N2294='112'!$I$6,$O2294='112'!$I$6))),"x",""))</f>
        <v/>
      </c>
      <c r="U2294" s="84" t="str">
        <f>IF(ISERROR(FIND('112'!$M$9,G2294,1)),"",IF((AND(LEFT(G2294,2)=LEFT('112'!$M$9,2),B2294&lt;'112'!$K$9,$N2294='112'!$I$6)),"x",""))</f>
        <v/>
      </c>
      <c r="V2294" s="84" t="str">
        <f>IF(ISERROR(FIND('112'!$M$9,G2294,1)),"",IF((AND(RIGHT(G2294,2)=RIGHT('112'!$M$9,2),B2294&lt;'112'!$K$9,$O2294='112'!$I$6)),"x",""))</f>
        <v/>
      </c>
      <c r="W2294" s="84" t="str">
        <f>IF(AND('341-CT'!$H$9=H2294,OR(LEFT(N2294,3)=$W$7,LEFT(O2294,3)=$W$7)),"x","")</f>
        <v/>
      </c>
      <c r="X2294" s="84" t="str">
        <f>IF(OR(TH!N2294=TH!$X$7,O2294=TH!$X$7),"x","")</f>
        <v/>
      </c>
      <c r="Y2294" s="84" t="str">
        <f>IF(AND(OR(N2294="131",O2294="131"),H2294='131-CT'!$H$9),"x","")</f>
        <v/>
      </c>
      <c r="Z2294" s="84"/>
      <c r="AA2294" s="84" t="str">
        <f>IF(AND(MONTH(E2294)='IN-NX'!$J$5,'IN-NX'!$D$7=D2294),"x","")</f>
        <v/>
      </c>
      <c r="AB2294" s="84" t="str">
        <f>IF(AND(OR(LEFT(TH!N2294,2)="15",LEFT(TH!O2294,2)="15"),LEFT(TH!O2294,3)&lt;&gt;"111",'152-CT'!$J$8=TH!F2294),"x","")</f>
        <v/>
      </c>
      <c r="AC2294" s="84" t="str">
        <f>IF(AND(OR(LEFT(TH!N2294,2)="15",LEFT(TH!O2294,2)="15"),TK!$E$7=TH!F2294),"x","")</f>
        <v/>
      </c>
      <c r="AD2294" s="84" t="str">
        <f>IF(AND(N2294="1521",MONTH(C2294)='BK-NL'!$M$11),"x","")</f>
        <v/>
      </c>
    </row>
    <row r="2295" spans="1:30" s="351" customFormat="1" ht="15.75" hidden="1" customHeight="1">
      <c r="A2295" s="336" t="str">
        <f>IF(B2295&lt;&gt;"",IF(AND(B2295='IN-TC'!$S$4,OR(TH!N2295="1111",TH!O2295="1111")),TH!D2295,""),"")</f>
        <v/>
      </c>
      <c r="B2295" s="63" t="str">
        <f t="shared" si="290"/>
        <v/>
      </c>
      <c r="C2295" s="64"/>
      <c r="D2295" s="64"/>
      <c r="E2295" s="64"/>
      <c r="F2295" s="67"/>
      <c r="G2295" s="67"/>
      <c r="H2295" s="73"/>
      <c r="I2295" s="439"/>
      <c r="J2295" s="439"/>
      <c r="K2295" s="430"/>
      <c r="L2295" s="439"/>
      <c r="M2295" s="65"/>
      <c r="N2295" s="66"/>
      <c r="O2295" s="66"/>
      <c r="P2295" s="84" t="str">
        <f>IF(AND('331-CT'!$E$7=TH!H2295,OR(N2295="331",O2295="331")),"x","")</f>
        <v/>
      </c>
      <c r="Q2295" s="84" t="str">
        <f>IF(AND(B2295='111'!$L$11,OR($N2295=$Q$7,$O2295=$Q$7)),"x","")</f>
        <v/>
      </c>
      <c r="R2295" s="84" t="str">
        <f>IF(AND($N2295=$Q$7,$B2295&lt;'111'!$L$11),"x","")</f>
        <v/>
      </c>
      <c r="S2295" s="84" t="str">
        <f>IF(AND($O2295=$Q$7,$B2295&lt;'111'!$L$11),"x","")</f>
        <v/>
      </c>
      <c r="T2295" s="84" t="str">
        <f>IF(ISERROR(FIND('112'!$M$9,G2295,1)),"",IF((AND(FIND('112'!$M$9,G2295,1)&gt;=1,B2295='112'!$K$9,OR($N2295='112'!$I$6,$O2295='112'!$I$6))),"x",""))</f>
        <v/>
      </c>
      <c r="U2295" s="84" t="str">
        <f>IF(ISERROR(FIND('112'!$M$9,G2295,1)),"",IF((AND(LEFT(G2295,2)=LEFT('112'!$M$9,2),B2295&lt;'112'!$K$9,$N2295='112'!$I$6)),"x",""))</f>
        <v/>
      </c>
      <c r="V2295" s="84" t="str">
        <f>IF(ISERROR(FIND('112'!$M$9,G2295,1)),"",IF((AND(RIGHT(G2295,2)=RIGHT('112'!$M$9,2),B2295&lt;'112'!$K$9,$O2295='112'!$I$6)),"x",""))</f>
        <v/>
      </c>
      <c r="W2295" s="84" t="str">
        <f>IF(AND('341-CT'!$H$9=H2295,OR(LEFT(N2295,3)=$W$7,LEFT(O2295,3)=$W$7)),"x","")</f>
        <v/>
      </c>
      <c r="X2295" s="84" t="str">
        <f>IF(OR(TH!N2295=TH!$X$7,O2295=TH!$X$7),"x","")</f>
        <v/>
      </c>
      <c r="Y2295" s="84" t="str">
        <f>IF(AND(OR(N2295="131",O2295="131"),H2295='131-CT'!$H$9),"x","")</f>
        <v/>
      </c>
      <c r="Z2295" s="84"/>
      <c r="AA2295" s="84" t="str">
        <f>IF(AND(MONTH(E2295)='IN-NX'!$J$5,'IN-NX'!$D$7=D2295),"x","")</f>
        <v/>
      </c>
      <c r="AB2295" s="84" t="str">
        <f>IF(AND(OR(LEFT(TH!N2295,2)="15",LEFT(TH!O2295,2)="15"),LEFT(TH!O2295,3)&lt;&gt;"111",'152-CT'!$J$8=TH!F2295),"x","")</f>
        <v/>
      </c>
      <c r="AC2295" s="84" t="str">
        <f>IF(AND(OR(LEFT(TH!N2295,2)="15",LEFT(TH!O2295,2)="15"),TK!$E$7=TH!F2295),"x","")</f>
        <v/>
      </c>
      <c r="AD2295" s="84" t="str">
        <f>IF(AND(N2295="1521",MONTH(C2295)='BK-NL'!$M$11),"x","")</f>
        <v/>
      </c>
    </row>
    <row r="2296" spans="1:30" s="351" customFormat="1" ht="15.75" hidden="1" customHeight="1">
      <c r="A2296" s="336" t="str">
        <f>IF(B2296&lt;&gt;"",IF(AND(B2296='IN-TC'!$S$4,OR(TH!N2296="1111",TH!O2296="1111")),TH!D2296,""),"")</f>
        <v/>
      </c>
      <c r="B2296" s="63" t="str">
        <f t="shared" si="290"/>
        <v/>
      </c>
      <c r="C2296" s="64"/>
      <c r="D2296" s="64"/>
      <c r="E2296" s="64"/>
      <c r="F2296" s="67"/>
      <c r="G2296" s="67"/>
      <c r="H2296" s="73"/>
      <c r="I2296" s="439"/>
      <c r="J2296" s="439"/>
      <c r="K2296" s="430"/>
      <c r="L2296" s="439"/>
      <c r="M2296" s="65"/>
      <c r="N2296" s="66"/>
      <c r="O2296" s="66"/>
      <c r="P2296" s="84" t="str">
        <f>IF(AND('331-CT'!$E$7=TH!H2296,OR(N2296="331",O2296="331")),"x","")</f>
        <v/>
      </c>
      <c r="Q2296" s="84" t="str">
        <f>IF(AND(B2296='111'!$L$11,OR($N2296=$Q$7,$O2296=$Q$7)),"x","")</f>
        <v/>
      </c>
      <c r="R2296" s="84" t="str">
        <f>IF(AND($N2296=$Q$7,$B2296&lt;'111'!$L$11),"x","")</f>
        <v/>
      </c>
      <c r="S2296" s="84" t="str">
        <f>IF(AND($O2296=$Q$7,$B2296&lt;'111'!$L$11),"x","")</f>
        <v/>
      </c>
      <c r="T2296" s="84" t="str">
        <f>IF(ISERROR(FIND('112'!$M$9,G2296,1)),"",IF((AND(FIND('112'!$M$9,G2296,1)&gt;=1,B2296='112'!$K$9,OR($N2296='112'!$I$6,$O2296='112'!$I$6))),"x",""))</f>
        <v/>
      </c>
      <c r="U2296" s="84" t="str">
        <f>IF(ISERROR(FIND('112'!$M$9,G2296,1)),"",IF((AND(LEFT(G2296,2)=LEFT('112'!$M$9,2),B2296&lt;'112'!$K$9,$N2296='112'!$I$6)),"x",""))</f>
        <v/>
      </c>
      <c r="V2296" s="84" t="str">
        <f>IF(ISERROR(FIND('112'!$M$9,G2296,1)),"",IF((AND(RIGHT(G2296,2)=RIGHT('112'!$M$9,2),B2296&lt;'112'!$K$9,$O2296='112'!$I$6)),"x",""))</f>
        <v/>
      </c>
      <c r="W2296" s="84" t="str">
        <f>IF(AND('341-CT'!$H$9=H2296,OR(LEFT(N2296,3)=$W$7,LEFT(O2296,3)=$W$7)),"x","")</f>
        <v/>
      </c>
      <c r="X2296" s="84" t="str">
        <f>IF(OR(TH!N2296=TH!$X$7,O2296=TH!$X$7),"x","")</f>
        <v/>
      </c>
      <c r="Y2296" s="84" t="str">
        <f>IF(AND(OR(N2296="131",O2296="131"),H2296='131-CT'!$H$9),"x","")</f>
        <v/>
      </c>
      <c r="Z2296" s="84"/>
      <c r="AA2296" s="84" t="str">
        <f>IF(AND(MONTH(E2296)='IN-NX'!$J$5,'IN-NX'!$D$7=D2296),"x","")</f>
        <v/>
      </c>
      <c r="AB2296" s="84" t="str">
        <f>IF(AND(OR(LEFT(TH!N2296,2)="15",LEFT(TH!O2296,2)="15"),LEFT(TH!O2296,3)&lt;&gt;"111",'152-CT'!$J$8=TH!F2296),"x","")</f>
        <v/>
      </c>
      <c r="AC2296" s="84" t="str">
        <f>IF(AND(OR(LEFT(TH!N2296,2)="15",LEFT(TH!O2296,2)="15"),TK!$E$7=TH!F2296),"x","")</f>
        <v/>
      </c>
      <c r="AD2296" s="84" t="str">
        <f>IF(AND(N2296="1521",MONTH(C2296)='BK-NL'!$M$11),"x","")</f>
        <v/>
      </c>
    </row>
    <row r="2297" spans="1:30" s="351" customFormat="1" ht="15.75" hidden="1" customHeight="1">
      <c r="A2297" s="336" t="str">
        <f>IF(B2297&lt;&gt;"",IF(AND(B2297='IN-TC'!$S$4,OR(TH!N2297="1111",TH!O2297="1111")),TH!D2297,""),"")</f>
        <v/>
      </c>
      <c r="B2297" s="63" t="str">
        <f t="shared" si="290"/>
        <v/>
      </c>
      <c r="C2297" s="64"/>
      <c r="D2297" s="64"/>
      <c r="E2297" s="64"/>
      <c r="F2297" s="67"/>
      <c r="G2297" s="67"/>
      <c r="H2297" s="73"/>
      <c r="I2297" s="439"/>
      <c r="J2297" s="439"/>
      <c r="K2297" s="430"/>
      <c r="L2297" s="439"/>
      <c r="M2297" s="65"/>
      <c r="N2297" s="66"/>
      <c r="O2297" s="66"/>
      <c r="P2297" s="84" t="str">
        <f>IF(AND('331-CT'!$E$7=TH!H2297,OR(N2297="331",O2297="331")),"x","")</f>
        <v/>
      </c>
      <c r="Q2297" s="84" t="str">
        <f>IF(AND(B2297='111'!$L$11,OR($N2297=$Q$7,$O2297=$Q$7)),"x","")</f>
        <v/>
      </c>
      <c r="R2297" s="84" t="str">
        <f>IF(AND($N2297=$Q$7,$B2297&lt;'111'!$L$11),"x","")</f>
        <v/>
      </c>
      <c r="S2297" s="84" t="str">
        <f>IF(AND($O2297=$Q$7,$B2297&lt;'111'!$L$11),"x","")</f>
        <v/>
      </c>
      <c r="T2297" s="84" t="str">
        <f>IF(ISERROR(FIND('112'!$M$9,G2297,1)),"",IF((AND(FIND('112'!$M$9,G2297,1)&gt;=1,B2297='112'!$K$9,OR($N2297='112'!$I$6,$O2297='112'!$I$6))),"x",""))</f>
        <v/>
      </c>
      <c r="U2297" s="84" t="str">
        <f>IF(ISERROR(FIND('112'!$M$9,G2297,1)),"",IF((AND(LEFT(G2297,2)=LEFT('112'!$M$9,2),B2297&lt;'112'!$K$9,$N2297='112'!$I$6)),"x",""))</f>
        <v/>
      </c>
      <c r="V2297" s="84" t="str">
        <f>IF(ISERROR(FIND('112'!$M$9,G2297,1)),"",IF((AND(RIGHT(G2297,2)=RIGHT('112'!$M$9,2),B2297&lt;'112'!$K$9,$O2297='112'!$I$6)),"x",""))</f>
        <v/>
      </c>
      <c r="W2297" s="84" t="str">
        <f>IF(AND('341-CT'!$H$9=H2297,OR(LEFT(N2297,3)=$W$7,LEFT(O2297,3)=$W$7)),"x","")</f>
        <v/>
      </c>
      <c r="X2297" s="84" t="str">
        <f>IF(OR(TH!N2297=TH!$X$7,O2297=TH!$X$7),"x","")</f>
        <v/>
      </c>
      <c r="Y2297" s="84" t="str">
        <f>IF(AND(OR(N2297="131",O2297="131"),H2297='131-CT'!$H$9),"x","")</f>
        <v/>
      </c>
      <c r="Z2297" s="84"/>
      <c r="AA2297" s="84" t="str">
        <f>IF(AND(MONTH(E2297)='IN-NX'!$J$5,'IN-NX'!$D$7=D2297),"x","")</f>
        <v/>
      </c>
      <c r="AB2297" s="84" t="str">
        <f>IF(AND(OR(LEFT(TH!N2297,2)="15",LEFT(TH!O2297,2)="15"),LEFT(TH!O2297,3)&lt;&gt;"111",'152-CT'!$J$8=TH!F2297),"x","")</f>
        <v/>
      </c>
      <c r="AC2297" s="84" t="str">
        <f>IF(AND(OR(LEFT(TH!N2297,2)="15",LEFT(TH!O2297,2)="15"),TK!$E$7=TH!F2297),"x","")</f>
        <v/>
      </c>
      <c r="AD2297" s="84" t="str">
        <f>IF(AND(N2297="1521",MONTH(C2297)='BK-NL'!$M$11),"x","")</f>
        <v/>
      </c>
    </row>
    <row r="2298" spans="1:30" s="351" customFormat="1" ht="15.75" hidden="1" customHeight="1">
      <c r="A2298" s="336" t="str">
        <f>IF(B2298&lt;&gt;"",IF(AND(B2298='IN-TC'!$S$4,OR(TH!N2298="1111",TH!O2298="1111")),TH!D2298,""),"")</f>
        <v/>
      </c>
      <c r="B2298" s="63" t="str">
        <f t="shared" si="290"/>
        <v/>
      </c>
      <c r="C2298" s="64"/>
      <c r="D2298" s="64"/>
      <c r="E2298" s="64"/>
      <c r="F2298" s="67"/>
      <c r="G2298" s="67"/>
      <c r="H2298" s="73"/>
      <c r="I2298" s="439"/>
      <c r="J2298" s="439"/>
      <c r="K2298" s="430"/>
      <c r="L2298" s="439"/>
      <c r="M2298" s="65"/>
      <c r="N2298" s="66"/>
      <c r="O2298" s="66"/>
      <c r="P2298" s="84" t="str">
        <f>IF(AND('331-CT'!$E$7=TH!H2298,OR(N2298="331",O2298="331")),"x","")</f>
        <v/>
      </c>
      <c r="Q2298" s="84" t="str">
        <f>IF(AND(B2298='111'!$L$11,OR($N2298=$Q$7,$O2298=$Q$7)),"x","")</f>
        <v/>
      </c>
      <c r="R2298" s="84" t="str">
        <f>IF(AND($N2298=$Q$7,$B2298&lt;'111'!$L$11),"x","")</f>
        <v/>
      </c>
      <c r="S2298" s="84" t="str">
        <f>IF(AND($O2298=$Q$7,$B2298&lt;'111'!$L$11),"x","")</f>
        <v/>
      </c>
      <c r="T2298" s="84" t="str">
        <f>IF(ISERROR(FIND('112'!$M$9,G2298,1)),"",IF((AND(FIND('112'!$M$9,G2298,1)&gt;=1,B2298='112'!$K$9,OR($N2298='112'!$I$6,$O2298='112'!$I$6))),"x",""))</f>
        <v/>
      </c>
      <c r="U2298" s="84" t="str">
        <f>IF(ISERROR(FIND('112'!$M$9,G2298,1)),"",IF((AND(LEFT(G2298,2)=LEFT('112'!$M$9,2),B2298&lt;'112'!$K$9,$N2298='112'!$I$6)),"x",""))</f>
        <v/>
      </c>
      <c r="V2298" s="84" t="str">
        <f>IF(ISERROR(FIND('112'!$M$9,G2298,1)),"",IF((AND(RIGHT(G2298,2)=RIGHT('112'!$M$9,2),B2298&lt;'112'!$K$9,$O2298='112'!$I$6)),"x",""))</f>
        <v/>
      </c>
      <c r="W2298" s="84" t="str">
        <f>IF(AND('341-CT'!$H$9=H2298,OR(LEFT(N2298,3)=$W$7,LEFT(O2298,3)=$W$7)),"x","")</f>
        <v/>
      </c>
      <c r="X2298" s="84" t="str">
        <f>IF(OR(TH!N2298=TH!$X$7,O2298=TH!$X$7),"x","")</f>
        <v/>
      </c>
      <c r="Y2298" s="84" t="str">
        <f>IF(AND(OR(N2298="131",O2298="131"),H2298='131-CT'!$H$9),"x","")</f>
        <v/>
      </c>
      <c r="Z2298" s="84"/>
      <c r="AA2298" s="84" t="str">
        <f>IF(AND(MONTH(E2298)='IN-NX'!$J$5,'IN-NX'!$D$7=D2298),"x","")</f>
        <v/>
      </c>
      <c r="AB2298" s="84" t="str">
        <f>IF(AND(OR(LEFT(TH!N2298,2)="15",LEFT(TH!O2298,2)="15"),LEFT(TH!O2298,3)&lt;&gt;"111",'152-CT'!$J$8=TH!F2298),"x","")</f>
        <v/>
      </c>
      <c r="AC2298" s="84" t="str">
        <f>IF(AND(OR(LEFT(TH!N2298,2)="15",LEFT(TH!O2298,2)="15"),TK!$E$7=TH!F2298),"x","")</f>
        <v/>
      </c>
      <c r="AD2298" s="84" t="str">
        <f>IF(AND(N2298="1521",MONTH(C2298)='BK-NL'!$M$11),"x","")</f>
        <v/>
      </c>
    </row>
    <row r="2299" spans="1:30" s="351" customFormat="1" ht="15.75" hidden="1" customHeight="1">
      <c r="A2299" s="336" t="str">
        <f>IF(B2299&lt;&gt;"",IF(AND(B2299='IN-TC'!$S$4,OR(TH!N2299="1111",TH!O2299="1111")),TH!D2299,""),"")</f>
        <v/>
      </c>
      <c r="B2299" s="63" t="str">
        <f t="shared" si="290"/>
        <v/>
      </c>
      <c r="C2299" s="64"/>
      <c r="D2299" s="64"/>
      <c r="E2299" s="64"/>
      <c r="F2299" s="67"/>
      <c r="G2299" s="67"/>
      <c r="H2299" s="73"/>
      <c r="I2299" s="439"/>
      <c r="J2299" s="439"/>
      <c r="K2299" s="430"/>
      <c r="L2299" s="439"/>
      <c r="M2299" s="65"/>
      <c r="N2299" s="66"/>
      <c r="O2299" s="66"/>
      <c r="P2299" s="84" t="str">
        <f>IF(AND('331-CT'!$E$7=TH!H2299,OR(N2299="331",O2299="331")),"x","")</f>
        <v/>
      </c>
      <c r="Q2299" s="84" t="str">
        <f>IF(AND(B2299='111'!$L$11,OR($N2299=$Q$7,$O2299=$Q$7)),"x","")</f>
        <v/>
      </c>
      <c r="R2299" s="84" t="str">
        <f>IF(AND($N2299=$Q$7,$B2299&lt;'111'!$L$11),"x","")</f>
        <v/>
      </c>
      <c r="S2299" s="84" t="str">
        <f>IF(AND($O2299=$Q$7,$B2299&lt;'111'!$L$11),"x","")</f>
        <v/>
      </c>
      <c r="T2299" s="84" t="str">
        <f>IF(ISERROR(FIND('112'!$M$9,G2299,1)),"",IF((AND(FIND('112'!$M$9,G2299,1)&gt;=1,B2299='112'!$K$9,OR($N2299='112'!$I$6,$O2299='112'!$I$6))),"x",""))</f>
        <v/>
      </c>
      <c r="U2299" s="84" t="str">
        <f>IF(ISERROR(FIND('112'!$M$9,G2299,1)),"",IF((AND(LEFT(G2299,2)=LEFT('112'!$M$9,2),B2299&lt;'112'!$K$9,$N2299='112'!$I$6)),"x",""))</f>
        <v/>
      </c>
      <c r="V2299" s="84" t="str">
        <f>IF(ISERROR(FIND('112'!$M$9,G2299,1)),"",IF((AND(RIGHT(G2299,2)=RIGHT('112'!$M$9,2),B2299&lt;'112'!$K$9,$O2299='112'!$I$6)),"x",""))</f>
        <v/>
      </c>
      <c r="W2299" s="84" t="str">
        <f>IF(AND('341-CT'!$H$9=H2299,OR(LEFT(N2299,3)=$W$7,LEFT(O2299,3)=$W$7)),"x","")</f>
        <v/>
      </c>
      <c r="X2299" s="84" t="str">
        <f>IF(OR(TH!N2299=TH!$X$7,O2299=TH!$X$7),"x","")</f>
        <v/>
      </c>
      <c r="Y2299" s="84" t="str">
        <f>IF(AND(OR(N2299="131",O2299="131"),H2299='131-CT'!$H$9),"x","")</f>
        <v/>
      </c>
      <c r="Z2299" s="84"/>
      <c r="AA2299" s="84" t="str">
        <f>IF(AND(MONTH(E2299)='IN-NX'!$J$5,'IN-NX'!$D$7=D2299),"x","")</f>
        <v/>
      </c>
      <c r="AB2299" s="84" t="str">
        <f>IF(AND(OR(LEFT(TH!N2299,2)="15",LEFT(TH!O2299,2)="15"),LEFT(TH!O2299,3)&lt;&gt;"111",'152-CT'!$J$8=TH!F2299),"x","")</f>
        <v/>
      </c>
      <c r="AC2299" s="84" t="str">
        <f>IF(AND(OR(LEFT(TH!N2299,2)="15",LEFT(TH!O2299,2)="15"),TK!$E$7=TH!F2299),"x","")</f>
        <v/>
      </c>
      <c r="AD2299" s="84" t="str">
        <f>IF(AND(N2299="1521",MONTH(C2299)='BK-NL'!$M$11),"x","")</f>
        <v/>
      </c>
    </row>
    <row r="2300" spans="1:30" s="351" customFormat="1" ht="15.75" hidden="1" customHeight="1">
      <c r="A2300" s="336" t="str">
        <f>IF(B2300&lt;&gt;"",IF(AND(B2300='IN-TC'!$S$4,OR(TH!N2300="1111",TH!O2300="1111")),TH!D2300,""),"")</f>
        <v/>
      </c>
      <c r="B2300" s="63" t="str">
        <f t="shared" si="290"/>
        <v/>
      </c>
      <c r="C2300" s="64"/>
      <c r="D2300" s="64"/>
      <c r="E2300" s="64"/>
      <c r="F2300" s="67"/>
      <c r="G2300" s="67"/>
      <c r="H2300" s="73"/>
      <c r="I2300" s="439"/>
      <c r="J2300" s="439"/>
      <c r="K2300" s="430"/>
      <c r="L2300" s="439"/>
      <c r="M2300" s="65"/>
      <c r="N2300" s="66"/>
      <c r="O2300" s="66"/>
      <c r="P2300" s="84" t="str">
        <f>IF(AND('331-CT'!$E$7=TH!H2300,OR(N2300="331",O2300="331")),"x","")</f>
        <v/>
      </c>
      <c r="Q2300" s="84" t="str">
        <f>IF(AND(B2300='111'!$L$11,OR($N2300=$Q$7,$O2300=$Q$7)),"x","")</f>
        <v/>
      </c>
      <c r="R2300" s="84" t="str">
        <f>IF(AND($N2300=$Q$7,$B2300&lt;'111'!$L$11),"x","")</f>
        <v/>
      </c>
      <c r="S2300" s="84" t="str">
        <f>IF(AND($O2300=$Q$7,$B2300&lt;'111'!$L$11),"x","")</f>
        <v/>
      </c>
      <c r="T2300" s="84" t="str">
        <f>IF(ISERROR(FIND('112'!$M$9,G2300,1)),"",IF((AND(FIND('112'!$M$9,G2300,1)&gt;=1,B2300='112'!$K$9,OR($N2300='112'!$I$6,$O2300='112'!$I$6))),"x",""))</f>
        <v/>
      </c>
      <c r="U2300" s="84" t="str">
        <f>IF(ISERROR(FIND('112'!$M$9,G2300,1)),"",IF((AND(LEFT(G2300,2)=LEFT('112'!$M$9,2),B2300&lt;'112'!$K$9,$N2300='112'!$I$6)),"x",""))</f>
        <v/>
      </c>
      <c r="V2300" s="84" t="str">
        <f>IF(ISERROR(FIND('112'!$M$9,G2300,1)),"",IF((AND(RIGHT(G2300,2)=RIGHT('112'!$M$9,2),B2300&lt;'112'!$K$9,$O2300='112'!$I$6)),"x",""))</f>
        <v/>
      </c>
      <c r="W2300" s="84" t="str">
        <f>IF(AND('341-CT'!$H$9=H2300,OR(LEFT(N2300,3)=$W$7,LEFT(O2300,3)=$W$7)),"x","")</f>
        <v/>
      </c>
      <c r="X2300" s="84" t="str">
        <f>IF(OR(TH!N2300=TH!$X$7,O2300=TH!$X$7),"x","")</f>
        <v/>
      </c>
      <c r="Y2300" s="84" t="str">
        <f>IF(AND(OR(N2300="131",O2300="131"),H2300='131-CT'!$H$9),"x","")</f>
        <v/>
      </c>
      <c r="Z2300" s="84"/>
      <c r="AA2300" s="84" t="str">
        <f>IF(AND(MONTH(E2300)='IN-NX'!$J$5,'IN-NX'!$D$7=D2300),"x","")</f>
        <v/>
      </c>
      <c r="AB2300" s="84" t="str">
        <f>IF(AND(OR(LEFT(TH!N2300,2)="15",LEFT(TH!O2300,2)="15"),LEFT(TH!O2300,3)&lt;&gt;"111",'152-CT'!$J$8=TH!F2300),"x","")</f>
        <v/>
      </c>
      <c r="AC2300" s="84" t="str">
        <f>IF(AND(OR(LEFT(TH!N2300,2)="15",LEFT(TH!O2300,2)="15"),TK!$E$7=TH!F2300),"x","")</f>
        <v/>
      </c>
      <c r="AD2300" s="84" t="str">
        <f>IF(AND(N2300="1521",MONTH(C2300)='BK-NL'!$M$11),"x","")</f>
        <v/>
      </c>
    </row>
    <row r="2301" spans="1:30" s="351" customFormat="1" ht="15.75" hidden="1" customHeight="1">
      <c r="A2301" s="336" t="str">
        <f>IF(B2301&lt;&gt;"",IF(AND(B2301='IN-TC'!$S$4,OR(TH!N2301="1111",TH!O2301="1111")),TH!D2301,""),"")</f>
        <v/>
      </c>
      <c r="B2301" s="63" t="str">
        <f t="shared" si="290"/>
        <v/>
      </c>
      <c r="C2301" s="64"/>
      <c r="D2301" s="64"/>
      <c r="E2301" s="64"/>
      <c r="F2301" s="67"/>
      <c r="G2301" s="67"/>
      <c r="H2301" s="73"/>
      <c r="I2301" s="439"/>
      <c r="J2301" s="439"/>
      <c r="K2301" s="430"/>
      <c r="L2301" s="439"/>
      <c r="M2301" s="65"/>
      <c r="N2301" s="66"/>
      <c r="O2301" s="66"/>
      <c r="P2301" s="84" t="str">
        <f>IF(AND('331-CT'!$E$7=TH!H2301,OR(N2301="331",O2301="331")),"x","")</f>
        <v/>
      </c>
      <c r="Q2301" s="84" t="str">
        <f>IF(AND(B2301='111'!$L$11,OR($N2301=$Q$7,$O2301=$Q$7)),"x","")</f>
        <v/>
      </c>
      <c r="R2301" s="84" t="str">
        <f>IF(AND($N2301=$Q$7,$B2301&lt;'111'!$L$11),"x","")</f>
        <v/>
      </c>
      <c r="S2301" s="84" t="str">
        <f>IF(AND($O2301=$Q$7,$B2301&lt;'111'!$L$11),"x","")</f>
        <v/>
      </c>
      <c r="T2301" s="84" t="str">
        <f>IF(ISERROR(FIND('112'!$M$9,G2301,1)),"",IF((AND(FIND('112'!$M$9,G2301,1)&gt;=1,B2301='112'!$K$9,OR($N2301='112'!$I$6,$O2301='112'!$I$6))),"x",""))</f>
        <v/>
      </c>
      <c r="U2301" s="84" t="str">
        <f>IF(ISERROR(FIND('112'!$M$9,G2301,1)),"",IF((AND(LEFT(G2301,2)=LEFT('112'!$M$9,2),B2301&lt;'112'!$K$9,$N2301='112'!$I$6)),"x",""))</f>
        <v/>
      </c>
      <c r="V2301" s="84" t="str">
        <f>IF(ISERROR(FIND('112'!$M$9,G2301,1)),"",IF((AND(RIGHT(G2301,2)=RIGHT('112'!$M$9,2),B2301&lt;'112'!$K$9,$O2301='112'!$I$6)),"x",""))</f>
        <v/>
      </c>
      <c r="W2301" s="84" t="str">
        <f>IF(AND('341-CT'!$H$9=H2301,OR(LEFT(N2301,3)=$W$7,LEFT(O2301,3)=$W$7)),"x","")</f>
        <v/>
      </c>
      <c r="X2301" s="84" t="str">
        <f>IF(OR(TH!N2301=TH!$X$7,O2301=TH!$X$7),"x","")</f>
        <v/>
      </c>
      <c r="Y2301" s="84" t="str">
        <f>IF(AND(OR(N2301="131",O2301="131"),H2301='131-CT'!$H$9),"x","")</f>
        <v/>
      </c>
      <c r="Z2301" s="84"/>
      <c r="AA2301" s="84" t="str">
        <f>IF(AND(MONTH(E2301)='IN-NX'!$J$5,'IN-NX'!$D$7=D2301),"x","")</f>
        <v/>
      </c>
      <c r="AB2301" s="84" t="str">
        <f>IF(AND(OR(LEFT(TH!N2301,2)="15",LEFT(TH!O2301,2)="15"),LEFT(TH!O2301,3)&lt;&gt;"111",'152-CT'!$J$8=TH!F2301),"x","")</f>
        <v/>
      </c>
      <c r="AC2301" s="84" t="str">
        <f>IF(AND(OR(LEFT(TH!N2301,2)="15",LEFT(TH!O2301,2)="15"),TK!$E$7=TH!F2301),"x","")</f>
        <v/>
      </c>
      <c r="AD2301" s="84" t="str">
        <f>IF(AND(N2301="1521",MONTH(C2301)='BK-NL'!$M$11),"x","")</f>
        <v/>
      </c>
    </row>
    <row r="2302" spans="1:30" s="351" customFormat="1" ht="15.75" hidden="1" customHeight="1">
      <c r="A2302" s="336" t="str">
        <f>IF(B2302&lt;&gt;"",IF(AND(B2302='IN-TC'!$S$4,OR(TH!N2302="1111",TH!O2302="1111")),TH!D2302,""),"")</f>
        <v/>
      </c>
      <c r="B2302" s="63" t="str">
        <f t="shared" si="290"/>
        <v/>
      </c>
      <c r="C2302" s="64"/>
      <c r="D2302" s="64"/>
      <c r="E2302" s="64"/>
      <c r="F2302" s="67"/>
      <c r="G2302" s="67"/>
      <c r="H2302" s="73"/>
      <c r="I2302" s="439"/>
      <c r="J2302" s="439"/>
      <c r="K2302" s="430"/>
      <c r="L2302" s="439"/>
      <c r="M2302" s="65"/>
      <c r="N2302" s="66"/>
      <c r="O2302" s="66"/>
      <c r="P2302" s="84" t="str">
        <f>IF(AND('331-CT'!$E$7=TH!H2302,OR(N2302="331",O2302="331")),"x","")</f>
        <v/>
      </c>
      <c r="Q2302" s="84" t="str">
        <f>IF(AND(B2302='111'!$L$11,OR($N2302=$Q$7,$O2302=$Q$7)),"x","")</f>
        <v/>
      </c>
      <c r="R2302" s="84" t="str">
        <f>IF(AND($N2302=$Q$7,$B2302&lt;'111'!$L$11),"x","")</f>
        <v/>
      </c>
      <c r="S2302" s="84" t="str">
        <f>IF(AND($O2302=$Q$7,$B2302&lt;'111'!$L$11),"x","")</f>
        <v/>
      </c>
      <c r="T2302" s="84" t="str">
        <f>IF(ISERROR(FIND('112'!$M$9,G2302,1)),"",IF((AND(FIND('112'!$M$9,G2302,1)&gt;=1,B2302='112'!$K$9,OR($N2302='112'!$I$6,$O2302='112'!$I$6))),"x",""))</f>
        <v/>
      </c>
      <c r="U2302" s="84" t="str">
        <f>IF(ISERROR(FIND('112'!$M$9,G2302,1)),"",IF((AND(LEFT(G2302,2)=LEFT('112'!$M$9,2),B2302&lt;'112'!$K$9,$N2302='112'!$I$6)),"x",""))</f>
        <v/>
      </c>
      <c r="V2302" s="84" t="str">
        <f>IF(ISERROR(FIND('112'!$M$9,G2302,1)),"",IF((AND(RIGHT(G2302,2)=RIGHT('112'!$M$9,2),B2302&lt;'112'!$K$9,$O2302='112'!$I$6)),"x",""))</f>
        <v/>
      </c>
      <c r="W2302" s="84" t="str">
        <f>IF(AND('341-CT'!$H$9=H2302,OR(LEFT(N2302,3)=$W$7,LEFT(O2302,3)=$W$7)),"x","")</f>
        <v/>
      </c>
      <c r="X2302" s="84" t="str">
        <f>IF(OR(TH!N2302=TH!$X$7,O2302=TH!$X$7),"x","")</f>
        <v/>
      </c>
      <c r="Y2302" s="84" t="str">
        <f>IF(AND(OR(N2302="131",O2302="131"),H2302='131-CT'!$H$9),"x","")</f>
        <v/>
      </c>
      <c r="Z2302" s="84"/>
      <c r="AA2302" s="84" t="str">
        <f>IF(AND(MONTH(E2302)='IN-NX'!$J$5,'IN-NX'!$D$7=D2302),"x","")</f>
        <v/>
      </c>
      <c r="AB2302" s="84" t="str">
        <f>IF(AND(OR(LEFT(TH!N2302,2)="15",LEFT(TH!O2302,2)="15"),LEFT(TH!O2302,3)&lt;&gt;"111",'152-CT'!$J$8=TH!F2302),"x","")</f>
        <v/>
      </c>
      <c r="AC2302" s="84" t="str">
        <f>IF(AND(OR(LEFT(TH!N2302,2)="15",LEFT(TH!O2302,2)="15"),TK!$E$7=TH!F2302),"x","")</f>
        <v/>
      </c>
      <c r="AD2302" s="84" t="str">
        <f>IF(AND(N2302="1521",MONTH(C2302)='BK-NL'!$M$11),"x","")</f>
        <v/>
      </c>
    </row>
    <row r="2303" spans="1:30" s="351" customFormat="1" ht="15.75" hidden="1" customHeight="1">
      <c r="A2303" s="336" t="str">
        <f>IF(B2303&lt;&gt;"",IF(AND(B2303='IN-TC'!$S$4,OR(TH!N2303="1111",TH!O2303="1111")),TH!D2303,""),"")</f>
        <v/>
      </c>
      <c r="B2303" s="63" t="str">
        <f t="shared" si="290"/>
        <v/>
      </c>
      <c r="C2303" s="64"/>
      <c r="D2303" s="64"/>
      <c r="E2303" s="64"/>
      <c r="F2303" s="67"/>
      <c r="G2303" s="67"/>
      <c r="H2303" s="73"/>
      <c r="I2303" s="439"/>
      <c r="J2303" s="439"/>
      <c r="K2303" s="430"/>
      <c r="L2303" s="439"/>
      <c r="M2303" s="65"/>
      <c r="N2303" s="66"/>
      <c r="O2303" s="66"/>
      <c r="P2303" s="84" t="str">
        <f>IF(AND('331-CT'!$E$7=TH!H2303,OR(N2303="331",O2303="331")),"x","")</f>
        <v/>
      </c>
      <c r="Q2303" s="84" t="str">
        <f>IF(AND(B2303='111'!$L$11,OR($N2303=$Q$7,$O2303=$Q$7)),"x","")</f>
        <v/>
      </c>
      <c r="R2303" s="84" t="str">
        <f>IF(AND($N2303=$Q$7,$B2303&lt;'111'!$L$11),"x","")</f>
        <v/>
      </c>
      <c r="S2303" s="84" t="str">
        <f>IF(AND($O2303=$Q$7,$B2303&lt;'111'!$L$11),"x","")</f>
        <v/>
      </c>
      <c r="T2303" s="84" t="str">
        <f>IF(ISERROR(FIND('112'!$M$9,G2303,1)),"",IF((AND(FIND('112'!$M$9,G2303,1)&gt;=1,B2303='112'!$K$9,OR($N2303='112'!$I$6,$O2303='112'!$I$6))),"x",""))</f>
        <v/>
      </c>
      <c r="U2303" s="84" t="str">
        <f>IF(ISERROR(FIND('112'!$M$9,G2303,1)),"",IF((AND(LEFT(G2303,2)=LEFT('112'!$M$9,2),B2303&lt;'112'!$K$9,$N2303='112'!$I$6)),"x",""))</f>
        <v/>
      </c>
      <c r="V2303" s="84" t="str">
        <f>IF(ISERROR(FIND('112'!$M$9,G2303,1)),"",IF((AND(RIGHT(G2303,2)=RIGHT('112'!$M$9,2),B2303&lt;'112'!$K$9,$O2303='112'!$I$6)),"x",""))</f>
        <v/>
      </c>
      <c r="W2303" s="84" t="str">
        <f>IF(AND('341-CT'!$H$9=H2303,OR(LEFT(N2303,3)=$W$7,LEFT(O2303,3)=$W$7)),"x","")</f>
        <v/>
      </c>
      <c r="X2303" s="84" t="str">
        <f>IF(OR(TH!N2303=TH!$X$7,O2303=TH!$X$7),"x","")</f>
        <v/>
      </c>
      <c r="Y2303" s="84" t="str">
        <f>IF(AND(OR(N2303="131",O2303="131"),H2303='131-CT'!$H$9),"x","")</f>
        <v/>
      </c>
      <c r="Z2303" s="84"/>
      <c r="AA2303" s="84" t="str">
        <f>IF(AND(MONTH(E2303)='IN-NX'!$J$5,'IN-NX'!$D$7=D2303),"x","")</f>
        <v/>
      </c>
      <c r="AB2303" s="84" t="str">
        <f>IF(AND(OR(LEFT(TH!N2303,2)="15",LEFT(TH!O2303,2)="15"),LEFT(TH!O2303,3)&lt;&gt;"111",'152-CT'!$J$8=TH!F2303),"x","")</f>
        <v/>
      </c>
      <c r="AC2303" s="84" t="str">
        <f>IF(AND(OR(LEFT(TH!N2303,2)="15",LEFT(TH!O2303,2)="15"),TK!$E$7=TH!F2303),"x","")</f>
        <v/>
      </c>
      <c r="AD2303" s="84" t="str">
        <f>IF(AND(N2303="1521",MONTH(C2303)='BK-NL'!$M$11),"x","")</f>
        <v/>
      </c>
    </row>
    <row r="2304" spans="1:30" s="351" customFormat="1" ht="15.75" hidden="1" customHeight="1">
      <c r="A2304" s="336" t="str">
        <f>IF(B2304&lt;&gt;"",IF(AND(B2304='IN-TC'!$S$4,OR(TH!N2304="1111",TH!O2304="1111")),TH!D2304,""),"")</f>
        <v/>
      </c>
      <c r="B2304" s="63" t="str">
        <f t="shared" si="290"/>
        <v/>
      </c>
      <c r="C2304" s="64"/>
      <c r="D2304" s="64"/>
      <c r="E2304" s="64"/>
      <c r="F2304" s="67"/>
      <c r="G2304" s="67"/>
      <c r="H2304" s="73"/>
      <c r="I2304" s="439"/>
      <c r="J2304" s="439"/>
      <c r="K2304" s="430"/>
      <c r="L2304" s="439"/>
      <c r="M2304" s="65"/>
      <c r="N2304" s="66"/>
      <c r="O2304" s="66"/>
      <c r="P2304" s="84" t="str">
        <f>IF(AND('331-CT'!$E$7=TH!H2304,OR(N2304="331",O2304="331")),"x","")</f>
        <v/>
      </c>
      <c r="Q2304" s="84" t="str">
        <f>IF(AND(B2304='111'!$L$11,OR($N2304=$Q$7,$O2304=$Q$7)),"x","")</f>
        <v/>
      </c>
      <c r="R2304" s="84" t="str">
        <f>IF(AND($N2304=$Q$7,$B2304&lt;'111'!$L$11),"x","")</f>
        <v/>
      </c>
      <c r="S2304" s="84" t="str">
        <f>IF(AND($O2304=$Q$7,$B2304&lt;'111'!$L$11),"x","")</f>
        <v/>
      </c>
      <c r="T2304" s="84" t="str">
        <f>IF(ISERROR(FIND('112'!$M$9,G2304,1)),"",IF((AND(FIND('112'!$M$9,G2304,1)&gt;=1,B2304='112'!$K$9,OR($N2304='112'!$I$6,$O2304='112'!$I$6))),"x",""))</f>
        <v/>
      </c>
      <c r="U2304" s="84" t="str">
        <f>IF(ISERROR(FIND('112'!$M$9,G2304,1)),"",IF((AND(LEFT(G2304,2)=LEFT('112'!$M$9,2),B2304&lt;'112'!$K$9,$N2304='112'!$I$6)),"x",""))</f>
        <v/>
      </c>
      <c r="V2304" s="84" t="str">
        <f>IF(ISERROR(FIND('112'!$M$9,G2304,1)),"",IF((AND(RIGHT(G2304,2)=RIGHT('112'!$M$9,2),B2304&lt;'112'!$K$9,$O2304='112'!$I$6)),"x",""))</f>
        <v/>
      </c>
      <c r="W2304" s="84" t="str">
        <f>IF(AND('341-CT'!$H$9=H2304,OR(LEFT(N2304,3)=$W$7,LEFT(O2304,3)=$W$7)),"x","")</f>
        <v/>
      </c>
      <c r="X2304" s="84" t="str">
        <f>IF(OR(TH!N2304=TH!$X$7,O2304=TH!$X$7),"x","")</f>
        <v/>
      </c>
      <c r="Y2304" s="84" t="str">
        <f>IF(AND(OR(N2304="131",O2304="131"),H2304='131-CT'!$H$9),"x","")</f>
        <v/>
      </c>
      <c r="Z2304" s="84"/>
      <c r="AA2304" s="84" t="str">
        <f>IF(AND(MONTH(E2304)='IN-NX'!$J$5,'IN-NX'!$D$7=D2304),"x","")</f>
        <v/>
      </c>
      <c r="AB2304" s="84" t="str">
        <f>IF(AND(OR(LEFT(TH!N2304,2)="15",LEFT(TH!O2304,2)="15"),LEFT(TH!O2304,3)&lt;&gt;"111",'152-CT'!$J$8=TH!F2304),"x","")</f>
        <v/>
      </c>
      <c r="AC2304" s="84" t="str">
        <f>IF(AND(OR(LEFT(TH!N2304,2)="15",LEFT(TH!O2304,2)="15"),TK!$E$7=TH!F2304),"x","")</f>
        <v/>
      </c>
      <c r="AD2304" s="84" t="str">
        <f>IF(AND(N2304="1521",MONTH(C2304)='BK-NL'!$M$11),"x","")</f>
        <v/>
      </c>
    </row>
    <row r="2305" spans="1:30" s="351" customFormat="1" ht="15.75" hidden="1" customHeight="1">
      <c r="A2305" s="336" t="str">
        <f>IF(B2305&lt;&gt;"",IF(AND(B2305='IN-TC'!$S$4,OR(TH!N2305="1111",TH!O2305="1111")),TH!D2305,""),"")</f>
        <v/>
      </c>
      <c r="B2305" s="63" t="str">
        <f t="shared" ref="B2305:B2435" si="291">IF(C2305&lt;&gt;"",MONTH(C2305),"")</f>
        <v/>
      </c>
      <c r="C2305" s="64"/>
      <c r="D2305" s="64"/>
      <c r="E2305" s="64"/>
      <c r="F2305" s="67"/>
      <c r="G2305" s="67"/>
      <c r="H2305" s="73"/>
      <c r="I2305" s="439"/>
      <c r="J2305" s="439"/>
      <c r="K2305" s="430"/>
      <c r="L2305" s="439"/>
      <c r="M2305" s="65"/>
      <c r="N2305" s="66"/>
      <c r="O2305" s="66"/>
      <c r="P2305" s="84" t="str">
        <f>IF(AND('331-CT'!$E$7=TH!H2305,OR(N2305="331",O2305="331")),"x","")</f>
        <v/>
      </c>
      <c r="Q2305" s="84" t="str">
        <f>IF(AND(B2305='111'!$L$11,OR($N2305=$Q$7,$O2305=$Q$7)),"x","")</f>
        <v/>
      </c>
      <c r="R2305" s="84" t="str">
        <f>IF(AND($N2305=$Q$7,$B2305&lt;'111'!$L$11),"x","")</f>
        <v/>
      </c>
      <c r="S2305" s="84" t="str">
        <f>IF(AND($O2305=$Q$7,$B2305&lt;'111'!$L$11),"x","")</f>
        <v/>
      </c>
      <c r="T2305" s="84" t="str">
        <f>IF(ISERROR(FIND('112'!$M$9,G2305,1)),"",IF((AND(FIND('112'!$M$9,G2305,1)&gt;=1,B2305='112'!$K$9,OR($N2305='112'!$I$6,$O2305='112'!$I$6))),"x",""))</f>
        <v/>
      </c>
      <c r="U2305" s="84" t="str">
        <f>IF(ISERROR(FIND('112'!$M$9,G2305,1)),"",IF((AND(LEFT(G2305,2)=LEFT('112'!$M$9,2),B2305&lt;'112'!$K$9,$N2305='112'!$I$6)),"x",""))</f>
        <v/>
      </c>
      <c r="V2305" s="84" t="str">
        <f>IF(ISERROR(FIND('112'!$M$9,G2305,1)),"",IF((AND(RIGHT(G2305,2)=RIGHT('112'!$M$9,2),B2305&lt;'112'!$K$9,$O2305='112'!$I$6)),"x",""))</f>
        <v/>
      </c>
      <c r="W2305" s="84" t="str">
        <f>IF(AND('341-CT'!$H$9=H2305,OR(LEFT(N2305,3)=$W$7,LEFT(O2305,3)=$W$7)),"x","")</f>
        <v/>
      </c>
      <c r="X2305" s="84" t="str">
        <f>IF(OR(TH!N2305=TH!$X$7,O2305=TH!$X$7),"x","")</f>
        <v/>
      </c>
      <c r="Y2305" s="84" t="str">
        <f>IF(AND(OR(N2305="131",O2305="131"),H2305='131-CT'!$H$9),"x","")</f>
        <v/>
      </c>
      <c r="Z2305" s="84"/>
      <c r="AA2305" s="84" t="str">
        <f>IF(AND(MONTH(E2305)='IN-NX'!$J$5,'IN-NX'!$D$7=D2305),"x","")</f>
        <v/>
      </c>
      <c r="AB2305" s="84" t="str">
        <f>IF(AND(OR(LEFT(TH!N2305,2)="15",LEFT(TH!O2305,2)="15"),LEFT(TH!O2305,3)&lt;&gt;"111",'152-CT'!$J$8=TH!F2305),"x","")</f>
        <v/>
      </c>
      <c r="AC2305" s="84" t="str">
        <f>IF(AND(OR(LEFT(TH!N2305,2)="15",LEFT(TH!O2305,2)="15"),TK!$E$7=TH!F2305),"x","")</f>
        <v/>
      </c>
      <c r="AD2305" s="84" t="str">
        <f>IF(AND(N2305="1521",MONTH(C2305)='BK-NL'!$M$11),"x","")</f>
        <v/>
      </c>
    </row>
    <row r="2306" spans="1:30" s="351" customFormat="1" ht="15.75" hidden="1" customHeight="1">
      <c r="A2306" s="336" t="str">
        <f>IF(B2306&lt;&gt;"",IF(AND(B2306='IN-TC'!$S$4,OR(TH!N2306="1111",TH!O2306="1111")),TH!D2306,""),"")</f>
        <v/>
      </c>
      <c r="B2306" s="63" t="str">
        <f t="shared" si="291"/>
        <v/>
      </c>
      <c r="C2306" s="64"/>
      <c r="D2306" s="64"/>
      <c r="E2306" s="64"/>
      <c r="F2306" s="67"/>
      <c r="G2306" s="67"/>
      <c r="H2306" s="73"/>
      <c r="I2306" s="439"/>
      <c r="J2306" s="439"/>
      <c r="K2306" s="430"/>
      <c r="L2306" s="439"/>
      <c r="M2306" s="65"/>
      <c r="N2306" s="66"/>
      <c r="O2306" s="66"/>
      <c r="P2306" s="84" t="str">
        <f>IF(AND('331-CT'!$E$7=TH!H2306,OR(N2306="331",O2306="331")),"x","")</f>
        <v/>
      </c>
      <c r="Q2306" s="84" t="str">
        <f>IF(AND(B2306='111'!$L$11,OR($N2306=$Q$7,$O2306=$Q$7)),"x","")</f>
        <v/>
      </c>
      <c r="R2306" s="84" t="str">
        <f>IF(AND($N2306=$Q$7,$B2306&lt;'111'!$L$11),"x","")</f>
        <v/>
      </c>
      <c r="S2306" s="84" t="str">
        <f>IF(AND($O2306=$Q$7,$B2306&lt;'111'!$L$11),"x","")</f>
        <v/>
      </c>
      <c r="T2306" s="84" t="str">
        <f>IF(ISERROR(FIND('112'!$M$9,G2306,1)),"",IF((AND(FIND('112'!$M$9,G2306,1)&gt;=1,B2306='112'!$K$9,OR($N2306='112'!$I$6,$O2306='112'!$I$6))),"x",""))</f>
        <v/>
      </c>
      <c r="U2306" s="84" t="str">
        <f>IF(ISERROR(FIND('112'!$M$9,G2306,1)),"",IF((AND(LEFT(G2306,2)=LEFT('112'!$M$9,2),B2306&lt;'112'!$K$9,$N2306='112'!$I$6)),"x",""))</f>
        <v/>
      </c>
      <c r="V2306" s="84" t="str">
        <f>IF(ISERROR(FIND('112'!$M$9,G2306,1)),"",IF((AND(RIGHT(G2306,2)=RIGHT('112'!$M$9,2),B2306&lt;'112'!$K$9,$O2306='112'!$I$6)),"x",""))</f>
        <v/>
      </c>
      <c r="W2306" s="84" t="str">
        <f>IF(AND('341-CT'!$H$9=H2306,OR(LEFT(N2306,3)=$W$7,LEFT(O2306,3)=$W$7)),"x","")</f>
        <v/>
      </c>
      <c r="X2306" s="84" t="str">
        <f>IF(OR(TH!N2306=TH!$X$7,O2306=TH!$X$7),"x","")</f>
        <v/>
      </c>
      <c r="Y2306" s="84" t="str">
        <f>IF(AND(OR(N2306="131",O2306="131"),H2306='131-CT'!$H$9),"x","")</f>
        <v/>
      </c>
      <c r="Z2306" s="84"/>
      <c r="AA2306" s="84" t="str">
        <f>IF(AND(MONTH(E2306)='IN-NX'!$J$5,'IN-NX'!$D$7=D2306),"x","")</f>
        <v/>
      </c>
      <c r="AB2306" s="84" t="str">
        <f>IF(AND(OR(LEFT(TH!N2306,2)="15",LEFT(TH!O2306,2)="15"),LEFT(TH!O2306,3)&lt;&gt;"111",'152-CT'!$J$8=TH!F2306),"x","")</f>
        <v/>
      </c>
      <c r="AC2306" s="84" t="str">
        <f>IF(AND(OR(LEFT(TH!N2306,2)="15",LEFT(TH!O2306,2)="15"),TK!$E$7=TH!F2306),"x","")</f>
        <v/>
      </c>
      <c r="AD2306" s="84" t="str">
        <f>IF(AND(N2306="1521",MONTH(C2306)='BK-NL'!$M$11),"x","")</f>
        <v/>
      </c>
    </row>
    <row r="2307" spans="1:30" s="351" customFormat="1" ht="15.75" hidden="1" customHeight="1">
      <c r="A2307" s="336" t="str">
        <f>IF(B2307&lt;&gt;"",IF(AND(B2307='IN-TC'!$S$4,OR(TH!N2307="1111",TH!O2307="1111")),TH!D2307,""),"")</f>
        <v/>
      </c>
      <c r="B2307" s="63" t="str">
        <f t="shared" si="291"/>
        <v/>
      </c>
      <c r="C2307" s="64"/>
      <c r="D2307" s="64"/>
      <c r="E2307" s="64"/>
      <c r="F2307" s="67"/>
      <c r="G2307" s="67"/>
      <c r="H2307" s="73"/>
      <c r="I2307" s="439"/>
      <c r="J2307" s="439"/>
      <c r="K2307" s="430"/>
      <c r="L2307" s="439"/>
      <c r="M2307" s="65"/>
      <c r="N2307" s="66"/>
      <c r="O2307" s="66"/>
      <c r="P2307" s="84" t="str">
        <f>IF(AND('331-CT'!$E$7=TH!H2307,OR(N2307="331",O2307="331")),"x","")</f>
        <v/>
      </c>
      <c r="Q2307" s="84" t="str">
        <f>IF(AND(B2307='111'!$L$11,OR($N2307=$Q$7,$O2307=$Q$7)),"x","")</f>
        <v/>
      </c>
      <c r="R2307" s="84" t="str">
        <f>IF(AND($N2307=$Q$7,$B2307&lt;'111'!$L$11),"x","")</f>
        <v/>
      </c>
      <c r="S2307" s="84" t="str">
        <f>IF(AND($O2307=$Q$7,$B2307&lt;'111'!$L$11),"x","")</f>
        <v/>
      </c>
      <c r="T2307" s="84" t="str">
        <f>IF(ISERROR(FIND('112'!$M$9,G2307,1)),"",IF((AND(FIND('112'!$M$9,G2307,1)&gt;=1,B2307='112'!$K$9,OR($N2307='112'!$I$6,$O2307='112'!$I$6))),"x",""))</f>
        <v/>
      </c>
      <c r="U2307" s="84" t="str">
        <f>IF(ISERROR(FIND('112'!$M$9,G2307,1)),"",IF((AND(LEFT(G2307,2)=LEFT('112'!$M$9,2),B2307&lt;'112'!$K$9,$N2307='112'!$I$6)),"x",""))</f>
        <v/>
      </c>
      <c r="V2307" s="84" t="str">
        <f>IF(ISERROR(FIND('112'!$M$9,G2307,1)),"",IF((AND(RIGHT(G2307,2)=RIGHT('112'!$M$9,2),B2307&lt;'112'!$K$9,$O2307='112'!$I$6)),"x",""))</f>
        <v/>
      </c>
      <c r="W2307" s="84" t="str">
        <f>IF(AND('341-CT'!$H$9=H2307,OR(LEFT(N2307,3)=$W$7,LEFT(O2307,3)=$W$7)),"x","")</f>
        <v/>
      </c>
      <c r="X2307" s="84" t="str">
        <f>IF(OR(TH!N2307=TH!$X$7,O2307=TH!$X$7),"x","")</f>
        <v/>
      </c>
      <c r="Y2307" s="84" t="str">
        <f>IF(AND(OR(N2307="131",O2307="131"),H2307='131-CT'!$H$9),"x","")</f>
        <v/>
      </c>
      <c r="Z2307" s="84"/>
      <c r="AA2307" s="84" t="str">
        <f>IF(AND(MONTH(E2307)='IN-NX'!$J$5,'IN-NX'!$D$7=D2307),"x","")</f>
        <v/>
      </c>
      <c r="AB2307" s="84" t="str">
        <f>IF(AND(OR(LEFT(TH!N2307,2)="15",LEFT(TH!O2307,2)="15"),LEFT(TH!O2307,3)&lt;&gt;"111",'152-CT'!$J$8=TH!F2307),"x","")</f>
        <v/>
      </c>
      <c r="AC2307" s="84" t="str">
        <f>IF(AND(OR(LEFT(TH!N2307,2)="15",LEFT(TH!O2307,2)="15"),TK!$E$7=TH!F2307),"x","")</f>
        <v/>
      </c>
      <c r="AD2307" s="84" t="str">
        <f>IF(AND(N2307="1521",MONTH(C2307)='BK-NL'!$M$11),"x","")</f>
        <v/>
      </c>
    </row>
    <row r="2308" spans="1:30" s="351" customFormat="1" ht="15.75" hidden="1" customHeight="1">
      <c r="A2308" s="336" t="str">
        <f>IF(B2308&lt;&gt;"",IF(AND(B2308='IN-TC'!$S$4,OR(TH!N2308="1111",TH!O2308="1111")),TH!D2308,""),"")</f>
        <v/>
      </c>
      <c r="B2308" s="63" t="str">
        <f t="shared" si="291"/>
        <v/>
      </c>
      <c r="C2308" s="64"/>
      <c r="D2308" s="64"/>
      <c r="E2308" s="64"/>
      <c r="F2308" s="67"/>
      <c r="G2308" s="67"/>
      <c r="H2308" s="73"/>
      <c r="I2308" s="439"/>
      <c r="J2308" s="439"/>
      <c r="K2308" s="430"/>
      <c r="L2308" s="439"/>
      <c r="M2308" s="65"/>
      <c r="N2308" s="66"/>
      <c r="O2308" s="66"/>
      <c r="P2308" s="84" t="str">
        <f>IF(AND('331-CT'!$E$7=TH!H2308,OR(N2308="331",O2308="331")),"x","")</f>
        <v/>
      </c>
      <c r="Q2308" s="84" t="str">
        <f>IF(AND(B2308='111'!$L$11,OR($N2308=$Q$7,$O2308=$Q$7)),"x","")</f>
        <v/>
      </c>
      <c r="R2308" s="84" t="str">
        <f>IF(AND($N2308=$Q$7,$B2308&lt;'111'!$L$11),"x","")</f>
        <v/>
      </c>
      <c r="S2308" s="84" t="str">
        <f>IF(AND($O2308=$Q$7,$B2308&lt;'111'!$L$11),"x","")</f>
        <v/>
      </c>
      <c r="T2308" s="84" t="str">
        <f>IF(ISERROR(FIND('112'!$M$9,G2308,1)),"",IF((AND(FIND('112'!$M$9,G2308,1)&gt;=1,B2308='112'!$K$9,OR($N2308='112'!$I$6,$O2308='112'!$I$6))),"x",""))</f>
        <v/>
      </c>
      <c r="U2308" s="84" t="str">
        <f>IF(ISERROR(FIND('112'!$M$9,G2308,1)),"",IF((AND(LEFT(G2308,2)=LEFT('112'!$M$9,2),B2308&lt;'112'!$K$9,$N2308='112'!$I$6)),"x",""))</f>
        <v/>
      </c>
      <c r="V2308" s="84" t="str">
        <f>IF(ISERROR(FIND('112'!$M$9,G2308,1)),"",IF((AND(RIGHT(G2308,2)=RIGHT('112'!$M$9,2),B2308&lt;'112'!$K$9,$O2308='112'!$I$6)),"x",""))</f>
        <v/>
      </c>
      <c r="W2308" s="84" t="str">
        <f>IF(AND('341-CT'!$H$9=H2308,OR(LEFT(N2308,3)=$W$7,LEFT(O2308,3)=$W$7)),"x","")</f>
        <v/>
      </c>
      <c r="X2308" s="84" t="str">
        <f>IF(OR(TH!N2308=TH!$X$7,O2308=TH!$X$7),"x","")</f>
        <v/>
      </c>
      <c r="Y2308" s="84" t="str">
        <f>IF(AND(OR(N2308="131",O2308="131"),H2308='131-CT'!$H$9),"x","")</f>
        <v/>
      </c>
      <c r="Z2308" s="84"/>
      <c r="AA2308" s="84" t="str">
        <f>IF(AND(MONTH(E2308)='IN-NX'!$J$5,'IN-NX'!$D$7=D2308),"x","")</f>
        <v/>
      </c>
      <c r="AB2308" s="84" t="str">
        <f>IF(AND(OR(LEFT(TH!N2308,2)="15",LEFT(TH!O2308,2)="15"),LEFT(TH!O2308,3)&lt;&gt;"111",'152-CT'!$J$8=TH!F2308),"x","")</f>
        <v/>
      </c>
      <c r="AC2308" s="84" t="str">
        <f>IF(AND(OR(LEFT(TH!N2308,2)="15",LEFT(TH!O2308,2)="15"),TK!$E$7=TH!F2308),"x","")</f>
        <v/>
      </c>
      <c r="AD2308" s="84" t="str">
        <f>IF(AND(N2308="1521",MONTH(C2308)='BK-NL'!$M$11),"x","")</f>
        <v/>
      </c>
    </row>
    <row r="2309" spans="1:30" s="351" customFormat="1" ht="15.75" hidden="1" customHeight="1">
      <c r="A2309" s="336" t="str">
        <f>IF(B2309&lt;&gt;"",IF(AND(B2309='IN-TC'!$S$4,OR(TH!N2309="1111",TH!O2309="1111")),TH!D2309,""),"")</f>
        <v/>
      </c>
      <c r="B2309" s="63" t="str">
        <f t="shared" si="291"/>
        <v/>
      </c>
      <c r="C2309" s="64"/>
      <c r="D2309" s="64"/>
      <c r="E2309" s="64"/>
      <c r="F2309" s="67"/>
      <c r="G2309" s="67"/>
      <c r="H2309" s="73"/>
      <c r="I2309" s="439"/>
      <c r="J2309" s="439"/>
      <c r="K2309" s="430"/>
      <c r="L2309" s="439"/>
      <c r="M2309" s="65"/>
      <c r="N2309" s="66"/>
      <c r="O2309" s="66"/>
      <c r="P2309" s="84" t="str">
        <f>IF(AND('331-CT'!$E$7=TH!H2309,OR(N2309="331",O2309="331")),"x","")</f>
        <v/>
      </c>
      <c r="Q2309" s="84" t="str">
        <f>IF(AND(B2309='111'!$L$11,OR($N2309=$Q$7,$O2309=$Q$7)),"x","")</f>
        <v/>
      </c>
      <c r="R2309" s="84" t="str">
        <f>IF(AND($N2309=$Q$7,$B2309&lt;'111'!$L$11),"x","")</f>
        <v/>
      </c>
      <c r="S2309" s="84" t="str">
        <f>IF(AND($O2309=$Q$7,$B2309&lt;'111'!$L$11),"x","")</f>
        <v/>
      </c>
      <c r="T2309" s="84" t="str">
        <f>IF(ISERROR(FIND('112'!$M$9,G2309,1)),"",IF((AND(FIND('112'!$M$9,G2309,1)&gt;=1,B2309='112'!$K$9,OR($N2309='112'!$I$6,$O2309='112'!$I$6))),"x",""))</f>
        <v/>
      </c>
      <c r="U2309" s="84" t="str">
        <f>IF(ISERROR(FIND('112'!$M$9,G2309,1)),"",IF((AND(LEFT(G2309,2)=LEFT('112'!$M$9,2),B2309&lt;'112'!$K$9,$N2309='112'!$I$6)),"x",""))</f>
        <v/>
      </c>
      <c r="V2309" s="84" t="str">
        <f>IF(ISERROR(FIND('112'!$M$9,G2309,1)),"",IF((AND(RIGHT(G2309,2)=RIGHT('112'!$M$9,2),B2309&lt;'112'!$K$9,$O2309='112'!$I$6)),"x",""))</f>
        <v/>
      </c>
      <c r="W2309" s="84" t="str">
        <f>IF(AND('341-CT'!$H$9=H2309,OR(LEFT(N2309,3)=$W$7,LEFT(O2309,3)=$W$7)),"x","")</f>
        <v/>
      </c>
      <c r="X2309" s="84" t="str">
        <f>IF(OR(TH!N2309=TH!$X$7,O2309=TH!$X$7),"x","")</f>
        <v/>
      </c>
      <c r="Y2309" s="84" t="str">
        <f>IF(AND(OR(N2309="131",O2309="131"),H2309='131-CT'!$H$9),"x","")</f>
        <v/>
      </c>
      <c r="Z2309" s="84"/>
      <c r="AA2309" s="84" t="str">
        <f>IF(AND(MONTH(E2309)='IN-NX'!$J$5,'IN-NX'!$D$7=D2309),"x","")</f>
        <v/>
      </c>
      <c r="AB2309" s="84" t="str">
        <f>IF(AND(OR(LEFT(TH!N2309,2)="15",LEFT(TH!O2309,2)="15"),LEFT(TH!O2309,3)&lt;&gt;"111",'152-CT'!$J$8=TH!F2309),"x","")</f>
        <v/>
      </c>
      <c r="AC2309" s="84" t="str">
        <f>IF(AND(OR(LEFT(TH!N2309,2)="15",LEFT(TH!O2309,2)="15"),TK!$E$7=TH!F2309),"x","")</f>
        <v/>
      </c>
      <c r="AD2309" s="84" t="str">
        <f>IF(AND(N2309="1521",MONTH(C2309)='BK-NL'!$M$11),"x","")</f>
        <v/>
      </c>
    </row>
    <row r="2310" spans="1:30" s="351" customFormat="1" ht="15.75" hidden="1" customHeight="1">
      <c r="A2310" s="336" t="str">
        <f>IF(B2310&lt;&gt;"",IF(AND(B2310='IN-TC'!$S$4,OR(TH!N2310="1111",TH!O2310="1111")),TH!D2310,""),"")</f>
        <v/>
      </c>
      <c r="B2310" s="63" t="str">
        <f t="shared" si="291"/>
        <v/>
      </c>
      <c r="C2310" s="64"/>
      <c r="D2310" s="64"/>
      <c r="E2310" s="64"/>
      <c r="F2310" s="67"/>
      <c r="G2310" s="67"/>
      <c r="H2310" s="73"/>
      <c r="I2310" s="439"/>
      <c r="J2310" s="439"/>
      <c r="K2310" s="430"/>
      <c r="L2310" s="439"/>
      <c r="M2310" s="65"/>
      <c r="N2310" s="66"/>
      <c r="O2310" s="66"/>
      <c r="P2310" s="84" t="str">
        <f>IF(AND('331-CT'!$E$7=TH!H2310,OR(N2310="331",O2310="331")),"x","")</f>
        <v/>
      </c>
      <c r="Q2310" s="84" t="str">
        <f>IF(AND(B2310='111'!$L$11,OR($N2310=$Q$7,$O2310=$Q$7)),"x","")</f>
        <v/>
      </c>
      <c r="R2310" s="84" t="str">
        <f>IF(AND($N2310=$Q$7,$B2310&lt;'111'!$L$11),"x","")</f>
        <v/>
      </c>
      <c r="S2310" s="84" t="str">
        <f>IF(AND($O2310=$Q$7,$B2310&lt;'111'!$L$11),"x","")</f>
        <v/>
      </c>
      <c r="T2310" s="84" t="str">
        <f>IF(ISERROR(FIND('112'!$M$9,G2310,1)),"",IF((AND(FIND('112'!$M$9,G2310,1)&gt;=1,B2310='112'!$K$9,OR($N2310='112'!$I$6,$O2310='112'!$I$6))),"x",""))</f>
        <v/>
      </c>
      <c r="U2310" s="84" t="str">
        <f>IF(ISERROR(FIND('112'!$M$9,G2310,1)),"",IF((AND(LEFT(G2310,2)=LEFT('112'!$M$9,2),B2310&lt;'112'!$K$9,$N2310='112'!$I$6)),"x",""))</f>
        <v/>
      </c>
      <c r="V2310" s="84" t="str">
        <f>IF(ISERROR(FIND('112'!$M$9,G2310,1)),"",IF((AND(RIGHT(G2310,2)=RIGHT('112'!$M$9,2),B2310&lt;'112'!$K$9,$O2310='112'!$I$6)),"x",""))</f>
        <v/>
      </c>
      <c r="W2310" s="84" t="str">
        <f>IF(AND('341-CT'!$H$9=H2310,OR(LEFT(N2310,3)=$W$7,LEFT(O2310,3)=$W$7)),"x","")</f>
        <v/>
      </c>
      <c r="X2310" s="84" t="str">
        <f>IF(OR(TH!N2310=TH!$X$7,O2310=TH!$X$7),"x","")</f>
        <v/>
      </c>
      <c r="Y2310" s="84" t="str">
        <f>IF(AND(OR(N2310="131",O2310="131"),H2310='131-CT'!$H$9),"x","")</f>
        <v/>
      </c>
      <c r="Z2310" s="84"/>
      <c r="AA2310" s="84" t="str">
        <f>IF(AND(MONTH(E2310)='IN-NX'!$J$5,'IN-NX'!$D$7=D2310),"x","")</f>
        <v/>
      </c>
      <c r="AB2310" s="84" t="str">
        <f>IF(AND(OR(LEFT(TH!N2310,2)="15",LEFT(TH!O2310,2)="15"),LEFT(TH!O2310,3)&lt;&gt;"111",'152-CT'!$J$8=TH!F2310),"x","")</f>
        <v/>
      </c>
      <c r="AC2310" s="84" t="str">
        <f>IF(AND(OR(LEFT(TH!N2310,2)="15",LEFT(TH!O2310,2)="15"),TK!$E$7=TH!F2310),"x","")</f>
        <v/>
      </c>
      <c r="AD2310" s="84" t="str">
        <f>IF(AND(N2310="1521",MONTH(C2310)='BK-NL'!$M$11),"x","")</f>
        <v/>
      </c>
    </row>
    <row r="2311" spans="1:30" s="351" customFormat="1" ht="15.75" hidden="1" customHeight="1">
      <c r="A2311" s="336" t="str">
        <f>IF(B2311&lt;&gt;"",IF(AND(B2311='IN-TC'!$S$4,OR(TH!N2311="1111",TH!O2311="1111")),TH!D2311,""),"")</f>
        <v/>
      </c>
      <c r="B2311" s="63" t="str">
        <f t="shared" si="291"/>
        <v/>
      </c>
      <c r="C2311" s="64"/>
      <c r="D2311" s="64"/>
      <c r="E2311" s="64"/>
      <c r="F2311" s="67"/>
      <c r="G2311" s="67"/>
      <c r="H2311" s="73"/>
      <c r="I2311" s="439"/>
      <c r="J2311" s="439"/>
      <c r="K2311" s="430"/>
      <c r="L2311" s="439"/>
      <c r="M2311" s="65"/>
      <c r="N2311" s="66"/>
      <c r="O2311" s="66"/>
      <c r="P2311" s="84" t="str">
        <f>IF(AND('331-CT'!$E$7=TH!H2311,OR(N2311="331",O2311="331")),"x","")</f>
        <v/>
      </c>
      <c r="Q2311" s="84" t="str">
        <f>IF(AND(B2311='111'!$L$11,OR($N2311=$Q$7,$O2311=$Q$7)),"x","")</f>
        <v/>
      </c>
      <c r="R2311" s="84" t="str">
        <f>IF(AND($N2311=$Q$7,$B2311&lt;'111'!$L$11),"x","")</f>
        <v/>
      </c>
      <c r="S2311" s="84" t="str">
        <f>IF(AND($O2311=$Q$7,$B2311&lt;'111'!$L$11),"x","")</f>
        <v/>
      </c>
      <c r="T2311" s="84" t="str">
        <f>IF(ISERROR(FIND('112'!$M$9,G2311,1)),"",IF((AND(FIND('112'!$M$9,G2311,1)&gt;=1,B2311='112'!$K$9,OR($N2311='112'!$I$6,$O2311='112'!$I$6))),"x",""))</f>
        <v/>
      </c>
      <c r="U2311" s="84" t="str">
        <f>IF(ISERROR(FIND('112'!$M$9,G2311,1)),"",IF((AND(LEFT(G2311,2)=LEFT('112'!$M$9,2),B2311&lt;'112'!$K$9,$N2311='112'!$I$6)),"x",""))</f>
        <v/>
      </c>
      <c r="V2311" s="84" t="str">
        <f>IF(ISERROR(FIND('112'!$M$9,G2311,1)),"",IF((AND(RIGHT(G2311,2)=RIGHT('112'!$M$9,2),B2311&lt;'112'!$K$9,$O2311='112'!$I$6)),"x",""))</f>
        <v/>
      </c>
      <c r="W2311" s="84" t="str">
        <f>IF(AND('341-CT'!$H$9=H2311,OR(LEFT(N2311,3)=$W$7,LEFT(O2311,3)=$W$7)),"x","")</f>
        <v/>
      </c>
      <c r="X2311" s="84" t="str">
        <f>IF(OR(TH!N2311=TH!$X$7,O2311=TH!$X$7),"x","")</f>
        <v/>
      </c>
      <c r="Y2311" s="84" t="str">
        <f>IF(AND(OR(N2311="131",O2311="131"),H2311='131-CT'!$H$9),"x","")</f>
        <v/>
      </c>
      <c r="Z2311" s="84"/>
      <c r="AA2311" s="84" t="str">
        <f>IF(AND(MONTH(E2311)='IN-NX'!$J$5,'IN-NX'!$D$7=D2311),"x","")</f>
        <v/>
      </c>
      <c r="AB2311" s="84" t="str">
        <f>IF(AND(OR(LEFT(TH!N2311,2)="15",LEFT(TH!O2311,2)="15"),LEFT(TH!O2311,3)&lt;&gt;"111",'152-CT'!$J$8=TH!F2311),"x","")</f>
        <v/>
      </c>
      <c r="AC2311" s="84" t="str">
        <f>IF(AND(OR(LEFT(TH!N2311,2)="15",LEFT(TH!O2311,2)="15"),TK!$E$7=TH!F2311),"x","")</f>
        <v/>
      </c>
      <c r="AD2311" s="84" t="str">
        <f>IF(AND(N2311="1521",MONTH(C2311)='BK-NL'!$M$11),"x","")</f>
        <v/>
      </c>
    </row>
    <row r="2312" spans="1:30" s="351" customFormat="1" ht="15.75" hidden="1" customHeight="1">
      <c r="A2312" s="336" t="str">
        <f>IF(B2312&lt;&gt;"",IF(AND(B2312='IN-TC'!$S$4,OR(TH!N2312="1111",TH!O2312="1111")),TH!D2312,""),"")</f>
        <v/>
      </c>
      <c r="B2312" s="63" t="str">
        <f t="shared" si="291"/>
        <v/>
      </c>
      <c r="C2312" s="64"/>
      <c r="D2312" s="64"/>
      <c r="E2312" s="64"/>
      <c r="F2312" s="67"/>
      <c r="G2312" s="67"/>
      <c r="H2312" s="73"/>
      <c r="I2312" s="439"/>
      <c r="J2312" s="439"/>
      <c r="K2312" s="430"/>
      <c r="L2312" s="439"/>
      <c r="M2312" s="65"/>
      <c r="N2312" s="66"/>
      <c r="O2312" s="66"/>
      <c r="P2312" s="84" t="str">
        <f>IF(AND('331-CT'!$E$7=TH!H2312,OR(N2312="331",O2312="331")),"x","")</f>
        <v/>
      </c>
      <c r="Q2312" s="84" t="str">
        <f>IF(AND(B2312='111'!$L$11,OR($N2312=$Q$7,$O2312=$Q$7)),"x","")</f>
        <v/>
      </c>
      <c r="R2312" s="84" t="str">
        <f>IF(AND($N2312=$Q$7,$B2312&lt;'111'!$L$11),"x","")</f>
        <v/>
      </c>
      <c r="S2312" s="84" t="str">
        <f>IF(AND($O2312=$Q$7,$B2312&lt;'111'!$L$11),"x","")</f>
        <v/>
      </c>
      <c r="T2312" s="84" t="str">
        <f>IF(ISERROR(FIND('112'!$M$9,G2312,1)),"",IF((AND(FIND('112'!$M$9,G2312,1)&gt;=1,B2312='112'!$K$9,OR($N2312='112'!$I$6,$O2312='112'!$I$6))),"x",""))</f>
        <v/>
      </c>
      <c r="U2312" s="84" t="str">
        <f>IF(ISERROR(FIND('112'!$M$9,G2312,1)),"",IF((AND(LEFT(G2312,2)=LEFT('112'!$M$9,2),B2312&lt;'112'!$K$9,$N2312='112'!$I$6)),"x",""))</f>
        <v/>
      </c>
      <c r="V2312" s="84" t="str">
        <f>IF(ISERROR(FIND('112'!$M$9,G2312,1)),"",IF((AND(RIGHT(G2312,2)=RIGHT('112'!$M$9,2),B2312&lt;'112'!$K$9,$O2312='112'!$I$6)),"x",""))</f>
        <v/>
      </c>
      <c r="W2312" s="84" t="str">
        <f>IF(AND('341-CT'!$H$9=H2312,OR(LEFT(N2312,3)=$W$7,LEFT(O2312,3)=$W$7)),"x","")</f>
        <v/>
      </c>
      <c r="X2312" s="84" t="str">
        <f>IF(OR(TH!N2312=TH!$X$7,O2312=TH!$X$7),"x","")</f>
        <v/>
      </c>
      <c r="Y2312" s="84" t="str">
        <f>IF(AND(OR(N2312="131",O2312="131"),H2312='131-CT'!$H$9),"x","")</f>
        <v/>
      </c>
      <c r="Z2312" s="84"/>
      <c r="AA2312" s="84" t="str">
        <f>IF(AND(MONTH(E2312)='IN-NX'!$J$5,'IN-NX'!$D$7=D2312),"x","")</f>
        <v/>
      </c>
      <c r="AB2312" s="84" t="str">
        <f>IF(AND(OR(LEFT(TH!N2312,2)="15",LEFT(TH!O2312,2)="15"),LEFT(TH!O2312,3)&lt;&gt;"111",'152-CT'!$J$8=TH!F2312),"x","")</f>
        <v/>
      </c>
      <c r="AC2312" s="84" t="str">
        <f>IF(AND(OR(LEFT(TH!N2312,2)="15",LEFT(TH!O2312,2)="15"),TK!$E$7=TH!F2312),"x","")</f>
        <v/>
      </c>
      <c r="AD2312" s="84" t="str">
        <f>IF(AND(N2312="1521",MONTH(C2312)='BK-NL'!$M$11),"x","")</f>
        <v/>
      </c>
    </row>
    <row r="2313" spans="1:30" s="351" customFormat="1" ht="15.75" hidden="1" customHeight="1">
      <c r="A2313" s="336" t="str">
        <f>IF(B2313&lt;&gt;"",IF(AND(B2313='IN-TC'!$S$4,OR(TH!N2313="1111",TH!O2313="1111")),TH!D2313,""),"")</f>
        <v/>
      </c>
      <c r="B2313" s="63" t="str">
        <f t="shared" si="291"/>
        <v/>
      </c>
      <c r="C2313" s="64"/>
      <c r="D2313" s="64"/>
      <c r="E2313" s="64"/>
      <c r="F2313" s="67"/>
      <c r="G2313" s="67"/>
      <c r="H2313" s="73"/>
      <c r="I2313" s="439"/>
      <c r="J2313" s="439"/>
      <c r="K2313" s="430"/>
      <c r="L2313" s="439"/>
      <c r="M2313" s="65"/>
      <c r="N2313" s="66"/>
      <c r="O2313" s="66"/>
      <c r="P2313" s="84" t="str">
        <f>IF(AND('331-CT'!$E$7=TH!H2313,OR(N2313="331",O2313="331")),"x","")</f>
        <v/>
      </c>
      <c r="Q2313" s="84" t="str">
        <f>IF(AND(B2313='111'!$L$11,OR($N2313=$Q$7,$O2313=$Q$7)),"x","")</f>
        <v/>
      </c>
      <c r="R2313" s="84" t="str">
        <f>IF(AND($N2313=$Q$7,$B2313&lt;'111'!$L$11),"x","")</f>
        <v/>
      </c>
      <c r="S2313" s="84" t="str">
        <f>IF(AND($O2313=$Q$7,$B2313&lt;'111'!$L$11),"x","")</f>
        <v/>
      </c>
      <c r="T2313" s="84" t="str">
        <f>IF(ISERROR(FIND('112'!$M$9,G2313,1)),"",IF((AND(FIND('112'!$M$9,G2313,1)&gt;=1,B2313='112'!$K$9,OR($N2313='112'!$I$6,$O2313='112'!$I$6))),"x",""))</f>
        <v/>
      </c>
      <c r="U2313" s="84" t="str">
        <f>IF(ISERROR(FIND('112'!$M$9,G2313,1)),"",IF((AND(LEFT(G2313,2)=LEFT('112'!$M$9,2),B2313&lt;'112'!$K$9,$N2313='112'!$I$6)),"x",""))</f>
        <v/>
      </c>
      <c r="V2313" s="84" t="str">
        <f>IF(ISERROR(FIND('112'!$M$9,G2313,1)),"",IF((AND(RIGHT(G2313,2)=RIGHT('112'!$M$9,2),B2313&lt;'112'!$K$9,$O2313='112'!$I$6)),"x",""))</f>
        <v/>
      </c>
      <c r="W2313" s="84" t="str">
        <f>IF(AND('341-CT'!$H$9=H2313,OR(LEFT(N2313,3)=$W$7,LEFT(O2313,3)=$W$7)),"x","")</f>
        <v/>
      </c>
      <c r="X2313" s="84" t="str">
        <f>IF(OR(TH!N2313=TH!$X$7,O2313=TH!$X$7),"x","")</f>
        <v/>
      </c>
      <c r="Y2313" s="84" t="str">
        <f>IF(AND(OR(N2313="131",O2313="131"),H2313='131-CT'!$H$9),"x","")</f>
        <v/>
      </c>
      <c r="Z2313" s="84"/>
      <c r="AA2313" s="84" t="str">
        <f>IF(AND(MONTH(E2313)='IN-NX'!$J$5,'IN-NX'!$D$7=D2313),"x","")</f>
        <v/>
      </c>
      <c r="AB2313" s="84" t="str">
        <f>IF(AND(OR(LEFT(TH!N2313,2)="15",LEFT(TH!O2313,2)="15"),LEFT(TH!O2313,3)&lt;&gt;"111",'152-CT'!$J$8=TH!F2313),"x","")</f>
        <v/>
      </c>
      <c r="AC2313" s="84" t="str">
        <f>IF(AND(OR(LEFT(TH!N2313,2)="15",LEFT(TH!O2313,2)="15"),TK!$E$7=TH!F2313),"x","")</f>
        <v/>
      </c>
      <c r="AD2313" s="84" t="str">
        <f>IF(AND(N2313="1521",MONTH(C2313)='BK-NL'!$M$11),"x","")</f>
        <v/>
      </c>
    </row>
    <row r="2314" spans="1:30" s="351" customFormat="1" ht="15.75" hidden="1" customHeight="1">
      <c r="A2314" s="336" t="str">
        <f>IF(B2314&lt;&gt;"",IF(AND(B2314='IN-TC'!$S$4,OR(TH!N2314="1111",TH!O2314="1111")),TH!D2314,""),"")</f>
        <v/>
      </c>
      <c r="B2314" s="63" t="str">
        <f t="shared" si="291"/>
        <v/>
      </c>
      <c r="C2314" s="64"/>
      <c r="D2314" s="64"/>
      <c r="E2314" s="64"/>
      <c r="F2314" s="67"/>
      <c r="G2314" s="67"/>
      <c r="H2314" s="73"/>
      <c r="I2314" s="439"/>
      <c r="J2314" s="439"/>
      <c r="K2314" s="430"/>
      <c r="L2314" s="439"/>
      <c r="M2314" s="65"/>
      <c r="N2314" s="66"/>
      <c r="O2314" s="66"/>
      <c r="P2314" s="84" t="str">
        <f>IF(AND('331-CT'!$E$7=TH!H2314,OR(N2314="331",O2314="331")),"x","")</f>
        <v/>
      </c>
      <c r="Q2314" s="84" t="str">
        <f>IF(AND(B2314='111'!$L$11,OR($N2314=$Q$7,$O2314=$Q$7)),"x","")</f>
        <v/>
      </c>
      <c r="R2314" s="84" t="str">
        <f>IF(AND($N2314=$Q$7,$B2314&lt;'111'!$L$11),"x","")</f>
        <v/>
      </c>
      <c r="S2314" s="84" t="str">
        <f>IF(AND($O2314=$Q$7,$B2314&lt;'111'!$L$11),"x","")</f>
        <v/>
      </c>
      <c r="T2314" s="84" t="str">
        <f>IF(ISERROR(FIND('112'!$M$9,G2314,1)),"",IF((AND(FIND('112'!$M$9,G2314,1)&gt;=1,B2314='112'!$K$9,OR($N2314='112'!$I$6,$O2314='112'!$I$6))),"x",""))</f>
        <v/>
      </c>
      <c r="U2314" s="84" t="str">
        <f>IF(ISERROR(FIND('112'!$M$9,G2314,1)),"",IF((AND(LEFT(G2314,2)=LEFT('112'!$M$9,2),B2314&lt;'112'!$K$9,$N2314='112'!$I$6)),"x",""))</f>
        <v/>
      </c>
      <c r="V2314" s="84" t="str">
        <f>IF(ISERROR(FIND('112'!$M$9,G2314,1)),"",IF((AND(RIGHT(G2314,2)=RIGHT('112'!$M$9,2),B2314&lt;'112'!$K$9,$O2314='112'!$I$6)),"x",""))</f>
        <v/>
      </c>
      <c r="W2314" s="84" t="str">
        <f>IF(AND('341-CT'!$H$9=H2314,OR(LEFT(N2314,3)=$W$7,LEFT(O2314,3)=$W$7)),"x","")</f>
        <v/>
      </c>
      <c r="X2314" s="84" t="str">
        <f>IF(OR(TH!N2314=TH!$X$7,O2314=TH!$X$7),"x","")</f>
        <v/>
      </c>
      <c r="Y2314" s="84" t="str">
        <f>IF(AND(OR(N2314="131",O2314="131"),H2314='131-CT'!$H$9),"x","")</f>
        <v/>
      </c>
      <c r="Z2314" s="84"/>
      <c r="AA2314" s="84" t="str">
        <f>IF(AND(MONTH(E2314)='IN-NX'!$J$5,'IN-NX'!$D$7=D2314),"x","")</f>
        <v/>
      </c>
      <c r="AB2314" s="84" t="str">
        <f>IF(AND(OR(LEFT(TH!N2314,2)="15",LEFT(TH!O2314,2)="15"),LEFT(TH!O2314,3)&lt;&gt;"111",'152-CT'!$J$8=TH!F2314),"x","")</f>
        <v/>
      </c>
      <c r="AC2314" s="84" t="str">
        <f>IF(AND(OR(LEFT(TH!N2314,2)="15",LEFT(TH!O2314,2)="15"),TK!$E$7=TH!F2314),"x","")</f>
        <v/>
      </c>
      <c r="AD2314" s="84" t="str">
        <f>IF(AND(N2314="1521",MONTH(C2314)='BK-NL'!$M$11),"x","")</f>
        <v/>
      </c>
    </row>
    <row r="2315" spans="1:30" s="351" customFormat="1" ht="15.75" hidden="1" customHeight="1">
      <c r="A2315" s="336" t="str">
        <f>IF(B2315&lt;&gt;"",IF(AND(B2315='IN-TC'!$S$4,OR(TH!N2315="1111",TH!O2315="1111")),TH!D2315,""),"")</f>
        <v/>
      </c>
      <c r="B2315" s="63" t="str">
        <f t="shared" si="291"/>
        <v/>
      </c>
      <c r="C2315" s="64"/>
      <c r="D2315" s="64"/>
      <c r="E2315" s="64"/>
      <c r="F2315" s="67"/>
      <c r="G2315" s="67"/>
      <c r="H2315" s="73"/>
      <c r="I2315" s="439"/>
      <c r="J2315" s="439"/>
      <c r="K2315" s="430"/>
      <c r="L2315" s="439"/>
      <c r="M2315" s="65"/>
      <c r="N2315" s="66"/>
      <c r="O2315" s="66"/>
      <c r="P2315" s="84" t="str">
        <f>IF(AND('331-CT'!$E$7=TH!H2315,OR(N2315="331",O2315="331")),"x","")</f>
        <v/>
      </c>
      <c r="Q2315" s="84" t="str">
        <f>IF(AND(B2315='111'!$L$11,OR($N2315=$Q$7,$O2315=$Q$7)),"x","")</f>
        <v/>
      </c>
      <c r="R2315" s="84" t="str">
        <f>IF(AND($N2315=$Q$7,$B2315&lt;'111'!$L$11),"x","")</f>
        <v/>
      </c>
      <c r="S2315" s="84" t="str">
        <f>IF(AND($O2315=$Q$7,$B2315&lt;'111'!$L$11),"x","")</f>
        <v/>
      </c>
      <c r="T2315" s="84" t="str">
        <f>IF(ISERROR(FIND('112'!$M$9,G2315,1)),"",IF((AND(FIND('112'!$M$9,G2315,1)&gt;=1,B2315='112'!$K$9,OR($N2315='112'!$I$6,$O2315='112'!$I$6))),"x",""))</f>
        <v/>
      </c>
      <c r="U2315" s="84" t="str">
        <f>IF(ISERROR(FIND('112'!$M$9,G2315,1)),"",IF((AND(LEFT(G2315,2)=LEFT('112'!$M$9,2),B2315&lt;'112'!$K$9,$N2315='112'!$I$6)),"x",""))</f>
        <v/>
      </c>
      <c r="V2315" s="84" t="str">
        <f>IF(ISERROR(FIND('112'!$M$9,G2315,1)),"",IF((AND(RIGHT(G2315,2)=RIGHT('112'!$M$9,2),B2315&lt;'112'!$K$9,$O2315='112'!$I$6)),"x",""))</f>
        <v/>
      </c>
      <c r="W2315" s="84" t="str">
        <f>IF(AND('341-CT'!$H$9=H2315,OR(LEFT(N2315,3)=$W$7,LEFT(O2315,3)=$W$7)),"x","")</f>
        <v/>
      </c>
      <c r="X2315" s="84" t="str">
        <f>IF(OR(TH!N2315=TH!$X$7,O2315=TH!$X$7),"x","")</f>
        <v/>
      </c>
      <c r="Y2315" s="84" t="str">
        <f>IF(AND(OR(N2315="131",O2315="131"),H2315='131-CT'!$H$9),"x","")</f>
        <v/>
      </c>
      <c r="Z2315" s="84"/>
      <c r="AA2315" s="84" t="str">
        <f>IF(AND(MONTH(E2315)='IN-NX'!$J$5,'IN-NX'!$D$7=D2315),"x","")</f>
        <v/>
      </c>
      <c r="AB2315" s="84" t="str">
        <f>IF(AND(OR(LEFT(TH!N2315,2)="15",LEFT(TH!O2315,2)="15"),LEFT(TH!O2315,3)&lt;&gt;"111",'152-CT'!$J$8=TH!F2315),"x","")</f>
        <v/>
      </c>
      <c r="AC2315" s="84" t="str">
        <f>IF(AND(OR(LEFT(TH!N2315,2)="15",LEFT(TH!O2315,2)="15"),TK!$E$7=TH!F2315),"x","")</f>
        <v/>
      </c>
      <c r="AD2315" s="84" t="str">
        <f>IF(AND(N2315="1521",MONTH(C2315)='BK-NL'!$M$11),"x","")</f>
        <v/>
      </c>
    </row>
    <row r="2316" spans="1:30" s="351" customFormat="1" ht="15.75" hidden="1" customHeight="1">
      <c r="A2316" s="336" t="str">
        <f>IF(B2316&lt;&gt;"",IF(AND(B2316='IN-TC'!$S$4,OR(TH!N2316="1111",TH!O2316="1111")),TH!D2316,""),"")</f>
        <v/>
      </c>
      <c r="B2316" s="63" t="str">
        <f t="shared" si="291"/>
        <v/>
      </c>
      <c r="C2316" s="64"/>
      <c r="D2316" s="64"/>
      <c r="E2316" s="64"/>
      <c r="F2316" s="67"/>
      <c r="G2316" s="67"/>
      <c r="H2316" s="73"/>
      <c r="I2316" s="439"/>
      <c r="J2316" s="439"/>
      <c r="K2316" s="430"/>
      <c r="L2316" s="439"/>
      <c r="M2316" s="65"/>
      <c r="N2316" s="66"/>
      <c r="O2316" s="66"/>
      <c r="P2316" s="84" t="str">
        <f>IF(AND('331-CT'!$E$7=TH!H2316,OR(N2316="331",O2316="331")),"x","")</f>
        <v/>
      </c>
      <c r="Q2316" s="84" t="str">
        <f>IF(AND(B2316='111'!$L$11,OR($N2316=$Q$7,$O2316=$Q$7)),"x","")</f>
        <v/>
      </c>
      <c r="R2316" s="84" t="str">
        <f>IF(AND($N2316=$Q$7,$B2316&lt;'111'!$L$11),"x","")</f>
        <v/>
      </c>
      <c r="S2316" s="84" t="str">
        <f>IF(AND($O2316=$Q$7,$B2316&lt;'111'!$L$11),"x","")</f>
        <v/>
      </c>
      <c r="T2316" s="84" t="str">
        <f>IF(ISERROR(FIND('112'!$M$9,G2316,1)),"",IF((AND(FIND('112'!$M$9,G2316,1)&gt;=1,B2316='112'!$K$9,OR($N2316='112'!$I$6,$O2316='112'!$I$6))),"x",""))</f>
        <v/>
      </c>
      <c r="U2316" s="84" t="str">
        <f>IF(ISERROR(FIND('112'!$M$9,G2316,1)),"",IF((AND(LEFT(G2316,2)=LEFT('112'!$M$9,2),B2316&lt;'112'!$K$9,$N2316='112'!$I$6)),"x",""))</f>
        <v/>
      </c>
      <c r="V2316" s="84" t="str">
        <f>IF(ISERROR(FIND('112'!$M$9,G2316,1)),"",IF((AND(RIGHT(G2316,2)=RIGHT('112'!$M$9,2),B2316&lt;'112'!$K$9,$O2316='112'!$I$6)),"x",""))</f>
        <v/>
      </c>
      <c r="W2316" s="84" t="str">
        <f>IF(AND('341-CT'!$H$9=H2316,OR(LEFT(N2316,3)=$W$7,LEFT(O2316,3)=$W$7)),"x","")</f>
        <v/>
      </c>
      <c r="X2316" s="84" t="str">
        <f>IF(OR(TH!N2316=TH!$X$7,O2316=TH!$X$7),"x","")</f>
        <v/>
      </c>
      <c r="Y2316" s="84" t="str">
        <f>IF(AND(OR(N2316="131",O2316="131"),H2316='131-CT'!$H$9),"x","")</f>
        <v/>
      </c>
      <c r="Z2316" s="84"/>
      <c r="AA2316" s="84" t="str">
        <f>IF(AND(MONTH(E2316)='IN-NX'!$J$5,'IN-NX'!$D$7=D2316),"x","")</f>
        <v/>
      </c>
      <c r="AB2316" s="84" t="str">
        <f>IF(AND(OR(LEFT(TH!N2316,2)="15",LEFT(TH!O2316,2)="15"),LEFT(TH!O2316,3)&lt;&gt;"111",'152-CT'!$J$8=TH!F2316),"x","")</f>
        <v/>
      </c>
      <c r="AC2316" s="84" t="str">
        <f>IF(AND(OR(LEFT(TH!N2316,2)="15",LEFT(TH!O2316,2)="15"),TK!$E$7=TH!F2316),"x","")</f>
        <v/>
      </c>
      <c r="AD2316" s="84" t="str">
        <f>IF(AND(N2316="1521",MONTH(C2316)='BK-NL'!$M$11),"x","")</f>
        <v/>
      </c>
    </row>
    <row r="2317" spans="1:30" s="351" customFormat="1" ht="15.75" hidden="1" customHeight="1">
      <c r="A2317" s="336" t="str">
        <f>IF(B2317&lt;&gt;"",IF(AND(B2317='IN-TC'!$S$4,OR(TH!N2317="1111",TH!O2317="1111")),TH!D2317,""),"")</f>
        <v/>
      </c>
      <c r="B2317" s="63" t="str">
        <f t="shared" si="291"/>
        <v/>
      </c>
      <c r="C2317" s="64"/>
      <c r="D2317" s="64"/>
      <c r="E2317" s="64"/>
      <c r="F2317" s="67"/>
      <c r="G2317" s="67"/>
      <c r="H2317" s="73"/>
      <c r="I2317" s="439"/>
      <c r="J2317" s="439"/>
      <c r="K2317" s="430"/>
      <c r="L2317" s="439"/>
      <c r="M2317" s="65"/>
      <c r="N2317" s="66"/>
      <c r="O2317" s="66"/>
      <c r="P2317" s="84" t="str">
        <f>IF(AND('331-CT'!$E$7=TH!H2317,OR(N2317="331",O2317="331")),"x","")</f>
        <v/>
      </c>
      <c r="Q2317" s="84" t="str">
        <f>IF(AND(B2317='111'!$L$11,OR($N2317=$Q$7,$O2317=$Q$7)),"x","")</f>
        <v/>
      </c>
      <c r="R2317" s="84" t="str">
        <f>IF(AND($N2317=$Q$7,$B2317&lt;'111'!$L$11),"x","")</f>
        <v/>
      </c>
      <c r="S2317" s="84" t="str">
        <f>IF(AND($O2317=$Q$7,$B2317&lt;'111'!$L$11),"x","")</f>
        <v/>
      </c>
      <c r="T2317" s="84" t="str">
        <f>IF(ISERROR(FIND('112'!$M$9,G2317,1)),"",IF((AND(FIND('112'!$M$9,G2317,1)&gt;=1,B2317='112'!$K$9,OR($N2317='112'!$I$6,$O2317='112'!$I$6))),"x",""))</f>
        <v/>
      </c>
      <c r="U2317" s="84" t="str">
        <f>IF(ISERROR(FIND('112'!$M$9,G2317,1)),"",IF((AND(LEFT(G2317,2)=LEFT('112'!$M$9,2),B2317&lt;'112'!$K$9,$N2317='112'!$I$6)),"x",""))</f>
        <v/>
      </c>
      <c r="V2317" s="84" t="str">
        <f>IF(ISERROR(FIND('112'!$M$9,G2317,1)),"",IF((AND(RIGHT(G2317,2)=RIGHT('112'!$M$9,2),B2317&lt;'112'!$K$9,$O2317='112'!$I$6)),"x",""))</f>
        <v/>
      </c>
      <c r="W2317" s="84" t="str">
        <f>IF(AND('341-CT'!$H$9=H2317,OR(LEFT(N2317,3)=$W$7,LEFT(O2317,3)=$W$7)),"x","")</f>
        <v/>
      </c>
      <c r="X2317" s="84" t="str">
        <f>IF(OR(TH!N2317=TH!$X$7,O2317=TH!$X$7),"x","")</f>
        <v/>
      </c>
      <c r="Y2317" s="84" t="str">
        <f>IF(AND(OR(N2317="131",O2317="131"),H2317='131-CT'!$H$9),"x","")</f>
        <v/>
      </c>
      <c r="Z2317" s="84"/>
      <c r="AA2317" s="84" t="str">
        <f>IF(AND(MONTH(E2317)='IN-NX'!$J$5,'IN-NX'!$D$7=D2317),"x","")</f>
        <v/>
      </c>
      <c r="AB2317" s="84" t="str">
        <f>IF(AND(OR(LEFT(TH!N2317,2)="15",LEFT(TH!O2317,2)="15"),LEFT(TH!O2317,3)&lt;&gt;"111",'152-CT'!$J$8=TH!F2317),"x","")</f>
        <v/>
      </c>
      <c r="AC2317" s="84" t="str">
        <f>IF(AND(OR(LEFT(TH!N2317,2)="15",LEFT(TH!O2317,2)="15"),TK!$E$7=TH!F2317),"x","")</f>
        <v/>
      </c>
      <c r="AD2317" s="84" t="str">
        <f>IF(AND(N2317="1521",MONTH(C2317)='BK-NL'!$M$11),"x","")</f>
        <v/>
      </c>
    </row>
    <row r="2318" spans="1:30" s="351" customFormat="1" ht="15.75" hidden="1" customHeight="1">
      <c r="A2318" s="336" t="str">
        <f>IF(B2318&lt;&gt;"",IF(AND(B2318='IN-TC'!$S$4,OR(TH!N2318="1111",TH!O2318="1111")),TH!D2318,""),"")</f>
        <v/>
      </c>
      <c r="B2318" s="63" t="str">
        <f t="shared" si="291"/>
        <v/>
      </c>
      <c r="C2318" s="64"/>
      <c r="D2318" s="64"/>
      <c r="E2318" s="64"/>
      <c r="F2318" s="67"/>
      <c r="G2318" s="67"/>
      <c r="H2318" s="73"/>
      <c r="I2318" s="439"/>
      <c r="J2318" s="439"/>
      <c r="K2318" s="430"/>
      <c r="L2318" s="439"/>
      <c r="M2318" s="65"/>
      <c r="N2318" s="66"/>
      <c r="O2318" s="66"/>
      <c r="P2318" s="84" t="str">
        <f>IF(AND('331-CT'!$E$7=TH!H2318,OR(N2318="331",O2318="331")),"x","")</f>
        <v/>
      </c>
      <c r="Q2318" s="84" t="str">
        <f>IF(AND(B2318='111'!$L$11,OR($N2318=$Q$7,$O2318=$Q$7)),"x","")</f>
        <v/>
      </c>
      <c r="R2318" s="84" t="str">
        <f>IF(AND($N2318=$Q$7,$B2318&lt;'111'!$L$11),"x","")</f>
        <v/>
      </c>
      <c r="S2318" s="84" t="str">
        <f>IF(AND($O2318=$Q$7,$B2318&lt;'111'!$L$11),"x","")</f>
        <v/>
      </c>
      <c r="T2318" s="84" t="str">
        <f>IF(ISERROR(FIND('112'!$M$9,G2318,1)),"",IF((AND(FIND('112'!$M$9,G2318,1)&gt;=1,B2318='112'!$K$9,OR($N2318='112'!$I$6,$O2318='112'!$I$6))),"x",""))</f>
        <v/>
      </c>
      <c r="U2318" s="84" t="str">
        <f>IF(ISERROR(FIND('112'!$M$9,G2318,1)),"",IF((AND(LEFT(G2318,2)=LEFT('112'!$M$9,2),B2318&lt;'112'!$K$9,$N2318='112'!$I$6)),"x",""))</f>
        <v/>
      </c>
      <c r="V2318" s="84" t="str">
        <f>IF(ISERROR(FIND('112'!$M$9,G2318,1)),"",IF((AND(RIGHT(G2318,2)=RIGHT('112'!$M$9,2),B2318&lt;'112'!$K$9,$O2318='112'!$I$6)),"x",""))</f>
        <v/>
      </c>
      <c r="W2318" s="84" t="str">
        <f>IF(AND('341-CT'!$H$9=H2318,OR(LEFT(N2318,3)=$W$7,LEFT(O2318,3)=$W$7)),"x","")</f>
        <v/>
      </c>
      <c r="X2318" s="84" t="str">
        <f>IF(OR(TH!N2318=TH!$X$7,O2318=TH!$X$7),"x","")</f>
        <v/>
      </c>
      <c r="Y2318" s="84" t="str">
        <f>IF(AND(OR(N2318="131",O2318="131"),H2318='131-CT'!$H$9),"x","")</f>
        <v/>
      </c>
      <c r="Z2318" s="84"/>
      <c r="AA2318" s="84" t="str">
        <f>IF(AND(MONTH(E2318)='IN-NX'!$J$5,'IN-NX'!$D$7=D2318),"x","")</f>
        <v/>
      </c>
      <c r="AB2318" s="84" t="str">
        <f>IF(AND(OR(LEFT(TH!N2318,2)="15",LEFT(TH!O2318,2)="15"),LEFT(TH!O2318,3)&lt;&gt;"111",'152-CT'!$J$8=TH!F2318),"x","")</f>
        <v/>
      </c>
      <c r="AC2318" s="84" t="str">
        <f>IF(AND(OR(LEFT(TH!N2318,2)="15",LEFT(TH!O2318,2)="15"),TK!$E$7=TH!F2318),"x","")</f>
        <v/>
      </c>
      <c r="AD2318" s="84" t="str">
        <f>IF(AND(N2318="1521",MONTH(C2318)='BK-NL'!$M$11),"x","")</f>
        <v/>
      </c>
    </row>
    <row r="2319" spans="1:30" s="351" customFormat="1" ht="15.75" hidden="1" customHeight="1">
      <c r="A2319" s="336" t="str">
        <f>IF(B2319&lt;&gt;"",IF(AND(B2319='IN-TC'!$S$4,OR(TH!N2319="1111",TH!O2319="1111")),TH!D2319,""),"")</f>
        <v/>
      </c>
      <c r="B2319" s="63" t="str">
        <f t="shared" si="291"/>
        <v/>
      </c>
      <c r="C2319" s="64"/>
      <c r="D2319" s="64"/>
      <c r="E2319" s="64"/>
      <c r="F2319" s="67"/>
      <c r="G2319" s="67"/>
      <c r="H2319" s="73"/>
      <c r="I2319" s="439"/>
      <c r="J2319" s="439"/>
      <c r="K2319" s="430"/>
      <c r="L2319" s="439"/>
      <c r="M2319" s="65"/>
      <c r="N2319" s="66"/>
      <c r="O2319" s="66"/>
      <c r="P2319" s="84" t="str">
        <f>IF(AND('331-CT'!$E$7=TH!H2319,OR(N2319="331",O2319="331")),"x","")</f>
        <v/>
      </c>
      <c r="Q2319" s="84" t="str">
        <f>IF(AND(B2319='111'!$L$11,OR($N2319=$Q$7,$O2319=$Q$7)),"x","")</f>
        <v/>
      </c>
      <c r="R2319" s="84" t="str">
        <f>IF(AND($N2319=$Q$7,$B2319&lt;'111'!$L$11),"x","")</f>
        <v/>
      </c>
      <c r="S2319" s="84" t="str">
        <f>IF(AND($O2319=$Q$7,$B2319&lt;'111'!$L$11),"x","")</f>
        <v/>
      </c>
      <c r="T2319" s="84" t="str">
        <f>IF(ISERROR(FIND('112'!$M$9,G2319,1)),"",IF((AND(FIND('112'!$M$9,G2319,1)&gt;=1,B2319='112'!$K$9,OR($N2319='112'!$I$6,$O2319='112'!$I$6))),"x",""))</f>
        <v/>
      </c>
      <c r="U2319" s="84" t="str">
        <f>IF(ISERROR(FIND('112'!$M$9,G2319,1)),"",IF((AND(LEFT(G2319,2)=LEFT('112'!$M$9,2),B2319&lt;'112'!$K$9,$N2319='112'!$I$6)),"x",""))</f>
        <v/>
      </c>
      <c r="V2319" s="84" t="str">
        <f>IF(ISERROR(FIND('112'!$M$9,G2319,1)),"",IF((AND(RIGHT(G2319,2)=RIGHT('112'!$M$9,2),B2319&lt;'112'!$K$9,$O2319='112'!$I$6)),"x",""))</f>
        <v/>
      </c>
      <c r="W2319" s="84" t="str">
        <f>IF(AND('341-CT'!$H$9=H2319,OR(LEFT(N2319,3)=$W$7,LEFT(O2319,3)=$W$7)),"x","")</f>
        <v/>
      </c>
      <c r="X2319" s="84" t="str">
        <f>IF(OR(TH!N2319=TH!$X$7,O2319=TH!$X$7),"x","")</f>
        <v/>
      </c>
      <c r="Y2319" s="84" t="str">
        <f>IF(AND(OR(N2319="131",O2319="131"),H2319='131-CT'!$H$9),"x","")</f>
        <v/>
      </c>
      <c r="Z2319" s="84"/>
      <c r="AA2319" s="84" t="str">
        <f>IF(AND(MONTH(E2319)='IN-NX'!$J$5,'IN-NX'!$D$7=D2319),"x","")</f>
        <v/>
      </c>
      <c r="AB2319" s="84" t="str">
        <f>IF(AND(OR(LEFT(TH!N2319,2)="15",LEFT(TH!O2319,2)="15"),LEFT(TH!O2319,3)&lt;&gt;"111",'152-CT'!$J$8=TH!F2319),"x","")</f>
        <v/>
      </c>
      <c r="AC2319" s="84" t="str">
        <f>IF(AND(OR(LEFT(TH!N2319,2)="15",LEFT(TH!O2319,2)="15"),TK!$E$7=TH!F2319),"x","")</f>
        <v/>
      </c>
      <c r="AD2319" s="84" t="str">
        <f>IF(AND(N2319="1521",MONTH(C2319)='BK-NL'!$M$11),"x","")</f>
        <v/>
      </c>
    </row>
    <row r="2320" spans="1:30" s="351" customFormat="1" ht="15.75" hidden="1" customHeight="1">
      <c r="A2320" s="336" t="str">
        <f>IF(B2320&lt;&gt;"",IF(AND(B2320='IN-TC'!$S$4,OR(TH!N2320="1111",TH!O2320="1111")),TH!D2320,""),"")</f>
        <v/>
      </c>
      <c r="B2320" s="63" t="str">
        <f t="shared" si="291"/>
        <v/>
      </c>
      <c r="C2320" s="64"/>
      <c r="D2320" s="64"/>
      <c r="E2320" s="64"/>
      <c r="F2320" s="67"/>
      <c r="G2320" s="67"/>
      <c r="H2320" s="73"/>
      <c r="I2320" s="439"/>
      <c r="J2320" s="439"/>
      <c r="K2320" s="430"/>
      <c r="L2320" s="439"/>
      <c r="M2320" s="65"/>
      <c r="N2320" s="66"/>
      <c r="O2320" s="66"/>
      <c r="P2320" s="84" t="str">
        <f>IF(AND('331-CT'!$E$7=TH!H2320,OR(N2320="331",O2320="331")),"x","")</f>
        <v/>
      </c>
      <c r="Q2320" s="84" t="str">
        <f>IF(AND(B2320='111'!$L$11,OR($N2320=$Q$7,$O2320=$Q$7)),"x","")</f>
        <v/>
      </c>
      <c r="R2320" s="84" t="str">
        <f>IF(AND($N2320=$Q$7,$B2320&lt;'111'!$L$11),"x","")</f>
        <v/>
      </c>
      <c r="S2320" s="84" t="str">
        <f>IF(AND($O2320=$Q$7,$B2320&lt;'111'!$L$11),"x","")</f>
        <v/>
      </c>
      <c r="T2320" s="84" t="str">
        <f>IF(ISERROR(FIND('112'!$M$9,G2320,1)),"",IF((AND(FIND('112'!$M$9,G2320,1)&gt;=1,B2320='112'!$K$9,OR($N2320='112'!$I$6,$O2320='112'!$I$6))),"x",""))</f>
        <v/>
      </c>
      <c r="U2320" s="84" t="str">
        <f>IF(ISERROR(FIND('112'!$M$9,G2320,1)),"",IF((AND(LEFT(G2320,2)=LEFT('112'!$M$9,2),B2320&lt;'112'!$K$9,$N2320='112'!$I$6)),"x",""))</f>
        <v/>
      </c>
      <c r="V2320" s="84" t="str">
        <f>IF(ISERROR(FIND('112'!$M$9,G2320,1)),"",IF((AND(RIGHT(G2320,2)=RIGHT('112'!$M$9,2),B2320&lt;'112'!$K$9,$O2320='112'!$I$6)),"x",""))</f>
        <v/>
      </c>
      <c r="W2320" s="84" t="str">
        <f>IF(AND('341-CT'!$H$9=H2320,OR(LEFT(N2320,3)=$W$7,LEFT(O2320,3)=$W$7)),"x","")</f>
        <v/>
      </c>
      <c r="X2320" s="84" t="str">
        <f>IF(OR(TH!N2320=TH!$X$7,O2320=TH!$X$7),"x","")</f>
        <v/>
      </c>
      <c r="Y2320" s="84" t="str">
        <f>IF(AND(OR(N2320="131",O2320="131"),H2320='131-CT'!$H$9),"x","")</f>
        <v/>
      </c>
      <c r="Z2320" s="84"/>
      <c r="AA2320" s="84" t="str">
        <f>IF(AND(MONTH(E2320)='IN-NX'!$J$5,'IN-NX'!$D$7=D2320),"x","")</f>
        <v/>
      </c>
      <c r="AB2320" s="84" t="str">
        <f>IF(AND(OR(LEFT(TH!N2320,2)="15",LEFT(TH!O2320,2)="15"),LEFT(TH!O2320,3)&lt;&gt;"111",'152-CT'!$J$8=TH!F2320),"x","")</f>
        <v/>
      </c>
      <c r="AC2320" s="84" t="str">
        <f>IF(AND(OR(LEFT(TH!N2320,2)="15",LEFT(TH!O2320,2)="15"),TK!$E$7=TH!F2320),"x","")</f>
        <v/>
      </c>
      <c r="AD2320" s="84" t="str">
        <f>IF(AND(N2320="1521",MONTH(C2320)='BK-NL'!$M$11),"x","")</f>
        <v/>
      </c>
    </row>
    <row r="2321" spans="1:30" s="351" customFormat="1" ht="15.75" hidden="1" customHeight="1">
      <c r="A2321" s="336" t="str">
        <f>IF(B2321&lt;&gt;"",IF(AND(B2321='IN-TC'!$S$4,OR(TH!N2321="1111",TH!O2321="1111")),TH!D2321,""),"")</f>
        <v/>
      </c>
      <c r="B2321" s="63" t="str">
        <f t="shared" si="291"/>
        <v/>
      </c>
      <c r="C2321" s="64"/>
      <c r="D2321" s="64"/>
      <c r="E2321" s="64"/>
      <c r="F2321" s="67"/>
      <c r="G2321" s="67"/>
      <c r="H2321" s="73"/>
      <c r="I2321" s="439"/>
      <c r="J2321" s="439"/>
      <c r="K2321" s="430"/>
      <c r="L2321" s="439"/>
      <c r="M2321" s="65"/>
      <c r="N2321" s="66"/>
      <c r="O2321" s="66"/>
      <c r="P2321" s="84" t="str">
        <f>IF(AND('331-CT'!$E$7=TH!H2321,OR(N2321="331",O2321="331")),"x","")</f>
        <v/>
      </c>
      <c r="Q2321" s="84" t="str">
        <f>IF(AND(B2321='111'!$L$11,OR($N2321=$Q$7,$O2321=$Q$7)),"x","")</f>
        <v/>
      </c>
      <c r="R2321" s="84" t="str">
        <f>IF(AND($N2321=$Q$7,$B2321&lt;'111'!$L$11),"x","")</f>
        <v/>
      </c>
      <c r="S2321" s="84" t="str">
        <f>IF(AND($O2321=$Q$7,$B2321&lt;'111'!$L$11),"x","")</f>
        <v/>
      </c>
      <c r="T2321" s="84" t="str">
        <f>IF(ISERROR(FIND('112'!$M$9,G2321,1)),"",IF((AND(FIND('112'!$M$9,G2321,1)&gt;=1,B2321='112'!$K$9,OR($N2321='112'!$I$6,$O2321='112'!$I$6))),"x",""))</f>
        <v/>
      </c>
      <c r="U2321" s="84" t="str">
        <f>IF(ISERROR(FIND('112'!$M$9,G2321,1)),"",IF((AND(LEFT(G2321,2)=LEFT('112'!$M$9,2),B2321&lt;'112'!$K$9,$N2321='112'!$I$6)),"x",""))</f>
        <v/>
      </c>
      <c r="V2321" s="84" t="str">
        <f>IF(ISERROR(FIND('112'!$M$9,G2321,1)),"",IF((AND(RIGHT(G2321,2)=RIGHT('112'!$M$9,2),B2321&lt;'112'!$K$9,$O2321='112'!$I$6)),"x",""))</f>
        <v/>
      </c>
      <c r="W2321" s="84" t="str">
        <f>IF(AND('341-CT'!$H$9=H2321,OR(LEFT(N2321,3)=$W$7,LEFT(O2321,3)=$W$7)),"x","")</f>
        <v/>
      </c>
      <c r="X2321" s="84" t="str">
        <f>IF(OR(TH!N2321=TH!$X$7,O2321=TH!$X$7),"x","")</f>
        <v/>
      </c>
      <c r="Y2321" s="84" t="str">
        <f>IF(AND(OR(N2321="131",O2321="131"),H2321='131-CT'!$H$9),"x","")</f>
        <v/>
      </c>
      <c r="Z2321" s="84"/>
      <c r="AA2321" s="84" t="str">
        <f>IF(AND(MONTH(E2321)='IN-NX'!$J$5,'IN-NX'!$D$7=D2321),"x","")</f>
        <v/>
      </c>
      <c r="AB2321" s="84" t="str">
        <f>IF(AND(OR(LEFT(TH!N2321,2)="15",LEFT(TH!O2321,2)="15"),LEFT(TH!O2321,3)&lt;&gt;"111",'152-CT'!$J$8=TH!F2321),"x","")</f>
        <v/>
      </c>
      <c r="AC2321" s="84" t="str">
        <f>IF(AND(OR(LEFT(TH!N2321,2)="15",LEFT(TH!O2321,2)="15"),TK!$E$7=TH!F2321),"x","")</f>
        <v/>
      </c>
      <c r="AD2321" s="84" t="str">
        <f>IF(AND(N2321="1521",MONTH(C2321)='BK-NL'!$M$11),"x","")</f>
        <v/>
      </c>
    </row>
    <row r="2322" spans="1:30" s="351" customFormat="1" ht="15.75" hidden="1" customHeight="1">
      <c r="A2322" s="336" t="str">
        <f>IF(B2322&lt;&gt;"",IF(AND(B2322='IN-TC'!$S$4,OR(TH!N2322="1111",TH!O2322="1111")),TH!D2322,""),"")</f>
        <v/>
      </c>
      <c r="B2322" s="63" t="str">
        <f t="shared" si="291"/>
        <v/>
      </c>
      <c r="C2322" s="64"/>
      <c r="D2322" s="64"/>
      <c r="E2322" s="64"/>
      <c r="F2322" s="67"/>
      <c r="G2322" s="67"/>
      <c r="H2322" s="73"/>
      <c r="I2322" s="439"/>
      <c r="J2322" s="439"/>
      <c r="K2322" s="430"/>
      <c r="L2322" s="439"/>
      <c r="M2322" s="65"/>
      <c r="N2322" s="66"/>
      <c r="O2322" s="66"/>
      <c r="P2322" s="84" t="str">
        <f>IF(AND('331-CT'!$E$7=TH!H2322,OR(N2322="331",O2322="331")),"x","")</f>
        <v/>
      </c>
      <c r="Q2322" s="84" t="str">
        <f>IF(AND(B2322='111'!$L$11,OR($N2322=$Q$7,$O2322=$Q$7)),"x","")</f>
        <v/>
      </c>
      <c r="R2322" s="84" t="str">
        <f>IF(AND($N2322=$Q$7,$B2322&lt;'111'!$L$11),"x","")</f>
        <v/>
      </c>
      <c r="S2322" s="84" t="str">
        <f>IF(AND($O2322=$Q$7,$B2322&lt;'111'!$L$11),"x","")</f>
        <v/>
      </c>
      <c r="T2322" s="84" t="str">
        <f>IF(ISERROR(FIND('112'!$M$9,G2322,1)),"",IF((AND(FIND('112'!$M$9,G2322,1)&gt;=1,B2322='112'!$K$9,OR($N2322='112'!$I$6,$O2322='112'!$I$6))),"x",""))</f>
        <v/>
      </c>
      <c r="U2322" s="84" t="str">
        <f>IF(ISERROR(FIND('112'!$M$9,G2322,1)),"",IF((AND(LEFT(G2322,2)=LEFT('112'!$M$9,2),B2322&lt;'112'!$K$9,$N2322='112'!$I$6)),"x",""))</f>
        <v/>
      </c>
      <c r="V2322" s="84" t="str">
        <f>IF(ISERROR(FIND('112'!$M$9,G2322,1)),"",IF((AND(RIGHT(G2322,2)=RIGHT('112'!$M$9,2),B2322&lt;'112'!$K$9,$O2322='112'!$I$6)),"x",""))</f>
        <v/>
      </c>
      <c r="W2322" s="84" t="str">
        <f>IF(AND('341-CT'!$H$9=H2322,OR(LEFT(N2322,3)=$W$7,LEFT(O2322,3)=$W$7)),"x","")</f>
        <v/>
      </c>
      <c r="X2322" s="84" t="str">
        <f>IF(OR(TH!N2322=TH!$X$7,O2322=TH!$X$7),"x","")</f>
        <v/>
      </c>
      <c r="Y2322" s="84" t="str">
        <f>IF(AND(OR(N2322="131",O2322="131"),H2322='131-CT'!$H$9),"x","")</f>
        <v/>
      </c>
      <c r="Z2322" s="84"/>
      <c r="AA2322" s="84" t="str">
        <f>IF(AND(MONTH(E2322)='IN-NX'!$J$5,'IN-NX'!$D$7=D2322),"x","")</f>
        <v/>
      </c>
      <c r="AB2322" s="84" t="str">
        <f>IF(AND(OR(LEFT(TH!N2322,2)="15",LEFT(TH!O2322,2)="15"),LEFT(TH!O2322,3)&lt;&gt;"111",'152-CT'!$J$8=TH!F2322),"x","")</f>
        <v/>
      </c>
      <c r="AC2322" s="84" t="str">
        <f>IF(AND(OR(LEFT(TH!N2322,2)="15",LEFT(TH!O2322,2)="15"),TK!$E$7=TH!F2322),"x","")</f>
        <v/>
      </c>
      <c r="AD2322" s="84" t="str">
        <f>IF(AND(N2322="1521",MONTH(C2322)='BK-NL'!$M$11),"x","")</f>
        <v/>
      </c>
    </row>
    <row r="2323" spans="1:30" s="351" customFormat="1" ht="15.75" hidden="1" customHeight="1">
      <c r="A2323" s="336" t="str">
        <f>IF(B2323&lt;&gt;"",IF(AND(B2323='IN-TC'!$S$4,OR(TH!N2323="1111",TH!O2323="1111")),TH!D2323,""),"")</f>
        <v/>
      </c>
      <c r="B2323" s="63" t="str">
        <f t="shared" si="291"/>
        <v/>
      </c>
      <c r="C2323" s="64"/>
      <c r="D2323" s="64"/>
      <c r="E2323" s="64"/>
      <c r="F2323" s="67"/>
      <c r="G2323" s="67"/>
      <c r="H2323" s="73"/>
      <c r="I2323" s="439"/>
      <c r="J2323" s="439"/>
      <c r="K2323" s="430"/>
      <c r="L2323" s="439"/>
      <c r="M2323" s="65"/>
      <c r="N2323" s="66"/>
      <c r="O2323" s="66"/>
      <c r="P2323" s="84" t="str">
        <f>IF(AND('331-CT'!$E$7=TH!H2323,OR(N2323="331",O2323="331")),"x","")</f>
        <v/>
      </c>
      <c r="Q2323" s="84" t="str">
        <f>IF(AND(B2323='111'!$L$11,OR($N2323=$Q$7,$O2323=$Q$7)),"x","")</f>
        <v/>
      </c>
      <c r="R2323" s="84" t="str">
        <f>IF(AND($N2323=$Q$7,$B2323&lt;'111'!$L$11),"x","")</f>
        <v/>
      </c>
      <c r="S2323" s="84" t="str">
        <f>IF(AND($O2323=$Q$7,$B2323&lt;'111'!$L$11),"x","")</f>
        <v/>
      </c>
      <c r="T2323" s="84" t="str">
        <f>IF(ISERROR(FIND('112'!$M$9,G2323,1)),"",IF((AND(FIND('112'!$M$9,G2323,1)&gt;=1,B2323='112'!$K$9,OR($N2323='112'!$I$6,$O2323='112'!$I$6))),"x",""))</f>
        <v/>
      </c>
      <c r="U2323" s="84" t="str">
        <f>IF(ISERROR(FIND('112'!$M$9,G2323,1)),"",IF((AND(LEFT(G2323,2)=LEFT('112'!$M$9,2),B2323&lt;'112'!$K$9,$N2323='112'!$I$6)),"x",""))</f>
        <v/>
      </c>
      <c r="V2323" s="84" t="str">
        <f>IF(ISERROR(FIND('112'!$M$9,G2323,1)),"",IF((AND(RIGHT(G2323,2)=RIGHT('112'!$M$9,2),B2323&lt;'112'!$K$9,$O2323='112'!$I$6)),"x",""))</f>
        <v/>
      </c>
      <c r="W2323" s="84" t="str">
        <f>IF(AND('341-CT'!$H$9=H2323,OR(LEFT(N2323,3)=$W$7,LEFT(O2323,3)=$W$7)),"x","")</f>
        <v/>
      </c>
      <c r="X2323" s="84" t="str">
        <f>IF(OR(TH!N2323=TH!$X$7,O2323=TH!$X$7),"x","")</f>
        <v/>
      </c>
      <c r="Y2323" s="84" t="str">
        <f>IF(AND(OR(N2323="131",O2323="131"),H2323='131-CT'!$H$9),"x","")</f>
        <v/>
      </c>
      <c r="Z2323" s="84"/>
      <c r="AA2323" s="84" t="str">
        <f>IF(AND(MONTH(E2323)='IN-NX'!$J$5,'IN-NX'!$D$7=D2323),"x","")</f>
        <v/>
      </c>
      <c r="AB2323" s="84" t="str">
        <f>IF(AND(OR(LEFT(TH!N2323,2)="15",LEFT(TH!O2323,2)="15"),LEFT(TH!O2323,3)&lt;&gt;"111",'152-CT'!$J$8=TH!F2323),"x","")</f>
        <v/>
      </c>
      <c r="AC2323" s="84" t="str">
        <f>IF(AND(OR(LEFT(TH!N2323,2)="15",LEFT(TH!O2323,2)="15"),TK!$E$7=TH!F2323),"x","")</f>
        <v/>
      </c>
      <c r="AD2323" s="84" t="str">
        <f>IF(AND(N2323="1521",MONTH(C2323)='BK-NL'!$M$11),"x","")</f>
        <v/>
      </c>
    </row>
    <row r="2324" spans="1:30" s="351" customFormat="1" ht="15.75" hidden="1" customHeight="1">
      <c r="A2324" s="336" t="str">
        <f>IF(B2324&lt;&gt;"",IF(AND(B2324='IN-TC'!$S$4,OR(TH!N2324="1111",TH!O2324="1111")),TH!D2324,""),"")</f>
        <v/>
      </c>
      <c r="B2324" s="63" t="str">
        <f t="shared" si="291"/>
        <v/>
      </c>
      <c r="C2324" s="64"/>
      <c r="D2324" s="64"/>
      <c r="E2324" s="64"/>
      <c r="F2324" s="67"/>
      <c r="G2324" s="67"/>
      <c r="H2324" s="73"/>
      <c r="I2324" s="439"/>
      <c r="J2324" s="439"/>
      <c r="K2324" s="430"/>
      <c r="L2324" s="439"/>
      <c r="M2324" s="65"/>
      <c r="N2324" s="66"/>
      <c r="O2324" s="66"/>
      <c r="P2324" s="84" t="str">
        <f>IF(AND('331-CT'!$E$7=TH!H2324,OR(N2324="331",O2324="331")),"x","")</f>
        <v/>
      </c>
      <c r="Q2324" s="84" t="str">
        <f>IF(AND(B2324='111'!$L$11,OR($N2324=$Q$7,$O2324=$Q$7)),"x","")</f>
        <v/>
      </c>
      <c r="R2324" s="84" t="str">
        <f>IF(AND($N2324=$Q$7,$B2324&lt;'111'!$L$11),"x","")</f>
        <v/>
      </c>
      <c r="S2324" s="84" t="str">
        <f>IF(AND($O2324=$Q$7,$B2324&lt;'111'!$L$11),"x","")</f>
        <v/>
      </c>
      <c r="T2324" s="84" t="str">
        <f>IF(ISERROR(FIND('112'!$M$9,G2324,1)),"",IF((AND(FIND('112'!$M$9,G2324,1)&gt;=1,B2324='112'!$K$9,OR($N2324='112'!$I$6,$O2324='112'!$I$6))),"x",""))</f>
        <v/>
      </c>
      <c r="U2324" s="84" t="str">
        <f>IF(ISERROR(FIND('112'!$M$9,G2324,1)),"",IF((AND(LEFT(G2324,2)=LEFT('112'!$M$9,2),B2324&lt;'112'!$K$9,$N2324='112'!$I$6)),"x",""))</f>
        <v/>
      </c>
      <c r="V2324" s="84" t="str">
        <f>IF(ISERROR(FIND('112'!$M$9,G2324,1)),"",IF((AND(RIGHT(G2324,2)=RIGHT('112'!$M$9,2),B2324&lt;'112'!$K$9,$O2324='112'!$I$6)),"x",""))</f>
        <v/>
      </c>
      <c r="W2324" s="84" t="str">
        <f>IF(AND('341-CT'!$H$9=H2324,OR(LEFT(N2324,3)=$W$7,LEFT(O2324,3)=$W$7)),"x","")</f>
        <v/>
      </c>
      <c r="X2324" s="84" t="str">
        <f>IF(OR(TH!N2324=TH!$X$7,O2324=TH!$X$7),"x","")</f>
        <v/>
      </c>
      <c r="Y2324" s="84" t="str">
        <f>IF(AND(OR(N2324="131",O2324="131"),H2324='131-CT'!$H$9),"x","")</f>
        <v/>
      </c>
      <c r="Z2324" s="84"/>
      <c r="AA2324" s="84" t="str">
        <f>IF(AND(MONTH(E2324)='IN-NX'!$J$5,'IN-NX'!$D$7=D2324),"x","")</f>
        <v/>
      </c>
      <c r="AB2324" s="84" t="str">
        <f>IF(AND(OR(LEFT(TH!N2324,2)="15",LEFT(TH!O2324,2)="15"),LEFT(TH!O2324,3)&lt;&gt;"111",'152-CT'!$J$8=TH!F2324),"x","")</f>
        <v/>
      </c>
      <c r="AC2324" s="84" t="str">
        <f>IF(AND(OR(LEFT(TH!N2324,2)="15",LEFT(TH!O2324,2)="15"),TK!$E$7=TH!F2324),"x","")</f>
        <v/>
      </c>
      <c r="AD2324" s="84" t="str">
        <f>IF(AND(N2324="1521",MONTH(C2324)='BK-NL'!$M$11),"x","")</f>
        <v/>
      </c>
    </row>
    <row r="2325" spans="1:30" s="351" customFormat="1" ht="15.75" hidden="1" customHeight="1">
      <c r="A2325" s="336" t="str">
        <f>IF(B2325&lt;&gt;"",IF(AND(B2325='IN-TC'!$S$4,OR(TH!N2325="1111",TH!O2325="1111")),TH!D2325,""),"")</f>
        <v/>
      </c>
      <c r="B2325" s="63" t="str">
        <f t="shared" si="291"/>
        <v/>
      </c>
      <c r="C2325" s="64"/>
      <c r="D2325" s="64"/>
      <c r="E2325" s="64"/>
      <c r="F2325" s="67"/>
      <c r="G2325" s="67"/>
      <c r="H2325" s="73"/>
      <c r="I2325" s="439"/>
      <c r="J2325" s="439"/>
      <c r="K2325" s="430"/>
      <c r="L2325" s="439"/>
      <c r="M2325" s="65"/>
      <c r="N2325" s="66"/>
      <c r="O2325" s="66"/>
      <c r="P2325" s="84" t="str">
        <f>IF(AND('331-CT'!$E$7=TH!H2325,OR(N2325="331",O2325="331")),"x","")</f>
        <v/>
      </c>
      <c r="Q2325" s="84" t="str">
        <f>IF(AND(B2325='111'!$L$11,OR($N2325=$Q$7,$O2325=$Q$7)),"x","")</f>
        <v/>
      </c>
      <c r="R2325" s="84" t="str">
        <f>IF(AND($N2325=$Q$7,$B2325&lt;'111'!$L$11),"x","")</f>
        <v/>
      </c>
      <c r="S2325" s="84" t="str">
        <f>IF(AND($O2325=$Q$7,$B2325&lt;'111'!$L$11),"x","")</f>
        <v/>
      </c>
      <c r="T2325" s="84" t="str">
        <f>IF(ISERROR(FIND('112'!$M$9,G2325,1)),"",IF((AND(FIND('112'!$M$9,G2325,1)&gt;=1,B2325='112'!$K$9,OR($N2325='112'!$I$6,$O2325='112'!$I$6))),"x",""))</f>
        <v/>
      </c>
      <c r="U2325" s="84" t="str">
        <f>IF(ISERROR(FIND('112'!$M$9,G2325,1)),"",IF((AND(LEFT(G2325,2)=LEFT('112'!$M$9,2),B2325&lt;'112'!$K$9,$N2325='112'!$I$6)),"x",""))</f>
        <v/>
      </c>
      <c r="V2325" s="84" t="str">
        <f>IF(ISERROR(FIND('112'!$M$9,G2325,1)),"",IF((AND(RIGHT(G2325,2)=RIGHT('112'!$M$9,2),B2325&lt;'112'!$K$9,$O2325='112'!$I$6)),"x",""))</f>
        <v/>
      </c>
      <c r="W2325" s="84" t="str">
        <f>IF(AND('341-CT'!$H$9=H2325,OR(LEFT(N2325,3)=$W$7,LEFT(O2325,3)=$W$7)),"x","")</f>
        <v/>
      </c>
      <c r="X2325" s="84" t="str">
        <f>IF(OR(TH!N2325=TH!$X$7,O2325=TH!$X$7),"x","")</f>
        <v/>
      </c>
      <c r="Y2325" s="84" t="str">
        <f>IF(AND(OR(N2325="131",O2325="131"),H2325='131-CT'!$H$9),"x","")</f>
        <v/>
      </c>
      <c r="Z2325" s="84"/>
      <c r="AA2325" s="84" t="str">
        <f>IF(AND(MONTH(E2325)='IN-NX'!$J$5,'IN-NX'!$D$7=D2325),"x","")</f>
        <v/>
      </c>
      <c r="AB2325" s="84" t="str">
        <f>IF(AND(OR(LEFT(TH!N2325,2)="15",LEFT(TH!O2325,2)="15"),LEFT(TH!O2325,3)&lt;&gt;"111",'152-CT'!$J$8=TH!F2325),"x","")</f>
        <v/>
      </c>
      <c r="AC2325" s="84" t="str">
        <f>IF(AND(OR(LEFT(TH!N2325,2)="15",LEFT(TH!O2325,2)="15"),TK!$E$7=TH!F2325),"x","")</f>
        <v/>
      </c>
      <c r="AD2325" s="84" t="str">
        <f>IF(AND(N2325="1521",MONTH(C2325)='BK-NL'!$M$11),"x","")</f>
        <v/>
      </c>
    </row>
    <row r="2326" spans="1:30" s="351" customFormat="1" ht="15.75" hidden="1" customHeight="1">
      <c r="A2326" s="336" t="str">
        <f>IF(B2326&lt;&gt;"",IF(AND(B2326='IN-TC'!$S$4,OR(TH!N2326="1111",TH!O2326="1111")),TH!D2326,""),"")</f>
        <v/>
      </c>
      <c r="B2326" s="63" t="str">
        <f t="shared" si="291"/>
        <v/>
      </c>
      <c r="C2326" s="64"/>
      <c r="D2326" s="64"/>
      <c r="E2326" s="64"/>
      <c r="F2326" s="67"/>
      <c r="G2326" s="67"/>
      <c r="H2326" s="73"/>
      <c r="I2326" s="439"/>
      <c r="J2326" s="439"/>
      <c r="K2326" s="430"/>
      <c r="L2326" s="439"/>
      <c r="M2326" s="65"/>
      <c r="N2326" s="66"/>
      <c r="O2326" s="66"/>
      <c r="P2326" s="84" t="str">
        <f>IF(AND('331-CT'!$E$7=TH!H2326,OR(N2326="331",O2326="331")),"x","")</f>
        <v/>
      </c>
      <c r="Q2326" s="84" t="str">
        <f>IF(AND(B2326='111'!$L$11,OR($N2326=$Q$7,$O2326=$Q$7)),"x","")</f>
        <v/>
      </c>
      <c r="R2326" s="84" t="str">
        <f>IF(AND($N2326=$Q$7,$B2326&lt;'111'!$L$11),"x","")</f>
        <v/>
      </c>
      <c r="S2326" s="84" t="str">
        <f>IF(AND($O2326=$Q$7,$B2326&lt;'111'!$L$11),"x","")</f>
        <v/>
      </c>
      <c r="T2326" s="84" t="str">
        <f>IF(ISERROR(FIND('112'!$M$9,G2326,1)),"",IF((AND(FIND('112'!$M$9,G2326,1)&gt;=1,B2326='112'!$K$9,OR($N2326='112'!$I$6,$O2326='112'!$I$6))),"x",""))</f>
        <v/>
      </c>
      <c r="U2326" s="84" t="str">
        <f>IF(ISERROR(FIND('112'!$M$9,G2326,1)),"",IF((AND(LEFT(G2326,2)=LEFT('112'!$M$9,2),B2326&lt;'112'!$K$9,$N2326='112'!$I$6)),"x",""))</f>
        <v/>
      </c>
      <c r="V2326" s="84" t="str">
        <f>IF(ISERROR(FIND('112'!$M$9,G2326,1)),"",IF((AND(RIGHT(G2326,2)=RIGHT('112'!$M$9,2),B2326&lt;'112'!$K$9,$O2326='112'!$I$6)),"x",""))</f>
        <v/>
      </c>
      <c r="W2326" s="84" t="str">
        <f>IF(AND('341-CT'!$H$9=H2326,OR(LEFT(N2326,3)=$W$7,LEFT(O2326,3)=$W$7)),"x","")</f>
        <v/>
      </c>
      <c r="X2326" s="84" t="str">
        <f>IF(OR(TH!N2326=TH!$X$7,O2326=TH!$X$7),"x","")</f>
        <v/>
      </c>
      <c r="Y2326" s="84" t="str">
        <f>IF(AND(OR(N2326="131",O2326="131"),H2326='131-CT'!$H$9),"x","")</f>
        <v/>
      </c>
      <c r="Z2326" s="84"/>
      <c r="AA2326" s="84" t="str">
        <f>IF(AND(MONTH(E2326)='IN-NX'!$J$5,'IN-NX'!$D$7=D2326),"x","")</f>
        <v/>
      </c>
      <c r="AB2326" s="84" t="str">
        <f>IF(AND(OR(LEFT(TH!N2326,2)="15",LEFT(TH!O2326,2)="15"),LEFT(TH!O2326,3)&lt;&gt;"111",'152-CT'!$J$8=TH!F2326),"x","")</f>
        <v/>
      </c>
      <c r="AC2326" s="84" t="str">
        <f>IF(AND(OR(LEFT(TH!N2326,2)="15",LEFT(TH!O2326,2)="15"),TK!$E$7=TH!F2326),"x","")</f>
        <v/>
      </c>
      <c r="AD2326" s="84" t="str">
        <f>IF(AND(N2326="1521",MONTH(C2326)='BK-NL'!$M$11),"x","")</f>
        <v/>
      </c>
    </row>
    <row r="2327" spans="1:30" s="351" customFormat="1" ht="15.75" hidden="1" customHeight="1">
      <c r="A2327" s="336" t="str">
        <f>IF(B2327&lt;&gt;"",IF(AND(B2327='IN-TC'!$S$4,OR(TH!N2327="1111",TH!O2327="1111")),TH!D2327,""),"")</f>
        <v/>
      </c>
      <c r="B2327" s="63" t="str">
        <f t="shared" si="291"/>
        <v/>
      </c>
      <c r="C2327" s="64"/>
      <c r="D2327" s="64"/>
      <c r="E2327" s="64"/>
      <c r="F2327" s="67"/>
      <c r="G2327" s="67"/>
      <c r="H2327" s="73"/>
      <c r="I2327" s="439"/>
      <c r="J2327" s="439"/>
      <c r="K2327" s="430"/>
      <c r="L2327" s="439"/>
      <c r="M2327" s="65"/>
      <c r="N2327" s="66"/>
      <c r="O2327" s="66"/>
      <c r="P2327" s="84" t="str">
        <f>IF(AND('331-CT'!$E$7=TH!H2327,OR(N2327="331",O2327="331")),"x","")</f>
        <v/>
      </c>
      <c r="Q2327" s="84" t="str">
        <f>IF(AND(B2327='111'!$L$11,OR($N2327=$Q$7,$O2327=$Q$7)),"x","")</f>
        <v/>
      </c>
      <c r="R2327" s="84" t="str">
        <f>IF(AND($N2327=$Q$7,$B2327&lt;'111'!$L$11),"x","")</f>
        <v/>
      </c>
      <c r="S2327" s="84" t="str">
        <f>IF(AND($O2327=$Q$7,$B2327&lt;'111'!$L$11),"x","")</f>
        <v/>
      </c>
      <c r="T2327" s="84" t="str">
        <f>IF(ISERROR(FIND('112'!$M$9,G2327,1)),"",IF((AND(FIND('112'!$M$9,G2327,1)&gt;=1,B2327='112'!$K$9,OR($N2327='112'!$I$6,$O2327='112'!$I$6))),"x",""))</f>
        <v/>
      </c>
      <c r="U2327" s="84" t="str">
        <f>IF(ISERROR(FIND('112'!$M$9,G2327,1)),"",IF((AND(LEFT(G2327,2)=LEFT('112'!$M$9,2),B2327&lt;'112'!$K$9,$N2327='112'!$I$6)),"x",""))</f>
        <v/>
      </c>
      <c r="V2327" s="84" t="str">
        <f>IF(ISERROR(FIND('112'!$M$9,G2327,1)),"",IF((AND(RIGHT(G2327,2)=RIGHT('112'!$M$9,2),B2327&lt;'112'!$K$9,$O2327='112'!$I$6)),"x",""))</f>
        <v/>
      </c>
      <c r="W2327" s="84" t="str">
        <f>IF(AND('341-CT'!$H$9=H2327,OR(LEFT(N2327,3)=$W$7,LEFT(O2327,3)=$W$7)),"x","")</f>
        <v/>
      </c>
      <c r="X2327" s="84" t="str">
        <f>IF(OR(TH!N2327=TH!$X$7,O2327=TH!$X$7),"x","")</f>
        <v/>
      </c>
      <c r="Y2327" s="84" t="str">
        <f>IF(AND(OR(N2327="131",O2327="131"),H2327='131-CT'!$H$9),"x","")</f>
        <v/>
      </c>
      <c r="Z2327" s="84"/>
      <c r="AA2327" s="84" t="str">
        <f>IF(AND(MONTH(E2327)='IN-NX'!$J$5,'IN-NX'!$D$7=D2327),"x","")</f>
        <v/>
      </c>
      <c r="AB2327" s="84" t="str">
        <f>IF(AND(OR(LEFT(TH!N2327,2)="15",LEFT(TH!O2327,2)="15"),LEFT(TH!O2327,3)&lt;&gt;"111",'152-CT'!$J$8=TH!F2327),"x","")</f>
        <v/>
      </c>
      <c r="AC2327" s="84" t="str">
        <f>IF(AND(OR(LEFT(TH!N2327,2)="15",LEFT(TH!O2327,2)="15"),TK!$E$7=TH!F2327),"x","")</f>
        <v/>
      </c>
      <c r="AD2327" s="84" t="str">
        <f>IF(AND(N2327="1521",MONTH(C2327)='BK-NL'!$M$11),"x","")</f>
        <v/>
      </c>
    </row>
    <row r="2328" spans="1:30" s="351" customFormat="1" ht="15.75" hidden="1" customHeight="1">
      <c r="A2328" s="336" t="str">
        <f>IF(B2328&lt;&gt;"",IF(AND(B2328='IN-TC'!$S$4,OR(TH!N2328="1111",TH!O2328="1111")),TH!D2328,""),"")</f>
        <v/>
      </c>
      <c r="B2328" s="63" t="str">
        <f t="shared" si="291"/>
        <v/>
      </c>
      <c r="C2328" s="64"/>
      <c r="D2328" s="64"/>
      <c r="E2328" s="64"/>
      <c r="F2328" s="67"/>
      <c r="G2328" s="67"/>
      <c r="H2328" s="73"/>
      <c r="I2328" s="439"/>
      <c r="J2328" s="439"/>
      <c r="K2328" s="430"/>
      <c r="L2328" s="439"/>
      <c r="M2328" s="65"/>
      <c r="N2328" s="66"/>
      <c r="O2328" s="66"/>
      <c r="P2328" s="84" t="str">
        <f>IF(AND('331-CT'!$E$7=TH!H2328,OR(N2328="331",O2328="331")),"x","")</f>
        <v/>
      </c>
      <c r="Q2328" s="84" t="str">
        <f>IF(AND(B2328='111'!$L$11,OR($N2328=$Q$7,$O2328=$Q$7)),"x","")</f>
        <v/>
      </c>
      <c r="R2328" s="84" t="str">
        <f>IF(AND($N2328=$Q$7,$B2328&lt;'111'!$L$11),"x","")</f>
        <v/>
      </c>
      <c r="S2328" s="84" t="str">
        <f>IF(AND($O2328=$Q$7,$B2328&lt;'111'!$L$11),"x","")</f>
        <v/>
      </c>
      <c r="T2328" s="84" t="str">
        <f>IF(ISERROR(FIND('112'!$M$9,G2328,1)),"",IF((AND(FIND('112'!$M$9,G2328,1)&gt;=1,B2328='112'!$K$9,OR($N2328='112'!$I$6,$O2328='112'!$I$6))),"x",""))</f>
        <v/>
      </c>
      <c r="U2328" s="84" t="str">
        <f>IF(ISERROR(FIND('112'!$M$9,G2328,1)),"",IF((AND(LEFT(G2328,2)=LEFT('112'!$M$9,2),B2328&lt;'112'!$K$9,$N2328='112'!$I$6)),"x",""))</f>
        <v/>
      </c>
      <c r="V2328" s="84" t="str">
        <f>IF(ISERROR(FIND('112'!$M$9,G2328,1)),"",IF((AND(RIGHT(G2328,2)=RIGHT('112'!$M$9,2),B2328&lt;'112'!$K$9,$O2328='112'!$I$6)),"x",""))</f>
        <v/>
      </c>
      <c r="W2328" s="84" t="str">
        <f>IF(AND('341-CT'!$H$9=H2328,OR(LEFT(N2328,3)=$W$7,LEFT(O2328,3)=$W$7)),"x","")</f>
        <v/>
      </c>
      <c r="X2328" s="84" t="str">
        <f>IF(OR(TH!N2328=TH!$X$7,O2328=TH!$X$7),"x","")</f>
        <v/>
      </c>
      <c r="Y2328" s="84" t="str">
        <f>IF(AND(OR(N2328="131",O2328="131"),H2328='131-CT'!$H$9),"x","")</f>
        <v/>
      </c>
      <c r="Z2328" s="84"/>
      <c r="AA2328" s="84" t="str">
        <f>IF(AND(MONTH(E2328)='IN-NX'!$J$5,'IN-NX'!$D$7=D2328),"x","")</f>
        <v/>
      </c>
      <c r="AB2328" s="84" t="str">
        <f>IF(AND(OR(LEFT(TH!N2328,2)="15",LEFT(TH!O2328,2)="15"),LEFT(TH!O2328,3)&lt;&gt;"111",'152-CT'!$J$8=TH!F2328),"x","")</f>
        <v/>
      </c>
      <c r="AC2328" s="84" t="str">
        <f>IF(AND(OR(LEFT(TH!N2328,2)="15",LEFT(TH!O2328,2)="15"),TK!$E$7=TH!F2328),"x","")</f>
        <v/>
      </c>
      <c r="AD2328" s="84" t="str">
        <f>IF(AND(N2328="1521",MONTH(C2328)='BK-NL'!$M$11),"x","")</f>
        <v/>
      </c>
    </row>
    <row r="2329" spans="1:30" s="351" customFormat="1" ht="15.75" hidden="1" customHeight="1">
      <c r="A2329" s="336" t="str">
        <f>IF(B2329&lt;&gt;"",IF(AND(B2329='IN-TC'!$S$4,OR(TH!N2329="1111",TH!O2329="1111")),TH!D2329,""),"")</f>
        <v/>
      </c>
      <c r="B2329" s="63" t="str">
        <f t="shared" si="291"/>
        <v/>
      </c>
      <c r="C2329" s="64"/>
      <c r="D2329" s="64"/>
      <c r="E2329" s="64"/>
      <c r="F2329" s="67"/>
      <c r="G2329" s="67"/>
      <c r="H2329" s="73"/>
      <c r="I2329" s="439"/>
      <c r="J2329" s="439"/>
      <c r="K2329" s="430"/>
      <c r="L2329" s="439"/>
      <c r="M2329" s="65"/>
      <c r="N2329" s="66"/>
      <c r="O2329" s="66"/>
      <c r="P2329" s="84" t="str">
        <f>IF(AND('331-CT'!$E$7=TH!H2329,OR(N2329="331",O2329="331")),"x","")</f>
        <v/>
      </c>
      <c r="Q2329" s="84" t="str">
        <f>IF(AND(B2329='111'!$L$11,OR($N2329=$Q$7,$O2329=$Q$7)),"x","")</f>
        <v/>
      </c>
      <c r="R2329" s="84" t="str">
        <f>IF(AND($N2329=$Q$7,$B2329&lt;'111'!$L$11),"x","")</f>
        <v/>
      </c>
      <c r="S2329" s="84" t="str">
        <f>IF(AND($O2329=$Q$7,$B2329&lt;'111'!$L$11),"x","")</f>
        <v/>
      </c>
      <c r="T2329" s="84" t="str">
        <f>IF(ISERROR(FIND('112'!$M$9,G2329,1)),"",IF((AND(FIND('112'!$M$9,G2329,1)&gt;=1,B2329='112'!$K$9,OR($N2329='112'!$I$6,$O2329='112'!$I$6))),"x",""))</f>
        <v/>
      </c>
      <c r="U2329" s="84" t="str">
        <f>IF(ISERROR(FIND('112'!$M$9,G2329,1)),"",IF((AND(LEFT(G2329,2)=LEFT('112'!$M$9,2),B2329&lt;'112'!$K$9,$N2329='112'!$I$6)),"x",""))</f>
        <v/>
      </c>
      <c r="V2329" s="84" t="str">
        <f>IF(ISERROR(FIND('112'!$M$9,G2329,1)),"",IF((AND(RIGHT(G2329,2)=RIGHT('112'!$M$9,2),B2329&lt;'112'!$K$9,$O2329='112'!$I$6)),"x",""))</f>
        <v/>
      </c>
      <c r="W2329" s="84" t="str">
        <f>IF(AND('341-CT'!$H$9=H2329,OR(LEFT(N2329,3)=$W$7,LEFT(O2329,3)=$W$7)),"x","")</f>
        <v/>
      </c>
      <c r="X2329" s="84" t="str">
        <f>IF(OR(TH!N2329=TH!$X$7,O2329=TH!$X$7),"x","")</f>
        <v/>
      </c>
      <c r="Y2329" s="84" t="str">
        <f>IF(AND(OR(N2329="131",O2329="131"),H2329='131-CT'!$H$9),"x","")</f>
        <v/>
      </c>
      <c r="Z2329" s="84"/>
      <c r="AA2329" s="84" t="str">
        <f>IF(AND(MONTH(E2329)='IN-NX'!$J$5,'IN-NX'!$D$7=D2329),"x","")</f>
        <v/>
      </c>
      <c r="AB2329" s="84" t="str">
        <f>IF(AND(OR(LEFT(TH!N2329,2)="15",LEFT(TH!O2329,2)="15"),LEFT(TH!O2329,3)&lt;&gt;"111",'152-CT'!$J$8=TH!F2329),"x","")</f>
        <v/>
      </c>
      <c r="AC2329" s="84" t="str">
        <f>IF(AND(OR(LEFT(TH!N2329,2)="15",LEFT(TH!O2329,2)="15"),TK!$E$7=TH!F2329),"x","")</f>
        <v/>
      </c>
      <c r="AD2329" s="84" t="str">
        <f>IF(AND(N2329="1521",MONTH(C2329)='BK-NL'!$M$11),"x","")</f>
        <v/>
      </c>
    </row>
    <row r="2330" spans="1:30" s="351" customFormat="1" ht="15.75" hidden="1" customHeight="1">
      <c r="A2330" s="336" t="str">
        <f>IF(B2330&lt;&gt;"",IF(AND(B2330='IN-TC'!$S$4,OR(TH!N2330="1111",TH!O2330="1111")),TH!D2330,""),"")</f>
        <v/>
      </c>
      <c r="B2330" s="63" t="str">
        <f t="shared" si="291"/>
        <v/>
      </c>
      <c r="C2330" s="64"/>
      <c r="D2330" s="64"/>
      <c r="E2330" s="64"/>
      <c r="F2330" s="67"/>
      <c r="G2330" s="67"/>
      <c r="H2330" s="73"/>
      <c r="I2330" s="439"/>
      <c r="J2330" s="439"/>
      <c r="K2330" s="430"/>
      <c r="L2330" s="439"/>
      <c r="M2330" s="65"/>
      <c r="N2330" s="66"/>
      <c r="O2330" s="66"/>
      <c r="P2330" s="84" t="str">
        <f>IF(AND('331-CT'!$E$7=TH!H2330,OR(N2330="331",O2330="331")),"x","")</f>
        <v/>
      </c>
      <c r="Q2330" s="84" t="str">
        <f>IF(AND(B2330='111'!$L$11,OR($N2330=$Q$7,$O2330=$Q$7)),"x","")</f>
        <v/>
      </c>
      <c r="R2330" s="84" t="str">
        <f>IF(AND($N2330=$Q$7,$B2330&lt;'111'!$L$11),"x","")</f>
        <v/>
      </c>
      <c r="S2330" s="84" t="str">
        <f>IF(AND($O2330=$Q$7,$B2330&lt;'111'!$L$11),"x","")</f>
        <v/>
      </c>
      <c r="T2330" s="84" t="str">
        <f>IF(ISERROR(FIND('112'!$M$9,G2330,1)),"",IF((AND(FIND('112'!$M$9,G2330,1)&gt;=1,B2330='112'!$K$9,OR($N2330='112'!$I$6,$O2330='112'!$I$6))),"x",""))</f>
        <v/>
      </c>
      <c r="U2330" s="84" t="str">
        <f>IF(ISERROR(FIND('112'!$M$9,G2330,1)),"",IF((AND(LEFT(G2330,2)=LEFT('112'!$M$9,2),B2330&lt;'112'!$K$9,$N2330='112'!$I$6)),"x",""))</f>
        <v/>
      </c>
      <c r="V2330" s="84" t="str">
        <f>IF(ISERROR(FIND('112'!$M$9,G2330,1)),"",IF((AND(RIGHT(G2330,2)=RIGHT('112'!$M$9,2),B2330&lt;'112'!$K$9,$O2330='112'!$I$6)),"x",""))</f>
        <v/>
      </c>
      <c r="W2330" s="84" t="str">
        <f>IF(AND('341-CT'!$H$9=H2330,OR(LEFT(N2330,3)=$W$7,LEFT(O2330,3)=$W$7)),"x","")</f>
        <v/>
      </c>
      <c r="X2330" s="84" t="str">
        <f>IF(OR(TH!N2330=TH!$X$7,O2330=TH!$X$7),"x","")</f>
        <v/>
      </c>
      <c r="Y2330" s="84" t="str">
        <f>IF(AND(OR(N2330="131",O2330="131"),H2330='131-CT'!$H$9),"x","")</f>
        <v/>
      </c>
      <c r="Z2330" s="84"/>
      <c r="AA2330" s="84" t="str">
        <f>IF(AND(MONTH(E2330)='IN-NX'!$J$5,'IN-NX'!$D$7=D2330),"x","")</f>
        <v/>
      </c>
      <c r="AB2330" s="84" t="str">
        <f>IF(AND(OR(LEFT(TH!N2330,2)="15",LEFT(TH!O2330,2)="15"),LEFT(TH!O2330,3)&lt;&gt;"111",'152-CT'!$J$8=TH!F2330),"x","")</f>
        <v/>
      </c>
      <c r="AC2330" s="84" t="str">
        <f>IF(AND(OR(LEFT(TH!N2330,2)="15",LEFT(TH!O2330,2)="15"),TK!$E$7=TH!F2330),"x","")</f>
        <v/>
      </c>
      <c r="AD2330" s="84" t="str">
        <f>IF(AND(N2330="1521",MONTH(C2330)='BK-NL'!$M$11),"x","")</f>
        <v/>
      </c>
    </row>
    <row r="2331" spans="1:30" s="351" customFormat="1" ht="15.75" hidden="1" customHeight="1">
      <c r="A2331" s="336" t="str">
        <f>IF(B2331&lt;&gt;"",IF(AND(B2331='IN-TC'!$S$4,OR(TH!N2331="1111",TH!O2331="1111")),TH!D2331,""),"")</f>
        <v/>
      </c>
      <c r="B2331" s="63" t="str">
        <f t="shared" si="291"/>
        <v/>
      </c>
      <c r="C2331" s="64"/>
      <c r="D2331" s="64"/>
      <c r="E2331" s="64"/>
      <c r="F2331" s="67"/>
      <c r="G2331" s="67"/>
      <c r="H2331" s="73"/>
      <c r="I2331" s="439"/>
      <c r="J2331" s="439"/>
      <c r="K2331" s="430"/>
      <c r="L2331" s="439"/>
      <c r="M2331" s="65"/>
      <c r="N2331" s="66"/>
      <c r="O2331" s="66"/>
      <c r="P2331" s="84" t="str">
        <f>IF(AND('331-CT'!$E$7=TH!H2331,OR(N2331="331",O2331="331")),"x","")</f>
        <v/>
      </c>
      <c r="Q2331" s="84" t="str">
        <f>IF(AND(B2331='111'!$L$11,OR($N2331=$Q$7,$O2331=$Q$7)),"x","")</f>
        <v/>
      </c>
      <c r="R2331" s="84" t="str">
        <f>IF(AND($N2331=$Q$7,$B2331&lt;'111'!$L$11),"x","")</f>
        <v/>
      </c>
      <c r="S2331" s="84" t="str">
        <f>IF(AND($O2331=$Q$7,$B2331&lt;'111'!$L$11),"x","")</f>
        <v/>
      </c>
      <c r="T2331" s="84" t="str">
        <f>IF(ISERROR(FIND('112'!$M$9,G2331,1)),"",IF((AND(FIND('112'!$M$9,G2331,1)&gt;=1,B2331='112'!$K$9,OR($N2331='112'!$I$6,$O2331='112'!$I$6))),"x",""))</f>
        <v/>
      </c>
      <c r="U2331" s="84" t="str">
        <f>IF(ISERROR(FIND('112'!$M$9,G2331,1)),"",IF((AND(LEFT(G2331,2)=LEFT('112'!$M$9,2),B2331&lt;'112'!$K$9,$N2331='112'!$I$6)),"x",""))</f>
        <v/>
      </c>
      <c r="V2331" s="84" t="str">
        <f>IF(ISERROR(FIND('112'!$M$9,G2331,1)),"",IF((AND(RIGHT(G2331,2)=RIGHT('112'!$M$9,2),B2331&lt;'112'!$K$9,$O2331='112'!$I$6)),"x",""))</f>
        <v/>
      </c>
      <c r="W2331" s="84" t="str">
        <f>IF(AND('341-CT'!$H$9=H2331,OR(LEFT(N2331,3)=$W$7,LEFT(O2331,3)=$W$7)),"x","")</f>
        <v/>
      </c>
      <c r="X2331" s="84" t="str">
        <f>IF(OR(TH!N2331=TH!$X$7,O2331=TH!$X$7),"x","")</f>
        <v/>
      </c>
      <c r="Y2331" s="84" t="str">
        <f>IF(AND(OR(N2331="131",O2331="131"),H2331='131-CT'!$H$9),"x","")</f>
        <v/>
      </c>
      <c r="Z2331" s="84"/>
      <c r="AA2331" s="84" t="str">
        <f>IF(AND(MONTH(E2331)='IN-NX'!$J$5,'IN-NX'!$D$7=D2331),"x","")</f>
        <v/>
      </c>
      <c r="AB2331" s="84" t="str">
        <f>IF(AND(OR(LEFT(TH!N2331,2)="15",LEFT(TH!O2331,2)="15"),LEFT(TH!O2331,3)&lt;&gt;"111",'152-CT'!$J$8=TH!F2331),"x","")</f>
        <v/>
      </c>
      <c r="AC2331" s="84" t="str">
        <f>IF(AND(OR(LEFT(TH!N2331,2)="15",LEFT(TH!O2331,2)="15"),TK!$E$7=TH!F2331),"x","")</f>
        <v/>
      </c>
      <c r="AD2331" s="84" t="str">
        <f>IF(AND(N2331="1521",MONTH(C2331)='BK-NL'!$M$11),"x","")</f>
        <v/>
      </c>
    </row>
    <row r="2332" spans="1:30" s="351" customFormat="1" ht="15.75" hidden="1" customHeight="1">
      <c r="A2332" s="336" t="str">
        <f>IF(B2332&lt;&gt;"",IF(AND(B2332='IN-TC'!$S$4,OR(TH!N2332="1111",TH!O2332="1111")),TH!D2332,""),"")</f>
        <v/>
      </c>
      <c r="B2332" s="63" t="str">
        <f t="shared" si="291"/>
        <v/>
      </c>
      <c r="C2332" s="64"/>
      <c r="D2332" s="64"/>
      <c r="E2332" s="64"/>
      <c r="F2332" s="67"/>
      <c r="G2332" s="67"/>
      <c r="H2332" s="73"/>
      <c r="I2332" s="439"/>
      <c r="J2332" s="439"/>
      <c r="K2332" s="430"/>
      <c r="L2332" s="439"/>
      <c r="M2332" s="65"/>
      <c r="N2332" s="66"/>
      <c r="O2332" s="66"/>
      <c r="P2332" s="84" t="str">
        <f>IF(AND('331-CT'!$E$7=TH!H2332,OR(N2332="331",O2332="331")),"x","")</f>
        <v/>
      </c>
      <c r="Q2332" s="84" t="str">
        <f>IF(AND(B2332='111'!$L$11,OR($N2332=$Q$7,$O2332=$Q$7)),"x","")</f>
        <v/>
      </c>
      <c r="R2332" s="84" t="str">
        <f>IF(AND($N2332=$Q$7,$B2332&lt;'111'!$L$11),"x","")</f>
        <v/>
      </c>
      <c r="S2332" s="84" t="str">
        <f>IF(AND($O2332=$Q$7,$B2332&lt;'111'!$L$11),"x","")</f>
        <v/>
      </c>
      <c r="T2332" s="84" t="str">
        <f>IF(ISERROR(FIND('112'!$M$9,G2332,1)),"",IF((AND(FIND('112'!$M$9,G2332,1)&gt;=1,B2332='112'!$K$9,OR($N2332='112'!$I$6,$O2332='112'!$I$6))),"x",""))</f>
        <v/>
      </c>
      <c r="U2332" s="84" t="str">
        <f>IF(ISERROR(FIND('112'!$M$9,G2332,1)),"",IF((AND(LEFT(G2332,2)=LEFT('112'!$M$9,2),B2332&lt;'112'!$K$9,$N2332='112'!$I$6)),"x",""))</f>
        <v/>
      </c>
      <c r="V2332" s="84" t="str">
        <f>IF(ISERROR(FIND('112'!$M$9,G2332,1)),"",IF((AND(RIGHT(G2332,2)=RIGHT('112'!$M$9,2),B2332&lt;'112'!$K$9,$O2332='112'!$I$6)),"x",""))</f>
        <v/>
      </c>
      <c r="W2332" s="84" t="str">
        <f>IF(AND('341-CT'!$H$9=H2332,OR(LEFT(N2332,3)=$W$7,LEFT(O2332,3)=$W$7)),"x","")</f>
        <v/>
      </c>
      <c r="X2332" s="84" t="str">
        <f>IF(OR(TH!N2332=TH!$X$7,O2332=TH!$X$7),"x","")</f>
        <v/>
      </c>
      <c r="Y2332" s="84" t="str">
        <f>IF(AND(OR(N2332="131",O2332="131"),H2332='131-CT'!$H$9),"x","")</f>
        <v/>
      </c>
      <c r="Z2332" s="84"/>
      <c r="AA2332" s="84" t="str">
        <f>IF(AND(MONTH(E2332)='IN-NX'!$J$5,'IN-NX'!$D$7=D2332),"x","")</f>
        <v/>
      </c>
      <c r="AB2332" s="84" t="str">
        <f>IF(AND(OR(LEFT(TH!N2332,2)="15",LEFT(TH!O2332,2)="15"),LEFT(TH!O2332,3)&lt;&gt;"111",'152-CT'!$J$8=TH!F2332),"x","")</f>
        <v/>
      </c>
      <c r="AC2332" s="84" t="str">
        <f>IF(AND(OR(LEFT(TH!N2332,2)="15",LEFT(TH!O2332,2)="15"),TK!$E$7=TH!F2332),"x","")</f>
        <v/>
      </c>
      <c r="AD2332" s="84" t="str">
        <f>IF(AND(N2332="1521",MONTH(C2332)='BK-NL'!$M$11),"x","")</f>
        <v/>
      </c>
    </row>
    <row r="2333" spans="1:30" s="351" customFormat="1" ht="15.75" hidden="1" customHeight="1">
      <c r="A2333" s="336" t="str">
        <f>IF(B2333&lt;&gt;"",IF(AND(B2333='IN-TC'!$S$4,OR(TH!N2333="1111",TH!O2333="1111")),TH!D2333,""),"")</f>
        <v/>
      </c>
      <c r="B2333" s="63" t="str">
        <f t="shared" si="291"/>
        <v/>
      </c>
      <c r="C2333" s="64"/>
      <c r="D2333" s="64"/>
      <c r="E2333" s="64"/>
      <c r="F2333" s="67"/>
      <c r="G2333" s="67"/>
      <c r="H2333" s="73"/>
      <c r="I2333" s="439"/>
      <c r="J2333" s="439"/>
      <c r="K2333" s="430"/>
      <c r="L2333" s="439"/>
      <c r="M2333" s="65"/>
      <c r="N2333" s="66"/>
      <c r="O2333" s="66"/>
      <c r="P2333" s="84" t="str">
        <f>IF(AND('331-CT'!$E$7=TH!H2333,OR(N2333="331",O2333="331")),"x","")</f>
        <v/>
      </c>
      <c r="Q2333" s="84" t="str">
        <f>IF(AND(B2333='111'!$L$11,OR($N2333=$Q$7,$O2333=$Q$7)),"x","")</f>
        <v/>
      </c>
      <c r="R2333" s="84" t="str">
        <f>IF(AND($N2333=$Q$7,$B2333&lt;'111'!$L$11),"x","")</f>
        <v/>
      </c>
      <c r="S2333" s="84" t="str">
        <f>IF(AND($O2333=$Q$7,$B2333&lt;'111'!$L$11),"x","")</f>
        <v/>
      </c>
      <c r="T2333" s="84" t="str">
        <f>IF(ISERROR(FIND('112'!$M$9,G2333,1)),"",IF((AND(FIND('112'!$M$9,G2333,1)&gt;=1,B2333='112'!$K$9,OR($N2333='112'!$I$6,$O2333='112'!$I$6))),"x",""))</f>
        <v/>
      </c>
      <c r="U2333" s="84" t="str">
        <f>IF(ISERROR(FIND('112'!$M$9,G2333,1)),"",IF((AND(LEFT(G2333,2)=LEFT('112'!$M$9,2),B2333&lt;'112'!$K$9,$N2333='112'!$I$6)),"x",""))</f>
        <v/>
      </c>
      <c r="V2333" s="84" t="str">
        <f>IF(ISERROR(FIND('112'!$M$9,G2333,1)),"",IF((AND(RIGHT(G2333,2)=RIGHT('112'!$M$9,2),B2333&lt;'112'!$K$9,$O2333='112'!$I$6)),"x",""))</f>
        <v/>
      </c>
      <c r="W2333" s="84" t="str">
        <f>IF(AND('341-CT'!$H$9=H2333,OR(LEFT(N2333,3)=$W$7,LEFT(O2333,3)=$W$7)),"x","")</f>
        <v/>
      </c>
      <c r="X2333" s="84" t="str">
        <f>IF(OR(TH!N2333=TH!$X$7,O2333=TH!$X$7),"x","")</f>
        <v/>
      </c>
      <c r="Y2333" s="84" t="str">
        <f>IF(AND(OR(N2333="131",O2333="131"),H2333='131-CT'!$H$9),"x","")</f>
        <v/>
      </c>
      <c r="Z2333" s="84"/>
      <c r="AA2333" s="84" t="str">
        <f>IF(AND(MONTH(E2333)='IN-NX'!$J$5,'IN-NX'!$D$7=D2333),"x","")</f>
        <v/>
      </c>
      <c r="AB2333" s="84" t="str">
        <f>IF(AND(OR(LEFT(TH!N2333,2)="15",LEFT(TH!O2333,2)="15"),LEFT(TH!O2333,3)&lt;&gt;"111",'152-CT'!$J$8=TH!F2333),"x","")</f>
        <v/>
      </c>
      <c r="AC2333" s="84" t="str">
        <f>IF(AND(OR(LEFT(TH!N2333,2)="15",LEFT(TH!O2333,2)="15"),TK!$E$7=TH!F2333),"x","")</f>
        <v/>
      </c>
      <c r="AD2333" s="84" t="str">
        <f>IF(AND(N2333="1521",MONTH(C2333)='BK-NL'!$M$11),"x","")</f>
        <v/>
      </c>
    </row>
    <row r="2334" spans="1:30" s="351" customFormat="1" ht="15.75" hidden="1" customHeight="1">
      <c r="A2334" s="336" t="str">
        <f>IF(B2334&lt;&gt;"",IF(AND(B2334='IN-TC'!$S$4,OR(TH!N2334="1111",TH!O2334="1111")),TH!D2334,""),"")</f>
        <v/>
      </c>
      <c r="B2334" s="63" t="str">
        <f t="shared" si="291"/>
        <v/>
      </c>
      <c r="C2334" s="64"/>
      <c r="D2334" s="64"/>
      <c r="E2334" s="64"/>
      <c r="F2334" s="67"/>
      <c r="G2334" s="67"/>
      <c r="H2334" s="73"/>
      <c r="I2334" s="439"/>
      <c r="J2334" s="439"/>
      <c r="K2334" s="430"/>
      <c r="L2334" s="439"/>
      <c r="M2334" s="65"/>
      <c r="N2334" s="66"/>
      <c r="O2334" s="66"/>
      <c r="P2334" s="84" t="str">
        <f>IF(AND('331-CT'!$E$7=TH!H2334,OR(N2334="331",O2334="331")),"x","")</f>
        <v/>
      </c>
      <c r="Q2334" s="84" t="str">
        <f>IF(AND(B2334='111'!$L$11,OR($N2334=$Q$7,$O2334=$Q$7)),"x","")</f>
        <v/>
      </c>
      <c r="R2334" s="84" t="str">
        <f>IF(AND($N2334=$Q$7,$B2334&lt;'111'!$L$11),"x","")</f>
        <v/>
      </c>
      <c r="S2334" s="84" t="str">
        <f>IF(AND($O2334=$Q$7,$B2334&lt;'111'!$L$11),"x","")</f>
        <v/>
      </c>
      <c r="T2334" s="84" t="str">
        <f>IF(ISERROR(FIND('112'!$M$9,G2334,1)),"",IF((AND(FIND('112'!$M$9,G2334,1)&gt;=1,B2334='112'!$K$9,OR($N2334='112'!$I$6,$O2334='112'!$I$6))),"x",""))</f>
        <v/>
      </c>
      <c r="U2334" s="84" t="str">
        <f>IF(ISERROR(FIND('112'!$M$9,G2334,1)),"",IF((AND(LEFT(G2334,2)=LEFT('112'!$M$9,2),B2334&lt;'112'!$K$9,$N2334='112'!$I$6)),"x",""))</f>
        <v/>
      </c>
      <c r="V2334" s="84" t="str">
        <f>IF(ISERROR(FIND('112'!$M$9,G2334,1)),"",IF((AND(RIGHT(G2334,2)=RIGHT('112'!$M$9,2),B2334&lt;'112'!$K$9,$O2334='112'!$I$6)),"x",""))</f>
        <v/>
      </c>
      <c r="W2334" s="84" t="str">
        <f>IF(AND('341-CT'!$H$9=H2334,OR(LEFT(N2334,3)=$W$7,LEFT(O2334,3)=$W$7)),"x","")</f>
        <v/>
      </c>
      <c r="X2334" s="84" t="str">
        <f>IF(OR(TH!N2334=TH!$X$7,O2334=TH!$X$7),"x","")</f>
        <v/>
      </c>
      <c r="Y2334" s="84" t="str">
        <f>IF(AND(OR(N2334="131",O2334="131"),H2334='131-CT'!$H$9),"x","")</f>
        <v/>
      </c>
      <c r="Z2334" s="84"/>
      <c r="AA2334" s="84" t="str">
        <f>IF(AND(MONTH(E2334)='IN-NX'!$J$5,'IN-NX'!$D$7=D2334),"x","")</f>
        <v/>
      </c>
      <c r="AB2334" s="84" t="str">
        <f>IF(AND(OR(LEFT(TH!N2334,2)="15",LEFT(TH!O2334,2)="15"),LEFT(TH!O2334,3)&lt;&gt;"111",'152-CT'!$J$8=TH!F2334),"x","")</f>
        <v/>
      </c>
      <c r="AC2334" s="84" t="str">
        <f>IF(AND(OR(LEFT(TH!N2334,2)="15",LEFT(TH!O2334,2)="15"),TK!$E$7=TH!F2334),"x","")</f>
        <v/>
      </c>
      <c r="AD2334" s="84" t="str">
        <f>IF(AND(N2334="1521",MONTH(C2334)='BK-NL'!$M$11),"x","")</f>
        <v/>
      </c>
    </row>
    <row r="2335" spans="1:30" s="351" customFormat="1" ht="15.75" hidden="1" customHeight="1">
      <c r="A2335" s="336" t="str">
        <f>IF(B2335&lt;&gt;"",IF(AND(B2335='IN-TC'!$S$4,OR(TH!N2335="1111",TH!O2335="1111")),TH!D2335,""),"")</f>
        <v/>
      </c>
      <c r="B2335" s="63" t="str">
        <f t="shared" si="291"/>
        <v/>
      </c>
      <c r="C2335" s="64"/>
      <c r="D2335" s="64"/>
      <c r="E2335" s="64"/>
      <c r="F2335" s="67"/>
      <c r="G2335" s="67"/>
      <c r="H2335" s="73"/>
      <c r="I2335" s="439"/>
      <c r="J2335" s="439"/>
      <c r="K2335" s="430"/>
      <c r="L2335" s="439"/>
      <c r="M2335" s="65"/>
      <c r="N2335" s="66"/>
      <c r="O2335" s="66"/>
      <c r="P2335" s="84" t="str">
        <f>IF(AND('331-CT'!$E$7=TH!H2335,OR(N2335="331",O2335="331")),"x","")</f>
        <v/>
      </c>
      <c r="Q2335" s="84" t="str">
        <f>IF(AND(B2335='111'!$L$11,OR($N2335=$Q$7,$O2335=$Q$7)),"x","")</f>
        <v/>
      </c>
      <c r="R2335" s="84" t="str">
        <f>IF(AND($N2335=$Q$7,$B2335&lt;'111'!$L$11),"x","")</f>
        <v/>
      </c>
      <c r="S2335" s="84" t="str">
        <f>IF(AND($O2335=$Q$7,$B2335&lt;'111'!$L$11),"x","")</f>
        <v/>
      </c>
      <c r="T2335" s="84" t="str">
        <f>IF(ISERROR(FIND('112'!$M$9,G2335,1)),"",IF((AND(FIND('112'!$M$9,G2335,1)&gt;=1,B2335='112'!$K$9,OR($N2335='112'!$I$6,$O2335='112'!$I$6))),"x",""))</f>
        <v/>
      </c>
      <c r="U2335" s="84" t="str">
        <f>IF(ISERROR(FIND('112'!$M$9,G2335,1)),"",IF((AND(LEFT(G2335,2)=LEFT('112'!$M$9,2),B2335&lt;'112'!$K$9,$N2335='112'!$I$6)),"x",""))</f>
        <v/>
      </c>
      <c r="V2335" s="84" t="str">
        <f>IF(ISERROR(FIND('112'!$M$9,G2335,1)),"",IF((AND(RIGHT(G2335,2)=RIGHT('112'!$M$9,2),B2335&lt;'112'!$K$9,$O2335='112'!$I$6)),"x",""))</f>
        <v/>
      </c>
      <c r="W2335" s="84" t="str">
        <f>IF(AND('341-CT'!$H$9=H2335,OR(LEFT(N2335,3)=$W$7,LEFT(O2335,3)=$W$7)),"x","")</f>
        <v/>
      </c>
      <c r="X2335" s="84" t="str">
        <f>IF(OR(TH!N2335=TH!$X$7,O2335=TH!$X$7),"x","")</f>
        <v/>
      </c>
      <c r="Y2335" s="84" t="str">
        <f>IF(AND(OR(N2335="131",O2335="131"),H2335='131-CT'!$H$9),"x","")</f>
        <v/>
      </c>
      <c r="Z2335" s="84"/>
      <c r="AA2335" s="84" t="str">
        <f>IF(AND(MONTH(E2335)='IN-NX'!$J$5,'IN-NX'!$D$7=D2335),"x","")</f>
        <v/>
      </c>
      <c r="AB2335" s="84" t="str">
        <f>IF(AND(OR(LEFT(TH!N2335,2)="15",LEFT(TH!O2335,2)="15"),LEFT(TH!O2335,3)&lt;&gt;"111",'152-CT'!$J$8=TH!F2335),"x","")</f>
        <v/>
      </c>
      <c r="AC2335" s="84" t="str">
        <f>IF(AND(OR(LEFT(TH!N2335,2)="15",LEFT(TH!O2335,2)="15"),TK!$E$7=TH!F2335),"x","")</f>
        <v/>
      </c>
      <c r="AD2335" s="84" t="str">
        <f>IF(AND(N2335="1521",MONTH(C2335)='BK-NL'!$M$11),"x","")</f>
        <v/>
      </c>
    </row>
    <row r="2336" spans="1:30" s="351" customFormat="1" ht="15.75" hidden="1" customHeight="1">
      <c r="A2336" s="336" t="str">
        <f>IF(B2336&lt;&gt;"",IF(AND(B2336='IN-TC'!$S$4,OR(TH!N2336="1111",TH!O2336="1111")),TH!D2336,""),"")</f>
        <v/>
      </c>
      <c r="B2336" s="63" t="str">
        <f t="shared" si="291"/>
        <v/>
      </c>
      <c r="C2336" s="64"/>
      <c r="D2336" s="64"/>
      <c r="E2336" s="64"/>
      <c r="F2336" s="67"/>
      <c r="G2336" s="67"/>
      <c r="H2336" s="73"/>
      <c r="I2336" s="439"/>
      <c r="J2336" s="439"/>
      <c r="K2336" s="430"/>
      <c r="L2336" s="439"/>
      <c r="M2336" s="65"/>
      <c r="N2336" s="66"/>
      <c r="O2336" s="66"/>
      <c r="P2336" s="84" t="str">
        <f>IF(AND('331-CT'!$E$7=TH!H2336,OR(N2336="331",O2336="331")),"x","")</f>
        <v/>
      </c>
      <c r="Q2336" s="84" t="str">
        <f>IF(AND(B2336='111'!$L$11,OR($N2336=$Q$7,$O2336=$Q$7)),"x","")</f>
        <v/>
      </c>
      <c r="R2336" s="84" t="str">
        <f>IF(AND($N2336=$Q$7,$B2336&lt;'111'!$L$11),"x","")</f>
        <v/>
      </c>
      <c r="S2336" s="84" t="str">
        <f>IF(AND($O2336=$Q$7,$B2336&lt;'111'!$L$11),"x","")</f>
        <v/>
      </c>
      <c r="T2336" s="84" t="str">
        <f>IF(ISERROR(FIND('112'!$M$9,G2336,1)),"",IF((AND(FIND('112'!$M$9,G2336,1)&gt;=1,B2336='112'!$K$9,OR($N2336='112'!$I$6,$O2336='112'!$I$6))),"x",""))</f>
        <v/>
      </c>
      <c r="U2336" s="84" t="str">
        <f>IF(ISERROR(FIND('112'!$M$9,G2336,1)),"",IF((AND(LEFT(G2336,2)=LEFT('112'!$M$9,2),B2336&lt;'112'!$K$9,$N2336='112'!$I$6)),"x",""))</f>
        <v/>
      </c>
      <c r="V2336" s="84" t="str">
        <f>IF(ISERROR(FIND('112'!$M$9,G2336,1)),"",IF((AND(RIGHT(G2336,2)=RIGHT('112'!$M$9,2),B2336&lt;'112'!$K$9,$O2336='112'!$I$6)),"x",""))</f>
        <v/>
      </c>
      <c r="W2336" s="84" t="str">
        <f>IF(AND('341-CT'!$H$9=H2336,OR(LEFT(N2336,3)=$W$7,LEFT(O2336,3)=$W$7)),"x","")</f>
        <v/>
      </c>
      <c r="X2336" s="84" t="str">
        <f>IF(OR(TH!N2336=TH!$X$7,O2336=TH!$X$7),"x","")</f>
        <v/>
      </c>
      <c r="Y2336" s="84" t="str">
        <f>IF(AND(OR(N2336="131",O2336="131"),H2336='131-CT'!$H$9),"x","")</f>
        <v/>
      </c>
      <c r="Z2336" s="84"/>
      <c r="AA2336" s="84" t="str">
        <f>IF(AND(MONTH(E2336)='IN-NX'!$J$5,'IN-NX'!$D$7=D2336),"x","")</f>
        <v/>
      </c>
      <c r="AB2336" s="84" t="str">
        <f>IF(AND(OR(LEFT(TH!N2336,2)="15",LEFT(TH!O2336,2)="15"),LEFT(TH!O2336,3)&lt;&gt;"111",'152-CT'!$J$8=TH!F2336),"x","")</f>
        <v/>
      </c>
      <c r="AC2336" s="84" t="str">
        <f>IF(AND(OR(LEFT(TH!N2336,2)="15",LEFT(TH!O2336,2)="15"),TK!$E$7=TH!F2336),"x","")</f>
        <v/>
      </c>
      <c r="AD2336" s="84" t="str">
        <f>IF(AND(N2336="1521",MONTH(C2336)='BK-NL'!$M$11),"x","")</f>
        <v/>
      </c>
    </row>
    <row r="2337" spans="1:30" s="351" customFormat="1" ht="15.75" hidden="1" customHeight="1">
      <c r="A2337" s="336" t="str">
        <f>IF(B2337&lt;&gt;"",IF(AND(B2337='IN-TC'!$S$4,OR(TH!N2337="1111",TH!O2337="1111")),TH!D2337,""),"")</f>
        <v/>
      </c>
      <c r="B2337" s="63" t="str">
        <f t="shared" si="291"/>
        <v/>
      </c>
      <c r="C2337" s="64"/>
      <c r="D2337" s="64"/>
      <c r="E2337" s="64"/>
      <c r="F2337" s="67"/>
      <c r="G2337" s="67"/>
      <c r="H2337" s="73"/>
      <c r="I2337" s="439"/>
      <c r="J2337" s="439"/>
      <c r="K2337" s="430"/>
      <c r="L2337" s="439"/>
      <c r="M2337" s="65"/>
      <c r="N2337" s="66"/>
      <c r="O2337" s="66"/>
      <c r="P2337" s="84" t="str">
        <f>IF(AND('331-CT'!$E$7=TH!H2337,OR(N2337="331",O2337="331")),"x","")</f>
        <v/>
      </c>
      <c r="Q2337" s="84" t="str">
        <f>IF(AND(B2337='111'!$L$11,OR($N2337=$Q$7,$O2337=$Q$7)),"x","")</f>
        <v/>
      </c>
      <c r="R2337" s="84" t="str">
        <f>IF(AND($N2337=$Q$7,$B2337&lt;'111'!$L$11),"x","")</f>
        <v/>
      </c>
      <c r="S2337" s="84" t="str">
        <f>IF(AND($O2337=$Q$7,$B2337&lt;'111'!$L$11),"x","")</f>
        <v/>
      </c>
      <c r="T2337" s="84" t="str">
        <f>IF(ISERROR(FIND('112'!$M$9,G2337,1)),"",IF((AND(FIND('112'!$M$9,G2337,1)&gt;=1,B2337='112'!$K$9,OR($N2337='112'!$I$6,$O2337='112'!$I$6))),"x",""))</f>
        <v/>
      </c>
      <c r="U2337" s="84" t="str">
        <f>IF(ISERROR(FIND('112'!$M$9,G2337,1)),"",IF((AND(LEFT(G2337,2)=LEFT('112'!$M$9,2),B2337&lt;'112'!$K$9,$N2337='112'!$I$6)),"x",""))</f>
        <v/>
      </c>
      <c r="V2337" s="84" t="str">
        <f>IF(ISERROR(FIND('112'!$M$9,G2337,1)),"",IF((AND(RIGHT(G2337,2)=RIGHT('112'!$M$9,2),B2337&lt;'112'!$K$9,$O2337='112'!$I$6)),"x",""))</f>
        <v/>
      </c>
      <c r="W2337" s="84" t="str">
        <f>IF(AND('341-CT'!$H$9=H2337,OR(LEFT(N2337,3)=$W$7,LEFT(O2337,3)=$W$7)),"x","")</f>
        <v/>
      </c>
      <c r="X2337" s="84" t="str">
        <f>IF(OR(TH!N2337=TH!$X$7,O2337=TH!$X$7),"x","")</f>
        <v/>
      </c>
      <c r="Y2337" s="84" t="str">
        <f>IF(AND(OR(N2337="131",O2337="131"),H2337='131-CT'!$H$9),"x","")</f>
        <v/>
      </c>
      <c r="Z2337" s="84"/>
      <c r="AA2337" s="84" t="str">
        <f>IF(AND(MONTH(E2337)='IN-NX'!$J$5,'IN-NX'!$D$7=D2337),"x","")</f>
        <v/>
      </c>
      <c r="AB2337" s="84" t="str">
        <f>IF(AND(OR(LEFT(TH!N2337,2)="15",LEFT(TH!O2337,2)="15"),LEFT(TH!O2337,3)&lt;&gt;"111",'152-CT'!$J$8=TH!F2337),"x","")</f>
        <v/>
      </c>
      <c r="AC2337" s="84" t="str">
        <f>IF(AND(OR(LEFT(TH!N2337,2)="15",LEFT(TH!O2337,2)="15"),TK!$E$7=TH!F2337),"x","")</f>
        <v/>
      </c>
      <c r="AD2337" s="84" t="str">
        <f>IF(AND(N2337="1521",MONTH(C2337)='BK-NL'!$M$11),"x","")</f>
        <v/>
      </c>
    </row>
    <row r="2338" spans="1:30" s="351" customFormat="1" ht="15.75" hidden="1" customHeight="1">
      <c r="A2338" s="336" t="str">
        <f>IF(B2338&lt;&gt;"",IF(AND(B2338='IN-TC'!$S$4,OR(TH!N2338="1111",TH!O2338="1111")),TH!D2338,""),"")</f>
        <v/>
      </c>
      <c r="B2338" s="63" t="str">
        <f t="shared" si="291"/>
        <v/>
      </c>
      <c r="C2338" s="64"/>
      <c r="D2338" s="64"/>
      <c r="E2338" s="64"/>
      <c r="F2338" s="67"/>
      <c r="G2338" s="67"/>
      <c r="H2338" s="73"/>
      <c r="I2338" s="439"/>
      <c r="J2338" s="439"/>
      <c r="K2338" s="430"/>
      <c r="L2338" s="439"/>
      <c r="M2338" s="65"/>
      <c r="N2338" s="66"/>
      <c r="O2338" s="66"/>
      <c r="P2338" s="84" t="str">
        <f>IF(AND('331-CT'!$E$7=TH!H2338,OR(N2338="331",O2338="331")),"x","")</f>
        <v/>
      </c>
      <c r="Q2338" s="84" t="str">
        <f>IF(AND(B2338='111'!$L$11,OR($N2338=$Q$7,$O2338=$Q$7)),"x","")</f>
        <v/>
      </c>
      <c r="R2338" s="84" t="str">
        <f>IF(AND($N2338=$Q$7,$B2338&lt;'111'!$L$11),"x","")</f>
        <v/>
      </c>
      <c r="S2338" s="84" t="str">
        <f>IF(AND($O2338=$Q$7,$B2338&lt;'111'!$L$11),"x","")</f>
        <v/>
      </c>
      <c r="T2338" s="84" t="str">
        <f>IF(ISERROR(FIND('112'!$M$9,G2338,1)),"",IF((AND(FIND('112'!$M$9,G2338,1)&gt;=1,B2338='112'!$K$9,OR($N2338='112'!$I$6,$O2338='112'!$I$6))),"x",""))</f>
        <v/>
      </c>
      <c r="U2338" s="84" t="str">
        <f>IF(ISERROR(FIND('112'!$M$9,G2338,1)),"",IF((AND(LEFT(G2338,2)=LEFT('112'!$M$9,2),B2338&lt;'112'!$K$9,$N2338='112'!$I$6)),"x",""))</f>
        <v/>
      </c>
      <c r="V2338" s="84" t="str">
        <f>IF(ISERROR(FIND('112'!$M$9,G2338,1)),"",IF((AND(RIGHT(G2338,2)=RIGHT('112'!$M$9,2),B2338&lt;'112'!$K$9,$O2338='112'!$I$6)),"x",""))</f>
        <v/>
      </c>
      <c r="W2338" s="84" t="str">
        <f>IF(AND('341-CT'!$H$9=H2338,OR(LEFT(N2338,3)=$W$7,LEFT(O2338,3)=$W$7)),"x","")</f>
        <v/>
      </c>
      <c r="X2338" s="84" t="str">
        <f>IF(OR(TH!N2338=TH!$X$7,O2338=TH!$X$7),"x","")</f>
        <v/>
      </c>
      <c r="Y2338" s="84" t="str">
        <f>IF(AND(OR(N2338="131",O2338="131"),H2338='131-CT'!$H$9),"x","")</f>
        <v/>
      </c>
      <c r="Z2338" s="84"/>
      <c r="AA2338" s="84" t="str">
        <f>IF(AND(MONTH(E2338)='IN-NX'!$J$5,'IN-NX'!$D$7=D2338),"x","")</f>
        <v/>
      </c>
      <c r="AB2338" s="84" t="str">
        <f>IF(AND(OR(LEFT(TH!N2338,2)="15",LEFT(TH!O2338,2)="15"),LEFT(TH!O2338,3)&lt;&gt;"111",'152-CT'!$J$8=TH!F2338),"x","")</f>
        <v/>
      </c>
      <c r="AC2338" s="84" t="str">
        <f>IF(AND(OR(LEFT(TH!N2338,2)="15",LEFT(TH!O2338,2)="15"),TK!$E$7=TH!F2338),"x","")</f>
        <v/>
      </c>
      <c r="AD2338" s="84" t="str">
        <f>IF(AND(N2338="1521",MONTH(C2338)='BK-NL'!$M$11),"x","")</f>
        <v/>
      </c>
    </row>
    <row r="2339" spans="1:30" s="351" customFormat="1" ht="15.75" hidden="1" customHeight="1">
      <c r="A2339" s="336" t="str">
        <f>IF(B2339&lt;&gt;"",IF(AND(B2339='IN-TC'!$S$4,OR(TH!N2339="1111",TH!O2339="1111")),TH!D2339,""),"")</f>
        <v/>
      </c>
      <c r="B2339" s="63" t="str">
        <f t="shared" si="291"/>
        <v/>
      </c>
      <c r="C2339" s="64"/>
      <c r="D2339" s="64"/>
      <c r="E2339" s="64"/>
      <c r="F2339" s="67"/>
      <c r="G2339" s="67"/>
      <c r="H2339" s="73"/>
      <c r="I2339" s="439"/>
      <c r="J2339" s="439"/>
      <c r="K2339" s="430"/>
      <c r="L2339" s="439"/>
      <c r="M2339" s="65"/>
      <c r="N2339" s="66"/>
      <c r="O2339" s="66"/>
      <c r="P2339" s="84" t="str">
        <f>IF(AND('331-CT'!$E$7=TH!H2339,OR(N2339="331",O2339="331")),"x","")</f>
        <v/>
      </c>
      <c r="Q2339" s="84" t="str">
        <f>IF(AND(B2339='111'!$L$11,OR($N2339=$Q$7,$O2339=$Q$7)),"x","")</f>
        <v/>
      </c>
      <c r="R2339" s="84" t="str">
        <f>IF(AND($N2339=$Q$7,$B2339&lt;'111'!$L$11),"x","")</f>
        <v/>
      </c>
      <c r="S2339" s="84" t="str">
        <f>IF(AND($O2339=$Q$7,$B2339&lt;'111'!$L$11),"x","")</f>
        <v/>
      </c>
      <c r="T2339" s="84" t="str">
        <f>IF(ISERROR(FIND('112'!$M$9,G2339,1)),"",IF((AND(FIND('112'!$M$9,G2339,1)&gt;=1,B2339='112'!$K$9,OR($N2339='112'!$I$6,$O2339='112'!$I$6))),"x",""))</f>
        <v/>
      </c>
      <c r="U2339" s="84" t="str">
        <f>IF(ISERROR(FIND('112'!$M$9,G2339,1)),"",IF((AND(LEFT(G2339,2)=LEFT('112'!$M$9,2),B2339&lt;'112'!$K$9,$N2339='112'!$I$6)),"x",""))</f>
        <v/>
      </c>
      <c r="V2339" s="84" t="str">
        <f>IF(ISERROR(FIND('112'!$M$9,G2339,1)),"",IF((AND(RIGHT(G2339,2)=RIGHT('112'!$M$9,2),B2339&lt;'112'!$K$9,$O2339='112'!$I$6)),"x",""))</f>
        <v/>
      </c>
      <c r="W2339" s="84" t="str">
        <f>IF(AND('341-CT'!$H$9=H2339,OR(LEFT(N2339,3)=$W$7,LEFT(O2339,3)=$W$7)),"x","")</f>
        <v/>
      </c>
      <c r="X2339" s="84" t="str">
        <f>IF(OR(TH!N2339=TH!$X$7,O2339=TH!$X$7),"x","")</f>
        <v/>
      </c>
      <c r="Y2339" s="84" t="str">
        <f>IF(AND(OR(N2339="131",O2339="131"),H2339='131-CT'!$H$9),"x","")</f>
        <v/>
      </c>
      <c r="Z2339" s="84"/>
      <c r="AA2339" s="84" t="str">
        <f>IF(AND(MONTH(E2339)='IN-NX'!$J$5,'IN-NX'!$D$7=D2339),"x","")</f>
        <v/>
      </c>
      <c r="AB2339" s="84" t="str">
        <f>IF(AND(OR(LEFT(TH!N2339,2)="15",LEFT(TH!O2339,2)="15"),LEFT(TH!O2339,3)&lt;&gt;"111",'152-CT'!$J$8=TH!F2339),"x","")</f>
        <v/>
      </c>
      <c r="AC2339" s="84" t="str">
        <f>IF(AND(OR(LEFT(TH!N2339,2)="15",LEFT(TH!O2339,2)="15"),TK!$E$7=TH!F2339),"x","")</f>
        <v/>
      </c>
      <c r="AD2339" s="84" t="str">
        <f>IF(AND(N2339="1521",MONTH(C2339)='BK-NL'!$M$11),"x","")</f>
        <v/>
      </c>
    </row>
    <row r="2340" spans="1:30" s="351" customFormat="1" ht="15.75" hidden="1" customHeight="1">
      <c r="A2340" s="336" t="str">
        <f>IF(B2340&lt;&gt;"",IF(AND(B2340='IN-TC'!$S$4,OR(TH!N2340="1111",TH!O2340="1111")),TH!D2340,""),"")</f>
        <v/>
      </c>
      <c r="B2340" s="63" t="str">
        <f t="shared" si="291"/>
        <v/>
      </c>
      <c r="C2340" s="64"/>
      <c r="D2340" s="64"/>
      <c r="E2340" s="64"/>
      <c r="F2340" s="67"/>
      <c r="G2340" s="67"/>
      <c r="H2340" s="73"/>
      <c r="I2340" s="439"/>
      <c r="J2340" s="439"/>
      <c r="K2340" s="430"/>
      <c r="L2340" s="439"/>
      <c r="M2340" s="65"/>
      <c r="N2340" s="66"/>
      <c r="O2340" s="66"/>
      <c r="P2340" s="84" t="str">
        <f>IF(AND('331-CT'!$E$7=TH!H2340,OR(N2340="331",O2340="331")),"x","")</f>
        <v/>
      </c>
      <c r="Q2340" s="84" t="str">
        <f>IF(AND(B2340='111'!$L$11,OR($N2340=$Q$7,$O2340=$Q$7)),"x","")</f>
        <v/>
      </c>
      <c r="R2340" s="84" t="str">
        <f>IF(AND($N2340=$Q$7,$B2340&lt;'111'!$L$11),"x","")</f>
        <v/>
      </c>
      <c r="S2340" s="84" t="str">
        <f>IF(AND($O2340=$Q$7,$B2340&lt;'111'!$L$11),"x","")</f>
        <v/>
      </c>
      <c r="T2340" s="84" t="str">
        <f>IF(ISERROR(FIND('112'!$M$9,G2340,1)),"",IF((AND(FIND('112'!$M$9,G2340,1)&gt;=1,B2340='112'!$K$9,OR($N2340='112'!$I$6,$O2340='112'!$I$6))),"x",""))</f>
        <v/>
      </c>
      <c r="U2340" s="84" t="str">
        <f>IF(ISERROR(FIND('112'!$M$9,G2340,1)),"",IF((AND(LEFT(G2340,2)=LEFT('112'!$M$9,2),B2340&lt;'112'!$K$9,$N2340='112'!$I$6)),"x",""))</f>
        <v/>
      </c>
      <c r="V2340" s="84" t="str">
        <f>IF(ISERROR(FIND('112'!$M$9,G2340,1)),"",IF((AND(RIGHT(G2340,2)=RIGHT('112'!$M$9,2),B2340&lt;'112'!$K$9,$O2340='112'!$I$6)),"x",""))</f>
        <v/>
      </c>
      <c r="W2340" s="84" t="str">
        <f>IF(AND('341-CT'!$H$9=H2340,OR(LEFT(N2340,3)=$W$7,LEFT(O2340,3)=$W$7)),"x","")</f>
        <v/>
      </c>
      <c r="X2340" s="84" t="str">
        <f>IF(OR(TH!N2340=TH!$X$7,O2340=TH!$X$7),"x","")</f>
        <v/>
      </c>
      <c r="Y2340" s="84" t="str">
        <f>IF(AND(OR(N2340="131",O2340="131"),H2340='131-CT'!$H$9),"x","")</f>
        <v/>
      </c>
      <c r="Z2340" s="84"/>
      <c r="AA2340" s="84" t="str">
        <f>IF(AND(MONTH(E2340)='IN-NX'!$J$5,'IN-NX'!$D$7=D2340),"x","")</f>
        <v/>
      </c>
      <c r="AB2340" s="84" t="str">
        <f>IF(AND(OR(LEFT(TH!N2340,2)="15",LEFT(TH!O2340,2)="15"),LEFT(TH!O2340,3)&lt;&gt;"111",'152-CT'!$J$8=TH!F2340),"x","")</f>
        <v/>
      </c>
      <c r="AC2340" s="84" t="str">
        <f>IF(AND(OR(LEFT(TH!N2340,2)="15",LEFT(TH!O2340,2)="15"),TK!$E$7=TH!F2340),"x","")</f>
        <v/>
      </c>
      <c r="AD2340" s="84" t="str">
        <f>IF(AND(N2340="1521",MONTH(C2340)='BK-NL'!$M$11),"x","")</f>
        <v/>
      </c>
    </row>
    <row r="2341" spans="1:30" s="351" customFormat="1" ht="15.75" hidden="1" customHeight="1">
      <c r="A2341" s="336" t="str">
        <f>IF(B2341&lt;&gt;"",IF(AND(B2341='IN-TC'!$S$4,OR(TH!N2341="1111",TH!O2341="1111")),TH!D2341,""),"")</f>
        <v/>
      </c>
      <c r="B2341" s="63" t="str">
        <f t="shared" si="291"/>
        <v/>
      </c>
      <c r="C2341" s="64"/>
      <c r="D2341" s="64"/>
      <c r="E2341" s="64"/>
      <c r="F2341" s="67"/>
      <c r="G2341" s="67"/>
      <c r="H2341" s="73"/>
      <c r="I2341" s="439"/>
      <c r="J2341" s="439"/>
      <c r="K2341" s="430"/>
      <c r="L2341" s="439"/>
      <c r="M2341" s="65"/>
      <c r="N2341" s="66"/>
      <c r="O2341" s="66"/>
      <c r="P2341" s="84" t="str">
        <f>IF(AND('331-CT'!$E$7=TH!H2341,OR(N2341="331",O2341="331")),"x","")</f>
        <v/>
      </c>
      <c r="Q2341" s="84" t="str">
        <f>IF(AND(B2341='111'!$L$11,OR($N2341=$Q$7,$O2341=$Q$7)),"x","")</f>
        <v/>
      </c>
      <c r="R2341" s="84" t="str">
        <f>IF(AND($N2341=$Q$7,$B2341&lt;'111'!$L$11),"x","")</f>
        <v/>
      </c>
      <c r="S2341" s="84" t="str">
        <f>IF(AND($O2341=$Q$7,$B2341&lt;'111'!$L$11),"x","")</f>
        <v/>
      </c>
      <c r="T2341" s="84" t="str">
        <f>IF(ISERROR(FIND('112'!$M$9,G2341,1)),"",IF((AND(FIND('112'!$M$9,G2341,1)&gt;=1,B2341='112'!$K$9,OR($N2341='112'!$I$6,$O2341='112'!$I$6))),"x",""))</f>
        <v/>
      </c>
      <c r="U2341" s="84" t="str">
        <f>IF(ISERROR(FIND('112'!$M$9,G2341,1)),"",IF((AND(LEFT(G2341,2)=LEFT('112'!$M$9,2),B2341&lt;'112'!$K$9,$N2341='112'!$I$6)),"x",""))</f>
        <v/>
      </c>
      <c r="V2341" s="84" t="str">
        <f>IF(ISERROR(FIND('112'!$M$9,G2341,1)),"",IF((AND(RIGHT(G2341,2)=RIGHT('112'!$M$9,2),B2341&lt;'112'!$K$9,$O2341='112'!$I$6)),"x",""))</f>
        <v/>
      </c>
      <c r="W2341" s="84" t="str">
        <f>IF(AND('341-CT'!$H$9=H2341,OR(LEFT(N2341,3)=$W$7,LEFT(O2341,3)=$W$7)),"x","")</f>
        <v/>
      </c>
      <c r="X2341" s="84" t="str">
        <f>IF(OR(TH!N2341=TH!$X$7,O2341=TH!$X$7),"x","")</f>
        <v/>
      </c>
      <c r="Y2341" s="84" t="str">
        <f>IF(AND(OR(N2341="131",O2341="131"),H2341='131-CT'!$H$9),"x","")</f>
        <v/>
      </c>
      <c r="Z2341" s="84"/>
      <c r="AA2341" s="84" t="str">
        <f>IF(AND(MONTH(E2341)='IN-NX'!$J$5,'IN-NX'!$D$7=D2341),"x","")</f>
        <v/>
      </c>
      <c r="AB2341" s="84" t="str">
        <f>IF(AND(OR(LEFT(TH!N2341,2)="15",LEFT(TH!O2341,2)="15"),LEFT(TH!O2341,3)&lt;&gt;"111",'152-CT'!$J$8=TH!F2341),"x","")</f>
        <v/>
      </c>
      <c r="AC2341" s="84" t="str">
        <f>IF(AND(OR(LEFT(TH!N2341,2)="15",LEFT(TH!O2341,2)="15"),TK!$E$7=TH!F2341),"x","")</f>
        <v/>
      </c>
      <c r="AD2341" s="84" t="str">
        <f>IF(AND(N2341="1521",MONTH(C2341)='BK-NL'!$M$11),"x","")</f>
        <v/>
      </c>
    </row>
    <row r="2342" spans="1:30" s="351" customFormat="1" ht="15.75" hidden="1" customHeight="1">
      <c r="A2342" s="336" t="str">
        <f>IF(B2342&lt;&gt;"",IF(AND(B2342='IN-TC'!$S$4,OR(TH!N2342="1111",TH!O2342="1111")),TH!D2342,""),"")</f>
        <v/>
      </c>
      <c r="B2342" s="63" t="str">
        <f t="shared" si="291"/>
        <v/>
      </c>
      <c r="C2342" s="64"/>
      <c r="D2342" s="64"/>
      <c r="E2342" s="64"/>
      <c r="F2342" s="67"/>
      <c r="G2342" s="67"/>
      <c r="H2342" s="73"/>
      <c r="I2342" s="439"/>
      <c r="J2342" s="439"/>
      <c r="K2342" s="430"/>
      <c r="L2342" s="439"/>
      <c r="M2342" s="65"/>
      <c r="N2342" s="66"/>
      <c r="O2342" s="66"/>
      <c r="P2342" s="84" t="str">
        <f>IF(AND('331-CT'!$E$7=TH!H2342,OR(N2342="331",O2342="331")),"x","")</f>
        <v/>
      </c>
      <c r="Q2342" s="84" t="str">
        <f>IF(AND(B2342='111'!$L$11,OR($N2342=$Q$7,$O2342=$Q$7)),"x","")</f>
        <v/>
      </c>
      <c r="R2342" s="84" t="str">
        <f>IF(AND($N2342=$Q$7,$B2342&lt;'111'!$L$11),"x","")</f>
        <v/>
      </c>
      <c r="S2342" s="84" t="str">
        <f>IF(AND($O2342=$Q$7,$B2342&lt;'111'!$L$11),"x","")</f>
        <v/>
      </c>
      <c r="T2342" s="84" t="str">
        <f>IF(ISERROR(FIND('112'!$M$9,G2342,1)),"",IF((AND(FIND('112'!$M$9,G2342,1)&gt;=1,B2342='112'!$K$9,OR($N2342='112'!$I$6,$O2342='112'!$I$6))),"x",""))</f>
        <v/>
      </c>
      <c r="U2342" s="84" t="str">
        <f>IF(ISERROR(FIND('112'!$M$9,G2342,1)),"",IF((AND(LEFT(G2342,2)=LEFT('112'!$M$9,2),B2342&lt;'112'!$K$9,$N2342='112'!$I$6)),"x",""))</f>
        <v/>
      </c>
      <c r="V2342" s="84" t="str">
        <f>IF(ISERROR(FIND('112'!$M$9,G2342,1)),"",IF((AND(RIGHT(G2342,2)=RIGHT('112'!$M$9,2),B2342&lt;'112'!$K$9,$O2342='112'!$I$6)),"x",""))</f>
        <v/>
      </c>
      <c r="W2342" s="84" t="str">
        <f>IF(AND('341-CT'!$H$9=H2342,OR(LEFT(N2342,3)=$W$7,LEFT(O2342,3)=$W$7)),"x","")</f>
        <v/>
      </c>
      <c r="X2342" s="84" t="str">
        <f>IF(OR(TH!N2342=TH!$X$7,O2342=TH!$X$7),"x","")</f>
        <v/>
      </c>
      <c r="Y2342" s="84" t="str">
        <f>IF(AND(OR(N2342="131",O2342="131"),H2342='131-CT'!$H$9),"x","")</f>
        <v/>
      </c>
      <c r="Z2342" s="84"/>
      <c r="AA2342" s="84" t="str">
        <f>IF(AND(MONTH(E2342)='IN-NX'!$J$5,'IN-NX'!$D$7=D2342),"x","")</f>
        <v/>
      </c>
      <c r="AB2342" s="84" t="str">
        <f>IF(AND(OR(LEFT(TH!N2342,2)="15",LEFT(TH!O2342,2)="15"),LEFT(TH!O2342,3)&lt;&gt;"111",'152-CT'!$J$8=TH!F2342),"x","")</f>
        <v/>
      </c>
      <c r="AC2342" s="84" t="str">
        <f>IF(AND(OR(LEFT(TH!N2342,2)="15",LEFT(TH!O2342,2)="15"),TK!$E$7=TH!F2342),"x","")</f>
        <v/>
      </c>
      <c r="AD2342" s="84" t="str">
        <f>IF(AND(N2342="1521",MONTH(C2342)='BK-NL'!$M$11),"x","")</f>
        <v/>
      </c>
    </row>
    <row r="2343" spans="1:30" s="351" customFormat="1" ht="15.75" hidden="1" customHeight="1">
      <c r="A2343" s="336" t="str">
        <f>IF(B2343&lt;&gt;"",IF(AND(B2343='IN-TC'!$S$4,OR(TH!N2343="1111",TH!O2343="1111")),TH!D2343,""),"")</f>
        <v/>
      </c>
      <c r="B2343" s="63" t="str">
        <f t="shared" si="291"/>
        <v/>
      </c>
      <c r="C2343" s="64"/>
      <c r="D2343" s="64"/>
      <c r="E2343" s="64"/>
      <c r="F2343" s="67"/>
      <c r="G2343" s="67"/>
      <c r="H2343" s="73"/>
      <c r="I2343" s="439"/>
      <c r="J2343" s="439"/>
      <c r="K2343" s="430"/>
      <c r="L2343" s="439"/>
      <c r="M2343" s="65"/>
      <c r="N2343" s="66"/>
      <c r="O2343" s="66"/>
      <c r="P2343" s="84" t="str">
        <f>IF(AND('331-CT'!$E$7=TH!H2343,OR(N2343="331",O2343="331")),"x","")</f>
        <v/>
      </c>
      <c r="Q2343" s="84" t="str">
        <f>IF(AND(B2343='111'!$L$11,OR($N2343=$Q$7,$O2343=$Q$7)),"x","")</f>
        <v/>
      </c>
      <c r="R2343" s="84" t="str">
        <f>IF(AND($N2343=$Q$7,$B2343&lt;'111'!$L$11),"x","")</f>
        <v/>
      </c>
      <c r="S2343" s="84" t="str">
        <f>IF(AND($O2343=$Q$7,$B2343&lt;'111'!$L$11),"x","")</f>
        <v/>
      </c>
      <c r="T2343" s="84" t="str">
        <f>IF(ISERROR(FIND('112'!$M$9,G2343,1)),"",IF((AND(FIND('112'!$M$9,G2343,1)&gt;=1,B2343='112'!$K$9,OR($N2343='112'!$I$6,$O2343='112'!$I$6))),"x",""))</f>
        <v/>
      </c>
      <c r="U2343" s="84" t="str">
        <f>IF(ISERROR(FIND('112'!$M$9,G2343,1)),"",IF((AND(LEFT(G2343,2)=LEFT('112'!$M$9,2),B2343&lt;'112'!$K$9,$N2343='112'!$I$6)),"x",""))</f>
        <v/>
      </c>
      <c r="V2343" s="84" t="str">
        <f>IF(ISERROR(FIND('112'!$M$9,G2343,1)),"",IF((AND(RIGHT(G2343,2)=RIGHT('112'!$M$9,2),B2343&lt;'112'!$K$9,$O2343='112'!$I$6)),"x",""))</f>
        <v/>
      </c>
      <c r="W2343" s="84" t="str">
        <f>IF(AND('341-CT'!$H$9=H2343,OR(LEFT(N2343,3)=$W$7,LEFT(O2343,3)=$W$7)),"x","")</f>
        <v/>
      </c>
      <c r="X2343" s="84" t="str">
        <f>IF(OR(TH!N2343=TH!$X$7,O2343=TH!$X$7),"x","")</f>
        <v/>
      </c>
      <c r="Y2343" s="84" t="str">
        <f>IF(AND(OR(N2343="131",O2343="131"),H2343='131-CT'!$H$9),"x","")</f>
        <v/>
      </c>
      <c r="Z2343" s="84"/>
      <c r="AA2343" s="84" t="str">
        <f>IF(AND(MONTH(E2343)='IN-NX'!$J$5,'IN-NX'!$D$7=D2343),"x","")</f>
        <v/>
      </c>
      <c r="AB2343" s="84" t="str">
        <f>IF(AND(OR(LEFT(TH!N2343,2)="15",LEFT(TH!O2343,2)="15"),LEFT(TH!O2343,3)&lt;&gt;"111",'152-CT'!$J$8=TH!F2343),"x","")</f>
        <v/>
      </c>
      <c r="AC2343" s="84" t="str">
        <f>IF(AND(OR(LEFT(TH!N2343,2)="15",LEFT(TH!O2343,2)="15"),TK!$E$7=TH!F2343),"x","")</f>
        <v/>
      </c>
      <c r="AD2343" s="84" t="str">
        <f>IF(AND(N2343="1521",MONTH(C2343)='BK-NL'!$M$11),"x","")</f>
        <v/>
      </c>
    </row>
    <row r="2344" spans="1:30" s="351" customFormat="1" ht="15.75" hidden="1" customHeight="1">
      <c r="A2344" s="336" t="str">
        <f>IF(B2344&lt;&gt;"",IF(AND(B2344='IN-TC'!$S$4,OR(TH!N2344="1111",TH!O2344="1111")),TH!D2344,""),"")</f>
        <v/>
      </c>
      <c r="B2344" s="63" t="str">
        <f t="shared" si="291"/>
        <v/>
      </c>
      <c r="C2344" s="64"/>
      <c r="D2344" s="64"/>
      <c r="E2344" s="64"/>
      <c r="F2344" s="67"/>
      <c r="G2344" s="67"/>
      <c r="H2344" s="73"/>
      <c r="I2344" s="439"/>
      <c r="J2344" s="439"/>
      <c r="K2344" s="430"/>
      <c r="L2344" s="439"/>
      <c r="M2344" s="65"/>
      <c r="N2344" s="66"/>
      <c r="O2344" s="66"/>
      <c r="P2344" s="84" t="str">
        <f>IF(AND('331-CT'!$E$7=TH!H2344,OR(N2344="331",O2344="331")),"x","")</f>
        <v/>
      </c>
      <c r="Q2344" s="84" t="str">
        <f>IF(AND(B2344='111'!$L$11,OR($N2344=$Q$7,$O2344=$Q$7)),"x","")</f>
        <v/>
      </c>
      <c r="R2344" s="84" t="str">
        <f>IF(AND($N2344=$Q$7,$B2344&lt;'111'!$L$11),"x","")</f>
        <v/>
      </c>
      <c r="S2344" s="84" t="str">
        <f>IF(AND($O2344=$Q$7,$B2344&lt;'111'!$L$11),"x","")</f>
        <v/>
      </c>
      <c r="T2344" s="84" t="str">
        <f>IF(ISERROR(FIND('112'!$M$9,G2344,1)),"",IF((AND(FIND('112'!$M$9,G2344,1)&gt;=1,B2344='112'!$K$9,OR($N2344='112'!$I$6,$O2344='112'!$I$6))),"x",""))</f>
        <v/>
      </c>
      <c r="U2344" s="84" t="str">
        <f>IF(ISERROR(FIND('112'!$M$9,G2344,1)),"",IF((AND(LEFT(G2344,2)=LEFT('112'!$M$9,2),B2344&lt;'112'!$K$9,$N2344='112'!$I$6)),"x",""))</f>
        <v/>
      </c>
      <c r="V2344" s="84" t="str">
        <f>IF(ISERROR(FIND('112'!$M$9,G2344,1)),"",IF((AND(RIGHT(G2344,2)=RIGHT('112'!$M$9,2),B2344&lt;'112'!$K$9,$O2344='112'!$I$6)),"x",""))</f>
        <v/>
      </c>
      <c r="W2344" s="84" t="str">
        <f>IF(AND('341-CT'!$H$9=H2344,OR(LEFT(N2344,3)=$W$7,LEFT(O2344,3)=$W$7)),"x","")</f>
        <v/>
      </c>
      <c r="X2344" s="84" t="str">
        <f>IF(OR(TH!N2344=TH!$X$7,O2344=TH!$X$7),"x","")</f>
        <v/>
      </c>
      <c r="Y2344" s="84" t="str">
        <f>IF(AND(OR(N2344="131",O2344="131"),H2344='131-CT'!$H$9),"x","")</f>
        <v/>
      </c>
      <c r="Z2344" s="84"/>
      <c r="AA2344" s="84" t="str">
        <f>IF(AND(MONTH(E2344)='IN-NX'!$J$5,'IN-NX'!$D$7=D2344),"x","")</f>
        <v/>
      </c>
      <c r="AB2344" s="84" t="str">
        <f>IF(AND(OR(LEFT(TH!N2344,2)="15",LEFT(TH!O2344,2)="15"),LEFT(TH!O2344,3)&lt;&gt;"111",'152-CT'!$J$8=TH!F2344),"x","")</f>
        <v/>
      </c>
      <c r="AC2344" s="84" t="str">
        <f>IF(AND(OR(LEFT(TH!N2344,2)="15",LEFT(TH!O2344,2)="15"),TK!$E$7=TH!F2344),"x","")</f>
        <v/>
      </c>
      <c r="AD2344" s="84" t="str">
        <f>IF(AND(N2344="1521",MONTH(C2344)='BK-NL'!$M$11),"x","")</f>
        <v/>
      </c>
    </row>
    <row r="2345" spans="1:30" s="351" customFormat="1" ht="15.75" hidden="1" customHeight="1">
      <c r="A2345" s="336" t="str">
        <f>IF(B2345&lt;&gt;"",IF(AND(B2345='IN-TC'!$S$4,OR(TH!N2345="1111",TH!O2345="1111")),TH!D2345,""),"")</f>
        <v/>
      </c>
      <c r="B2345" s="63" t="str">
        <f t="shared" si="291"/>
        <v/>
      </c>
      <c r="C2345" s="64"/>
      <c r="D2345" s="64"/>
      <c r="E2345" s="64"/>
      <c r="F2345" s="67"/>
      <c r="G2345" s="67"/>
      <c r="H2345" s="73"/>
      <c r="I2345" s="439"/>
      <c r="J2345" s="439"/>
      <c r="K2345" s="430"/>
      <c r="L2345" s="439"/>
      <c r="M2345" s="65"/>
      <c r="N2345" s="66"/>
      <c r="O2345" s="66"/>
      <c r="P2345" s="84" t="str">
        <f>IF(AND('331-CT'!$E$7=TH!H2345,OR(N2345="331",O2345="331")),"x","")</f>
        <v/>
      </c>
      <c r="Q2345" s="84" t="str">
        <f>IF(AND(B2345='111'!$L$11,OR($N2345=$Q$7,$O2345=$Q$7)),"x","")</f>
        <v/>
      </c>
      <c r="R2345" s="84" t="str">
        <f>IF(AND($N2345=$Q$7,$B2345&lt;'111'!$L$11),"x","")</f>
        <v/>
      </c>
      <c r="S2345" s="84" t="str">
        <f>IF(AND($O2345=$Q$7,$B2345&lt;'111'!$L$11),"x","")</f>
        <v/>
      </c>
      <c r="T2345" s="84" t="str">
        <f>IF(ISERROR(FIND('112'!$M$9,G2345,1)),"",IF((AND(FIND('112'!$M$9,G2345,1)&gt;=1,B2345='112'!$K$9,OR($N2345='112'!$I$6,$O2345='112'!$I$6))),"x",""))</f>
        <v/>
      </c>
      <c r="U2345" s="84" t="str">
        <f>IF(ISERROR(FIND('112'!$M$9,G2345,1)),"",IF((AND(LEFT(G2345,2)=LEFT('112'!$M$9,2),B2345&lt;'112'!$K$9,$N2345='112'!$I$6)),"x",""))</f>
        <v/>
      </c>
      <c r="V2345" s="84" t="str">
        <f>IF(ISERROR(FIND('112'!$M$9,G2345,1)),"",IF((AND(RIGHT(G2345,2)=RIGHT('112'!$M$9,2),B2345&lt;'112'!$K$9,$O2345='112'!$I$6)),"x",""))</f>
        <v/>
      </c>
      <c r="W2345" s="84" t="str">
        <f>IF(AND('341-CT'!$H$9=H2345,OR(LEFT(N2345,3)=$W$7,LEFT(O2345,3)=$W$7)),"x","")</f>
        <v/>
      </c>
      <c r="X2345" s="84" t="str">
        <f>IF(OR(TH!N2345=TH!$X$7,O2345=TH!$X$7),"x","")</f>
        <v/>
      </c>
      <c r="Y2345" s="84" t="str">
        <f>IF(AND(OR(N2345="131",O2345="131"),H2345='131-CT'!$H$9),"x","")</f>
        <v/>
      </c>
      <c r="Z2345" s="84"/>
      <c r="AA2345" s="84" t="str">
        <f>IF(AND(MONTH(E2345)='IN-NX'!$J$5,'IN-NX'!$D$7=D2345),"x","")</f>
        <v/>
      </c>
      <c r="AB2345" s="84" t="str">
        <f>IF(AND(OR(LEFT(TH!N2345,2)="15",LEFT(TH!O2345,2)="15"),LEFT(TH!O2345,3)&lt;&gt;"111",'152-CT'!$J$8=TH!F2345),"x","")</f>
        <v/>
      </c>
      <c r="AC2345" s="84" t="str">
        <f>IF(AND(OR(LEFT(TH!N2345,2)="15",LEFT(TH!O2345,2)="15"),TK!$E$7=TH!F2345),"x","")</f>
        <v/>
      </c>
      <c r="AD2345" s="84" t="str">
        <f>IF(AND(N2345="1521",MONTH(C2345)='BK-NL'!$M$11),"x","")</f>
        <v/>
      </c>
    </row>
    <row r="2346" spans="1:30" s="351" customFormat="1" ht="15.75" hidden="1" customHeight="1">
      <c r="A2346" s="336" t="str">
        <f>IF(B2346&lt;&gt;"",IF(AND(B2346='IN-TC'!$S$4,OR(TH!N2346="1111",TH!O2346="1111")),TH!D2346,""),"")</f>
        <v/>
      </c>
      <c r="B2346" s="63" t="str">
        <f t="shared" si="291"/>
        <v/>
      </c>
      <c r="C2346" s="64"/>
      <c r="D2346" s="64"/>
      <c r="E2346" s="64"/>
      <c r="F2346" s="67"/>
      <c r="G2346" s="67"/>
      <c r="H2346" s="73"/>
      <c r="I2346" s="439"/>
      <c r="J2346" s="439"/>
      <c r="K2346" s="430"/>
      <c r="L2346" s="439"/>
      <c r="M2346" s="65"/>
      <c r="N2346" s="66"/>
      <c r="O2346" s="66"/>
      <c r="P2346" s="84" t="str">
        <f>IF(AND('331-CT'!$E$7=TH!H2346,OR(N2346="331",O2346="331")),"x","")</f>
        <v/>
      </c>
      <c r="Q2346" s="84" t="str">
        <f>IF(AND(B2346='111'!$L$11,OR($N2346=$Q$7,$O2346=$Q$7)),"x","")</f>
        <v/>
      </c>
      <c r="R2346" s="84" t="str">
        <f>IF(AND($N2346=$Q$7,$B2346&lt;'111'!$L$11),"x","")</f>
        <v/>
      </c>
      <c r="S2346" s="84" t="str">
        <f>IF(AND($O2346=$Q$7,$B2346&lt;'111'!$L$11),"x","")</f>
        <v/>
      </c>
      <c r="T2346" s="84" t="str">
        <f>IF(ISERROR(FIND('112'!$M$9,G2346,1)),"",IF((AND(FIND('112'!$M$9,G2346,1)&gt;=1,B2346='112'!$K$9,OR($N2346='112'!$I$6,$O2346='112'!$I$6))),"x",""))</f>
        <v/>
      </c>
      <c r="U2346" s="84" t="str">
        <f>IF(ISERROR(FIND('112'!$M$9,G2346,1)),"",IF((AND(LEFT(G2346,2)=LEFT('112'!$M$9,2),B2346&lt;'112'!$K$9,$N2346='112'!$I$6)),"x",""))</f>
        <v/>
      </c>
      <c r="V2346" s="84" t="str">
        <f>IF(ISERROR(FIND('112'!$M$9,G2346,1)),"",IF((AND(RIGHT(G2346,2)=RIGHT('112'!$M$9,2),B2346&lt;'112'!$K$9,$O2346='112'!$I$6)),"x",""))</f>
        <v/>
      </c>
      <c r="W2346" s="84" t="str">
        <f>IF(AND('341-CT'!$H$9=H2346,OR(LEFT(N2346,3)=$W$7,LEFT(O2346,3)=$W$7)),"x","")</f>
        <v/>
      </c>
      <c r="X2346" s="84" t="str">
        <f>IF(OR(TH!N2346=TH!$X$7,O2346=TH!$X$7),"x","")</f>
        <v/>
      </c>
      <c r="Y2346" s="84" t="str">
        <f>IF(AND(OR(N2346="131",O2346="131"),H2346='131-CT'!$H$9),"x","")</f>
        <v/>
      </c>
      <c r="Z2346" s="84"/>
      <c r="AA2346" s="84" t="str">
        <f>IF(AND(MONTH(E2346)='IN-NX'!$J$5,'IN-NX'!$D$7=D2346),"x","")</f>
        <v/>
      </c>
      <c r="AB2346" s="84" t="str">
        <f>IF(AND(OR(LEFT(TH!N2346,2)="15",LEFT(TH!O2346,2)="15"),LEFT(TH!O2346,3)&lt;&gt;"111",'152-CT'!$J$8=TH!F2346),"x","")</f>
        <v/>
      </c>
      <c r="AC2346" s="84" t="str">
        <f>IF(AND(OR(LEFT(TH!N2346,2)="15",LEFT(TH!O2346,2)="15"),TK!$E$7=TH!F2346),"x","")</f>
        <v/>
      </c>
      <c r="AD2346" s="84" t="str">
        <f>IF(AND(N2346="1521",MONTH(C2346)='BK-NL'!$M$11),"x","")</f>
        <v/>
      </c>
    </row>
    <row r="2347" spans="1:30" s="351" customFormat="1" ht="15.75" hidden="1" customHeight="1">
      <c r="A2347" s="336" t="str">
        <f>IF(B2347&lt;&gt;"",IF(AND(B2347='IN-TC'!$S$4,OR(TH!N2347="1111",TH!O2347="1111")),TH!D2347,""),"")</f>
        <v/>
      </c>
      <c r="B2347" s="63" t="str">
        <f t="shared" si="291"/>
        <v/>
      </c>
      <c r="C2347" s="64"/>
      <c r="D2347" s="64"/>
      <c r="E2347" s="64"/>
      <c r="F2347" s="67"/>
      <c r="G2347" s="67"/>
      <c r="H2347" s="73"/>
      <c r="I2347" s="439"/>
      <c r="J2347" s="439"/>
      <c r="K2347" s="430"/>
      <c r="L2347" s="439"/>
      <c r="M2347" s="65"/>
      <c r="N2347" s="66"/>
      <c r="O2347" s="66"/>
      <c r="P2347" s="84" t="str">
        <f>IF(AND('331-CT'!$E$7=TH!H2347,OR(N2347="331",O2347="331")),"x","")</f>
        <v/>
      </c>
      <c r="Q2347" s="84" t="str">
        <f>IF(AND(B2347='111'!$L$11,OR($N2347=$Q$7,$O2347=$Q$7)),"x","")</f>
        <v/>
      </c>
      <c r="R2347" s="84" t="str">
        <f>IF(AND($N2347=$Q$7,$B2347&lt;'111'!$L$11),"x","")</f>
        <v/>
      </c>
      <c r="S2347" s="84" t="str">
        <f>IF(AND($O2347=$Q$7,$B2347&lt;'111'!$L$11),"x","")</f>
        <v/>
      </c>
      <c r="T2347" s="84" t="str">
        <f>IF(ISERROR(FIND('112'!$M$9,G2347,1)),"",IF((AND(FIND('112'!$M$9,G2347,1)&gt;=1,B2347='112'!$K$9,OR($N2347='112'!$I$6,$O2347='112'!$I$6))),"x",""))</f>
        <v/>
      </c>
      <c r="U2347" s="84" t="str">
        <f>IF(ISERROR(FIND('112'!$M$9,G2347,1)),"",IF((AND(LEFT(G2347,2)=LEFT('112'!$M$9,2),B2347&lt;'112'!$K$9,$N2347='112'!$I$6)),"x",""))</f>
        <v/>
      </c>
      <c r="V2347" s="84" t="str">
        <f>IF(ISERROR(FIND('112'!$M$9,G2347,1)),"",IF((AND(RIGHT(G2347,2)=RIGHT('112'!$M$9,2),B2347&lt;'112'!$K$9,$O2347='112'!$I$6)),"x",""))</f>
        <v/>
      </c>
      <c r="W2347" s="84" t="str">
        <f>IF(AND('341-CT'!$H$9=H2347,OR(LEFT(N2347,3)=$W$7,LEFT(O2347,3)=$W$7)),"x","")</f>
        <v/>
      </c>
      <c r="X2347" s="84" t="str">
        <f>IF(OR(TH!N2347=TH!$X$7,O2347=TH!$X$7),"x","")</f>
        <v/>
      </c>
      <c r="Y2347" s="84" t="str">
        <f>IF(AND(OR(N2347="131",O2347="131"),H2347='131-CT'!$H$9),"x","")</f>
        <v/>
      </c>
      <c r="Z2347" s="84"/>
      <c r="AA2347" s="84" t="str">
        <f>IF(AND(MONTH(E2347)='IN-NX'!$J$5,'IN-NX'!$D$7=D2347),"x","")</f>
        <v/>
      </c>
      <c r="AB2347" s="84" t="str">
        <f>IF(AND(OR(LEFT(TH!N2347,2)="15",LEFT(TH!O2347,2)="15"),LEFT(TH!O2347,3)&lt;&gt;"111",'152-CT'!$J$8=TH!F2347),"x","")</f>
        <v/>
      </c>
      <c r="AC2347" s="84" t="str">
        <f>IF(AND(OR(LEFT(TH!N2347,2)="15",LEFT(TH!O2347,2)="15"),TK!$E$7=TH!F2347),"x","")</f>
        <v/>
      </c>
      <c r="AD2347" s="84" t="str">
        <f>IF(AND(N2347="1521",MONTH(C2347)='BK-NL'!$M$11),"x","")</f>
        <v/>
      </c>
    </row>
    <row r="2348" spans="1:30" s="351" customFormat="1" ht="15.75" hidden="1" customHeight="1">
      <c r="A2348" s="336" t="str">
        <f>IF(B2348&lt;&gt;"",IF(AND(B2348='IN-TC'!$S$4,OR(TH!N2348="1111",TH!O2348="1111")),TH!D2348,""),"")</f>
        <v/>
      </c>
      <c r="B2348" s="63" t="str">
        <f t="shared" si="291"/>
        <v/>
      </c>
      <c r="C2348" s="64"/>
      <c r="D2348" s="64"/>
      <c r="E2348" s="64"/>
      <c r="F2348" s="67"/>
      <c r="G2348" s="67"/>
      <c r="H2348" s="73"/>
      <c r="I2348" s="439"/>
      <c r="J2348" s="439"/>
      <c r="K2348" s="430"/>
      <c r="L2348" s="439"/>
      <c r="M2348" s="65"/>
      <c r="N2348" s="66"/>
      <c r="O2348" s="66"/>
      <c r="P2348" s="84" t="str">
        <f>IF(AND('331-CT'!$E$7=TH!H2348,OR(N2348="331",O2348="331")),"x","")</f>
        <v/>
      </c>
      <c r="Q2348" s="84" t="str">
        <f>IF(AND(B2348='111'!$L$11,OR($N2348=$Q$7,$O2348=$Q$7)),"x","")</f>
        <v/>
      </c>
      <c r="R2348" s="84" t="str">
        <f>IF(AND($N2348=$Q$7,$B2348&lt;'111'!$L$11),"x","")</f>
        <v/>
      </c>
      <c r="S2348" s="84" t="str">
        <f>IF(AND($O2348=$Q$7,$B2348&lt;'111'!$L$11),"x","")</f>
        <v/>
      </c>
      <c r="T2348" s="84" t="str">
        <f>IF(ISERROR(FIND('112'!$M$9,G2348,1)),"",IF((AND(FIND('112'!$M$9,G2348,1)&gt;=1,B2348='112'!$K$9,OR($N2348='112'!$I$6,$O2348='112'!$I$6))),"x",""))</f>
        <v/>
      </c>
      <c r="U2348" s="84" t="str">
        <f>IF(ISERROR(FIND('112'!$M$9,G2348,1)),"",IF((AND(LEFT(G2348,2)=LEFT('112'!$M$9,2),B2348&lt;'112'!$K$9,$N2348='112'!$I$6)),"x",""))</f>
        <v/>
      </c>
      <c r="V2348" s="84" t="str">
        <f>IF(ISERROR(FIND('112'!$M$9,G2348,1)),"",IF((AND(RIGHT(G2348,2)=RIGHT('112'!$M$9,2),B2348&lt;'112'!$K$9,$O2348='112'!$I$6)),"x",""))</f>
        <v/>
      </c>
      <c r="W2348" s="84" t="str">
        <f>IF(AND('341-CT'!$H$9=H2348,OR(LEFT(N2348,3)=$W$7,LEFT(O2348,3)=$W$7)),"x","")</f>
        <v/>
      </c>
      <c r="X2348" s="84" t="str">
        <f>IF(OR(TH!N2348=TH!$X$7,O2348=TH!$X$7),"x","")</f>
        <v/>
      </c>
      <c r="Y2348" s="84" t="str">
        <f>IF(AND(OR(N2348="131",O2348="131"),H2348='131-CT'!$H$9),"x","")</f>
        <v/>
      </c>
      <c r="Z2348" s="84"/>
      <c r="AA2348" s="84" t="str">
        <f>IF(AND(MONTH(E2348)='IN-NX'!$J$5,'IN-NX'!$D$7=D2348),"x","")</f>
        <v/>
      </c>
      <c r="AB2348" s="84" t="str">
        <f>IF(AND(OR(LEFT(TH!N2348,2)="15",LEFT(TH!O2348,2)="15"),LEFT(TH!O2348,3)&lt;&gt;"111",'152-CT'!$J$8=TH!F2348),"x","")</f>
        <v/>
      </c>
      <c r="AC2348" s="84" t="str">
        <f>IF(AND(OR(LEFT(TH!N2348,2)="15",LEFT(TH!O2348,2)="15"),TK!$E$7=TH!F2348),"x","")</f>
        <v/>
      </c>
      <c r="AD2348" s="84" t="str">
        <f>IF(AND(N2348="1521",MONTH(C2348)='BK-NL'!$M$11),"x","")</f>
        <v/>
      </c>
    </row>
    <row r="2349" spans="1:30" s="351" customFormat="1" ht="15.75" hidden="1" customHeight="1">
      <c r="A2349" s="336" t="str">
        <f>IF(B2349&lt;&gt;"",IF(AND(B2349='IN-TC'!$S$4,OR(TH!N2349="1111",TH!O2349="1111")),TH!D2349,""),"")</f>
        <v/>
      </c>
      <c r="B2349" s="63" t="str">
        <f t="shared" si="291"/>
        <v/>
      </c>
      <c r="C2349" s="64"/>
      <c r="D2349" s="64"/>
      <c r="E2349" s="64"/>
      <c r="F2349" s="67"/>
      <c r="G2349" s="67"/>
      <c r="H2349" s="73"/>
      <c r="I2349" s="439"/>
      <c r="J2349" s="439"/>
      <c r="K2349" s="430"/>
      <c r="L2349" s="439"/>
      <c r="M2349" s="65"/>
      <c r="N2349" s="66"/>
      <c r="O2349" s="66"/>
      <c r="P2349" s="84" t="str">
        <f>IF(AND('331-CT'!$E$7=TH!H2349,OR(N2349="331",O2349="331")),"x","")</f>
        <v/>
      </c>
      <c r="Q2349" s="84" t="str">
        <f>IF(AND(B2349='111'!$L$11,OR($N2349=$Q$7,$O2349=$Q$7)),"x","")</f>
        <v/>
      </c>
      <c r="R2349" s="84" t="str">
        <f>IF(AND($N2349=$Q$7,$B2349&lt;'111'!$L$11),"x","")</f>
        <v/>
      </c>
      <c r="S2349" s="84" t="str">
        <f>IF(AND($O2349=$Q$7,$B2349&lt;'111'!$L$11),"x","")</f>
        <v/>
      </c>
      <c r="T2349" s="84" t="str">
        <f>IF(ISERROR(FIND('112'!$M$9,G2349,1)),"",IF((AND(FIND('112'!$M$9,G2349,1)&gt;=1,B2349='112'!$K$9,OR($N2349='112'!$I$6,$O2349='112'!$I$6))),"x",""))</f>
        <v/>
      </c>
      <c r="U2349" s="84" t="str">
        <f>IF(ISERROR(FIND('112'!$M$9,G2349,1)),"",IF((AND(LEFT(G2349,2)=LEFT('112'!$M$9,2),B2349&lt;'112'!$K$9,$N2349='112'!$I$6)),"x",""))</f>
        <v/>
      </c>
      <c r="V2349" s="84" t="str">
        <f>IF(ISERROR(FIND('112'!$M$9,G2349,1)),"",IF((AND(RIGHT(G2349,2)=RIGHT('112'!$M$9,2),B2349&lt;'112'!$K$9,$O2349='112'!$I$6)),"x",""))</f>
        <v/>
      </c>
      <c r="W2349" s="84" t="str">
        <f>IF(AND('341-CT'!$H$9=H2349,OR(LEFT(N2349,3)=$W$7,LEFT(O2349,3)=$W$7)),"x","")</f>
        <v/>
      </c>
      <c r="X2349" s="84" t="str">
        <f>IF(OR(TH!N2349=TH!$X$7,O2349=TH!$X$7),"x","")</f>
        <v/>
      </c>
      <c r="Y2349" s="84" t="str">
        <f>IF(AND(OR(N2349="131",O2349="131"),H2349='131-CT'!$H$9),"x","")</f>
        <v/>
      </c>
      <c r="Z2349" s="84"/>
      <c r="AA2349" s="84" t="str">
        <f>IF(AND(MONTH(E2349)='IN-NX'!$J$5,'IN-NX'!$D$7=D2349),"x","")</f>
        <v/>
      </c>
      <c r="AB2349" s="84" t="str">
        <f>IF(AND(OR(LEFT(TH!N2349,2)="15",LEFT(TH!O2349,2)="15"),LEFT(TH!O2349,3)&lt;&gt;"111",'152-CT'!$J$8=TH!F2349),"x","")</f>
        <v/>
      </c>
      <c r="AC2349" s="84" t="str">
        <f>IF(AND(OR(LEFT(TH!N2349,2)="15",LEFT(TH!O2349,2)="15"),TK!$E$7=TH!F2349),"x","")</f>
        <v/>
      </c>
      <c r="AD2349" s="84" t="str">
        <f>IF(AND(N2349="1521",MONTH(C2349)='BK-NL'!$M$11),"x","")</f>
        <v/>
      </c>
    </row>
    <row r="2350" spans="1:30" s="351" customFormat="1" ht="15.75" hidden="1" customHeight="1">
      <c r="A2350" s="336" t="str">
        <f>IF(B2350&lt;&gt;"",IF(AND(B2350='IN-TC'!$S$4,OR(TH!N2350="1111",TH!O2350="1111")),TH!D2350,""),"")</f>
        <v/>
      </c>
      <c r="B2350" s="63" t="str">
        <f t="shared" si="291"/>
        <v/>
      </c>
      <c r="C2350" s="64"/>
      <c r="D2350" s="64"/>
      <c r="E2350" s="64"/>
      <c r="F2350" s="67"/>
      <c r="G2350" s="67"/>
      <c r="H2350" s="73"/>
      <c r="I2350" s="439"/>
      <c r="J2350" s="439"/>
      <c r="K2350" s="430"/>
      <c r="L2350" s="439"/>
      <c r="M2350" s="65"/>
      <c r="N2350" s="66"/>
      <c r="O2350" s="66"/>
      <c r="P2350" s="84" t="str">
        <f>IF(AND('331-CT'!$E$7=TH!H2350,OR(N2350="331",O2350="331")),"x","")</f>
        <v/>
      </c>
      <c r="Q2350" s="84" t="str">
        <f>IF(AND(B2350='111'!$L$11,OR($N2350=$Q$7,$O2350=$Q$7)),"x","")</f>
        <v/>
      </c>
      <c r="R2350" s="84" t="str">
        <f>IF(AND($N2350=$Q$7,$B2350&lt;'111'!$L$11),"x","")</f>
        <v/>
      </c>
      <c r="S2350" s="84" t="str">
        <f>IF(AND($O2350=$Q$7,$B2350&lt;'111'!$L$11),"x","")</f>
        <v/>
      </c>
      <c r="T2350" s="84" t="str">
        <f>IF(ISERROR(FIND('112'!$M$9,G2350,1)),"",IF((AND(FIND('112'!$M$9,G2350,1)&gt;=1,B2350='112'!$K$9,OR($N2350='112'!$I$6,$O2350='112'!$I$6))),"x",""))</f>
        <v/>
      </c>
      <c r="U2350" s="84" t="str">
        <f>IF(ISERROR(FIND('112'!$M$9,G2350,1)),"",IF((AND(LEFT(G2350,2)=LEFT('112'!$M$9,2),B2350&lt;'112'!$K$9,$N2350='112'!$I$6)),"x",""))</f>
        <v/>
      </c>
      <c r="V2350" s="84" t="str">
        <f>IF(ISERROR(FIND('112'!$M$9,G2350,1)),"",IF((AND(RIGHT(G2350,2)=RIGHT('112'!$M$9,2),B2350&lt;'112'!$K$9,$O2350='112'!$I$6)),"x",""))</f>
        <v/>
      </c>
      <c r="W2350" s="84" t="str">
        <f>IF(AND('341-CT'!$H$9=H2350,OR(LEFT(N2350,3)=$W$7,LEFT(O2350,3)=$W$7)),"x","")</f>
        <v/>
      </c>
      <c r="X2350" s="84" t="str">
        <f>IF(OR(TH!N2350=TH!$X$7,O2350=TH!$X$7),"x","")</f>
        <v/>
      </c>
      <c r="Y2350" s="84" t="str">
        <f>IF(AND(OR(N2350="131",O2350="131"),H2350='131-CT'!$H$9),"x","")</f>
        <v/>
      </c>
      <c r="Z2350" s="84"/>
      <c r="AA2350" s="84" t="str">
        <f>IF(AND(MONTH(E2350)='IN-NX'!$J$5,'IN-NX'!$D$7=D2350),"x","")</f>
        <v/>
      </c>
      <c r="AB2350" s="84" t="str">
        <f>IF(AND(OR(LEFT(TH!N2350,2)="15",LEFT(TH!O2350,2)="15"),LEFT(TH!O2350,3)&lt;&gt;"111",'152-CT'!$J$8=TH!F2350),"x","")</f>
        <v/>
      </c>
      <c r="AC2350" s="84" t="str">
        <f>IF(AND(OR(LEFT(TH!N2350,2)="15",LEFT(TH!O2350,2)="15"),TK!$E$7=TH!F2350),"x","")</f>
        <v/>
      </c>
      <c r="AD2350" s="84" t="str">
        <f>IF(AND(N2350="1521",MONTH(C2350)='BK-NL'!$M$11),"x","")</f>
        <v/>
      </c>
    </row>
    <row r="2351" spans="1:30" s="351" customFormat="1" ht="15.75" hidden="1" customHeight="1">
      <c r="A2351" s="336" t="str">
        <f>IF(B2351&lt;&gt;"",IF(AND(B2351='IN-TC'!$S$4,OR(TH!N2351="1111",TH!O2351="1111")),TH!D2351,""),"")</f>
        <v/>
      </c>
      <c r="B2351" s="63" t="str">
        <f t="shared" si="291"/>
        <v/>
      </c>
      <c r="C2351" s="64"/>
      <c r="D2351" s="64"/>
      <c r="E2351" s="64"/>
      <c r="F2351" s="67"/>
      <c r="G2351" s="67"/>
      <c r="H2351" s="73"/>
      <c r="I2351" s="439"/>
      <c r="J2351" s="439"/>
      <c r="K2351" s="430"/>
      <c r="L2351" s="439"/>
      <c r="M2351" s="65"/>
      <c r="N2351" s="66"/>
      <c r="O2351" s="66"/>
      <c r="P2351" s="84" t="str">
        <f>IF(AND('331-CT'!$E$7=TH!H2351,OR(N2351="331",O2351="331")),"x","")</f>
        <v/>
      </c>
      <c r="Q2351" s="84" t="str">
        <f>IF(AND(B2351='111'!$L$11,OR($N2351=$Q$7,$O2351=$Q$7)),"x","")</f>
        <v/>
      </c>
      <c r="R2351" s="84" t="str">
        <f>IF(AND($N2351=$Q$7,$B2351&lt;'111'!$L$11),"x","")</f>
        <v/>
      </c>
      <c r="S2351" s="84" t="str">
        <f>IF(AND($O2351=$Q$7,$B2351&lt;'111'!$L$11),"x","")</f>
        <v/>
      </c>
      <c r="T2351" s="84" t="str">
        <f>IF(ISERROR(FIND('112'!$M$9,G2351,1)),"",IF((AND(FIND('112'!$M$9,G2351,1)&gt;=1,B2351='112'!$K$9,OR($N2351='112'!$I$6,$O2351='112'!$I$6))),"x",""))</f>
        <v/>
      </c>
      <c r="U2351" s="84" t="str">
        <f>IF(ISERROR(FIND('112'!$M$9,G2351,1)),"",IF((AND(LEFT(G2351,2)=LEFT('112'!$M$9,2),B2351&lt;'112'!$K$9,$N2351='112'!$I$6)),"x",""))</f>
        <v/>
      </c>
      <c r="V2351" s="84" t="str">
        <f>IF(ISERROR(FIND('112'!$M$9,G2351,1)),"",IF((AND(RIGHT(G2351,2)=RIGHT('112'!$M$9,2),B2351&lt;'112'!$K$9,$O2351='112'!$I$6)),"x",""))</f>
        <v/>
      </c>
      <c r="W2351" s="84" t="str">
        <f>IF(AND('341-CT'!$H$9=H2351,OR(LEFT(N2351,3)=$W$7,LEFT(O2351,3)=$W$7)),"x","")</f>
        <v/>
      </c>
      <c r="X2351" s="84" t="str">
        <f>IF(OR(TH!N2351=TH!$X$7,O2351=TH!$X$7),"x","")</f>
        <v/>
      </c>
      <c r="Y2351" s="84" t="str">
        <f>IF(AND(OR(N2351="131",O2351="131"),H2351='131-CT'!$H$9),"x","")</f>
        <v/>
      </c>
      <c r="Z2351" s="84"/>
      <c r="AA2351" s="84" t="str">
        <f>IF(AND(MONTH(E2351)='IN-NX'!$J$5,'IN-NX'!$D$7=D2351),"x","")</f>
        <v/>
      </c>
      <c r="AB2351" s="84" t="str">
        <f>IF(AND(OR(LEFT(TH!N2351,2)="15",LEFT(TH!O2351,2)="15"),LEFT(TH!O2351,3)&lt;&gt;"111",'152-CT'!$J$8=TH!F2351),"x","")</f>
        <v/>
      </c>
      <c r="AC2351" s="84" t="str">
        <f>IF(AND(OR(LEFT(TH!N2351,2)="15",LEFT(TH!O2351,2)="15"),TK!$E$7=TH!F2351),"x","")</f>
        <v/>
      </c>
      <c r="AD2351" s="84" t="str">
        <f>IF(AND(N2351="1521",MONTH(C2351)='BK-NL'!$M$11),"x","")</f>
        <v/>
      </c>
    </row>
    <row r="2352" spans="1:30" s="351" customFormat="1" ht="15.75" hidden="1" customHeight="1">
      <c r="A2352" s="336" t="str">
        <f>IF(B2352&lt;&gt;"",IF(AND(B2352='IN-TC'!$S$4,OR(TH!N2352="1111",TH!O2352="1111")),TH!D2352,""),"")</f>
        <v/>
      </c>
      <c r="B2352" s="63" t="str">
        <f t="shared" si="291"/>
        <v/>
      </c>
      <c r="C2352" s="64"/>
      <c r="D2352" s="64"/>
      <c r="E2352" s="64"/>
      <c r="F2352" s="67"/>
      <c r="G2352" s="67"/>
      <c r="H2352" s="73"/>
      <c r="I2352" s="439"/>
      <c r="J2352" s="439"/>
      <c r="K2352" s="430"/>
      <c r="L2352" s="439"/>
      <c r="M2352" s="65"/>
      <c r="N2352" s="66"/>
      <c r="O2352" s="66"/>
      <c r="P2352" s="84" t="str">
        <f>IF(AND('331-CT'!$E$7=TH!H2352,OR(N2352="331",O2352="331")),"x","")</f>
        <v/>
      </c>
      <c r="Q2352" s="84" t="str">
        <f>IF(AND(B2352='111'!$L$11,OR($N2352=$Q$7,$O2352=$Q$7)),"x","")</f>
        <v/>
      </c>
      <c r="R2352" s="84" t="str">
        <f>IF(AND($N2352=$Q$7,$B2352&lt;'111'!$L$11),"x","")</f>
        <v/>
      </c>
      <c r="S2352" s="84" t="str">
        <f>IF(AND($O2352=$Q$7,$B2352&lt;'111'!$L$11),"x","")</f>
        <v/>
      </c>
      <c r="T2352" s="84" t="str">
        <f>IF(ISERROR(FIND('112'!$M$9,G2352,1)),"",IF((AND(FIND('112'!$M$9,G2352,1)&gt;=1,B2352='112'!$K$9,OR($N2352='112'!$I$6,$O2352='112'!$I$6))),"x",""))</f>
        <v/>
      </c>
      <c r="U2352" s="84" t="str">
        <f>IF(ISERROR(FIND('112'!$M$9,G2352,1)),"",IF((AND(LEFT(G2352,2)=LEFT('112'!$M$9,2),B2352&lt;'112'!$K$9,$N2352='112'!$I$6)),"x",""))</f>
        <v/>
      </c>
      <c r="V2352" s="84" t="str">
        <f>IF(ISERROR(FIND('112'!$M$9,G2352,1)),"",IF((AND(RIGHT(G2352,2)=RIGHT('112'!$M$9,2),B2352&lt;'112'!$K$9,$O2352='112'!$I$6)),"x",""))</f>
        <v/>
      </c>
      <c r="W2352" s="84" t="str">
        <f>IF(AND('341-CT'!$H$9=H2352,OR(LEFT(N2352,3)=$W$7,LEFT(O2352,3)=$W$7)),"x","")</f>
        <v/>
      </c>
      <c r="X2352" s="84" t="str">
        <f>IF(OR(TH!N2352=TH!$X$7,O2352=TH!$X$7),"x","")</f>
        <v/>
      </c>
      <c r="Y2352" s="84" t="str">
        <f>IF(AND(OR(N2352="131",O2352="131"),H2352='131-CT'!$H$9),"x","")</f>
        <v/>
      </c>
      <c r="Z2352" s="84"/>
      <c r="AA2352" s="84" t="str">
        <f>IF(AND(MONTH(E2352)='IN-NX'!$J$5,'IN-NX'!$D$7=D2352),"x","")</f>
        <v/>
      </c>
      <c r="AB2352" s="84" t="str">
        <f>IF(AND(OR(LEFT(TH!N2352,2)="15",LEFT(TH!O2352,2)="15"),LEFT(TH!O2352,3)&lt;&gt;"111",'152-CT'!$J$8=TH!F2352),"x","")</f>
        <v/>
      </c>
      <c r="AC2352" s="84" t="str">
        <f>IF(AND(OR(LEFT(TH!N2352,2)="15",LEFT(TH!O2352,2)="15"),TK!$E$7=TH!F2352),"x","")</f>
        <v/>
      </c>
      <c r="AD2352" s="84" t="str">
        <f>IF(AND(N2352="1521",MONTH(C2352)='BK-NL'!$M$11),"x","")</f>
        <v/>
      </c>
    </row>
    <row r="2353" spans="1:30" s="351" customFormat="1" ht="15.75" hidden="1" customHeight="1">
      <c r="A2353" s="336" t="str">
        <f>IF(B2353&lt;&gt;"",IF(AND(B2353='IN-TC'!$S$4,OR(TH!N2353="1111",TH!O2353="1111")),TH!D2353,""),"")</f>
        <v/>
      </c>
      <c r="B2353" s="63" t="str">
        <f t="shared" si="291"/>
        <v/>
      </c>
      <c r="C2353" s="64"/>
      <c r="D2353" s="64"/>
      <c r="E2353" s="64"/>
      <c r="F2353" s="67"/>
      <c r="G2353" s="67"/>
      <c r="H2353" s="73"/>
      <c r="I2353" s="439"/>
      <c r="J2353" s="439"/>
      <c r="K2353" s="430"/>
      <c r="L2353" s="439"/>
      <c r="M2353" s="65"/>
      <c r="N2353" s="66"/>
      <c r="O2353" s="66"/>
      <c r="P2353" s="84" t="str">
        <f>IF(AND('331-CT'!$E$7=TH!H2353,OR(N2353="331",O2353="331")),"x","")</f>
        <v/>
      </c>
      <c r="Q2353" s="84" t="str">
        <f>IF(AND(B2353='111'!$L$11,OR($N2353=$Q$7,$O2353=$Q$7)),"x","")</f>
        <v/>
      </c>
      <c r="R2353" s="84" t="str">
        <f>IF(AND($N2353=$Q$7,$B2353&lt;'111'!$L$11),"x","")</f>
        <v/>
      </c>
      <c r="S2353" s="84" t="str">
        <f>IF(AND($O2353=$Q$7,$B2353&lt;'111'!$L$11),"x","")</f>
        <v/>
      </c>
      <c r="T2353" s="84" t="str">
        <f>IF(ISERROR(FIND('112'!$M$9,G2353,1)),"",IF((AND(FIND('112'!$M$9,G2353,1)&gt;=1,B2353='112'!$K$9,OR($N2353='112'!$I$6,$O2353='112'!$I$6))),"x",""))</f>
        <v/>
      </c>
      <c r="U2353" s="84" t="str">
        <f>IF(ISERROR(FIND('112'!$M$9,G2353,1)),"",IF((AND(LEFT(G2353,2)=LEFT('112'!$M$9,2),B2353&lt;'112'!$K$9,$N2353='112'!$I$6)),"x",""))</f>
        <v/>
      </c>
      <c r="V2353" s="84" t="str">
        <f>IF(ISERROR(FIND('112'!$M$9,G2353,1)),"",IF((AND(RIGHT(G2353,2)=RIGHT('112'!$M$9,2),B2353&lt;'112'!$K$9,$O2353='112'!$I$6)),"x",""))</f>
        <v/>
      </c>
      <c r="W2353" s="84" t="str">
        <f>IF(AND('341-CT'!$H$9=H2353,OR(LEFT(N2353,3)=$W$7,LEFT(O2353,3)=$W$7)),"x","")</f>
        <v/>
      </c>
      <c r="X2353" s="84" t="str">
        <f>IF(OR(TH!N2353=TH!$X$7,O2353=TH!$X$7),"x","")</f>
        <v/>
      </c>
      <c r="Y2353" s="84" t="str">
        <f>IF(AND(OR(N2353="131",O2353="131"),H2353='131-CT'!$H$9),"x","")</f>
        <v/>
      </c>
      <c r="Z2353" s="84"/>
      <c r="AA2353" s="84" t="str">
        <f>IF(AND(MONTH(E2353)='IN-NX'!$J$5,'IN-NX'!$D$7=D2353),"x","")</f>
        <v/>
      </c>
      <c r="AB2353" s="84" t="str">
        <f>IF(AND(OR(LEFT(TH!N2353,2)="15",LEFT(TH!O2353,2)="15"),LEFT(TH!O2353,3)&lt;&gt;"111",'152-CT'!$J$8=TH!F2353),"x","")</f>
        <v/>
      </c>
      <c r="AC2353" s="84" t="str">
        <f>IF(AND(OR(LEFT(TH!N2353,2)="15",LEFT(TH!O2353,2)="15"),TK!$E$7=TH!F2353),"x","")</f>
        <v/>
      </c>
      <c r="AD2353" s="84" t="str">
        <f>IF(AND(N2353="1521",MONTH(C2353)='BK-NL'!$M$11),"x","")</f>
        <v/>
      </c>
    </row>
    <row r="2354" spans="1:30" s="351" customFormat="1" ht="15.75" hidden="1" customHeight="1">
      <c r="A2354" s="336" t="str">
        <f>IF(B2354&lt;&gt;"",IF(AND(B2354='IN-TC'!$S$4,OR(TH!N2354="1111",TH!O2354="1111")),TH!D2354,""),"")</f>
        <v/>
      </c>
      <c r="B2354" s="63" t="str">
        <f t="shared" si="291"/>
        <v/>
      </c>
      <c r="C2354" s="64"/>
      <c r="D2354" s="64"/>
      <c r="E2354" s="64"/>
      <c r="F2354" s="67"/>
      <c r="G2354" s="67"/>
      <c r="H2354" s="73"/>
      <c r="I2354" s="439"/>
      <c r="J2354" s="439"/>
      <c r="K2354" s="430"/>
      <c r="L2354" s="439"/>
      <c r="M2354" s="65"/>
      <c r="N2354" s="66"/>
      <c r="O2354" s="66"/>
      <c r="P2354" s="84" t="str">
        <f>IF(AND('331-CT'!$E$7=TH!H2354,OR(N2354="331",O2354="331")),"x","")</f>
        <v/>
      </c>
      <c r="Q2354" s="84" t="str">
        <f>IF(AND(B2354='111'!$L$11,OR($N2354=$Q$7,$O2354=$Q$7)),"x","")</f>
        <v/>
      </c>
      <c r="R2354" s="84" t="str">
        <f>IF(AND($N2354=$Q$7,$B2354&lt;'111'!$L$11),"x","")</f>
        <v/>
      </c>
      <c r="S2354" s="84" t="str">
        <f>IF(AND($O2354=$Q$7,$B2354&lt;'111'!$L$11),"x","")</f>
        <v/>
      </c>
      <c r="T2354" s="84" t="str">
        <f>IF(ISERROR(FIND('112'!$M$9,G2354,1)),"",IF((AND(FIND('112'!$M$9,G2354,1)&gt;=1,B2354='112'!$K$9,OR($N2354='112'!$I$6,$O2354='112'!$I$6))),"x",""))</f>
        <v/>
      </c>
      <c r="U2354" s="84" t="str">
        <f>IF(ISERROR(FIND('112'!$M$9,G2354,1)),"",IF((AND(LEFT(G2354,2)=LEFT('112'!$M$9,2),B2354&lt;'112'!$K$9,$N2354='112'!$I$6)),"x",""))</f>
        <v/>
      </c>
      <c r="V2354" s="84" t="str">
        <f>IF(ISERROR(FIND('112'!$M$9,G2354,1)),"",IF((AND(RIGHT(G2354,2)=RIGHT('112'!$M$9,2),B2354&lt;'112'!$K$9,$O2354='112'!$I$6)),"x",""))</f>
        <v/>
      </c>
      <c r="W2354" s="84" t="str">
        <f>IF(AND('341-CT'!$H$9=H2354,OR(LEFT(N2354,3)=$W$7,LEFT(O2354,3)=$W$7)),"x","")</f>
        <v/>
      </c>
      <c r="X2354" s="84" t="str">
        <f>IF(OR(TH!N2354=TH!$X$7,O2354=TH!$X$7),"x","")</f>
        <v/>
      </c>
      <c r="Y2354" s="84" t="str">
        <f>IF(AND(OR(N2354="131",O2354="131"),H2354='131-CT'!$H$9),"x","")</f>
        <v/>
      </c>
      <c r="Z2354" s="84"/>
      <c r="AA2354" s="84" t="str">
        <f>IF(AND(MONTH(E2354)='IN-NX'!$J$5,'IN-NX'!$D$7=D2354),"x","")</f>
        <v/>
      </c>
      <c r="AB2354" s="84" t="str">
        <f>IF(AND(OR(LEFT(TH!N2354,2)="15",LEFT(TH!O2354,2)="15"),LEFT(TH!O2354,3)&lt;&gt;"111",'152-CT'!$J$8=TH!F2354),"x","")</f>
        <v/>
      </c>
      <c r="AC2354" s="84" t="str">
        <f>IF(AND(OR(LEFT(TH!N2354,2)="15",LEFT(TH!O2354,2)="15"),TK!$E$7=TH!F2354),"x","")</f>
        <v/>
      </c>
      <c r="AD2354" s="84" t="str">
        <f>IF(AND(N2354="1521",MONTH(C2354)='BK-NL'!$M$11),"x","")</f>
        <v/>
      </c>
    </row>
    <row r="2355" spans="1:30" s="351" customFormat="1" ht="15.75" hidden="1" customHeight="1">
      <c r="A2355" s="336" t="str">
        <f>IF(B2355&lt;&gt;"",IF(AND(B2355='IN-TC'!$S$4,OR(TH!N2355="1111",TH!O2355="1111")),TH!D2355,""),"")</f>
        <v/>
      </c>
      <c r="B2355" s="63" t="str">
        <f t="shared" si="291"/>
        <v/>
      </c>
      <c r="C2355" s="64"/>
      <c r="D2355" s="64"/>
      <c r="E2355" s="64"/>
      <c r="F2355" s="67"/>
      <c r="G2355" s="67"/>
      <c r="H2355" s="73"/>
      <c r="I2355" s="439"/>
      <c r="J2355" s="439"/>
      <c r="K2355" s="430"/>
      <c r="L2355" s="439"/>
      <c r="M2355" s="65"/>
      <c r="N2355" s="66"/>
      <c r="O2355" s="66"/>
      <c r="P2355" s="84" t="str">
        <f>IF(AND('331-CT'!$E$7=TH!H2355,OR(N2355="331",O2355="331")),"x","")</f>
        <v/>
      </c>
      <c r="Q2355" s="84" t="str">
        <f>IF(AND(B2355='111'!$L$11,OR($N2355=$Q$7,$O2355=$Q$7)),"x","")</f>
        <v/>
      </c>
      <c r="R2355" s="84" t="str">
        <f>IF(AND($N2355=$Q$7,$B2355&lt;'111'!$L$11),"x","")</f>
        <v/>
      </c>
      <c r="S2355" s="84" t="str">
        <f>IF(AND($O2355=$Q$7,$B2355&lt;'111'!$L$11),"x","")</f>
        <v/>
      </c>
      <c r="T2355" s="84" t="str">
        <f>IF(ISERROR(FIND('112'!$M$9,G2355,1)),"",IF((AND(FIND('112'!$M$9,G2355,1)&gt;=1,B2355='112'!$K$9,OR($N2355='112'!$I$6,$O2355='112'!$I$6))),"x",""))</f>
        <v/>
      </c>
      <c r="U2355" s="84" t="str">
        <f>IF(ISERROR(FIND('112'!$M$9,G2355,1)),"",IF((AND(LEFT(G2355,2)=LEFT('112'!$M$9,2),B2355&lt;'112'!$K$9,$N2355='112'!$I$6)),"x",""))</f>
        <v/>
      </c>
      <c r="V2355" s="84" t="str">
        <f>IF(ISERROR(FIND('112'!$M$9,G2355,1)),"",IF((AND(RIGHT(G2355,2)=RIGHT('112'!$M$9,2),B2355&lt;'112'!$K$9,$O2355='112'!$I$6)),"x",""))</f>
        <v/>
      </c>
      <c r="W2355" s="84" t="str">
        <f>IF(AND('341-CT'!$H$9=H2355,OR(LEFT(N2355,3)=$W$7,LEFT(O2355,3)=$W$7)),"x","")</f>
        <v/>
      </c>
      <c r="X2355" s="84" t="str">
        <f>IF(OR(TH!N2355=TH!$X$7,O2355=TH!$X$7),"x","")</f>
        <v/>
      </c>
      <c r="Y2355" s="84" t="str">
        <f>IF(AND(OR(N2355="131",O2355="131"),H2355='131-CT'!$H$9),"x","")</f>
        <v/>
      </c>
      <c r="Z2355" s="84"/>
      <c r="AA2355" s="84" t="str">
        <f>IF(AND(MONTH(E2355)='IN-NX'!$J$5,'IN-NX'!$D$7=D2355),"x","")</f>
        <v/>
      </c>
      <c r="AB2355" s="84" t="str">
        <f>IF(AND(OR(LEFT(TH!N2355,2)="15",LEFT(TH!O2355,2)="15"),LEFT(TH!O2355,3)&lt;&gt;"111",'152-CT'!$J$8=TH!F2355),"x","")</f>
        <v/>
      </c>
      <c r="AC2355" s="84" t="str">
        <f>IF(AND(OR(LEFT(TH!N2355,2)="15",LEFT(TH!O2355,2)="15"),TK!$E$7=TH!F2355),"x","")</f>
        <v/>
      </c>
      <c r="AD2355" s="84" t="str">
        <f>IF(AND(N2355="1521",MONTH(C2355)='BK-NL'!$M$11),"x","")</f>
        <v/>
      </c>
    </row>
    <row r="2356" spans="1:30" s="351" customFormat="1" ht="15.75" hidden="1" customHeight="1">
      <c r="A2356" s="336" t="str">
        <f>IF(B2356&lt;&gt;"",IF(AND(B2356='IN-TC'!$S$4,OR(TH!N2356="1111",TH!O2356="1111")),TH!D2356,""),"")</f>
        <v/>
      </c>
      <c r="B2356" s="63" t="str">
        <f t="shared" si="291"/>
        <v/>
      </c>
      <c r="C2356" s="64"/>
      <c r="D2356" s="64"/>
      <c r="E2356" s="64"/>
      <c r="F2356" s="67"/>
      <c r="G2356" s="67"/>
      <c r="H2356" s="73"/>
      <c r="I2356" s="439"/>
      <c r="J2356" s="439"/>
      <c r="K2356" s="430"/>
      <c r="L2356" s="439"/>
      <c r="M2356" s="65"/>
      <c r="N2356" s="66"/>
      <c r="O2356" s="66"/>
      <c r="P2356" s="84" t="str">
        <f>IF(AND('331-CT'!$E$7=TH!H2356,OR(N2356="331",O2356="331")),"x","")</f>
        <v/>
      </c>
      <c r="Q2356" s="84" t="str">
        <f>IF(AND(B2356='111'!$L$11,OR($N2356=$Q$7,$O2356=$Q$7)),"x","")</f>
        <v/>
      </c>
      <c r="R2356" s="84" t="str">
        <f>IF(AND($N2356=$Q$7,$B2356&lt;'111'!$L$11),"x","")</f>
        <v/>
      </c>
      <c r="S2356" s="84" t="str">
        <f>IF(AND($O2356=$Q$7,$B2356&lt;'111'!$L$11),"x","")</f>
        <v/>
      </c>
      <c r="T2356" s="84" t="str">
        <f>IF(ISERROR(FIND('112'!$M$9,G2356,1)),"",IF((AND(FIND('112'!$M$9,G2356,1)&gt;=1,B2356='112'!$K$9,OR($N2356='112'!$I$6,$O2356='112'!$I$6))),"x",""))</f>
        <v/>
      </c>
      <c r="U2356" s="84" t="str">
        <f>IF(ISERROR(FIND('112'!$M$9,G2356,1)),"",IF((AND(LEFT(G2356,2)=LEFT('112'!$M$9,2),B2356&lt;'112'!$K$9,$N2356='112'!$I$6)),"x",""))</f>
        <v/>
      </c>
      <c r="V2356" s="84" t="str">
        <f>IF(ISERROR(FIND('112'!$M$9,G2356,1)),"",IF((AND(RIGHT(G2356,2)=RIGHT('112'!$M$9,2),B2356&lt;'112'!$K$9,$O2356='112'!$I$6)),"x",""))</f>
        <v/>
      </c>
      <c r="W2356" s="84" t="str">
        <f>IF(AND('341-CT'!$H$9=H2356,OR(LEFT(N2356,3)=$W$7,LEFT(O2356,3)=$W$7)),"x","")</f>
        <v/>
      </c>
      <c r="X2356" s="84" t="str">
        <f>IF(OR(TH!N2356=TH!$X$7,O2356=TH!$X$7),"x","")</f>
        <v/>
      </c>
      <c r="Y2356" s="84" t="str">
        <f>IF(AND(OR(N2356="131",O2356="131"),H2356='131-CT'!$H$9),"x","")</f>
        <v/>
      </c>
      <c r="Z2356" s="84"/>
      <c r="AA2356" s="84" t="str">
        <f>IF(AND(MONTH(E2356)='IN-NX'!$J$5,'IN-NX'!$D$7=D2356),"x","")</f>
        <v/>
      </c>
      <c r="AB2356" s="84" t="str">
        <f>IF(AND(OR(LEFT(TH!N2356,2)="15",LEFT(TH!O2356,2)="15"),LEFT(TH!O2356,3)&lt;&gt;"111",'152-CT'!$J$8=TH!F2356),"x","")</f>
        <v/>
      </c>
      <c r="AC2356" s="84" t="str">
        <f>IF(AND(OR(LEFT(TH!N2356,2)="15",LEFT(TH!O2356,2)="15"),TK!$E$7=TH!F2356),"x","")</f>
        <v/>
      </c>
      <c r="AD2356" s="84" t="str">
        <f>IF(AND(N2356="1521",MONTH(C2356)='BK-NL'!$M$11),"x","")</f>
        <v/>
      </c>
    </row>
    <row r="2357" spans="1:30" s="351" customFormat="1" ht="15.75" hidden="1" customHeight="1">
      <c r="A2357" s="336" t="str">
        <f>IF(B2357&lt;&gt;"",IF(AND(B2357='IN-TC'!$S$4,OR(TH!N2357="1111",TH!O2357="1111")),TH!D2357,""),"")</f>
        <v/>
      </c>
      <c r="B2357" s="63" t="str">
        <f t="shared" si="291"/>
        <v/>
      </c>
      <c r="C2357" s="64"/>
      <c r="D2357" s="64"/>
      <c r="E2357" s="64"/>
      <c r="F2357" s="67"/>
      <c r="G2357" s="67"/>
      <c r="H2357" s="73"/>
      <c r="I2357" s="439"/>
      <c r="J2357" s="439"/>
      <c r="K2357" s="430"/>
      <c r="L2357" s="439"/>
      <c r="M2357" s="65"/>
      <c r="N2357" s="66"/>
      <c r="O2357" s="66"/>
      <c r="P2357" s="84" t="str">
        <f>IF(AND('331-CT'!$E$7=TH!H2357,OR(N2357="331",O2357="331")),"x","")</f>
        <v/>
      </c>
      <c r="Q2357" s="84" t="str">
        <f>IF(AND(B2357='111'!$L$11,OR($N2357=$Q$7,$O2357=$Q$7)),"x","")</f>
        <v/>
      </c>
      <c r="R2357" s="84" t="str">
        <f>IF(AND($N2357=$Q$7,$B2357&lt;'111'!$L$11),"x","")</f>
        <v/>
      </c>
      <c r="S2357" s="84" t="str">
        <f>IF(AND($O2357=$Q$7,$B2357&lt;'111'!$L$11),"x","")</f>
        <v/>
      </c>
      <c r="T2357" s="84" t="str">
        <f>IF(ISERROR(FIND('112'!$M$9,G2357,1)),"",IF((AND(FIND('112'!$M$9,G2357,1)&gt;=1,B2357='112'!$K$9,OR($N2357='112'!$I$6,$O2357='112'!$I$6))),"x",""))</f>
        <v/>
      </c>
      <c r="U2357" s="84" t="str">
        <f>IF(ISERROR(FIND('112'!$M$9,G2357,1)),"",IF((AND(LEFT(G2357,2)=LEFT('112'!$M$9,2),B2357&lt;'112'!$K$9,$N2357='112'!$I$6)),"x",""))</f>
        <v/>
      </c>
      <c r="V2357" s="84" t="str">
        <f>IF(ISERROR(FIND('112'!$M$9,G2357,1)),"",IF((AND(RIGHT(G2357,2)=RIGHT('112'!$M$9,2),B2357&lt;'112'!$K$9,$O2357='112'!$I$6)),"x",""))</f>
        <v/>
      </c>
      <c r="W2357" s="84" t="str">
        <f>IF(AND('341-CT'!$H$9=H2357,OR(LEFT(N2357,3)=$W$7,LEFT(O2357,3)=$W$7)),"x","")</f>
        <v/>
      </c>
      <c r="X2357" s="84" t="str">
        <f>IF(OR(TH!N2357=TH!$X$7,O2357=TH!$X$7),"x","")</f>
        <v/>
      </c>
      <c r="Y2357" s="84" t="str">
        <f>IF(AND(OR(N2357="131",O2357="131"),H2357='131-CT'!$H$9),"x","")</f>
        <v/>
      </c>
      <c r="Z2357" s="84"/>
      <c r="AA2357" s="84" t="str">
        <f>IF(AND(MONTH(E2357)='IN-NX'!$J$5,'IN-NX'!$D$7=D2357),"x","")</f>
        <v/>
      </c>
      <c r="AB2357" s="84" t="str">
        <f>IF(AND(OR(LEFT(TH!N2357,2)="15",LEFT(TH!O2357,2)="15"),LEFT(TH!O2357,3)&lt;&gt;"111",'152-CT'!$J$8=TH!F2357),"x","")</f>
        <v/>
      </c>
      <c r="AC2357" s="84" t="str">
        <f>IF(AND(OR(LEFT(TH!N2357,2)="15",LEFT(TH!O2357,2)="15"),TK!$E$7=TH!F2357),"x","")</f>
        <v/>
      </c>
      <c r="AD2357" s="84" t="str">
        <f>IF(AND(N2357="1521",MONTH(C2357)='BK-NL'!$M$11),"x","")</f>
        <v/>
      </c>
    </row>
    <row r="2358" spans="1:30" s="351" customFormat="1" ht="15.75" hidden="1" customHeight="1">
      <c r="A2358" s="336" t="str">
        <f>IF(B2358&lt;&gt;"",IF(AND(B2358='IN-TC'!$S$4,OR(TH!N2358="1111",TH!O2358="1111")),TH!D2358,""),"")</f>
        <v/>
      </c>
      <c r="B2358" s="63" t="str">
        <f t="shared" si="291"/>
        <v/>
      </c>
      <c r="C2358" s="64"/>
      <c r="D2358" s="64"/>
      <c r="E2358" s="64"/>
      <c r="F2358" s="67"/>
      <c r="G2358" s="67"/>
      <c r="H2358" s="73"/>
      <c r="I2358" s="439"/>
      <c r="J2358" s="439"/>
      <c r="K2358" s="430"/>
      <c r="L2358" s="439"/>
      <c r="M2358" s="65"/>
      <c r="N2358" s="66"/>
      <c r="O2358" s="66"/>
      <c r="P2358" s="84" t="str">
        <f>IF(AND('331-CT'!$E$7=TH!H2358,OR(N2358="331",O2358="331")),"x","")</f>
        <v/>
      </c>
      <c r="Q2358" s="84" t="str">
        <f>IF(AND(B2358='111'!$L$11,OR($N2358=$Q$7,$O2358=$Q$7)),"x","")</f>
        <v/>
      </c>
      <c r="R2358" s="84" t="str">
        <f>IF(AND($N2358=$Q$7,$B2358&lt;'111'!$L$11),"x","")</f>
        <v/>
      </c>
      <c r="S2358" s="84" t="str">
        <f>IF(AND($O2358=$Q$7,$B2358&lt;'111'!$L$11),"x","")</f>
        <v/>
      </c>
      <c r="T2358" s="84" t="str">
        <f>IF(ISERROR(FIND('112'!$M$9,G2358,1)),"",IF((AND(FIND('112'!$M$9,G2358,1)&gt;=1,B2358='112'!$K$9,OR($N2358='112'!$I$6,$O2358='112'!$I$6))),"x",""))</f>
        <v/>
      </c>
      <c r="U2358" s="84" t="str">
        <f>IF(ISERROR(FIND('112'!$M$9,G2358,1)),"",IF((AND(LEFT(G2358,2)=LEFT('112'!$M$9,2),B2358&lt;'112'!$K$9,$N2358='112'!$I$6)),"x",""))</f>
        <v/>
      </c>
      <c r="V2358" s="84" t="str">
        <f>IF(ISERROR(FIND('112'!$M$9,G2358,1)),"",IF((AND(RIGHT(G2358,2)=RIGHT('112'!$M$9,2),B2358&lt;'112'!$K$9,$O2358='112'!$I$6)),"x",""))</f>
        <v/>
      </c>
      <c r="W2358" s="84" t="str">
        <f>IF(AND('341-CT'!$H$9=H2358,OR(LEFT(N2358,3)=$W$7,LEFT(O2358,3)=$W$7)),"x","")</f>
        <v/>
      </c>
      <c r="X2358" s="84" t="str">
        <f>IF(OR(TH!N2358=TH!$X$7,O2358=TH!$X$7),"x","")</f>
        <v/>
      </c>
      <c r="Y2358" s="84" t="str">
        <f>IF(AND(OR(N2358="131",O2358="131"),H2358='131-CT'!$H$9),"x","")</f>
        <v/>
      </c>
      <c r="Z2358" s="84"/>
      <c r="AA2358" s="84" t="str">
        <f>IF(AND(MONTH(E2358)='IN-NX'!$J$5,'IN-NX'!$D$7=D2358),"x","")</f>
        <v/>
      </c>
      <c r="AB2358" s="84" t="str">
        <f>IF(AND(OR(LEFT(TH!N2358,2)="15",LEFT(TH!O2358,2)="15"),LEFT(TH!O2358,3)&lt;&gt;"111",'152-CT'!$J$8=TH!F2358),"x","")</f>
        <v/>
      </c>
      <c r="AC2358" s="84" t="str">
        <f>IF(AND(OR(LEFT(TH!N2358,2)="15",LEFT(TH!O2358,2)="15"),TK!$E$7=TH!F2358),"x","")</f>
        <v/>
      </c>
      <c r="AD2358" s="84" t="str">
        <f>IF(AND(N2358="1521",MONTH(C2358)='BK-NL'!$M$11),"x","")</f>
        <v/>
      </c>
    </row>
    <row r="2359" spans="1:30" s="351" customFormat="1" ht="15.75" hidden="1" customHeight="1">
      <c r="A2359" s="336" t="str">
        <f>IF(B2359&lt;&gt;"",IF(AND(B2359='IN-TC'!$S$4,OR(TH!N2359="1111",TH!O2359="1111")),TH!D2359,""),"")</f>
        <v/>
      </c>
      <c r="B2359" s="63" t="str">
        <f t="shared" si="291"/>
        <v/>
      </c>
      <c r="C2359" s="64"/>
      <c r="D2359" s="64"/>
      <c r="E2359" s="64"/>
      <c r="F2359" s="67"/>
      <c r="G2359" s="67"/>
      <c r="H2359" s="73"/>
      <c r="I2359" s="439"/>
      <c r="J2359" s="439"/>
      <c r="K2359" s="430"/>
      <c r="L2359" s="439"/>
      <c r="M2359" s="65"/>
      <c r="N2359" s="66"/>
      <c r="O2359" s="66"/>
      <c r="P2359" s="84" t="str">
        <f>IF(AND('331-CT'!$E$7=TH!H2359,OR(N2359="331",O2359="331")),"x","")</f>
        <v/>
      </c>
      <c r="Q2359" s="84" t="str">
        <f>IF(AND(B2359='111'!$L$11,OR($N2359=$Q$7,$O2359=$Q$7)),"x","")</f>
        <v/>
      </c>
      <c r="R2359" s="84" t="str">
        <f>IF(AND($N2359=$Q$7,$B2359&lt;'111'!$L$11),"x","")</f>
        <v/>
      </c>
      <c r="S2359" s="84" t="str">
        <f>IF(AND($O2359=$Q$7,$B2359&lt;'111'!$L$11),"x","")</f>
        <v/>
      </c>
      <c r="T2359" s="84" t="str">
        <f>IF(ISERROR(FIND('112'!$M$9,G2359,1)),"",IF((AND(FIND('112'!$M$9,G2359,1)&gt;=1,B2359='112'!$K$9,OR($N2359='112'!$I$6,$O2359='112'!$I$6))),"x",""))</f>
        <v/>
      </c>
      <c r="U2359" s="84" t="str">
        <f>IF(ISERROR(FIND('112'!$M$9,G2359,1)),"",IF((AND(LEFT(G2359,2)=LEFT('112'!$M$9,2),B2359&lt;'112'!$K$9,$N2359='112'!$I$6)),"x",""))</f>
        <v/>
      </c>
      <c r="V2359" s="84" t="str">
        <f>IF(ISERROR(FIND('112'!$M$9,G2359,1)),"",IF((AND(RIGHT(G2359,2)=RIGHT('112'!$M$9,2),B2359&lt;'112'!$K$9,$O2359='112'!$I$6)),"x",""))</f>
        <v/>
      </c>
      <c r="W2359" s="84" t="str">
        <f>IF(AND('341-CT'!$H$9=H2359,OR(LEFT(N2359,3)=$W$7,LEFT(O2359,3)=$W$7)),"x","")</f>
        <v/>
      </c>
      <c r="X2359" s="84" t="str">
        <f>IF(OR(TH!N2359=TH!$X$7,O2359=TH!$X$7),"x","")</f>
        <v/>
      </c>
      <c r="Y2359" s="84" t="str">
        <f>IF(AND(OR(N2359="131",O2359="131"),H2359='131-CT'!$H$9),"x","")</f>
        <v/>
      </c>
      <c r="Z2359" s="84"/>
      <c r="AA2359" s="84" t="str">
        <f>IF(AND(MONTH(E2359)='IN-NX'!$J$5,'IN-NX'!$D$7=D2359),"x","")</f>
        <v/>
      </c>
      <c r="AB2359" s="84" t="str">
        <f>IF(AND(OR(LEFT(TH!N2359,2)="15",LEFT(TH!O2359,2)="15"),LEFT(TH!O2359,3)&lt;&gt;"111",'152-CT'!$J$8=TH!F2359),"x","")</f>
        <v/>
      </c>
      <c r="AC2359" s="84" t="str">
        <f>IF(AND(OR(LEFT(TH!N2359,2)="15",LEFT(TH!O2359,2)="15"),TK!$E$7=TH!F2359),"x","")</f>
        <v/>
      </c>
      <c r="AD2359" s="84" t="str">
        <f>IF(AND(N2359="1521",MONTH(C2359)='BK-NL'!$M$11),"x","")</f>
        <v/>
      </c>
    </row>
    <row r="2360" spans="1:30" s="351" customFormat="1" ht="15.75" hidden="1" customHeight="1">
      <c r="A2360" s="336" t="str">
        <f>IF(B2360&lt;&gt;"",IF(AND(B2360='IN-TC'!$S$4,OR(TH!N2360="1111",TH!O2360="1111")),TH!D2360,""),"")</f>
        <v/>
      </c>
      <c r="B2360" s="63" t="str">
        <f t="shared" si="291"/>
        <v/>
      </c>
      <c r="C2360" s="64"/>
      <c r="D2360" s="64"/>
      <c r="E2360" s="64"/>
      <c r="F2360" s="67"/>
      <c r="G2360" s="67"/>
      <c r="H2360" s="73"/>
      <c r="I2360" s="439"/>
      <c r="J2360" s="439"/>
      <c r="K2360" s="430"/>
      <c r="L2360" s="439"/>
      <c r="M2360" s="65"/>
      <c r="N2360" s="66"/>
      <c r="O2360" s="66"/>
      <c r="P2360" s="84" t="str">
        <f>IF(AND('331-CT'!$E$7=TH!H2360,OR(N2360="331",O2360="331")),"x","")</f>
        <v/>
      </c>
      <c r="Q2360" s="84" t="str">
        <f>IF(AND(B2360='111'!$L$11,OR($N2360=$Q$7,$O2360=$Q$7)),"x","")</f>
        <v/>
      </c>
      <c r="R2360" s="84" t="str">
        <f>IF(AND($N2360=$Q$7,$B2360&lt;'111'!$L$11),"x","")</f>
        <v/>
      </c>
      <c r="S2360" s="84" t="str">
        <f>IF(AND($O2360=$Q$7,$B2360&lt;'111'!$L$11),"x","")</f>
        <v/>
      </c>
      <c r="T2360" s="84" t="str">
        <f>IF(ISERROR(FIND('112'!$M$9,G2360,1)),"",IF((AND(FIND('112'!$M$9,G2360,1)&gt;=1,B2360='112'!$K$9,OR($N2360='112'!$I$6,$O2360='112'!$I$6))),"x",""))</f>
        <v/>
      </c>
      <c r="U2360" s="84" t="str">
        <f>IF(ISERROR(FIND('112'!$M$9,G2360,1)),"",IF((AND(LEFT(G2360,2)=LEFT('112'!$M$9,2),B2360&lt;'112'!$K$9,$N2360='112'!$I$6)),"x",""))</f>
        <v/>
      </c>
      <c r="V2360" s="84" t="str">
        <f>IF(ISERROR(FIND('112'!$M$9,G2360,1)),"",IF((AND(RIGHT(G2360,2)=RIGHT('112'!$M$9,2),B2360&lt;'112'!$K$9,$O2360='112'!$I$6)),"x",""))</f>
        <v/>
      </c>
      <c r="W2360" s="84" t="str">
        <f>IF(AND('341-CT'!$H$9=H2360,OR(LEFT(N2360,3)=$W$7,LEFT(O2360,3)=$W$7)),"x","")</f>
        <v/>
      </c>
      <c r="X2360" s="84" t="str">
        <f>IF(OR(TH!N2360=TH!$X$7,O2360=TH!$X$7),"x","")</f>
        <v/>
      </c>
      <c r="Y2360" s="84" t="str">
        <f>IF(AND(OR(N2360="131",O2360="131"),H2360='131-CT'!$H$9),"x","")</f>
        <v/>
      </c>
      <c r="Z2360" s="84"/>
      <c r="AA2360" s="84" t="str">
        <f>IF(AND(MONTH(E2360)='IN-NX'!$J$5,'IN-NX'!$D$7=D2360),"x","")</f>
        <v/>
      </c>
      <c r="AB2360" s="84" t="str">
        <f>IF(AND(OR(LEFT(TH!N2360,2)="15",LEFT(TH!O2360,2)="15"),LEFT(TH!O2360,3)&lt;&gt;"111",'152-CT'!$J$8=TH!F2360),"x","")</f>
        <v/>
      </c>
      <c r="AC2360" s="84" t="str">
        <f>IF(AND(OR(LEFT(TH!N2360,2)="15",LEFT(TH!O2360,2)="15"),TK!$E$7=TH!F2360),"x","")</f>
        <v/>
      </c>
      <c r="AD2360" s="84" t="str">
        <f>IF(AND(N2360="1521",MONTH(C2360)='BK-NL'!$M$11),"x","")</f>
        <v/>
      </c>
    </row>
    <row r="2361" spans="1:30" s="351" customFormat="1" ht="15.75" hidden="1" customHeight="1">
      <c r="A2361" s="336" t="str">
        <f>IF(B2361&lt;&gt;"",IF(AND(B2361='IN-TC'!$S$4,OR(TH!N2361="1111",TH!O2361="1111")),TH!D2361,""),"")</f>
        <v/>
      </c>
      <c r="B2361" s="63" t="str">
        <f t="shared" si="291"/>
        <v/>
      </c>
      <c r="C2361" s="64"/>
      <c r="D2361" s="64"/>
      <c r="E2361" s="64"/>
      <c r="F2361" s="67"/>
      <c r="G2361" s="67"/>
      <c r="H2361" s="73"/>
      <c r="I2361" s="439"/>
      <c r="J2361" s="439"/>
      <c r="K2361" s="430"/>
      <c r="L2361" s="439"/>
      <c r="M2361" s="65"/>
      <c r="N2361" s="66"/>
      <c r="O2361" s="66"/>
      <c r="P2361" s="84" t="str">
        <f>IF(AND('331-CT'!$E$7=TH!H2361,OR(N2361="331",O2361="331")),"x","")</f>
        <v/>
      </c>
      <c r="Q2361" s="84" t="str">
        <f>IF(AND(B2361='111'!$L$11,OR($N2361=$Q$7,$O2361=$Q$7)),"x","")</f>
        <v/>
      </c>
      <c r="R2361" s="84" t="str">
        <f>IF(AND($N2361=$Q$7,$B2361&lt;'111'!$L$11),"x","")</f>
        <v/>
      </c>
      <c r="S2361" s="84" t="str">
        <f>IF(AND($O2361=$Q$7,$B2361&lt;'111'!$L$11),"x","")</f>
        <v/>
      </c>
      <c r="T2361" s="84" t="str">
        <f>IF(ISERROR(FIND('112'!$M$9,G2361,1)),"",IF((AND(FIND('112'!$M$9,G2361,1)&gt;=1,B2361='112'!$K$9,OR($N2361='112'!$I$6,$O2361='112'!$I$6))),"x",""))</f>
        <v/>
      </c>
      <c r="U2361" s="84" t="str">
        <f>IF(ISERROR(FIND('112'!$M$9,G2361,1)),"",IF((AND(LEFT(G2361,2)=LEFT('112'!$M$9,2),B2361&lt;'112'!$K$9,$N2361='112'!$I$6)),"x",""))</f>
        <v/>
      </c>
      <c r="V2361" s="84" t="str">
        <f>IF(ISERROR(FIND('112'!$M$9,G2361,1)),"",IF((AND(RIGHT(G2361,2)=RIGHT('112'!$M$9,2),B2361&lt;'112'!$K$9,$O2361='112'!$I$6)),"x",""))</f>
        <v/>
      </c>
      <c r="W2361" s="84" t="str">
        <f>IF(AND('341-CT'!$H$9=H2361,OR(LEFT(N2361,3)=$W$7,LEFT(O2361,3)=$W$7)),"x","")</f>
        <v/>
      </c>
      <c r="X2361" s="84" t="str">
        <f>IF(OR(TH!N2361=TH!$X$7,O2361=TH!$X$7),"x","")</f>
        <v/>
      </c>
      <c r="Y2361" s="84" t="str">
        <f>IF(AND(OR(N2361="131",O2361="131"),H2361='131-CT'!$H$9),"x","")</f>
        <v/>
      </c>
      <c r="Z2361" s="84"/>
      <c r="AA2361" s="84" t="str">
        <f>IF(AND(MONTH(E2361)='IN-NX'!$J$5,'IN-NX'!$D$7=D2361),"x","")</f>
        <v/>
      </c>
      <c r="AB2361" s="84" t="str">
        <f>IF(AND(OR(LEFT(TH!N2361,2)="15",LEFT(TH!O2361,2)="15"),LEFT(TH!O2361,3)&lt;&gt;"111",'152-CT'!$J$8=TH!F2361),"x","")</f>
        <v/>
      </c>
      <c r="AC2361" s="84" t="str">
        <f>IF(AND(OR(LEFT(TH!N2361,2)="15",LEFT(TH!O2361,2)="15"),TK!$E$7=TH!F2361),"x","")</f>
        <v/>
      </c>
      <c r="AD2361" s="84" t="str">
        <f>IF(AND(N2361="1521",MONTH(C2361)='BK-NL'!$M$11),"x","")</f>
        <v/>
      </c>
    </row>
    <row r="2362" spans="1:30" s="351" customFormat="1" ht="15.75" hidden="1" customHeight="1">
      <c r="A2362" s="336" t="str">
        <f>IF(B2362&lt;&gt;"",IF(AND(B2362='IN-TC'!$S$4,OR(TH!N2362="1111",TH!O2362="1111")),TH!D2362,""),"")</f>
        <v/>
      </c>
      <c r="B2362" s="63" t="str">
        <f t="shared" si="291"/>
        <v/>
      </c>
      <c r="C2362" s="64"/>
      <c r="D2362" s="64"/>
      <c r="E2362" s="64"/>
      <c r="F2362" s="67"/>
      <c r="G2362" s="67"/>
      <c r="H2362" s="73"/>
      <c r="I2362" s="439"/>
      <c r="J2362" s="439"/>
      <c r="K2362" s="430"/>
      <c r="L2362" s="439"/>
      <c r="M2362" s="65"/>
      <c r="N2362" s="66"/>
      <c r="O2362" s="66"/>
      <c r="P2362" s="84" t="str">
        <f>IF(AND('331-CT'!$E$7=TH!H2362,OR(N2362="331",O2362="331")),"x","")</f>
        <v/>
      </c>
      <c r="Q2362" s="84" t="str">
        <f>IF(AND(B2362='111'!$L$11,OR($N2362=$Q$7,$O2362=$Q$7)),"x","")</f>
        <v/>
      </c>
      <c r="R2362" s="84" t="str">
        <f>IF(AND($N2362=$Q$7,$B2362&lt;'111'!$L$11),"x","")</f>
        <v/>
      </c>
      <c r="S2362" s="84" t="str">
        <f>IF(AND($O2362=$Q$7,$B2362&lt;'111'!$L$11),"x","")</f>
        <v/>
      </c>
      <c r="T2362" s="84" t="str">
        <f>IF(ISERROR(FIND('112'!$M$9,G2362,1)),"",IF((AND(FIND('112'!$M$9,G2362,1)&gt;=1,B2362='112'!$K$9,OR($N2362='112'!$I$6,$O2362='112'!$I$6))),"x",""))</f>
        <v/>
      </c>
      <c r="U2362" s="84" t="str">
        <f>IF(ISERROR(FIND('112'!$M$9,G2362,1)),"",IF((AND(LEFT(G2362,2)=LEFT('112'!$M$9,2),B2362&lt;'112'!$K$9,$N2362='112'!$I$6)),"x",""))</f>
        <v/>
      </c>
      <c r="V2362" s="84" t="str">
        <f>IF(ISERROR(FIND('112'!$M$9,G2362,1)),"",IF((AND(RIGHT(G2362,2)=RIGHT('112'!$M$9,2),B2362&lt;'112'!$K$9,$O2362='112'!$I$6)),"x",""))</f>
        <v/>
      </c>
      <c r="W2362" s="84" t="str">
        <f>IF(AND('341-CT'!$H$9=H2362,OR(LEFT(N2362,3)=$W$7,LEFT(O2362,3)=$W$7)),"x","")</f>
        <v/>
      </c>
      <c r="X2362" s="84" t="str">
        <f>IF(OR(TH!N2362=TH!$X$7,O2362=TH!$X$7),"x","")</f>
        <v/>
      </c>
      <c r="Y2362" s="84" t="str">
        <f>IF(AND(OR(N2362="131",O2362="131"),H2362='131-CT'!$H$9),"x","")</f>
        <v/>
      </c>
      <c r="Z2362" s="84"/>
      <c r="AA2362" s="84" t="str">
        <f>IF(AND(MONTH(E2362)='IN-NX'!$J$5,'IN-NX'!$D$7=D2362),"x","")</f>
        <v/>
      </c>
      <c r="AB2362" s="84" t="str">
        <f>IF(AND(OR(LEFT(TH!N2362,2)="15",LEFT(TH!O2362,2)="15"),LEFT(TH!O2362,3)&lt;&gt;"111",'152-CT'!$J$8=TH!F2362),"x","")</f>
        <v/>
      </c>
      <c r="AC2362" s="84" t="str">
        <f>IF(AND(OR(LEFT(TH!N2362,2)="15",LEFT(TH!O2362,2)="15"),TK!$E$7=TH!F2362),"x","")</f>
        <v/>
      </c>
      <c r="AD2362" s="84" t="str">
        <f>IF(AND(N2362="1521",MONTH(C2362)='BK-NL'!$M$11),"x","")</f>
        <v/>
      </c>
    </row>
    <row r="2363" spans="1:30" s="351" customFormat="1" ht="15.75" hidden="1" customHeight="1">
      <c r="A2363" s="336" t="str">
        <f>IF(B2363&lt;&gt;"",IF(AND(B2363='IN-TC'!$S$4,OR(TH!N2363="1111",TH!O2363="1111")),TH!D2363,""),"")</f>
        <v/>
      </c>
      <c r="B2363" s="63" t="str">
        <f t="shared" si="291"/>
        <v/>
      </c>
      <c r="C2363" s="64"/>
      <c r="D2363" s="64"/>
      <c r="E2363" s="64"/>
      <c r="F2363" s="67"/>
      <c r="G2363" s="67"/>
      <c r="H2363" s="73"/>
      <c r="I2363" s="439"/>
      <c r="J2363" s="439"/>
      <c r="K2363" s="430"/>
      <c r="L2363" s="439"/>
      <c r="M2363" s="65"/>
      <c r="N2363" s="66"/>
      <c r="O2363" s="66"/>
      <c r="P2363" s="84" t="str">
        <f>IF(AND('331-CT'!$E$7=TH!H2363,OR(N2363="331",O2363="331")),"x","")</f>
        <v/>
      </c>
      <c r="Q2363" s="84" t="str">
        <f>IF(AND(B2363='111'!$L$11,OR($N2363=$Q$7,$O2363=$Q$7)),"x","")</f>
        <v/>
      </c>
      <c r="R2363" s="84" t="str">
        <f>IF(AND($N2363=$Q$7,$B2363&lt;'111'!$L$11),"x","")</f>
        <v/>
      </c>
      <c r="S2363" s="84" t="str">
        <f>IF(AND($O2363=$Q$7,$B2363&lt;'111'!$L$11),"x","")</f>
        <v/>
      </c>
      <c r="T2363" s="84" t="str">
        <f>IF(ISERROR(FIND('112'!$M$9,G2363,1)),"",IF((AND(FIND('112'!$M$9,G2363,1)&gt;=1,B2363='112'!$K$9,OR($N2363='112'!$I$6,$O2363='112'!$I$6))),"x",""))</f>
        <v/>
      </c>
      <c r="U2363" s="84" t="str">
        <f>IF(ISERROR(FIND('112'!$M$9,G2363,1)),"",IF((AND(LEFT(G2363,2)=LEFT('112'!$M$9,2),B2363&lt;'112'!$K$9,$N2363='112'!$I$6)),"x",""))</f>
        <v/>
      </c>
      <c r="V2363" s="84" t="str">
        <f>IF(ISERROR(FIND('112'!$M$9,G2363,1)),"",IF((AND(RIGHT(G2363,2)=RIGHT('112'!$M$9,2),B2363&lt;'112'!$K$9,$O2363='112'!$I$6)),"x",""))</f>
        <v/>
      </c>
      <c r="W2363" s="84" t="str">
        <f>IF(AND('341-CT'!$H$9=H2363,OR(LEFT(N2363,3)=$W$7,LEFT(O2363,3)=$W$7)),"x","")</f>
        <v/>
      </c>
      <c r="X2363" s="84" t="str">
        <f>IF(OR(TH!N2363=TH!$X$7,O2363=TH!$X$7),"x","")</f>
        <v/>
      </c>
      <c r="Y2363" s="84" t="str">
        <f>IF(AND(OR(N2363="131",O2363="131"),H2363='131-CT'!$H$9),"x","")</f>
        <v/>
      </c>
      <c r="Z2363" s="84"/>
      <c r="AA2363" s="84" t="str">
        <f>IF(AND(MONTH(E2363)='IN-NX'!$J$5,'IN-NX'!$D$7=D2363),"x","")</f>
        <v/>
      </c>
      <c r="AB2363" s="84" t="str">
        <f>IF(AND(OR(LEFT(TH!N2363,2)="15",LEFT(TH!O2363,2)="15"),LEFT(TH!O2363,3)&lt;&gt;"111",'152-CT'!$J$8=TH!F2363),"x","")</f>
        <v/>
      </c>
      <c r="AC2363" s="84" t="str">
        <f>IF(AND(OR(LEFT(TH!N2363,2)="15",LEFT(TH!O2363,2)="15"),TK!$E$7=TH!F2363),"x","")</f>
        <v/>
      </c>
      <c r="AD2363" s="84" t="str">
        <f>IF(AND(N2363="1521",MONTH(C2363)='BK-NL'!$M$11),"x","")</f>
        <v/>
      </c>
    </row>
    <row r="2364" spans="1:30" s="351" customFormat="1" ht="15.75" hidden="1" customHeight="1">
      <c r="A2364" s="336" t="str">
        <f>IF(B2364&lt;&gt;"",IF(AND(B2364='IN-TC'!$S$4,OR(TH!N2364="1111",TH!O2364="1111")),TH!D2364,""),"")</f>
        <v/>
      </c>
      <c r="B2364" s="63" t="str">
        <f t="shared" si="291"/>
        <v/>
      </c>
      <c r="C2364" s="64"/>
      <c r="D2364" s="64"/>
      <c r="E2364" s="64"/>
      <c r="F2364" s="67"/>
      <c r="G2364" s="67"/>
      <c r="H2364" s="73"/>
      <c r="I2364" s="439"/>
      <c r="J2364" s="439"/>
      <c r="K2364" s="430"/>
      <c r="L2364" s="439"/>
      <c r="M2364" s="65"/>
      <c r="N2364" s="66"/>
      <c r="O2364" s="66"/>
      <c r="P2364" s="84" t="str">
        <f>IF(AND('331-CT'!$E$7=TH!H2364,OR(N2364="331",O2364="331")),"x","")</f>
        <v/>
      </c>
      <c r="Q2364" s="84" t="str">
        <f>IF(AND(B2364='111'!$L$11,OR($N2364=$Q$7,$O2364=$Q$7)),"x","")</f>
        <v/>
      </c>
      <c r="R2364" s="84" t="str">
        <f>IF(AND($N2364=$Q$7,$B2364&lt;'111'!$L$11),"x","")</f>
        <v/>
      </c>
      <c r="S2364" s="84" t="str">
        <f>IF(AND($O2364=$Q$7,$B2364&lt;'111'!$L$11),"x","")</f>
        <v/>
      </c>
      <c r="T2364" s="84" t="str">
        <f>IF(ISERROR(FIND('112'!$M$9,G2364,1)),"",IF((AND(FIND('112'!$M$9,G2364,1)&gt;=1,B2364='112'!$K$9,OR($N2364='112'!$I$6,$O2364='112'!$I$6))),"x",""))</f>
        <v/>
      </c>
      <c r="U2364" s="84" t="str">
        <f>IF(ISERROR(FIND('112'!$M$9,G2364,1)),"",IF((AND(LEFT(G2364,2)=LEFT('112'!$M$9,2),B2364&lt;'112'!$K$9,$N2364='112'!$I$6)),"x",""))</f>
        <v/>
      </c>
      <c r="V2364" s="84" t="str">
        <f>IF(ISERROR(FIND('112'!$M$9,G2364,1)),"",IF((AND(RIGHT(G2364,2)=RIGHT('112'!$M$9,2),B2364&lt;'112'!$K$9,$O2364='112'!$I$6)),"x",""))</f>
        <v/>
      </c>
      <c r="W2364" s="84" t="str">
        <f>IF(AND('341-CT'!$H$9=H2364,OR(LEFT(N2364,3)=$W$7,LEFT(O2364,3)=$W$7)),"x","")</f>
        <v/>
      </c>
      <c r="X2364" s="84" t="str">
        <f>IF(OR(TH!N2364=TH!$X$7,O2364=TH!$X$7),"x","")</f>
        <v/>
      </c>
      <c r="Y2364" s="84" t="str">
        <f>IF(AND(OR(N2364="131",O2364="131"),H2364='131-CT'!$H$9),"x","")</f>
        <v/>
      </c>
      <c r="Z2364" s="84"/>
      <c r="AA2364" s="84" t="str">
        <f>IF(AND(MONTH(E2364)='IN-NX'!$J$5,'IN-NX'!$D$7=D2364),"x","")</f>
        <v/>
      </c>
      <c r="AB2364" s="84" t="str">
        <f>IF(AND(OR(LEFT(TH!N2364,2)="15",LEFT(TH!O2364,2)="15"),LEFT(TH!O2364,3)&lt;&gt;"111",'152-CT'!$J$8=TH!F2364),"x","")</f>
        <v/>
      </c>
      <c r="AC2364" s="84" t="str">
        <f>IF(AND(OR(LEFT(TH!N2364,2)="15",LEFT(TH!O2364,2)="15"),TK!$E$7=TH!F2364),"x","")</f>
        <v/>
      </c>
      <c r="AD2364" s="84" t="str">
        <f>IF(AND(N2364="1521",MONTH(C2364)='BK-NL'!$M$11),"x","")</f>
        <v/>
      </c>
    </row>
    <row r="2365" spans="1:30" s="351" customFormat="1" ht="15.75" hidden="1" customHeight="1">
      <c r="A2365" s="336" t="str">
        <f>IF(B2365&lt;&gt;"",IF(AND(B2365='IN-TC'!$S$4,OR(TH!N2365="1111",TH!O2365="1111")),TH!D2365,""),"")</f>
        <v/>
      </c>
      <c r="B2365" s="63" t="str">
        <f t="shared" si="291"/>
        <v/>
      </c>
      <c r="C2365" s="64"/>
      <c r="D2365" s="64"/>
      <c r="E2365" s="64"/>
      <c r="F2365" s="67"/>
      <c r="G2365" s="67"/>
      <c r="H2365" s="73"/>
      <c r="I2365" s="439"/>
      <c r="J2365" s="439"/>
      <c r="K2365" s="430"/>
      <c r="L2365" s="439"/>
      <c r="M2365" s="65"/>
      <c r="N2365" s="66"/>
      <c r="O2365" s="66"/>
      <c r="P2365" s="84" t="str">
        <f>IF(AND('331-CT'!$E$7=TH!H2365,OR(N2365="331",O2365="331")),"x","")</f>
        <v/>
      </c>
      <c r="Q2365" s="84" t="str">
        <f>IF(AND(B2365='111'!$L$11,OR($N2365=$Q$7,$O2365=$Q$7)),"x","")</f>
        <v/>
      </c>
      <c r="R2365" s="84" t="str">
        <f>IF(AND($N2365=$Q$7,$B2365&lt;'111'!$L$11),"x","")</f>
        <v/>
      </c>
      <c r="S2365" s="84" t="str">
        <f>IF(AND($O2365=$Q$7,$B2365&lt;'111'!$L$11),"x","")</f>
        <v/>
      </c>
      <c r="T2365" s="84" t="str">
        <f>IF(ISERROR(FIND('112'!$M$9,G2365,1)),"",IF((AND(FIND('112'!$M$9,G2365,1)&gt;=1,B2365='112'!$K$9,OR($N2365='112'!$I$6,$O2365='112'!$I$6))),"x",""))</f>
        <v/>
      </c>
      <c r="U2365" s="84" t="str">
        <f>IF(ISERROR(FIND('112'!$M$9,G2365,1)),"",IF((AND(LEFT(G2365,2)=LEFT('112'!$M$9,2),B2365&lt;'112'!$K$9,$N2365='112'!$I$6)),"x",""))</f>
        <v/>
      </c>
      <c r="V2365" s="84" t="str">
        <f>IF(ISERROR(FIND('112'!$M$9,G2365,1)),"",IF((AND(RIGHT(G2365,2)=RIGHT('112'!$M$9,2),B2365&lt;'112'!$K$9,$O2365='112'!$I$6)),"x",""))</f>
        <v/>
      </c>
      <c r="W2365" s="84" t="str">
        <f>IF(AND('341-CT'!$H$9=H2365,OR(LEFT(N2365,3)=$W$7,LEFT(O2365,3)=$W$7)),"x","")</f>
        <v/>
      </c>
      <c r="X2365" s="84" t="str">
        <f>IF(OR(TH!N2365=TH!$X$7,O2365=TH!$X$7),"x","")</f>
        <v/>
      </c>
      <c r="Y2365" s="84" t="str">
        <f>IF(AND(OR(N2365="131",O2365="131"),H2365='131-CT'!$H$9),"x","")</f>
        <v/>
      </c>
      <c r="Z2365" s="84"/>
      <c r="AA2365" s="84" t="str">
        <f>IF(AND(MONTH(E2365)='IN-NX'!$J$5,'IN-NX'!$D$7=D2365),"x","")</f>
        <v/>
      </c>
      <c r="AB2365" s="84" t="str">
        <f>IF(AND(OR(LEFT(TH!N2365,2)="15",LEFT(TH!O2365,2)="15"),LEFT(TH!O2365,3)&lt;&gt;"111",'152-CT'!$J$8=TH!F2365),"x","")</f>
        <v/>
      </c>
      <c r="AC2365" s="84" t="str">
        <f>IF(AND(OR(LEFT(TH!N2365,2)="15",LEFT(TH!O2365,2)="15"),TK!$E$7=TH!F2365),"x","")</f>
        <v/>
      </c>
      <c r="AD2365" s="84" t="str">
        <f>IF(AND(N2365="1521",MONTH(C2365)='BK-NL'!$M$11),"x","")</f>
        <v/>
      </c>
    </row>
    <row r="2366" spans="1:30" s="351" customFormat="1" ht="15.75" hidden="1" customHeight="1">
      <c r="A2366" s="336" t="str">
        <f>IF(B2366&lt;&gt;"",IF(AND(B2366='IN-TC'!$S$4,OR(TH!N2366="1111",TH!O2366="1111")),TH!D2366,""),"")</f>
        <v/>
      </c>
      <c r="B2366" s="63" t="str">
        <f t="shared" si="291"/>
        <v/>
      </c>
      <c r="C2366" s="64"/>
      <c r="D2366" s="64"/>
      <c r="E2366" s="64"/>
      <c r="F2366" s="67"/>
      <c r="G2366" s="67"/>
      <c r="H2366" s="73"/>
      <c r="I2366" s="439"/>
      <c r="J2366" s="439"/>
      <c r="K2366" s="430"/>
      <c r="L2366" s="439"/>
      <c r="M2366" s="65"/>
      <c r="N2366" s="66"/>
      <c r="O2366" s="66"/>
      <c r="P2366" s="84" t="str">
        <f>IF(AND('331-CT'!$E$7=TH!H2366,OR(N2366="331",O2366="331")),"x","")</f>
        <v/>
      </c>
      <c r="Q2366" s="84" t="str">
        <f>IF(AND(B2366='111'!$L$11,OR($N2366=$Q$7,$O2366=$Q$7)),"x","")</f>
        <v/>
      </c>
      <c r="R2366" s="84" t="str">
        <f>IF(AND($N2366=$Q$7,$B2366&lt;'111'!$L$11),"x","")</f>
        <v/>
      </c>
      <c r="S2366" s="84" t="str">
        <f>IF(AND($O2366=$Q$7,$B2366&lt;'111'!$L$11),"x","")</f>
        <v/>
      </c>
      <c r="T2366" s="84" t="str">
        <f>IF(ISERROR(FIND('112'!$M$9,G2366,1)),"",IF((AND(FIND('112'!$M$9,G2366,1)&gt;=1,B2366='112'!$K$9,OR($N2366='112'!$I$6,$O2366='112'!$I$6))),"x",""))</f>
        <v/>
      </c>
      <c r="U2366" s="84" t="str">
        <f>IF(ISERROR(FIND('112'!$M$9,G2366,1)),"",IF((AND(LEFT(G2366,2)=LEFT('112'!$M$9,2),B2366&lt;'112'!$K$9,$N2366='112'!$I$6)),"x",""))</f>
        <v/>
      </c>
      <c r="V2366" s="84" t="str">
        <f>IF(ISERROR(FIND('112'!$M$9,G2366,1)),"",IF((AND(RIGHT(G2366,2)=RIGHT('112'!$M$9,2),B2366&lt;'112'!$K$9,$O2366='112'!$I$6)),"x",""))</f>
        <v/>
      </c>
      <c r="W2366" s="84" t="str">
        <f>IF(AND('341-CT'!$H$9=H2366,OR(LEFT(N2366,3)=$W$7,LEFT(O2366,3)=$W$7)),"x","")</f>
        <v/>
      </c>
      <c r="X2366" s="84" t="str">
        <f>IF(OR(TH!N2366=TH!$X$7,O2366=TH!$X$7),"x","")</f>
        <v/>
      </c>
      <c r="Y2366" s="84" t="str">
        <f>IF(AND(OR(N2366="131",O2366="131"),H2366='131-CT'!$H$9),"x","")</f>
        <v/>
      </c>
      <c r="Z2366" s="84"/>
      <c r="AA2366" s="84" t="str">
        <f>IF(AND(MONTH(E2366)='IN-NX'!$J$5,'IN-NX'!$D$7=D2366),"x","")</f>
        <v/>
      </c>
      <c r="AB2366" s="84" t="str">
        <f>IF(AND(OR(LEFT(TH!N2366,2)="15",LEFT(TH!O2366,2)="15"),LEFT(TH!O2366,3)&lt;&gt;"111",'152-CT'!$J$8=TH!F2366),"x","")</f>
        <v/>
      </c>
      <c r="AC2366" s="84" t="str">
        <f>IF(AND(OR(LEFT(TH!N2366,2)="15",LEFT(TH!O2366,2)="15"),TK!$E$7=TH!F2366),"x","")</f>
        <v/>
      </c>
      <c r="AD2366" s="84" t="str">
        <f>IF(AND(N2366="1521",MONTH(C2366)='BK-NL'!$M$11),"x","")</f>
        <v/>
      </c>
    </row>
    <row r="2367" spans="1:30" s="351" customFormat="1" ht="15.75" hidden="1" customHeight="1">
      <c r="A2367" s="336" t="str">
        <f>IF(B2367&lt;&gt;"",IF(AND(B2367='IN-TC'!$S$4,OR(TH!N2367="1111",TH!O2367="1111")),TH!D2367,""),"")</f>
        <v/>
      </c>
      <c r="B2367" s="63" t="str">
        <f t="shared" si="291"/>
        <v/>
      </c>
      <c r="C2367" s="64"/>
      <c r="D2367" s="64"/>
      <c r="E2367" s="64"/>
      <c r="F2367" s="67"/>
      <c r="G2367" s="67"/>
      <c r="H2367" s="73"/>
      <c r="I2367" s="439"/>
      <c r="J2367" s="439"/>
      <c r="K2367" s="430"/>
      <c r="L2367" s="439"/>
      <c r="M2367" s="65"/>
      <c r="N2367" s="66"/>
      <c r="O2367" s="66"/>
      <c r="P2367" s="84" t="str">
        <f>IF(AND('331-CT'!$E$7=TH!H2367,OR(N2367="331",O2367="331")),"x","")</f>
        <v/>
      </c>
      <c r="Q2367" s="84" t="str">
        <f>IF(AND(B2367='111'!$L$11,OR($N2367=$Q$7,$O2367=$Q$7)),"x","")</f>
        <v/>
      </c>
      <c r="R2367" s="84" t="str">
        <f>IF(AND($N2367=$Q$7,$B2367&lt;'111'!$L$11),"x","")</f>
        <v/>
      </c>
      <c r="S2367" s="84" t="str">
        <f>IF(AND($O2367=$Q$7,$B2367&lt;'111'!$L$11),"x","")</f>
        <v/>
      </c>
      <c r="T2367" s="84" t="str">
        <f>IF(ISERROR(FIND('112'!$M$9,G2367,1)),"",IF((AND(FIND('112'!$M$9,G2367,1)&gt;=1,B2367='112'!$K$9,OR($N2367='112'!$I$6,$O2367='112'!$I$6))),"x",""))</f>
        <v/>
      </c>
      <c r="U2367" s="84" t="str">
        <f>IF(ISERROR(FIND('112'!$M$9,G2367,1)),"",IF((AND(LEFT(G2367,2)=LEFT('112'!$M$9,2),B2367&lt;'112'!$K$9,$N2367='112'!$I$6)),"x",""))</f>
        <v/>
      </c>
      <c r="V2367" s="84" t="str">
        <f>IF(ISERROR(FIND('112'!$M$9,G2367,1)),"",IF((AND(RIGHT(G2367,2)=RIGHT('112'!$M$9,2),B2367&lt;'112'!$K$9,$O2367='112'!$I$6)),"x",""))</f>
        <v/>
      </c>
      <c r="W2367" s="84" t="str">
        <f>IF(AND('341-CT'!$H$9=H2367,OR(LEFT(N2367,3)=$W$7,LEFT(O2367,3)=$W$7)),"x","")</f>
        <v/>
      </c>
      <c r="X2367" s="84" t="str">
        <f>IF(OR(TH!N2367=TH!$X$7,O2367=TH!$X$7),"x","")</f>
        <v/>
      </c>
      <c r="Y2367" s="84" t="str">
        <f>IF(AND(OR(N2367="131",O2367="131"),H2367='131-CT'!$H$9),"x","")</f>
        <v/>
      </c>
      <c r="Z2367" s="84"/>
      <c r="AA2367" s="84" t="str">
        <f>IF(AND(MONTH(E2367)='IN-NX'!$J$5,'IN-NX'!$D$7=D2367),"x","")</f>
        <v/>
      </c>
      <c r="AB2367" s="84" t="str">
        <f>IF(AND(OR(LEFT(TH!N2367,2)="15",LEFT(TH!O2367,2)="15"),LEFT(TH!O2367,3)&lt;&gt;"111",'152-CT'!$J$8=TH!F2367),"x","")</f>
        <v/>
      </c>
      <c r="AC2367" s="84" t="str">
        <f>IF(AND(OR(LEFT(TH!N2367,2)="15",LEFT(TH!O2367,2)="15"),TK!$E$7=TH!F2367),"x","")</f>
        <v/>
      </c>
      <c r="AD2367" s="84" t="str">
        <f>IF(AND(N2367="1521",MONTH(C2367)='BK-NL'!$M$11),"x","")</f>
        <v/>
      </c>
    </row>
    <row r="2368" spans="1:30" s="351" customFormat="1" ht="15.75" hidden="1" customHeight="1">
      <c r="A2368" s="336" t="str">
        <f>IF(B2368&lt;&gt;"",IF(AND(B2368='IN-TC'!$S$4,OR(TH!N2368="1111",TH!O2368="1111")),TH!D2368,""),"")</f>
        <v/>
      </c>
      <c r="B2368" s="63" t="str">
        <f t="shared" si="291"/>
        <v/>
      </c>
      <c r="C2368" s="64"/>
      <c r="D2368" s="64"/>
      <c r="E2368" s="64"/>
      <c r="F2368" s="67"/>
      <c r="G2368" s="67"/>
      <c r="H2368" s="73"/>
      <c r="I2368" s="439"/>
      <c r="J2368" s="439"/>
      <c r="K2368" s="430"/>
      <c r="L2368" s="439"/>
      <c r="M2368" s="65"/>
      <c r="N2368" s="66"/>
      <c r="O2368" s="66"/>
      <c r="P2368" s="84" t="str">
        <f>IF(AND('331-CT'!$E$7=TH!H2368,OR(N2368="331",O2368="331")),"x","")</f>
        <v/>
      </c>
      <c r="Q2368" s="84" t="str">
        <f>IF(AND(B2368='111'!$L$11,OR($N2368=$Q$7,$O2368=$Q$7)),"x","")</f>
        <v/>
      </c>
      <c r="R2368" s="84" t="str">
        <f>IF(AND($N2368=$Q$7,$B2368&lt;'111'!$L$11),"x","")</f>
        <v/>
      </c>
      <c r="S2368" s="84" t="str">
        <f>IF(AND($O2368=$Q$7,$B2368&lt;'111'!$L$11),"x","")</f>
        <v/>
      </c>
      <c r="T2368" s="84" t="str">
        <f>IF(ISERROR(FIND('112'!$M$9,G2368,1)),"",IF((AND(FIND('112'!$M$9,G2368,1)&gt;=1,B2368='112'!$K$9,OR($N2368='112'!$I$6,$O2368='112'!$I$6))),"x",""))</f>
        <v/>
      </c>
      <c r="U2368" s="84" t="str">
        <f>IF(ISERROR(FIND('112'!$M$9,G2368,1)),"",IF((AND(LEFT(G2368,2)=LEFT('112'!$M$9,2),B2368&lt;'112'!$K$9,$N2368='112'!$I$6)),"x",""))</f>
        <v/>
      </c>
      <c r="V2368" s="84" t="str">
        <f>IF(ISERROR(FIND('112'!$M$9,G2368,1)),"",IF((AND(RIGHT(G2368,2)=RIGHT('112'!$M$9,2),B2368&lt;'112'!$K$9,$O2368='112'!$I$6)),"x",""))</f>
        <v/>
      </c>
      <c r="W2368" s="84" t="str">
        <f>IF(AND('341-CT'!$H$9=H2368,OR(LEFT(N2368,3)=$W$7,LEFT(O2368,3)=$W$7)),"x","")</f>
        <v/>
      </c>
      <c r="X2368" s="84" t="str">
        <f>IF(OR(TH!N2368=TH!$X$7,O2368=TH!$X$7),"x","")</f>
        <v/>
      </c>
      <c r="Y2368" s="84" t="str">
        <f>IF(AND(OR(N2368="131",O2368="131"),H2368='131-CT'!$H$9),"x","")</f>
        <v/>
      </c>
      <c r="Z2368" s="84"/>
      <c r="AA2368" s="84" t="str">
        <f>IF(AND(MONTH(E2368)='IN-NX'!$J$5,'IN-NX'!$D$7=D2368),"x","")</f>
        <v/>
      </c>
      <c r="AB2368" s="84" t="str">
        <f>IF(AND(OR(LEFT(TH!N2368,2)="15",LEFT(TH!O2368,2)="15"),LEFT(TH!O2368,3)&lt;&gt;"111",'152-CT'!$J$8=TH!F2368),"x","")</f>
        <v/>
      </c>
      <c r="AC2368" s="84" t="str">
        <f>IF(AND(OR(LEFT(TH!N2368,2)="15",LEFT(TH!O2368,2)="15"),TK!$E$7=TH!F2368),"x","")</f>
        <v/>
      </c>
      <c r="AD2368" s="84" t="str">
        <f>IF(AND(N2368="1521",MONTH(C2368)='BK-NL'!$M$11),"x","")</f>
        <v/>
      </c>
    </row>
    <row r="2369" spans="1:30" s="351" customFormat="1" ht="15.75" hidden="1" customHeight="1">
      <c r="A2369" s="336" t="str">
        <f>IF(B2369&lt;&gt;"",IF(AND(B2369='IN-TC'!$S$4,OR(TH!N2369="1111",TH!O2369="1111")),TH!D2369,""),"")</f>
        <v/>
      </c>
      <c r="B2369" s="63" t="str">
        <f t="shared" si="291"/>
        <v/>
      </c>
      <c r="C2369" s="64"/>
      <c r="D2369" s="64"/>
      <c r="E2369" s="64"/>
      <c r="F2369" s="67"/>
      <c r="G2369" s="67"/>
      <c r="H2369" s="73"/>
      <c r="I2369" s="439"/>
      <c r="J2369" s="439"/>
      <c r="K2369" s="430"/>
      <c r="L2369" s="439"/>
      <c r="M2369" s="65"/>
      <c r="N2369" s="66"/>
      <c r="O2369" s="66"/>
      <c r="P2369" s="84" t="str">
        <f>IF(AND('331-CT'!$E$7=TH!H2369,OR(N2369="331",O2369="331")),"x","")</f>
        <v/>
      </c>
      <c r="Q2369" s="84" t="str">
        <f>IF(AND(B2369='111'!$L$11,OR($N2369=$Q$7,$O2369=$Q$7)),"x","")</f>
        <v/>
      </c>
      <c r="R2369" s="84" t="str">
        <f>IF(AND($N2369=$Q$7,$B2369&lt;'111'!$L$11),"x","")</f>
        <v/>
      </c>
      <c r="S2369" s="84" t="str">
        <f>IF(AND($O2369=$Q$7,$B2369&lt;'111'!$L$11),"x","")</f>
        <v/>
      </c>
      <c r="T2369" s="84" t="str">
        <f>IF(ISERROR(FIND('112'!$M$9,G2369,1)),"",IF((AND(FIND('112'!$M$9,G2369,1)&gt;=1,B2369='112'!$K$9,OR($N2369='112'!$I$6,$O2369='112'!$I$6))),"x",""))</f>
        <v/>
      </c>
      <c r="U2369" s="84" t="str">
        <f>IF(ISERROR(FIND('112'!$M$9,G2369,1)),"",IF((AND(LEFT(G2369,2)=LEFT('112'!$M$9,2),B2369&lt;'112'!$K$9,$N2369='112'!$I$6)),"x",""))</f>
        <v/>
      </c>
      <c r="V2369" s="84" t="str">
        <f>IF(ISERROR(FIND('112'!$M$9,G2369,1)),"",IF((AND(RIGHT(G2369,2)=RIGHT('112'!$M$9,2),B2369&lt;'112'!$K$9,$O2369='112'!$I$6)),"x",""))</f>
        <v/>
      </c>
      <c r="W2369" s="84" t="str">
        <f>IF(AND('341-CT'!$H$9=H2369,OR(LEFT(N2369,3)=$W$7,LEFT(O2369,3)=$W$7)),"x","")</f>
        <v/>
      </c>
      <c r="X2369" s="84" t="str">
        <f>IF(OR(TH!N2369=TH!$X$7,O2369=TH!$X$7),"x","")</f>
        <v/>
      </c>
      <c r="Y2369" s="84" t="str">
        <f>IF(AND(OR(N2369="131",O2369="131"),H2369='131-CT'!$H$9),"x","")</f>
        <v/>
      </c>
      <c r="Z2369" s="84"/>
      <c r="AA2369" s="84" t="str">
        <f>IF(AND(MONTH(E2369)='IN-NX'!$J$5,'IN-NX'!$D$7=D2369),"x","")</f>
        <v/>
      </c>
      <c r="AB2369" s="84" t="str">
        <f>IF(AND(OR(LEFT(TH!N2369,2)="15",LEFT(TH!O2369,2)="15"),LEFT(TH!O2369,3)&lt;&gt;"111",'152-CT'!$J$8=TH!F2369),"x","")</f>
        <v/>
      </c>
      <c r="AC2369" s="84" t="str">
        <f>IF(AND(OR(LEFT(TH!N2369,2)="15",LEFT(TH!O2369,2)="15"),TK!$E$7=TH!F2369),"x","")</f>
        <v/>
      </c>
      <c r="AD2369" s="84" t="str">
        <f>IF(AND(N2369="1521",MONTH(C2369)='BK-NL'!$M$11),"x","")</f>
        <v/>
      </c>
    </row>
    <row r="2370" spans="1:30" s="351" customFormat="1" ht="15.75" hidden="1" customHeight="1">
      <c r="A2370" s="336" t="str">
        <f>IF(B2370&lt;&gt;"",IF(AND(B2370='IN-TC'!$S$4,OR(TH!N2370="1111",TH!O2370="1111")),TH!D2370,""),"")</f>
        <v/>
      </c>
      <c r="B2370" s="63" t="str">
        <f t="shared" si="291"/>
        <v/>
      </c>
      <c r="C2370" s="64"/>
      <c r="D2370" s="64"/>
      <c r="E2370" s="64"/>
      <c r="F2370" s="67"/>
      <c r="G2370" s="67"/>
      <c r="H2370" s="73"/>
      <c r="I2370" s="439"/>
      <c r="J2370" s="439"/>
      <c r="K2370" s="430"/>
      <c r="L2370" s="439"/>
      <c r="M2370" s="65"/>
      <c r="N2370" s="66"/>
      <c r="O2370" s="66"/>
      <c r="P2370" s="84" t="str">
        <f>IF(AND('331-CT'!$E$7=TH!H2370,OR(N2370="331",O2370="331")),"x","")</f>
        <v/>
      </c>
      <c r="Q2370" s="84" t="str">
        <f>IF(AND(B2370='111'!$L$11,OR($N2370=$Q$7,$O2370=$Q$7)),"x","")</f>
        <v/>
      </c>
      <c r="R2370" s="84" t="str">
        <f>IF(AND($N2370=$Q$7,$B2370&lt;'111'!$L$11),"x","")</f>
        <v/>
      </c>
      <c r="S2370" s="84" t="str">
        <f>IF(AND($O2370=$Q$7,$B2370&lt;'111'!$L$11),"x","")</f>
        <v/>
      </c>
      <c r="T2370" s="84" t="str">
        <f>IF(ISERROR(FIND('112'!$M$9,G2370,1)),"",IF((AND(FIND('112'!$M$9,G2370,1)&gt;=1,B2370='112'!$K$9,OR($N2370='112'!$I$6,$O2370='112'!$I$6))),"x",""))</f>
        <v/>
      </c>
      <c r="U2370" s="84" t="str">
        <f>IF(ISERROR(FIND('112'!$M$9,G2370,1)),"",IF((AND(LEFT(G2370,2)=LEFT('112'!$M$9,2),B2370&lt;'112'!$K$9,$N2370='112'!$I$6)),"x",""))</f>
        <v/>
      </c>
      <c r="V2370" s="84" t="str">
        <f>IF(ISERROR(FIND('112'!$M$9,G2370,1)),"",IF((AND(RIGHT(G2370,2)=RIGHT('112'!$M$9,2),B2370&lt;'112'!$K$9,$O2370='112'!$I$6)),"x",""))</f>
        <v/>
      </c>
      <c r="W2370" s="84" t="str">
        <f>IF(AND('341-CT'!$H$9=H2370,OR(LEFT(N2370,3)=$W$7,LEFT(O2370,3)=$W$7)),"x","")</f>
        <v/>
      </c>
      <c r="X2370" s="84" t="str">
        <f>IF(OR(TH!N2370=TH!$X$7,O2370=TH!$X$7),"x","")</f>
        <v/>
      </c>
      <c r="Y2370" s="84" t="str">
        <f>IF(AND(OR(N2370="131",O2370="131"),H2370='131-CT'!$H$9),"x","")</f>
        <v/>
      </c>
      <c r="Z2370" s="84"/>
      <c r="AA2370" s="84" t="str">
        <f>IF(AND(MONTH(E2370)='IN-NX'!$J$5,'IN-NX'!$D$7=D2370),"x","")</f>
        <v/>
      </c>
      <c r="AB2370" s="84" t="str">
        <f>IF(AND(OR(LEFT(TH!N2370,2)="15",LEFT(TH!O2370,2)="15"),LEFT(TH!O2370,3)&lt;&gt;"111",'152-CT'!$J$8=TH!F2370),"x","")</f>
        <v/>
      </c>
      <c r="AC2370" s="84" t="str">
        <f>IF(AND(OR(LEFT(TH!N2370,2)="15",LEFT(TH!O2370,2)="15"),TK!$E$7=TH!F2370),"x","")</f>
        <v/>
      </c>
      <c r="AD2370" s="84" t="str">
        <f>IF(AND(N2370="1521",MONTH(C2370)='BK-NL'!$M$11),"x","")</f>
        <v/>
      </c>
    </row>
    <row r="2371" spans="1:30" s="351" customFormat="1" ht="15.75" hidden="1" customHeight="1">
      <c r="A2371" s="336" t="str">
        <f>IF(B2371&lt;&gt;"",IF(AND(B2371='IN-TC'!$S$4,OR(TH!N2371="1111",TH!O2371="1111")),TH!D2371,""),"")</f>
        <v/>
      </c>
      <c r="B2371" s="63" t="str">
        <f t="shared" si="291"/>
        <v/>
      </c>
      <c r="C2371" s="64"/>
      <c r="D2371" s="64"/>
      <c r="E2371" s="64"/>
      <c r="F2371" s="67"/>
      <c r="G2371" s="67"/>
      <c r="H2371" s="73"/>
      <c r="I2371" s="439"/>
      <c r="J2371" s="439"/>
      <c r="K2371" s="430"/>
      <c r="L2371" s="439"/>
      <c r="M2371" s="65"/>
      <c r="N2371" s="66"/>
      <c r="O2371" s="66"/>
      <c r="P2371" s="84" t="str">
        <f>IF(AND('331-CT'!$E$7=TH!H2371,OR(N2371="331",O2371="331")),"x","")</f>
        <v/>
      </c>
      <c r="Q2371" s="84" t="str">
        <f>IF(AND(B2371='111'!$L$11,OR($N2371=$Q$7,$O2371=$Q$7)),"x","")</f>
        <v/>
      </c>
      <c r="R2371" s="84" t="str">
        <f>IF(AND($N2371=$Q$7,$B2371&lt;'111'!$L$11),"x","")</f>
        <v/>
      </c>
      <c r="S2371" s="84" t="str">
        <f>IF(AND($O2371=$Q$7,$B2371&lt;'111'!$L$11),"x","")</f>
        <v/>
      </c>
      <c r="T2371" s="84" t="str">
        <f>IF(ISERROR(FIND('112'!$M$9,G2371,1)),"",IF((AND(FIND('112'!$M$9,G2371,1)&gt;=1,B2371='112'!$K$9,OR($N2371='112'!$I$6,$O2371='112'!$I$6))),"x",""))</f>
        <v/>
      </c>
      <c r="U2371" s="84" t="str">
        <f>IF(ISERROR(FIND('112'!$M$9,G2371,1)),"",IF((AND(LEFT(G2371,2)=LEFT('112'!$M$9,2),B2371&lt;'112'!$K$9,$N2371='112'!$I$6)),"x",""))</f>
        <v/>
      </c>
      <c r="V2371" s="84" t="str">
        <f>IF(ISERROR(FIND('112'!$M$9,G2371,1)),"",IF((AND(RIGHT(G2371,2)=RIGHT('112'!$M$9,2),B2371&lt;'112'!$K$9,$O2371='112'!$I$6)),"x",""))</f>
        <v/>
      </c>
      <c r="W2371" s="84" t="str">
        <f>IF(AND('341-CT'!$H$9=H2371,OR(LEFT(N2371,3)=$W$7,LEFT(O2371,3)=$W$7)),"x","")</f>
        <v/>
      </c>
      <c r="X2371" s="84" t="str">
        <f>IF(OR(TH!N2371=TH!$X$7,O2371=TH!$X$7),"x","")</f>
        <v/>
      </c>
      <c r="Y2371" s="84" t="str">
        <f>IF(AND(OR(N2371="131",O2371="131"),H2371='131-CT'!$H$9),"x","")</f>
        <v/>
      </c>
      <c r="Z2371" s="84"/>
      <c r="AA2371" s="84" t="str">
        <f>IF(AND(MONTH(E2371)='IN-NX'!$J$5,'IN-NX'!$D$7=D2371),"x","")</f>
        <v/>
      </c>
      <c r="AB2371" s="84" t="str">
        <f>IF(AND(OR(LEFT(TH!N2371,2)="15",LEFT(TH!O2371,2)="15"),LEFT(TH!O2371,3)&lt;&gt;"111",'152-CT'!$J$8=TH!F2371),"x","")</f>
        <v/>
      </c>
      <c r="AC2371" s="84" t="str">
        <f>IF(AND(OR(LEFT(TH!N2371,2)="15",LEFT(TH!O2371,2)="15"),TK!$E$7=TH!F2371),"x","")</f>
        <v/>
      </c>
      <c r="AD2371" s="84" t="str">
        <f>IF(AND(N2371="1521",MONTH(C2371)='BK-NL'!$M$11),"x","")</f>
        <v/>
      </c>
    </row>
    <row r="2372" spans="1:30" s="351" customFormat="1" ht="15.75" hidden="1" customHeight="1">
      <c r="A2372" s="336" t="str">
        <f>IF(B2372&lt;&gt;"",IF(AND(B2372='IN-TC'!$S$4,OR(TH!N2372="1111",TH!O2372="1111")),TH!D2372,""),"")</f>
        <v/>
      </c>
      <c r="B2372" s="63" t="str">
        <f t="shared" si="291"/>
        <v/>
      </c>
      <c r="C2372" s="64"/>
      <c r="D2372" s="64"/>
      <c r="E2372" s="64"/>
      <c r="F2372" s="67"/>
      <c r="G2372" s="67"/>
      <c r="H2372" s="73"/>
      <c r="I2372" s="439"/>
      <c r="J2372" s="439"/>
      <c r="K2372" s="430"/>
      <c r="L2372" s="439"/>
      <c r="M2372" s="65"/>
      <c r="N2372" s="66"/>
      <c r="O2372" s="66"/>
      <c r="P2372" s="84" t="str">
        <f>IF(AND('331-CT'!$E$7=TH!H2372,OR(N2372="331",O2372="331")),"x","")</f>
        <v/>
      </c>
      <c r="Q2372" s="84" t="str">
        <f>IF(AND(B2372='111'!$L$11,OR($N2372=$Q$7,$O2372=$Q$7)),"x","")</f>
        <v/>
      </c>
      <c r="R2372" s="84" t="str">
        <f>IF(AND($N2372=$Q$7,$B2372&lt;'111'!$L$11),"x","")</f>
        <v/>
      </c>
      <c r="S2372" s="84" t="str">
        <f>IF(AND($O2372=$Q$7,$B2372&lt;'111'!$L$11),"x","")</f>
        <v/>
      </c>
      <c r="T2372" s="84" t="str">
        <f>IF(ISERROR(FIND('112'!$M$9,G2372,1)),"",IF((AND(FIND('112'!$M$9,G2372,1)&gt;=1,B2372='112'!$K$9,OR($N2372='112'!$I$6,$O2372='112'!$I$6))),"x",""))</f>
        <v/>
      </c>
      <c r="U2372" s="84" t="str">
        <f>IF(ISERROR(FIND('112'!$M$9,G2372,1)),"",IF((AND(LEFT(G2372,2)=LEFT('112'!$M$9,2),B2372&lt;'112'!$K$9,$N2372='112'!$I$6)),"x",""))</f>
        <v/>
      </c>
      <c r="V2372" s="84" t="str">
        <f>IF(ISERROR(FIND('112'!$M$9,G2372,1)),"",IF((AND(RIGHT(G2372,2)=RIGHT('112'!$M$9,2),B2372&lt;'112'!$K$9,$O2372='112'!$I$6)),"x",""))</f>
        <v/>
      </c>
      <c r="W2372" s="84" t="str">
        <f>IF(AND('341-CT'!$H$9=H2372,OR(LEFT(N2372,3)=$W$7,LEFT(O2372,3)=$W$7)),"x","")</f>
        <v/>
      </c>
      <c r="X2372" s="84" t="str">
        <f>IF(OR(TH!N2372=TH!$X$7,O2372=TH!$X$7),"x","")</f>
        <v/>
      </c>
      <c r="Y2372" s="84" t="str">
        <f>IF(AND(OR(N2372="131",O2372="131"),H2372='131-CT'!$H$9),"x","")</f>
        <v/>
      </c>
      <c r="Z2372" s="84"/>
      <c r="AA2372" s="84" t="str">
        <f>IF(AND(MONTH(E2372)='IN-NX'!$J$5,'IN-NX'!$D$7=D2372),"x","")</f>
        <v/>
      </c>
      <c r="AB2372" s="84" t="str">
        <f>IF(AND(OR(LEFT(TH!N2372,2)="15",LEFT(TH!O2372,2)="15"),LEFT(TH!O2372,3)&lt;&gt;"111",'152-CT'!$J$8=TH!F2372),"x","")</f>
        <v/>
      </c>
      <c r="AC2372" s="84" t="str">
        <f>IF(AND(OR(LEFT(TH!N2372,2)="15",LEFT(TH!O2372,2)="15"),TK!$E$7=TH!F2372),"x","")</f>
        <v/>
      </c>
      <c r="AD2372" s="84" t="str">
        <f>IF(AND(N2372="1521",MONTH(C2372)='BK-NL'!$M$11),"x","")</f>
        <v/>
      </c>
    </row>
    <row r="2373" spans="1:30" s="351" customFormat="1" ht="15.75" hidden="1" customHeight="1">
      <c r="A2373" s="336" t="str">
        <f>IF(B2373&lt;&gt;"",IF(AND(B2373='IN-TC'!$S$4,OR(TH!N2373="1111",TH!O2373="1111")),TH!D2373,""),"")</f>
        <v/>
      </c>
      <c r="B2373" s="63" t="str">
        <f t="shared" si="291"/>
        <v/>
      </c>
      <c r="C2373" s="64"/>
      <c r="D2373" s="64"/>
      <c r="E2373" s="64"/>
      <c r="F2373" s="67"/>
      <c r="G2373" s="67"/>
      <c r="H2373" s="73"/>
      <c r="I2373" s="439"/>
      <c r="J2373" s="439"/>
      <c r="K2373" s="430"/>
      <c r="L2373" s="439"/>
      <c r="M2373" s="65"/>
      <c r="N2373" s="66"/>
      <c r="O2373" s="66"/>
      <c r="P2373" s="84" t="str">
        <f>IF(AND('331-CT'!$E$7=TH!H2373,OR(N2373="331",O2373="331")),"x","")</f>
        <v/>
      </c>
      <c r="Q2373" s="84" t="str">
        <f>IF(AND(B2373='111'!$L$11,OR($N2373=$Q$7,$O2373=$Q$7)),"x","")</f>
        <v/>
      </c>
      <c r="R2373" s="84" t="str">
        <f>IF(AND($N2373=$Q$7,$B2373&lt;'111'!$L$11),"x","")</f>
        <v/>
      </c>
      <c r="S2373" s="84" t="str">
        <f>IF(AND($O2373=$Q$7,$B2373&lt;'111'!$L$11),"x","")</f>
        <v/>
      </c>
      <c r="T2373" s="84" t="str">
        <f>IF(ISERROR(FIND('112'!$M$9,G2373,1)),"",IF((AND(FIND('112'!$M$9,G2373,1)&gt;=1,B2373='112'!$K$9,OR($N2373='112'!$I$6,$O2373='112'!$I$6))),"x",""))</f>
        <v/>
      </c>
      <c r="U2373" s="84" t="str">
        <f>IF(ISERROR(FIND('112'!$M$9,G2373,1)),"",IF((AND(LEFT(G2373,2)=LEFT('112'!$M$9,2),B2373&lt;'112'!$K$9,$N2373='112'!$I$6)),"x",""))</f>
        <v/>
      </c>
      <c r="V2373" s="84" t="str">
        <f>IF(ISERROR(FIND('112'!$M$9,G2373,1)),"",IF((AND(RIGHT(G2373,2)=RIGHT('112'!$M$9,2),B2373&lt;'112'!$K$9,$O2373='112'!$I$6)),"x",""))</f>
        <v/>
      </c>
      <c r="W2373" s="84" t="str">
        <f>IF(AND('341-CT'!$H$9=H2373,OR(LEFT(N2373,3)=$W$7,LEFT(O2373,3)=$W$7)),"x","")</f>
        <v/>
      </c>
      <c r="X2373" s="84" t="str">
        <f>IF(OR(TH!N2373=TH!$X$7,O2373=TH!$X$7),"x","")</f>
        <v/>
      </c>
      <c r="Y2373" s="84" t="str">
        <f>IF(AND(OR(N2373="131",O2373="131"),H2373='131-CT'!$H$9),"x","")</f>
        <v/>
      </c>
      <c r="Z2373" s="84"/>
      <c r="AA2373" s="84" t="str">
        <f>IF(AND(MONTH(E2373)='IN-NX'!$J$5,'IN-NX'!$D$7=D2373),"x","")</f>
        <v/>
      </c>
      <c r="AB2373" s="84" t="str">
        <f>IF(AND(OR(LEFT(TH!N2373,2)="15",LEFT(TH!O2373,2)="15"),LEFT(TH!O2373,3)&lt;&gt;"111",'152-CT'!$J$8=TH!F2373),"x","")</f>
        <v/>
      </c>
      <c r="AC2373" s="84" t="str">
        <f>IF(AND(OR(LEFT(TH!N2373,2)="15",LEFT(TH!O2373,2)="15"),TK!$E$7=TH!F2373),"x","")</f>
        <v/>
      </c>
      <c r="AD2373" s="84" t="str">
        <f>IF(AND(N2373="1521",MONTH(C2373)='BK-NL'!$M$11),"x","")</f>
        <v/>
      </c>
    </row>
    <row r="2374" spans="1:30" s="351" customFormat="1" ht="15.75" hidden="1" customHeight="1">
      <c r="A2374" s="336" t="str">
        <f>IF(B2374&lt;&gt;"",IF(AND(B2374='IN-TC'!$S$4,OR(TH!N2374="1111",TH!O2374="1111")),TH!D2374,""),"")</f>
        <v/>
      </c>
      <c r="B2374" s="63" t="str">
        <f t="shared" si="291"/>
        <v/>
      </c>
      <c r="C2374" s="64"/>
      <c r="D2374" s="64"/>
      <c r="E2374" s="64"/>
      <c r="F2374" s="67"/>
      <c r="G2374" s="67"/>
      <c r="H2374" s="73"/>
      <c r="I2374" s="439"/>
      <c r="J2374" s="439"/>
      <c r="K2374" s="430"/>
      <c r="L2374" s="439"/>
      <c r="M2374" s="65"/>
      <c r="N2374" s="66"/>
      <c r="O2374" s="66"/>
      <c r="P2374" s="84" t="str">
        <f>IF(AND('331-CT'!$E$7=TH!H2374,OR(N2374="331",O2374="331")),"x","")</f>
        <v/>
      </c>
      <c r="Q2374" s="84" t="str">
        <f>IF(AND(B2374='111'!$L$11,OR($N2374=$Q$7,$O2374=$Q$7)),"x","")</f>
        <v/>
      </c>
      <c r="R2374" s="84" t="str">
        <f>IF(AND($N2374=$Q$7,$B2374&lt;'111'!$L$11),"x","")</f>
        <v/>
      </c>
      <c r="S2374" s="84" t="str">
        <f>IF(AND($O2374=$Q$7,$B2374&lt;'111'!$L$11),"x","")</f>
        <v/>
      </c>
      <c r="T2374" s="84" t="str">
        <f>IF(ISERROR(FIND('112'!$M$9,G2374,1)),"",IF((AND(FIND('112'!$M$9,G2374,1)&gt;=1,B2374='112'!$K$9,OR($N2374='112'!$I$6,$O2374='112'!$I$6))),"x",""))</f>
        <v/>
      </c>
      <c r="U2374" s="84" t="str">
        <f>IF(ISERROR(FIND('112'!$M$9,G2374,1)),"",IF((AND(LEFT(G2374,2)=LEFT('112'!$M$9,2),B2374&lt;'112'!$K$9,$N2374='112'!$I$6)),"x",""))</f>
        <v/>
      </c>
      <c r="V2374" s="84" t="str">
        <f>IF(ISERROR(FIND('112'!$M$9,G2374,1)),"",IF((AND(RIGHT(G2374,2)=RIGHT('112'!$M$9,2),B2374&lt;'112'!$K$9,$O2374='112'!$I$6)),"x",""))</f>
        <v/>
      </c>
      <c r="W2374" s="84" t="str">
        <f>IF(AND('341-CT'!$H$9=H2374,OR(LEFT(N2374,3)=$W$7,LEFT(O2374,3)=$W$7)),"x","")</f>
        <v/>
      </c>
      <c r="X2374" s="84" t="str">
        <f>IF(OR(TH!N2374=TH!$X$7,O2374=TH!$X$7),"x","")</f>
        <v/>
      </c>
      <c r="Y2374" s="84" t="str">
        <f>IF(AND(OR(N2374="131",O2374="131"),H2374='131-CT'!$H$9),"x","")</f>
        <v/>
      </c>
      <c r="Z2374" s="84"/>
      <c r="AA2374" s="84" t="str">
        <f>IF(AND(MONTH(E2374)='IN-NX'!$J$5,'IN-NX'!$D$7=D2374),"x","")</f>
        <v/>
      </c>
      <c r="AB2374" s="84" t="str">
        <f>IF(AND(OR(LEFT(TH!N2374,2)="15",LEFT(TH!O2374,2)="15"),LEFT(TH!O2374,3)&lt;&gt;"111",'152-CT'!$J$8=TH!F2374),"x","")</f>
        <v/>
      </c>
      <c r="AC2374" s="84" t="str">
        <f>IF(AND(OR(LEFT(TH!N2374,2)="15",LEFT(TH!O2374,2)="15"),TK!$E$7=TH!F2374),"x","")</f>
        <v/>
      </c>
      <c r="AD2374" s="84" t="str">
        <f>IF(AND(N2374="1521",MONTH(C2374)='BK-NL'!$M$11),"x","")</f>
        <v/>
      </c>
    </row>
    <row r="2375" spans="1:30" s="351" customFormat="1" ht="15.75" hidden="1" customHeight="1">
      <c r="A2375" s="336" t="str">
        <f>IF(B2375&lt;&gt;"",IF(AND(B2375='IN-TC'!$S$4,OR(TH!N2375="1111",TH!O2375="1111")),TH!D2375,""),"")</f>
        <v/>
      </c>
      <c r="B2375" s="63" t="str">
        <f t="shared" si="291"/>
        <v/>
      </c>
      <c r="C2375" s="64"/>
      <c r="D2375" s="64"/>
      <c r="E2375" s="64"/>
      <c r="F2375" s="67"/>
      <c r="G2375" s="67"/>
      <c r="H2375" s="73"/>
      <c r="I2375" s="439"/>
      <c r="J2375" s="439"/>
      <c r="K2375" s="430"/>
      <c r="L2375" s="439"/>
      <c r="M2375" s="65"/>
      <c r="N2375" s="66"/>
      <c r="O2375" s="66"/>
      <c r="P2375" s="84" t="str">
        <f>IF(AND('331-CT'!$E$7=TH!H2375,OR(N2375="331",O2375="331")),"x","")</f>
        <v/>
      </c>
      <c r="Q2375" s="84" t="str">
        <f>IF(AND(B2375='111'!$L$11,OR($N2375=$Q$7,$O2375=$Q$7)),"x","")</f>
        <v/>
      </c>
      <c r="R2375" s="84" t="str">
        <f>IF(AND($N2375=$Q$7,$B2375&lt;'111'!$L$11),"x","")</f>
        <v/>
      </c>
      <c r="S2375" s="84" t="str">
        <f>IF(AND($O2375=$Q$7,$B2375&lt;'111'!$L$11),"x","")</f>
        <v/>
      </c>
      <c r="T2375" s="84" t="str">
        <f>IF(ISERROR(FIND('112'!$M$9,G2375,1)),"",IF((AND(FIND('112'!$M$9,G2375,1)&gt;=1,B2375='112'!$K$9,OR($N2375='112'!$I$6,$O2375='112'!$I$6))),"x",""))</f>
        <v/>
      </c>
      <c r="U2375" s="84" t="str">
        <f>IF(ISERROR(FIND('112'!$M$9,G2375,1)),"",IF((AND(LEFT(G2375,2)=LEFT('112'!$M$9,2),B2375&lt;'112'!$K$9,$N2375='112'!$I$6)),"x",""))</f>
        <v/>
      </c>
      <c r="V2375" s="84" t="str">
        <f>IF(ISERROR(FIND('112'!$M$9,G2375,1)),"",IF((AND(RIGHT(G2375,2)=RIGHT('112'!$M$9,2),B2375&lt;'112'!$K$9,$O2375='112'!$I$6)),"x",""))</f>
        <v/>
      </c>
      <c r="W2375" s="84" t="str">
        <f>IF(AND('341-CT'!$H$9=H2375,OR(LEFT(N2375,3)=$W$7,LEFT(O2375,3)=$W$7)),"x","")</f>
        <v/>
      </c>
      <c r="X2375" s="84" t="str">
        <f>IF(OR(TH!N2375=TH!$X$7,O2375=TH!$X$7),"x","")</f>
        <v/>
      </c>
      <c r="Y2375" s="84" t="str">
        <f>IF(AND(OR(N2375="131",O2375="131"),H2375='131-CT'!$H$9),"x","")</f>
        <v/>
      </c>
      <c r="Z2375" s="84"/>
      <c r="AA2375" s="84" t="str">
        <f>IF(AND(MONTH(E2375)='IN-NX'!$J$5,'IN-NX'!$D$7=D2375),"x","")</f>
        <v/>
      </c>
      <c r="AB2375" s="84" t="str">
        <f>IF(AND(OR(LEFT(TH!N2375,2)="15",LEFT(TH!O2375,2)="15"),LEFT(TH!O2375,3)&lt;&gt;"111",'152-CT'!$J$8=TH!F2375),"x","")</f>
        <v/>
      </c>
      <c r="AC2375" s="84" t="str">
        <f>IF(AND(OR(LEFT(TH!N2375,2)="15",LEFT(TH!O2375,2)="15"),TK!$E$7=TH!F2375),"x","")</f>
        <v/>
      </c>
      <c r="AD2375" s="84" t="str">
        <f>IF(AND(N2375="1521",MONTH(C2375)='BK-NL'!$M$11),"x","")</f>
        <v/>
      </c>
    </row>
    <row r="2376" spans="1:30" s="351" customFormat="1" ht="15.75" hidden="1" customHeight="1">
      <c r="A2376" s="336" t="str">
        <f>IF(B2376&lt;&gt;"",IF(AND(B2376='IN-TC'!$S$4,OR(TH!N2376="1111",TH!O2376="1111")),TH!D2376,""),"")</f>
        <v/>
      </c>
      <c r="B2376" s="63" t="str">
        <f t="shared" si="291"/>
        <v/>
      </c>
      <c r="C2376" s="64"/>
      <c r="D2376" s="64"/>
      <c r="E2376" s="64"/>
      <c r="F2376" s="67"/>
      <c r="G2376" s="67"/>
      <c r="H2376" s="73"/>
      <c r="I2376" s="439"/>
      <c r="J2376" s="439"/>
      <c r="K2376" s="430"/>
      <c r="L2376" s="439"/>
      <c r="M2376" s="65"/>
      <c r="N2376" s="66"/>
      <c r="O2376" s="66"/>
      <c r="P2376" s="84" t="str">
        <f>IF(AND('331-CT'!$E$7=TH!H2376,OR(N2376="331",O2376="331")),"x","")</f>
        <v/>
      </c>
      <c r="Q2376" s="84" t="str">
        <f>IF(AND(B2376='111'!$L$11,OR($N2376=$Q$7,$O2376=$Q$7)),"x","")</f>
        <v/>
      </c>
      <c r="R2376" s="84" t="str">
        <f>IF(AND($N2376=$Q$7,$B2376&lt;'111'!$L$11),"x","")</f>
        <v/>
      </c>
      <c r="S2376" s="84" t="str">
        <f>IF(AND($O2376=$Q$7,$B2376&lt;'111'!$L$11),"x","")</f>
        <v/>
      </c>
      <c r="T2376" s="84" t="str">
        <f>IF(ISERROR(FIND('112'!$M$9,G2376,1)),"",IF((AND(FIND('112'!$M$9,G2376,1)&gt;=1,B2376='112'!$K$9,OR($N2376='112'!$I$6,$O2376='112'!$I$6))),"x",""))</f>
        <v/>
      </c>
      <c r="U2376" s="84" t="str">
        <f>IF(ISERROR(FIND('112'!$M$9,G2376,1)),"",IF((AND(LEFT(G2376,2)=LEFT('112'!$M$9,2),B2376&lt;'112'!$K$9,$N2376='112'!$I$6)),"x",""))</f>
        <v/>
      </c>
      <c r="V2376" s="84" t="str">
        <f>IF(ISERROR(FIND('112'!$M$9,G2376,1)),"",IF((AND(RIGHT(G2376,2)=RIGHT('112'!$M$9,2),B2376&lt;'112'!$K$9,$O2376='112'!$I$6)),"x",""))</f>
        <v/>
      </c>
      <c r="W2376" s="84" t="str">
        <f>IF(AND('341-CT'!$H$9=H2376,OR(LEFT(N2376,3)=$W$7,LEFT(O2376,3)=$W$7)),"x","")</f>
        <v/>
      </c>
      <c r="X2376" s="84" t="str">
        <f>IF(OR(TH!N2376=TH!$X$7,O2376=TH!$X$7),"x","")</f>
        <v/>
      </c>
      <c r="Y2376" s="84" t="str">
        <f>IF(AND(OR(N2376="131",O2376="131"),H2376='131-CT'!$H$9),"x","")</f>
        <v/>
      </c>
      <c r="Z2376" s="84"/>
      <c r="AA2376" s="84" t="str">
        <f>IF(AND(MONTH(E2376)='IN-NX'!$J$5,'IN-NX'!$D$7=D2376),"x","")</f>
        <v/>
      </c>
      <c r="AB2376" s="84" t="str">
        <f>IF(AND(OR(LEFT(TH!N2376,2)="15",LEFT(TH!O2376,2)="15"),LEFT(TH!O2376,3)&lt;&gt;"111",'152-CT'!$J$8=TH!F2376),"x","")</f>
        <v/>
      </c>
      <c r="AC2376" s="84" t="str">
        <f>IF(AND(OR(LEFT(TH!N2376,2)="15",LEFT(TH!O2376,2)="15"),TK!$E$7=TH!F2376),"x","")</f>
        <v/>
      </c>
      <c r="AD2376" s="84" t="str">
        <f>IF(AND(N2376="1521",MONTH(C2376)='BK-NL'!$M$11),"x","")</f>
        <v/>
      </c>
    </row>
    <row r="2377" spans="1:30" s="351" customFormat="1" ht="15.75" hidden="1" customHeight="1">
      <c r="A2377" s="336" t="str">
        <f>IF(B2377&lt;&gt;"",IF(AND(B2377='IN-TC'!$S$4,OR(TH!N2377="1111",TH!O2377="1111")),TH!D2377,""),"")</f>
        <v/>
      </c>
      <c r="B2377" s="63" t="str">
        <f t="shared" si="291"/>
        <v/>
      </c>
      <c r="C2377" s="64"/>
      <c r="D2377" s="64"/>
      <c r="E2377" s="64"/>
      <c r="F2377" s="67"/>
      <c r="G2377" s="67"/>
      <c r="H2377" s="73"/>
      <c r="I2377" s="439"/>
      <c r="J2377" s="439"/>
      <c r="K2377" s="430"/>
      <c r="L2377" s="439"/>
      <c r="M2377" s="65"/>
      <c r="N2377" s="66"/>
      <c r="O2377" s="66"/>
      <c r="P2377" s="84" t="str">
        <f>IF(AND('331-CT'!$E$7=TH!H2377,OR(N2377="331",O2377="331")),"x","")</f>
        <v/>
      </c>
      <c r="Q2377" s="84" t="str">
        <f>IF(AND(B2377='111'!$L$11,OR($N2377=$Q$7,$O2377=$Q$7)),"x","")</f>
        <v/>
      </c>
      <c r="R2377" s="84" t="str">
        <f>IF(AND($N2377=$Q$7,$B2377&lt;'111'!$L$11),"x","")</f>
        <v/>
      </c>
      <c r="S2377" s="84" t="str">
        <f>IF(AND($O2377=$Q$7,$B2377&lt;'111'!$L$11),"x","")</f>
        <v/>
      </c>
      <c r="T2377" s="84" t="str">
        <f>IF(ISERROR(FIND('112'!$M$9,G2377,1)),"",IF((AND(FIND('112'!$M$9,G2377,1)&gt;=1,B2377='112'!$K$9,OR($N2377='112'!$I$6,$O2377='112'!$I$6))),"x",""))</f>
        <v/>
      </c>
      <c r="U2377" s="84" t="str">
        <f>IF(ISERROR(FIND('112'!$M$9,G2377,1)),"",IF((AND(LEFT(G2377,2)=LEFT('112'!$M$9,2),B2377&lt;'112'!$K$9,$N2377='112'!$I$6)),"x",""))</f>
        <v/>
      </c>
      <c r="V2377" s="84" t="str">
        <f>IF(ISERROR(FIND('112'!$M$9,G2377,1)),"",IF((AND(RIGHT(G2377,2)=RIGHT('112'!$M$9,2),B2377&lt;'112'!$K$9,$O2377='112'!$I$6)),"x",""))</f>
        <v/>
      </c>
      <c r="W2377" s="84" t="str">
        <f>IF(AND('341-CT'!$H$9=H2377,OR(LEFT(N2377,3)=$W$7,LEFT(O2377,3)=$W$7)),"x","")</f>
        <v/>
      </c>
      <c r="X2377" s="84" t="str">
        <f>IF(OR(TH!N2377=TH!$X$7,O2377=TH!$X$7),"x","")</f>
        <v/>
      </c>
      <c r="Y2377" s="84" t="str">
        <f>IF(AND(OR(N2377="131",O2377="131"),H2377='131-CT'!$H$9),"x","")</f>
        <v/>
      </c>
      <c r="Z2377" s="84"/>
      <c r="AA2377" s="84" t="str">
        <f>IF(AND(MONTH(E2377)='IN-NX'!$J$5,'IN-NX'!$D$7=D2377),"x","")</f>
        <v/>
      </c>
      <c r="AB2377" s="84" t="str">
        <f>IF(AND(OR(LEFT(TH!N2377,2)="15",LEFT(TH!O2377,2)="15"),LEFT(TH!O2377,3)&lt;&gt;"111",'152-CT'!$J$8=TH!F2377),"x","")</f>
        <v/>
      </c>
      <c r="AC2377" s="84" t="str">
        <f>IF(AND(OR(LEFT(TH!N2377,2)="15",LEFT(TH!O2377,2)="15"),TK!$E$7=TH!F2377),"x","")</f>
        <v/>
      </c>
      <c r="AD2377" s="84" t="str">
        <f>IF(AND(N2377="1521",MONTH(C2377)='BK-NL'!$M$11),"x","")</f>
        <v/>
      </c>
    </row>
    <row r="2378" spans="1:30" s="351" customFormat="1" ht="15.75" hidden="1" customHeight="1">
      <c r="A2378" s="336" t="str">
        <f>IF(B2378&lt;&gt;"",IF(AND(B2378='IN-TC'!$S$4,OR(TH!N2378="1111",TH!O2378="1111")),TH!D2378,""),"")</f>
        <v/>
      </c>
      <c r="B2378" s="63" t="str">
        <f t="shared" si="291"/>
        <v/>
      </c>
      <c r="C2378" s="64"/>
      <c r="D2378" s="64"/>
      <c r="E2378" s="64"/>
      <c r="F2378" s="67"/>
      <c r="G2378" s="67"/>
      <c r="H2378" s="73"/>
      <c r="I2378" s="439"/>
      <c r="J2378" s="439"/>
      <c r="K2378" s="430"/>
      <c r="L2378" s="439"/>
      <c r="M2378" s="65"/>
      <c r="N2378" s="66"/>
      <c r="O2378" s="66"/>
      <c r="P2378" s="84" t="str">
        <f>IF(AND('331-CT'!$E$7=TH!H2378,OR(N2378="331",O2378="331")),"x","")</f>
        <v/>
      </c>
      <c r="Q2378" s="84" t="str">
        <f>IF(AND(B2378='111'!$L$11,OR($N2378=$Q$7,$O2378=$Q$7)),"x","")</f>
        <v/>
      </c>
      <c r="R2378" s="84" t="str">
        <f>IF(AND($N2378=$Q$7,$B2378&lt;'111'!$L$11),"x","")</f>
        <v/>
      </c>
      <c r="S2378" s="84" t="str">
        <f>IF(AND($O2378=$Q$7,$B2378&lt;'111'!$L$11),"x","")</f>
        <v/>
      </c>
      <c r="T2378" s="84" t="str">
        <f>IF(ISERROR(FIND('112'!$M$9,G2378,1)),"",IF((AND(FIND('112'!$M$9,G2378,1)&gt;=1,B2378='112'!$K$9,OR($N2378='112'!$I$6,$O2378='112'!$I$6))),"x",""))</f>
        <v/>
      </c>
      <c r="U2378" s="84" t="str">
        <f>IF(ISERROR(FIND('112'!$M$9,G2378,1)),"",IF((AND(LEFT(G2378,2)=LEFT('112'!$M$9,2),B2378&lt;'112'!$K$9,$N2378='112'!$I$6)),"x",""))</f>
        <v/>
      </c>
      <c r="V2378" s="84" t="str">
        <f>IF(ISERROR(FIND('112'!$M$9,G2378,1)),"",IF((AND(RIGHT(G2378,2)=RIGHT('112'!$M$9,2),B2378&lt;'112'!$K$9,$O2378='112'!$I$6)),"x",""))</f>
        <v/>
      </c>
      <c r="W2378" s="84" t="str">
        <f>IF(AND('341-CT'!$H$9=H2378,OR(LEFT(N2378,3)=$W$7,LEFT(O2378,3)=$W$7)),"x","")</f>
        <v/>
      </c>
      <c r="X2378" s="84" t="str">
        <f>IF(OR(TH!N2378=TH!$X$7,O2378=TH!$X$7),"x","")</f>
        <v/>
      </c>
      <c r="Y2378" s="84" t="str">
        <f>IF(AND(OR(N2378="131",O2378="131"),H2378='131-CT'!$H$9),"x","")</f>
        <v/>
      </c>
      <c r="Z2378" s="84"/>
      <c r="AA2378" s="84" t="str">
        <f>IF(AND(MONTH(E2378)='IN-NX'!$J$5,'IN-NX'!$D$7=D2378),"x","")</f>
        <v/>
      </c>
      <c r="AB2378" s="84" t="str">
        <f>IF(AND(OR(LEFT(TH!N2378,2)="15",LEFT(TH!O2378,2)="15"),LEFT(TH!O2378,3)&lt;&gt;"111",'152-CT'!$J$8=TH!F2378),"x","")</f>
        <v/>
      </c>
      <c r="AC2378" s="84" t="str">
        <f>IF(AND(OR(LEFT(TH!N2378,2)="15",LEFT(TH!O2378,2)="15"),TK!$E$7=TH!F2378),"x","")</f>
        <v/>
      </c>
      <c r="AD2378" s="84" t="str">
        <f>IF(AND(N2378="1521",MONTH(C2378)='BK-NL'!$M$11),"x","")</f>
        <v/>
      </c>
    </row>
    <row r="2379" spans="1:30" s="351" customFormat="1" ht="15.75" hidden="1" customHeight="1">
      <c r="A2379" s="336" t="str">
        <f>IF(B2379&lt;&gt;"",IF(AND(B2379='IN-TC'!$S$4,OR(TH!N2379="1111",TH!O2379="1111")),TH!D2379,""),"")</f>
        <v/>
      </c>
      <c r="B2379" s="63" t="str">
        <f t="shared" si="291"/>
        <v/>
      </c>
      <c r="C2379" s="64"/>
      <c r="D2379" s="64"/>
      <c r="E2379" s="64"/>
      <c r="F2379" s="67"/>
      <c r="G2379" s="67"/>
      <c r="H2379" s="73"/>
      <c r="I2379" s="439"/>
      <c r="J2379" s="439"/>
      <c r="K2379" s="430"/>
      <c r="L2379" s="439"/>
      <c r="M2379" s="65"/>
      <c r="N2379" s="66"/>
      <c r="O2379" s="66"/>
      <c r="P2379" s="84" t="str">
        <f>IF(AND('331-CT'!$E$7=TH!H2379,OR(N2379="331",O2379="331")),"x","")</f>
        <v/>
      </c>
      <c r="Q2379" s="84" t="str">
        <f>IF(AND(B2379='111'!$L$11,OR($N2379=$Q$7,$O2379=$Q$7)),"x","")</f>
        <v/>
      </c>
      <c r="R2379" s="84" t="str">
        <f>IF(AND($N2379=$Q$7,$B2379&lt;'111'!$L$11),"x","")</f>
        <v/>
      </c>
      <c r="S2379" s="84" t="str">
        <f>IF(AND($O2379=$Q$7,$B2379&lt;'111'!$L$11),"x","")</f>
        <v/>
      </c>
      <c r="T2379" s="84" t="str">
        <f>IF(ISERROR(FIND('112'!$M$9,G2379,1)),"",IF((AND(FIND('112'!$M$9,G2379,1)&gt;=1,B2379='112'!$K$9,OR($N2379='112'!$I$6,$O2379='112'!$I$6))),"x",""))</f>
        <v/>
      </c>
      <c r="U2379" s="84" t="str">
        <f>IF(ISERROR(FIND('112'!$M$9,G2379,1)),"",IF((AND(LEFT(G2379,2)=LEFT('112'!$M$9,2),B2379&lt;'112'!$K$9,$N2379='112'!$I$6)),"x",""))</f>
        <v/>
      </c>
      <c r="V2379" s="84" t="str">
        <f>IF(ISERROR(FIND('112'!$M$9,G2379,1)),"",IF((AND(RIGHT(G2379,2)=RIGHT('112'!$M$9,2),B2379&lt;'112'!$K$9,$O2379='112'!$I$6)),"x",""))</f>
        <v/>
      </c>
      <c r="W2379" s="84" t="str">
        <f>IF(AND('341-CT'!$H$9=H2379,OR(LEFT(N2379,3)=$W$7,LEFT(O2379,3)=$W$7)),"x","")</f>
        <v/>
      </c>
      <c r="X2379" s="84" t="str">
        <f>IF(OR(TH!N2379=TH!$X$7,O2379=TH!$X$7),"x","")</f>
        <v/>
      </c>
      <c r="Y2379" s="84" t="str">
        <f>IF(AND(OR(N2379="131",O2379="131"),H2379='131-CT'!$H$9),"x","")</f>
        <v/>
      </c>
      <c r="Z2379" s="84"/>
      <c r="AA2379" s="84" t="str">
        <f>IF(AND(MONTH(E2379)='IN-NX'!$J$5,'IN-NX'!$D$7=D2379),"x","")</f>
        <v/>
      </c>
      <c r="AB2379" s="84" t="str">
        <f>IF(AND(OR(LEFT(TH!N2379,2)="15",LEFT(TH!O2379,2)="15"),LEFT(TH!O2379,3)&lt;&gt;"111",'152-CT'!$J$8=TH!F2379),"x","")</f>
        <v/>
      </c>
      <c r="AC2379" s="84" t="str">
        <f>IF(AND(OR(LEFT(TH!N2379,2)="15",LEFT(TH!O2379,2)="15"),TK!$E$7=TH!F2379),"x","")</f>
        <v/>
      </c>
      <c r="AD2379" s="84" t="str">
        <f>IF(AND(N2379="1521",MONTH(C2379)='BK-NL'!$M$11),"x","")</f>
        <v/>
      </c>
    </row>
    <row r="2380" spans="1:30" s="351" customFormat="1" ht="15.75" hidden="1" customHeight="1">
      <c r="A2380" s="336" t="str">
        <f>IF(B2380&lt;&gt;"",IF(AND(B2380='IN-TC'!$S$4,OR(TH!N2380="1111",TH!O2380="1111")),TH!D2380,""),"")</f>
        <v/>
      </c>
      <c r="B2380" s="63" t="str">
        <f t="shared" si="291"/>
        <v/>
      </c>
      <c r="C2380" s="64"/>
      <c r="D2380" s="64"/>
      <c r="E2380" s="64"/>
      <c r="F2380" s="67"/>
      <c r="G2380" s="67"/>
      <c r="H2380" s="73"/>
      <c r="I2380" s="439"/>
      <c r="J2380" s="439"/>
      <c r="K2380" s="430"/>
      <c r="L2380" s="439"/>
      <c r="M2380" s="65"/>
      <c r="N2380" s="66"/>
      <c r="O2380" s="66"/>
      <c r="P2380" s="84" t="str">
        <f>IF(AND('331-CT'!$E$7=TH!H2380,OR(N2380="331",O2380="331")),"x","")</f>
        <v/>
      </c>
      <c r="Q2380" s="84" t="str">
        <f>IF(AND(B2380='111'!$L$11,OR($N2380=$Q$7,$O2380=$Q$7)),"x","")</f>
        <v/>
      </c>
      <c r="R2380" s="84" t="str">
        <f>IF(AND($N2380=$Q$7,$B2380&lt;'111'!$L$11),"x","")</f>
        <v/>
      </c>
      <c r="S2380" s="84" t="str">
        <f>IF(AND($O2380=$Q$7,$B2380&lt;'111'!$L$11),"x","")</f>
        <v/>
      </c>
      <c r="T2380" s="84" t="str">
        <f>IF(ISERROR(FIND('112'!$M$9,G2380,1)),"",IF((AND(FIND('112'!$M$9,G2380,1)&gt;=1,B2380='112'!$K$9,OR($N2380='112'!$I$6,$O2380='112'!$I$6))),"x",""))</f>
        <v/>
      </c>
      <c r="U2380" s="84" t="str">
        <f>IF(ISERROR(FIND('112'!$M$9,G2380,1)),"",IF((AND(LEFT(G2380,2)=LEFT('112'!$M$9,2),B2380&lt;'112'!$K$9,$N2380='112'!$I$6)),"x",""))</f>
        <v/>
      </c>
      <c r="V2380" s="84" t="str">
        <f>IF(ISERROR(FIND('112'!$M$9,G2380,1)),"",IF((AND(RIGHT(G2380,2)=RIGHT('112'!$M$9,2),B2380&lt;'112'!$K$9,$O2380='112'!$I$6)),"x",""))</f>
        <v/>
      </c>
      <c r="W2380" s="84" t="str">
        <f>IF(AND('341-CT'!$H$9=H2380,OR(LEFT(N2380,3)=$W$7,LEFT(O2380,3)=$W$7)),"x","")</f>
        <v/>
      </c>
      <c r="X2380" s="84" t="str">
        <f>IF(OR(TH!N2380=TH!$X$7,O2380=TH!$X$7),"x","")</f>
        <v/>
      </c>
      <c r="Y2380" s="84" t="str">
        <f>IF(AND(OR(N2380="131",O2380="131"),H2380='131-CT'!$H$9),"x","")</f>
        <v/>
      </c>
      <c r="Z2380" s="84"/>
      <c r="AA2380" s="84" t="str">
        <f>IF(AND(MONTH(E2380)='IN-NX'!$J$5,'IN-NX'!$D$7=D2380),"x","")</f>
        <v/>
      </c>
      <c r="AB2380" s="84" t="str">
        <f>IF(AND(OR(LEFT(TH!N2380,2)="15",LEFT(TH!O2380,2)="15"),LEFT(TH!O2380,3)&lt;&gt;"111",'152-CT'!$J$8=TH!F2380),"x","")</f>
        <v/>
      </c>
      <c r="AC2380" s="84" t="str">
        <f>IF(AND(OR(LEFT(TH!N2380,2)="15",LEFT(TH!O2380,2)="15"),TK!$E$7=TH!F2380),"x","")</f>
        <v/>
      </c>
      <c r="AD2380" s="84" t="str">
        <f>IF(AND(N2380="1521",MONTH(C2380)='BK-NL'!$M$11),"x","")</f>
        <v/>
      </c>
    </row>
    <row r="2381" spans="1:30" s="351" customFormat="1" ht="15.75" hidden="1" customHeight="1">
      <c r="A2381" s="336" t="str">
        <f>IF(B2381&lt;&gt;"",IF(AND(B2381='IN-TC'!$S$4,OR(TH!N2381="1111",TH!O2381="1111")),TH!D2381,""),"")</f>
        <v/>
      </c>
      <c r="B2381" s="63" t="str">
        <f t="shared" si="291"/>
        <v/>
      </c>
      <c r="C2381" s="64"/>
      <c r="D2381" s="64"/>
      <c r="E2381" s="64"/>
      <c r="F2381" s="67"/>
      <c r="G2381" s="67"/>
      <c r="H2381" s="73"/>
      <c r="I2381" s="439"/>
      <c r="J2381" s="439"/>
      <c r="K2381" s="430"/>
      <c r="L2381" s="439"/>
      <c r="M2381" s="65"/>
      <c r="N2381" s="66"/>
      <c r="O2381" s="66"/>
      <c r="P2381" s="84" t="str">
        <f>IF(AND('331-CT'!$E$7=TH!H2381,OR(N2381="331",O2381="331")),"x","")</f>
        <v/>
      </c>
      <c r="Q2381" s="84" t="str">
        <f>IF(AND(B2381='111'!$L$11,OR($N2381=$Q$7,$O2381=$Q$7)),"x","")</f>
        <v/>
      </c>
      <c r="R2381" s="84" t="str">
        <f>IF(AND($N2381=$Q$7,$B2381&lt;'111'!$L$11),"x","")</f>
        <v/>
      </c>
      <c r="S2381" s="84" t="str">
        <f>IF(AND($O2381=$Q$7,$B2381&lt;'111'!$L$11),"x","")</f>
        <v/>
      </c>
      <c r="T2381" s="84" t="str">
        <f>IF(ISERROR(FIND('112'!$M$9,G2381,1)),"",IF((AND(FIND('112'!$M$9,G2381,1)&gt;=1,B2381='112'!$K$9,OR($N2381='112'!$I$6,$O2381='112'!$I$6))),"x",""))</f>
        <v/>
      </c>
      <c r="U2381" s="84" t="str">
        <f>IF(ISERROR(FIND('112'!$M$9,G2381,1)),"",IF((AND(LEFT(G2381,2)=LEFT('112'!$M$9,2),B2381&lt;'112'!$K$9,$N2381='112'!$I$6)),"x",""))</f>
        <v/>
      </c>
      <c r="V2381" s="84" t="str">
        <f>IF(ISERROR(FIND('112'!$M$9,G2381,1)),"",IF((AND(RIGHT(G2381,2)=RIGHT('112'!$M$9,2),B2381&lt;'112'!$K$9,$O2381='112'!$I$6)),"x",""))</f>
        <v/>
      </c>
      <c r="W2381" s="84" t="str">
        <f>IF(AND('341-CT'!$H$9=H2381,OR(LEFT(N2381,3)=$W$7,LEFT(O2381,3)=$W$7)),"x","")</f>
        <v/>
      </c>
      <c r="X2381" s="84" t="str">
        <f>IF(OR(TH!N2381=TH!$X$7,O2381=TH!$X$7),"x","")</f>
        <v/>
      </c>
      <c r="Y2381" s="84" t="str">
        <f>IF(AND(OR(N2381="131",O2381="131"),H2381='131-CT'!$H$9),"x","")</f>
        <v/>
      </c>
      <c r="Z2381" s="84"/>
      <c r="AA2381" s="84" t="str">
        <f>IF(AND(MONTH(E2381)='IN-NX'!$J$5,'IN-NX'!$D$7=D2381),"x","")</f>
        <v/>
      </c>
      <c r="AB2381" s="84" t="str">
        <f>IF(AND(OR(LEFT(TH!N2381,2)="15",LEFT(TH!O2381,2)="15"),LEFT(TH!O2381,3)&lt;&gt;"111",'152-CT'!$J$8=TH!F2381),"x","")</f>
        <v/>
      </c>
      <c r="AC2381" s="84" t="str">
        <f>IF(AND(OR(LEFT(TH!N2381,2)="15",LEFT(TH!O2381,2)="15"),TK!$E$7=TH!F2381),"x","")</f>
        <v/>
      </c>
      <c r="AD2381" s="84" t="str">
        <f>IF(AND(N2381="1521",MONTH(C2381)='BK-NL'!$M$11),"x","")</f>
        <v/>
      </c>
    </row>
    <row r="2382" spans="1:30" s="351" customFormat="1" ht="15.75" hidden="1" customHeight="1">
      <c r="A2382" s="336" t="str">
        <f>IF(B2382&lt;&gt;"",IF(AND(B2382='IN-TC'!$S$4,OR(TH!N2382="1111",TH!O2382="1111")),TH!D2382,""),"")</f>
        <v/>
      </c>
      <c r="B2382" s="63" t="str">
        <f t="shared" si="291"/>
        <v/>
      </c>
      <c r="C2382" s="64"/>
      <c r="D2382" s="64"/>
      <c r="E2382" s="64"/>
      <c r="F2382" s="67"/>
      <c r="G2382" s="67"/>
      <c r="H2382" s="73"/>
      <c r="I2382" s="439"/>
      <c r="J2382" s="439"/>
      <c r="K2382" s="430"/>
      <c r="L2382" s="439"/>
      <c r="M2382" s="65"/>
      <c r="N2382" s="66"/>
      <c r="O2382" s="66"/>
      <c r="P2382" s="84" t="str">
        <f>IF(AND('331-CT'!$E$7=TH!H2382,OR(N2382="331",O2382="331")),"x","")</f>
        <v/>
      </c>
      <c r="Q2382" s="84" t="str">
        <f>IF(AND(B2382='111'!$L$11,OR($N2382=$Q$7,$O2382=$Q$7)),"x","")</f>
        <v/>
      </c>
      <c r="R2382" s="84" t="str">
        <f>IF(AND($N2382=$Q$7,$B2382&lt;'111'!$L$11),"x","")</f>
        <v/>
      </c>
      <c r="S2382" s="84" t="str">
        <f>IF(AND($O2382=$Q$7,$B2382&lt;'111'!$L$11),"x","")</f>
        <v/>
      </c>
      <c r="T2382" s="84" t="str">
        <f>IF(ISERROR(FIND('112'!$M$9,G2382,1)),"",IF((AND(FIND('112'!$M$9,G2382,1)&gt;=1,B2382='112'!$K$9,OR($N2382='112'!$I$6,$O2382='112'!$I$6))),"x",""))</f>
        <v/>
      </c>
      <c r="U2382" s="84" t="str">
        <f>IF(ISERROR(FIND('112'!$M$9,G2382,1)),"",IF((AND(LEFT(G2382,2)=LEFT('112'!$M$9,2),B2382&lt;'112'!$K$9,$N2382='112'!$I$6)),"x",""))</f>
        <v/>
      </c>
      <c r="V2382" s="84" t="str">
        <f>IF(ISERROR(FIND('112'!$M$9,G2382,1)),"",IF((AND(RIGHT(G2382,2)=RIGHT('112'!$M$9,2),B2382&lt;'112'!$K$9,$O2382='112'!$I$6)),"x",""))</f>
        <v/>
      </c>
      <c r="W2382" s="84" t="str">
        <f>IF(AND('341-CT'!$H$9=H2382,OR(LEFT(N2382,3)=$W$7,LEFT(O2382,3)=$W$7)),"x","")</f>
        <v/>
      </c>
      <c r="X2382" s="84" t="str">
        <f>IF(OR(TH!N2382=TH!$X$7,O2382=TH!$X$7),"x","")</f>
        <v/>
      </c>
      <c r="Y2382" s="84" t="str">
        <f>IF(AND(OR(N2382="131",O2382="131"),H2382='131-CT'!$H$9),"x","")</f>
        <v/>
      </c>
      <c r="Z2382" s="84"/>
      <c r="AA2382" s="84" t="str">
        <f>IF(AND(MONTH(E2382)='IN-NX'!$J$5,'IN-NX'!$D$7=D2382),"x","")</f>
        <v/>
      </c>
      <c r="AB2382" s="84" t="str">
        <f>IF(AND(OR(LEFT(TH!N2382,2)="15",LEFT(TH!O2382,2)="15"),LEFT(TH!O2382,3)&lt;&gt;"111",'152-CT'!$J$8=TH!F2382),"x","")</f>
        <v/>
      </c>
      <c r="AC2382" s="84" t="str">
        <f>IF(AND(OR(LEFT(TH!N2382,2)="15",LEFT(TH!O2382,2)="15"),TK!$E$7=TH!F2382),"x","")</f>
        <v/>
      </c>
      <c r="AD2382" s="84" t="str">
        <f>IF(AND(N2382="1521",MONTH(C2382)='BK-NL'!$M$11),"x","")</f>
        <v/>
      </c>
    </row>
    <row r="2383" spans="1:30" s="351" customFormat="1" ht="15.75" hidden="1" customHeight="1">
      <c r="A2383" s="336" t="str">
        <f>IF(B2383&lt;&gt;"",IF(AND(B2383='IN-TC'!$S$4,OR(TH!N2383="1111",TH!O2383="1111")),TH!D2383,""),"")</f>
        <v/>
      </c>
      <c r="B2383" s="63" t="str">
        <f t="shared" si="291"/>
        <v/>
      </c>
      <c r="C2383" s="64"/>
      <c r="D2383" s="64"/>
      <c r="E2383" s="64"/>
      <c r="F2383" s="67"/>
      <c r="G2383" s="67"/>
      <c r="H2383" s="73"/>
      <c r="I2383" s="439"/>
      <c r="J2383" s="439"/>
      <c r="K2383" s="430"/>
      <c r="L2383" s="439"/>
      <c r="M2383" s="65"/>
      <c r="N2383" s="66"/>
      <c r="O2383" s="66"/>
      <c r="P2383" s="84" t="str">
        <f>IF(AND('331-CT'!$E$7=TH!H2383,OR(N2383="331",O2383="331")),"x","")</f>
        <v/>
      </c>
      <c r="Q2383" s="84" t="str">
        <f>IF(AND(B2383='111'!$L$11,OR($N2383=$Q$7,$O2383=$Q$7)),"x","")</f>
        <v/>
      </c>
      <c r="R2383" s="84" t="str">
        <f>IF(AND($N2383=$Q$7,$B2383&lt;'111'!$L$11),"x","")</f>
        <v/>
      </c>
      <c r="S2383" s="84" t="str">
        <f>IF(AND($O2383=$Q$7,$B2383&lt;'111'!$L$11),"x","")</f>
        <v/>
      </c>
      <c r="T2383" s="84" t="str">
        <f>IF(ISERROR(FIND('112'!$M$9,G2383,1)),"",IF((AND(FIND('112'!$M$9,G2383,1)&gt;=1,B2383='112'!$K$9,OR($N2383='112'!$I$6,$O2383='112'!$I$6))),"x",""))</f>
        <v/>
      </c>
      <c r="U2383" s="84" t="str">
        <f>IF(ISERROR(FIND('112'!$M$9,G2383,1)),"",IF((AND(LEFT(G2383,2)=LEFT('112'!$M$9,2),B2383&lt;'112'!$K$9,$N2383='112'!$I$6)),"x",""))</f>
        <v/>
      </c>
      <c r="V2383" s="84" t="str">
        <f>IF(ISERROR(FIND('112'!$M$9,G2383,1)),"",IF((AND(RIGHT(G2383,2)=RIGHT('112'!$M$9,2),B2383&lt;'112'!$K$9,$O2383='112'!$I$6)),"x",""))</f>
        <v/>
      </c>
      <c r="W2383" s="84" t="str">
        <f>IF(AND('341-CT'!$H$9=H2383,OR(LEFT(N2383,3)=$W$7,LEFT(O2383,3)=$W$7)),"x","")</f>
        <v/>
      </c>
      <c r="X2383" s="84" t="str">
        <f>IF(OR(TH!N2383=TH!$X$7,O2383=TH!$X$7),"x","")</f>
        <v/>
      </c>
      <c r="Y2383" s="84" t="str">
        <f>IF(AND(OR(N2383="131",O2383="131"),H2383='131-CT'!$H$9),"x","")</f>
        <v/>
      </c>
      <c r="Z2383" s="84"/>
      <c r="AA2383" s="84" t="str">
        <f>IF(AND(MONTH(E2383)='IN-NX'!$J$5,'IN-NX'!$D$7=D2383),"x","")</f>
        <v/>
      </c>
      <c r="AB2383" s="84" t="str">
        <f>IF(AND(OR(LEFT(TH!N2383,2)="15",LEFT(TH!O2383,2)="15"),LEFT(TH!O2383,3)&lt;&gt;"111",'152-CT'!$J$8=TH!F2383),"x","")</f>
        <v/>
      </c>
      <c r="AC2383" s="84" t="str">
        <f>IF(AND(OR(LEFT(TH!N2383,2)="15",LEFT(TH!O2383,2)="15"),TK!$E$7=TH!F2383),"x","")</f>
        <v/>
      </c>
      <c r="AD2383" s="84" t="str">
        <f>IF(AND(N2383="1521",MONTH(C2383)='BK-NL'!$M$11),"x","")</f>
        <v/>
      </c>
    </row>
    <row r="2384" spans="1:30" s="351" customFormat="1" ht="15.75" hidden="1" customHeight="1">
      <c r="A2384" s="336" t="str">
        <f>IF(B2384&lt;&gt;"",IF(AND(B2384='IN-TC'!$S$4,OR(TH!N2384="1111",TH!O2384="1111")),TH!D2384,""),"")</f>
        <v/>
      </c>
      <c r="B2384" s="63" t="str">
        <f t="shared" si="291"/>
        <v/>
      </c>
      <c r="C2384" s="64"/>
      <c r="D2384" s="64"/>
      <c r="E2384" s="64"/>
      <c r="F2384" s="67"/>
      <c r="G2384" s="67"/>
      <c r="H2384" s="73"/>
      <c r="I2384" s="439"/>
      <c r="J2384" s="439"/>
      <c r="K2384" s="430"/>
      <c r="L2384" s="439"/>
      <c r="M2384" s="65"/>
      <c r="N2384" s="66"/>
      <c r="O2384" s="66"/>
      <c r="P2384" s="84" t="str">
        <f>IF(AND('331-CT'!$E$7=TH!H2384,OR(N2384="331",O2384="331")),"x","")</f>
        <v/>
      </c>
      <c r="Q2384" s="84" t="str">
        <f>IF(AND(B2384='111'!$L$11,OR($N2384=$Q$7,$O2384=$Q$7)),"x","")</f>
        <v/>
      </c>
      <c r="R2384" s="84" t="str">
        <f>IF(AND($N2384=$Q$7,$B2384&lt;'111'!$L$11),"x","")</f>
        <v/>
      </c>
      <c r="S2384" s="84" t="str">
        <f>IF(AND($O2384=$Q$7,$B2384&lt;'111'!$L$11),"x","")</f>
        <v/>
      </c>
      <c r="T2384" s="84" t="str">
        <f>IF(ISERROR(FIND('112'!$M$9,G2384,1)),"",IF((AND(FIND('112'!$M$9,G2384,1)&gt;=1,B2384='112'!$K$9,OR($N2384='112'!$I$6,$O2384='112'!$I$6))),"x",""))</f>
        <v/>
      </c>
      <c r="U2384" s="84" t="str">
        <f>IF(ISERROR(FIND('112'!$M$9,G2384,1)),"",IF((AND(LEFT(G2384,2)=LEFT('112'!$M$9,2),B2384&lt;'112'!$K$9,$N2384='112'!$I$6)),"x",""))</f>
        <v/>
      </c>
      <c r="V2384" s="84" t="str">
        <f>IF(ISERROR(FIND('112'!$M$9,G2384,1)),"",IF((AND(RIGHT(G2384,2)=RIGHT('112'!$M$9,2),B2384&lt;'112'!$K$9,$O2384='112'!$I$6)),"x",""))</f>
        <v/>
      </c>
      <c r="W2384" s="84" t="str">
        <f>IF(AND('341-CT'!$H$9=H2384,OR(LEFT(N2384,3)=$W$7,LEFT(O2384,3)=$W$7)),"x","")</f>
        <v/>
      </c>
      <c r="X2384" s="84" t="str">
        <f>IF(OR(TH!N2384=TH!$X$7,O2384=TH!$X$7),"x","")</f>
        <v/>
      </c>
      <c r="Y2384" s="84" t="str">
        <f>IF(AND(OR(N2384="131",O2384="131"),H2384='131-CT'!$H$9),"x","")</f>
        <v/>
      </c>
      <c r="Z2384" s="84"/>
      <c r="AA2384" s="84" t="str">
        <f>IF(AND(MONTH(E2384)='IN-NX'!$J$5,'IN-NX'!$D$7=D2384),"x","")</f>
        <v/>
      </c>
      <c r="AB2384" s="84" t="str">
        <f>IF(AND(OR(LEFT(TH!N2384,2)="15",LEFT(TH!O2384,2)="15"),LEFT(TH!O2384,3)&lt;&gt;"111",'152-CT'!$J$8=TH!F2384),"x","")</f>
        <v/>
      </c>
      <c r="AC2384" s="84" t="str">
        <f>IF(AND(OR(LEFT(TH!N2384,2)="15",LEFT(TH!O2384,2)="15"),TK!$E$7=TH!F2384),"x","")</f>
        <v/>
      </c>
      <c r="AD2384" s="84" t="str">
        <f>IF(AND(N2384="1521",MONTH(C2384)='BK-NL'!$M$11),"x","")</f>
        <v/>
      </c>
    </row>
    <row r="2385" spans="1:30" s="351" customFormat="1" ht="15.75" hidden="1" customHeight="1">
      <c r="A2385" s="336" t="str">
        <f>IF(B2385&lt;&gt;"",IF(AND(B2385='IN-TC'!$S$4,OR(TH!N2385="1111",TH!O2385="1111")),TH!D2385,""),"")</f>
        <v/>
      </c>
      <c r="B2385" s="63" t="str">
        <f t="shared" si="291"/>
        <v/>
      </c>
      <c r="C2385" s="64"/>
      <c r="D2385" s="64"/>
      <c r="E2385" s="64"/>
      <c r="F2385" s="67"/>
      <c r="G2385" s="67"/>
      <c r="H2385" s="73"/>
      <c r="I2385" s="439"/>
      <c r="J2385" s="439"/>
      <c r="K2385" s="430"/>
      <c r="L2385" s="439"/>
      <c r="M2385" s="65"/>
      <c r="N2385" s="66"/>
      <c r="O2385" s="66"/>
      <c r="P2385" s="84" t="str">
        <f>IF(AND('331-CT'!$E$7=TH!H2385,OR(N2385="331",O2385="331")),"x","")</f>
        <v/>
      </c>
      <c r="Q2385" s="84" t="str">
        <f>IF(AND(B2385='111'!$L$11,OR($N2385=$Q$7,$O2385=$Q$7)),"x","")</f>
        <v/>
      </c>
      <c r="R2385" s="84" t="str">
        <f>IF(AND($N2385=$Q$7,$B2385&lt;'111'!$L$11),"x","")</f>
        <v/>
      </c>
      <c r="S2385" s="84" t="str">
        <f>IF(AND($O2385=$Q$7,$B2385&lt;'111'!$L$11),"x","")</f>
        <v/>
      </c>
      <c r="T2385" s="84" t="str">
        <f>IF(ISERROR(FIND('112'!$M$9,G2385,1)),"",IF((AND(FIND('112'!$M$9,G2385,1)&gt;=1,B2385='112'!$K$9,OR($N2385='112'!$I$6,$O2385='112'!$I$6))),"x",""))</f>
        <v/>
      </c>
      <c r="U2385" s="84" t="str">
        <f>IF(ISERROR(FIND('112'!$M$9,G2385,1)),"",IF((AND(LEFT(G2385,2)=LEFT('112'!$M$9,2),B2385&lt;'112'!$K$9,$N2385='112'!$I$6)),"x",""))</f>
        <v/>
      </c>
      <c r="V2385" s="84" t="str">
        <f>IF(ISERROR(FIND('112'!$M$9,G2385,1)),"",IF((AND(RIGHT(G2385,2)=RIGHT('112'!$M$9,2),B2385&lt;'112'!$K$9,$O2385='112'!$I$6)),"x",""))</f>
        <v/>
      </c>
      <c r="W2385" s="84" t="str">
        <f>IF(AND('341-CT'!$H$9=H2385,OR(LEFT(N2385,3)=$W$7,LEFT(O2385,3)=$W$7)),"x","")</f>
        <v/>
      </c>
      <c r="X2385" s="84" t="str">
        <f>IF(OR(TH!N2385=TH!$X$7,O2385=TH!$X$7),"x","")</f>
        <v/>
      </c>
      <c r="Y2385" s="84" t="str">
        <f>IF(AND(OR(N2385="131",O2385="131"),H2385='131-CT'!$H$9),"x","")</f>
        <v/>
      </c>
      <c r="Z2385" s="84"/>
      <c r="AA2385" s="84" t="str">
        <f>IF(AND(MONTH(E2385)='IN-NX'!$J$5,'IN-NX'!$D$7=D2385),"x","")</f>
        <v/>
      </c>
      <c r="AB2385" s="84" t="str">
        <f>IF(AND(OR(LEFT(TH!N2385,2)="15",LEFT(TH!O2385,2)="15"),LEFT(TH!O2385,3)&lt;&gt;"111",'152-CT'!$J$8=TH!F2385),"x","")</f>
        <v/>
      </c>
      <c r="AC2385" s="84" t="str">
        <f>IF(AND(OR(LEFT(TH!N2385,2)="15",LEFT(TH!O2385,2)="15"),TK!$E$7=TH!F2385),"x","")</f>
        <v/>
      </c>
      <c r="AD2385" s="84" t="str">
        <f>IF(AND(N2385="1521",MONTH(C2385)='BK-NL'!$M$11),"x","")</f>
        <v/>
      </c>
    </row>
    <row r="2386" spans="1:30" s="351" customFormat="1" ht="15.75" hidden="1" customHeight="1">
      <c r="A2386" s="336" t="str">
        <f>IF(B2386&lt;&gt;"",IF(AND(B2386='IN-TC'!$S$4,OR(TH!N2386="1111",TH!O2386="1111")),TH!D2386,""),"")</f>
        <v/>
      </c>
      <c r="B2386" s="63" t="str">
        <f t="shared" si="291"/>
        <v/>
      </c>
      <c r="C2386" s="64"/>
      <c r="D2386" s="64"/>
      <c r="E2386" s="64"/>
      <c r="F2386" s="67"/>
      <c r="G2386" s="67"/>
      <c r="H2386" s="73"/>
      <c r="I2386" s="439"/>
      <c r="J2386" s="439"/>
      <c r="K2386" s="430"/>
      <c r="L2386" s="439"/>
      <c r="M2386" s="65"/>
      <c r="N2386" s="66"/>
      <c r="O2386" s="66"/>
      <c r="P2386" s="84" t="str">
        <f>IF(AND('331-CT'!$E$7=TH!H2386,OR(N2386="331",O2386="331")),"x","")</f>
        <v/>
      </c>
      <c r="Q2386" s="84" t="str">
        <f>IF(AND(B2386='111'!$L$11,OR($N2386=$Q$7,$O2386=$Q$7)),"x","")</f>
        <v/>
      </c>
      <c r="R2386" s="84" t="str">
        <f>IF(AND($N2386=$Q$7,$B2386&lt;'111'!$L$11),"x","")</f>
        <v/>
      </c>
      <c r="S2386" s="84" t="str">
        <f>IF(AND($O2386=$Q$7,$B2386&lt;'111'!$L$11),"x","")</f>
        <v/>
      </c>
      <c r="T2386" s="84" t="str">
        <f>IF(ISERROR(FIND('112'!$M$9,G2386,1)),"",IF((AND(FIND('112'!$M$9,G2386,1)&gt;=1,B2386='112'!$K$9,OR($N2386='112'!$I$6,$O2386='112'!$I$6))),"x",""))</f>
        <v/>
      </c>
      <c r="U2386" s="84" t="str">
        <f>IF(ISERROR(FIND('112'!$M$9,G2386,1)),"",IF((AND(LEFT(G2386,2)=LEFT('112'!$M$9,2),B2386&lt;'112'!$K$9,$N2386='112'!$I$6)),"x",""))</f>
        <v/>
      </c>
      <c r="V2386" s="84" t="str">
        <f>IF(ISERROR(FIND('112'!$M$9,G2386,1)),"",IF((AND(RIGHT(G2386,2)=RIGHT('112'!$M$9,2),B2386&lt;'112'!$K$9,$O2386='112'!$I$6)),"x",""))</f>
        <v/>
      </c>
      <c r="W2386" s="84" t="str">
        <f>IF(AND('341-CT'!$H$9=H2386,OR(LEFT(N2386,3)=$W$7,LEFT(O2386,3)=$W$7)),"x","")</f>
        <v/>
      </c>
      <c r="X2386" s="84" t="str">
        <f>IF(OR(TH!N2386=TH!$X$7,O2386=TH!$X$7),"x","")</f>
        <v/>
      </c>
      <c r="Y2386" s="84" t="str">
        <f>IF(AND(OR(N2386="131",O2386="131"),H2386='131-CT'!$H$9),"x","")</f>
        <v/>
      </c>
      <c r="Z2386" s="84"/>
      <c r="AA2386" s="84" t="str">
        <f>IF(AND(MONTH(E2386)='IN-NX'!$J$5,'IN-NX'!$D$7=D2386),"x","")</f>
        <v/>
      </c>
      <c r="AB2386" s="84" t="str">
        <f>IF(AND(OR(LEFT(TH!N2386,2)="15",LEFT(TH!O2386,2)="15"),LEFT(TH!O2386,3)&lt;&gt;"111",'152-CT'!$J$8=TH!F2386),"x","")</f>
        <v/>
      </c>
      <c r="AC2386" s="84" t="str">
        <f>IF(AND(OR(LEFT(TH!N2386,2)="15",LEFT(TH!O2386,2)="15"),TK!$E$7=TH!F2386),"x","")</f>
        <v/>
      </c>
      <c r="AD2386" s="84" t="str">
        <f>IF(AND(N2386="1521",MONTH(C2386)='BK-NL'!$M$11),"x","")</f>
        <v/>
      </c>
    </row>
    <row r="2387" spans="1:30" s="351" customFormat="1" ht="15.75" hidden="1" customHeight="1">
      <c r="A2387" s="336" t="str">
        <f>IF(B2387&lt;&gt;"",IF(AND(B2387='IN-TC'!$S$4,OR(TH!N2387="1111",TH!O2387="1111")),TH!D2387,""),"")</f>
        <v/>
      </c>
      <c r="B2387" s="63" t="str">
        <f t="shared" si="291"/>
        <v/>
      </c>
      <c r="C2387" s="64"/>
      <c r="D2387" s="64"/>
      <c r="E2387" s="64"/>
      <c r="F2387" s="67"/>
      <c r="G2387" s="67"/>
      <c r="H2387" s="73"/>
      <c r="I2387" s="439"/>
      <c r="J2387" s="439"/>
      <c r="K2387" s="430"/>
      <c r="L2387" s="439"/>
      <c r="M2387" s="65"/>
      <c r="N2387" s="66"/>
      <c r="O2387" s="66"/>
      <c r="P2387" s="84" t="str">
        <f>IF(AND('331-CT'!$E$7=TH!H2387,OR(N2387="331",O2387="331")),"x","")</f>
        <v/>
      </c>
      <c r="Q2387" s="84" t="str">
        <f>IF(AND(B2387='111'!$L$11,OR($N2387=$Q$7,$O2387=$Q$7)),"x","")</f>
        <v/>
      </c>
      <c r="R2387" s="84" t="str">
        <f>IF(AND($N2387=$Q$7,$B2387&lt;'111'!$L$11),"x","")</f>
        <v/>
      </c>
      <c r="S2387" s="84" t="str">
        <f>IF(AND($O2387=$Q$7,$B2387&lt;'111'!$L$11),"x","")</f>
        <v/>
      </c>
      <c r="T2387" s="84" t="str">
        <f>IF(ISERROR(FIND('112'!$M$9,G2387,1)),"",IF((AND(FIND('112'!$M$9,G2387,1)&gt;=1,B2387='112'!$K$9,OR($N2387='112'!$I$6,$O2387='112'!$I$6))),"x",""))</f>
        <v/>
      </c>
      <c r="U2387" s="84" t="str">
        <f>IF(ISERROR(FIND('112'!$M$9,G2387,1)),"",IF((AND(LEFT(G2387,2)=LEFT('112'!$M$9,2),B2387&lt;'112'!$K$9,$N2387='112'!$I$6)),"x",""))</f>
        <v/>
      </c>
      <c r="V2387" s="84" t="str">
        <f>IF(ISERROR(FIND('112'!$M$9,G2387,1)),"",IF((AND(RIGHT(G2387,2)=RIGHT('112'!$M$9,2),B2387&lt;'112'!$K$9,$O2387='112'!$I$6)),"x",""))</f>
        <v/>
      </c>
      <c r="W2387" s="84" t="str">
        <f>IF(AND('341-CT'!$H$9=H2387,OR(LEFT(N2387,3)=$W$7,LEFT(O2387,3)=$W$7)),"x","")</f>
        <v/>
      </c>
      <c r="X2387" s="84" t="str">
        <f>IF(OR(TH!N2387=TH!$X$7,O2387=TH!$X$7),"x","")</f>
        <v/>
      </c>
      <c r="Y2387" s="84" t="str">
        <f>IF(AND(OR(N2387="131",O2387="131"),H2387='131-CT'!$H$9),"x","")</f>
        <v/>
      </c>
      <c r="Z2387" s="84"/>
      <c r="AA2387" s="84" t="str">
        <f>IF(AND(MONTH(E2387)='IN-NX'!$J$5,'IN-NX'!$D$7=D2387),"x","")</f>
        <v/>
      </c>
      <c r="AB2387" s="84" t="str">
        <f>IF(AND(OR(LEFT(TH!N2387,2)="15",LEFT(TH!O2387,2)="15"),LEFT(TH!O2387,3)&lt;&gt;"111",'152-CT'!$J$8=TH!F2387),"x","")</f>
        <v/>
      </c>
      <c r="AC2387" s="84" t="str">
        <f>IF(AND(OR(LEFT(TH!N2387,2)="15",LEFT(TH!O2387,2)="15"),TK!$E$7=TH!F2387),"x","")</f>
        <v/>
      </c>
      <c r="AD2387" s="84" t="str">
        <f>IF(AND(N2387="1521",MONTH(C2387)='BK-NL'!$M$11),"x","")</f>
        <v/>
      </c>
    </row>
    <row r="2388" spans="1:30" s="351" customFormat="1" ht="15.75" hidden="1" customHeight="1">
      <c r="A2388" s="336" t="str">
        <f>IF(B2388&lt;&gt;"",IF(AND(B2388='IN-TC'!$S$4,OR(TH!N2388="1111",TH!O2388="1111")),TH!D2388,""),"")</f>
        <v/>
      </c>
      <c r="B2388" s="63" t="str">
        <f t="shared" si="291"/>
        <v/>
      </c>
      <c r="C2388" s="64"/>
      <c r="D2388" s="64"/>
      <c r="E2388" s="64"/>
      <c r="F2388" s="67"/>
      <c r="G2388" s="67"/>
      <c r="H2388" s="73"/>
      <c r="I2388" s="439"/>
      <c r="J2388" s="439"/>
      <c r="K2388" s="430"/>
      <c r="L2388" s="439"/>
      <c r="M2388" s="65"/>
      <c r="N2388" s="66"/>
      <c r="O2388" s="66"/>
      <c r="P2388" s="84" t="str">
        <f>IF(AND('331-CT'!$E$7=TH!H2388,OR(N2388="331",O2388="331")),"x","")</f>
        <v/>
      </c>
      <c r="Q2388" s="84" t="str">
        <f>IF(AND(B2388='111'!$L$11,OR($N2388=$Q$7,$O2388=$Q$7)),"x","")</f>
        <v/>
      </c>
      <c r="R2388" s="84" t="str">
        <f>IF(AND($N2388=$Q$7,$B2388&lt;'111'!$L$11),"x","")</f>
        <v/>
      </c>
      <c r="S2388" s="84" t="str">
        <f>IF(AND($O2388=$Q$7,$B2388&lt;'111'!$L$11),"x","")</f>
        <v/>
      </c>
      <c r="T2388" s="84" t="str">
        <f>IF(ISERROR(FIND('112'!$M$9,G2388,1)),"",IF((AND(FIND('112'!$M$9,G2388,1)&gt;=1,B2388='112'!$K$9,OR($N2388='112'!$I$6,$O2388='112'!$I$6))),"x",""))</f>
        <v/>
      </c>
      <c r="U2388" s="84" t="str">
        <f>IF(ISERROR(FIND('112'!$M$9,G2388,1)),"",IF((AND(LEFT(G2388,2)=LEFT('112'!$M$9,2),B2388&lt;'112'!$K$9,$N2388='112'!$I$6)),"x",""))</f>
        <v/>
      </c>
      <c r="V2388" s="84" t="str">
        <f>IF(ISERROR(FIND('112'!$M$9,G2388,1)),"",IF((AND(RIGHT(G2388,2)=RIGHT('112'!$M$9,2),B2388&lt;'112'!$K$9,$O2388='112'!$I$6)),"x",""))</f>
        <v/>
      </c>
      <c r="W2388" s="84" t="str">
        <f>IF(AND('341-CT'!$H$9=H2388,OR(LEFT(N2388,3)=$W$7,LEFT(O2388,3)=$W$7)),"x","")</f>
        <v/>
      </c>
      <c r="X2388" s="84" t="str">
        <f>IF(OR(TH!N2388=TH!$X$7,O2388=TH!$X$7),"x","")</f>
        <v/>
      </c>
      <c r="Y2388" s="84" t="str">
        <f>IF(AND(OR(N2388="131",O2388="131"),H2388='131-CT'!$H$9),"x","")</f>
        <v/>
      </c>
      <c r="Z2388" s="84"/>
      <c r="AA2388" s="84" t="str">
        <f>IF(AND(MONTH(E2388)='IN-NX'!$J$5,'IN-NX'!$D$7=D2388),"x","")</f>
        <v/>
      </c>
      <c r="AB2388" s="84" t="str">
        <f>IF(AND(OR(LEFT(TH!N2388,2)="15",LEFT(TH!O2388,2)="15"),LEFT(TH!O2388,3)&lt;&gt;"111",'152-CT'!$J$8=TH!F2388),"x","")</f>
        <v/>
      </c>
      <c r="AC2388" s="84" t="str">
        <f>IF(AND(OR(LEFT(TH!N2388,2)="15",LEFT(TH!O2388,2)="15"),TK!$E$7=TH!F2388),"x","")</f>
        <v/>
      </c>
      <c r="AD2388" s="84" t="str">
        <f>IF(AND(N2388="1521",MONTH(C2388)='BK-NL'!$M$11),"x","")</f>
        <v/>
      </c>
    </row>
    <row r="2389" spans="1:30" s="351" customFormat="1" ht="15.75" hidden="1" customHeight="1">
      <c r="A2389" s="336" t="str">
        <f>IF(B2389&lt;&gt;"",IF(AND(B2389='IN-TC'!$S$4,OR(TH!N2389="1111",TH!O2389="1111")),TH!D2389,""),"")</f>
        <v/>
      </c>
      <c r="B2389" s="63" t="str">
        <f t="shared" si="291"/>
        <v/>
      </c>
      <c r="C2389" s="64"/>
      <c r="D2389" s="64"/>
      <c r="E2389" s="64"/>
      <c r="F2389" s="67"/>
      <c r="G2389" s="67"/>
      <c r="H2389" s="73"/>
      <c r="I2389" s="439"/>
      <c r="J2389" s="439"/>
      <c r="K2389" s="430"/>
      <c r="L2389" s="439"/>
      <c r="M2389" s="65"/>
      <c r="N2389" s="66"/>
      <c r="O2389" s="66"/>
      <c r="P2389" s="84" t="str">
        <f>IF(AND('331-CT'!$E$7=TH!H2389,OR(N2389="331",O2389="331")),"x","")</f>
        <v/>
      </c>
      <c r="Q2389" s="84" t="str">
        <f>IF(AND(B2389='111'!$L$11,OR($N2389=$Q$7,$O2389=$Q$7)),"x","")</f>
        <v/>
      </c>
      <c r="R2389" s="84" t="str">
        <f>IF(AND($N2389=$Q$7,$B2389&lt;'111'!$L$11),"x","")</f>
        <v/>
      </c>
      <c r="S2389" s="84" t="str">
        <f>IF(AND($O2389=$Q$7,$B2389&lt;'111'!$L$11),"x","")</f>
        <v/>
      </c>
      <c r="T2389" s="84" t="str">
        <f>IF(ISERROR(FIND('112'!$M$9,G2389,1)),"",IF((AND(FIND('112'!$M$9,G2389,1)&gt;=1,B2389='112'!$K$9,OR($N2389='112'!$I$6,$O2389='112'!$I$6))),"x",""))</f>
        <v/>
      </c>
      <c r="U2389" s="84" t="str">
        <f>IF(ISERROR(FIND('112'!$M$9,G2389,1)),"",IF((AND(LEFT(G2389,2)=LEFT('112'!$M$9,2),B2389&lt;'112'!$K$9,$N2389='112'!$I$6)),"x",""))</f>
        <v/>
      </c>
      <c r="V2389" s="84" t="str">
        <f>IF(ISERROR(FIND('112'!$M$9,G2389,1)),"",IF((AND(RIGHT(G2389,2)=RIGHT('112'!$M$9,2),B2389&lt;'112'!$K$9,$O2389='112'!$I$6)),"x",""))</f>
        <v/>
      </c>
      <c r="W2389" s="84" t="str">
        <f>IF(AND('341-CT'!$H$9=H2389,OR(LEFT(N2389,3)=$W$7,LEFT(O2389,3)=$W$7)),"x","")</f>
        <v/>
      </c>
      <c r="X2389" s="84" t="str">
        <f>IF(OR(TH!N2389=TH!$X$7,O2389=TH!$X$7),"x","")</f>
        <v/>
      </c>
      <c r="Y2389" s="84" t="str">
        <f>IF(AND(OR(N2389="131",O2389="131"),H2389='131-CT'!$H$9),"x","")</f>
        <v/>
      </c>
      <c r="Z2389" s="84"/>
      <c r="AA2389" s="84" t="str">
        <f>IF(AND(MONTH(E2389)='IN-NX'!$J$5,'IN-NX'!$D$7=D2389),"x","")</f>
        <v/>
      </c>
      <c r="AB2389" s="84" t="str">
        <f>IF(AND(OR(LEFT(TH!N2389,2)="15",LEFT(TH!O2389,2)="15"),LEFT(TH!O2389,3)&lt;&gt;"111",'152-CT'!$J$8=TH!F2389),"x","")</f>
        <v/>
      </c>
      <c r="AC2389" s="84" t="str">
        <f>IF(AND(OR(LEFT(TH!N2389,2)="15",LEFT(TH!O2389,2)="15"),TK!$E$7=TH!F2389),"x","")</f>
        <v/>
      </c>
      <c r="AD2389" s="84" t="str">
        <f>IF(AND(N2389="1521",MONTH(C2389)='BK-NL'!$M$11),"x","")</f>
        <v/>
      </c>
    </row>
    <row r="2390" spans="1:30" s="351" customFormat="1" ht="15.75" hidden="1" customHeight="1">
      <c r="A2390" s="336" t="str">
        <f>IF(B2390&lt;&gt;"",IF(AND(B2390='IN-TC'!$S$4,OR(TH!N2390="1111",TH!O2390="1111")),TH!D2390,""),"")</f>
        <v/>
      </c>
      <c r="B2390" s="63" t="str">
        <f t="shared" si="291"/>
        <v/>
      </c>
      <c r="C2390" s="64"/>
      <c r="D2390" s="64"/>
      <c r="E2390" s="64"/>
      <c r="F2390" s="67"/>
      <c r="G2390" s="67"/>
      <c r="H2390" s="73"/>
      <c r="I2390" s="439"/>
      <c r="J2390" s="439"/>
      <c r="K2390" s="430"/>
      <c r="L2390" s="439"/>
      <c r="M2390" s="65"/>
      <c r="N2390" s="66"/>
      <c r="O2390" s="66"/>
      <c r="P2390" s="84" t="str">
        <f>IF(AND('331-CT'!$E$7=TH!H2390,OR(N2390="331",O2390="331")),"x","")</f>
        <v/>
      </c>
      <c r="Q2390" s="84" t="str">
        <f>IF(AND(B2390='111'!$L$11,OR($N2390=$Q$7,$O2390=$Q$7)),"x","")</f>
        <v/>
      </c>
      <c r="R2390" s="84" t="str">
        <f>IF(AND($N2390=$Q$7,$B2390&lt;'111'!$L$11),"x","")</f>
        <v/>
      </c>
      <c r="S2390" s="84" t="str">
        <f>IF(AND($O2390=$Q$7,$B2390&lt;'111'!$L$11),"x","")</f>
        <v/>
      </c>
      <c r="T2390" s="84" t="str">
        <f>IF(ISERROR(FIND('112'!$M$9,G2390,1)),"",IF((AND(FIND('112'!$M$9,G2390,1)&gt;=1,B2390='112'!$K$9,OR($N2390='112'!$I$6,$O2390='112'!$I$6))),"x",""))</f>
        <v/>
      </c>
      <c r="U2390" s="84" t="str">
        <f>IF(ISERROR(FIND('112'!$M$9,G2390,1)),"",IF((AND(LEFT(G2390,2)=LEFT('112'!$M$9,2),B2390&lt;'112'!$K$9,$N2390='112'!$I$6)),"x",""))</f>
        <v/>
      </c>
      <c r="V2390" s="84" t="str">
        <f>IF(ISERROR(FIND('112'!$M$9,G2390,1)),"",IF((AND(RIGHT(G2390,2)=RIGHT('112'!$M$9,2),B2390&lt;'112'!$K$9,$O2390='112'!$I$6)),"x",""))</f>
        <v/>
      </c>
      <c r="W2390" s="84" t="str">
        <f>IF(AND('341-CT'!$H$9=H2390,OR(LEFT(N2390,3)=$W$7,LEFT(O2390,3)=$W$7)),"x","")</f>
        <v/>
      </c>
      <c r="X2390" s="84" t="str">
        <f>IF(OR(TH!N2390=TH!$X$7,O2390=TH!$X$7),"x","")</f>
        <v/>
      </c>
      <c r="Y2390" s="84" t="str">
        <f>IF(AND(OR(N2390="131",O2390="131"),H2390='131-CT'!$H$9),"x","")</f>
        <v/>
      </c>
      <c r="Z2390" s="84"/>
      <c r="AA2390" s="84" t="str">
        <f>IF(AND(MONTH(E2390)='IN-NX'!$J$5,'IN-NX'!$D$7=D2390),"x","")</f>
        <v/>
      </c>
      <c r="AB2390" s="84" t="str">
        <f>IF(AND(OR(LEFT(TH!N2390,2)="15",LEFT(TH!O2390,2)="15"),LEFT(TH!O2390,3)&lt;&gt;"111",'152-CT'!$J$8=TH!F2390),"x","")</f>
        <v/>
      </c>
      <c r="AC2390" s="84" t="str">
        <f>IF(AND(OR(LEFT(TH!N2390,2)="15",LEFT(TH!O2390,2)="15"),TK!$E$7=TH!F2390),"x","")</f>
        <v/>
      </c>
      <c r="AD2390" s="84" t="str">
        <f>IF(AND(N2390="1521",MONTH(C2390)='BK-NL'!$M$11),"x","")</f>
        <v/>
      </c>
    </row>
    <row r="2391" spans="1:30" s="351" customFormat="1" ht="15.75" hidden="1" customHeight="1">
      <c r="A2391" s="336" t="str">
        <f>IF(B2391&lt;&gt;"",IF(AND(B2391='IN-TC'!$S$4,OR(TH!N2391="1111",TH!O2391="1111")),TH!D2391,""),"")</f>
        <v/>
      </c>
      <c r="B2391" s="63" t="str">
        <f t="shared" si="291"/>
        <v/>
      </c>
      <c r="C2391" s="64"/>
      <c r="D2391" s="64"/>
      <c r="E2391" s="64"/>
      <c r="F2391" s="67"/>
      <c r="G2391" s="67"/>
      <c r="H2391" s="73"/>
      <c r="I2391" s="439"/>
      <c r="J2391" s="439"/>
      <c r="K2391" s="430"/>
      <c r="L2391" s="439"/>
      <c r="M2391" s="65"/>
      <c r="N2391" s="66"/>
      <c r="O2391" s="66"/>
      <c r="P2391" s="84" t="str">
        <f>IF(AND('331-CT'!$E$7=TH!H2391,OR(N2391="331",O2391="331")),"x","")</f>
        <v/>
      </c>
      <c r="Q2391" s="84" t="str">
        <f>IF(AND(B2391='111'!$L$11,OR($N2391=$Q$7,$O2391=$Q$7)),"x","")</f>
        <v/>
      </c>
      <c r="R2391" s="84" t="str">
        <f>IF(AND($N2391=$Q$7,$B2391&lt;'111'!$L$11),"x","")</f>
        <v/>
      </c>
      <c r="S2391" s="84" t="str">
        <f>IF(AND($O2391=$Q$7,$B2391&lt;'111'!$L$11),"x","")</f>
        <v/>
      </c>
      <c r="T2391" s="84" t="str">
        <f>IF(ISERROR(FIND('112'!$M$9,G2391,1)),"",IF((AND(FIND('112'!$M$9,G2391,1)&gt;=1,B2391='112'!$K$9,OR($N2391='112'!$I$6,$O2391='112'!$I$6))),"x",""))</f>
        <v/>
      </c>
      <c r="U2391" s="84" t="str">
        <f>IF(ISERROR(FIND('112'!$M$9,G2391,1)),"",IF((AND(LEFT(G2391,2)=LEFT('112'!$M$9,2),B2391&lt;'112'!$K$9,$N2391='112'!$I$6)),"x",""))</f>
        <v/>
      </c>
      <c r="V2391" s="84" t="str">
        <f>IF(ISERROR(FIND('112'!$M$9,G2391,1)),"",IF((AND(RIGHT(G2391,2)=RIGHT('112'!$M$9,2),B2391&lt;'112'!$K$9,$O2391='112'!$I$6)),"x",""))</f>
        <v/>
      </c>
      <c r="W2391" s="84" t="str">
        <f>IF(AND('341-CT'!$H$9=H2391,OR(LEFT(N2391,3)=$W$7,LEFT(O2391,3)=$W$7)),"x","")</f>
        <v/>
      </c>
      <c r="X2391" s="84" t="str">
        <f>IF(OR(TH!N2391=TH!$X$7,O2391=TH!$X$7),"x","")</f>
        <v/>
      </c>
      <c r="Y2391" s="84" t="str">
        <f>IF(AND(OR(N2391="131",O2391="131"),H2391='131-CT'!$H$9),"x","")</f>
        <v/>
      </c>
      <c r="Z2391" s="84"/>
      <c r="AA2391" s="84" t="str">
        <f>IF(AND(MONTH(E2391)='IN-NX'!$J$5,'IN-NX'!$D$7=D2391),"x","")</f>
        <v/>
      </c>
      <c r="AB2391" s="84" t="str">
        <f>IF(AND(OR(LEFT(TH!N2391,2)="15",LEFT(TH!O2391,2)="15"),LEFT(TH!O2391,3)&lt;&gt;"111",'152-CT'!$J$8=TH!F2391),"x","")</f>
        <v/>
      </c>
      <c r="AC2391" s="84" t="str">
        <f>IF(AND(OR(LEFT(TH!N2391,2)="15",LEFT(TH!O2391,2)="15"),TK!$E$7=TH!F2391),"x","")</f>
        <v/>
      </c>
      <c r="AD2391" s="84" t="str">
        <f>IF(AND(N2391="1521",MONTH(C2391)='BK-NL'!$M$11),"x","")</f>
        <v/>
      </c>
    </row>
    <row r="2392" spans="1:30" s="351" customFormat="1" ht="15.75" hidden="1" customHeight="1">
      <c r="A2392" s="336" t="str">
        <f>IF(B2392&lt;&gt;"",IF(AND(B2392='IN-TC'!$S$4,OR(TH!N2392="1111",TH!O2392="1111")),TH!D2392,""),"")</f>
        <v/>
      </c>
      <c r="B2392" s="63" t="str">
        <f t="shared" si="291"/>
        <v/>
      </c>
      <c r="C2392" s="64"/>
      <c r="D2392" s="64"/>
      <c r="E2392" s="64"/>
      <c r="F2392" s="67"/>
      <c r="G2392" s="67"/>
      <c r="H2392" s="73"/>
      <c r="I2392" s="439"/>
      <c r="J2392" s="439"/>
      <c r="K2392" s="430"/>
      <c r="L2392" s="439"/>
      <c r="M2392" s="65"/>
      <c r="N2392" s="66"/>
      <c r="O2392" s="66"/>
      <c r="P2392" s="84" t="str">
        <f>IF(AND('331-CT'!$E$7=TH!H2392,OR(N2392="331",O2392="331")),"x","")</f>
        <v/>
      </c>
      <c r="Q2392" s="84" t="str">
        <f>IF(AND(B2392='111'!$L$11,OR($N2392=$Q$7,$O2392=$Q$7)),"x","")</f>
        <v/>
      </c>
      <c r="R2392" s="84" t="str">
        <f>IF(AND($N2392=$Q$7,$B2392&lt;'111'!$L$11),"x","")</f>
        <v/>
      </c>
      <c r="S2392" s="84" t="str">
        <f>IF(AND($O2392=$Q$7,$B2392&lt;'111'!$L$11),"x","")</f>
        <v/>
      </c>
      <c r="T2392" s="84" t="str">
        <f>IF(ISERROR(FIND('112'!$M$9,G2392,1)),"",IF((AND(FIND('112'!$M$9,G2392,1)&gt;=1,B2392='112'!$K$9,OR($N2392='112'!$I$6,$O2392='112'!$I$6))),"x",""))</f>
        <v/>
      </c>
      <c r="U2392" s="84" t="str">
        <f>IF(ISERROR(FIND('112'!$M$9,G2392,1)),"",IF((AND(LEFT(G2392,2)=LEFT('112'!$M$9,2),B2392&lt;'112'!$K$9,$N2392='112'!$I$6)),"x",""))</f>
        <v/>
      </c>
      <c r="V2392" s="84" t="str">
        <f>IF(ISERROR(FIND('112'!$M$9,G2392,1)),"",IF((AND(RIGHT(G2392,2)=RIGHT('112'!$M$9,2),B2392&lt;'112'!$K$9,$O2392='112'!$I$6)),"x",""))</f>
        <v/>
      </c>
      <c r="W2392" s="84" t="str">
        <f>IF(AND('341-CT'!$H$9=H2392,OR(LEFT(N2392,3)=$W$7,LEFT(O2392,3)=$W$7)),"x","")</f>
        <v/>
      </c>
      <c r="X2392" s="84" t="str">
        <f>IF(OR(TH!N2392=TH!$X$7,O2392=TH!$X$7),"x","")</f>
        <v/>
      </c>
      <c r="Y2392" s="84" t="str">
        <f>IF(AND(OR(N2392="131",O2392="131"),H2392='131-CT'!$H$9),"x","")</f>
        <v/>
      </c>
      <c r="Z2392" s="84"/>
      <c r="AA2392" s="84" t="str">
        <f>IF(AND(MONTH(E2392)='IN-NX'!$J$5,'IN-NX'!$D$7=D2392),"x","")</f>
        <v/>
      </c>
      <c r="AB2392" s="84" t="str">
        <f>IF(AND(OR(LEFT(TH!N2392,2)="15",LEFT(TH!O2392,2)="15"),LEFT(TH!O2392,3)&lt;&gt;"111",'152-CT'!$J$8=TH!F2392),"x","")</f>
        <v/>
      </c>
      <c r="AC2392" s="84" t="str">
        <f>IF(AND(OR(LEFT(TH!N2392,2)="15",LEFT(TH!O2392,2)="15"),TK!$E$7=TH!F2392),"x","")</f>
        <v/>
      </c>
      <c r="AD2392" s="84" t="str">
        <f>IF(AND(N2392="1521",MONTH(C2392)='BK-NL'!$M$11),"x","")</f>
        <v/>
      </c>
    </row>
    <row r="2393" spans="1:30" s="351" customFormat="1" ht="15.75" hidden="1" customHeight="1">
      <c r="A2393" s="336" t="str">
        <f>IF(B2393&lt;&gt;"",IF(AND(B2393='IN-TC'!$S$4,OR(TH!N2393="1111",TH!O2393="1111")),TH!D2393,""),"")</f>
        <v/>
      </c>
      <c r="B2393" s="63" t="str">
        <f t="shared" si="291"/>
        <v/>
      </c>
      <c r="C2393" s="64"/>
      <c r="D2393" s="64"/>
      <c r="E2393" s="64"/>
      <c r="F2393" s="67"/>
      <c r="G2393" s="67"/>
      <c r="H2393" s="73"/>
      <c r="I2393" s="439"/>
      <c r="J2393" s="439"/>
      <c r="K2393" s="430"/>
      <c r="L2393" s="439"/>
      <c r="M2393" s="65"/>
      <c r="N2393" s="66"/>
      <c r="O2393" s="66"/>
      <c r="P2393" s="84" t="str">
        <f>IF(AND('331-CT'!$E$7=TH!H2393,OR(N2393="331",O2393="331")),"x","")</f>
        <v/>
      </c>
      <c r="Q2393" s="84" t="str">
        <f>IF(AND(B2393='111'!$L$11,OR($N2393=$Q$7,$O2393=$Q$7)),"x","")</f>
        <v/>
      </c>
      <c r="R2393" s="84" t="str">
        <f>IF(AND($N2393=$Q$7,$B2393&lt;'111'!$L$11),"x","")</f>
        <v/>
      </c>
      <c r="S2393" s="84" t="str">
        <f>IF(AND($O2393=$Q$7,$B2393&lt;'111'!$L$11),"x","")</f>
        <v/>
      </c>
      <c r="T2393" s="84" t="str">
        <f>IF(ISERROR(FIND('112'!$M$9,G2393,1)),"",IF((AND(FIND('112'!$M$9,G2393,1)&gt;=1,B2393='112'!$K$9,OR($N2393='112'!$I$6,$O2393='112'!$I$6))),"x",""))</f>
        <v/>
      </c>
      <c r="U2393" s="84" t="str">
        <f>IF(ISERROR(FIND('112'!$M$9,G2393,1)),"",IF((AND(LEFT(G2393,2)=LEFT('112'!$M$9,2),B2393&lt;'112'!$K$9,$N2393='112'!$I$6)),"x",""))</f>
        <v/>
      </c>
      <c r="V2393" s="84" t="str">
        <f>IF(ISERROR(FIND('112'!$M$9,G2393,1)),"",IF((AND(RIGHT(G2393,2)=RIGHT('112'!$M$9,2),B2393&lt;'112'!$K$9,$O2393='112'!$I$6)),"x",""))</f>
        <v/>
      </c>
      <c r="W2393" s="84" t="str">
        <f>IF(AND('341-CT'!$H$9=H2393,OR(LEFT(N2393,3)=$W$7,LEFT(O2393,3)=$W$7)),"x","")</f>
        <v/>
      </c>
      <c r="X2393" s="84" t="str">
        <f>IF(OR(TH!N2393=TH!$X$7,O2393=TH!$X$7),"x","")</f>
        <v/>
      </c>
      <c r="Y2393" s="84" t="str">
        <f>IF(AND(OR(N2393="131",O2393="131"),H2393='131-CT'!$H$9),"x","")</f>
        <v/>
      </c>
      <c r="Z2393" s="84"/>
      <c r="AA2393" s="84" t="str">
        <f>IF(AND(MONTH(E2393)='IN-NX'!$J$5,'IN-NX'!$D$7=D2393),"x","")</f>
        <v/>
      </c>
      <c r="AB2393" s="84" t="str">
        <f>IF(AND(OR(LEFT(TH!N2393,2)="15",LEFT(TH!O2393,2)="15"),LEFT(TH!O2393,3)&lt;&gt;"111",'152-CT'!$J$8=TH!F2393),"x","")</f>
        <v/>
      </c>
      <c r="AC2393" s="84" t="str">
        <f>IF(AND(OR(LEFT(TH!N2393,2)="15",LEFT(TH!O2393,2)="15"),TK!$E$7=TH!F2393),"x","")</f>
        <v/>
      </c>
      <c r="AD2393" s="84" t="str">
        <f>IF(AND(N2393="1521",MONTH(C2393)='BK-NL'!$M$11),"x","")</f>
        <v/>
      </c>
    </row>
    <row r="2394" spans="1:30" s="351" customFormat="1" ht="15.75" hidden="1" customHeight="1">
      <c r="A2394" s="336" t="str">
        <f>IF(B2394&lt;&gt;"",IF(AND(B2394='IN-TC'!$S$4,OR(TH!N2394="1111",TH!O2394="1111")),TH!D2394,""),"")</f>
        <v/>
      </c>
      <c r="B2394" s="63" t="str">
        <f t="shared" si="291"/>
        <v/>
      </c>
      <c r="C2394" s="64"/>
      <c r="D2394" s="64"/>
      <c r="E2394" s="64"/>
      <c r="F2394" s="67"/>
      <c r="G2394" s="67"/>
      <c r="H2394" s="73"/>
      <c r="I2394" s="439"/>
      <c r="J2394" s="439"/>
      <c r="K2394" s="430"/>
      <c r="L2394" s="439"/>
      <c r="M2394" s="65"/>
      <c r="N2394" s="66"/>
      <c r="O2394" s="66"/>
      <c r="P2394" s="84" t="str">
        <f>IF(AND('331-CT'!$E$7=TH!H2394,OR(N2394="331",O2394="331")),"x","")</f>
        <v/>
      </c>
      <c r="Q2394" s="84" t="str">
        <f>IF(AND(B2394='111'!$L$11,OR($N2394=$Q$7,$O2394=$Q$7)),"x","")</f>
        <v/>
      </c>
      <c r="R2394" s="84" t="str">
        <f>IF(AND($N2394=$Q$7,$B2394&lt;'111'!$L$11),"x","")</f>
        <v/>
      </c>
      <c r="S2394" s="84" t="str">
        <f>IF(AND($O2394=$Q$7,$B2394&lt;'111'!$L$11),"x","")</f>
        <v/>
      </c>
      <c r="T2394" s="84" t="str">
        <f>IF(ISERROR(FIND('112'!$M$9,G2394,1)),"",IF((AND(FIND('112'!$M$9,G2394,1)&gt;=1,B2394='112'!$K$9,OR($N2394='112'!$I$6,$O2394='112'!$I$6))),"x",""))</f>
        <v/>
      </c>
      <c r="U2394" s="84" t="str">
        <f>IF(ISERROR(FIND('112'!$M$9,G2394,1)),"",IF((AND(LEFT(G2394,2)=LEFT('112'!$M$9,2),B2394&lt;'112'!$K$9,$N2394='112'!$I$6)),"x",""))</f>
        <v/>
      </c>
      <c r="V2394" s="84" t="str">
        <f>IF(ISERROR(FIND('112'!$M$9,G2394,1)),"",IF((AND(RIGHT(G2394,2)=RIGHT('112'!$M$9,2),B2394&lt;'112'!$K$9,$O2394='112'!$I$6)),"x",""))</f>
        <v/>
      </c>
      <c r="W2394" s="84" t="str">
        <f>IF(AND('341-CT'!$H$9=H2394,OR(LEFT(N2394,3)=$W$7,LEFT(O2394,3)=$W$7)),"x","")</f>
        <v/>
      </c>
      <c r="X2394" s="84" t="str">
        <f>IF(OR(TH!N2394=TH!$X$7,O2394=TH!$X$7),"x","")</f>
        <v/>
      </c>
      <c r="Y2394" s="84" t="str">
        <f>IF(AND(OR(N2394="131",O2394="131"),H2394='131-CT'!$H$9),"x","")</f>
        <v/>
      </c>
      <c r="Z2394" s="84"/>
      <c r="AA2394" s="84" t="str">
        <f>IF(AND(MONTH(E2394)='IN-NX'!$J$5,'IN-NX'!$D$7=D2394),"x","")</f>
        <v/>
      </c>
      <c r="AB2394" s="84" t="str">
        <f>IF(AND(OR(LEFT(TH!N2394,2)="15",LEFT(TH!O2394,2)="15"),LEFT(TH!O2394,3)&lt;&gt;"111",'152-CT'!$J$8=TH!F2394),"x","")</f>
        <v/>
      </c>
      <c r="AC2394" s="84" t="str">
        <f>IF(AND(OR(LEFT(TH!N2394,2)="15",LEFT(TH!O2394,2)="15"),TK!$E$7=TH!F2394),"x","")</f>
        <v/>
      </c>
      <c r="AD2394" s="84" t="str">
        <f>IF(AND(N2394="1521",MONTH(C2394)='BK-NL'!$M$11),"x","")</f>
        <v/>
      </c>
    </row>
    <row r="2395" spans="1:30" s="351" customFormat="1" ht="15.75" hidden="1" customHeight="1">
      <c r="A2395" s="336" t="str">
        <f>IF(B2395&lt;&gt;"",IF(AND(B2395='IN-TC'!$S$4,OR(TH!N2395="1111",TH!O2395="1111")),TH!D2395,""),"")</f>
        <v/>
      </c>
      <c r="B2395" s="63" t="str">
        <f t="shared" si="291"/>
        <v/>
      </c>
      <c r="C2395" s="64"/>
      <c r="D2395" s="64"/>
      <c r="E2395" s="64"/>
      <c r="F2395" s="67"/>
      <c r="G2395" s="67"/>
      <c r="H2395" s="73"/>
      <c r="I2395" s="439"/>
      <c r="J2395" s="439"/>
      <c r="K2395" s="430"/>
      <c r="L2395" s="439"/>
      <c r="M2395" s="65"/>
      <c r="N2395" s="66"/>
      <c r="O2395" s="66"/>
      <c r="P2395" s="84" t="str">
        <f>IF(AND('331-CT'!$E$7=TH!H2395,OR(N2395="331",O2395="331")),"x","")</f>
        <v/>
      </c>
      <c r="Q2395" s="84" t="str">
        <f>IF(AND(B2395='111'!$L$11,OR($N2395=$Q$7,$O2395=$Q$7)),"x","")</f>
        <v/>
      </c>
      <c r="R2395" s="84" t="str">
        <f>IF(AND($N2395=$Q$7,$B2395&lt;'111'!$L$11),"x","")</f>
        <v/>
      </c>
      <c r="S2395" s="84" t="str">
        <f>IF(AND($O2395=$Q$7,$B2395&lt;'111'!$L$11),"x","")</f>
        <v/>
      </c>
      <c r="T2395" s="84" t="str">
        <f>IF(ISERROR(FIND('112'!$M$9,G2395,1)),"",IF((AND(FIND('112'!$M$9,G2395,1)&gt;=1,B2395='112'!$K$9,OR($N2395='112'!$I$6,$O2395='112'!$I$6))),"x",""))</f>
        <v/>
      </c>
      <c r="U2395" s="84" t="str">
        <f>IF(ISERROR(FIND('112'!$M$9,G2395,1)),"",IF((AND(LEFT(G2395,2)=LEFT('112'!$M$9,2),B2395&lt;'112'!$K$9,$N2395='112'!$I$6)),"x",""))</f>
        <v/>
      </c>
      <c r="V2395" s="84" t="str">
        <f>IF(ISERROR(FIND('112'!$M$9,G2395,1)),"",IF((AND(RIGHT(G2395,2)=RIGHT('112'!$M$9,2),B2395&lt;'112'!$K$9,$O2395='112'!$I$6)),"x",""))</f>
        <v/>
      </c>
      <c r="W2395" s="84" t="str">
        <f>IF(AND('341-CT'!$H$9=H2395,OR(LEFT(N2395,3)=$W$7,LEFT(O2395,3)=$W$7)),"x","")</f>
        <v/>
      </c>
      <c r="X2395" s="84" t="str">
        <f>IF(OR(TH!N2395=TH!$X$7,O2395=TH!$X$7),"x","")</f>
        <v/>
      </c>
      <c r="Y2395" s="84" t="str">
        <f>IF(AND(OR(N2395="131",O2395="131"),H2395='131-CT'!$H$9),"x","")</f>
        <v/>
      </c>
      <c r="Z2395" s="84"/>
      <c r="AA2395" s="84" t="str">
        <f>IF(AND(MONTH(E2395)='IN-NX'!$J$5,'IN-NX'!$D$7=D2395),"x","")</f>
        <v/>
      </c>
      <c r="AB2395" s="84" t="str">
        <f>IF(AND(OR(LEFT(TH!N2395,2)="15",LEFT(TH!O2395,2)="15"),LEFT(TH!O2395,3)&lt;&gt;"111",'152-CT'!$J$8=TH!F2395),"x","")</f>
        <v/>
      </c>
      <c r="AC2395" s="84" t="str">
        <f>IF(AND(OR(LEFT(TH!N2395,2)="15",LEFT(TH!O2395,2)="15"),TK!$E$7=TH!F2395),"x","")</f>
        <v/>
      </c>
      <c r="AD2395" s="84" t="str">
        <f>IF(AND(N2395="1521",MONTH(C2395)='BK-NL'!$M$11),"x","")</f>
        <v/>
      </c>
    </row>
    <row r="2396" spans="1:30" s="351" customFormat="1" ht="15.75" hidden="1" customHeight="1">
      <c r="A2396" s="336" t="str">
        <f>IF(B2396&lt;&gt;"",IF(AND(B2396='IN-TC'!$S$4,OR(TH!N2396="1111",TH!O2396="1111")),TH!D2396,""),"")</f>
        <v/>
      </c>
      <c r="B2396" s="63" t="str">
        <f t="shared" si="291"/>
        <v/>
      </c>
      <c r="C2396" s="64"/>
      <c r="D2396" s="64"/>
      <c r="E2396" s="64"/>
      <c r="F2396" s="67"/>
      <c r="G2396" s="67"/>
      <c r="H2396" s="73"/>
      <c r="I2396" s="439"/>
      <c r="J2396" s="439"/>
      <c r="K2396" s="430"/>
      <c r="L2396" s="439"/>
      <c r="M2396" s="65"/>
      <c r="N2396" s="66"/>
      <c r="O2396" s="66"/>
      <c r="P2396" s="84" t="str">
        <f>IF(AND('331-CT'!$E$7=TH!H2396,OR(N2396="331",O2396="331")),"x","")</f>
        <v/>
      </c>
      <c r="Q2396" s="84" t="str">
        <f>IF(AND(B2396='111'!$L$11,OR($N2396=$Q$7,$O2396=$Q$7)),"x","")</f>
        <v/>
      </c>
      <c r="R2396" s="84" t="str">
        <f>IF(AND($N2396=$Q$7,$B2396&lt;'111'!$L$11),"x","")</f>
        <v/>
      </c>
      <c r="S2396" s="84" t="str">
        <f>IF(AND($O2396=$Q$7,$B2396&lt;'111'!$L$11),"x","")</f>
        <v/>
      </c>
      <c r="T2396" s="84" t="str">
        <f>IF(ISERROR(FIND('112'!$M$9,G2396,1)),"",IF((AND(FIND('112'!$M$9,G2396,1)&gt;=1,B2396='112'!$K$9,OR($N2396='112'!$I$6,$O2396='112'!$I$6))),"x",""))</f>
        <v/>
      </c>
      <c r="U2396" s="84" t="str">
        <f>IF(ISERROR(FIND('112'!$M$9,G2396,1)),"",IF((AND(LEFT(G2396,2)=LEFT('112'!$M$9,2),B2396&lt;'112'!$K$9,$N2396='112'!$I$6)),"x",""))</f>
        <v/>
      </c>
      <c r="V2396" s="84" t="str">
        <f>IF(ISERROR(FIND('112'!$M$9,G2396,1)),"",IF((AND(RIGHT(G2396,2)=RIGHT('112'!$M$9,2),B2396&lt;'112'!$K$9,$O2396='112'!$I$6)),"x",""))</f>
        <v/>
      </c>
      <c r="W2396" s="84" t="str">
        <f>IF(AND('341-CT'!$H$9=H2396,OR(LEFT(N2396,3)=$W$7,LEFT(O2396,3)=$W$7)),"x","")</f>
        <v/>
      </c>
      <c r="X2396" s="84" t="str">
        <f>IF(OR(TH!N2396=TH!$X$7,O2396=TH!$X$7),"x","")</f>
        <v/>
      </c>
      <c r="Y2396" s="84" t="str">
        <f>IF(AND(OR(N2396="131",O2396="131"),H2396='131-CT'!$H$9),"x","")</f>
        <v/>
      </c>
      <c r="Z2396" s="84"/>
      <c r="AA2396" s="84" t="str">
        <f>IF(AND(MONTH(E2396)='IN-NX'!$J$5,'IN-NX'!$D$7=D2396),"x","")</f>
        <v/>
      </c>
      <c r="AB2396" s="84" t="str">
        <f>IF(AND(OR(LEFT(TH!N2396,2)="15",LEFT(TH!O2396,2)="15"),LEFT(TH!O2396,3)&lt;&gt;"111",'152-CT'!$J$8=TH!F2396),"x","")</f>
        <v/>
      </c>
      <c r="AC2396" s="84" t="str">
        <f>IF(AND(OR(LEFT(TH!N2396,2)="15",LEFT(TH!O2396,2)="15"),TK!$E$7=TH!F2396),"x","")</f>
        <v/>
      </c>
      <c r="AD2396" s="84" t="str">
        <f>IF(AND(N2396="1521",MONTH(C2396)='BK-NL'!$M$11),"x","")</f>
        <v/>
      </c>
    </row>
    <row r="2397" spans="1:30" s="351" customFormat="1" ht="15.75" hidden="1" customHeight="1">
      <c r="A2397" s="336" t="str">
        <f>IF(B2397&lt;&gt;"",IF(AND(B2397='IN-TC'!$S$4,OR(TH!N2397="1111",TH!O2397="1111")),TH!D2397,""),"")</f>
        <v/>
      </c>
      <c r="B2397" s="63" t="str">
        <f t="shared" si="291"/>
        <v/>
      </c>
      <c r="C2397" s="64"/>
      <c r="D2397" s="64"/>
      <c r="E2397" s="64"/>
      <c r="F2397" s="67"/>
      <c r="G2397" s="67"/>
      <c r="H2397" s="73"/>
      <c r="I2397" s="439"/>
      <c r="J2397" s="439"/>
      <c r="K2397" s="430"/>
      <c r="L2397" s="439"/>
      <c r="M2397" s="65"/>
      <c r="N2397" s="66"/>
      <c r="O2397" s="66"/>
      <c r="P2397" s="84" t="str">
        <f>IF(AND('331-CT'!$E$7=TH!H2397,OR(N2397="331",O2397="331")),"x","")</f>
        <v/>
      </c>
      <c r="Q2397" s="84" t="str">
        <f>IF(AND(B2397='111'!$L$11,OR($N2397=$Q$7,$O2397=$Q$7)),"x","")</f>
        <v/>
      </c>
      <c r="R2397" s="84" t="str">
        <f>IF(AND($N2397=$Q$7,$B2397&lt;'111'!$L$11),"x","")</f>
        <v/>
      </c>
      <c r="S2397" s="84" t="str">
        <f>IF(AND($O2397=$Q$7,$B2397&lt;'111'!$L$11),"x","")</f>
        <v/>
      </c>
      <c r="T2397" s="84" t="str">
        <f>IF(ISERROR(FIND('112'!$M$9,G2397,1)),"",IF((AND(FIND('112'!$M$9,G2397,1)&gt;=1,B2397='112'!$K$9,OR($N2397='112'!$I$6,$O2397='112'!$I$6))),"x",""))</f>
        <v/>
      </c>
      <c r="U2397" s="84" t="str">
        <f>IF(ISERROR(FIND('112'!$M$9,G2397,1)),"",IF((AND(LEFT(G2397,2)=LEFT('112'!$M$9,2),B2397&lt;'112'!$K$9,$N2397='112'!$I$6)),"x",""))</f>
        <v/>
      </c>
      <c r="V2397" s="84" t="str">
        <f>IF(ISERROR(FIND('112'!$M$9,G2397,1)),"",IF((AND(RIGHT(G2397,2)=RIGHT('112'!$M$9,2),B2397&lt;'112'!$K$9,$O2397='112'!$I$6)),"x",""))</f>
        <v/>
      </c>
      <c r="W2397" s="84" t="str">
        <f>IF(AND('341-CT'!$H$9=H2397,OR(LEFT(N2397,3)=$W$7,LEFT(O2397,3)=$W$7)),"x","")</f>
        <v/>
      </c>
      <c r="X2397" s="84" t="str">
        <f>IF(OR(TH!N2397=TH!$X$7,O2397=TH!$X$7),"x","")</f>
        <v/>
      </c>
      <c r="Y2397" s="84" t="str">
        <f>IF(AND(OR(N2397="131",O2397="131"),H2397='131-CT'!$H$9),"x","")</f>
        <v/>
      </c>
      <c r="Z2397" s="84"/>
      <c r="AA2397" s="84" t="str">
        <f>IF(AND(MONTH(E2397)='IN-NX'!$J$5,'IN-NX'!$D$7=D2397),"x","")</f>
        <v/>
      </c>
      <c r="AB2397" s="84" t="str">
        <f>IF(AND(OR(LEFT(TH!N2397,2)="15",LEFT(TH!O2397,2)="15"),LEFT(TH!O2397,3)&lt;&gt;"111",'152-CT'!$J$8=TH!F2397),"x","")</f>
        <v/>
      </c>
      <c r="AC2397" s="84" t="str">
        <f>IF(AND(OR(LEFT(TH!N2397,2)="15",LEFT(TH!O2397,2)="15"),TK!$E$7=TH!F2397),"x","")</f>
        <v/>
      </c>
      <c r="AD2397" s="84" t="str">
        <f>IF(AND(N2397="1521",MONTH(C2397)='BK-NL'!$M$11),"x","")</f>
        <v/>
      </c>
    </row>
    <row r="2398" spans="1:30" s="351" customFormat="1" ht="15.75" hidden="1" customHeight="1">
      <c r="A2398" s="336" t="str">
        <f>IF(B2398&lt;&gt;"",IF(AND(B2398='IN-TC'!$S$4,OR(TH!N2398="1111",TH!O2398="1111")),TH!D2398,""),"")</f>
        <v/>
      </c>
      <c r="B2398" s="63" t="str">
        <f t="shared" si="291"/>
        <v/>
      </c>
      <c r="C2398" s="64"/>
      <c r="D2398" s="64"/>
      <c r="E2398" s="64"/>
      <c r="F2398" s="67"/>
      <c r="G2398" s="67"/>
      <c r="H2398" s="73"/>
      <c r="I2398" s="439"/>
      <c r="J2398" s="439"/>
      <c r="K2398" s="430"/>
      <c r="L2398" s="439"/>
      <c r="M2398" s="65"/>
      <c r="N2398" s="66"/>
      <c r="O2398" s="66"/>
      <c r="P2398" s="84" t="str">
        <f>IF(AND('331-CT'!$E$7=TH!H2398,OR(N2398="331",O2398="331")),"x","")</f>
        <v/>
      </c>
      <c r="Q2398" s="84" t="str">
        <f>IF(AND(B2398='111'!$L$11,OR($N2398=$Q$7,$O2398=$Q$7)),"x","")</f>
        <v/>
      </c>
      <c r="R2398" s="84" t="str">
        <f>IF(AND($N2398=$Q$7,$B2398&lt;'111'!$L$11),"x","")</f>
        <v/>
      </c>
      <c r="S2398" s="84" t="str">
        <f>IF(AND($O2398=$Q$7,$B2398&lt;'111'!$L$11),"x","")</f>
        <v/>
      </c>
      <c r="T2398" s="84" t="str">
        <f>IF(ISERROR(FIND('112'!$M$9,G2398,1)),"",IF((AND(FIND('112'!$M$9,G2398,1)&gt;=1,B2398='112'!$K$9,OR($N2398='112'!$I$6,$O2398='112'!$I$6))),"x",""))</f>
        <v/>
      </c>
      <c r="U2398" s="84" t="str">
        <f>IF(ISERROR(FIND('112'!$M$9,G2398,1)),"",IF((AND(LEFT(G2398,2)=LEFT('112'!$M$9,2),B2398&lt;'112'!$K$9,$N2398='112'!$I$6)),"x",""))</f>
        <v/>
      </c>
      <c r="V2398" s="84" t="str">
        <f>IF(ISERROR(FIND('112'!$M$9,G2398,1)),"",IF((AND(RIGHT(G2398,2)=RIGHT('112'!$M$9,2),B2398&lt;'112'!$K$9,$O2398='112'!$I$6)),"x",""))</f>
        <v/>
      </c>
      <c r="W2398" s="84" t="str">
        <f>IF(AND('341-CT'!$H$9=H2398,OR(LEFT(N2398,3)=$W$7,LEFT(O2398,3)=$W$7)),"x","")</f>
        <v/>
      </c>
      <c r="X2398" s="84" t="str">
        <f>IF(OR(TH!N2398=TH!$X$7,O2398=TH!$X$7),"x","")</f>
        <v/>
      </c>
      <c r="Y2398" s="84" t="str">
        <f>IF(AND(OR(N2398="131",O2398="131"),H2398='131-CT'!$H$9),"x","")</f>
        <v/>
      </c>
      <c r="Z2398" s="84"/>
      <c r="AA2398" s="84" t="str">
        <f>IF(AND(MONTH(E2398)='IN-NX'!$J$5,'IN-NX'!$D$7=D2398),"x","")</f>
        <v/>
      </c>
      <c r="AB2398" s="84" t="str">
        <f>IF(AND(OR(LEFT(TH!N2398,2)="15",LEFT(TH!O2398,2)="15"),LEFT(TH!O2398,3)&lt;&gt;"111",'152-CT'!$J$8=TH!F2398),"x","")</f>
        <v/>
      </c>
      <c r="AC2398" s="84" t="str">
        <f>IF(AND(OR(LEFT(TH!N2398,2)="15",LEFT(TH!O2398,2)="15"),TK!$E$7=TH!F2398),"x","")</f>
        <v/>
      </c>
      <c r="AD2398" s="84" t="str">
        <f>IF(AND(N2398="1521",MONTH(C2398)='BK-NL'!$M$11),"x","")</f>
        <v/>
      </c>
    </row>
    <row r="2399" spans="1:30" s="351" customFormat="1" ht="15.75" hidden="1" customHeight="1">
      <c r="A2399" s="336" t="str">
        <f>IF(B2399&lt;&gt;"",IF(AND(B2399='IN-TC'!$S$4,OR(TH!N2399="1111",TH!O2399="1111")),TH!D2399,""),"")</f>
        <v/>
      </c>
      <c r="B2399" s="63" t="str">
        <f t="shared" si="291"/>
        <v/>
      </c>
      <c r="C2399" s="64"/>
      <c r="D2399" s="64"/>
      <c r="E2399" s="64"/>
      <c r="F2399" s="67"/>
      <c r="G2399" s="67"/>
      <c r="H2399" s="73"/>
      <c r="I2399" s="439"/>
      <c r="J2399" s="439"/>
      <c r="K2399" s="430"/>
      <c r="L2399" s="439"/>
      <c r="M2399" s="65"/>
      <c r="N2399" s="66"/>
      <c r="O2399" s="66"/>
      <c r="P2399" s="84" t="str">
        <f>IF(AND('331-CT'!$E$7=TH!H2399,OR(N2399="331",O2399="331")),"x","")</f>
        <v/>
      </c>
      <c r="Q2399" s="84" t="str">
        <f>IF(AND(B2399='111'!$L$11,OR($N2399=$Q$7,$O2399=$Q$7)),"x","")</f>
        <v/>
      </c>
      <c r="R2399" s="84" t="str">
        <f>IF(AND($N2399=$Q$7,$B2399&lt;'111'!$L$11),"x","")</f>
        <v/>
      </c>
      <c r="S2399" s="84" t="str">
        <f>IF(AND($O2399=$Q$7,$B2399&lt;'111'!$L$11),"x","")</f>
        <v/>
      </c>
      <c r="T2399" s="84" t="str">
        <f>IF(ISERROR(FIND('112'!$M$9,G2399,1)),"",IF((AND(FIND('112'!$M$9,G2399,1)&gt;=1,B2399='112'!$K$9,OR($N2399='112'!$I$6,$O2399='112'!$I$6))),"x",""))</f>
        <v/>
      </c>
      <c r="U2399" s="84" t="str">
        <f>IF(ISERROR(FIND('112'!$M$9,G2399,1)),"",IF((AND(LEFT(G2399,2)=LEFT('112'!$M$9,2),B2399&lt;'112'!$K$9,$N2399='112'!$I$6)),"x",""))</f>
        <v/>
      </c>
      <c r="V2399" s="84" t="str">
        <f>IF(ISERROR(FIND('112'!$M$9,G2399,1)),"",IF((AND(RIGHT(G2399,2)=RIGHT('112'!$M$9,2),B2399&lt;'112'!$K$9,$O2399='112'!$I$6)),"x",""))</f>
        <v/>
      </c>
      <c r="W2399" s="84" t="str">
        <f>IF(AND('341-CT'!$H$9=H2399,OR(LEFT(N2399,3)=$W$7,LEFT(O2399,3)=$W$7)),"x","")</f>
        <v/>
      </c>
      <c r="X2399" s="84" t="str">
        <f>IF(OR(TH!N2399=TH!$X$7,O2399=TH!$X$7),"x","")</f>
        <v/>
      </c>
      <c r="Y2399" s="84" t="str">
        <f>IF(AND(OR(N2399="131",O2399="131"),H2399='131-CT'!$H$9),"x","")</f>
        <v/>
      </c>
      <c r="Z2399" s="84"/>
      <c r="AA2399" s="84" t="str">
        <f>IF(AND(MONTH(E2399)='IN-NX'!$J$5,'IN-NX'!$D$7=D2399),"x","")</f>
        <v/>
      </c>
      <c r="AB2399" s="84" t="str">
        <f>IF(AND(OR(LEFT(TH!N2399,2)="15",LEFT(TH!O2399,2)="15"),LEFT(TH!O2399,3)&lt;&gt;"111",'152-CT'!$J$8=TH!F2399),"x","")</f>
        <v/>
      </c>
      <c r="AC2399" s="84" t="str">
        <f>IF(AND(OR(LEFT(TH!N2399,2)="15",LEFT(TH!O2399,2)="15"),TK!$E$7=TH!F2399),"x","")</f>
        <v/>
      </c>
      <c r="AD2399" s="84" t="str">
        <f>IF(AND(N2399="1521",MONTH(C2399)='BK-NL'!$M$11),"x","")</f>
        <v/>
      </c>
    </row>
    <row r="2400" spans="1:30" s="351" customFormat="1" ht="15.75" hidden="1" customHeight="1">
      <c r="A2400" s="336" t="str">
        <f>IF(B2400&lt;&gt;"",IF(AND(B2400='IN-TC'!$S$4,OR(TH!N2400="1111",TH!O2400="1111")),TH!D2400,""),"")</f>
        <v/>
      </c>
      <c r="B2400" s="63" t="str">
        <f t="shared" si="291"/>
        <v/>
      </c>
      <c r="C2400" s="64"/>
      <c r="D2400" s="64"/>
      <c r="E2400" s="64"/>
      <c r="F2400" s="67"/>
      <c r="G2400" s="67"/>
      <c r="H2400" s="73"/>
      <c r="I2400" s="439"/>
      <c r="J2400" s="439"/>
      <c r="K2400" s="430"/>
      <c r="L2400" s="439"/>
      <c r="M2400" s="65"/>
      <c r="N2400" s="66"/>
      <c r="O2400" s="66"/>
      <c r="P2400" s="84" t="str">
        <f>IF(AND('331-CT'!$E$7=TH!H2400,OR(N2400="331",O2400="331")),"x","")</f>
        <v/>
      </c>
      <c r="Q2400" s="84" t="str">
        <f>IF(AND(B2400='111'!$L$11,OR($N2400=$Q$7,$O2400=$Q$7)),"x","")</f>
        <v/>
      </c>
      <c r="R2400" s="84" t="str">
        <f>IF(AND($N2400=$Q$7,$B2400&lt;'111'!$L$11),"x","")</f>
        <v/>
      </c>
      <c r="S2400" s="84" t="str">
        <f>IF(AND($O2400=$Q$7,$B2400&lt;'111'!$L$11),"x","")</f>
        <v/>
      </c>
      <c r="T2400" s="84" t="str">
        <f>IF(ISERROR(FIND('112'!$M$9,G2400,1)),"",IF((AND(FIND('112'!$M$9,G2400,1)&gt;=1,B2400='112'!$K$9,OR($N2400='112'!$I$6,$O2400='112'!$I$6))),"x",""))</f>
        <v/>
      </c>
      <c r="U2400" s="84" t="str">
        <f>IF(ISERROR(FIND('112'!$M$9,G2400,1)),"",IF((AND(LEFT(G2400,2)=LEFT('112'!$M$9,2),B2400&lt;'112'!$K$9,$N2400='112'!$I$6)),"x",""))</f>
        <v/>
      </c>
      <c r="V2400" s="84" t="str">
        <f>IF(ISERROR(FIND('112'!$M$9,G2400,1)),"",IF((AND(RIGHT(G2400,2)=RIGHT('112'!$M$9,2),B2400&lt;'112'!$K$9,$O2400='112'!$I$6)),"x",""))</f>
        <v/>
      </c>
      <c r="W2400" s="84" t="str">
        <f>IF(AND('341-CT'!$H$9=H2400,OR(LEFT(N2400,3)=$W$7,LEFT(O2400,3)=$W$7)),"x","")</f>
        <v/>
      </c>
      <c r="X2400" s="84" t="str">
        <f>IF(OR(TH!N2400=TH!$X$7,O2400=TH!$X$7),"x","")</f>
        <v/>
      </c>
      <c r="Y2400" s="84" t="str">
        <f>IF(AND(OR(N2400="131",O2400="131"),H2400='131-CT'!$H$9),"x","")</f>
        <v/>
      </c>
      <c r="Z2400" s="84"/>
      <c r="AA2400" s="84" t="str">
        <f>IF(AND(MONTH(E2400)='IN-NX'!$J$5,'IN-NX'!$D$7=D2400),"x","")</f>
        <v/>
      </c>
      <c r="AB2400" s="84" t="str">
        <f>IF(AND(OR(LEFT(TH!N2400,2)="15",LEFT(TH!O2400,2)="15"),LEFT(TH!O2400,3)&lt;&gt;"111",'152-CT'!$J$8=TH!F2400),"x","")</f>
        <v/>
      </c>
      <c r="AC2400" s="84" t="str">
        <f>IF(AND(OR(LEFT(TH!N2400,2)="15",LEFT(TH!O2400,2)="15"),TK!$E$7=TH!F2400),"x","")</f>
        <v/>
      </c>
      <c r="AD2400" s="84" t="str">
        <f>IF(AND(N2400="1521",MONTH(C2400)='BK-NL'!$M$11),"x","")</f>
        <v/>
      </c>
    </row>
    <row r="2401" spans="1:30" s="351" customFormat="1" ht="15.75" hidden="1" customHeight="1">
      <c r="A2401" s="336" t="str">
        <f>IF(B2401&lt;&gt;"",IF(AND(B2401='IN-TC'!$S$4,OR(TH!N2401="1111",TH!O2401="1111")),TH!D2401,""),"")</f>
        <v/>
      </c>
      <c r="B2401" s="63" t="str">
        <f t="shared" si="291"/>
        <v/>
      </c>
      <c r="C2401" s="64"/>
      <c r="D2401" s="64"/>
      <c r="E2401" s="64"/>
      <c r="F2401" s="67"/>
      <c r="G2401" s="67"/>
      <c r="H2401" s="73"/>
      <c r="I2401" s="439"/>
      <c r="J2401" s="439"/>
      <c r="K2401" s="430"/>
      <c r="L2401" s="439"/>
      <c r="M2401" s="65"/>
      <c r="N2401" s="66"/>
      <c r="O2401" s="66"/>
      <c r="P2401" s="84" t="str">
        <f>IF(AND('331-CT'!$E$7=TH!H2401,OR(N2401="331",O2401="331")),"x","")</f>
        <v/>
      </c>
      <c r="Q2401" s="84" t="str">
        <f>IF(AND(B2401='111'!$L$11,OR($N2401=$Q$7,$O2401=$Q$7)),"x","")</f>
        <v/>
      </c>
      <c r="R2401" s="84" t="str">
        <f>IF(AND($N2401=$Q$7,$B2401&lt;'111'!$L$11),"x","")</f>
        <v/>
      </c>
      <c r="S2401" s="84" t="str">
        <f>IF(AND($O2401=$Q$7,$B2401&lt;'111'!$L$11),"x","")</f>
        <v/>
      </c>
      <c r="T2401" s="84" t="str">
        <f>IF(ISERROR(FIND('112'!$M$9,G2401,1)),"",IF((AND(FIND('112'!$M$9,G2401,1)&gt;=1,B2401='112'!$K$9,OR($N2401='112'!$I$6,$O2401='112'!$I$6))),"x",""))</f>
        <v/>
      </c>
      <c r="U2401" s="84" t="str">
        <f>IF(ISERROR(FIND('112'!$M$9,G2401,1)),"",IF((AND(LEFT(G2401,2)=LEFT('112'!$M$9,2),B2401&lt;'112'!$K$9,$N2401='112'!$I$6)),"x",""))</f>
        <v/>
      </c>
      <c r="V2401" s="84" t="str">
        <f>IF(ISERROR(FIND('112'!$M$9,G2401,1)),"",IF((AND(RIGHT(G2401,2)=RIGHT('112'!$M$9,2),B2401&lt;'112'!$K$9,$O2401='112'!$I$6)),"x",""))</f>
        <v/>
      </c>
      <c r="W2401" s="84" t="str">
        <f>IF(AND('341-CT'!$H$9=H2401,OR(LEFT(N2401,3)=$W$7,LEFT(O2401,3)=$W$7)),"x","")</f>
        <v/>
      </c>
      <c r="X2401" s="84" t="str">
        <f>IF(OR(TH!N2401=TH!$X$7,O2401=TH!$X$7),"x","")</f>
        <v/>
      </c>
      <c r="Y2401" s="84" t="str">
        <f>IF(AND(OR(N2401="131",O2401="131"),H2401='131-CT'!$H$9),"x","")</f>
        <v/>
      </c>
      <c r="Z2401" s="84"/>
      <c r="AA2401" s="84" t="str">
        <f>IF(AND(MONTH(E2401)='IN-NX'!$J$5,'IN-NX'!$D$7=D2401),"x","")</f>
        <v/>
      </c>
      <c r="AB2401" s="84" t="str">
        <f>IF(AND(OR(LEFT(TH!N2401,2)="15",LEFT(TH!O2401,2)="15"),LEFT(TH!O2401,3)&lt;&gt;"111",'152-CT'!$J$8=TH!F2401),"x","")</f>
        <v/>
      </c>
      <c r="AC2401" s="84" t="str">
        <f>IF(AND(OR(LEFT(TH!N2401,2)="15",LEFT(TH!O2401,2)="15"),TK!$E$7=TH!F2401),"x","")</f>
        <v/>
      </c>
      <c r="AD2401" s="84" t="str">
        <f>IF(AND(N2401="1521",MONTH(C2401)='BK-NL'!$M$11),"x","")</f>
        <v/>
      </c>
    </row>
    <row r="2402" spans="1:30" s="351" customFormat="1" ht="15.75" hidden="1" customHeight="1">
      <c r="A2402" s="336" t="str">
        <f>IF(B2402&lt;&gt;"",IF(AND(B2402='IN-TC'!$S$4,OR(TH!N2402="1111",TH!O2402="1111")),TH!D2402,""),"")</f>
        <v/>
      </c>
      <c r="B2402" s="63" t="str">
        <f t="shared" si="291"/>
        <v/>
      </c>
      <c r="C2402" s="64"/>
      <c r="D2402" s="64"/>
      <c r="E2402" s="64"/>
      <c r="F2402" s="67"/>
      <c r="G2402" s="67"/>
      <c r="H2402" s="73"/>
      <c r="I2402" s="439"/>
      <c r="J2402" s="439"/>
      <c r="K2402" s="430"/>
      <c r="L2402" s="439"/>
      <c r="M2402" s="65"/>
      <c r="N2402" s="66"/>
      <c r="O2402" s="66"/>
      <c r="P2402" s="84" t="str">
        <f>IF(AND('331-CT'!$E$7=TH!H2402,OR(N2402="331",O2402="331")),"x","")</f>
        <v/>
      </c>
      <c r="Q2402" s="84" t="str">
        <f>IF(AND(B2402='111'!$L$11,OR($N2402=$Q$7,$O2402=$Q$7)),"x","")</f>
        <v/>
      </c>
      <c r="R2402" s="84" t="str">
        <f>IF(AND($N2402=$Q$7,$B2402&lt;'111'!$L$11),"x","")</f>
        <v/>
      </c>
      <c r="S2402" s="84" t="str">
        <f>IF(AND($O2402=$Q$7,$B2402&lt;'111'!$L$11),"x","")</f>
        <v/>
      </c>
      <c r="T2402" s="84" t="str">
        <f>IF(ISERROR(FIND('112'!$M$9,G2402,1)),"",IF((AND(FIND('112'!$M$9,G2402,1)&gt;=1,B2402='112'!$K$9,OR($N2402='112'!$I$6,$O2402='112'!$I$6))),"x",""))</f>
        <v/>
      </c>
      <c r="U2402" s="84" t="str">
        <f>IF(ISERROR(FIND('112'!$M$9,G2402,1)),"",IF((AND(LEFT(G2402,2)=LEFT('112'!$M$9,2),B2402&lt;'112'!$K$9,$N2402='112'!$I$6)),"x",""))</f>
        <v/>
      </c>
      <c r="V2402" s="84" t="str">
        <f>IF(ISERROR(FIND('112'!$M$9,G2402,1)),"",IF((AND(RIGHT(G2402,2)=RIGHT('112'!$M$9,2),B2402&lt;'112'!$K$9,$O2402='112'!$I$6)),"x",""))</f>
        <v/>
      </c>
      <c r="W2402" s="84" t="str">
        <f>IF(AND('341-CT'!$H$9=H2402,OR(LEFT(N2402,3)=$W$7,LEFT(O2402,3)=$W$7)),"x","")</f>
        <v/>
      </c>
      <c r="X2402" s="84" t="str">
        <f>IF(OR(TH!N2402=TH!$X$7,O2402=TH!$X$7),"x","")</f>
        <v/>
      </c>
      <c r="Y2402" s="84" t="str">
        <f>IF(AND(OR(N2402="131",O2402="131"),H2402='131-CT'!$H$9),"x","")</f>
        <v/>
      </c>
      <c r="Z2402" s="84"/>
      <c r="AA2402" s="84" t="str">
        <f>IF(AND(MONTH(E2402)='IN-NX'!$J$5,'IN-NX'!$D$7=D2402),"x","")</f>
        <v/>
      </c>
      <c r="AB2402" s="84" t="str">
        <f>IF(AND(OR(LEFT(TH!N2402,2)="15",LEFT(TH!O2402,2)="15"),LEFT(TH!O2402,3)&lt;&gt;"111",'152-CT'!$J$8=TH!F2402),"x","")</f>
        <v/>
      </c>
      <c r="AC2402" s="84" t="str">
        <f>IF(AND(OR(LEFT(TH!N2402,2)="15",LEFT(TH!O2402,2)="15"),TK!$E$7=TH!F2402),"x","")</f>
        <v/>
      </c>
      <c r="AD2402" s="84" t="str">
        <f>IF(AND(N2402="1521",MONTH(C2402)='BK-NL'!$M$11),"x","")</f>
        <v/>
      </c>
    </row>
    <row r="2403" spans="1:30" s="351" customFormat="1" ht="15.75" hidden="1" customHeight="1">
      <c r="A2403" s="336" t="str">
        <f>IF(B2403&lt;&gt;"",IF(AND(B2403='IN-TC'!$S$4,OR(TH!N2403="1111",TH!O2403="1111")),TH!D2403,""),"")</f>
        <v/>
      </c>
      <c r="B2403" s="63" t="str">
        <f t="shared" si="291"/>
        <v/>
      </c>
      <c r="C2403" s="64"/>
      <c r="D2403" s="64"/>
      <c r="E2403" s="64"/>
      <c r="F2403" s="67"/>
      <c r="G2403" s="67"/>
      <c r="H2403" s="73"/>
      <c r="I2403" s="439"/>
      <c r="J2403" s="439"/>
      <c r="K2403" s="430"/>
      <c r="L2403" s="439"/>
      <c r="M2403" s="65"/>
      <c r="N2403" s="66"/>
      <c r="O2403" s="66"/>
      <c r="P2403" s="84" t="str">
        <f>IF(AND('331-CT'!$E$7=TH!H2403,OR(N2403="331",O2403="331")),"x","")</f>
        <v/>
      </c>
      <c r="Q2403" s="84" t="str">
        <f>IF(AND(B2403='111'!$L$11,OR($N2403=$Q$7,$O2403=$Q$7)),"x","")</f>
        <v/>
      </c>
      <c r="R2403" s="84" t="str">
        <f>IF(AND($N2403=$Q$7,$B2403&lt;'111'!$L$11),"x","")</f>
        <v/>
      </c>
      <c r="S2403" s="84" t="str">
        <f>IF(AND($O2403=$Q$7,$B2403&lt;'111'!$L$11),"x","")</f>
        <v/>
      </c>
      <c r="T2403" s="84" t="str">
        <f>IF(ISERROR(FIND('112'!$M$9,G2403,1)),"",IF((AND(FIND('112'!$M$9,G2403,1)&gt;=1,B2403='112'!$K$9,OR($N2403='112'!$I$6,$O2403='112'!$I$6))),"x",""))</f>
        <v/>
      </c>
      <c r="U2403" s="84" t="str">
        <f>IF(ISERROR(FIND('112'!$M$9,G2403,1)),"",IF((AND(LEFT(G2403,2)=LEFT('112'!$M$9,2),B2403&lt;'112'!$K$9,$N2403='112'!$I$6)),"x",""))</f>
        <v/>
      </c>
      <c r="V2403" s="84" t="str">
        <f>IF(ISERROR(FIND('112'!$M$9,G2403,1)),"",IF((AND(RIGHT(G2403,2)=RIGHT('112'!$M$9,2),B2403&lt;'112'!$K$9,$O2403='112'!$I$6)),"x",""))</f>
        <v/>
      </c>
      <c r="W2403" s="84" t="str">
        <f>IF(AND('341-CT'!$H$9=H2403,OR(LEFT(N2403,3)=$W$7,LEFT(O2403,3)=$W$7)),"x","")</f>
        <v/>
      </c>
      <c r="X2403" s="84" t="str">
        <f>IF(OR(TH!N2403=TH!$X$7,O2403=TH!$X$7),"x","")</f>
        <v/>
      </c>
      <c r="Y2403" s="84" t="str">
        <f>IF(AND(OR(N2403="131",O2403="131"),H2403='131-CT'!$H$9),"x","")</f>
        <v/>
      </c>
      <c r="Z2403" s="84"/>
      <c r="AA2403" s="84" t="str">
        <f>IF(AND(MONTH(E2403)='IN-NX'!$J$5,'IN-NX'!$D$7=D2403),"x","")</f>
        <v/>
      </c>
      <c r="AB2403" s="84" t="str">
        <f>IF(AND(OR(LEFT(TH!N2403,2)="15",LEFT(TH!O2403,2)="15"),LEFT(TH!O2403,3)&lt;&gt;"111",'152-CT'!$J$8=TH!F2403),"x","")</f>
        <v/>
      </c>
      <c r="AC2403" s="84" t="str">
        <f>IF(AND(OR(LEFT(TH!N2403,2)="15",LEFT(TH!O2403,2)="15"),TK!$E$7=TH!F2403),"x","")</f>
        <v/>
      </c>
      <c r="AD2403" s="84" t="str">
        <f>IF(AND(N2403="1521",MONTH(C2403)='BK-NL'!$M$11),"x","")</f>
        <v/>
      </c>
    </row>
    <row r="2404" spans="1:30" s="351" customFormat="1" ht="15.75" hidden="1" customHeight="1">
      <c r="A2404" s="336" t="str">
        <f>IF(B2404&lt;&gt;"",IF(AND(B2404='IN-TC'!$S$4,OR(TH!N2404="1111",TH!O2404="1111")),TH!D2404,""),"")</f>
        <v/>
      </c>
      <c r="B2404" s="63" t="str">
        <f t="shared" si="291"/>
        <v/>
      </c>
      <c r="C2404" s="64"/>
      <c r="D2404" s="64"/>
      <c r="E2404" s="64"/>
      <c r="F2404" s="67"/>
      <c r="G2404" s="67"/>
      <c r="H2404" s="73"/>
      <c r="I2404" s="439"/>
      <c r="J2404" s="439"/>
      <c r="K2404" s="430"/>
      <c r="L2404" s="439"/>
      <c r="M2404" s="65"/>
      <c r="N2404" s="66"/>
      <c r="O2404" s="66"/>
      <c r="P2404" s="84" t="str">
        <f>IF(AND('331-CT'!$E$7=TH!H2404,OR(N2404="331",O2404="331")),"x","")</f>
        <v/>
      </c>
      <c r="Q2404" s="84" t="str">
        <f>IF(AND(B2404='111'!$L$11,OR($N2404=$Q$7,$O2404=$Q$7)),"x","")</f>
        <v/>
      </c>
      <c r="R2404" s="84" t="str">
        <f>IF(AND($N2404=$Q$7,$B2404&lt;'111'!$L$11),"x","")</f>
        <v/>
      </c>
      <c r="S2404" s="84" t="str">
        <f>IF(AND($O2404=$Q$7,$B2404&lt;'111'!$L$11),"x","")</f>
        <v/>
      </c>
      <c r="T2404" s="84" t="str">
        <f>IF(ISERROR(FIND('112'!$M$9,G2404,1)),"",IF((AND(FIND('112'!$M$9,G2404,1)&gt;=1,B2404='112'!$K$9,OR($N2404='112'!$I$6,$O2404='112'!$I$6))),"x",""))</f>
        <v/>
      </c>
      <c r="U2404" s="84" t="str">
        <f>IF(ISERROR(FIND('112'!$M$9,G2404,1)),"",IF((AND(LEFT(G2404,2)=LEFT('112'!$M$9,2),B2404&lt;'112'!$K$9,$N2404='112'!$I$6)),"x",""))</f>
        <v/>
      </c>
      <c r="V2404" s="84" t="str">
        <f>IF(ISERROR(FIND('112'!$M$9,G2404,1)),"",IF((AND(RIGHT(G2404,2)=RIGHT('112'!$M$9,2),B2404&lt;'112'!$K$9,$O2404='112'!$I$6)),"x",""))</f>
        <v/>
      </c>
      <c r="W2404" s="84" t="str">
        <f>IF(AND('341-CT'!$H$9=H2404,OR(LEFT(N2404,3)=$W$7,LEFT(O2404,3)=$W$7)),"x","")</f>
        <v/>
      </c>
      <c r="X2404" s="84" t="str">
        <f>IF(OR(TH!N2404=TH!$X$7,O2404=TH!$X$7),"x","")</f>
        <v/>
      </c>
      <c r="Y2404" s="84" t="str">
        <f>IF(AND(OR(N2404="131",O2404="131"),H2404='131-CT'!$H$9),"x","")</f>
        <v/>
      </c>
      <c r="Z2404" s="84"/>
      <c r="AA2404" s="84" t="str">
        <f>IF(AND(MONTH(E2404)='IN-NX'!$J$5,'IN-NX'!$D$7=D2404),"x","")</f>
        <v/>
      </c>
      <c r="AB2404" s="84" t="str">
        <f>IF(AND(OR(LEFT(TH!N2404,2)="15",LEFT(TH!O2404,2)="15"),LEFT(TH!O2404,3)&lt;&gt;"111",'152-CT'!$J$8=TH!F2404),"x","")</f>
        <v/>
      </c>
      <c r="AC2404" s="84" t="str">
        <f>IF(AND(OR(LEFT(TH!N2404,2)="15",LEFT(TH!O2404,2)="15"),TK!$E$7=TH!F2404),"x","")</f>
        <v/>
      </c>
      <c r="AD2404" s="84" t="str">
        <f>IF(AND(N2404="1521",MONTH(C2404)='BK-NL'!$M$11),"x","")</f>
        <v/>
      </c>
    </row>
    <row r="2405" spans="1:30" s="351" customFormat="1" ht="15.75" hidden="1" customHeight="1">
      <c r="A2405" s="336" t="str">
        <f>IF(B2405&lt;&gt;"",IF(AND(B2405='IN-TC'!$S$4,OR(TH!N2405="1111",TH!O2405="1111")),TH!D2405,""),"")</f>
        <v/>
      </c>
      <c r="B2405" s="63" t="str">
        <f t="shared" si="291"/>
        <v/>
      </c>
      <c r="C2405" s="64"/>
      <c r="D2405" s="64"/>
      <c r="E2405" s="64"/>
      <c r="F2405" s="67"/>
      <c r="G2405" s="67"/>
      <c r="H2405" s="73"/>
      <c r="I2405" s="439"/>
      <c r="J2405" s="439"/>
      <c r="K2405" s="430"/>
      <c r="L2405" s="439"/>
      <c r="M2405" s="65"/>
      <c r="N2405" s="66"/>
      <c r="O2405" s="66"/>
      <c r="P2405" s="84" t="str">
        <f>IF(AND('331-CT'!$E$7=TH!H2405,OR(N2405="331",O2405="331")),"x","")</f>
        <v/>
      </c>
      <c r="Q2405" s="84" t="str">
        <f>IF(AND(B2405='111'!$L$11,OR($N2405=$Q$7,$O2405=$Q$7)),"x","")</f>
        <v/>
      </c>
      <c r="R2405" s="84" t="str">
        <f>IF(AND($N2405=$Q$7,$B2405&lt;'111'!$L$11),"x","")</f>
        <v/>
      </c>
      <c r="S2405" s="84" t="str">
        <f>IF(AND($O2405=$Q$7,$B2405&lt;'111'!$L$11),"x","")</f>
        <v/>
      </c>
      <c r="T2405" s="84" t="str">
        <f>IF(ISERROR(FIND('112'!$M$9,G2405,1)),"",IF((AND(FIND('112'!$M$9,G2405,1)&gt;=1,B2405='112'!$K$9,OR($N2405='112'!$I$6,$O2405='112'!$I$6))),"x",""))</f>
        <v/>
      </c>
      <c r="U2405" s="84" t="str">
        <f>IF(ISERROR(FIND('112'!$M$9,G2405,1)),"",IF((AND(LEFT(G2405,2)=LEFT('112'!$M$9,2),B2405&lt;'112'!$K$9,$N2405='112'!$I$6)),"x",""))</f>
        <v/>
      </c>
      <c r="V2405" s="84" t="str">
        <f>IF(ISERROR(FIND('112'!$M$9,G2405,1)),"",IF((AND(RIGHT(G2405,2)=RIGHT('112'!$M$9,2),B2405&lt;'112'!$K$9,$O2405='112'!$I$6)),"x",""))</f>
        <v/>
      </c>
      <c r="W2405" s="84" t="str">
        <f>IF(AND('341-CT'!$H$9=H2405,OR(LEFT(N2405,3)=$W$7,LEFT(O2405,3)=$W$7)),"x","")</f>
        <v/>
      </c>
      <c r="X2405" s="84" t="str">
        <f>IF(OR(TH!N2405=TH!$X$7,O2405=TH!$X$7),"x","")</f>
        <v/>
      </c>
      <c r="Y2405" s="84" t="str">
        <f>IF(AND(OR(N2405="131",O2405="131"),H2405='131-CT'!$H$9),"x","")</f>
        <v/>
      </c>
      <c r="Z2405" s="84"/>
      <c r="AA2405" s="84" t="str">
        <f>IF(AND(MONTH(E2405)='IN-NX'!$J$5,'IN-NX'!$D$7=D2405),"x","")</f>
        <v/>
      </c>
      <c r="AB2405" s="84" t="str">
        <f>IF(AND(OR(LEFT(TH!N2405,2)="15",LEFT(TH!O2405,2)="15"),LEFT(TH!O2405,3)&lt;&gt;"111",'152-CT'!$J$8=TH!F2405),"x","")</f>
        <v/>
      </c>
      <c r="AC2405" s="84" t="str">
        <f>IF(AND(OR(LEFT(TH!N2405,2)="15",LEFT(TH!O2405,2)="15"),TK!$E$7=TH!F2405),"x","")</f>
        <v/>
      </c>
      <c r="AD2405" s="84" t="str">
        <f>IF(AND(N2405="1521",MONTH(C2405)='BK-NL'!$M$11),"x","")</f>
        <v/>
      </c>
    </row>
    <row r="2406" spans="1:30" s="351" customFormat="1" ht="15.75" hidden="1" customHeight="1">
      <c r="A2406" s="336" t="str">
        <f>IF(B2406&lt;&gt;"",IF(AND(B2406='IN-TC'!$S$4,OR(TH!N2406="1111",TH!O2406="1111")),TH!D2406,""),"")</f>
        <v/>
      </c>
      <c r="B2406" s="63" t="str">
        <f t="shared" si="291"/>
        <v/>
      </c>
      <c r="C2406" s="64"/>
      <c r="D2406" s="64"/>
      <c r="E2406" s="64"/>
      <c r="F2406" s="67"/>
      <c r="G2406" s="67"/>
      <c r="H2406" s="73"/>
      <c r="I2406" s="439"/>
      <c r="J2406" s="439"/>
      <c r="K2406" s="430"/>
      <c r="L2406" s="439"/>
      <c r="M2406" s="65"/>
      <c r="N2406" s="66"/>
      <c r="O2406" s="66"/>
      <c r="P2406" s="84" t="str">
        <f>IF(AND('331-CT'!$E$7=TH!H2406,OR(N2406="331",O2406="331")),"x","")</f>
        <v/>
      </c>
      <c r="Q2406" s="84" t="str">
        <f>IF(AND(B2406='111'!$L$11,OR($N2406=$Q$7,$O2406=$Q$7)),"x","")</f>
        <v/>
      </c>
      <c r="R2406" s="84" t="str">
        <f>IF(AND($N2406=$Q$7,$B2406&lt;'111'!$L$11),"x","")</f>
        <v/>
      </c>
      <c r="S2406" s="84" t="str">
        <f>IF(AND($O2406=$Q$7,$B2406&lt;'111'!$L$11),"x","")</f>
        <v/>
      </c>
      <c r="T2406" s="84" t="str">
        <f>IF(ISERROR(FIND('112'!$M$9,G2406,1)),"",IF((AND(FIND('112'!$M$9,G2406,1)&gt;=1,B2406='112'!$K$9,OR($N2406='112'!$I$6,$O2406='112'!$I$6))),"x",""))</f>
        <v/>
      </c>
      <c r="U2406" s="84" t="str">
        <f>IF(ISERROR(FIND('112'!$M$9,G2406,1)),"",IF((AND(LEFT(G2406,2)=LEFT('112'!$M$9,2),B2406&lt;'112'!$K$9,$N2406='112'!$I$6)),"x",""))</f>
        <v/>
      </c>
      <c r="V2406" s="84" t="str">
        <f>IF(ISERROR(FIND('112'!$M$9,G2406,1)),"",IF((AND(RIGHT(G2406,2)=RIGHT('112'!$M$9,2),B2406&lt;'112'!$K$9,$O2406='112'!$I$6)),"x",""))</f>
        <v/>
      </c>
      <c r="W2406" s="84" t="str">
        <f>IF(AND('341-CT'!$H$9=H2406,OR(LEFT(N2406,3)=$W$7,LEFT(O2406,3)=$W$7)),"x","")</f>
        <v/>
      </c>
      <c r="X2406" s="84" t="str">
        <f>IF(OR(TH!N2406=TH!$X$7,O2406=TH!$X$7),"x","")</f>
        <v/>
      </c>
      <c r="Y2406" s="84" t="str">
        <f>IF(AND(OR(N2406="131",O2406="131"),H2406='131-CT'!$H$9),"x","")</f>
        <v/>
      </c>
      <c r="Z2406" s="84"/>
      <c r="AA2406" s="84" t="str">
        <f>IF(AND(MONTH(E2406)='IN-NX'!$J$5,'IN-NX'!$D$7=D2406),"x","")</f>
        <v/>
      </c>
      <c r="AB2406" s="84" t="str">
        <f>IF(AND(OR(LEFT(TH!N2406,2)="15",LEFT(TH!O2406,2)="15"),LEFT(TH!O2406,3)&lt;&gt;"111",'152-CT'!$J$8=TH!F2406),"x","")</f>
        <v/>
      </c>
      <c r="AC2406" s="84" t="str">
        <f>IF(AND(OR(LEFT(TH!N2406,2)="15",LEFT(TH!O2406,2)="15"),TK!$E$7=TH!F2406),"x","")</f>
        <v/>
      </c>
      <c r="AD2406" s="84" t="str">
        <f>IF(AND(N2406="1521",MONTH(C2406)='BK-NL'!$M$11),"x","")</f>
        <v/>
      </c>
    </row>
    <row r="2407" spans="1:30" s="351" customFormat="1" ht="15.75" hidden="1" customHeight="1">
      <c r="A2407" s="336" t="str">
        <f>IF(B2407&lt;&gt;"",IF(AND(B2407='IN-TC'!$S$4,OR(TH!N2407="1111",TH!O2407="1111")),TH!D2407,""),"")</f>
        <v/>
      </c>
      <c r="B2407" s="63" t="str">
        <f t="shared" si="291"/>
        <v/>
      </c>
      <c r="C2407" s="64"/>
      <c r="D2407" s="64"/>
      <c r="E2407" s="64"/>
      <c r="F2407" s="67"/>
      <c r="G2407" s="67"/>
      <c r="H2407" s="73"/>
      <c r="I2407" s="439"/>
      <c r="J2407" s="439"/>
      <c r="K2407" s="430"/>
      <c r="L2407" s="439"/>
      <c r="M2407" s="65"/>
      <c r="N2407" s="66"/>
      <c r="O2407" s="66"/>
      <c r="P2407" s="84" t="str">
        <f>IF(AND('331-CT'!$E$7=TH!H2407,OR(N2407="331",O2407="331")),"x","")</f>
        <v/>
      </c>
      <c r="Q2407" s="84" t="str">
        <f>IF(AND(B2407='111'!$L$11,OR($N2407=$Q$7,$O2407=$Q$7)),"x","")</f>
        <v/>
      </c>
      <c r="R2407" s="84" t="str">
        <f>IF(AND($N2407=$Q$7,$B2407&lt;'111'!$L$11),"x","")</f>
        <v/>
      </c>
      <c r="S2407" s="84" t="str">
        <f>IF(AND($O2407=$Q$7,$B2407&lt;'111'!$L$11),"x","")</f>
        <v/>
      </c>
      <c r="T2407" s="84" t="str">
        <f>IF(ISERROR(FIND('112'!$M$9,G2407,1)),"",IF((AND(FIND('112'!$M$9,G2407,1)&gt;=1,B2407='112'!$K$9,OR($N2407='112'!$I$6,$O2407='112'!$I$6))),"x",""))</f>
        <v/>
      </c>
      <c r="U2407" s="84" t="str">
        <f>IF(ISERROR(FIND('112'!$M$9,G2407,1)),"",IF((AND(LEFT(G2407,2)=LEFT('112'!$M$9,2),B2407&lt;'112'!$K$9,$N2407='112'!$I$6)),"x",""))</f>
        <v/>
      </c>
      <c r="V2407" s="84" t="str">
        <f>IF(ISERROR(FIND('112'!$M$9,G2407,1)),"",IF((AND(RIGHT(G2407,2)=RIGHT('112'!$M$9,2),B2407&lt;'112'!$K$9,$O2407='112'!$I$6)),"x",""))</f>
        <v/>
      </c>
      <c r="W2407" s="84" t="str">
        <f>IF(AND('341-CT'!$H$9=H2407,OR(LEFT(N2407,3)=$W$7,LEFT(O2407,3)=$W$7)),"x","")</f>
        <v/>
      </c>
      <c r="X2407" s="84" t="str">
        <f>IF(OR(TH!N2407=TH!$X$7,O2407=TH!$X$7),"x","")</f>
        <v/>
      </c>
      <c r="Y2407" s="84" t="str">
        <f>IF(AND(OR(N2407="131",O2407="131"),H2407='131-CT'!$H$9),"x","")</f>
        <v/>
      </c>
      <c r="Z2407" s="84"/>
      <c r="AA2407" s="84" t="str">
        <f>IF(AND(MONTH(E2407)='IN-NX'!$J$5,'IN-NX'!$D$7=D2407),"x","")</f>
        <v/>
      </c>
      <c r="AB2407" s="84" t="str">
        <f>IF(AND(OR(LEFT(TH!N2407,2)="15",LEFT(TH!O2407,2)="15"),LEFT(TH!O2407,3)&lt;&gt;"111",'152-CT'!$J$8=TH!F2407),"x","")</f>
        <v/>
      </c>
      <c r="AC2407" s="84" t="str">
        <f>IF(AND(OR(LEFT(TH!N2407,2)="15",LEFT(TH!O2407,2)="15"),TK!$E$7=TH!F2407),"x","")</f>
        <v/>
      </c>
      <c r="AD2407" s="84" t="str">
        <f>IF(AND(N2407="1521",MONTH(C2407)='BK-NL'!$M$11),"x","")</f>
        <v/>
      </c>
    </row>
    <row r="2408" spans="1:30" s="351" customFormat="1" ht="15.75" hidden="1" customHeight="1">
      <c r="A2408" s="336" t="str">
        <f>IF(B2408&lt;&gt;"",IF(AND(B2408='IN-TC'!$S$4,OR(TH!N2408="1111",TH!O2408="1111")),TH!D2408,""),"")</f>
        <v/>
      </c>
      <c r="B2408" s="63" t="str">
        <f t="shared" si="291"/>
        <v/>
      </c>
      <c r="C2408" s="64"/>
      <c r="D2408" s="64"/>
      <c r="E2408" s="64"/>
      <c r="F2408" s="67"/>
      <c r="G2408" s="67"/>
      <c r="H2408" s="73"/>
      <c r="I2408" s="439"/>
      <c r="J2408" s="439"/>
      <c r="K2408" s="430"/>
      <c r="L2408" s="439"/>
      <c r="M2408" s="65"/>
      <c r="N2408" s="66"/>
      <c r="O2408" s="66"/>
      <c r="P2408" s="84" t="str">
        <f>IF(AND('331-CT'!$E$7=TH!H2408,OR(N2408="331",O2408="331")),"x","")</f>
        <v/>
      </c>
      <c r="Q2408" s="84" t="str">
        <f>IF(AND(B2408='111'!$L$11,OR($N2408=$Q$7,$O2408=$Q$7)),"x","")</f>
        <v/>
      </c>
      <c r="R2408" s="84" t="str">
        <f>IF(AND($N2408=$Q$7,$B2408&lt;'111'!$L$11),"x","")</f>
        <v/>
      </c>
      <c r="S2408" s="84" t="str">
        <f>IF(AND($O2408=$Q$7,$B2408&lt;'111'!$L$11),"x","")</f>
        <v/>
      </c>
      <c r="T2408" s="84" t="str">
        <f>IF(ISERROR(FIND('112'!$M$9,G2408,1)),"",IF((AND(FIND('112'!$M$9,G2408,1)&gt;=1,B2408='112'!$K$9,OR($N2408='112'!$I$6,$O2408='112'!$I$6))),"x",""))</f>
        <v/>
      </c>
      <c r="U2408" s="84" t="str">
        <f>IF(ISERROR(FIND('112'!$M$9,G2408,1)),"",IF((AND(LEFT(G2408,2)=LEFT('112'!$M$9,2),B2408&lt;'112'!$K$9,$N2408='112'!$I$6)),"x",""))</f>
        <v/>
      </c>
      <c r="V2408" s="84" t="str">
        <f>IF(ISERROR(FIND('112'!$M$9,G2408,1)),"",IF((AND(RIGHT(G2408,2)=RIGHT('112'!$M$9,2),B2408&lt;'112'!$K$9,$O2408='112'!$I$6)),"x",""))</f>
        <v/>
      </c>
      <c r="W2408" s="84" t="str">
        <f>IF(AND('341-CT'!$H$9=H2408,OR(LEFT(N2408,3)=$W$7,LEFT(O2408,3)=$W$7)),"x","")</f>
        <v/>
      </c>
      <c r="X2408" s="84" t="str">
        <f>IF(OR(TH!N2408=TH!$X$7,O2408=TH!$X$7),"x","")</f>
        <v/>
      </c>
      <c r="Y2408" s="84" t="str">
        <f>IF(AND(OR(N2408="131",O2408="131"),H2408='131-CT'!$H$9),"x","")</f>
        <v/>
      </c>
      <c r="Z2408" s="84"/>
      <c r="AA2408" s="84" t="str">
        <f>IF(AND(MONTH(E2408)='IN-NX'!$J$5,'IN-NX'!$D$7=D2408),"x","")</f>
        <v/>
      </c>
      <c r="AB2408" s="84" t="str">
        <f>IF(AND(OR(LEFT(TH!N2408,2)="15",LEFT(TH!O2408,2)="15"),LEFT(TH!O2408,3)&lt;&gt;"111",'152-CT'!$J$8=TH!F2408),"x","")</f>
        <v/>
      </c>
      <c r="AC2408" s="84" t="str">
        <f>IF(AND(OR(LEFT(TH!N2408,2)="15",LEFT(TH!O2408,2)="15"),TK!$E$7=TH!F2408),"x","")</f>
        <v/>
      </c>
      <c r="AD2408" s="84" t="str">
        <f>IF(AND(N2408="1521",MONTH(C2408)='BK-NL'!$M$11),"x","")</f>
        <v/>
      </c>
    </row>
    <row r="2409" spans="1:30" s="351" customFormat="1" ht="15.75" hidden="1" customHeight="1">
      <c r="A2409" s="336" t="str">
        <f>IF(B2409&lt;&gt;"",IF(AND(B2409='IN-TC'!$S$4,OR(TH!N2409="1111",TH!O2409="1111")),TH!D2409,""),"")</f>
        <v/>
      </c>
      <c r="B2409" s="63" t="str">
        <f t="shared" si="291"/>
        <v/>
      </c>
      <c r="C2409" s="64"/>
      <c r="D2409" s="64"/>
      <c r="E2409" s="64"/>
      <c r="F2409" s="67"/>
      <c r="G2409" s="67"/>
      <c r="H2409" s="73"/>
      <c r="I2409" s="439"/>
      <c r="J2409" s="439"/>
      <c r="K2409" s="430"/>
      <c r="L2409" s="439"/>
      <c r="M2409" s="65"/>
      <c r="N2409" s="66"/>
      <c r="O2409" s="66"/>
      <c r="P2409" s="84" t="str">
        <f>IF(AND('331-CT'!$E$7=TH!H2409,OR(N2409="331",O2409="331")),"x","")</f>
        <v/>
      </c>
      <c r="Q2409" s="84" t="str">
        <f>IF(AND(B2409='111'!$L$11,OR($N2409=$Q$7,$O2409=$Q$7)),"x","")</f>
        <v/>
      </c>
      <c r="R2409" s="84" t="str">
        <f>IF(AND($N2409=$Q$7,$B2409&lt;'111'!$L$11),"x","")</f>
        <v/>
      </c>
      <c r="S2409" s="84" t="str">
        <f>IF(AND($O2409=$Q$7,$B2409&lt;'111'!$L$11),"x","")</f>
        <v/>
      </c>
      <c r="T2409" s="84" t="str">
        <f>IF(ISERROR(FIND('112'!$M$9,G2409,1)),"",IF((AND(FIND('112'!$M$9,G2409,1)&gt;=1,B2409='112'!$K$9,OR($N2409='112'!$I$6,$O2409='112'!$I$6))),"x",""))</f>
        <v/>
      </c>
      <c r="U2409" s="84" t="str">
        <f>IF(ISERROR(FIND('112'!$M$9,G2409,1)),"",IF((AND(LEFT(G2409,2)=LEFT('112'!$M$9,2),B2409&lt;'112'!$K$9,$N2409='112'!$I$6)),"x",""))</f>
        <v/>
      </c>
      <c r="V2409" s="84" t="str">
        <f>IF(ISERROR(FIND('112'!$M$9,G2409,1)),"",IF((AND(RIGHT(G2409,2)=RIGHT('112'!$M$9,2),B2409&lt;'112'!$K$9,$O2409='112'!$I$6)),"x",""))</f>
        <v/>
      </c>
      <c r="W2409" s="84" t="str">
        <f>IF(AND('341-CT'!$H$9=H2409,OR(LEFT(N2409,3)=$W$7,LEFT(O2409,3)=$W$7)),"x","")</f>
        <v/>
      </c>
      <c r="X2409" s="84" t="str">
        <f>IF(OR(TH!N2409=TH!$X$7,O2409=TH!$X$7),"x","")</f>
        <v/>
      </c>
      <c r="Y2409" s="84" t="str">
        <f>IF(AND(OR(N2409="131",O2409="131"),H2409='131-CT'!$H$9),"x","")</f>
        <v/>
      </c>
      <c r="Z2409" s="84"/>
      <c r="AA2409" s="84" t="str">
        <f>IF(AND(MONTH(E2409)='IN-NX'!$J$5,'IN-NX'!$D$7=D2409),"x","")</f>
        <v/>
      </c>
      <c r="AB2409" s="84" t="str">
        <f>IF(AND(OR(LEFT(TH!N2409,2)="15",LEFT(TH!O2409,2)="15"),LEFT(TH!O2409,3)&lt;&gt;"111",'152-CT'!$J$8=TH!F2409),"x","")</f>
        <v/>
      </c>
      <c r="AC2409" s="84" t="str">
        <f>IF(AND(OR(LEFT(TH!N2409,2)="15",LEFT(TH!O2409,2)="15"),TK!$E$7=TH!F2409),"x","")</f>
        <v/>
      </c>
      <c r="AD2409" s="84" t="str">
        <f>IF(AND(N2409="1521",MONTH(C2409)='BK-NL'!$M$11),"x","")</f>
        <v/>
      </c>
    </row>
    <row r="2410" spans="1:30" s="351" customFormat="1" ht="15.75" hidden="1" customHeight="1">
      <c r="A2410" s="336" t="str">
        <f>IF(B2410&lt;&gt;"",IF(AND(B2410='IN-TC'!$S$4,OR(TH!N2410="1111",TH!O2410="1111")),TH!D2410,""),"")</f>
        <v/>
      </c>
      <c r="B2410" s="63" t="str">
        <f t="shared" si="291"/>
        <v/>
      </c>
      <c r="C2410" s="64"/>
      <c r="D2410" s="64"/>
      <c r="E2410" s="64"/>
      <c r="F2410" s="67"/>
      <c r="G2410" s="67"/>
      <c r="H2410" s="73"/>
      <c r="I2410" s="439"/>
      <c r="J2410" s="439"/>
      <c r="K2410" s="430"/>
      <c r="L2410" s="439"/>
      <c r="M2410" s="65"/>
      <c r="N2410" s="66"/>
      <c r="O2410" s="66"/>
      <c r="P2410" s="84" t="str">
        <f>IF(AND('331-CT'!$E$7=TH!H2410,OR(N2410="331",O2410="331")),"x","")</f>
        <v/>
      </c>
      <c r="Q2410" s="84" t="str">
        <f>IF(AND(B2410='111'!$L$11,OR($N2410=$Q$7,$O2410=$Q$7)),"x","")</f>
        <v/>
      </c>
      <c r="R2410" s="84" t="str">
        <f>IF(AND($N2410=$Q$7,$B2410&lt;'111'!$L$11),"x","")</f>
        <v/>
      </c>
      <c r="S2410" s="84" t="str">
        <f>IF(AND($O2410=$Q$7,$B2410&lt;'111'!$L$11),"x","")</f>
        <v/>
      </c>
      <c r="T2410" s="84" t="str">
        <f>IF(ISERROR(FIND('112'!$M$9,G2410,1)),"",IF((AND(FIND('112'!$M$9,G2410,1)&gt;=1,B2410='112'!$K$9,OR($N2410='112'!$I$6,$O2410='112'!$I$6))),"x",""))</f>
        <v/>
      </c>
      <c r="U2410" s="84" t="str">
        <f>IF(ISERROR(FIND('112'!$M$9,G2410,1)),"",IF((AND(LEFT(G2410,2)=LEFT('112'!$M$9,2),B2410&lt;'112'!$K$9,$N2410='112'!$I$6)),"x",""))</f>
        <v/>
      </c>
      <c r="V2410" s="84" t="str">
        <f>IF(ISERROR(FIND('112'!$M$9,G2410,1)),"",IF((AND(RIGHT(G2410,2)=RIGHT('112'!$M$9,2),B2410&lt;'112'!$K$9,$O2410='112'!$I$6)),"x",""))</f>
        <v/>
      </c>
      <c r="W2410" s="84" t="str">
        <f>IF(AND('341-CT'!$H$9=H2410,OR(LEFT(N2410,3)=$W$7,LEFT(O2410,3)=$W$7)),"x","")</f>
        <v/>
      </c>
      <c r="X2410" s="84" t="str">
        <f>IF(OR(TH!N2410=TH!$X$7,O2410=TH!$X$7),"x","")</f>
        <v/>
      </c>
      <c r="Y2410" s="84" t="str">
        <f>IF(AND(OR(N2410="131",O2410="131"),H2410='131-CT'!$H$9),"x","")</f>
        <v/>
      </c>
      <c r="Z2410" s="84"/>
      <c r="AA2410" s="84" t="str">
        <f>IF(AND(MONTH(E2410)='IN-NX'!$J$5,'IN-NX'!$D$7=D2410),"x","")</f>
        <v/>
      </c>
      <c r="AB2410" s="84" t="str">
        <f>IF(AND(OR(LEFT(TH!N2410,2)="15",LEFT(TH!O2410,2)="15"),LEFT(TH!O2410,3)&lt;&gt;"111",'152-CT'!$J$8=TH!F2410),"x","")</f>
        <v/>
      </c>
      <c r="AC2410" s="84" t="str">
        <f>IF(AND(OR(LEFT(TH!N2410,2)="15",LEFT(TH!O2410,2)="15"),TK!$E$7=TH!F2410),"x","")</f>
        <v/>
      </c>
      <c r="AD2410" s="84" t="str">
        <f>IF(AND(N2410="1521",MONTH(C2410)='BK-NL'!$M$11),"x","")</f>
        <v/>
      </c>
    </row>
    <row r="2411" spans="1:30" s="351" customFormat="1" ht="15.75" hidden="1" customHeight="1">
      <c r="A2411" s="336" t="str">
        <f>IF(B2411&lt;&gt;"",IF(AND(B2411='IN-TC'!$S$4,OR(TH!N2411="1111",TH!O2411="1111")),TH!D2411,""),"")</f>
        <v/>
      </c>
      <c r="B2411" s="63" t="str">
        <f t="shared" si="291"/>
        <v/>
      </c>
      <c r="C2411" s="64"/>
      <c r="D2411" s="64"/>
      <c r="E2411" s="64"/>
      <c r="F2411" s="67"/>
      <c r="G2411" s="67"/>
      <c r="H2411" s="73"/>
      <c r="I2411" s="439"/>
      <c r="J2411" s="439"/>
      <c r="K2411" s="430"/>
      <c r="L2411" s="439"/>
      <c r="M2411" s="65"/>
      <c r="N2411" s="66"/>
      <c r="O2411" s="66"/>
      <c r="P2411" s="84" t="str">
        <f>IF(AND('331-CT'!$E$7=TH!H2411,OR(N2411="331",O2411="331")),"x","")</f>
        <v/>
      </c>
      <c r="Q2411" s="84" t="str">
        <f>IF(AND(B2411='111'!$L$11,OR($N2411=$Q$7,$O2411=$Q$7)),"x","")</f>
        <v/>
      </c>
      <c r="R2411" s="84" t="str">
        <f>IF(AND($N2411=$Q$7,$B2411&lt;'111'!$L$11),"x","")</f>
        <v/>
      </c>
      <c r="S2411" s="84" t="str">
        <f>IF(AND($O2411=$Q$7,$B2411&lt;'111'!$L$11),"x","")</f>
        <v/>
      </c>
      <c r="T2411" s="84" t="str">
        <f>IF(ISERROR(FIND('112'!$M$9,G2411,1)),"",IF((AND(FIND('112'!$M$9,G2411,1)&gt;=1,B2411='112'!$K$9,OR($N2411='112'!$I$6,$O2411='112'!$I$6))),"x",""))</f>
        <v/>
      </c>
      <c r="U2411" s="84" t="str">
        <f>IF(ISERROR(FIND('112'!$M$9,G2411,1)),"",IF((AND(LEFT(G2411,2)=LEFT('112'!$M$9,2),B2411&lt;'112'!$K$9,$N2411='112'!$I$6)),"x",""))</f>
        <v/>
      </c>
      <c r="V2411" s="84" t="str">
        <f>IF(ISERROR(FIND('112'!$M$9,G2411,1)),"",IF((AND(RIGHT(G2411,2)=RIGHT('112'!$M$9,2),B2411&lt;'112'!$K$9,$O2411='112'!$I$6)),"x",""))</f>
        <v/>
      </c>
      <c r="W2411" s="84" t="str">
        <f>IF(AND('341-CT'!$H$9=H2411,OR(LEFT(N2411,3)=$W$7,LEFT(O2411,3)=$W$7)),"x","")</f>
        <v/>
      </c>
      <c r="X2411" s="84" t="str">
        <f>IF(OR(TH!N2411=TH!$X$7,O2411=TH!$X$7),"x","")</f>
        <v/>
      </c>
      <c r="Y2411" s="84" t="str">
        <f>IF(AND(OR(N2411="131",O2411="131"),H2411='131-CT'!$H$9),"x","")</f>
        <v/>
      </c>
      <c r="Z2411" s="84"/>
      <c r="AA2411" s="84" t="str">
        <f>IF(AND(MONTH(E2411)='IN-NX'!$J$5,'IN-NX'!$D$7=D2411),"x","")</f>
        <v/>
      </c>
      <c r="AB2411" s="84" t="str">
        <f>IF(AND(OR(LEFT(TH!N2411,2)="15",LEFT(TH!O2411,2)="15"),LEFT(TH!O2411,3)&lt;&gt;"111",'152-CT'!$J$8=TH!F2411),"x","")</f>
        <v/>
      </c>
      <c r="AC2411" s="84" t="str">
        <f>IF(AND(OR(LEFT(TH!N2411,2)="15",LEFT(TH!O2411,2)="15"),TK!$E$7=TH!F2411),"x","")</f>
        <v/>
      </c>
      <c r="AD2411" s="84" t="str">
        <f>IF(AND(N2411="1521",MONTH(C2411)='BK-NL'!$M$11),"x","")</f>
        <v/>
      </c>
    </row>
    <row r="2412" spans="1:30" s="351" customFormat="1" ht="15.75" hidden="1" customHeight="1">
      <c r="A2412" s="336" t="str">
        <f>IF(B2412&lt;&gt;"",IF(AND(B2412='IN-TC'!$S$4,OR(TH!N2412="1111",TH!O2412="1111")),TH!D2412,""),"")</f>
        <v/>
      </c>
      <c r="B2412" s="63" t="str">
        <f t="shared" si="291"/>
        <v/>
      </c>
      <c r="C2412" s="64"/>
      <c r="D2412" s="64"/>
      <c r="E2412" s="64"/>
      <c r="F2412" s="67"/>
      <c r="G2412" s="67"/>
      <c r="H2412" s="73"/>
      <c r="I2412" s="439"/>
      <c r="J2412" s="439"/>
      <c r="K2412" s="430"/>
      <c r="L2412" s="439"/>
      <c r="M2412" s="65"/>
      <c r="N2412" s="66"/>
      <c r="O2412" s="66"/>
      <c r="P2412" s="84" t="str">
        <f>IF(AND('331-CT'!$E$7=TH!H2412,OR(N2412="331",O2412="331")),"x","")</f>
        <v/>
      </c>
      <c r="Q2412" s="84" t="str">
        <f>IF(AND(B2412='111'!$L$11,OR($N2412=$Q$7,$O2412=$Q$7)),"x","")</f>
        <v/>
      </c>
      <c r="R2412" s="84" t="str">
        <f>IF(AND($N2412=$Q$7,$B2412&lt;'111'!$L$11),"x","")</f>
        <v/>
      </c>
      <c r="S2412" s="84" t="str">
        <f>IF(AND($O2412=$Q$7,$B2412&lt;'111'!$L$11),"x","")</f>
        <v/>
      </c>
      <c r="T2412" s="84" t="str">
        <f>IF(ISERROR(FIND('112'!$M$9,G2412,1)),"",IF((AND(FIND('112'!$M$9,G2412,1)&gt;=1,B2412='112'!$K$9,OR($N2412='112'!$I$6,$O2412='112'!$I$6))),"x",""))</f>
        <v/>
      </c>
      <c r="U2412" s="84" t="str">
        <f>IF(ISERROR(FIND('112'!$M$9,G2412,1)),"",IF((AND(LEFT(G2412,2)=LEFT('112'!$M$9,2),B2412&lt;'112'!$K$9,$N2412='112'!$I$6)),"x",""))</f>
        <v/>
      </c>
      <c r="V2412" s="84" t="str">
        <f>IF(ISERROR(FIND('112'!$M$9,G2412,1)),"",IF((AND(RIGHT(G2412,2)=RIGHT('112'!$M$9,2),B2412&lt;'112'!$K$9,$O2412='112'!$I$6)),"x",""))</f>
        <v/>
      </c>
      <c r="W2412" s="84" t="str">
        <f>IF(AND('341-CT'!$H$9=H2412,OR(LEFT(N2412,3)=$W$7,LEFT(O2412,3)=$W$7)),"x","")</f>
        <v/>
      </c>
      <c r="X2412" s="84" t="str">
        <f>IF(OR(TH!N2412=TH!$X$7,O2412=TH!$X$7),"x","")</f>
        <v/>
      </c>
      <c r="Y2412" s="84" t="str">
        <f>IF(AND(OR(N2412="131",O2412="131"),H2412='131-CT'!$H$9),"x","")</f>
        <v/>
      </c>
      <c r="Z2412" s="84"/>
      <c r="AA2412" s="84" t="str">
        <f>IF(AND(MONTH(E2412)='IN-NX'!$J$5,'IN-NX'!$D$7=D2412),"x","")</f>
        <v/>
      </c>
      <c r="AB2412" s="84" t="str">
        <f>IF(AND(OR(LEFT(TH!N2412,2)="15",LEFT(TH!O2412,2)="15"),LEFT(TH!O2412,3)&lt;&gt;"111",'152-CT'!$J$8=TH!F2412),"x","")</f>
        <v/>
      </c>
      <c r="AC2412" s="84" t="str">
        <f>IF(AND(OR(LEFT(TH!N2412,2)="15",LEFT(TH!O2412,2)="15"),TK!$E$7=TH!F2412),"x","")</f>
        <v/>
      </c>
      <c r="AD2412" s="84" t="str">
        <f>IF(AND(N2412="1521",MONTH(C2412)='BK-NL'!$M$11),"x","")</f>
        <v/>
      </c>
    </row>
    <row r="2413" spans="1:30" s="351" customFormat="1" ht="15.75" hidden="1" customHeight="1">
      <c r="A2413" s="336" t="str">
        <f>IF(B2413&lt;&gt;"",IF(AND(B2413='IN-TC'!$S$4,OR(TH!N2413="1111",TH!O2413="1111")),TH!D2413,""),"")</f>
        <v/>
      </c>
      <c r="B2413" s="63" t="str">
        <f t="shared" si="291"/>
        <v/>
      </c>
      <c r="C2413" s="64"/>
      <c r="D2413" s="64"/>
      <c r="E2413" s="64"/>
      <c r="F2413" s="67"/>
      <c r="G2413" s="67"/>
      <c r="H2413" s="73"/>
      <c r="I2413" s="439"/>
      <c r="J2413" s="439"/>
      <c r="K2413" s="430"/>
      <c r="L2413" s="439"/>
      <c r="M2413" s="65"/>
      <c r="N2413" s="66"/>
      <c r="O2413" s="66"/>
      <c r="P2413" s="84" t="str">
        <f>IF(AND('331-CT'!$E$7=TH!H2413,OR(N2413="331",O2413="331")),"x","")</f>
        <v/>
      </c>
      <c r="Q2413" s="84" t="str">
        <f>IF(AND(B2413='111'!$L$11,OR($N2413=$Q$7,$O2413=$Q$7)),"x","")</f>
        <v/>
      </c>
      <c r="R2413" s="84" t="str">
        <f>IF(AND($N2413=$Q$7,$B2413&lt;'111'!$L$11),"x","")</f>
        <v/>
      </c>
      <c r="S2413" s="84" t="str">
        <f>IF(AND($O2413=$Q$7,$B2413&lt;'111'!$L$11),"x","")</f>
        <v/>
      </c>
      <c r="T2413" s="84" t="str">
        <f>IF(ISERROR(FIND('112'!$M$9,G2413,1)),"",IF((AND(FIND('112'!$M$9,G2413,1)&gt;=1,B2413='112'!$K$9,OR($N2413='112'!$I$6,$O2413='112'!$I$6))),"x",""))</f>
        <v/>
      </c>
      <c r="U2413" s="84" t="str">
        <f>IF(ISERROR(FIND('112'!$M$9,G2413,1)),"",IF((AND(LEFT(G2413,2)=LEFT('112'!$M$9,2),B2413&lt;'112'!$K$9,$N2413='112'!$I$6)),"x",""))</f>
        <v/>
      </c>
      <c r="V2413" s="84" t="str">
        <f>IF(ISERROR(FIND('112'!$M$9,G2413,1)),"",IF((AND(RIGHT(G2413,2)=RIGHT('112'!$M$9,2),B2413&lt;'112'!$K$9,$O2413='112'!$I$6)),"x",""))</f>
        <v/>
      </c>
      <c r="W2413" s="84" t="str">
        <f>IF(AND('341-CT'!$H$9=H2413,OR(LEFT(N2413,3)=$W$7,LEFT(O2413,3)=$W$7)),"x","")</f>
        <v/>
      </c>
      <c r="X2413" s="84" t="str">
        <f>IF(OR(TH!N2413=TH!$X$7,O2413=TH!$X$7),"x","")</f>
        <v/>
      </c>
      <c r="Y2413" s="84" t="str">
        <f>IF(AND(OR(N2413="131",O2413="131"),H2413='131-CT'!$H$9),"x","")</f>
        <v/>
      </c>
      <c r="Z2413" s="84"/>
      <c r="AA2413" s="84" t="str">
        <f>IF(AND(MONTH(E2413)='IN-NX'!$J$5,'IN-NX'!$D$7=D2413),"x","")</f>
        <v/>
      </c>
      <c r="AB2413" s="84" t="str">
        <f>IF(AND(OR(LEFT(TH!N2413,2)="15",LEFT(TH!O2413,2)="15"),LEFT(TH!O2413,3)&lt;&gt;"111",'152-CT'!$J$8=TH!F2413),"x","")</f>
        <v/>
      </c>
      <c r="AC2413" s="84" t="str">
        <f>IF(AND(OR(LEFT(TH!N2413,2)="15",LEFT(TH!O2413,2)="15"),TK!$E$7=TH!F2413),"x","")</f>
        <v/>
      </c>
      <c r="AD2413" s="84" t="str">
        <f>IF(AND(N2413="1521",MONTH(C2413)='BK-NL'!$M$11),"x","")</f>
        <v/>
      </c>
    </row>
    <row r="2414" spans="1:30" s="351" customFormat="1" ht="15.75" hidden="1" customHeight="1">
      <c r="A2414" s="336" t="str">
        <f>IF(B2414&lt;&gt;"",IF(AND(B2414='IN-TC'!$S$4,OR(TH!N2414="1111",TH!O2414="1111")),TH!D2414,""),"")</f>
        <v/>
      </c>
      <c r="B2414" s="63" t="str">
        <f t="shared" si="291"/>
        <v/>
      </c>
      <c r="C2414" s="64"/>
      <c r="D2414" s="64"/>
      <c r="E2414" s="64"/>
      <c r="F2414" s="67"/>
      <c r="G2414" s="67"/>
      <c r="H2414" s="73"/>
      <c r="I2414" s="439"/>
      <c r="J2414" s="439"/>
      <c r="K2414" s="430"/>
      <c r="L2414" s="439"/>
      <c r="M2414" s="65"/>
      <c r="N2414" s="66"/>
      <c r="O2414" s="66"/>
      <c r="P2414" s="84" t="str">
        <f>IF(AND('331-CT'!$E$7=TH!H2414,OR(N2414="331",O2414="331")),"x","")</f>
        <v/>
      </c>
      <c r="Q2414" s="84" t="str">
        <f>IF(AND(B2414='111'!$L$11,OR($N2414=$Q$7,$O2414=$Q$7)),"x","")</f>
        <v/>
      </c>
      <c r="R2414" s="84" t="str">
        <f>IF(AND($N2414=$Q$7,$B2414&lt;'111'!$L$11),"x","")</f>
        <v/>
      </c>
      <c r="S2414" s="84" t="str">
        <f>IF(AND($O2414=$Q$7,$B2414&lt;'111'!$L$11),"x","")</f>
        <v/>
      </c>
      <c r="T2414" s="84" t="str">
        <f>IF(ISERROR(FIND('112'!$M$9,G2414,1)),"",IF((AND(FIND('112'!$M$9,G2414,1)&gt;=1,B2414='112'!$K$9,OR($N2414='112'!$I$6,$O2414='112'!$I$6))),"x",""))</f>
        <v/>
      </c>
      <c r="U2414" s="84" t="str">
        <f>IF(ISERROR(FIND('112'!$M$9,G2414,1)),"",IF((AND(LEFT(G2414,2)=LEFT('112'!$M$9,2),B2414&lt;'112'!$K$9,$N2414='112'!$I$6)),"x",""))</f>
        <v/>
      </c>
      <c r="V2414" s="84" t="str">
        <f>IF(ISERROR(FIND('112'!$M$9,G2414,1)),"",IF((AND(RIGHT(G2414,2)=RIGHT('112'!$M$9,2),B2414&lt;'112'!$K$9,$O2414='112'!$I$6)),"x",""))</f>
        <v/>
      </c>
      <c r="W2414" s="84" t="str">
        <f>IF(AND('341-CT'!$H$9=H2414,OR(LEFT(N2414,3)=$W$7,LEFT(O2414,3)=$W$7)),"x","")</f>
        <v/>
      </c>
      <c r="X2414" s="84" t="str">
        <f>IF(OR(TH!N2414=TH!$X$7,O2414=TH!$X$7),"x","")</f>
        <v/>
      </c>
      <c r="Y2414" s="84" t="str">
        <f>IF(AND(OR(N2414="131",O2414="131"),H2414='131-CT'!$H$9),"x","")</f>
        <v/>
      </c>
      <c r="Z2414" s="84"/>
      <c r="AA2414" s="84" t="str">
        <f>IF(AND(MONTH(E2414)='IN-NX'!$J$5,'IN-NX'!$D$7=D2414),"x","")</f>
        <v/>
      </c>
      <c r="AB2414" s="84" t="str">
        <f>IF(AND(OR(LEFT(TH!N2414,2)="15",LEFT(TH!O2414,2)="15"),LEFT(TH!O2414,3)&lt;&gt;"111",'152-CT'!$J$8=TH!F2414),"x","")</f>
        <v/>
      </c>
      <c r="AC2414" s="84" t="str">
        <f>IF(AND(OR(LEFT(TH!N2414,2)="15",LEFT(TH!O2414,2)="15"),TK!$E$7=TH!F2414),"x","")</f>
        <v/>
      </c>
      <c r="AD2414" s="84" t="str">
        <f>IF(AND(N2414="1521",MONTH(C2414)='BK-NL'!$M$11),"x","")</f>
        <v/>
      </c>
    </row>
    <row r="2415" spans="1:30" s="351" customFormat="1" ht="15.75" hidden="1" customHeight="1">
      <c r="A2415" s="336" t="str">
        <f>IF(B2415&lt;&gt;"",IF(AND(B2415='IN-TC'!$S$4,OR(TH!N2415="1111",TH!O2415="1111")),TH!D2415,""),"")</f>
        <v/>
      </c>
      <c r="B2415" s="63" t="str">
        <f t="shared" si="291"/>
        <v/>
      </c>
      <c r="C2415" s="64"/>
      <c r="D2415" s="64"/>
      <c r="E2415" s="64"/>
      <c r="F2415" s="67"/>
      <c r="G2415" s="67"/>
      <c r="H2415" s="73"/>
      <c r="I2415" s="439"/>
      <c r="J2415" s="439"/>
      <c r="K2415" s="430"/>
      <c r="L2415" s="439"/>
      <c r="M2415" s="65"/>
      <c r="N2415" s="66"/>
      <c r="O2415" s="66"/>
      <c r="P2415" s="84" t="str">
        <f>IF(AND('331-CT'!$E$7=TH!H2415,OR(N2415="331",O2415="331")),"x","")</f>
        <v/>
      </c>
      <c r="Q2415" s="84" t="str">
        <f>IF(AND(B2415='111'!$L$11,OR($N2415=$Q$7,$O2415=$Q$7)),"x","")</f>
        <v/>
      </c>
      <c r="R2415" s="84" t="str">
        <f>IF(AND($N2415=$Q$7,$B2415&lt;'111'!$L$11),"x","")</f>
        <v/>
      </c>
      <c r="S2415" s="84" t="str">
        <f>IF(AND($O2415=$Q$7,$B2415&lt;'111'!$L$11),"x","")</f>
        <v/>
      </c>
      <c r="T2415" s="84" t="str">
        <f>IF(ISERROR(FIND('112'!$M$9,G2415,1)),"",IF((AND(FIND('112'!$M$9,G2415,1)&gt;=1,B2415='112'!$K$9,OR($N2415='112'!$I$6,$O2415='112'!$I$6))),"x",""))</f>
        <v/>
      </c>
      <c r="U2415" s="84" t="str">
        <f>IF(ISERROR(FIND('112'!$M$9,G2415,1)),"",IF((AND(LEFT(G2415,2)=LEFT('112'!$M$9,2),B2415&lt;'112'!$K$9,$N2415='112'!$I$6)),"x",""))</f>
        <v/>
      </c>
      <c r="V2415" s="84" t="str">
        <f>IF(ISERROR(FIND('112'!$M$9,G2415,1)),"",IF((AND(RIGHT(G2415,2)=RIGHT('112'!$M$9,2),B2415&lt;'112'!$K$9,$O2415='112'!$I$6)),"x",""))</f>
        <v/>
      </c>
      <c r="W2415" s="84" t="str">
        <f>IF(AND('341-CT'!$H$9=H2415,OR(LEFT(N2415,3)=$W$7,LEFT(O2415,3)=$W$7)),"x","")</f>
        <v/>
      </c>
      <c r="X2415" s="84" t="str">
        <f>IF(OR(TH!N2415=TH!$X$7,O2415=TH!$X$7),"x","")</f>
        <v/>
      </c>
      <c r="Y2415" s="84" t="str">
        <f>IF(AND(OR(N2415="131",O2415="131"),H2415='131-CT'!$H$9),"x","")</f>
        <v/>
      </c>
      <c r="Z2415" s="84"/>
      <c r="AA2415" s="84" t="str">
        <f>IF(AND(MONTH(E2415)='IN-NX'!$J$5,'IN-NX'!$D$7=D2415),"x","")</f>
        <v/>
      </c>
      <c r="AB2415" s="84" t="str">
        <f>IF(AND(OR(LEFT(TH!N2415,2)="15",LEFT(TH!O2415,2)="15"),LEFT(TH!O2415,3)&lt;&gt;"111",'152-CT'!$J$8=TH!F2415),"x","")</f>
        <v/>
      </c>
      <c r="AC2415" s="84" t="str">
        <f>IF(AND(OR(LEFT(TH!N2415,2)="15",LEFT(TH!O2415,2)="15"),TK!$E$7=TH!F2415),"x","")</f>
        <v/>
      </c>
      <c r="AD2415" s="84" t="str">
        <f>IF(AND(N2415="1521",MONTH(C2415)='BK-NL'!$M$11),"x","")</f>
        <v/>
      </c>
    </row>
    <row r="2416" spans="1:30" s="351" customFormat="1" ht="15.75" hidden="1" customHeight="1">
      <c r="A2416" s="336" t="str">
        <f>IF(B2416&lt;&gt;"",IF(AND(B2416='IN-TC'!$S$4,OR(TH!N2416="1111",TH!O2416="1111")),TH!D2416,""),"")</f>
        <v/>
      </c>
      <c r="B2416" s="63" t="str">
        <f t="shared" si="291"/>
        <v/>
      </c>
      <c r="C2416" s="64"/>
      <c r="D2416" s="64"/>
      <c r="E2416" s="64"/>
      <c r="F2416" s="67"/>
      <c r="G2416" s="67"/>
      <c r="H2416" s="73"/>
      <c r="I2416" s="439"/>
      <c r="J2416" s="439"/>
      <c r="K2416" s="430"/>
      <c r="L2416" s="439"/>
      <c r="M2416" s="65"/>
      <c r="N2416" s="66"/>
      <c r="O2416" s="66"/>
      <c r="P2416" s="84" t="str">
        <f>IF(AND('331-CT'!$E$7=TH!H2416,OR(N2416="331",O2416="331")),"x","")</f>
        <v/>
      </c>
      <c r="Q2416" s="84" t="str">
        <f>IF(AND(B2416='111'!$L$11,OR($N2416=$Q$7,$O2416=$Q$7)),"x","")</f>
        <v/>
      </c>
      <c r="R2416" s="84" t="str">
        <f>IF(AND($N2416=$Q$7,$B2416&lt;'111'!$L$11),"x","")</f>
        <v/>
      </c>
      <c r="S2416" s="84" t="str">
        <f>IF(AND($O2416=$Q$7,$B2416&lt;'111'!$L$11),"x","")</f>
        <v/>
      </c>
      <c r="T2416" s="84" t="str">
        <f>IF(ISERROR(FIND('112'!$M$9,G2416,1)),"",IF((AND(FIND('112'!$M$9,G2416,1)&gt;=1,B2416='112'!$K$9,OR($N2416='112'!$I$6,$O2416='112'!$I$6))),"x",""))</f>
        <v/>
      </c>
      <c r="U2416" s="84" t="str">
        <f>IF(ISERROR(FIND('112'!$M$9,G2416,1)),"",IF((AND(LEFT(G2416,2)=LEFT('112'!$M$9,2),B2416&lt;'112'!$K$9,$N2416='112'!$I$6)),"x",""))</f>
        <v/>
      </c>
      <c r="V2416" s="84" t="str">
        <f>IF(ISERROR(FIND('112'!$M$9,G2416,1)),"",IF((AND(RIGHT(G2416,2)=RIGHT('112'!$M$9,2),B2416&lt;'112'!$K$9,$O2416='112'!$I$6)),"x",""))</f>
        <v/>
      </c>
      <c r="W2416" s="84" t="str">
        <f>IF(AND('341-CT'!$H$9=H2416,OR(LEFT(N2416,3)=$W$7,LEFT(O2416,3)=$W$7)),"x","")</f>
        <v/>
      </c>
      <c r="X2416" s="84" t="str">
        <f>IF(OR(TH!N2416=TH!$X$7,O2416=TH!$X$7),"x","")</f>
        <v/>
      </c>
      <c r="Y2416" s="84" t="str">
        <f>IF(AND(OR(N2416="131",O2416="131"),H2416='131-CT'!$H$9),"x","")</f>
        <v/>
      </c>
      <c r="Z2416" s="84"/>
      <c r="AA2416" s="84" t="str">
        <f>IF(AND(MONTH(E2416)='IN-NX'!$J$5,'IN-NX'!$D$7=D2416),"x","")</f>
        <v/>
      </c>
      <c r="AB2416" s="84" t="str">
        <f>IF(AND(OR(LEFT(TH!N2416,2)="15",LEFT(TH!O2416,2)="15"),LEFT(TH!O2416,3)&lt;&gt;"111",'152-CT'!$J$8=TH!F2416),"x","")</f>
        <v/>
      </c>
      <c r="AC2416" s="84" t="str">
        <f>IF(AND(OR(LEFT(TH!N2416,2)="15",LEFT(TH!O2416,2)="15"),TK!$E$7=TH!F2416),"x","")</f>
        <v/>
      </c>
      <c r="AD2416" s="84" t="str">
        <f>IF(AND(N2416="1521",MONTH(C2416)='BK-NL'!$M$11),"x","")</f>
        <v/>
      </c>
    </row>
    <row r="2417" spans="1:30" s="351" customFormat="1" ht="15.75" hidden="1" customHeight="1">
      <c r="A2417" s="336" t="str">
        <f>IF(B2417&lt;&gt;"",IF(AND(B2417='IN-TC'!$S$4,OR(TH!N2417="1111",TH!O2417="1111")),TH!D2417,""),"")</f>
        <v/>
      </c>
      <c r="B2417" s="63" t="str">
        <f t="shared" si="291"/>
        <v/>
      </c>
      <c r="C2417" s="64"/>
      <c r="D2417" s="64"/>
      <c r="E2417" s="64"/>
      <c r="F2417" s="67"/>
      <c r="G2417" s="67"/>
      <c r="H2417" s="73"/>
      <c r="I2417" s="439"/>
      <c r="J2417" s="439"/>
      <c r="K2417" s="430"/>
      <c r="L2417" s="439"/>
      <c r="M2417" s="65"/>
      <c r="N2417" s="66"/>
      <c r="O2417" s="66"/>
      <c r="P2417" s="84" t="str">
        <f>IF(AND('331-CT'!$E$7=TH!H2417,OR(N2417="331",O2417="331")),"x","")</f>
        <v/>
      </c>
      <c r="Q2417" s="84" t="str">
        <f>IF(AND(B2417='111'!$L$11,OR($N2417=$Q$7,$O2417=$Q$7)),"x","")</f>
        <v/>
      </c>
      <c r="R2417" s="84" t="str">
        <f>IF(AND($N2417=$Q$7,$B2417&lt;'111'!$L$11),"x","")</f>
        <v/>
      </c>
      <c r="S2417" s="84" t="str">
        <f>IF(AND($O2417=$Q$7,$B2417&lt;'111'!$L$11),"x","")</f>
        <v/>
      </c>
      <c r="T2417" s="84" t="str">
        <f>IF(ISERROR(FIND('112'!$M$9,G2417,1)),"",IF((AND(FIND('112'!$M$9,G2417,1)&gt;=1,B2417='112'!$K$9,OR($N2417='112'!$I$6,$O2417='112'!$I$6))),"x",""))</f>
        <v/>
      </c>
      <c r="U2417" s="84" t="str">
        <f>IF(ISERROR(FIND('112'!$M$9,G2417,1)),"",IF((AND(LEFT(G2417,2)=LEFT('112'!$M$9,2),B2417&lt;'112'!$K$9,$N2417='112'!$I$6)),"x",""))</f>
        <v/>
      </c>
      <c r="V2417" s="84" t="str">
        <f>IF(ISERROR(FIND('112'!$M$9,G2417,1)),"",IF((AND(RIGHT(G2417,2)=RIGHT('112'!$M$9,2),B2417&lt;'112'!$K$9,$O2417='112'!$I$6)),"x",""))</f>
        <v/>
      </c>
      <c r="W2417" s="84" t="str">
        <f>IF(AND('341-CT'!$H$9=H2417,OR(LEFT(N2417,3)=$W$7,LEFT(O2417,3)=$W$7)),"x","")</f>
        <v/>
      </c>
      <c r="X2417" s="84" t="str">
        <f>IF(OR(TH!N2417=TH!$X$7,O2417=TH!$X$7),"x","")</f>
        <v/>
      </c>
      <c r="Y2417" s="84" t="str">
        <f>IF(AND(OR(N2417="131",O2417="131"),H2417='131-CT'!$H$9),"x","")</f>
        <v/>
      </c>
      <c r="Z2417" s="84"/>
      <c r="AA2417" s="84" t="str">
        <f>IF(AND(MONTH(E2417)='IN-NX'!$J$5,'IN-NX'!$D$7=D2417),"x","")</f>
        <v/>
      </c>
      <c r="AB2417" s="84" t="str">
        <f>IF(AND(OR(LEFT(TH!N2417,2)="15",LEFT(TH!O2417,2)="15"),LEFT(TH!O2417,3)&lt;&gt;"111",'152-CT'!$J$8=TH!F2417),"x","")</f>
        <v/>
      </c>
      <c r="AC2417" s="84" t="str">
        <f>IF(AND(OR(LEFT(TH!N2417,2)="15",LEFT(TH!O2417,2)="15"),TK!$E$7=TH!F2417),"x","")</f>
        <v/>
      </c>
      <c r="AD2417" s="84" t="str">
        <f>IF(AND(N2417="1521",MONTH(C2417)='BK-NL'!$M$11),"x","")</f>
        <v/>
      </c>
    </row>
    <row r="2418" spans="1:30" s="351" customFormat="1" ht="15.75" hidden="1" customHeight="1">
      <c r="A2418" s="336" t="str">
        <f>IF(B2418&lt;&gt;"",IF(AND(B2418='IN-TC'!$S$4,OR(TH!N2418="1111",TH!O2418="1111")),TH!D2418,""),"")</f>
        <v/>
      </c>
      <c r="B2418" s="63" t="str">
        <f t="shared" si="291"/>
        <v/>
      </c>
      <c r="C2418" s="64"/>
      <c r="D2418" s="64"/>
      <c r="E2418" s="64"/>
      <c r="F2418" s="67"/>
      <c r="G2418" s="67"/>
      <c r="H2418" s="73"/>
      <c r="I2418" s="439"/>
      <c r="J2418" s="439"/>
      <c r="K2418" s="430"/>
      <c r="L2418" s="439"/>
      <c r="M2418" s="65"/>
      <c r="N2418" s="66"/>
      <c r="O2418" s="66"/>
      <c r="P2418" s="84" t="str">
        <f>IF(AND('331-CT'!$E$7=TH!H2418,OR(N2418="331",O2418="331")),"x","")</f>
        <v/>
      </c>
      <c r="Q2418" s="84" t="str">
        <f>IF(AND(B2418='111'!$L$11,OR($N2418=$Q$7,$O2418=$Q$7)),"x","")</f>
        <v/>
      </c>
      <c r="R2418" s="84" t="str">
        <f>IF(AND($N2418=$Q$7,$B2418&lt;'111'!$L$11),"x","")</f>
        <v/>
      </c>
      <c r="S2418" s="84" t="str">
        <f>IF(AND($O2418=$Q$7,$B2418&lt;'111'!$L$11),"x","")</f>
        <v/>
      </c>
      <c r="T2418" s="84" t="str">
        <f>IF(ISERROR(FIND('112'!$M$9,G2418,1)),"",IF((AND(FIND('112'!$M$9,G2418,1)&gt;=1,B2418='112'!$K$9,OR($N2418='112'!$I$6,$O2418='112'!$I$6))),"x",""))</f>
        <v/>
      </c>
      <c r="U2418" s="84" t="str">
        <f>IF(ISERROR(FIND('112'!$M$9,G2418,1)),"",IF((AND(LEFT(G2418,2)=LEFT('112'!$M$9,2),B2418&lt;'112'!$K$9,$N2418='112'!$I$6)),"x",""))</f>
        <v/>
      </c>
      <c r="V2418" s="84" t="str">
        <f>IF(ISERROR(FIND('112'!$M$9,G2418,1)),"",IF((AND(RIGHT(G2418,2)=RIGHT('112'!$M$9,2),B2418&lt;'112'!$K$9,$O2418='112'!$I$6)),"x",""))</f>
        <v/>
      </c>
      <c r="W2418" s="84" t="str">
        <f>IF(AND('341-CT'!$H$9=H2418,OR(LEFT(N2418,3)=$W$7,LEFT(O2418,3)=$W$7)),"x","")</f>
        <v/>
      </c>
      <c r="X2418" s="84" t="str">
        <f>IF(OR(TH!N2418=TH!$X$7,O2418=TH!$X$7),"x","")</f>
        <v/>
      </c>
      <c r="Y2418" s="84" t="str">
        <f>IF(AND(OR(N2418="131",O2418="131"),H2418='131-CT'!$H$9),"x","")</f>
        <v/>
      </c>
      <c r="Z2418" s="84"/>
      <c r="AA2418" s="84" t="str">
        <f>IF(AND(MONTH(E2418)='IN-NX'!$J$5,'IN-NX'!$D$7=D2418),"x","")</f>
        <v/>
      </c>
      <c r="AB2418" s="84" t="str">
        <f>IF(AND(OR(LEFT(TH!N2418,2)="15",LEFT(TH!O2418,2)="15"),LEFT(TH!O2418,3)&lt;&gt;"111",'152-CT'!$J$8=TH!F2418),"x","")</f>
        <v/>
      </c>
      <c r="AC2418" s="84" t="str">
        <f>IF(AND(OR(LEFT(TH!N2418,2)="15",LEFT(TH!O2418,2)="15"),TK!$E$7=TH!F2418),"x","")</f>
        <v/>
      </c>
      <c r="AD2418" s="84" t="str">
        <f>IF(AND(N2418="1521",MONTH(C2418)='BK-NL'!$M$11),"x","")</f>
        <v/>
      </c>
    </row>
    <row r="2419" spans="1:30" s="351" customFormat="1" ht="15.75" hidden="1" customHeight="1">
      <c r="A2419" s="336" t="str">
        <f>IF(B2419&lt;&gt;"",IF(AND(B2419='IN-TC'!$S$4,OR(TH!N2419="1111",TH!O2419="1111")),TH!D2419,""),"")</f>
        <v/>
      </c>
      <c r="B2419" s="63" t="str">
        <f t="shared" si="291"/>
        <v/>
      </c>
      <c r="C2419" s="64"/>
      <c r="D2419" s="64"/>
      <c r="E2419" s="64"/>
      <c r="F2419" s="67"/>
      <c r="G2419" s="67"/>
      <c r="H2419" s="73"/>
      <c r="I2419" s="439"/>
      <c r="J2419" s="439"/>
      <c r="K2419" s="430"/>
      <c r="L2419" s="439"/>
      <c r="M2419" s="65"/>
      <c r="N2419" s="66"/>
      <c r="O2419" s="66"/>
      <c r="P2419" s="84" t="str">
        <f>IF(AND('331-CT'!$E$7=TH!H2419,OR(N2419="331",O2419="331")),"x","")</f>
        <v/>
      </c>
      <c r="Q2419" s="84" t="str">
        <f>IF(AND(B2419='111'!$L$11,OR($N2419=$Q$7,$O2419=$Q$7)),"x","")</f>
        <v/>
      </c>
      <c r="R2419" s="84" t="str">
        <f>IF(AND($N2419=$Q$7,$B2419&lt;'111'!$L$11),"x","")</f>
        <v/>
      </c>
      <c r="S2419" s="84" t="str">
        <f>IF(AND($O2419=$Q$7,$B2419&lt;'111'!$L$11),"x","")</f>
        <v/>
      </c>
      <c r="T2419" s="84" t="str">
        <f>IF(ISERROR(FIND('112'!$M$9,G2419,1)),"",IF((AND(FIND('112'!$M$9,G2419,1)&gt;=1,B2419='112'!$K$9,OR($N2419='112'!$I$6,$O2419='112'!$I$6))),"x",""))</f>
        <v/>
      </c>
      <c r="U2419" s="84" t="str">
        <f>IF(ISERROR(FIND('112'!$M$9,G2419,1)),"",IF((AND(LEFT(G2419,2)=LEFT('112'!$M$9,2),B2419&lt;'112'!$K$9,$N2419='112'!$I$6)),"x",""))</f>
        <v/>
      </c>
      <c r="V2419" s="84" t="str">
        <f>IF(ISERROR(FIND('112'!$M$9,G2419,1)),"",IF((AND(RIGHT(G2419,2)=RIGHT('112'!$M$9,2),B2419&lt;'112'!$K$9,$O2419='112'!$I$6)),"x",""))</f>
        <v/>
      </c>
      <c r="W2419" s="84" t="str">
        <f>IF(AND('341-CT'!$H$9=H2419,OR(LEFT(N2419,3)=$W$7,LEFT(O2419,3)=$W$7)),"x","")</f>
        <v/>
      </c>
      <c r="X2419" s="84" t="str">
        <f>IF(OR(TH!N2419=TH!$X$7,O2419=TH!$X$7),"x","")</f>
        <v/>
      </c>
      <c r="Y2419" s="84" t="str">
        <f>IF(AND(OR(N2419="131",O2419="131"),H2419='131-CT'!$H$9),"x","")</f>
        <v/>
      </c>
      <c r="Z2419" s="84"/>
      <c r="AA2419" s="84" t="str">
        <f>IF(AND(MONTH(E2419)='IN-NX'!$J$5,'IN-NX'!$D$7=D2419),"x","")</f>
        <v/>
      </c>
      <c r="AB2419" s="84" t="str">
        <f>IF(AND(OR(LEFT(TH!N2419,2)="15",LEFT(TH!O2419,2)="15"),LEFT(TH!O2419,3)&lt;&gt;"111",'152-CT'!$J$8=TH!F2419),"x","")</f>
        <v/>
      </c>
      <c r="AC2419" s="84" t="str">
        <f>IF(AND(OR(LEFT(TH!N2419,2)="15",LEFT(TH!O2419,2)="15"),TK!$E$7=TH!F2419),"x","")</f>
        <v/>
      </c>
      <c r="AD2419" s="84" t="str">
        <f>IF(AND(N2419="1521",MONTH(C2419)='BK-NL'!$M$11),"x","")</f>
        <v/>
      </c>
    </row>
    <row r="2420" spans="1:30" s="351" customFormat="1" ht="15.75" hidden="1" customHeight="1">
      <c r="A2420" s="336" t="str">
        <f>IF(B2420&lt;&gt;"",IF(AND(B2420='IN-TC'!$S$4,OR(TH!N2420="1111",TH!O2420="1111")),TH!D2420,""),"")</f>
        <v/>
      </c>
      <c r="B2420" s="63" t="str">
        <f t="shared" si="291"/>
        <v/>
      </c>
      <c r="C2420" s="64"/>
      <c r="D2420" s="64"/>
      <c r="E2420" s="64"/>
      <c r="F2420" s="67"/>
      <c r="G2420" s="67"/>
      <c r="H2420" s="73"/>
      <c r="I2420" s="439"/>
      <c r="J2420" s="439"/>
      <c r="K2420" s="430"/>
      <c r="L2420" s="439"/>
      <c r="M2420" s="65"/>
      <c r="N2420" s="66"/>
      <c r="O2420" s="66"/>
      <c r="P2420" s="84" t="str">
        <f>IF(AND('331-CT'!$E$7=TH!H2420,OR(N2420="331",O2420="331")),"x","")</f>
        <v/>
      </c>
      <c r="Q2420" s="84" t="str">
        <f>IF(AND(B2420='111'!$L$11,OR($N2420=$Q$7,$O2420=$Q$7)),"x","")</f>
        <v/>
      </c>
      <c r="R2420" s="84" t="str">
        <f>IF(AND($N2420=$Q$7,$B2420&lt;'111'!$L$11),"x","")</f>
        <v/>
      </c>
      <c r="S2420" s="84" t="str">
        <f>IF(AND($O2420=$Q$7,$B2420&lt;'111'!$L$11),"x","")</f>
        <v/>
      </c>
      <c r="T2420" s="84" t="str">
        <f>IF(ISERROR(FIND('112'!$M$9,G2420,1)),"",IF((AND(FIND('112'!$M$9,G2420,1)&gt;=1,B2420='112'!$K$9,OR($N2420='112'!$I$6,$O2420='112'!$I$6))),"x",""))</f>
        <v/>
      </c>
      <c r="U2420" s="84" t="str">
        <f>IF(ISERROR(FIND('112'!$M$9,G2420,1)),"",IF((AND(LEFT(G2420,2)=LEFT('112'!$M$9,2),B2420&lt;'112'!$K$9,$N2420='112'!$I$6)),"x",""))</f>
        <v/>
      </c>
      <c r="V2420" s="84" t="str">
        <f>IF(ISERROR(FIND('112'!$M$9,G2420,1)),"",IF((AND(RIGHT(G2420,2)=RIGHT('112'!$M$9,2),B2420&lt;'112'!$K$9,$O2420='112'!$I$6)),"x",""))</f>
        <v/>
      </c>
      <c r="W2420" s="84" t="str">
        <f>IF(AND('341-CT'!$H$9=H2420,OR(LEFT(N2420,3)=$W$7,LEFT(O2420,3)=$W$7)),"x","")</f>
        <v/>
      </c>
      <c r="X2420" s="84" t="str">
        <f>IF(OR(TH!N2420=TH!$X$7,O2420=TH!$X$7),"x","")</f>
        <v/>
      </c>
      <c r="Y2420" s="84" t="str">
        <f>IF(AND(OR(N2420="131",O2420="131"),H2420='131-CT'!$H$9),"x","")</f>
        <v/>
      </c>
      <c r="Z2420" s="84"/>
      <c r="AA2420" s="84" t="str">
        <f>IF(AND(MONTH(E2420)='IN-NX'!$J$5,'IN-NX'!$D$7=D2420),"x","")</f>
        <v/>
      </c>
      <c r="AB2420" s="84" t="str">
        <f>IF(AND(OR(LEFT(TH!N2420,2)="15",LEFT(TH!O2420,2)="15"),LEFT(TH!O2420,3)&lt;&gt;"111",'152-CT'!$J$8=TH!F2420),"x","")</f>
        <v/>
      </c>
      <c r="AC2420" s="84" t="str">
        <f>IF(AND(OR(LEFT(TH!N2420,2)="15",LEFT(TH!O2420,2)="15"),TK!$E$7=TH!F2420),"x","")</f>
        <v/>
      </c>
      <c r="AD2420" s="84" t="str">
        <f>IF(AND(N2420="1521",MONTH(C2420)='BK-NL'!$M$11),"x","")</f>
        <v/>
      </c>
    </row>
    <row r="2421" spans="1:30" s="351" customFormat="1" ht="15.75" hidden="1" customHeight="1">
      <c r="A2421" s="336" t="str">
        <f>IF(B2421&lt;&gt;"",IF(AND(B2421='IN-TC'!$S$4,OR(TH!N2421="1111",TH!O2421="1111")),TH!D2421,""),"")</f>
        <v/>
      </c>
      <c r="B2421" s="63" t="str">
        <f t="shared" si="291"/>
        <v/>
      </c>
      <c r="C2421" s="64"/>
      <c r="D2421" s="64"/>
      <c r="E2421" s="64"/>
      <c r="F2421" s="67"/>
      <c r="G2421" s="67"/>
      <c r="H2421" s="73"/>
      <c r="I2421" s="439"/>
      <c r="J2421" s="439"/>
      <c r="K2421" s="430"/>
      <c r="L2421" s="439"/>
      <c r="M2421" s="65"/>
      <c r="N2421" s="66"/>
      <c r="O2421" s="66"/>
      <c r="P2421" s="84" t="str">
        <f>IF(AND('331-CT'!$E$7=TH!H2421,OR(N2421="331",O2421="331")),"x","")</f>
        <v/>
      </c>
      <c r="Q2421" s="84" t="str">
        <f>IF(AND(B2421='111'!$L$11,OR($N2421=$Q$7,$O2421=$Q$7)),"x","")</f>
        <v/>
      </c>
      <c r="R2421" s="84" t="str">
        <f>IF(AND($N2421=$Q$7,$B2421&lt;'111'!$L$11),"x","")</f>
        <v/>
      </c>
      <c r="S2421" s="84" t="str">
        <f>IF(AND($O2421=$Q$7,$B2421&lt;'111'!$L$11),"x","")</f>
        <v/>
      </c>
      <c r="T2421" s="84" t="str">
        <f>IF(ISERROR(FIND('112'!$M$9,G2421,1)),"",IF((AND(FIND('112'!$M$9,G2421,1)&gt;=1,B2421='112'!$K$9,OR($N2421='112'!$I$6,$O2421='112'!$I$6))),"x",""))</f>
        <v/>
      </c>
      <c r="U2421" s="84" t="str">
        <f>IF(ISERROR(FIND('112'!$M$9,G2421,1)),"",IF((AND(LEFT(G2421,2)=LEFT('112'!$M$9,2),B2421&lt;'112'!$K$9,$N2421='112'!$I$6)),"x",""))</f>
        <v/>
      </c>
      <c r="V2421" s="84" t="str">
        <f>IF(ISERROR(FIND('112'!$M$9,G2421,1)),"",IF((AND(RIGHT(G2421,2)=RIGHT('112'!$M$9,2),B2421&lt;'112'!$K$9,$O2421='112'!$I$6)),"x",""))</f>
        <v/>
      </c>
      <c r="W2421" s="84" t="str">
        <f>IF(AND('341-CT'!$H$9=H2421,OR(LEFT(N2421,3)=$W$7,LEFT(O2421,3)=$W$7)),"x","")</f>
        <v/>
      </c>
      <c r="X2421" s="84" t="str">
        <f>IF(OR(TH!N2421=TH!$X$7,O2421=TH!$X$7),"x","")</f>
        <v/>
      </c>
      <c r="Y2421" s="84" t="str">
        <f>IF(AND(OR(N2421="131",O2421="131"),H2421='131-CT'!$H$9),"x","")</f>
        <v/>
      </c>
      <c r="Z2421" s="84"/>
      <c r="AA2421" s="84" t="str">
        <f>IF(AND(MONTH(E2421)='IN-NX'!$J$5,'IN-NX'!$D$7=D2421),"x","")</f>
        <v/>
      </c>
      <c r="AB2421" s="84" t="str">
        <f>IF(AND(OR(LEFT(TH!N2421,2)="15",LEFT(TH!O2421,2)="15"),LEFT(TH!O2421,3)&lt;&gt;"111",'152-CT'!$J$8=TH!F2421),"x","")</f>
        <v/>
      </c>
      <c r="AC2421" s="84" t="str">
        <f>IF(AND(OR(LEFT(TH!N2421,2)="15",LEFT(TH!O2421,2)="15"),TK!$E$7=TH!F2421),"x","")</f>
        <v/>
      </c>
      <c r="AD2421" s="84" t="str">
        <f>IF(AND(N2421="1521",MONTH(C2421)='BK-NL'!$M$11),"x","")</f>
        <v/>
      </c>
    </row>
    <row r="2422" spans="1:30" s="351" customFormat="1" ht="15.75" hidden="1" customHeight="1">
      <c r="A2422" s="336" t="str">
        <f>IF(B2422&lt;&gt;"",IF(AND(B2422='IN-TC'!$S$4,OR(TH!N2422="1111",TH!O2422="1111")),TH!D2422,""),"")</f>
        <v/>
      </c>
      <c r="B2422" s="63" t="str">
        <f t="shared" si="291"/>
        <v/>
      </c>
      <c r="C2422" s="64"/>
      <c r="D2422" s="64"/>
      <c r="E2422" s="64"/>
      <c r="F2422" s="67"/>
      <c r="G2422" s="67"/>
      <c r="H2422" s="73"/>
      <c r="I2422" s="439"/>
      <c r="J2422" s="439"/>
      <c r="K2422" s="430"/>
      <c r="L2422" s="439"/>
      <c r="M2422" s="65"/>
      <c r="N2422" s="66"/>
      <c r="O2422" s="66"/>
      <c r="P2422" s="84" t="str">
        <f>IF(AND('331-CT'!$E$7=TH!H2422,OR(N2422="331",O2422="331")),"x","")</f>
        <v/>
      </c>
      <c r="Q2422" s="84" t="str">
        <f>IF(AND(B2422='111'!$L$11,OR($N2422=$Q$7,$O2422=$Q$7)),"x","")</f>
        <v/>
      </c>
      <c r="R2422" s="84" t="str">
        <f>IF(AND($N2422=$Q$7,$B2422&lt;'111'!$L$11),"x","")</f>
        <v/>
      </c>
      <c r="S2422" s="84" t="str">
        <f>IF(AND($O2422=$Q$7,$B2422&lt;'111'!$L$11),"x","")</f>
        <v/>
      </c>
      <c r="T2422" s="84" t="str">
        <f>IF(ISERROR(FIND('112'!$M$9,G2422,1)),"",IF((AND(FIND('112'!$M$9,G2422,1)&gt;=1,B2422='112'!$K$9,OR($N2422='112'!$I$6,$O2422='112'!$I$6))),"x",""))</f>
        <v/>
      </c>
      <c r="U2422" s="84" t="str">
        <f>IF(ISERROR(FIND('112'!$M$9,G2422,1)),"",IF((AND(LEFT(G2422,2)=LEFT('112'!$M$9,2),B2422&lt;'112'!$K$9,$N2422='112'!$I$6)),"x",""))</f>
        <v/>
      </c>
      <c r="V2422" s="84" t="str">
        <f>IF(ISERROR(FIND('112'!$M$9,G2422,1)),"",IF((AND(RIGHT(G2422,2)=RIGHT('112'!$M$9,2),B2422&lt;'112'!$K$9,$O2422='112'!$I$6)),"x",""))</f>
        <v/>
      </c>
      <c r="W2422" s="84" t="str">
        <f>IF(AND('341-CT'!$H$9=H2422,OR(LEFT(N2422,3)=$W$7,LEFT(O2422,3)=$W$7)),"x","")</f>
        <v/>
      </c>
      <c r="X2422" s="84" t="str">
        <f>IF(OR(TH!N2422=TH!$X$7,O2422=TH!$X$7),"x","")</f>
        <v/>
      </c>
      <c r="Y2422" s="84" t="str">
        <f>IF(AND(OR(N2422="131",O2422="131"),H2422='131-CT'!$H$9),"x","")</f>
        <v/>
      </c>
      <c r="Z2422" s="84"/>
      <c r="AA2422" s="84" t="str">
        <f>IF(AND(MONTH(E2422)='IN-NX'!$J$5,'IN-NX'!$D$7=D2422),"x","")</f>
        <v/>
      </c>
      <c r="AB2422" s="84" t="str">
        <f>IF(AND(OR(LEFT(TH!N2422,2)="15",LEFT(TH!O2422,2)="15"),LEFT(TH!O2422,3)&lt;&gt;"111",'152-CT'!$J$8=TH!F2422),"x","")</f>
        <v/>
      </c>
      <c r="AC2422" s="84" t="str">
        <f>IF(AND(OR(LEFT(TH!N2422,2)="15",LEFT(TH!O2422,2)="15"),TK!$E$7=TH!F2422),"x","")</f>
        <v/>
      </c>
      <c r="AD2422" s="84" t="str">
        <f>IF(AND(N2422="1521",MONTH(C2422)='BK-NL'!$M$11),"x","")</f>
        <v/>
      </c>
    </row>
    <row r="2423" spans="1:30" s="351" customFormat="1" ht="15.75" hidden="1" customHeight="1">
      <c r="A2423" s="336" t="str">
        <f>IF(B2423&lt;&gt;"",IF(AND(B2423='IN-TC'!$S$4,OR(TH!N2423="1111",TH!O2423="1111")),TH!D2423,""),"")</f>
        <v/>
      </c>
      <c r="B2423" s="63" t="str">
        <f t="shared" si="291"/>
        <v/>
      </c>
      <c r="C2423" s="64"/>
      <c r="D2423" s="64"/>
      <c r="E2423" s="64"/>
      <c r="F2423" s="67"/>
      <c r="G2423" s="67"/>
      <c r="H2423" s="73"/>
      <c r="I2423" s="439"/>
      <c r="J2423" s="439"/>
      <c r="K2423" s="430"/>
      <c r="L2423" s="439"/>
      <c r="M2423" s="65"/>
      <c r="N2423" s="66"/>
      <c r="O2423" s="66"/>
      <c r="P2423" s="84" t="str">
        <f>IF(AND('331-CT'!$E$7=TH!H2423,OR(N2423="331",O2423="331")),"x","")</f>
        <v/>
      </c>
      <c r="Q2423" s="84" t="str">
        <f>IF(AND(B2423='111'!$L$11,OR($N2423=$Q$7,$O2423=$Q$7)),"x","")</f>
        <v/>
      </c>
      <c r="R2423" s="84" t="str">
        <f>IF(AND($N2423=$Q$7,$B2423&lt;'111'!$L$11),"x","")</f>
        <v/>
      </c>
      <c r="S2423" s="84" t="str">
        <f>IF(AND($O2423=$Q$7,$B2423&lt;'111'!$L$11),"x","")</f>
        <v/>
      </c>
      <c r="T2423" s="84" t="str">
        <f>IF(ISERROR(FIND('112'!$M$9,G2423,1)),"",IF((AND(FIND('112'!$M$9,G2423,1)&gt;=1,B2423='112'!$K$9,OR($N2423='112'!$I$6,$O2423='112'!$I$6))),"x",""))</f>
        <v/>
      </c>
      <c r="U2423" s="84" t="str">
        <f>IF(ISERROR(FIND('112'!$M$9,G2423,1)),"",IF((AND(LEFT(G2423,2)=LEFT('112'!$M$9,2),B2423&lt;'112'!$K$9,$N2423='112'!$I$6)),"x",""))</f>
        <v/>
      </c>
      <c r="V2423" s="84" t="str">
        <f>IF(ISERROR(FIND('112'!$M$9,G2423,1)),"",IF((AND(RIGHT(G2423,2)=RIGHT('112'!$M$9,2),B2423&lt;'112'!$K$9,$O2423='112'!$I$6)),"x",""))</f>
        <v/>
      </c>
      <c r="W2423" s="84" t="str">
        <f>IF(AND('341-CT'!$H$9=H2423,OR(LEFT(N2423,3)=$W$7,LEFT(O2423,3)=$W$7)),"x","")</f>
        <v/>
      </c>
      <c r="X2423" s="84" t="str">
        <f>IF(OR(TH!N2423=TH!$X$7,O2423=TH!$X$7),"x","")</f>
        <v/>
      </c>
      <c r="Y2423" s="84" t="str">
        <f>IF(AND(OR(N2423="131",O2423="131"),H2423='131-CT'!$H$9),"x","")</f>
        <v/>
      </c>
      <c r="Z2423" s="84"/>
      <c r="AA2423" s="84" t="str">
        <f>IF(AND(MONTH(E2423)='IN-NX'!$J$5,'IN-NX'!$D$7=D2423),"x","")</f>
        <v/>
      </c>
      <c r="AB2423" s="84" t="str">
        <f>IF(AND(OR(LEFT(TH!N2423,2)="15",LEFT(TH!O2423,2)="15"),LEFT(TH!O2423,3)&lt;&gt;"111",'152-CT'!$J$8=TH!F2423),"x","")</f>
        <v/>
      </c>
      <c r="AC2423" s="84" t="str">
        <f>IF(AND(OR(LEFT(TH!N2423,2)="15",LEFT(TH!O2423,2)="15"),TK!$E$7=TH!F2423),"x","")</f>
        <v/>
      </c>
      <c r="AD2423" s="84" t="str">
        <f>IF(AND(N2423="1521",MONTH(C2423)='BK-NL'!$M$11),"x","")</f>
        <v/>
      </c>
    </row>
    <row r="2424" spans="1:30" s="351" customFormat="1" ht="15.75" hidden="1" customHeight="1">
      <c r="A2424" s="336" t="str">
        <f>IF(B2424&lt;&gt;"",IF(AND(B2424='IN-TC'!$S$4,OR(TH!N2424="1111",TH!O2424="1111")),TH!D2424,""),"")</f>
        <v/>
      </c>
      <c r="B2424" s="63" t="str">
        <f t="shared" si="291"/>
        <v/>
      </c>
      <c r="C2424" s="64"/>
      <c r="D2424" s="64"/>
      <c r="E2424" s="64"/>
      <c r="F2424" s="67"/>
      <c r="G2424" s="67"/>
      <c r="H2424" s="73"/>
      <c r="I2424" s="439"/>
      <c r="J2424" s="439"/>
      <c r="K2424" s="430"/>
      <c r="L2424" s="439"/>
      <c r="M2424" s="65"/>
      <c r="N2424" s="66"/>
      <c r="O2424" s="66"/>
      <c r="P2424" s="84" t="str">
        <f>IF(AND('331-CT'!$E$7=TH!H2424,OR(N2424="331",O2424="331")),"x","")</f>
        <v/>
      </c>
      <c r="Q2424" s="84" t="str">
        <f>IF(AND(B2424='111'!$L$11,OR($N2424=$Q$7,$O2424=$Q$7)),"x","")</f>
        <v/>
      </c>
      <c r="R2424" s="84" t="str">
        <f>IF(AND($N2424=$Q$7,$B2424&lt;'111'!$L$11),"x","")</f>
        <v/>
      </c>
      <c r="S2424" s="84" t="str">
        <f>IF(AND($O2424=$Q$7,$B2424&lt;'111'!$L$11),"x","")</f>
        <v/>
      </c>
      <c r="T2424" s="84" t="str">
        <f>IF(ISERROR(FIND('112'!$M$9,G2424,1)),"",IF((AND(FIND('112'!$M$9,G2424,1)&gt;=1,B2424='112'!$K$9,OR($N2424='112'!$I$6,$O2424='112'!$I$6))),"x",""))</f>
        <v/>
      </c>
      <c r="U2424" s="84" t="str">
        <f>IF(ISERROR(FIND('112'!$M$9,G2424,1)),"",IF((AND(LEFT(G2424,2)=LEFT('112'!$M$9,2),B2424&lt;'112'!$K$9,$N2424='112'!$I$6)),"x",""))</f>
        <v/>
      </c>
      <c r="V2424" s="84" t="str">
        <f>IF(ISERROR(FIND('112'!$M$9,G2424,1)),"",IF((AND(RIGHT(G2424,2)=RIGHT('112'!$M$9,2),B2424&lt;'112'!$K$9,$O2424='112'!$I$6)),"x",""))</f>
        <v/>
      </c>
      <c r="W2424" s="84" t="str">
        <f>IF(AND('341-CT'!$H$9=H2424,OR(LEFT(N2424,3)=$W$7,LEFT(O2424,3)=$W$7)),"x","")</f>
        <v/>
      </c>
      <c r="X2424" s="84" t="str">
        <f>IF(OR(TH!N2424=TH!$X$7,O2424=TH!$X$7),"x","")</f>
        <v/>
      </c>
      <c r="Y2424" s="84" t="str">
        <f>IF(AND(OR(N2424="131",O2424="131"),H2424='131-CT'!$H$9),"x","")</f>
        <v/>
      </c>
      <c r="Z2424" s="84"/>
      <c r="AA2424" s="84" t="str">
        <f>IF(AND(MONTH(E2424)='IN-NX'!$J$5,'IN-NX'!$D$7=D2424),"x","")</f>
        <v/>
      </c>
      <c r="AB2424" s="84" t="str">
        <f>IF(AND(OR(LEFT(TH!N2424,2)="15",LEFT(TH!O2424,2)="15"),LEFT(TH!O2424,3)&lt;&gt;"111",'152-CT'!$J$8=TH!F2424),"x","")</f>
        <v/>
      </c>
      <c r="AC2424" s="84" t="str">
        <f>IF(AND(OR(LEFT(TH!N2424,2)="15",LEFT(TH!O2424,2)="15"),TK!$E$7=TH!F2424),"x","")</f>
        <v/>
      </c>
      <c r="AD2424" s="84" t="str">
        <f>IF(AND(N2424="1521",MONTH(C2424)='BK-NL'!$M$11),"x","")</f>
        <v/>
      </c>
    </row>
    <row r="2425" spans="1:30" s="351" customFormat="1" ht="15.75" hidden="1" customHeight="1">
      <c r="A2425" s="336" t="str">
        <f>IF(B2425&lt;&gt;"",IF(AND(B2425='IN-TC'!$S$4,OR(TH!N2425="1111",TH!O2425="1111")),TH!D2425,""),"")</f>
        <v/>
      </c>
      <c r="B2425" s="63" t="str">
        <f t="shared" si="291"/>
        <v/>
      </c>
      <c r="C2425" s="64"/>
      <c r="D2425" s="64"/>
      <c r="E2425" s="64"/>
      <c r="F2425" s="67"/>
      <c r="G2425" s="67"/>
      <c r="H2425" s="73"/>
      <c r="I2425" s="439"/>
      <c r="J2425" s="439"/>
      <c r="K2425" s="430"/>
      <c r="L2425" s="439"/>
      <c r="M2425" s="65"/>
      <c r="N2425" s="66"/>
      <c r="O2425" s="66"/>
      <c r="P2425" s="84" t="str">
        <f>IF(AND('331-CT'!$E$7=TH!H2425,OR(N2425="331",O2425="331")),"x","")</f>
        <v/>
      </c>
      <c r="Q2425" s="84" t="str">
        <f>IF(AND(B2425='111'!$L$11,OR($N2425=$Q$7,$O2425=$Q$7)),"x","")</f>
        <v/>
      </c>
      <c r="R2425" s="84" t="str">
        <f>IF(AND($N2425=$Q$7,$B2425&lt;'111'!$L$11),"x","")</f>
        <v/>
      </c>
      <c r="S2425" s="84" t="str">
        <f>IF(AND($O2425=$Q$7,$B2425&lt;'111'!$L$11),"x","")</f>
        <v/>
      </c>
      <c r="T2425" s="84" t="str">
        <f>IF(ISERROR(FIND('112'!$M$9,G2425,1)),"",IF((AND(FIND('112'!$M$9,G2425,1)&gt;=1,B2425='112'!$K$9,OR($N2425='112'!$I$6,$O2425='112'!$I$6))),"x",""))</f>
        <v/>
      </c>
      <c r="U2425" s="84" t="str">
        <f>IF(ISERROR(FIND('112'!$M$9,G2425,1)),"",IF((AND(LEFT(G2425,2)=LEFT('112'!$M$9,2),B2425&lt;'112'!$K$9,$N2425='112'!$I$6)),"x",""))</f>
        <v/>
      </c>
      <c r="V2425" s="84" t="str">
        <f>IF(ISERROR(FIND('112'!$M$9,G2425,1)),"",IF((AND(RIGHT(G2425,2)=RIGHT('112'!$M$9,2),B2425&lt;'112'!$K$9,$O2425='112'!$I$6)),"x",""))</f>
        <v/>
      </c>
      <c r="W2425" s="84" t="str">
        <f>IF(AND('341-CT'!$H$9=H2425,OR(LEFT(N2425,3)=$W$7,LEFT(O2425,3)=$W$7)),"x","")</f>
        <v/>
      </c>
      <c r="X2425" s="84" t="str">
        <f>IF(OR(TH!N2425=TH!$X$7,O2425=TH!$X$7),"x","")</f>
        <v/>
      </c>
      <c r="Y2425" s="84" t="str">
        <f>IF(AND(OR(N2425="131",O2425="131"),H2425='131-CT'!$H$9),"x","")</f>
        <v/>
      </c>
      <c r="Z2425" s="84"/>
      <c r="AA2425" s="84" t="str">
        <f>IF(AND(MONTH(E2425)='IN-NX'!$J$5,'IN-NX'!$D$7=D2425),"x","")</f>
        <v/>
      </c>
      <c r="AB2425" s="84" t="str">
        <f>IF(AND(OR(LEFT(TH!N2425,2)="15",LEFT(TH!O2425,2)="15"),LEFT(TH!O2425,3)&lt;&gt;"111",'152-CT'!$J$8=TH!F2425),"x","")</f>
        <v/>
      </c>
      <c r="AC2425" s="84" t="str">
        <f>IF(AND(OR(LEFT(TH!N2425,2)="15",LEFT(TH!O2425,2)="15"),TK!$E$7=TH!F2425),"x","")</f>
        <v/>
      </c>
      <c r="AD2425" s="84" t="str">
        <f>IF(AND(N2425="1521",MONTH(C2425)='BK-NL'!$M$11),"x","")</f>
        <v/>
      </c>
    </row>
    <row r="2426" spans="1:30" s="351" customFormat="1" ht="15.75" hidden="1" customHeight="1">
      <c r="A2426" s="336" t="str">
        <f>IF(B2426&lt;&gt;"",IF(AND(B2426='IN-TC'!$S$4,OR(TH!N2426="1111",TH!O2426="1111")),TH!D2426,""),"")</f>
        <v/>
      </c>
      <c r="B2426" s="63" t="str">
        <f t="shared" si="291"/>
        <v/>
      </c>
      <c r="C2426" s="64"/>
      <c r="D2426" s="64"/>
      <c r="E2426" s="64"/>
      <c r="F2426" s="67"/>
      <c r="G2426" s="67"/>
      <c r="H2426" s="73"/>
      <c r="I2426" s="439"/>
      <c r="J2426" s="439"/>
      <c r="K2426" s="430"/>
      <c r="L2426" s="439"/>
      <c r="M2426" s="65"/>
      <c r="N2426" s="66"/>
      <c r="O2426" s="66"/>
      <c r="P2426" s="84" t="str">
        <f>IF(AND('331-CT'!$E$7=TH!H2426,OR(N2426="331",O2426="331")),"x","")</f>
        <v/>
      </c>
      <c r="Q2426" s="84" t="str">
        <f>IF(AND(B2426='111'!$L$11,OR($N2426=$Q$7,$O2426=$Q$7)),"x","")</f>
        <v/>
      </c>
      <c r="R2426" s="84" t="str">
        <f>IF(AND($N2426=$Q$7,$B2426&lt;'111'!$L$11),"x","")</f>
        <v/>
      </c>
      <c r="S2426" s="84" t="str">
        <f>IF(AND($O2426=$Q$7,$B2426&lt;'111'!$L$11),"x","")</f>
        <v/>
      </c>
      <c r="T2426" s="84" t="str">
        <f>IF(ISERROR(FIND('112'!$M$9,G2426,1)),"",IF((AND(FIND('112'!$M$9,G2426,1)&gt;=1,B2426='112'!$K$9,OR($N2426='112'!$I$6,$O2426='112'!$I$6))),"x",""))</f>
        <v/>
      </c>
      <c r="U2426" s="84" t="str">
        <f>IF(ISERROR(FIND('112'!$M$9,G2426,1)),"",IF((AND(LEFT(G2426,2)=LEFT('112'!$M$9,2),B2426&lt;'112'!$K$9,$N2426='112'!$I$6)),"x",""))</f>
        <v/>
      </c>
      <c r="V2426" s="84" t="str">
        <f>IF(ISERROR(FIND('112'!$M$9,G2426,1)),"",IF((AND(RIGHT(G2426,2)=RIGHT('112'!$M$9,2),B2426&lt;'112'!$K$9,$O2426='112'!$I$6)),"x",""))</f>
        <v/>
      </c>
      <c r="W2426" s="84" t="str">
        <f>IF(AND('341-CT'!$H$9=H2426,OR(LEFT(N2426,3)=$W$7,LEFT(O2426,3)=$W$7)),"x","")</f>
        <v/>
      </c>
      <c r="X2426" s="84" t="str">
        <f>IF(OR(TH!N2426=TH!$X$7,O2426=TH!$X$7),"x","")</f>
        <v/>
      </c>
      <c r="Y2426" s="84" t="str">
        <f>IF(AND(OR(N2426="131",O2426="131"),H2426='131-CT'!$H$9),"x","")</f>
        <v/>
      </c>
      <c r="Z2426" s="84"/>
      <c r="AA2426" s="84" t="str">
        <f>IF(AND(MONTH(E2426)='IN-NX'!$J$5,'IN-NX'!$D$7=D2426),"x","")</f>
        <v/>
      </c>
      <c r="AB2426" s="84" t="str">
        <f>IF(AND(OR(LEFT(TH!N2426,2)="15",LEFT(TH!O2426,2)="15"),LEFT(TH!O2426,3)&lt;&gt;"111",'152-CT'!$J$8=TH!F2426),"x","")</f>
        <v/>
      </c>
      <c r="AC2426" s="84" t="str">
        <f>IF(AND(OR(LEFT(TH!N2426,2)="15",LEFT(TH!O2426,2)="15"),TK!$E$7=TH!F2426),"x","")</f>
        <v/>
      </c>
      <c r="AD2426" s="84" t="str">
        <f>IF(AND(N2426="1521",MONTH(C2426)='BK-NL'!$M$11),"x","")</f>
        <v/>
      </c>
    </row>
    <row r="2427" spans="1:30" s="351" customFormat="1" ht="15.75" hidden="1" customHeight="1">
      <c r="A2427" s="336" t="str">
        <f>IF(B2427&lt;&gt;"",IF(AND(B2427='IN-TC'!$S$4,OR(TH!N2427="1111",TH!O2427="1111")),TH!D2427,""),"")</f>
        <v/>
      </c>
      <c r="B2427" s="63" t="str">
        <f t="shared" si="291"/>
        <v/>
      </c>
      <c r="C2427" s="64"/>
      <c r="D2427" s="64"/>
      <c r="E2427" s="64"/>
      <c r="F2427" s="67"/>
      <c r="G2427" s="67"/>
      <c r="H2427" s="73"/>
      <c r="I2427" s="439"/>
      <c r="J2427" s="439"/>
      <c r="K2427" s="430"/>
      <c r="L2427" s="439"/>
      <c r="M2427" s="65"/>
      <c r="N2427" s="66"/>
      <c r="O2427" s="66"/>
      <c r="P2427" s="84" t="str">
        <f>IF(AND('331-CT'!$E$7=TH!H2427,OR(N2427="331",O2427="331")),"x","")</f>
        <v/>
      </c>
      <c r="Q2427" s="84" t="str">
        <f>IF(AND(B2427='111'!$L$11,OR($N2427=$Q$7,$O2427=$Q$7)),"x","")</f>
        <v/>
      </c>
      <c r="R2427" s="84" t="str">
        <f>IF(AND($N2427=$Q$7,$B2427&lt;'111'!$L$11),"x","")</f>
        <v/>
      </c>
      <c r="S2427" s="84" t="str">
        <f>IF(AND($O2427=$Q$7,$B2427&lt;'111'!$L$11),"x","")</f>
        <v/>
      </c>
      <c r="T2427" s="84" t="str">
        <f>IF(ISERROR(FIND('112'!$M$9,G2427,1)),"",IF((AND(FIND('112'!$M$9,G2427,1)&gt;=1,B2427='112'!$K$9,OR($N2427='112'!$I$6,$O2427='112'!$I$6))),"x",""))</f>
        <v/>
      </c>
      <c r="U2427" s="84" t="str">
        <f>IF(ISERROR(FIND('112'!$M$9,G2427,1)),"",IF((AND(LEFT(G2427,2)=LEFT('112'!$M$9,2),B2427&lt;'112'!$K$9,$N2427='112'!$I$6)),"x",""))</f>
        <v/>
      </c>
      <c r="V2427" s="84" t="str">
        <f>IF(ISERROR(FIND('112'!$M$9,G2427,1)),"",IF((AND(RIGHT(G2427,2)=RIGHT('112'!$M$9,2),B2427&lt;'112'!$K$9,$O2427='112'!$I$6)),"x",""))</f>
        <v/>
      </c>
      <c r="W2427" s="84" t="str">
        <f>IF(AND('341-CT'!$H$9=H2427,OR(LEFT(N2427,3)=$W$7,LEFT(O2427,3)=$W$7)),"x","")</f>
        <v/>
      </c>
      <c r="X2427" s="84" t="str">
        <f>IF(OR(TH!N2427=TH!$X$7,O2427=TH!$X$7),"x","")</f>
        <v/>
      </c>
      <c r="Y2427" s="84" t="str">
        <f>IF(AND(OR(N2427="131",O2427="131"),H2427='131-CT'!$H$9),"x","")</f>
        <v/>
      </c>
      <c r="Z2427" s="84"/>
      <c r="AA2427" s="84" t="str">
        <f>IF(AND(MONTH(E2427)='IN-NX'!$J$5,'IN-NX'!$D$7=D2427),"x","")</f>
        <v/>
      </c>
      <c r="AB2427" s="84" t="str">
        <f>IF(AND(OR(LEFT(TH!N2427,2)="15",LEFT(TH!O2427,2)="15"),LEFT(TH!O2427,3)&lt;&gt;"111",'152-CT'!$J$8=TH!F2427),"x","")</f>
        <v/>
      </c>
      <c r="AC2427" s="84" t="str">
        <f>IF(AND(OR(LEFT(TH!N2427,2)="15",LEFT(TH!O2427,2)="15"),TK!$E$7=TH!F2427),"x","")</f>
        <v/>
      </c>
      <c r="AD2427" s="84" t="str">
        <f>IF(AND(N2427="1521",MONTH(C2427)='BK-NL'!$M$11),"x","")</f>
        <v/>
      </c>
    </row>
    <row r="2428" spans="1:30" s="351" customFormat="1" ht="15.75" hidden="1" customHeight="1">
      <c r="A2428" s="336" t="str">
        <f>IF(B2428&lt;&gt;"",IF(AND(B2428='IN-TC'!$S$4,OR(TH!N2428="1111",TH!O2428="1111")),TH!D2428,""),"")</f>
        <v/>
      </c>
      <c r="B2428" s="63" t="str">
        <f t="shared" si="291"/>
        <v/>
      </c>
      <c r="C2428" s="64"/>
      <c r="D2428" s="64"/>
      <c r="E2428" s="64"/>
      <c r="F2428" s="67"/>
      <c r="G2428" s="67"/>
      <c r="H2428" s="73"/>
      <c r="I2428" s="439"/>
      <c r="J2428" s="439"/>
      <c r="K2428" s="430"/>
      <c r="L2428" s="439"/>
      <c r="M2428" s="65"/>
      <c r="N2428" s="66"/>
      <c r="O2428" s="66"/>
      <c r="P2428" s="84" t="str">
        <f>IF(AND('331-CT'!$E$7=TH!H2428,OR(N2428="331",O2428="331")),"x","")</f>
        <v/>
      </c>
      <c r="Q2428" s="84" t="str">
        <f>IF(AND(B2428='111'!$L$11,OR($N2428=$Q$7,$O2428=$Q$7)),"x","")</f>
        <v/>
      </c>
      <c r="R2428" s="84" t="str">
        <f>IF(AND($N2428=$Q$7,$B2428&lt;'111'!$L$11),"x","")</f>
        <v/>
      </c>
      <c r="S2428" s="84" t="str">
        <f>IF(AND($O2428=$Q$7,$B2428&lt;'111'!$L$11),"x","")</f>
        <v/>
      </c>
      <c r="T2428" s="84" t="str">
        <f>IF(ISERROR(FIND('112'!$M$9,G2428,1)),"",IF((AND(FIND('112'!$M$9,G2428,1)&gt;=1,B2428='112'!$K$9,OR($N2428='112'!$I$6,$O2428='112'!$I$6))),"x",""))</f>
        <v/>
      </c>
      <c r="U2428" s="84" t="str">
        <f>IF(ISERROR(FIND('112'!$M$9,G2428,1)),"",IF((AND(LEFT(G2428,2)=LEFT('112'!$M$9,2),B2428&lt;'112'!$K$9,$N2428='112'!$I$6)),"x",""))</f>
        <v/>
      </c>
      <c r="V2428" s="84" t="str">
        <f>IF(ISERROR(FIND('112'!$M$9,G2428,1)),"",IF((AND(RIGHT(G2428,2)=RIGHT('112'!$M$9,2),B2428&lt;'112'!$K$9,$O2428='112'!$I$6)),"x",""))</f>
        <v/>
      </c>
      <c r="W2428" s="84" t="str">
        <f>IF(AND('341-CT'!$H$9=H2428,OR(LEFT(N2428,3)=$W$7,LEFT(O2428,3)=$W$7)),"x","")</f>
        <v/>
      </c>
      <c r="X2428" s="84" t="str">
        <f>IF(OR(TH!N2428=TH!$X$7,O2428=TH!$X$7),"x","")</f>
        <v/>
      </c>
      <c r="Y2428" s="84" t="str">
        <f>IF(AND(OR(N2428="131",O2428="131"),H2428='131-CT'!$H$9),"x","")</f>
        <v/>
      </c>
      <c r="Z2428" s="84"/>
      <c r="AA2428" s="84" t="str">
        <f>IF(AND(MONTH(E2428)='IN-NX'!$J$5,'IN-NX'!$D$7=D2428),"x","")</f>
        <v/>
      </c>
      <c r="AB2428" s="84" t="str">
        <f>IF(AND(OR(LEFT(TH!N2428,2)="15",LEFT(TH!O2428,2)="15"),LEFT(TH!O2428,3)&lt;&gt;"111",'152-CT'!$J$8=TH!F2428),"x","")</f>
        <v/>
      </c>
      <c r="AC2428" s="84" t="str">
        <f>IF(AND(OR(LEFT(TH!N2428,2)="15",LEFT(TH!O2428,2)="15"),TK!$E$7=TH!F2428),"x","")</f>
        <v/>
      </c>
      <c r="AD2428" s="84" t="str">
        <f>IF(AND(N2428="1521",MONTH(C2428)='BK-NL'!$M$11),"x","")</f>
        <v/>
      </c>
    </row>
    <row r="2429" spans="1:30" s="351" customFormat="1" ht="15.75" hidden="1" customHeight="1">
      <c r="A2429" s="336" t="str">
        <f>IF(B2429&lt;&gt;"",IF(AND(B2429='IN-TC'!$S$4,OR(TH!N2429="1111",TH!O2429="1111")),TH!D2429,""),"")</f>
        <v/>
      </c>
      <c r="B2429" s="63" t="str">
        <f t="shared" si="291"/>
        <v/>
      </c>
      <c r="C2429" s="64"/>
      <c r="D2429" s="64"/>
      <c r="E2429" s="64"/>
      <c r="F2429" s="67"/>
      <c r="G2429" s="67"/>
      <c r="H2429" s="73"/>
      <c r="I2429" s="439"/>
      <c r="J2429" s="439"/>
      <c r="K2429" s="430"/>
      <c r="L2429" s="439"/>
      <c r="M2429" s="65"/>
      <c r="N2429" s="66"/>
      <c r="O2429" s="66"/>
      <c r="P2429" s="84" t="str">
        <f>IF(AND('331-CT'!$E$7=TH!H2429,OR(N2429="331",O2429="331")),"x","")</f>
        <v/>
      </c>
      <c r="Q2429" s="84" t="str">
        <f>IF(AND(B2429='111'!$L$11,OR($N2429=$Q$7,$O2429=$Q$7)),"x","")</f>
        <v/>
      </c>
      <c r="R2429" s="84" t="str">
        <f>IF(AND($N2429=$Q$7,$B2429&lt;'111'!$L$11),"x","")</f>
        <v/>
      </c>
      <c r="S2429" s="84" t="str">
        <f>IF(AND($O2429=$Q$7,$B2429&lt;'111'!$L$11),"x","")</f>
        <v/>
      </c>
      <c r="T2429" s="84" t="str">
        <f>IF(ISERROR(FIND('112'!$M$9,G2429,1)),"",IF((AND(FIND('112'!$M$9,G2429,1)&gt;=1,B2429='112'!$K$9,OR($N2429='112'!$I$6,$O2429='112'!$I$6))),"x",""))</f>
        <v/>
      </c>
      <c r="U2429" s="84" t="str">
        <f>IF(ISERROR(FIND('112'!$M$9,G2429,1)),"",IF((AND(LEFT(G2429,2)=LEFT('112'!$M$9,2),B2429&lt;'112'!$K$9,$N2429='112'!$I$6)),"x",""))</f>
        <v/>
      </c>
      <c r="V2429" s="84" t="str">
        <f>IF(ISERROR(FIND('112'!$M$9,G2429,1)),"",IF((AND(RIGHT(G2429,2)=RIGHT('112'!$M$9,2),B2429&lt;'112'!$K$9,$O2429='112'!$I$6)),"x",""))</f>
        <v/>
      </c>
      <c r="W2429" s="84" t="str">
        <f>IF(AND('341-CT'!$H$9=H2429,OR(LEFT(N2429,3)=$W$7,LEFT(O2429,3)=$W$7)),"x","")</f>
        <v/>
      </c>
      <c r="X2429" s="84" t="str">
        <f>IF(OR(TH!N2429=TH!$X$7,O2429=TH!$X$7),"x","")</f>
        <v/>
      </c>
      <c r="Y2429" s="84" t="str">
        <f>IF(AND(OR(N2429="131",O2429="131"),H2429='131-CT'!$H$9),"x","")</f>
        <v/>
      </c>
      <c r="Z2429" s="84"/>
      <c r="AA2429" s="84" t="str">
        <f>IF(AND(MONTH(E2429)='IN-NX'!$J$5,'IN-NX'!$D$7=D2429),"x","")</f>
        <v/>
      </c>
      <c r="AB2429" s="84" t="str">
        <f>IF(AND(OR(LEFT(TH!N2429,2)="15",LEFT(TH!O2429,2)="15"),LEFT(TH!O2429,3)&lt;&gt;"111",'152-CT'!$J$8=TH!F2429),"x","")</f>
        <v/>
      </c>
      <c r="AC2429" s="84" t="str">
        <f>IF(AND(OR(LEFT(TH!N2429,2)="15",LEFT(TH!O2429,2)="15"),TK!$E$7=TH!F2429),"x","")</f>
        <v/>
      </c>
      <c r="AD2429" s="84" t="str">
        <f>IF(AND(N2429="1521",MONTH(C2429)='BK-NL'!$M$11),"x","")</f>
        <v/>
      </c>
    </row>
    <row r="2430" spans="1:30" s="351" customFormat="1" ht="15.75" hidden="1" customHeight="1">
      <c r="A2430" s="336" t="str">
        <f>IF(B2430&lt;&gt;"",IF(AND(B2430='IN-TC'!$S$4,OR(TH!N2430="1111",TH!O2430="1111")),TH!D2430,""),"")</f>
        <v/>
      </c>
      <c r="B2430" s="63" t="str">
        <f t="shared" si="291"/>
        <v/>
      </c>
      <c r="C2430" s="64"/>
      <c r="D2430" s="64"/>
      <c r="E2430" s="64"/>
      <c r="F2430" s="67"/>
      <c r="G2430" s="67"/>
      <c r="H2430" s="73"/>
      <c r="I2430" s="439"/>
      <c r="J2430" s="439"/>
      <c r="K2430" s="430"/>
      <c r="L2430" s="439"/>
      <c r="M2430" s="65"/>
      <c r="N2430" s="66"/>
      <c r="O2430" s="66"/>
      <c r="P2430" s="84" t="str">
        <f>IF(AND('331-CT'!$E$7=TH!H2430,OR(N2430="331",O2430="331")),"x","")</f>
        <v/>
      </c>
      <c r="Q2430" s="84" t="str">
        <f>IF(AND(B2430='111'!$L$11,OR($N2430=$Q$7,$O2430=$Q$7)),"x","")</f>
        <v/>
      </c>
      <c r="R2430" s="84" t="str">
        <f>IF(AND($N2430=$Q$7,$B2430&lt;'111'!$L$11),"x","")</f>
        <v/>
      </c>
      <c r="S2430" s="84" t="str">
        <f>IF(AND($O2430=$Q$7,$B2430&lt;'111'!$L$11),"x","")</f>
        <v/>
      </c>
      <c r="T2430" s="84" t="str">
        <f>IF(ISERROR(FIND('112'!$M$9,G2430,1)),"",IF((AND(FIND('112'!$M$9,G2430,1)&gt;=1,B2430='112'!$K$9,OR($N2430='112'!$I$6,$O2430='112'!$I$6))),"x",""))</f>
        <v/>
      </c>
      <c r="U2430" s="84" t="str">
        <f>IF(ISERROR(FIND('112'!$M$9,G2430,1)),"",IF((AND(LEFT(G2430,2)=LEFT('112'!$M$9,2),B2430&lt;'112'!$K$9,$N2430='112'!$I$6)),"x",""))</f>
        <v/>
      </c>
      <c r="V2430" s="84" t="str">
        <f>IF(ISERROR(FIND('112'!$M$9,G2430,1)),"",IF((AND(RIGHT(G2430,2)=RIGHT('112'!$M$9,2),B2430&lt;'112'!$K$9,$O2430='112'!$I$6)),"x",""))</f>
        <v/>
      </c>
      <c r="W2430" s="84" t="str">
        <f>IF(AND('341-CT'!$H$9=H2430,OR(LEFT(N2430,3)=$W$7,LEFT(O2430,3)=$W$7)),"x","")</f>
        <v/>
      </c>
      <c r="X2430" s="84" t="str">
        <f>IF(OR(TH!N2430=TH!$X$7,O2430=TH!$X$7),"x","")</f>
        <v/>
      </c>
      <c r="Y2430" s="84" t="str">
        <f>IF(AND(OR(N2430="131",O2430="131"),H2430='131-CT'!$H$9),"x","")</f>
        <v/>
      </c>
      <c r="Z2430" s="84"/>
      <c r="AA2430" s="84" t="str">
        <f>IF(AND(MONTH(E2430)='IN-NX'!$J$5,'IN-NX'!$D$7=D2430),"x","")</f>
        <v/>
      </c>
      <c r="AB2430" s="84" t="str">
        <f>IF(AND(OR(LEFT(TH!N2430,2)="15",LEFT(TH!O2430,2)="15"),LEFT(TH!O2430,3)&lt;&gt;"111",'152-CT'!$J$8=TH!F2430),"x","")</f>
        <v/>
      </c>
      <c r="AC2430" s="84" t="str">
        <f>IF(AND(OR(LEFT(TH!N2430,2)="15",LEFT(TH!O2430,2)="15"),TK!$E$7=TH!F2430),"x","")</f>
        <v/>
      </c>
      <c r="AD2430" s="84" t="str">
        <f>IF(AND(N2430="1521",MONTH(C2430)='BK-NL'!$M$11),"x","")</f>
        <v/>
      </c>
    </row>
    <row r="2431" spans="1:30" s="351" customFormat="1" ht="15.75" hidden="1" customHeight="1">
      <c r="A2431" s="336" t="str">
        <f>IF(B2431&lt;&gt;"",IF(AND(B2431='IN-TC'!$S$4,OR(TH!N2431="1111",TH!O2431="1111")),TH!D2431,""),"")</f>
        <v/>
      </c>
      <c r="B2431" s="63" t="str">
        <f t="shared" si="291"/>
        <v/>
      </c>
      <c r="C2431" s="64"/>
      <c r="D2431" s="64"/>
      <c r="E2431" s="64"/>
      <c r="F2431" s="67"/>
      <c r="G2431" s="67"/>
      <c r="H2431" s="73"/>
      <c r="I2431" s="439"/>
      <c r="J2431" s="439"/>
      <c r="K2431" s="430"/>
      <c r="L2431" s="439"/>
      <c r="M2431" s="65"/>
      <c r="N2431" s="66"/>
      <c r="O2431" s="66"/>
      <c r="P2431" s="84" t="str">
        <f>IF(AND('331-CT'!$E$7=TH!H2431,OR(N2431="331",O2431="331")),"x","")</f>
        <v/>
      </c>
      <c r="Q2431" s="84" t="str">
        <f>IF(AND(B2431='111'!$L$11,OR($N2431=$Q$7,$O2431=$Q$7)),"x","")</f>
        <v/>
      </c>
      <c r="R2431" s="84" t="str">
        <f>IF(AND($N2431=$Q$7,$B2431&lt;'111'!$L$11),"x","")</f>
        <v/>
      </c>
      <c r="S2431" s="84" t="str">
        <f>IF(AND($O2431=$Q$7,$B2431&lt;'111'!$L$11),"x","")</f>
        <v/>
      </c>
      <c r="T2431" s="84" t="str">
        <f>IF(ISERROR(FIND('112'!$M$9,G2431,1)),"",IF((AND(FIND('112'!$M$9,G2431,1)&gt;=1,B2431='112'!$K$9,OR($N2431='112'!$I$6,$O2431='112'!$I$6))),"x",""))</f>
        <v/>
      </c>
      <c r="U2431" s="84" t="str">
        <f>IF(ISERROR(FIND('112'!$M$9,G2431,1)),"",IF((AND(LEFT(G2431,2)=LEFT('112'!$M$9,2),B2431&lt;'112'!$K$9,$N2431='112'!$I$6)),"x",""))</f>
        <v/>
      </c>
      <c r="V2431" s="84" t="str">
        <f>IF(ISERROR(FIND('112'!$M$9,G2431,1)),"",IF((AND(RIGHT(G2431,2)=RIGHT('112'!$M$9,2),B2431&lt;'112'!$K$9,$O2431='112'!$I$6)),"x",""))</f>
        <v/>
      </c>
      <c r="W2431" s="84" t="str">
        <f>IF(AND('341-CT'!$H$9=H2431,OR(LEFT(N2431,3)=$W$7,LEFT(O2431,3)=$W$7)),"x","")</f>
        <v/>
      </c>
      <c r="X2431" s="84" t="str">
        <f>IF(OR(TH!N2431=TH!$X$7,O2431=TH!$X$7),"x","")</f>
        <v/>
      </c>
      <c r="Y2431" s="84" t="str">
        <f>IF(AND(OR(N2431="131",O2431="131"),H2431='131-CT'!$H$9),"x","")</f>
        <v/>
      </c>
      <c r="Z2431" s="84"/>
      <c r="AA2431" s="84" t="str">
        <f>IF(AND(MONTH(E2431)='IN-NX'!$J$5,'IN-NX'!$D$7=D2431),"x","")</f>
        <v/>
      </c>
      <c r="AB2431" s="84" t="str">
        <f>IF(AND(OR(LEFT(TH!N2431,2)="15",LEFT(TH!O2431,2)="15"),LEFT(TH!O2431,3)&lt;&gt;"111",'152-CT'!$J$8=TH!F2431),"x","")</f>
        <v/>
      </c>
      <c r="AC2431" s="84" t="str">
        <f>IF(AND(OR(LEFT(TH!N2431,2)="15",LEFT(TH!O2431,2)="15"),TK!$E$7=TH!F2431),"x","")</f>
        <v/>
      </c>
      <c r="AD2431" s="84" t="str">
        <f>IF(AND(N2431="1521",MONTH(C2431)='BK-NL'!$M$11),"x","")</f>
        <v/>
      </c>
    </row>
    <row r="2432" spans="1:30" s="351" customFormat="1" ht="15.75" hidden="1" customHeight="1">
      <c r="A2432" s="336" t="str">
        <f>IF(B2432&lt;&gt;"",IF(AND(B2432='IN-TC'!$S$4,OR(TH!N2432="1111",TH!O2432="1111")),TH!D2432,""),"")</f>
        <v/>
      </c>
      <c r="B2432" s="63" t="str">
        <f t="shared" si="291"/>
        <v/>
      </c>
      <c r="C2432" s="64"/>
      <c r="D2432" s="64"/>
      <c r="E2432" s="64"/>
      <c r="F2432" s="67"/>
      <c r="G2432" s="67"/>
      <c r="H2432" s="73"/>
      <c r="I2432" s="439"/>
      <c r="J2432" s="439"/>
      <c r="K2432" s="430"/>
      <c r="L2432" s="439"/>
      <c r="M2432" s="65"/>
      <c r="N2432" s="66"/>
      <c r="O2432" s="66"/>
      <c r="P2432" s="84" t="str">
        <f>IF(AND('331-CT'!$E$7=TH!H2432,OR(N2432="331",O2432="331")),"x","")</f>
        <v/>
      </c>
      <c r="Q2432" s="84" t="str">
        <f>IF(AND(B2432='111'!$L$11,OR($N2432=$Q$7,$O2432=$Q$7)),"x","")</f>
        <v/>
      </c>
      <c r="R2432" s="84" t="str">
        <f>IF(AND($N2432=$Q$7,$B2432&lt;'111'!$L$11),"x","")</f>
        <v/>
      </c>
      <c r="S2432" s="84" t="str">
        <f>IF(AND($O2432=$Q$7,$B2432&lt;'111'!$L$11),"x","")</f>
        <v/>
      </c>
      <c r="T2432" s="84" t="str">
        <f>IF(ISERROR(FIND('112'!$M$9,G2432,1)),"",IF((AND(FIND('112'!$M$9,G2432,1)&gt;=1,B2432='112'!$K$9,OR($N2432='112'!$I$6,$O2432='112'!$I$6))),"x",""))</f>
        <v/>
      </c>
      <c r="U2432" s="84" t="str">
        <f>IF(ISERROR(FIND('112'!$M$9,G2432,1)),"",IF((AND(LEFT(G2432,2)=LEFT('112'!$M$9,2),B2432&lt;'112'!$K$9,$N2432='112'!$I$6)),"x",""))</f>
        <v/>
      </c>
      <c r="V2432" s="84" t="str">
        <f>IF(ISERROR(FIND('112'!$M$9,G2432,1)),"",IF((AND(RIGHT(G2432,2)=RIGHT('112'!$M$9,2),B2432&lt;'112'!$K$9,$O2432='112'!$I$6)),"x",""))</f>
        <v/>
      </c>
      <c r="W2432" s="84" t="str">
        <f>IF(AND('341-CT'!$H$9=H2432,OR(LEFT(N2432,3)=$W$7,LEFT(O2432,3)=$W$7)),"x","")</f>
        <v/>
      </c>
      <c r="X2432" s="84" t="str">
        <f>IF(OR(TH!N2432=TH!$X$7,O2432=TH!$X$7),"x","")</f>
        <v/>
      </c>
      <c r="Y2432" s="84" t="str">
        <f>IF(AND(OR(N2432="131",O2432="131"),H2432='131-CT'!$H$9),"x","")</f>
        <v/>
      </c>
      <c r="Z2432" s="84"/>
      <c r="AA2432" s="84" t="str">
        <f>IF(AND(MONTH(E2432)='IN-NX'!$J$5,'IN-NX'!$D$7=D2432),"x","")</f>
        <v/>
      </c>
      <c r="AB2432" s="84" t="str">
        <f>IF(AND(OR(LEFT(TH!N2432,2)="15",LEFT(TH!O2432,2)="15"),LEFT(TH!O2432,3)&lt;&gt;"111",'152-CT'!$J$8=TH!F2432),"x","")</f>
        <v/>
      </c>
      <c r="AC2432" s="84" t="str">
        <f>IF(AND(OR(LEFT(TH!N2432,2)="15",LEFT(TH!O2432,2)="15"),TK!$E$7=TH!F2432),"x","")</f>
        <v/>
      </c>
      <c r="AD2432" s="84" t="str">
        <f>IF(AND(N2432="1521",MONTH(C2432)='BK-NL'!$M$11),"x","")</f>
        <v/>
      </c>
    </row>
    <row r="2433" spans="1:30" s="351" customFormat="1" ht="15.75" hidden="1" customHeight="1">
      <c r="A2433" s="336" t="str">
        <f>IF(B2433&lt;&gt;"",IF(AND(B2433='IN-TC'!$S$4,OR(TH!N2433="1111",TH!O2433="1111")),TH!D2433,""),"")</f>
        <v/>
      </c>
      <c r="B2433" s="63" t="str">
        <f t="shared" si="291"/>
        <v/>
      </c>
      <c r="C2433" s="64"/>
      <c r="D2433" s="64"/>
      <c r="E2433" s="64"/>
      <c r="F2433" s="67"/>
      <c r="G2433" s="67"/>
      <c r="H2433" s="73"/>
      <c r="I2433" s="439"/>
      <c r="J2433" s="439"/>
      <c r="K2433" s="430"/>
      <c r="L2433" s="439"/>
      <c r="M2433" s="65"/>
      <c r="N2433" s="66"/>
      <c r="O2433" s="66"/>
      <c r="P2433" s="84" t="str">
        <f>IF(AND('331-CT'!$E$7=TH!H2433,OR(N2433="331",O2433="331")),"x","")</f>
        <v/>
      </c>
      <c r="Q2433" s="84" t="str">
        <f>IF(AND(B2433='111'!$L$11,OR($N2433=$Q$7,$O2433=$Q$7)),"x","")</f>
        <v/>
      </c>
      <c r="R2433" s="84" t="str">
        <f>IF(AND($N2433=$Q$7,$B2433&lt;'111'!$L$11),"x","")</f>
        <v/>
      </c>
      <c r="S2433" s="84" t="str">
        <f>IF(AND($O2433=$Q$7,$B2433&lt;'111'!$L$11),"x","")</f>
        <v/>
      </c>
      <c r="T2433" s="84" t="str">
        <f>IF(ISERROR(FIND('112'!$M$9,G2433,1)),"",IF((AND(FIND('112'!$M$9,G2433,1)&gt;=1,B2433='112'!$K$9,OR($N2433='112'!$I$6,$O2433='112'!$I$6))),"x",""))</f>
        <v/>
      </c>
      <c r="U2433" s="84" t="str">
        <f>IF(ISERROR(FIND('112'!$M$9,G2433,1)),"",IF((AND(LEFT(G2433,2)=LEFT('112'!$M$9,2),B2433&lt;'112'!$K$9,$N2433='112'!$I$6)),"x",""))</f>
        <v/>
      </c>
      <c r="V2433" s="84" t="str">
        <f>IF(ISERROR(FIND('112'!$M$9,G2433,1)),"",IF((AND(RIGHT(G2433,2)=RIGHT('112'!$M$9,2),B2433&lt;'112'!$K$9,$O2433='112'!$I$6)),"x",""))</f>
        <v/>
      </c>
      <c r="W2433" s="84" t="str">
        <f>IF(AND('341-CT'!$H$9=H2433,OR(LEFT(N2433,3)=$W$7,LEFT(O2433,3)=$W$7)),"x","")</f>
        <v/>
      </c>
      <c r="X2433" s="84" t="str">
        <f>IF(OR(TH!N2433=TH!$X$7,O2433=TH!$X$7),"x","")</f>
        <v/>
      </c>
      <c r="Y2433" s="84" t="str">
        <f>IF(AND(OR(N2433="131",O2433="131"),H2433='131-CT'!$H$9),"x","")</f>
        <v/>
      </c>
      <c r="Z2433" s="84"/>
      <c r="AA2433" s="84" t="str">
        <f>IF(AND(MONTH(E2433)='IN-NX'!$J$5,'IN-NX'!$D$7=D2433),"x","")</f>
        <v/>
      </c>
      <c r="AB2433" s="84" t="str">
        <f>IF(AND(OR(LEFT(TH!N2433,2)="15",LEFT(TH!O2433,2)="15"),LEFT(TH!O2433,3)&lt;&gt;"111",'152-CT'!$J$8=TH!F2433),"x","")</f>
        <v/>
      </c>
      <c r="AC2433" s="84" t="str">
        <f>IF(AND(OR(LEFT(TH!N2433,2)="15",LEFT(TH!O2433,2)="15"),TK!$E$7=TH!F2433),"x","")</f>
        <v/>
      </c>
      <c r="AD2433" s="84" t="str">
        <f>IF(AND(N2433="1521",MONTH(C2433)='BK-NL'!$M$11),"x","")</f>
        <v/>
      </c>
    </row>
    <row r="2434" spans="1:30" s="351" customFormat="1" ht="15.75" hidden="1" customHeight="1">
      <c r="A2434" s="336" t="str">
        <f>IF(B2434&lt;&gt;"",IF(AND(B2434='IN-TC'!$S$4,OR(TH!N2434="1111",TH!O2434="1111")),TH!D2434,""),"")</f>
        <v/>
      </c>
      <c r="B2434" s="63" t="str">
        <f t="shared" si="291"/>
        <v/>
      </c>
      <c r="C2434" s="64"/>
      <c r="D2434" s="64"/>
      <c r="E2434" s="64"/>
      <c r="F2434" s="67"/>
      <c r="G2434" s="67"/>
      <c r="H2434" s="73"/>
      <c r="I2434" s="439"/>
      <c r="J2434" s="439"/>
      <c r="K2434" s="430"/>
      <c r="L2434" s="439"/>
      <c r="M2434" s="65"/>
      <c r="N2434" s="66"/>
      <c r="O2434" s="66"/>
      <c r="P2434" s="84" t="str">
        <f>IF(AND('331-CT'!$E$7=TH!H2434,OR(N2434="331",O2434="331")),"x","")</f>
        <v/>
      </c>
      <c r="Q2434" s="84" t="str">
        <f>IF(AND(B2434='111'!$L$11,OR($N2434=$Q$7,$O2434=$Q$7)),"x","")</f>
        <v/>
      </c>
      <c r="R2434" s="84" t="str">
        <f>IF(AND($N2434=$Q$7,$B2434&lt;'111'!$L$11),"x","")</f>
        <v/>
      </c>
      <c r="S2434" s="84" t="str">
        <f>IF(AND($O2434=$Q$7,$B2434&lt;'111'!$L$11),"x","")</f>
        <v/>
      </c>
      <c r="T2434" s="84" t="str">
        <f>IF(ISERROR(FIND('112'!$M$9,G2434,1)),"",IF((AND(FIND('112'!$M$9,G2434,1)&gt;=1,B2434='112'!$K$9,OR($N2434='112'!$I$6,$O2434='112'!$I$6))),"x",""))</f>
        <v/>
      </c>
      <c r="U2434" s="84" t="str">
        <f>IF(ISERROR(FIND('112'!$M$9,G2434,1)),"",IF((AND(LEFT(G2434,2)=LEFT('112'!$M$9,2),B2434&lt;'112'!$K$9,$N2434='112'!$I$6)),"x",""))</f>
        <v/>
      </c>
      <c r="V2434" s="84" t="str">
        <f>IF(ISERROR(FIND('112'!$M$9,G2434,1)),"",IF((AND(RIGHT(G2434,2)=RIGHT('112'!$M$9,2),B2434&lt;'112'!$K$9,$O2434='112'!$I$6)),"x",""))</f>
        <v/>
      </c>
      <c r="W2434" s="84" t="str">
        <f>IF(AND('341-CT'!$H$9=H2434,OR(LEFT(N2434,3)=$W$7,LEFT(O2434,3)=$W$7)),"x","")</f>
        <v/>
      </c>
      <c r="X2434" s="84" t="str">
        <f>IF(OR(TH!N2434=TH!$X$7,O2434=TH!$X$7),"x","")</f>
        <v/>
      </c>
      <c r="Y2434" s="84" t="str">
        <f>IF(AND(OR(N2434="131",O2434="131"),H2434='131-CT'!$H$9),"x","")</f>
        <v/>
      </c>
      <c r="Z2434" s="84"/>
      <c r="AA2434" s="84" t="str">
        <f>IF(AND(MONTH(E2434)='IN-NX'!$J$5,'IN-NX'!$D$7=D2434),"x","")</f>
        <v/>
      </c>
      <c r="AB2434" s="84" t="str">
        <f>IF(AND(OR(LEFT(TH!N2434,2)="15",LEFT(TH!O2434,2)="15"),LEFT(TH!O2434,3)&lt;&gt;"111",'152-CT'!$J$8=TH!F2434),"x","")</f>
        <v/>
      </c>
      <c r="AC2434" s="84" t="str">
        <f>IF(AND(OR(LEFT(TH!N2434,2)="15",LEFT(TH!O2434,2)="15"),TK!$E$7=TH!F2434),"x","")</f>
        <v/>
      </c>
      <c r="AD2434" s="84" t="str">
        <f>IF(AND(N2434="1521",MONTH(C2434)='BK-NL'!$M$11),"x","")</f>
        <v/>
      </c>
    </row>
    <row r="2435" spans="1:30" s="351" customFormat="1" ht="15.75" hidden="1" customHeight="1">
      <c r="A2435" s="336" t="str">
        <f>IF(B2435&lt;&gt;"",IF(AND(B2435='IN-TC'!$S$4,OR(TH!N2435="1111",TH!O2435="1111")),TH!D2435,""),"")</f>
        <v/>
      </c>
      <c r="B2435" s="63" t="str">
        <f t="shared" si="291"/>
        <v/>
      </c>
      <c r="C2435" s="64"/>
      <c r="D2435" s="64"/>
      <c r="E2435" s="64"/>
      <c r="F2435" s="67"/>
      <c r="G2435" s="67"/>
      <c r="H2435" s="73"/>
      <c r="I2435" s="439"/>
      <c r="J2435" s="439"/>
      <c r="K2435" s="430"/>
      <c r="L2435" s="439"/>
      <c r="M2435" s="65"/>
      <c r="N2435" s="66"/>
      <c r="O2435" s="66"/>
      <c r="P2435" s="84" t="str">
        <f>IF(AND('331-CT'!$E$7=TH!H2435,OR(N2435="331",O2435="331")),"x","")</f>
        <v/>
      </c>
      <c r="Q2435" s="84" t="str">
        <f>IF(AND(B2435='111'!$L$11,OR($N2435=$Q$7,$O2435=$Q$7)),"x","")</f>
        <v/>
      </c>
      <c r="R2435" s="84" t="str">
        <f>IF(AND($N2435=$Q$7,$B2435&lt;'111'!$L$11),"x","")</f>
        <v/>
      </c>
      <c r="S2435" s="84" t="str">
        <f>IF(AND($O2435=$Q$7,$B2435&lt;'111'!$L$11),"x","")</f>
        <v/>
      </c>
      <c r="T2435" s="84" t="str">
        <f>IF(ISERROR(FIND('112'!$M$9,G2435,1)),"",IF((AND(FIND('112'!$M$9,G2435,1)&gt;=1,B2435='112'!$K$9,OR($N2435='112'!$I$6,$O2435='112'!$I$6))),"x",""))</f>
        <v/>
      </c>
      <c r="U2435" s="84" t="str">
        <f>IF(ISERROR(FIND('112'!$M$9,G2435,1)),"",IF((AND(LEFT(G2435,2)=LEFT('112'!$M$9,2),B2435&lt;'112'!$K$9,$N2435='112'!$I$6)),"x",""))</f>
        <v/>
      </c>
      <c r="V2435" s="84" t="str">
        <f>IF(ISERROR(FIND('112'!$M$9,G2435,1)),"",IF((AND(RIGHT(G2435,2)=RIGHT('112'!$M$9,2),B2435&lt;'112'!$K$9,$O2435='112'!$I$6)),"x",""))</f>
        <v/>
      </c>
      <c r="W2435" s="84" t="str">
        <f>IF(AND('341-CT'!$H$9=H2435,OR(LEFT(N2435,3)=$W$7,LEFT(O2435,3)=$W$7)),"x","")</f>
        <v/>
      </c>
      <c r="X2435" s="84" t="str">
        <f>IF(OR(TH!N2435=TH!$X$7,O2435=TH!$X$7),"x","")</f>
        <v/>
      </c>
      <c r="Y2435" s="84" t="str">
        <f>IF(AND(OR(N2435="131",O2435="131"),H2435='131-CT'!$H$9),"x","")</f>
        <v/>
      </c>
      <c r="Z2435" s="84"/>
      <c r="AA2435" s="84" t="str">
        <f>IF(AND(MONTH(E2435)='IN-NX'!$J$5,'IN-NX'!$D$7=D2435),"x","")</f>
        <v/>
      </c>
      <c r="AB2435" s="84" t="str">
        <f>IF(AND(OR(LEFT(TH!N2435,2)="15",LEFT(TH!O2435,2)="15"),LEFT(TH!O2435,3)&lt;&gt;"111",'152-CT'!$J$8=TH!F2435),"x","")</f>
        <v/>
      </c>
      <c r="AC2435" s="84" t="str">
        <f>IF(AND(OR(LEFT(TH!N2435,2)="15",LEFT(TH!O2435,2)="15"),TK!$E$7=TH!F2435),"x","")</f>
        <v/>
      </c>
      <c r="AD2435" s="84" t="str">
        <f>IF(AND(N2435="1521",MONTH(C2435)='BK-NL'!$M$11),"x","")</f>
        <v/>
      </c>
    </row>
    <row r="2436" spans="1:30" s="351" customFormat="1" ht="15.75" hidden="1" customHeight="1">
      <c r="A2436" s="336" t="str">
        <f>IF(B2436&lt;&gt;"",IF(AND(B2436='IN-TC'!$S$4,OR(TH!N2436="1111",TH!O2436="1111")),TH!D2436,""),"")</f>
        <v/>
      </c>
      <c r="B2436" s="63" t="str">
        <f t="shared" ref="B2436:B2467" si="292">IF(C2436&lt;&gt;"",MONTH(C2436),"")</f>
        <v/>
      </c>
      <c r="C2436" s="64"/>
      <c r="D2436" s="64"/>
      <c r="E2436" s="64"/>
      <c r="F2436" s="67"/>
      <c r="G2436" s="67"/>
      <c r="H2436" s="73"/>
      <c r="I2436" s="439"/>
      <c r="J2436" s="439"/>
      <c r="K2436" s="430"/>
      <c r="L2436" s="439"/>
      <c r="M2436" s="65"/>
      <c r="N2436" s="66"/>
      <c r="O2436" s="66"/>
      <c r="P2436" s="84" t="str">
        <f>IF(AND('331-CT'!$E$7=TH!H2436,OR(N2436="331",O2436="331")),"x","")</f>
        <v/>
      </c>
      <c r="Q2436" s="84" t="str">
        <f>IF(AND(B2436='111'!$L$11,OR($N2436=$Q$7,$O2436=$Q$7)),"x","")</f>
        <v/>
      </c>
      <c r="R2436" s="84" t="str">
        <f>IF(AND($N2436=$Q$7,$B2436&lt;'111'!$L$11),"x","")</f>
        <v/>
      </c>
      <c r="S2436" s="84" t="str">
        <f>IF(AND($O2436=$Q$7,$B2436&lt;'111'!$L$11),"x","")</f>
        <v/>
      </c>
      <c r="T2436" s="84" t="str">
        <f>IF(ISERROR(FIND('112'!$M$9,G2436,1)),"",IF((AND(FIND('112'!$M$9,G2436,1)&gt;=1,B2436='112'!$K$9,OR($N2436='112'!$I$6,$O2436='112'!$I$6))),"x",""))</f>
        <v/>
      </c>
      <c r="U2436" s="84" t="str">
        <f>IF(ISERROR(FIND('112'!$M$9,G2436,1)),"",IF((AND(LEFT(G2436,2)=LEFT('112'!$M$9,2),B2436&lt;'112'!$K$9,$N2436='112'!$I$6)),"x",""))</f>
        <v/>
      </c>
      <c r="V2436" s="84" t="str">
        <f>IF(ISERROR(FIND('112'!$M$9,G2436,1)),"",IF((AND(RIGHT(G2436,2)=RIGHT('112'!$M$9,2),B2436&lt;'112'!$K$9,$O2436='112'!$I$6)),"x",""))</f>
        <v/>
      </c>
      <c r="W2436" s="84" t="str">
        <f>IF(AND('341-CT'!$H$9=H2436,OR(LEFT(N2436,3)=$W$7,LEFT(O2436,3)=$W$7)),"x","")</f>
        <v/>
      </c>
      <c r="X2436" s="84" t="str">
        <f>IF(OR(TH!N2436=TH!$X$7,O2436=TH!$X$7),"x","")</f>
        <v/>
      </c>
      <c r="Y2436" s="84" t="str">
        <f>IF(AND(OR(N2436="131",O2436="131"),H2436='131-CT'!$H$9),"x","")</f>
        <v/>
      </c>
      <c r="Z2436" s="84"/>
      <c r="AA2436" s="84" t="str">
        <f>IF(AND(MONTH(E2436)='IN-NX'!$J$5,'IN-NX'!$D$7=D2436),"x","")</f>
        <v/>
      </c>
      <c r="AB2436" s="84" t="str">
        <f>IF(AND(OR(LEFT(TH!N2436,2)="15",LEFT(TH!O2436,2)="15"),LEFT(TH!O2436,3)&lt;&gt;"111",'152-CT'!$J$8=TH!F2436),"x","")</f>
        <v/>
      </c>
      <c r="AC2436" s="84" t="str">
        <f>IF(AND(OR(LEFT(TH!N2436,2)="15",LEFT(TH!O2436,2)="15"),TK!$E$7=TH!F2436),"x","")</f>
        <v/>
      </c>
      <c r="AD2436" s="84" t="str">
        <f>IF(AND(N2436="1521",MONTH(C2436)='BK-NL'!$M$11),"x","")</f>
        <v/>
      </c>
    </row>
    <row r="2437" spans="1:30" s="351" customFormat="1" ht="15.75" hidden="1" customHeight="1">
      <c r="A2437" s="336" t="str">
        <f>IF(B2437&lt;&gt;"",IF(AND(B2437='IN-TC'!$S$4,OR(TH!N2437="1111",TH!O2437="1111")),TH!D2437,""),"")</f>
        <v/>
      </c>
      <c r="B2437" s="63" t="str">
        <f t="shared" si="292"/>
        <v/>
      </c>
      <c r="C2437" s="64"/>
      <c r="D2437" s="64"/>
      <c r="E2437" s="64"/>
      <c r="F2437" s="67"/>
      <c r="G2437" s="67"/>
      <c r="H2437" s="73"/>
      <c r="I2437" s="439"/>
      <c r="J2437" s="439"/>
      <c r="K2437" s="430"/>
      <c r="L2437" s="439"/>
      <c r="M2437" s="65"/>
      <c r="N2437" s="66"/>
      <c r="O2437" s="66"/>
      <c r="P2437" s="84" t="str">
        <f>IF(AND('331-CT'!$E$7=TH!H2437,OR(N2437="331",O2437="331")),"x","")</f>
        <v/>
      </c>
      <c r="Q2437" s="84" t="str">
        <f>IF(AND(B2437='111'!$L$11,OR($N2437=$Q$7,$O2437=$Q$7)),"x","")</f>
        <v/>
      </c>
      <c r="R2437" s="84" t="str">
        <f>IF(AND($N2437=$Q$7,$B2437&lt;'111'!$L$11),"x","")</f>
        <v/>
      </c>
      <c r="S2437" s="84" t="str">
        <f>IF(AND($O2437=$Q$7,$B2437&lt;'111'!$L$11),"x","")</f>
        <v/>
      </c>
      <c r="T2437" s="84" t="str">
        <f>IF(ISERROR(FIND('112'!$M$9,G2437,1)),"",IF((AND(FIND('112'!$M$9,G2437,1)&gt;=1,B2437='112'!$K$9,OR($N2437='112'!$I$6,$O2437='112'!$I$6))),"x",""))</f>
        <v/>
      </c>
      <c r="U2437" s="84" t="str">
        <f>IF(ISERROR(FIND('112'!$M$9,G2437,1)),"",IF((AND(LEFT(G2437,2)=LEFT('112'!$M$9,2),B2437&lt;'112'!$K$9,$N2437='112'!$I$6)),"x",""))</f>
        <v/>
      </c>
      <c r="V2437" s="84" t="str">
        <f>IF(ISERROR(FIND('112'!$M$9,G2437,1)),"",IF((AND(RIGHT(G2437,2)=RIGHT('112'!$M$9,2),B2437&lt;'112'!$K$9,$O2437='112'!$I$6)),"x",""))</f>
        <v/>
      </c>
      <c r="W2437" s="84" t="str">
        <f>IF(AND('341-CT'!$H$9=H2437,OR(LEFT(N2437,3)=$W$7,LEFT(O2437,3)=$W$7)),"x","")</f>
        <v/>
      </c>
      <c r="X2437" s="84" t="str">
        <f>IF(OR(TH!N2437=TH!$X$7,O2437=TH!$X$7),"x","")</f>
        <v/>
      </c>
      <c r="Y2437" s="84" t="str">
        <f>IF(AND(OR(N2437="131",O2437="131"),H2437='131-CT'!$H$9),"x","")</f>
        <v/>
      </c>
      <c r="Z2437" s="84"/>
      <c r="AA2437" s="84" t="str">
        <f>IF(AND(MONTH(E2437)='IN-NX'!$J$5,'IN-NX'!$D$7=D2437),"x","")</f>
        <v/>
      </c>
      <c r="AB2437" s="84" t="str">
        <f>IF(AND(OR(LEFT(TH!N2437,2)="15",LEFT(TH!O2437,2)="15"),LEFT(TH!O2437,3)&lt;&gt;"111",'152-CT'!$J$8=TH!F2437),"x","")</f>
        <v/>
      </c>
      <c r="AC2437" s="84" t="str">
        <f>IF(AND(OR(LEFT(TH!N2437,2)="15",LEFT(TH!O2437,2)="15"),TK!$E$7=TH!F2437),"x","")</f>
        <v/>
      </c>
      <c r="AD2437" s="84" t="str">
        <f>IF(AND(N2437="1521",MONTH(C2437)='BK-NL'!$M$11),"x","")</f>
        <v/>
      </c>
    </row>
    <row r="2438" spans="1:30" s="351" customFormat="1" ht="15.75" hidden="1" customHeight="1">
      <c r="A2438" s="336" t="str">
        <f>IF(B2438&lt;&gt;"",IF(AND(B2438='IN-TC'!$S$4,OR(TH!N2438="1111",TH!O2438="1111")),TH!D2438,""),"")</f>
        <v/>
      </c>
      <c r="B2438" s="63" t="str">
        <f t="shared" si="292"/>
        <v/>
      </c>
      <c r="C2438" s="64"/>
      <c r="D2438" s="64"/>
      <c r="E2438" s="64"/>
      <c r="F2438" s="67"/>
      <c r="G2438" s="67"/>
      <c r="H2438" s="73"/>
      <c r="I2438" s="439"/>
      <c r="J2438" s="439"/>
      <c r="K2438" s="430"/>
      <c r="L2438" s="439"/>
      <c r="M2438" s="65"/>
      <c r="N2438" s="66"/>
      <c r="O2438" s="66"/>
      <c r="P2438" s="84" t="str">
        <f>IF(AND('331-CT'!$E$7=TH!H2438,OR(N2438="331",O2438="331")),"x","")</f>
        <v/>
      </c>
      <c r="Q2438" s="84" t="str">
        <f>IF(AND(B2438='111'!$L$11,OR($N2438=$Q$7,$O2438=$Q$7)),"x","")</f>
        <v/>
      </c>
      <c r="R2438" s="84" t="str">
        <f>IF(AND($N2438=$Q$7,$B2438&lt;'111'!$L$11),"x","")</f>
        <v/>
      </c>
      <c r="S2438" s="84" t="str">
        <f>IF(AND($O2438=$Q$7,$B2438&lt;'111'!$L$11),"x","")</f>
        <v/>
      </c>
      <c r="T2438" s="84" t="str">
        <f>IF(ISERROR(FIND('112'!$M$9,G2438,1)),"",IF((AND(FIND('112'!$M$9,G2438,1)&gt;=1,B2438='112'!$K$9,OR($N2438='112'!$I$6,$O2438='112'!$I$6))),"x",""))</f>
        <v/>
      </c>
      <c r="U2438" s="84" t="str">
        <f>IF(ISERROR(FIND('112'!$M$9,G2438,1)),"",IF((AND(LEFT(G2438,2)=LEFT('112'!$M$9,2),B2438&lt;'112'!$K$9,$N2438='112'!$I$6)),"x",""))</f>
        <v/>
      </c>
      <c r="V2438" s="84" t="str">
        <f>IF(ISERROR(FIND('112'!$M$9,G2438,1)),"",IF((AND(RIGHT(G2438,2)=RIGHT('112'!$M$9,2),B2438&lt;'112'!$K$9,$O2438='112'!$I$6)),"x",""))</f>
        <v/>
      </c>
      <c r="W2438" s="84" t="str">
        <f>IF(AND('341-CT'!$H$9=H2438,OR(LEFT(N2438,3)=$W$7,LEFT(O2438,3)=$W$7)),"x","")</f>
        <v/>
      </c>
      <c r="X2438" s="84" t="str">
        <f>IF(OR(TH!N2438=TH!$X$7,O2438=TH!$X$7),"x","")</f>
        <v/>
      </c>
      <c r="Y2438" s="84" t="str">
        <f>IF(AND(OR(N2438="131",O2438="131"),H2438='131-CT'!$H$9),"x","")</f>
        <v/>
      </c>
      <c r="Z2438" s="84"/>
      <c r="AA2438" s="84" t="str">
        <f>IF(AND(MONTH(E2438)='IN-NX'!$J$5,'IN-NX'!$D$7=D2438),"x","")</f>
        <v/>
      </c>
      <c r="AB2438" s="84" t="str">
        <f>IF(AND(OR(LEFT(TH!N2438,2)="15",LEFT(TH!O2438,2)="15"),LEFT(TH!O2438,3)&lt;&gt;"111",'152-CT'!$J$8=TH!F2438),"x","")</f>
        <v/>
      </c>
      <c r="AC2438" s="84" t="str">
        <f>IF(AND(OR(LEFT(TH!N2438,2)="15",LEFT(TH!O2438,2)="15"),TK!$E$7=TH!F2438),"x","")</f>
        <v/>
      </c>
      <c r="AD2438" s="84" t="str">
        <f>IF(AND(N2438="1521",MONTH(C2438)='BK-NL'!$M$11),"x","")</f>
        <v/>
      </c>
    </row>
    <row r="2439" spans="1:30" s="351" customFormat="1" ht="15.75" hidden="1" customHeight="1">
      <c r="A2439" s="336" t="str">
        <f>IF(B2439&lt;&gt;"",IF(AND(B2439='IN-TC'!$S$4,OR(TH!N2439="1111",TH!O2439="1111")),TH!D2439,""),"")</f>
        <v/>
      </c>
      <c r="B2439" s="63" t="str">
        <f t="shared" si="292"/>
        <v/>
      </c>
      <c r="C2439" s="64"/>
      <c r="D2439" s="64"/>
      <c r="E2439" s="64"/>
      <c r="F2439" s="67"/>
      <c r="G2439" s="67"/>
      <c r="H2439" s="73"/>
      <c r="I2439" s="439"/>
      <c r="J2439" s="439"/>
      <c r="K2439" s="430"/>
      <c r="L2439" s="439"/>
      <c r="M2439" s="65"/>
      <c r="N2439" s="66"/>
      <c r="O2439" s="66"/>
      <c r="P2439" s="84" t="str">
        <f>IF(AND('331-CT'!$E$7=TH!H2439,OR(N2439="331",O2439="331")),"x","")</f>
        <v/>
      </c>
      <c r="Q2439" s="84" t="str">
        <f>IF(AND(B2439='111'!$L$11,OR($N2439=$Q$7,$O2439=$Q$7)),"x","")</f>
        <v/>
      </c>
      <c r="R2439" s="84" t="str">
        <f>IF(AND($N2439=$Q$7,$B2439&lt;'111'!$L$11),"x","")</f>
        <v/>
      </c>
      <c r="S2439" s="84" t="str">
        <f>IF(AND($O2439=$Q$7,$B2439&lt;'111'!$L$11),"x","")</f>
        <v/>
      </c>
      <c r="T2439" s="84" t="str">
        <f>IF(ISERROR(FIND('112'!$M$9,G2439,1)),"",IF((AND(FIND('112'!$M$9,G2439,1)&gt;=1,B2439='112'!$K$9,OR($N2439='112'!$I$6,$O2439='112'!$I$6))),"x",""))</f>
        <v/>
      </c>
      <c r="U2439" s="84" t="str">
        <f>IF(ISERROR(FIND('112'!$M$9,G2439,1)),"",IF((AND(LEFT(G2439,2)=LEFT('112'!$M$9,2),B2439&lt;'112'!$K$9,$N2439='112'!$I$6)),"x",""))</f>
        <v/>
      </c>
      <c r="V2439" s="84" t="str">
        <f>IF(ISERROR(FIND('112'!$M$9,G2439,1)),"",IF((AND(RIGHT(G2439,2)=RIGHT('112'!$M$9,2),B2439&lt;'112'!$K$9,$O2439='112'!$I$6)),"x",""))</f>
        <v/>
      </c>
      <c r="W2439" s="84" t="str">
        <f>IF(AND('341-CT'!$H$9=H2439,OR(LEFT(N2439,3)=$W$7,LEFT(O2439,3)=$W$7)),"x","")</f>
        <v/>
      </c>
      <c r="X2439" s="84" t="str">
        <f>IF(OR(TH!N2439=TH!$X$7,O2439=TH!$X$7),"x","")</f>
        <v/>
      </c>
      <c r="Y2439" s="84" t="str">
        <f>IF(AND(OR(N2439="131",O2439="131"),H2439='131-CT'!$H$9),"x","")</f>
        <v/>
      </c>
      <c r="Z2439" s="84"/>
      <c r="AA2439" s="84" t="str">
        <f>IF(AND(MONTH(E2439)='IN-NX'!$J$5,'IN-NX'!$D$7=D2439),"x","")</f>
        <v/>
      </c>
      <c r="AB2439" s="84" t="str">
        <f>IF(AND(OR(LEFT(TH!N2439,2)="15",LEFT(TH!O2439,2)="15"),LEFT(TH!O2439,3)&lt;&gt;"111",'152-CT'!$J$8=TH!F2439),"x","")</f>
        <v/>
      </c>
      <c r="AC2439" s="84" t="str">
        <f>IF(AND(OR(LEFT(TH!N2439,2)="15",LEFT(TH!O2439,2)="15"),TK!$E$7=TH!F2439),"x","")</f>
        <v/>
      </c>
      <c r="AD2439" s="84" t="str">
        <f>IF(AND(N2439="1521",MONTH(C2439)='BK-NL'!$M$11),"x","")</f>
        <v/>
      </c>
    </row>
    <row r="2440" spans="1:30" s="351" customFormat="1" ht="15.75" hidden="1" customHeight="1">
      <c r="A2440" s="336" t="str">
        <f>IF(B2440&lt;&gt;"",IF(AND(B2440='IN-TC'!$S$4,OR(TH!N2440="1111",TH!O2440="1111")),TH!D2440,""),"")</f>
        <v/>
      </c>
      <c r="B2440" s="63" t="str">
        <f t="shared" si="292"/>
        <v/>
      </c>
      <c r="C2440" s="64"/>
      <c r="D2440" s="64"/>
      <c r="E2440" s="64"/>
      <c r="F2440" s="67"/>
      <c r="G2440" s="67"/>
      <c r="H2440" s="73"/>
      <c r="I2440" s="439"/>
      <c r="J2440" s="439"/>
      <c r="K2440" s="430"/>
      <c r="L2440" s="439"/>
      <c r="M2440" s="65"/>
      <c r="N2440" s="66"/>
      <c r="O2440" s="66"/>
      <c r="P2440" s="84" t="str">
        <f>IF(AND('331-CT'!$E$7=TH!H2440,OR(N2440="331",O2440="331")),"x","")</f>
        <v/>
      </c>
      <c r="Q2440" s="84" t="str">
        <f>IF(AND(B2440='111'!$L$11,OR($N2440=$Q$7,$O2440=$Q$7)),"x","")</f>
        <v/>
      </c>
      <c r="R2440" s="84" t="str">
        <f>IF(AND($N2440=$Q$7,$B2440&lt;'111'!$L$11),"x","")</f>
        <v/>
      </c>
      <c r="S2440" s="84" t="str">
        <f>IF(AND($O2440=$Q$7,$B2440&lt;'111'!$L$11),"x","")</f>
        <v/>
      </c>
      <c r="T2440" s="84" t="str">
        <f>IF(ISERROR(FIND('112'!$M$9,G2440,1)),"",IF((AND(FIND('112'!$M$9,G2440,1)&gt;=1,B2440='112'!$K$9,OR($N2440='112'!$I$6,$O2440='112'!$I$6))),"x",""))</f>
        <v/>
      </c>
      <c r="U2440" s="84" t="str">
        <f>IF(ISERROR(FIND('112'!$M$9,G2440,1)),"",IF((AND(LEFT(G2440,2)=LEFT('112'!$M$9,2),B2440&lt;'112'!$K$9,$N2440='112'!$I$6)),"x",""))</f>
        <v/>
      </c>
      <c r="V2440" s="84" t="str">
        <f>IF(ISERROR(FIND('112'!$M$9,G2440,1)),"",IF((AND(RIGHT(G2440,2)=RIGHT('112'!$M$9,2),B2440&lt;'112'!$K$9,$O2440='112'!$I$6)),"x",""))</f>
        <v/>
      </c>
      <c r="W2440" s="84" t="str">
        <f>IF(AND('341-CT'!$H$9=H2440,OR(LEFT(N2440,3)=$W$7,LEFT(O2440,3)=$W$7)),"x","")</f>
        <v/>
      </c>
      <c r="X2440" s="84" t="str">
        <f>IF(OR(TH!N2440=TH!$X$7,O2440=TH!$X$7),"x","")</f>
        <v/>
      </c>
      <c r="Y2440" s="84" t="str">
        <f>IF(AND(OR(N2440="131",O2440="131"),H2440='131-CT'!$H$9),"x","")</f>
        <v/>
      </c>
      <c r="Z2440" s="84"/>
      <c r="AA2440" s="84" t="str">
        <f>IF(AND(MONTH(E2440)='IN-NX'!$J$5,'IN-NX'!$D$7=D2440),"x","")</f>
        <v/>
      </c>
      <c r="AB2440" s="84" t="str">
        <f>IF(AND(OR(LEFT(TH!N2440,2)="15",LEFT(TH!O2440,2)="15"),LEFT(TH!O2440,3)&lt;&gt;"111",'152-CT'!$J$8=TH!F2440),"x","")</f>
        <v/>
      </c>
      <c r="AC2440" s="84" t="str">
        <f>IF(AND(OR(LEFT(TH!N2440,2)="15",LEFT(TH!O2440,2)="15"),TK!$E$7=TH!F2440),"x","")</f>
        <v/>
      </c>
      <c r="AD2440" s="84" t="str">
        <f>IF(AND(N2440="1521",MONTH(C2440)='BK-NL'!$M$11),"x","")</f>
        <v/>
      </c>
    </row>
    <row r="2441" spans="1:30" s="351" customFormat="1" ht="15.75" hidden="1" customHeight="1">
      <c r="A2441" s="336" t="str">
        <f>IF(B2441&lt;&gt;"",IF(AND(B2441='IN-TC'!$S$4,OR(TH!N2441="1111",TH!O2441="1111")),TH!D2441,""),"")</f>
        <v/>
      </c>
      <c r="B2441" s="63" t="str">
        <f t="shared" si="292"/>
        <v/>
      </c>
      <c r="C2441" s="64"/>
      <c r="D2441" s="64"/>
      <c r="E2441" s="64"/>
      <c r="F2441" s="67"/>
      <c r="G2441" s="67"/>
      <c r="H2441" s="73"/>
      <c r="I2441" s="439"/>
      <c r="J2441" s="439"/>
      <c r="K2441" s="430"/>
      <c r="L2441" s="439"/>
      <c r="M2441" s="65"/>
      <c r="N2441" s="66"/>
      <c r="O2441" s="66"/>
      <c r="P2441" s="84" t="str">
        <f>IF(AND('331-CT'!$E$7=TH!H2441,OR(N2441="331",O2441="331")),"x","")</f>
        <v/>
      </c>
      <c r="Q2441" s="84" t="str">
        <f>IF(AND(B2441='111'!$L$11,OR($N2441=$Q$7,$O2441=$Q$7)),"x","")</f>
        <v/>
      </c>
      <c r="R2441" s="84" t="str">
        <f>IF(AND($N2441=$Q$7,$B2441&lt;'111'!$L$11),"x","")</f>
        <v/>
      </c>
      <c r="S2441" s="84" t="str">
        <f>IF(AND($O2441=$Q$7,$B2441&lt;'111'!$L$11),"x","")</f>
        <v/>
      </c>
      <c r="T2441" s="84" t="str">
        <f>IF(ISERROR(FIND('112'!$M$9,G2441,1)),"",IF((AND(FIND('112'!$M$9,G2441,1)&gt;=1,B2441='112'!$K$9,OR($N2441='112'!$I$6,$O2441='112'!$I$6))),"x",""))</f>
        <v/>
      </c>
      <c r="U2441" s="84" t="str">
        <f>IF(ISERROR(FIND('112'!$M$9,G2441,1)),"",IF((AND(LEFT(G2441,2)=LEFT('112'!$M$9,2),B2441&lt;'112'!$K$9,$N2441='112'!$I$6)),"x",""))</f>
        <v/>
      </c>
      <c r="V2441" s="84" t="str">
        <f>IF(ISERROR(FIND('112'!$M$9,G2441,1)),"",IF((AND(RIGHT(G2441,2)=RIGHT('112'!$M$9,2),B2441&lt;'112'!$K$9,$O2441='112'!$I$6)),"x",""))</f>
        <v/>
      </c>
      <c r="W2441" s="84" t="str">
        <f>IF(AND('341-CT'!$H$9=H2441,OR(LEFT(N2441,3)=$W$7,LEFT(O2441,3)=$W$7)),"x","")</f>
        <v/>
      </c>
      <c r="X2441" s="84" t="str">
        <f>IF(OR(TH!N2441=TH!$X$7,O2441=TH!$X$7),"x","")</f>
        <v/>
      </c>
      <c r="Y2441" s="84" t="str">
        <f>IF(AND(OR(N2441="131",O2441="131"),H2441='131-CT'!$H$9),"x","")</f>
        <v/>
      </c>
      <c r="Z2441" s="84"/>
      <c r="AA2441" s="84" t="str">
        <f>IF(AND(MONTH(E2441)='IN-NX'!$J$5,'IN-NX'!$D$7=D2441),"x","")</f>
        <v/>
      </c>
      <c r="AB2441" s="84" t="str">
        <f>IF(AND(OR(LEFT(TH!N2441,2)="15",LEFT(TH!O2441,2)="15"),LEFT(TH!O2441,3)&lt;&gt;"111",'152-CT'!$J$8=TH!F2441),"x","")</f>
        <v/>
      </c>
      <c r="AC2441" s="84" t="str">
        <f>IF(AND(OR(LEFT(TH!N2441,2)="15",LEFT(TH!O2441,2)="15"),TK!$E$7=TH!F2441),"x","")</f>
        <v/>
      </c>
      <c r="AD2441" s="84" t="str">
        <f>IF(AND(N2441="1521",MONTH(C2441)='BK-NL'!$M$11),"x","")</f>
        <v/>
      </c>
    </row>
    <row r="2442" spans="1:30" s="351" customFormat="1" ht="15.75" hidden="1" customHeight="1">
      <c r="A2442" s="336" t="str">
        <f>IF(B2442&lt;&gt;"",IF(AND(B2442='IN-TC'!$S$4,OR(TH!N2442="1111",TH!O2442="1111")),TH!D2442,""),"")</f>
        <v/>
      </c>
      <c r="B2442" s="63" t="str">
        <f t="shared" si="292"/>
        <v/>
      </c>
      <c r="C2442" s="64"/>
      <c r="D2442" s="64"/>
      <c r="E2442" s="64"/>
      <c r="F2442" s="67"/>
      <c r="G2442" s="67"/>
      <c r="H2442" s="73"/>
      <c r="I2442" s="439"/>
      <c r="J2442" s="439"/>
      <c r="K2442" s="430"/>
      <c r="L2442" s="439"/>
      <c r="M2442" s="65"/>
      <c r="N2442" s="66"/>
      <c r="O2442" s="66"/>
      <c r="P2442" s="84" t="str">
        <f>IF(AND('331-CT'!$E$7=TH!H2442,OR(N2442="331",O2442="331")),"x","")</f>
        <v/>
      </c>
      <c r="Q2442" s="84" t="str">
        <f>IF(AND(B2442='111'!$L$11,OR($N2442=$Q$7,$O2442=$Q$7)),"x","")</f>
        <v/>
      </c>
      <c r="R2442" s="84" t="str">
        <f>IF(AND($N2442=$Q$7,$B2442&lt;'111'!$L$11),"x","")</f>
        <v/>
      </c>
      <c r="S2442" s="84" t="str">
        <f>IF(AND($O2442=$Q$7,$B2442&lt;'111'!$L$11),"x","")</f>
        <v/>
      </c>
      <c r="T2442" s="84" t="str">
        <f>IF(ISERROR(FIND('112'!$M$9,G2442,1)),"",IF((AND(FIND('112'!$M$9,G2442,1)&gt;=1,B2442='112'!$K$9,OR($N2442='112'!$I$6,$O2442='112'!$I$6))),"x",""))</f>
        <v/>
      </c>
      <c r="U2442" s="84" t="str">
        <f>IF(ISERROR(FIND('112'!$M$9,G2442,1)),"",IF((AND(LEFT(G2442,2)=LEFT('112'!$M$9,2),B2442&lt;'112'!$K$9,$N2442='112'!$I$6)),"x",""))</f>
        <v/>
      </c>
      <c r="V2442" s="84" t="str">
        <f>IF(ISERROR(FIND('112'!$M$9,G2442,1)),"",IF((AND(RIGHT(G2442,2)=RIGHT('112'!$M$9,2),B2442&lt;'112'!$K$9,$O2442='112'!$I$6)),"x",""))</f>
        <v/>
      </c>
      <c r="W2442" s="84" t="str">
        <f>IF(AND('341-CT'!$H$9=H2442,OR(LEFT(N2442,3)=$W$7,LEFT(O2442,3)=$W$7)),"x","")</f>
        <v/>
      </c>
      <c r="X2442" s="84" t="str">
        <f>IF(OR(TH!N2442=TH!$X$7,O2442=TH!$X$7),"x","")</f>
        <v/>
      </c>
      <c r="Y2442" s="84" t="str">
        <f>IF(AND(OR(N2442="131",O2442="131"),H2442='131-CT'!$H$9),"x","")</f>
        <v/>
      </c>
      <c r="Z2442" s="84"/>
      <c r="AA2442" s="84" t="str">
        <f>IF(AND(MONTH(E2442)='IN-NX'!$J$5,'IN-NX'!$D$7=D2442),"x","")</f>
        <v/>
      </c>
      <c r="AB2442" s="84" t="str">
        <f>IF(AND(OR(LEFT(TH!N2442,2)="15",LEFT(TH!O2442,2)="15"),LEFT(TH!O2442,3)&lt;&gt;"111",'152-CT'!$J$8=TH!F2442),"x","")</f>
        <v/>
      </c>
      <c r="AC2442" s="84" t="str">
        <f>IF(AND(OR(LEFT(TH!N2442,2)="15",LEFT(TH!O2442,2)="15"),TK!$E$7=TH!F2442),"x","")</f>
        <v/>
      </c>
      <c r="AD2442" s="84" t="str">
        <f>IF(AND(N2442="1521",MONTH(C2442)='BK-NL'!$M$11),"x","")</f>
        <v/>
      </c>
    </row>
    <row r="2443" spans="1:30" s="351" customFormat="1" ht="15.75" hidden="1" customHeight="1">
      <c r="A2443" s="336" t="str">
        <f>IF(B2443&lt;&gt;"",IF(AND(B2443='IN-TC'!$S$4,OR(TH!N2443="1111",TH!O2443="1111")),TH!D2443,""),"")</f>
        <v/>
      </c>
      <c r="B2443" s="63" t="str">
        <f t="shared" si="292"/>
        <v/>
      </c>
      <c r="C2443" s="64"/>
      <c r="D2443" s="64"/>
      <c r="E2443" s="64"/>
      <c r="F2443" s="67"/>
      <c r="G2443" s="67"/>
      <c r="H2443" s="73"/>
      <c r="I2443" s="439"/>
      <c r="J2443" s="439"/>
      <c r="K2443" s="430"/>
      <c r="L2443" s="439"/>
      <c r="M2443" s="65"/>
      <c r="N2443" s="66"/>
      <c r="O2443" s="66"/>
      <c r="P2443" s="84" t="str">
        <f>IF(AND('331-CT'!$E$7=TH!H2443,OR(N2443="331",O2443="331")),"x","")</f>
        <v/>
      </c>
      <c r="Q2443" s="84" t="str">
        <f>IF(AND(B2443='111'!$L$11,OR($N2443=$Q$7,$O2443=$Q$7)),"x","")</f>
        <v/>
      </c>
      <c r="R2443" s="84" t="str">
        <f>IF(AND($N2443=$Q$7,$B2443&lt;'111'!$L$11),"x","")</f>
        <v/>
      </c>
      <c r="S2443" s="84" t="str">
        <f>IF(AND($O2443=$Q$7,$B2443&lt;'111'!$L$11),"x","")</f>
        <v/>
      </c>
      <c r="T2443" s="84" t="str">
        <f>IF(ISERROR(FIND('112'!$M$9,G2443,1)),"",IF((AND(FIND('112'!$M$9,G2443,1)&gt;=1,B2443='112'!$K$9,OR($N2443='112'!$I$6,$O2443='112'!$I$6))),"x",""))</f>
        <v/>
      </c>
      <c r="U2443" s="84" t="str">
        <f>IF(ISERROR(FIND('112'!$M$9,G2443,1)),"",IF((AND(LEFT(G2443,2)=LEFT('112'!$M$9,2),B2443&lt;'112'!$K$9,$N2443='112'!$I$6)),"x",""))</f>
        <v/>
      </c>
      <c r="V2443" s="84" t="str">
        <f>IF(ISERROR(FIND('112'!$M$9,G2443,1)),"",IF((AND(RIGHT(G2443,2)=RIGHT('112'!$M$9,2),B2443&lt;'112'!$K$9,$O2443='112'!$I$6)),"x",""))</f>
        <v/>
      </c>
      <c r="W2443" s="84" t="str">
        <f>IF(AND('341-CT'!$H$9=H2443,OR(LEFT(N2443,3)=$W$7,LEFT(O2443,3)=$W$7)),"x","")</f>
        <v/>
      </c>
      <c r="X2443" s="84" t="str">
        <f>IF(OR(TH!N2443=TH!$X$7,O2443=TH!$X$7),"x","")</f>
        <v/>
      </c>
      <c r="Y2443" s="84" t="str">
        <f>IF(AND(OR(N2443="131",O2443="131"),H2443='131-CT'!$H$9),"x","")</f>
        <v/>
      </c>
      <c r="Z2443" s="84"/>
      <c r="AA2443" s="84" t="str">
        <f>IF(AND(MONTH(E2443)='IN-NX'!$J$5,'IN-NX'!$D$7=D2443),"x","")</f>
        <v/>
      </c>
      <c r="AB2443" s="84" t="str">
        <f>IF(AND(OR(LEFT(TH!N2443,2)="15",LEFT(TH!O2443,2)="15"),LEFT(TH!O2443,3)&lt;&gt;"111",'152-CT'!$J$8=TH!F2443),"x","")</f>
        <v/>
      </c>
      <c r="AC2443" s="84" t="str">
        <f>IF(AND(OR(LEFT(TH!N2443,2)="15",LEFT(TH!O2443,2)="15"),TK!$E$7=TH!F2443),"x","")</f>
        <v/>
      </c>
      <c r="AD2443" s="84" t="str">
        <f>IF(AND(N2443="1521",MONTH(C2443)='BK-NL'!$M$11),"x","")</f>
        <v/>
      </c>
    </row>
    <row r="2444" spans="1:30" s="351" customFormat="1" ht="15.75" hidden="1" customHeight="1">
      <c r="A2444" s="336" t="str">
        <f>IF(B2444&lt;&gt;"",IF(AND(B2444='IN-TC'!$S$4,OR(TH!N2444="1111",TH!O2444="1111")),TH!D2444,""),"")</f>
        <v/>
      </c>
      <c r="B2444" s="63" t="str">
        <f t="shared" si="292"/>
        <v/>
      </c>
      <c r="C2444" s="64"/>
      <c r="D2444" s="64"/>
      <c r="E2444" s="64"/>
      <c r="F2444" s="67"/>
      <c r="G2444" s="67"/>
      <c r="H2444" s="73"/>
      <c r="I2444" s="439"/>
      <c r="J2444" s="439"/>
      <c r="K2444" s="430"/>
      <c r="L2444" s="439"/>
      <c r="M2444" s="65"/>
      <c r="N2444" s="66"/>
      <c r="O2444" s="66"/>
      <c r="P2444" s="84" t="str">
        <f>IF(AND('331-CT'!$E$7=TH!H2444,OR(N2444="331",O2444="331")),"x","")</f>
        <v/>
      </c>
      <c r="Q2444" s="84" t="str">
        <f>IF(AND(B2444='111'!$L$11,OR($N2444=$Q$7,$O2444=$Q$7)),"x","")</f>
        <v/>
      </c>
      <c r="R2444" s="84" t="str">
        <f>IF(AND($N2444=$Q$7,$B2444&lt;'111'!$L$11),"x","")</f>
        <v/>
      </c>
      <c r="S2444" s="84" t="str">
        <f>IF(AND($O2444=$Q$7,$B2444&lt;'111'!$L$11),"x","")</f>
        <v/>
      </c>
      <c r="T2444" s="84" t="str">
        <f>IF(ISERROR(FIND('112'!$M$9,G2444,1)),"",IF((AND(FIND('112'!$M$9,G2444,1)&gt;=1,B2444='112'!$K$9,OR($N2444='112'!$I$6,$O2444='112'!$I$6))),"x",""))</f>
        <v/>
      </c>
      <c r="U2444" s="84" t="str">
        <f>IF(ISERROR(FIND('112'!$M$9,G2444,1)),"",IF((AND(LEFT(G2444,2)=LEFT('112'!$M$9,2),B2444&lt;'112'!$K$9,$N2444='112'!$I$6)),"x",""))</f>
        <v/>
      </c>
      <c r="V2444" s="84" t="str">
        <f>IF(ISERROR(FIND('112'!$M$9,G2444,1)),"",IF((AND(RIGHT(G2444,2)=RIGHT('112'!$M$9,2),B2444&lt;'112'!$K$9,$O2444='112'!$I$6)),"x",""))</f>
        <v/>
      </c>
      <c r="W2444" s="84" t="str">
        <f>IF(AND('341-CT'!$H$9=H2444,OR(LEFT(N2444,3)=$W$7,LEFT(O2444,3)=$W$7)),"x","")</f>
        <v/>
      </c>
      <c r="X2444" s="84" t="str">
        <f>IF(OR(TH!N2444=TH!$X$7,O2444=TH!$X$7),"x","")</f>
        <v/>
      </c>
      <c r="Y2444" s="84" t="str">
        <f>IF(AND(OR(N2444="131",O2444="131"),H2444='131-CT'!$H$9),"x","")</f>
        <v/>
      </c>
      <c r="Z2444" s="84"/>
      <c r="AA2444" s="84" t="str">
        <f>IF(AND(MONTH(E2444)='IN-NX'!$J$5,'IN-NX'!$D$7=D2444),"x","")</f>
        <v/>
      </c>
      <c r="AB2444" s="84" t="str">
        <f>IF(AND(OR(LEFT(TH!N2444,2)="15",LEFT(TH!O2444,2)="15"),LEFT(TH!O2444,3)&lt;&gt;"111",'152-CT'!$J$8=TH!F2444),"x","")</f>
        <v/>
      </c>
      <c r="AC2444" s="84" t="str">
        <f>IF(AND(OR(LEFT(TH!N2444,2)="15",LEFT(TH!O2444,2)="15"),TK!$E$7=TH!F2444),"x","")</f>
        <v/>
      </c>
      <c r="AD2444" s="84" t="str">
        <f>IF(AND(N2444="1521",MONTH(C2444)='BK-NL'!$M$11),"x","")</f>
        <v/>
      </c>
    </row>
    <row r="2445" spans="1:30" s="351" customFormat="1" ht="15.75" hidden="1" customHeight="1">
      <c r="A2445" s="336" t="str">
        <f>IF(B2445&lt;&gt;"",IF(AND(B2445='IN-TC'!$S$4,OR(TH!N2445="1111",TH!O2445="1111")),TH!D2445,""),"")</f>
        <v/>
      </c>
      <c r="B2445" s="63" t="str">
        <f t="shared" si="292"/>
        <v/>
      </c>
      <c r="C2445" s="64"/>
      <c r="D2445" s="64"/>
      <c r="E2445" s="64"/>
      <c r="F2445" s="67"/>
      <c r="G2445" s="67"/>
      <c r="H2445" s="73"/>
      <c r="I2445" s="439"/>
      <c r="J2445" s="439"/>
      <c r="K2445" s="430"/>
      <c r="L2445" s="439"/>
      <c r="M2445" s="65"/>
      <c r="N2445" s="66"/>
      <c r="O2445" s="66"/>
      <c r="P2445" s="84" t="str">
        <f>IF(AND('331-CT'!$E$7=TH!H2445,OR(N2445="331",O2445="331")),"x","")</f>
        <v/>
      </c>
      <c r="Q2445" s="84" t="str">
        <f>IF(AND(B2445='111'!$L$11,OR($N2445=$Q$7,$O2445=$Q$7)),"x","")</f>
        <v/>
      </c>
      <c r="R2445" s="84" t="str">
        <f>IF(AND($N2445=$Q$7,$B2445&lt;'111'!$L$11),"x","")</f>
        <v/>
      </c>
      <c r="S2445" s="84" t="str">
        <f>IF(AND($O2445=$Q$7,$B2445&lt;'111'!$L$11),"x","")</f>
        <v/>
      </c>
      <c r="T2445" s="84" t="str">
        <f>IF(ISERROR(FIND('112'!$M$9,G2445,1)),"",IF((AND(FIND('112'!$M$9,G2445,1)&gt;=1,B2445='112'!$K$9,OR($N2445='112'!$I$6,$O2445='112'!$I$6))),"x",""))</f>
        <v/>
      </c>
      <c r="U2445" s="84" t="str">
        <f>IF(ISERROR(FIND('112'!$M$9,G2445,1)),"",IF((AND(LEFT(G2445,2)=LEFT('112'!$M$9,2),B2445&lt;'112'!$K$9,$N2445='112'!$I$6)),"x",""))</f>
        <v/>
      </c>
      <c r="V2445" s="84" t="str">
        <f>IF(ISERROR(FIND('112'!$M$9,G2445,1)),"",IF((AND(RIGHT(G2445,2)=RIGHT('112'!$M$9,2),B2445&lt;'112'!$K$9,$O2445='112'!$I$6)),"x",""))</f>
        <v/>
      </c>
      <c r="W2445" s="84" t="str">
        <f>IF(AND('341-CT'!$H$9=H2445,OR(LEFT(N2445,3)=$W$7,LEFT(O2445,3)=$W$7)),"x","")</f>
        <v/>
      </c>
      <c r="X2445" s="84" t="str">
        <f>IF(OR(TH!N2445=TH!$X$7,O2445=TH!$X$7),"x","")</f>
        <v/>
      </c>
      <c r="Y2445" s="84" t="str">
        <f>IF(AND(OR(N2445="131",O2445="131"),H2445='131-CT'!$H$9),"x","")</f>
        <v/>
      </c>
      <c r="Z2445" s="84"/>
      <c r="AA2445" s="84" t="str">
        <f>IF(AND(MONTH(E2445)='IN-NX'!$J$5,'IN-NX'!$D$7=D2445),"x","")</f>
        <v/>
      </c>
      <c r="AB2445" s="84" t="str">
        <f>IF(AND(OR(LEFT(TH!N2445,2)="15",LEFT(TH!O2445,2)="15"),LEFT(TH!O2445,3)&lt;&gt;"111",'152-CT'!$J$8=TH!F2445),"x","")</f>
        <v/>
      </c>
      <c r="AC2445" s="84" t="str">
        <f>IF(AND(OR(LEFT(TH!N2445,2)="15",LEFT(TH!O2445,2)="15"),TK!$E$7=TH!F2445),"x","")</f>
        <v/>
      </c>
      <c r="AD2445" s="84" t="str">
        <f>IF(AND(N2445="1521",MONTH(C2445)='BK-NL'!$M$11),"x","")</f>
        <v/>
      </c>
    </row>
    <row r="2446" spans="1:30" s="351" customFormat="1" ht="15.75" hidden="1" customHeight="1">
      <c r="A2446" s="336" t="str">
        <f>IF(B2446&lt;&gt;"",IF(AND(B2446='IN-TC'!$S$4,OR(TH!N2446="1111",TH!O2446="1111")),TH!D2446,""),"")</f>
        <v/>
      </c>
      <c r="B2446" s="63" t="str">
        <f t="shared" si="292"/>
        <v/>
      </c>
      <c r="C2446" s="64"/>
      <c r="D2446" s="64"/>
      <c r="E2446" s="64"/>
      <c r="F2446" s="67"/>
      <c r="G2446" s="67"/>
      <c r="H2446" s="73"/>
      <c r="I2446" s="439"/>
      <c r="J2446" s="439"/>
      <c r="K2446" s="430"/>
      <c r="L2446" s="439"/>
      <c r="M2446" s="65"/>
      <c r="N2446" s="66"/>
      <c r="O2446" s="66"/>
      <c r="P2446" s="84" t="str">
        <f>IF(AND('331-CT'!$E$7=TH!H2446,OR(N2446="331",O2446="331")),"x","")</f>
        <v/>
      </c>
      <c r="Q2446" s="84" t="str">
        <f>IF(AND(B2446='111'!$L$11,OR($N2446=$Q$7,$O2446=$Q$7)),"x","")</f>
        <v/>
      </c>
      <c r="R2446" s="84" t="str">
        <f>IF(AND($N2446=$Q$7,$B2446&lt;'111'!$L$11),"x","")</f>
        <v/>
      </c>
      <c r="S2446" s="84" t="str">
        <f>IF(AND($O2446=$Q$7,$B2446&lt;'111'!$L$11),"x","")</f>
        <v/>
      </c>
      <c r="T2446" s="84" t="str">
        <f>IF(ISERROR(FIND('112'!$M$9,G2446,1)),"",IF((AND(FIND('112'!$M$9,G2446,1)&gt;=1,B2446='112'!$K$9,OR($N2446='112'!$I$6,$O2446='112'!$I$6))),"x",""))</f>
        <v/>
      </c>
      <c r="U2446" s="84" t="str">
        <f>IF(ISERROR(FIND('112'!$M$9,G2446,1)),"",IF((AND(LEFT(G2446,2)=LEFT('112'!$M$9,2),B2446&lt;'112'!$K$9,$N2446='112'!$I$6)),"x",""))</f>
        <v/>
      </c>
      <c r="V2446" s="84" t="str">
        <f>IF(ISERROR(FIND('112'!$M$9,G2446,1)),"",IF((AND(RIGHT(G2446,2)=RIGHT('112'!$M$9,2),B2446&lt;'112'!$K$9,$O2446='112'!$I$6)),"x",""))</f>
        <v/>
      </c>
      <c r="W2446" s="84" t="str">
        <f>IF(AND('341-CT'!$H$9=H2446,OR(LEFT(N2446,3)=$W$7,LEFT(O2446,3)=$W$7)),"x","")</f>
        <v/>
      </c>
      <c r="X2446" s="84" t="str">
        <f>IF(OR(TH!N2446=TH!$X$7,O2446=TH!$X$7),"x","")</f>
        <v/>
      </c>
      <c r="Y2446" s="84" t="str">
        <f>IF(AND(OR(N2446="131",O2446="131"),H2446='131-CT'!$H$9),"x","")</f>
        <v/>
      </c>
      <c r="Z2446" s="84"/>
      <c r="AA2446" s="84" t="str">
        <f>IF(AND(MONTH(E2446)='IN-NX'!$J$5,'IN-NX'!$D$7=D2446),"x","")</f>
        <v/>
      </c>
      <c r="AB2446" s="84" t="str">
        <f>IF(AND(OR(LEFT(TH!N2446,2)="15",LEFT(TH!O2446,2)="15"),LEFT(TH!O2446,3)&lt;&gt;"111",'152-CT'!$J$8=TH!F2446),"x","")</f>
        <v/>
      </c>
      <c r="AC2446" s="84" t="str">
        <f>IF(AND(OR(LEFT(TH!N2446,2)="15",LEFT(TH!O2446,2)="15"),TK!$E$7=TH!F2446),"x","")</f>
        <v/>
      </c>
      <c r="AD2446" s="84" t="str">
        <f>IF(AND(N2446="1521",MONTH(C2446)='BK-NL'!$M$11),"x","")</f>
        <v/>
      </c>
    </row>
    <row r="2447" spans="1:30" s="351" customFormat="1" ht="15.75" hidden="1" customHeight="1">
      <c r="A2447" s="336" t="str">
        <f>IF(B2447&lt;&gt;"",IF(AND(B2447='IN-TC'!$S$4,OR(TH!N2447="1111",TH!O2447="1111")),TH!D2447,""),"")</f>
        <v/>
      </c>
      <c r="B2447" s="63" t="str">
        <f t="shared" si="292"/>
        <v/>
      </c>
      <c r="C2447" s="64"/>
      <c r="D2447" s="64"/>
      <c r="E2447" s="64"/>
      <c r="F2447" s="67"/>
      <c r="G2447" s="67"/>
      <c r="H2447" s="73"/>
      <c r="I2447" s="439"/>
      <c r="J2447" s="439"/>
      <c r="K2447" s="430"/>
      <c r="L2447" s="439"/>
      <c r="M2447" s="65"/>
      <c r="N2447" s="66"/>
      <c r="O2447" s="66"/>
      <c r="P2447" s="84" t="str">
        <f>IF(AND('331-CT'!$E$7=TH!H2447,OR(N2447="331",O2447="331")),"x","")</f>
        <v/>
      </c>
      <c r="Q2447" s="84" t="str">
        <f>IF(AND(B2447='111'!$L$11,OR($N2447=$Q$7,$O2447=$Q$7)),"x","")</f>
        <v/>
      </c>
      <c r="R2447" s="84" t="str">
        <f>IF(AND($N2447=$Q$7,$B2447&lt;'111'!$L$11),"x","")</f>
        <v/>
      </c>
      <c r="S2447" s="84" t="str">
        <f>IF(AND($O2447=$Q$7,$B2447&lt;'111'!$L$11),"x","")</f>
        <v/>
      </c>
      <c r="T2447" s="84" t="str">
        <f>IF(ISERROR(FIND('112'!$M$9,G2447,1)),"",IF((AND(FIND('112'!$M$9,G2447,1)&gt;=1,B2447='112'!$K$9,OR($N2447='112'!$I$6,$O2447='112'!$I$6))),"x",""))</f>
        <v/>
      </c>
      <c r="U2447" s="84" t="str">
        <f>IF(ISERROR(FIND('112'!$M$9,G2447,1)),"",IF((AND(LEFT(G2447,2)=LEFT('112'!$M$9,2),B2447&lt;'112'!$K$9,$N2447='112'!$I$6)),"x",""))</f>
        <v/>
      </c>
      <c r="V2447" s="84" t="str">
        <f>IF(ISERROR(FIND('112'!$M$9,G2447,1)),"",IF((AND(RIGHT(G2447,2)=RIGHT('112'!$M$9,2),B2447&lt;'112'!$K$9,$O2447='112'!$I$6)),"x",""))</f>
        <v/>
      </c>
      <c r="W2447" s="84" t="str">
        <f>IF(AND('341-CT'!$H$9=H2447,OR(LEFT(N2447,3)=$W$7,LEFT(O2447,3)=$W$7)),"x","")</f>
        <v/>
      </c>
      <c r="X2447" s="84" t="str">
        <f>IF(OR(TH!N2447=TH!$X$7,O2447=TH!$X$7),"x","")</f>
        <v/>
      </c>
      <c r="Y2447" s="84" t="str">
        <f>IF(AND(OR(N2447="131",O2447="131"),H2447='131-CT'!$H$9),"x","")</f>
        <v/>
      </c>
      <c r="Z2447" s="84"/>
      <c r="AA2447" s="84" t="str">
        <f>IF(AND(MONTH(E2447)='IN-NX'!$J$5,'IN-NX'!$D$7=D2447),"x","")</f>
        <v/>
      </c>
      <c r="AB2447" s="84" t="str">
        <f>IF(AND(OR(LEFT(TH!N2447,2)="15",LEFT(TH!O2447,2)="15"),LEFT(TH!O2447,3)&lt;&gt;"111",'152-CT'!$J$8=TH!F2447),"x","")</f>
        <v/>
      </c>
      <c r="AC2447" s="84" t="str">
        <f>IF(AND(OR(LEFT(TH!N2447,2)="15",LEFT(TH!O2447,2)="15"),TK!$E$7=TH!F2447),"x","")</f>
        <v/>
      </c>
      <c r="AD2447" s="84" t="str">
        <f>IF(AND(N2447="1521",MONTH(C2447)='BK-NL'!$M$11),"x","")</f>
        <v/>
      </c>
    </row>
    <row r="2448" spans="1:30" s="351" customFormat="1" ht="15.75" hidden="1" customHeight="1">
      <c r="A2448" s="336" t="str">
        <f>IF(B2448&lt;&gt;"",IF(AND(B2448='IN-TC'!$S$4,OR(TH!N2448="1111",TH!O2448="1111")),TH!D2448,""),"")</f>
        <v/>
      </c>
      <c r="B2448" s="63" t="str">
        <f t="shared" si="292"/>
        <v/>
      </c>
      <c r="C2448" s="64"/>
      <c r="D2448" s="64"/>
      <c r="E2448" s="64"/>
      <c r="F2448" s="67"/>
      <c r="G2448" s="67"/>
      <c r="H2448" s="73"/>
      <c r="I2448" s="439"/>
      <c r="J2448" s="439"/>
      <c r="K2448" s="430"/>
      <c r="L2448" s="439"/>
      <c r="M2448" s="65"/>
      <c r="N2448" s="66"/>
      <c r="O2448" s="66"/>
      <c r="P2448" s="84" t="str">
        <f>IF(AND('331-CT'!$E$7=TH!H2448,OR(N2448="331",O2448="331")),"x","")</f>
        <v/>
      </c>
      <c r="Q2448" s="84" t="str">
        <f>IF(AND(B2448='111'!$L$11,OR($N2448=$Q$7,$O2448=$Q$7)),"x","")</f>
        <v/>
      </c>
      <c r="R2448" s="84" t="str">
        <f>IF(AND($N2448=$Q$7,$B2448&lt;'111'!$L$11),"x","")</f>
        <v/>
      </c>
      <c r="S2448" s="84" t="str">
        <f>IF(AND($O2448=$Q$7,$B2448&lt;'111'!$L$11),"x","")</f>
        <v/>
      </c>
      <c r="T2448" s="84" t="str">
        <f>IF(ISERROR(FIND('112'!$M$9,G2448,1)),"",IF((AND(FIND('112'!$M$9,G2448,1)&gt;=1,B2448='112'!$K$9,OR($N2448='112'!$I$6,$O2448='112'!$I$6))),"x",""))</f>
        <v/>
      </c>
      <c r="U2448" s="84" t="str">
        <f>IF(ISERROR(FIND('112'!$M$9,G2448,1)),"",IF((AND(LEFT(G2448,2)=LEFT('112'!$M$9,2),B2448&lt;'112'!$K$9,$N2448='112'!$I$6)),"x",""))</f>
        <v/>
      </c>
      <c r="V2448" s="84" t="str">
        <f>IF(ISERROR(FIND('112'!$M$9,G2448,1)),"",IF((AND(RIGHT(G2448,2)=RIGHT('112'!$M$9,2),B2448&lt;'112'!$K$9,$O2448='112'!$I$6)),"x",""))</f>
        <v/>
      </c>
      <c r="W2448" s="84" t="str">
        <f>IF(AND('341-CT'!$H$9=H2448,OR(LEFT(N2448,3)=$W$7,LEFT(O2448,3)=$W$7)),"x","")</f>
        <v/>
      </c>
      <c r="X2448" s="84" t="str">
        <f>IF(OR(TH!N2448=TH!$X$7,O2448=TH!$X$7),"x","")</f>
        <v/>
      </c>
      <c r="Y2448" s="84" t="str">
        <f>IF(AND(OR(N2448="131",O2448="131"),H2448='131-CT'!$H$9),"x","")</f>
        <v/>
      </c>
      <c r="Z2448" s="84"/>
      <c r="AA2448" s="84" t="str">
        <f>IF(AND(MONTH(E2448)='IN-NX'!$J$5,'IN-NX'!$D$7=D2448),"x","")</f>
        <v/>
      </c>
      <c r="AB2448" s="84" t="str">
        <f>IF(AND(OR(LEFT(TH!N2448,2)="15",LEFT(TH!O2448,2)="15"),LEFT(TH!O2448,3)&lt;&gt;"111",'152-CT'!$J$8=TH!F2448),"x","")</f>
        <v/>
      </c>
      <c r="AC2448" s="84" t="str">
        <f>IF(AND(OR(LEFT(TH!N2448,2)="15",LEFT(TH!O2448,2)="15"),TK!$E$7=TH!F2448),"x","")</f>
        <v/>
      </c>
      <c r="AD2448" s="84" t="str">
        <f>IF(AND(N2448="1521",MONTH(C2448)='BK-NL'!$M$11),"x","")</f>
        <v/>
      </c>
    </row>
    <row r="2449" spans="1:30" s="351" customFormat="1" ht="15.75" hidden="1" customHeight="1">
      <c r="A2449" s="336" t="str">
        <f>IF(B2449&lt;&gt;"",IF(AND(B2449='IN-TC'!$S$4,OR(TH!N2449="1111",TH!O2449="1111")),TH!D2449,""),"")</f>
        <v/>
      </c>
      <c r="B2449" s="63" t="str">
        <f t="shared" si="292"/>
        <v/>
      </c>
      <c r="C2449" s="64"/>
      <c r="D2449" s="64"/>
      <c r="E2449" s="64"/>
      <c r="F2449" s="67"/>
      <c r="G2449" s="67"/>
      <c r="H2449" s="73"/>
      <c r="I2449" s="439"/>
      <c r="J2449" s="439"/>
      <c r="K2449" s="430"/>
      <c r="L2449" s="439"/>
      <c r="M2449" s="65"/>
      <c r="N2449" s="66"/>
      <c r="O2449" s="66"/>
      <c r="P2449" s="84" t="str">
        <f>IF(AND('331-CT'!$E$7=TH!H2449,OR(N2449="331",O2449="331")),"x","")</f>
        <v/>
      </c>
      <c r="Q2449" s="84" t="str">
        <f>IF(AND(B2449='111'!$L$11,OR($N2449=$Q$7,$O2449=$Q$7)),"x","")</f>
        <v/>
      </c>
      <c r="R2449" s="84" t="str">
        <f>IF(AND($N2449=$Q$7,$B2449&lt;'111'!$L$11),"x","")</f>
        <v/>
      </c>
      <c r="S2449" s="84" t="str">
        <f>IF(AND($O2449=$Q$7,$B2449&lt;'111'!$L$11),"x","")</f>
        <v/>
      </c>
      <c r="T2449" s="84" t="str">
        <f>IF(ISERROR(FIND('112'!$M$9,G2449,1)),"",IF((AND(FIND('112'!$M$9,G2449,1)&gt;=1,B2449='112'!$K$9,OR($N2449='112'!$I$6,$O2449='112'!$I$6))),"x",""))</f>
        <v/>
      </c>
      <c r="U2449" s="84" t="str">
        <f>IF(ISERROR(FIND('112'!$M$9,G2449,1)),"",IF((AND(LEFT(G2449,2)=LEFT('112'!$M$9,2),B2449&lt;'112'!$K$9,$N2449='112'!$I$6)),"x",""))</f>
        <v/>
      </c>
      <c r="V2449" s="84" t="str">
        <f>IF(ISERROR(FIND('112'!$M$9,G2449,1)),"",IF((AND(RIGHT(G2449,2)=RIGHT('112'!$M$9,2),B2449&lt;'112'!$K$9,$O2449='112'!$I$6)),"x",""))</f>
        <v/>
      </c>
      <c r="W2449" s="84" t="str">
        <f>IF(AND('341-CT'!$H$9=H2449,OR(LEFT(N2449,3)=$W$7,LEFT(O2449,3)=$W$7)),"x","")</f>
        <v/>
      </c>
      <c r="X2449" s="84" t="str">
        <f>IF(OR(TH!N2449=TH!$X$7,O2449=TH!$X$7),"x","")</f>
        <v/>
      </c>
      <c r="Y2449" s="84" t="str">
        <f>IF(AND(OR(N2449="131",O2449="131"),H2449='131-CT'!$H$9),"x","")</f>
        <v/>
      </c>
      <c r="Z2449" s="84"/>
      <c r="AA2449" s="84" t="str">
        <f>IF(AND(MONTH(E2449)='IN-NX'!$J$5,'IN-NX'!$D$7=D2449),"x","")</f>
        <v/>
      </c>
      <c r="AB2449" s="84" t="str">
        <f>IF(AND(OR(LEFT(TH!N2449,2)="15",LEFT(TH!O2449,2)="15"),LEFT(TH!O2449,3)&lt;&gt;"111",'152-CT'!$J$8=TH!F2449),"x","")</f>
        <v/>
      </c>
      <c r="AC2449" s="84" t="str">
        <f>IF(AND(OR(LEFT(TH!N2449,2)="15",LEFT(TH!O2449,2)="15"),TK!$E$7=TH!F2449),"x","")</f>
        <v/>
      </c>
      <c r="AD2449" s="84" t="str">
        <f>IF(AND(N2449="1521",MONTH(C2449)='BK-NL'!$M$11),"x","")</f>
        <v/>
      </c>
    </row>
    <row r="2450" spans="1:30" s="351" customFormat="1" ht="15.75" hidden="1" customHeight="1">
      <c r="A2450" s="336" t="str">
        <f>IF(B2450&lt;&gt;"",IF(AND(B2450='IN-TC'!$S$4,OR(TH!N2450="1111",TH!O2450="1111")),TH!D2450,""),"")</f>
        <v/>
      </c>
      <c r="B2450" s="63" t="str">
        <f t="shared" si="292"/>
        <v/>
      </c>
      <c r="C2450" s="64"/>
      <c r="D2450" s="64"/>
      <c r="E2450" s="64"/>
      <c r="F2450" s="67"/>
      <c r="G2450" s="67"/>
      <c r="H2450" s="73"/>
      <c r="I2450" s="439"/>
      <c r="J2450" s="439"/>
      <c r="K2450" s="430"/>
      <c r="L2450" s="439"/>
      <c r="M2450" s="65"/>
      <c r="N2450" s="66"/>
      <c r="O2450" s="66"/>
      <c r="P2450" s="84" t="str">
        <f>IF(AND('331-CT'!$E$7=TH!H2450,OR(N2450="331",O2450="331")),"x","")</f>
        <v/>
      </c>
      <c r="Q2450" s="84" t="str">
        <f>IF(AND(B2450='111'!$L$11,OR($N2450=$Q$7,$O2450=$Q$7)),"x","")</f>
        <v/>
      </c>
      <c r="R2450" s="84" t="str">
        <f>IF(AND($N2450=$Q$7,$B2450&lt;'111'!$L$11),"x","")</f>
        <v/>
      </c>
      <c r="S2450" s="84" t="str">
        <f>IF(AND($O2450=$Q$7,$B2450&lt;'111'!$L$11),"x","")</f>
        <v/>
      </c>
      <c r="T2450" s="84" t="str">
        <f>IF(ISERROR(FIND('112'!$M$9,G2450,1)),"",IF((AND(FIND('112'!$M$9,G2450,1)&gt;=1,B2450='112'!$K$9,OR($N2450='112'!$I$6,$O2450='112'!$I$6))),"x",""))</f>
        <v/>
      </c>
      <c r="U2450" s="84" t="str">
        <f>IF(ISERROR(FIND('112'!$M$9,G2450,1)),"",IF((AND(LEFT(G2450,2)=LEFT('112'!$M$9,2),B2450&lt;'112'!$K$9,$N2450='112'!$I$6)),"x",""))</f>
        <v/>
      </c>
      <c r="V2450" s="84" t="str">
        <f>IF(ISERROR(FIND('112'!$M$9,G2450,1)),"",IF((AND(RIGHT(G2450,2)=RIGHT('112'!$M$9,2),B2450&lt;'112'!$K$9,$O2450='112'!$I$6)),"x",""))</f>
        <v/>
      </c>
      <c r="W2450" s="84" t="str">
        <f>IF(AND('341-CT'!$H$9=H2450,OR(LEFT(N2450,3)=$W$7,LEFT(O2450,3)=$W$7)),"x","")</f>
        <v/>
      </c>
      <c r="X2450" s="84" t="str">
        <f>IF(OR(TH!N2450=TH!$X$7,O2450=TH!$X$7),"x","")</f>
        <v/>
      </c>
      <c r="Y2450" s="84" t="str">
        <f>IF(AND(OR(N2450="131",O2450="131"),H2450='131-CT'!$H$9),"x","")</f>
        <v/>
      </c>
      <c r="Z2450" s="84"/>
      <c r="AA2450" s="84" t="str">
        <f>IF(AND(MONTH(E2450)='IN-NX'!$J$5,'IN-NX'!$D$7=D2450),"x","")</f>
        <v/>
      </c>
      <c r="AB2450" s="84" t="str">
        <f>IF(AND(OR(LEFT(TH!N2450,2)="15",LEFT(TH!O2450,2)="15"),LEFT(TH!O2450,3)&lt;&gt;"111",'152-CT'!$J$8=TH!F2450),"x","")</f>
        <v/>
      </c>
      <c r="AC2450" s="84" t="str">
        <f>IF(AND(OR(LEFT(TH!N2450,2)="15",LEFT(TH!O2450,2)="15"),TK!$E$7=TH!F2450),"x","")</f>
        <v/>
      </c>
      <c r="AD2450" s="84" t="str">
        <f>IF(AND(N2450="1521",MONTH(C2450)='BK-NL'!$M$11),"x","")</f>
        <v/>
      </c>
    </row>
    <row r="2451" spans="1:30" s="351" customFormat="1" ht="15.75" hidden="1" customHeight="1">
      <c r="A2451" s="336" t="str">
        <f>IF(B2451&lt;&gt;"",IF(AND(B2451='IN-TC'!$S$4,OR(TH!N2451="1111",TH!O2451="1111")),TH!D2451,""),"")</f>
        <v/>
      </c>
      <c r="B2451" s="63" t="str">
        <f t="shared" si="292"/>
        <v/>
      </c>
      <c r="C2451" s="64"/>
      <c r="D2451" s="64"/>
      <c r="E2451" s="64"/>
      <c r="F2451" s="67"/>
      <c r="G2451" s="67"/>
      <c r="H2451" s="73"/>
      <c r="I2451" s="439"/>
      <c r="J2451" s="439"/>
      <c r="K2451" s="430"/>
      <c r="L2451" s="439"/>
      <c r="M2451" s="65"/>
      <c r="N2451" s="66"/>
      <c r="O2451" s="66"/>
      <c r="P2451" s="84" t="str">
        <f>IF(AND('331-CT'!$E$7=TH!H2451,OR(N2451="331",O2451="331")),"x","")</f>
        <v/>
      </c>
      <c r="Q2451" s="84" t="str">
        <f>IF(AND(B2451='111'!$L$11,OR($N2451=$Q$7,$O2451=$Q$7)),"x","")</f>
        <v/>
      </c>
      <c r="R2451" s="84" t="str">
        <f>IF(AND($N2451=$Q$7,$B2451&lt;'111'!$L$11),"x","")</f>
        <v/>
      </c>
      <c r="S2451" s="84" t="str">
        <f>IF(AND($O2451=$Q$7,$B2451&lt;'111'!$L$11),"x","")</f>
        <v/>
      </c>
      <c r="T2451" s="84" t="str">
        <f>IF(ISERROR(FIND('112'!$M$9,G2451,1)),"",IF((AND(FIND('112'!$M$9,G2451,1)&gt;=1,B2451='112'!$K$9,OR($N2451='112'!$I$6,$O2451='112'!$I$6))),"x",""))</f>
        <v/>
      </c>
      <c r="U2451" s="84" t="str">
        <f>IF(ISERROR(FIND('112'!$M$9,G2451,1)),"",IF((AND(LEFT(G2451,2)=LEFT('112'!$M$9,2),B2451&lt;'112'!$K$9,$N2451='112'!$I$6)),"x",""))</f>
        <v/>
      </c>
      <c r="V2451" s="84" t="str">
        <f>IF(ISERROR(FIND('112'!$M$9,G2451,1)),"",IF((AND(RIGHT(G2451,2)=RIGHT('112'!$M$9,2),B2451&lt;'112'!$K$9,$O2451='112'!$I$6)),"x",""))</f>
        <v/>
      </c>
      <c r="W2451" s="84" t="str">
        <f>IF(AND('341-CT'!$H$9=H2451,OR(LEFT(N2451,3)=$W$7,LEFT(O2451,3)=$W$7)),"x","")</f>
        <v/>
      </c>
      <c r="X2451" s="84" t="str">
        <f>IF(OR(TH!N2451=TH!$X$7,O2451=TH!$X$7),"x","")</f>
        <v/>
      </c>
      <c r="Y2451" s="84" t="str">
        <f>IF(AND(OR(N2451="131",O2451="131"),H2451='131-CT'!$H$9),"x","")</f>
        <v/>
      </c>
      <c r="Z2451" s="84"/>
      <c r="AA2451" s="84" t="str">
        <f>IF(AND(MONTH(E2451)='IN-NX'!$J$5,'IN-NX'!$D$7=D2451),"x","")</f>
        <v/>
      </c>
      <c r="AB2451" s="84" t="str">
        <f>IF(AND(OR(LEFT(TH!N2451,2)="15",LEFT(TH!O2451,2)="15"),LEFT(TH!O2451,3)&lt;&gt;"111",'152-CT'!$J$8=TH!F2451),"x","")</f>
        <v/>
      </c>
      <c r="AC2451" s="84" t="str">
        <f>IF(AND(OR(LEFT(TH!N2451,2)="15",LEFT(TH!O2451,2)="15"),TK!$E$7=TH!F2451),"x","")</f>
        <v/>
      </c>
      <c r="AD2451" s="84" t="str">
        <f>IF(AND(N2451="1521",MONTH(C2451)='BK-NL'!$M$11),"x","")</f>
        <v/>
      </c>
    </row>
    <row r="2452" spans="1:30" s="351" customFormat="1" ht="15.75" hidden="1" customHeight="1">
      <c r="A2452" s="336" t="str">
        <f>IF(B2452&lt;&gt;"",IF(AND(B2452='IN-TC'!$S$4,OR(TH!N2452="1111",TH!O2452="1111")),TH!D2452,""),"")</f>
        <v/>
      </c>
      <c r="B2452" s="63" t="str">
        <f t="shared" si="292"/>
        <v/>
      </c>
      <c r="C2452" s="64"/>
      <c r="D2452" s="64"/>
      <c r="E2452" s="64"/>
      <c r="F2452" s="67"/>
      <c r="G2452" s="67"/>
      <c r="H2452" s="73"/>
      <c r="I2452" s="439"/>
      <c r="J2452" s="439"/>
      <c r="K2452" s="430"/>
      <c r="L2452" s="439"/>
      <c r="M2452" s="65"/>
      <c r="N2452" s="66"/>
      <c r="O2452" s="66"/>
      <c r="P2452" s="84" t="str">
        <f>IF(AND('331-CT'!$E$7=TH!H2452,OR(N2452="331",O2452="331")),"x","")</f>
        <v/>
      </c>
      <c r="Q2452" s="84" t="str">
        <f>IF(AND(B2452='111'!$L$11,OR($N2452=$Q$7,$O2452=$Q$7)),"x","")</f>
        <v/>
      </c>
      <c r="R2452" s="84" t="str">
        <f>IF(AND($N2452=$Q$7,$B2452&lt;'111'!$L$11),"x","")</f>
        <v/>
      </c>
      <c r="S2452" s="84" t="str">
        <f>IF(AND($O2452=$Q$7,$B2452&lt;'111'!$L$11),"x","")</f>
        <v/>
      </c>
      <c r="T2452" s="84" t="str">
        <f>IF(ISERROR(FIND('112'!$M$9,G2452,1)),"",IF((AND(FIND('112'!$M$9,G2452,1)&gt;=1,B2452='112'!$K$9,OR($N2452='112'!$I$6,$O2452='112'!$I$6))),"x",""))</f>
        <v/>
      </c>
      <c r="U2452" s="84" t="str">
        <f>IF(ISERROR(FIND('112'!$M$9,G2452,1)),"",IF((AND(LEFT(G2452,2)=LEFT('112'!$M$9,2),B2452&lt;'112'!$K$9,$N2452='112'!$I$6)),"x",""))</f>
        <v/>
      </c>
      <c r="V2452" s="84" t="str">
        <f>IF(ISERROR(FIND('112'!$M$9,G2452,1)),"",IF((AND(RIGHT(G2452,2)=RIGHT('112'!$M$9,2),B2452&lt;'112'!$K$9,$O2452='112'!$I$6)),"x",""))</f>
        <v/>
      </c>
      <c r="W2452" s="84" t="str">
        <f>IF(AND('341-CT'!$H$9=H2452,OR(LEFT(N2452,3)=$W$7,LEFT(O2452,3)=$W$7)),"x","")</f>
        <v/>
      </c>
      <c r="X2452" s="84" t="str">
        <f>IF(OR(TH!N2452=TH!$X$7,O2452=TH!$X$7),"x","")</f>
        <v/>
      </c>
      <c r="Y2452" s="84" t="str">
        <f>IF(AND(OR(N2452="131",O2452="131"),H2452='131-CT'!$H$9),"x","")</f>
        <v/>
      </c>
      <c r="Z2452" s="84"/>
      <c r="AA2452" s="84" t="str">
        <f>IF(AND(MONTH(E2452)='IN-NX'!$J$5,'IN-NX'!$D$7=D2452),"x","")</f>
        <v/>
      </c>
      <c r="AB2452" s="84" t="str">
        <f>IF(AND(OR(LEFT(TH!N2452,2)="15",LEFT(TH!O2452,2)="15"),LEFT(TH!O2452,3)&lt;&gt;"111",'152-CT'!$J$8=TH!F2452),"x","")</f>
        <v/>
      </c>
      <c r="AC2452" s="84" t="str">
        <f>IF(AND(OR(LEFT(TH!N2452,2)="15",LEFT(TH!O2452,2)="15"),TK!$E$7=TH!F2452),"x","")</f>
        <v/>
      </c>
      <c r="AD2452" s="84" t="str">
        <f>IF(AND(N2452="1521",MONTH(C2452)='BK-NL'!$M$11),"x","")</f>
        <v/>
      </c>
    </row>
    <row r="2453" spans="1:30" s="351" customFormat="1" ht="15.75" hidden="1" customHeight="1">
      <c r="A2453" s="336" t="str">
        <f>IF(B2453&lt;&gt;"",IF(AND(B2453='IN-TC'!$S$4,OR(TH!N2453="1111",TH!O2453="1111")),TH!D2453,""),"")</f>
        <v/>
      </c>
      <c r="B2453" s="63" t="str">
        <f t="shared" si="292"/>
        <v/>
      </c>
      <c r="C2453" s="64"/>
      <c r="D2453" s="64"/>
      <c r="E2453" s="64"/>
      <c r="F2453" s="67"/>
      <c r="G2453" s="67"/>
      <c r="H2453" s="73"/>
      <c r="I2453" s="439"/>
      <c r="J2453" s="439"/>
      <c r="K2453" s="430"/>
      <c r="L2453" s="439"/>
      <c r="M2453" s="65"/>
      <c r="N2453" s="66"/>
      <c r="O2453" s="66"/>
      <c r="P2453" s="84" t="str">
        <f>IF(AND('331-CT'!$E$7=TH!H2453,OR(N2453="331",O2453="331")),"x","")</f>
        <v/>
      </c>
      <c r="Q2453" s="84" t="str">
        <f>IF(AND(B2453='111'!$L$11,OR($N2453=$Q$7,$O2453=$Q$7)),"x","")</f>
        <v/>
      </c>
      <c r="R2453" s="84" t="str">
        <f>IF(AND($N2453=$Q$7,$B2453&lt;'111'!$L$11),"x","")</f>
        <v/>
      </c>
      <c r="S2453" s="84" t="str">
        <f>IF(AND($O2453=$Q$7,$B2453&lt;'111'!$L$11),"x","")</f>
        <v/>
      </c>
      <c r="T2453" s="84" t="str">
        <f>IF(ISERROR(FIND('112'!$M$9,G2453,1)),"",IF((AND(FIND('112'!$M$9,G2453,1)&gt;=1,B2453='112'!$K$9,OR($N2453='112'!$I$6,$O2453='112'!$I$6))),"x",""))</f>
        <v/>
      </c>
      <c r="U2453" s="84" t="str">
        <f>IF(ISERROR(FIND('112'!$M$9,G2453,1)),"",IF((AND(LEFT(G2453,2)=LEFT('112'!$M$9,2),B2453&lt;'112'!$K$9,$N2453='112'!$I$6)),"x",""))</f>
        <v/>
      </c>
      <c r="V2453" s="84" t="str">
        <f>IF(ISERROR(FIND('112'!$M$9,G2453,1)),"",IF((AND(RIGHT(G2453,2)=RIGHT('112'!$M$9,2),B2453&lt;'112'!$K$9,$O2453='112'!$I$6)),"x",""))</f>
        <v/>
      </c>
      <c r="W2453" s="84" t="str">
        <f>IF(AND('341-CT'!$H$9=H2453,OR(LEFT(N2453,3)=$W$7,LEFT(O2453,3)=$W$7)),"x","")</f>
        <v/>
      </c>
      <c r="X2453" s="84" t="str">
        <f>IF(OR(TH!N2453=TH!$X$7,O2453=TH!$X$7),"x","")</f>
        <v/>
      </c>
      <c r="Y2453" s="84" t="str">
        <f>IF(AND(OR(N2453="131",O2453="131"),H2453='131-CT'!$H$9),"x","")</f>
        <v/>
      </c>
      <c r="Z2453" s="84"/>
      <c r="AA2453" s="84" t="str">
        <f>IF(AND(MONTH(E2453)='IN-NX'!$J$5,'IN-NX'!$D$7=D2453),"x","")</f>
        <v/>
      </c>
      <c r="AB2453" s="84" t="str">
        <f>IF(AND(OR(LEFT(TH!N2453,2)="15",LEFT(TH!O2453,2)="15"),LEFT(TH!O2453,3)&lt;&gt;"111",'152-CT'!$J$8=TH!F2453),"x","")</f>
        <v/>
      </c>
      <c r="AC2453" s="84" t="str">
        <f>IF(AND(OR(LEFT(TH!N2453,2)="15",LEFT(TH!O2453,2)="15"),TK!$E$7=TH!F2453),"x","")</f>
        <v/>
      </c>
      <c r="AD2453" s="84" t="str">
        <f>IF(AND(N2453="1521",MONTH(C2453)='BK-NL'!$M$11),"x","")</f>
        <v/>
      </c>
    </row>
    <row r="2454" spans="1:30" s="351" customFormat="1" ht="15.75" hidden="1" customHeight="1">
      <c r="A2454" s="336" t="str">
        <f>IF(B2454&lt;&gt;"",IF(AND(B2454='IN-TC'!$S$4,OR(TH!N2454="1111",TH!O2454="1111")),TH!D2454,""),"")</f>
        <v/>
      </c>
      <c r="B2454" s="63" t="str">
        <f t="shared" si="292"/>
        <v/>
      </c>
      <c r="C2454" s="64"/>
      <c r="D2454" s="64"/>
      <c r="E2454" s="64"/>
      <c r="F2454" s="67"/>
      <c r="G2454" s="67"/>
      <c r="H2454" s="73"/>
      <c r="I2454" s="439"/>
      <c r="J2454" s="439"/>
      <c r="K2454" s="430"/>
      <c r="L2454" s="439"/>
      <c r="M2454" s="65"/>
      <c r="N2454" s="66"/>
      <c r="O2454" s="66"/>
      <c r="P2454" s="84" t="str">
        <f>IF(AND('331-CT'!$E$7=TH!H2454,OR(N2454="331",O2454="331")),"x","")</f>
        <v/>
      </c>
      <c r="Q2454" s="84" t="str">
        <f>IF(AND(B2454='111'!$L$11,OR($N2454=$Q$7,$O2454=$Q$7)),"x","")</f>
        <v/>
      </c>
      <c r="R2454" s="84" t="str">
        <f>IF(AND($N2454=$Q$7,$B2454&lt;'111'!$L$11),"x","")</f>
        <v/>
      </c>
      <c r="S2454" s="84" t="str">
        <f>IF(AND($O2454=$Q$7,$B2454&lt;'111'!$L$11),"x","")</f>
        <v/>
      </c>
      <c r="T2454" s="84" t="str">
        <f>IF(ISERROR(FIND('112'!$M$9,G2454,1)),"",IF((AND(FIND('112'!$M$9,G2454,1)&gt;=1,B2454='112'!$K$9,OR($N2454='112'!$I$6,$O2454='112'!$I$6))),"x",""))</f>
        <v/>
      </c>
      <c r="U2454" s="84" t="str">
        <f>IF(ISERROR(FIND('112'!$M$9,G2454,1)),"",IF((AND(LEFT(G2454,2)=LEFT('112'!$M$9,2),B2454&lt;'112'!$K$9,$N2454='112'!$I$6)),"x",""))</f>
        <v/>
      </c>
      <c r="V2454" s="84" t="str">
        <f>IF(ISERROR(FIND('112'!$M$9,G2454,1)),"",IF((AND(RIGHT(G2454,2)=RIGHT('112'!$M$9,2),B2454&lt;'112'!$K$9,$O2454='112'!$I$6)),"x",""))</f>
        <v/>
      </c>
      <c r="W2454" s="84" t="str">
        <f>IF(AND('341-CT'!$H$9=H2454,OR(LEFT(N2454,3)=$W$7,LEFT(O2454,3)=$W$7)),"x","")</f>
        <v/>
      </c>
      <c r="X2454" s="84" t="str">
        <f>IF(OR(TH!N2454=TH!$X$7,O2454=TH!$X$7),"x","")</f>
        <v/>
      </c>
      <c r="Y2454" s="84" t="str">
        <f>IF(AND(OR(N2454="131",O2454="131"),H2454='131-CT'!$H$9),"x","")</f>
        <v/>
      </c>
      <c r="Z2454" s="84"/>
      <c r="AA2454" s="84" t="str">
        <f>IF(AND(MONTH(E2454)='IN-NX'!$J$5,'IN-NX'!$D$7=D2454),"x","")</f>
        <v/>
      </c>
      <c r="AB2454" s="84" t="str">
        <f>IF(AND(OR(LEFT(TH!N2454,2)="15",LEFT(TH!O2454,2)="15"),LEFT(TH!O2454,3)&lt;&gt;"111",'152-CT'!$J$8=TH!F2454),"x","")</f>
        <v/>
      </c>
      <c r="AC2454" s="84" t="str">
        <f>IF(AND(OR(LEFT(TH!N2454,2)="15",LEFT(TH!O2454,2)="15"),TK!$E$7=TH!F2454),"x","")</f>
        <v/>
      </c>
      <c r="AD2454" s="84" t="str">
        <f>IF(AND(N2454="1521",MONTH(C2454)='BK-NL'!$M$11),"x","")</f>
        <v/>
      </c>
    </row>
    <row r="2455" spans="1:30" s="351" customFormat="1" ht="15.75" hidden="1" customHeight="1">
      <c r="A2455" s="336" t="str">
        <f>IF(B2455&lt;&gt;"",IF(AND(B2455='IN-TC'!$S$4,OR(TH!N2455="1111",TH!O2455="1111")),TH!D2455,""),"")</f>
        <v/>
      </c>
      <c r="B2455" s="63" t="str">
        <f t="shared" si="292"/>
        <v/>
      </c>
      <c r="C2455" s="64"/>
      <c r="D2455" s="64"/>
      <c r="E2455" s="64"/>
      <c r="F2455" s="67"/>
      <c r="G2455" s="67"/>
      <c r="H2455" s="73"/>
      <c r="I2455" s="439"/>
      <c r="J2455" s="439"/>
      <c r="K2455" s="430"/>
      <c r="L2455" s="439"/>
      <c r="M2455" s="65"/>
      <c r="N2455" s="66"/>
      <c r="O2455" s="66"/>
      <c r="P2455" s="84" t="str">
        <f>IF(AND('331-CT'!$E$7=TH!H2455,OR(N2455="331",O2455="331")),"x","")</f>
        <v/>
      </c>
      <c r="Q2455" s="84" t="str">
        <f>IF(AND(B2455='111'!$L$11,OR($N2455=$Q$7,$O2455=$Q$7)),"x","")</f>
        <v/>
      </c>
      <c r="R2455" s="84" t="str">
        <f>IF(AND($N2455=$Q$7,$B2455&lt;'111'!$L$11),"x","")</f>
        <v/>
      </c>
      <c r="S2455" s="84" t="str">
        <f>IF(AND($O2455=$Q$7,$B2455&lt;'111'!$L$11),"x","")</f>
        <v/>
      </c>
      <c r="T2455" s="84" t="str">
        <f>IF(ISERROR(FIND('112'!$M$9,G2455,1)),"",IF((AND(FIND('112'!$M$9,G2455,1)&gt;=1,B2455='112'!$K$9,OR($N2455='112'!$I$6,$O2455='112'!$I$6))),"x",""))</f>
        <v/>
      </c>
      <c r="U2455" s="84" t="str">
        <f>IF(ISERROR(FIND('112'!$M$9,G2455,1)),"",IF((AND(LEFT(G2455,2)=LEFT('112'!$M$9,2),B2455&lt;'112'!$K$9,$N2455='112'!$I$6)),"x",""))</f>
        <v/>
      </c>
      <c r="V2455" s="84" t="str">
        <f>IF(ISERROR(FIND('112'!$M$9,G2455,1)),"",IF((AND(RIGHT(G2455,2)=RIGHT('112'!$M$9,2),B2455&lt;'112'!$K$9,$O2455='112'!$I$6)),"x",""))</f>
        <v/>
      </c>
      <c r="W2455" s="84" t="str">
        <f>IF(AND('341-CT'!$H$9=H2455,OR(LEFT(N2455,3)=$W$7,LEFT(O2455,3)=$W$7)),"x","")</f>
        <v/>
      </c>
      <c r="X2455" s="84" t="str">
        <f>IF(OR(TH!N2455=TH!$X$7,O2455=TH!$X$7),"x","")</f>
        <v/>
      </c>
      <c r="Y2455" s="84" t="str">
        <f>IF(AND(OR(N2455="131",O2455="131"),H2455='131-CT'!$H$9),"x","")</f>
        <v/>
      </c>
      <c r="Z2455" s="84"/>
      <c r="AA2455" s="84" t="str">
        <f>IF(AND(MONTH(E2455)='IN-NX'!$J$5,'IN-NX'!$D$7=D2455),"x","")</f>
        <v/>
      </c>
      <c r="AB2455" s="84" t="str">
        <f>IF(AND(OR(LEFT(TH!N2455,2)="15",LEFT(TH!O2455,2)="15"),LEFT(TH!O2455,3)&lt;&gt;"111",'152-CT'!$J$8=TH!F2455),"x","")</f>
        <v/>
      </c>
      <c r="AC2455" s="84" t="str">
        <f>IF(AND(OR(LEFT(TH!N2455,2)="15",LEFT(TH!O2455,2)="15"),TK!$E$7=TH!F2455),"x","")</f>
        <v/>
      </c>
      <c r="AD2455" s="84" t="str">
        <f>IF(AND(N2455="1521",MONTH(C2455)='BK-NL'!$M$11),"x","")</f>
        <v/>
      </c>
    </row>
    <row r="2456" spans="1:30" s="351" customFormat="1" ht="15.75" hidden="1" customHeight="1">
      <c r="A2456" s="336" t="str">
        <f>IF(B2456&lt;&gt;"",IF(AND(B2456='IN-TC'!$S$4,OR(TH!N2456="1111",TH!O2456="1111")),TH!D2456,""),"")</f>
        <v/>
      </c>
      <c r="B2456" s="63" t="str">
        <f t="shared" si="292"/>
        <v/>
      </c>
      <c r="C2456" s="64"/>
      <c r="D2456" s="64"/>
      <c r="E2456" s="64"/>
      <c r="F2456" s="67"/>
      <c r="G2456" s="67"/>
      <c r="H2456" s="73"/>
      <c r="I2456" s="439"/>
      <c r="J2456" s="439"/>
      <c r="K2456" s="430"/>
      <c r="L2456" s="439"/>
      <c r="M2456" s="65"/>
      <c r="N2456" s="66"/>
      <c r="O2456" s="66"/>
      <c r="P2456" s="84" t="str">
        <f>IF(AND('331-CT'!$E$7=TH!H2456,OR(N2456="331",O2456="331")),"x","")</f>
        <v/>
      </c>
      <c r="Q2456" s="84" t="str">
        <f>IF(AND(B2456='111'!$L$11,OR($N2456=$Q$7,$O2456=$Q$7)),"x","")</f>
        <v/>
      </c>
      <c r="R2456" s="84" t="str">
        <f>IF(AND($N2456=$Q$7,$B2456&lt;'111'!$L$11),"x","")</f>
        <v/>
      </c>
      <c r="S2456" s="84" t="str">
        <f>IF(AND($O2456=$Q$7,$B2456&lt;'111'!$L$11),"x","")</f>
        <v/>
      </c>
      <c r="T2456" s="84" t="str">
        <f>IF(ISERROR(FIND('112'!$M$9,G2456,1)),"",IF((AND(FIND('112'!$M$9,G2456,1)&gt;=1,B2456='112'!$K$9,OR($N2456='112'!$I$6,$O2456='112'!$I$6))),"x",""))</f>
        <v/>
      </c>
      <c r="U2456" s="84" t="str">
        <f>IF(ISERROR(FIND('112'!$M$9,G2456,1)),"",IF((AND(LEFT(G2456,2)=LEFT('112'!$M$9,2),B2456&lt;'112'!$K$9,$N2456='112'!$I$6)),"x",""))</f>
        <v/>
      </c>
      <c r="V2456" s="84" t="str">
        <f>IF(ISERROR(FIND('112'!$M$9,G2456,1)),"",IF((AND(RIGHT(G2456,2)=RIGHT('112'!$M$9,2),B2456&lt;'112'!$K$9,$O2456='112'!$I$6)),"x",""))</f>
        <v/>
      </c>
      <c r="W2456" s="84" t="str">
        <f>IF(AND('341-CT'!$H$9=H2456,OR(LEFT(N2456,3)=$W$7,LEFT(O2456,3)=$W$7)),"x","")</f>
        <v/>
      </c>
      <c r="X2456" s="84" t="str">
        <f>IF(OR(TH!N2456=TH!$X$7,O2456=TH!$X$7),"x","")</f>
        <v/>
      </c>
      <c r="Y2456" s="84" t="str">
        <f>IF(AND(OR(N2456="131",O2456="131"),H2456='131-CT'!$H$9),"x","")</f>
        <v/>
      </c>
      <c r="Z2456" s="84"/>
      <c r="AA2456" s="84" t="str">
        <f>IF(AND(MONTH(E2456)='IN-NX'!$J$5,'IN-NX'!$D$7=D2456),"x","")</f>
        <v/>
      </c>
      <c r="AB2456" s="84" t="str">
        <f>IF(AND(OR(LEFT(TH!N2456,2)="15",LEFT(TH!O2456,2)="15"),LEFT(TH!O2456,3)&lt;&gt;"111",'152-CT'!$J$8=TH!F2456),"x","")</f>
        <v/>
      </c>
      <c r="AC2456" s="84" t="str">
        <f>IF(AND(OR(LEFT(TH!N2456,2)="15",LEFT(TH!O2456,2)="15"),TK!$E$7=TH!F2456),"x","")</f>
        <v/>
      </c>
      <c r="AD2456" s="84" t="str">
        <f>IF(AND(N2456="1521",MONTH(C2456)='BK-NL'!$M$11),"x","")</f>
        <v/>
      </c>
    </row>
    <row r="2457" spans="1:30" s="351" customFormat="1" ht="15.75" hidden="1" customHeight="1">
      <c r="A2457" s="336" t="str">
        <f>IF(B2457&lt;&gt;"",IF(AND(B2457='IN-TC'!$S$4,OR(TH!N2457="1111",TH!O2457="1111")),TH!D2457,""),"")</f>
        <v/>
      </c>
      <c r="B2457" s="63" t="str">
        <f t="shared" si="292"/>
        <v/>
      </c>
      <c r="C2457" s="64"/>
      <c r="D2457" s="64"/>
      <c r="E2457" s="64"/>
      <c r="F2457" s="67"/>
      <c r="G2457" s="67"/>
      <c r="H2457" s="73"/>
      <c r="I2457" s="439"/>
      <c r="J2457" s="439"/>
      <c r="K2457" s="430"/>
      <c r="L2457" s="439"/>
      <c r="M2457" s="65"/>
      <c r="N2457" s="66"/>
      <c r="O2457" s="66"/>
      <c r="P2457" s="84" t="str">
        <f>IF(AND('331-CT'!$E$7=TH!H2457,OR(N2457="331",O2457="331")),"x","")</f>
        <v/>
      </c>
      <c r="Q2457" s="84" t="str">
        <f>IF(AND(B2457='111'!$L$11,OR($N2457=$Q$7,$O2457=$Q$7)),"x","")</f>
        <v/>
      </c>
      <c r="R2457" s="84" t="str">
        <f>IF(AND($N2457=$Q$7,$B2457&lt;'111'!$L$11),"x","")</f>
        <v/>
      </c>
      <c r="S2457" s="84" t="str">
        <f>IF(AND($O2457=$Q$7,$B2457&lt;'111'!$L$11),"x","")</f>
        <v/>
      </c>
      <c r="T2457" s="84" t="str">
        <f>IF(ISERROR(FIND('112'!$M$9,G2457,1)),"",IF((AND(FIND('112'!$M$9,G2457,1)&gt;=1,B2457='112'!$K$9,OR($N2457='112'!$I$6,$O2457='112'!$I$6))),"x",""))</f>
        <v/>
      </c>
      <c r="U2457" s="84" t="str">
        <f>IF(ISERROR(FIND('112'!$M$9,G2457,1)),"",IF((AND(LEFT(G2457,2)=LEFT('112'!$M$9,2),B2457&lt;'112'!$K$9,$N2457='112'!$I$6)),"x",""))</f>
        <v/>
      </c>
      <c r="V2457" s="84" t="str">
        <f>IF(ISERROR(FIND('112'!$M$9,G2457,1)),"",IF((AND(RIGHT(G2457,2)=RIGHT('112'!$M$9,2),B2457&lt;'112'!$K$9,$O2457='112'!$I$6)),"x",""))</f>
        <v/>
      </c>
      <c r="W2457" s="84" t="str">
        <f>IF(AND('341-CT'!$H$9=H2457,OR(LEFT(N2457,3)=$W$7,LEFT(O2457,3)=$W$7)),"x","")</f>
        <v/>
      </c>
      <c r="X2457" s="84" t="str">
        <f>IF(OR(TH!N2457=TH!$X$7,O2457=TH!$X$7),"x","")</f>
        <v/>
      </c>
      <c r="Y2457" s="84" t="str">
        <f>IF(AND(OR(N2457="131",O2457="131"),H2457='131-CT'!$H$9),"x","")</f>
        <v/>
      </c>
      <c r="Z2457" s="84"/>
      <c r="AA2457" s="84" t="str">
        <f>IF(AND(MONTH(E2457)='IN-NX'!$J$5,'IN-NX'!$D$7=D2457),"x","")</f>
        <v/>
      </c>
      <c r="AB2457" s="84" t="str">
        <f>IF(AND(OR(LEFT(TH!N2457,2)="15",LEFT(TH!O2457,2)="15"),LEFT(TH!O2457,3)&lt;&gt;"111",'152-CT'!$J$8=TH!F2457),"x","")</f>
        <v/>
      </c>
      <c r="AC2457" s="84" t="str">
        <f>IF(AND(OR(LEFT(TH!N2457,2)="15",LEFT(TH!O2457,2)="15"),TK!$E$7=TH!F2457),"x","")</f>
        <v/>
      </c>
      <c r="AD2457" s="84" t="str">
        <f>IF(AND(N2457="1521",MONTH(C2457)='BK-NL'!$M$11),"x","")</f>
        <v/>
      </c>
    </row>
    <row r="2458" spans="1:30" s="351" customFormat="1" ht="15.75" hidden="1" customHeight="1">
      <c r="A2458" s="336" t="str">
        <f>IF(B2458&lt;&gt;"",IF(AND(B2458='IN-TC'!$S$4,OR(TH!N2458="1111",TH!O2458="1111")),TH!D2458,""),"")</f>
        <v/>
      </c>
      <c r="B2458" s="63" t="str">
        <f t="shared" si="292"/>
        <v/>
      </c>
      <c r="C2458" s="64"/>
      <c r="D2458" s="64"/>
      <c r="E2458" s="64"/>
      <c r="F2458" s="67"/>
      <c r="G2458" s="67"/>
      <c r="H2458" s="73"/>
      <c r="I2458" s="439"/>
      <c r="J2458" s="439"/>
      <c r="K2458" s="430"/>
      <c r="L2458" s="439"/>
      <c r="M2458" s="65"/>
      <c r="N2458" s="66"/>
      <c r="O2458" s="66"/>
      <c r="P2458" s="84" t="str">
        <f>IF(AND('331-CT'!$E$7=TH!H2458,OR(N2458="331",O2458="331")),"x","")</f>
        <v/>
      </c>
      <c r="Q2458" s="84" t="str">
        <f>IF(AND(B2458='111'!$L$11,OR($N2458=$Q$7,$O2458=$Q$7)),"x","")</f>
        <v/>
      </c>
      <c r="R2458" s="84" t="str">
        <f>IF(AND($N2458=$Q$7,$B2458&lt;'111'!$L$11),"x","")</f>
        <v/>
      </c>
      <c r="S2458" s="84" t="str">
        <f>IF(AND($O2458=$Q$7,$B2458&lt;'111'!$L$11),"x","")</f>
        <v/>
      </c>
      <c r="T2458" s="84" t="str">
        <f>IF(ISERROR(FIND('112'!$M$9,G2458,1)),"",IF((AND(FIND('112'!$M$9,G2458,1)&gt;=1,B2458='112'!$K$9,OR($N2458='112'!$I$6,$O2458='112'!$I$6))),"x",""))</f>
        <v/>
      </c>
      <c r="U2458" s="84" t="str">
        <f>IF(ISERROR(FIND('112'!$M$9,G2458,1)),"",IF((AND(LEFT(G2458,2)=LEFT('112'!$M$9,2),B2458&lt;'112'!$K$9,$N2458='112'!$I$6)),"x",""))</f>
        <v/>
      </c>
      <c r="V2458" s="84" t="str">
        <f>IF(ISERROR(FIND('112'!$M$9,G2458,1)),"",IF((AND(RIGHT(G2458,2)=RIGHT('112'!$M$9,2),B2458&lt;'112'!$K$9,$O2458='112'!$I$6)),"x",""))</f>
        <v/>
      </c>
      <c r="W2458" s="84" t="str">
        <f>IF(AND('341-CT'!$H$9=H2458,OR(LEFT(N2458,3)=$W$7,LEFT(O2458,3)=$W$7)),"x","")</f>
        <v/>
      </c>
      <c r="X2458" s="84" t="str">
        <f>IF(OR(TH!N2458=TH!$X$7,O2458=TH!$X$7),"x","")</f>
        <v/>
      </c>
      <c r="Y2458" s="84" t="str">
        <f>IF(AND(OR(N2458="131",O2458="131"),H2458='131-CT'!$H$9),"x","")</f>
        <v/>
      </c>
      <c r="Z2458" s="84"/>
      <c r="AA2458" s="84" t="str">
        <f>IF(AND(MONTH(E2458)='IN-NX'!$J$5,'IN-NX'!$D$7=D2458),"x","")</f>
        <v/>
      </c>
      <c r="AB2458" s="84" t="str">
        <f>IF(AND(OR(LEFT(TH!N2458,2)="15",LEFT(TH!O2458,2)="15"),LEFT(TH!O2458,3)&lt;&gt;"111",'152-CT'!$J$8=TH!F2458),"x","")</f>
        <v/>
      </c>
      <c r="AC2458" s="84" t="str">
        <f>IF(AND(OR(LEFT(TH!N2458,2)="15",LEFT(TH!O2458,2)="15"),TK!$E$7=TH!F2458),"x","")</f>
        <v/>
      </c>
      <c r="AD2458" s="84" t="str">
        <f>IF(AND(N2458="1521",MONTH(C2458)='BK-NL'!$M$11),"x","")</f>
        <v/>
      </c>
    </row>
    <row r="2459" spans="1:30" s="351" customFormat="1" ht="15.75" hidden="1" customHeight="1">
      <c r="A2459" s="336" t="str">
        <f>IF(B2459&lt;&gt;"",IF(AND(B2459='IN-TC'!$S$4,OR(TH!N2459="1111",TH!O2459="1111")),TH!D2459,""),"")</f>
        <v/>
      </c>
      <c r="B2459" s="63" t="str">
        <f t="shared" si="292"/>
        <v/>
      </c>
      <c r="C2459" s="64"/>
      <c r="D2459" s="64"/>
      <c r="E2459" s="64"/>
      <c r="F2459" s="67"/>
      <c r="G2459" s="67"/>
      <c r="H2459" s="73"/>
      <c r="I2459" s="439"/>
      <c r="J2459" s="439"/>
      <c r="K2459" s="430"/>
      <c r="L2459" s="439"/>
      <c r="M2459" s="65"/>
      <c r="N2459" s="66"/>
      <c r="O2459" s="66"/>
      <c r="P2459" s="84" t="str">
        <f>IF(AND('331-CT'!$E$7=TH!H2459,OR(N2459="331",O2459="331")),"x","")</f>
        <v/>
      </c>
      <c r="Q2459" s="84" t="str">
        <f>IF(AND(B2459='111'!$L$11,OR($N2459=$Q$7,$O2459=$Q$7)),"x","")</f>
        <v/>
      </c>
      <c r="R2459" s="84" t="str">
        <f>IF(AND($N2459=$Q$7,$B2459&lt;'111'!$L$11),"x","")</f>
        <v/>
      </c>
      <c r="S2459" s="84" t="str">
        <f>IF(AND($O2459=$Q$7,$B2459&lt;'111'!$L$11),"x","")</f>
        <v/>
      </c>
      <c r="T2459" s="84" t="str">
        <f>IF(ISERROR(FIND('112'!$M$9,G2459,1)),"",IF((AND(FIND('112'!$M$9,G2459,1)&gt;=1,B2459='112'!$K$9,OR($N2459='112'!$I$6,$O2459='112'!$I$6))),"x",""))</f>
        <v/>
      </c>
      <c r="U2459" s="84" t="str">
        <f>IF(ISERROR(FIND('112'!$M$9,G2459,1)),"",IF((AND(LEFT(G2459,2)=LEFT('112'!$M$9,2),B2459&lt;'112'!$K$9,$N2459='112'!$I$6)),"x",""))</f>
        <v/>
      </c>
      <c r="V2459" s="84" t="str">
        <f>IF(ISERROR(FIND('112'!$M$9,G2459,1)),"",IF((AND(RIGHT(G2459,2)=RIGHT('112'!$M$9,2),B2459&lt;'112'!$K$9,$O2459='112'!$I$6)),"x",""))</f>
        <v/>
      </c>
      <c r="W2459" s="84" t="str">
        <f>IF(AND('341-CT'!$H$9=H2459,OR(LEFT(N2459,3)=$W$7,LEFT(O2459,3)=$W$7)),"x","")</f>
        <v/>
      </c>
      <c r="X2459" s="84" t="str">
        <f>IF(OR(TH!N2459=TH!$X$7,O2459=TH!$X$7),"x","")</f>
        <v/>
      </c>
      <c r="Y2459" s="84" t="str">
        <f>IF(AND(OR(N2459="131",O2459="131"),H2459='131-CT'!$H$9),"x","")</f>
        <v/>
      </c>
      <c r="Z2459" s="84"/>
      <c r="AA2459" s="84" t="str">
        <f>IF(AND(MONTH(E2459)='IN-NX'!$J$5,'IN-NX'!$D$7=D2459),"x","")</f>
        <v/>
      </c>
      <c r="AB2459" s="84" t="str">
        <f>IF(AND(OR(LEFT(TH!N2459,2)="15",LEFT(TH!O2459,2)="15"),LEFT(TH!O2459,3)&lt;&gt;"111",'152-CT'!$J$8=TH!F2459),"x","")</f>
        <v/>
      </c>
      <c r="AC2459" s="84" t="str">
        <f>IF(AND(OR(LEFT(TH!N2459,2)="15",LEFT(TH!O2459,2)="15"),TK!$E$7=TH!F2459),"x","")</f>
        <v/>
      </c>
      <c r="AD2459" s="84" t="str">
        <f>IF(AND(N2459="1521",MONTH(C2459)='BK-NL'!$M$11),"x","")</f>
        <v/>
      </c>
    </row>
    <row r="2460" spans="1:30" s="351" customFormat="1" ht="15.75" hidden="1" customHeight="1">
      <c r="A2460" s="336" t="str">
        <f>IF(B2460&lt;&gt;"",IF(AND(B2460='IN-TC'!$S$4,OR(TH!N2460="1111",TH!O2460="1111")),TH!D2460,""),"")</f>
        <v/>
      </c>
      <c r="B2460" s="63" t="str">
        <f t="shared" si="292"/>
        <v/>
      </c>
      <c r="C2460" s="64"/>
      <c r="D2460" s="64"/>
      <c r="E2460" s="64"/>
      <c r="F2460" s="67"/>
      <c r="G2460" s="67"/>
      <c r="H2460" s="73"/>
      <c r="I2460" s="439"/>
      <c r="J2460" s="439"/>
      <c r="K2460" s="430"/>
      <c r="L2460" s="439"/>
      <c r="M2460" s="65"/>
      <c r="N2460" s="66"/>
      <c r="O2460" s="66"/>
      <c r="P2460" s="84" t="str">
        <f>IF(AND('331-CT'!$E$7=TH!H2460,OR(N2460="331",O2460="331")),"x","")</f>
        <v/>
      </c>
      <c r="Q2460" s="84" t="str">
        <f>IF(AND(B2460='111'!$L$11,OR($N2460=$Q$7,$O2460=$Q$7)),"x","")</f>
        <v/>
      </c>
      <c r="R2460" s="84" t="str">
        <f>IF(AND($N2460=$Q$7,$B2460&lt;'111'!$L$11),"x","")</f>
        <v/>
      </c>
      <c r="S2460" s="84" t="str">
        <f>IF(AND($O2460=$Q$7,$B2460&lt;'111'!$L$11),"x","")</f>
        <v/>
      </c>
      <c r="T2460" s="84" t="str">
        <f>IF(ISERROR(FIND('112'!$M$9,G2460,1)),"",IF((AND(FIND('112'!$M$9,G2460,1)&gt;=1,B2460='112'!$K$9,OR($N2460='112'!$I$6,$O2460='112'!$I$6))),"x",""))</f>
        <v/>
      </c>
      <c r="U2460" s="84" t="str">
        <f>IF(ISERROR(FIND('112'!$M$9,G2460,1)),"",IF((AND(LEFT(G2460,2)=LEFT('112'!$M$9,2),B2460&lt;'112'!$K$9,$N2460='112'!$I$6)),"x",""))</f>
        <v/>
      </c>
      <c r="V2460" s="84" t="str">
        <f>IF(ISERROR(FIND('112'!$M$9,G2460,1)),"",IF((AND(RIGHT(G2460,2)=RIGHT('112'!$M$9,2),B2460&lt;'112'!$K$9,$O2460='112'!$I$6)),"x",""))</f>
        <v/>
      </c>
      <c r="W2460" s="84" t="str">
        <f>IF(AND('341-CT'!$H$9=H2460,OR(LEFT(N2460,3)=$W$7,LEFT(O2460,3)=$W$7)),"x","")</f>
        <v/>
      </c>
      <c r="X2460" s="84" t="str">
        <f>IF(OR(TH!N2460=TH!$X$7,O2460=TH!$X$7),"x","")</f>
        <v/>
      </c>
      <c r="Y2460" s="84" t="str">
        <f>IF(AND(OR(N2460="131",O2460="131"),H2460='131-CT'!$H$9),"x","")</f>
        <v/>
      </c>
      <c r="Z2460" s="84"/>
      <c r="AA2460" s="84" t="str">
        <f>IF(AND(MONTH(E2460)='IN-NX'!$J$5,'IN-NX'!$D$7=D2460),"x","")</f>
        <v/>
      </c>
      <c r="AB2460" s="84" t="str">
        <f>IF(AND(OR(LEFT(TH!N2460,2)="15",LEFT(TH!O2460,2)="15"),LEFT(TH!O2460,3)&lt;&gt;"111",'152-CT'!$J$8=TH!F2460),"x","")</f>
        <v/>
      </c>
      <c r="AC2460" s="84" t="str">
        <f>IF(AND(OR(LEFT(TH!N2460,2)="15",LEFT(TH!O2460,2)="15"),TK!$E$7=TH!F2460),"x","")</f>
        <v/>
      </c>
      <c r="AD2460" s="84" t="str">
        <f>IF(AND(N2460="1521",MONTH(C2460)='BK-NL'!$M$11),"x","")</f>
        <v/>
      </c>
    </row>
    <row r="2461" spans="1:30" s="351" customFormat="1" ht="15.75" hidden="1" customHeight="1">
      <c r="A2461" s="336" t="str">
        <f>IF(B2461&lt;&gt;"",IF(AND(B2461='IN-TC'!$S$4,OR(TH!N2461="1111",TH!O2461="1111")),TH!D2461,""),"")</f>
        <v/>
      </c>
      <c r="B2461" s="63" t="str">
        <f t="shared" si="292"/>
        <v/>
      </c>
      <c r="C2461" s="64"/>
      <c r="D2461" s="64"/>
      <c r="E2461" s="64"/>
      <c r="F2461" s="67"/>
      <c r="G2461" s="67"/>
      <c r="H2461" s="73"/>
      <c r="I2461" s="439"/>
      <c r="J2461" s="439"/>
      <c r="K2461" s="430"/>
      <c r="L2461" s="439"/>
      <c r="M2461" s="65"/>
      <c r="N2461" s="66"/>
      <c r="O2461" s="66"/>
      <c r="P2461" s="84" t="str">
        <f>IF(AND('331-CT'!$E$7=TH!H2461,OR(N2461="331",O2461="331")),"x","")</f>
        <v/>
      </c>
      <c r="Q2461" s="84" t="str">
        <f>IF(AND(B2461='111'!$L$11,OR($N2461=$Q$7,$O2461=$Q$7)),"x","")</f>
        <v/>
      </c>
      <c r="R2461" s="84" t="str">
        <f>IF(AND($N2461=$Q$7,$B2461&lt;'111'!$L$11),"x","")</f>
        <v/>
      </c>
      <c r="S2461" s="84" t="str">
        <f>IF(AND($O2461=$Q$7,$B2461&lt;'111'!$L$11),"x","")</f>
        <v/>
      </c>
      <c r="T2461" s="84" t="str">
        <f>IF(ISERROR(FIND('112'!$M$9,G2461,1)),"",IF((AND(FIND('112'!$M$9,G2461,1)&gt;=1,B2461='112'!$K$9,OR($N2461='112'!$I$6,$O2461='112'!$I$6))),"x",""))</f>
        <v/>
      </c>
      <c r="U2461" s="84" t="str">
        <f>IF(ISERROR(FIND('112'!$M$9,G2461,1)),"",IF((AND(LEFT(G2461,2)=LEFT('112'!$M$9,2),B2461&lt;'112'!$K$9,$N2461='112'!$I$6)),"x",""))</f>
        <v/>
      </c>
      <c r="V2461" s="84" t="str">
        <f>IF(ISERROR(FIND('112'!$M$9,G2461,1)),"",IF((AND(RIGHT(G2461,2)=RIGHT('112'!$M$9,2),B2461&lt;'112'!$K$9,$O2461='112'!$I$6)),"x",""))</f>
        <v/>
      </c>
      <c r="W2461" s="84" t="str">
        <f>IF(AND('341-CT'!$H$9=H2461,OR(LEFT(N2461,3)=$W$7,LEFT(O2461,3)=$W$7)),"x","")</f>
        <v/>
      </c>
      <c r="X2461" s="84" t="str">
        <f>IF(OR(TH!N2461=TH!$X$7,O2461=TH!$X$7),"x","")</f>
        <v/>
      </c>
      <c r="Y2461" s="84" t="str">
        <f>IF(AND(OR(N2461="131",O2461="131"),H2461='131-CT'!$H$9),"x","")</f>
        <v/>
      </c>
      <c r="Z2461" s="84"/>
      <c r="AA2461" s="84" t="str">
        <f>IF(AND(MONTH(E2461)='IN-NX'!$J$5,'IN-NX'!$D$7=D2461),"x","")</f>
        <v/>
      </c>
      <c r="AB2461" s="84" t="str">
        <f>IF(AND(OR(LEFT(TH!N2461,2)="15",LEFT(TH!O2461,2)="15"),LEFT(TH!O2461,3)&lt;&gt;"111",'152-CT'!$J$8=TH!F2461),"x","")</f>
        <v/>
      </c>
      <c r="AC2461" s="84" t="str">
        <f>IF(AND(OR(LEFT(TH!N2461,2)="15",LEFT(TH!O2461,2)="15"),TK!$E$7=TH!F2461),"x","")</f>
        <v/>
      </c>
      <c r="AD2461" s="84" t="str">
        <f>IF(AND(N2461="1521",MONTH(C2461)='BK-NL'!$M$11),"x","")</f>
        <v/>
      </c>
    </row>
    <row r="2462" spans="1:30" s="351" customFormat="1" ht="15.75" hidden="1" customHeight="1">
      <c r="A2462" s="336" t="str">
        <f>IF(B2462&lt;&gt;"",IF(AND(B2462='IN-TC'!$S$4,OR(TH!N2462="1111",TH!O2462="1111")),TH!D2462,""),"")</f>
        <v/>
      </c>
      <c r="B2462" s="63" t="str">
        <f t="shared" si="292"/>
        <v/>
      </c>
      <c r="C2462" s="64"/>
      <c r="D2462" s="64"/>
      <c r="E2462" s="64"/>
      <c r="F2462" s="67"/>
      <c r="G2462" s="67"/>
      <c r="H2462" s="73"/>
      <c r="I2462" s="439"/>
      <c r="J2462" s="439"/>
      <c r="K2462" s="430"/>
      <c r="L2462" s="439"/>
      <c r="M2462" s="65"/>
      <c r="N2462" s="66"/>
      <c r="O2462" s="66"/>
      <c r="P2462" s="84" t="str">
        <f>IF(AND('331-CT'!$E$7=TH!H2462,OR(N2462="331",O2462="331")),"x","")</f>
        <v/>
      </c>
      <c r="Q2462" s="84" t="str">
        <f>IF(AND(B2462='111'!$L$11,OR($N2462=$Q$7,$O2462=$Q$7)),"x","")</f>
        <v/>
      </c>
      <c r="R2462" s="84" t="str">
        <f>IF(AND($N2462=$Q$7,$B2462&lt;'111'!$L$11),"x","")</f>
        <v/>
      </c>
      <c r="S2462" s="84" t="str">
        <f>IF(AND($O2462=$Q$7,$B2462&lt;'111'!$L$11),"x","")</f>
        <v/>
      </c>
      <c r="T2462" s="84" t="str">
        <f>IF(ISERROR(FIND('112'!$M$9,G2462,1)),"",IF((AND(FIND('112'!$M$9,G2462,1)&gt;=1,B2462='112'!$K$9,OR($N2462='112'!$I$6,$O2462='112'!$I$6))),"x",""))</f>
        <v/>
      </c>
      <c r="U2462" s="84" t="str">
        <f>IF(ISERROR(FIND('112'!$M$9,G2462,1)),"",IF((AND(LEFT(G2462,2)=LEFT('112'!$M$9,2),B2462&lt;'112'!$K$9,$N2462='112'!$I$6)),"x",""))</f>
        <v/>
      </c>
      <c r="V2462" s="84" t="str">
        <f>IF(ISERROR(FIND('112'!$M$9,G2462,1)),"",IF((AND(RIGHT(G2462,2)=RIGHT('112'!$M$9,2),B2462&lt;'112'!$K$9,$O2462='112'!$I$6)),"x",""))</f>
        <v/>
      </c>
      <c r="W2462" s="84" t="str">
        <f>IF(AND('341-CT'!$H$9=H2462,OR(LEFT(N2462,3)=$W$7,LEFT(O2462,3)=$W$7)),"x","")</f>
        <v/>
      </c>
      <c r="X2462" s="84" t="str">
        <f>IF(OR(TH!N2462=TH!$X$7,O2462=TH!$X$7),"x","")</f>
        <v/>
      </c>
      <c r="Y2462" s="84" t="str">
        <f>IF(AND(OR(N2462="131",O2462="131"),H2462='131-CT'!$H$9),"x","")</f>
        <v/>
      </c>
      <c r="Z2462" s="84"/>
      <c r="AA2462" s="84" t="str">
        <f>IF(AND(MONTH(E2462)='IN-NX'!$J$5,'IN-NX'!$D$7=D2462),"x","")</f>
        <v/>
      </c>
      <c r="AB2462" s="84" t="str">
        <f>IF(AND(OR(LEFT(TH!N2462,2)="15",LEFT(TH!O2462,2)="15"),LEFT(TH!O2462,3)&lt;&gt;"111",'152-CT'!$J$8=TH!F2462),"x","")</f>
        <v/>
      </c>
      <c r="AC2462" s="84" t="str">
        <f>IF(AND(OR(LEFT(TH!N2462,2)="15",LEFT(TH!O2462,2)="15"),TK!$E$7=TH!F2462),"x","")</f>
        <v/>
      </c>
      <c r="AD2462" s="84" t="str">
        <f>IF(AND(N2462="1521",MONTH(C2462)='BK-NL'!$M$11),"x","")</f>
        <v/>
      </c>
    </row>
    <row r="2463" spans="1:30" s="351" customFormat="1" ht="15.75" hidden="1" customHeight="1">
      <c r="A2463" s="336" t="str">
        <f>IF(B2463&lt;&gt;"",IF(AND(B2463='IN-TC'!$S$4,OR(TH!N2463="1111",TH!O2463="1111")),TH!D2463,""),"")</f>
        <v/>
      </c>
      <c r="B2463" s="63" t="str">
        <f t="shared" si="292"/>
        <v/>
      </c>
      <c r="C2463" s="64"/>
      <c r="D2463" s="64"/>
      <c r="E2463" s="64"/>
      <c r="F2463" s="67"/>
      <c r="G2463" s="67"/>
      <c r="H2463" s="73"/>
      <c r="I2463" s="439"/>
      <c r="J2463" s="439"/>
      <c r="K2463" s="430"/>
      <c r="L2463" s="439"/>
      <c r="M2463" s="65"/>
      <c r="N2463" s="66"/>
      <c r="O2463" s="66"/>
      <c r="P2463" s="84" t="str">
        <f>IF(AND('331-CT'!$E$7=TH!H2463,OR(N2463="331",O2463="331")),"x","")</f>
        <v/>
      </c>
      <c r="Q2463" s="84" t="str">
        <f>IF(AND(B2463='111'!$L$11,OR($N2463=$Q$7,$O2463=$Q$7)),"x","")</f>
        <v/>
      </c>
      <c r="R2463" s="84" t="str">
        <f>IF(AND($N2463=$Q$7,$B2463&lt;'111'!$L$11),"x","")</f>
        <v/>
      </c>
      <c r="S2463" s="84" t="str">
        <f>IF(AND($O2463=$Q$7,$B2463&lt;'111'!$L$11),"x","")</f>
        <v/>
      </c>
      <c r="T2463" s="84" t="str">
        <f>IF(ISERROR(FIND('112'!$M$9,G2463,1)),"",IF((AND(FIND('112'!$M$9,G2463,1)&gt;=1,B2463='112'!$K$9,OR($N2463='112'!$I$6,$O2463='112'!$I$6))),"x",""))</f>
        <v/>
      </c>
      <c r="U2463" s="84" t="str">
        <f>IF(ISERROR(FIND('112'!$M$9,G2463,1)),"",IF((AND(LEFT(G2463,2)=LEFT('112'!$M$9,2),B2463&lt;'112'!$K$9,$N2463='112'!$I$6)),"x",""))</f>
        <v/>
      </c>
      <c r="V2463" s="84" t="str">
        <f>IF(ISERROR(FIND('112'!$M$9,G2463,1)),"",IF((AND(RIGHT(G2463,2)=RIGHT('112'!$M$9,2),B2463&lt;'112'!$K$9,$O2463='112'!$I$6)),"x",""))</f>
        <v/>
      </c>
      <c r="W2463" s="84" t="str">
        <f>IF(AND('341-CT'!$H$9=H2463,OR(LEFT(N2463,3)=$W$7,LEFT(O2463,3)=$W$7)),"x","")</f>
        <v/>
      </c>
      <c r="X2463" s="84" t="str">
        <f>IF(OR(TH!N2463=TH!$X$7,O2463=TH!$X$7),"x","")</f>
        <v/>
      </c>
      <c r="Y2463" s="84" t="str">
        <f>IF(AND(OR(N2463="131",O2463="131"),H2463='131-CT'!$H$9),"x","")</f>
        <v/>
      </c>
      <c r="Z2463" s="84"/>
      <c r="AA2463" s="84" t="str">
        <f>IF(AND(MONTH(E2463)='IN-NX'!$J$5,'IN-NX'!$D$7=D2463),"x","")</f>
        <v/>
      </c>
      <c r="AB2463" s="84" t="str">
        <f>IF(AND(OR(LEFT(TH!N2463,2)="15",LEFT(TH!O2463,2)="15"),LEFT(TH!O2463,3)&lt;&gt;"111",'152-CT'!$J$8=TH!F2463),"x","")</f>
        <v/>
      </c>
      <c r="AC2463" s="84" t="str">
        <f>IF(AND(OR(LEFT(TH!N2463,2)="15",LEFT(TH!O2463,2)="15"),TK!$E$7=TH!F2463),"x","")</f>
        <v/>
      </c>
      <c r="AD2463" s="84" t="str">
        <f>IF(AND(N2463="1521",MONTH(C2463)='BK-NL'!$M$11),"x","")</f>
        <v/>
      </c>
    </row>
    <row r="2464" spans="1:30" s="351" customFormat="1" ht="15.75" hidden="1" customHeight="1">
      <c r="A2464" s="336" t="str">
        <f>IF(B2464&lt;&gt;"",IF(AND(B2464='IN-TC'!$S$4,OR(TH!N2464="1111",TH!O2464="1111")),TH!D2464,""),"")</f>
        <v/>
      </c>
      <c r="B2464" s="63" t="str">
        <f t="shared" si="292"/>
        <v/>
      </c>
      <c r="C2464" s="64"/>
      <c r="D2464" s="64"/>
      <c r="E2464" s="64"/>
      <c r="F2464" s="67"/>
      <c r="G2464" s="67"/>
      <c r="H2464" s="73"/>
      <c r="I2464" s="439"/>
      <c r="J2464" s="439"/>
      <c r="K2464" s="430"/>
      <c r="L2464" s="439"/>
      <c r="M2464" s="65"/>
      <c r="N2464" s="66"/>
      <c r="O2464" s="66"/>
      <c r="P2464" s="84" t="str">
        <f>IF(AND('331-CT'!$E$7=TH!H2464,OR(N2464="331",O2464="331")),"x","")</f>
        <v/>
      </c>
      <c r="Q2464" s="84" t="str">
        <f>IF(AND(B2464='111'!$L$11,OR($N2464=$Q$7,$O2464=$Q$7)),"x","")</f>
        <v/>
      </c>
      <c r="R2464" s="84" t="str">
        <f>IF(AND($N2464=$Q$7,$B2464&lt;'111'!$L$11),"x","")</f>
        <v/>
      </c>
      <c r="S2464" s="84" t="str">
        <f>IF(AND($O2464=$Q$7,$B2464&lt;'111'!$L$11),"x","")</f>
        <v/>
      </c>
      <c r="T2464" s="84" t="str">
        <f>IF(ISERROR(FIND('112'!$M$9,G2464,1)),"",IF((AND(FIND('112'!$M$9,G2464,1)&gt;=1,B2464='112'!$K$9,OR($N2464='112'!$I$6,$O2464='112'!$I$6))),"x",""))</f>
        <v/>
      </c>
      <c r="U2464" s="84" t="str">
        <f>IF(ISERROR(FIND('112'!$M$9,G2464,1)),"",IF((AND(LEFT(G2464,2)=LEFT('112'!$M$9,2),B2464&lt;'112'!$K$9,$N2464='112'!$I$6)),"x",""))</f>
        <v/>
      </c>
      <c r="V2464" s="84" t="str">
        <f>IF(ISERROR(FIND('112'!$M$9,G2464,1)),"",IF((AND(RIGHT(G2464,2)=RIGHT('112'!$M$9,2),B2464&lt;'112'!$K$9,$O2464='112'!$I$6)),"x",""))</f>
        <v/>
      </c>
      <c r="W2464" s="84" t="str">
        <f>IF(AND('341-CT'!$H$9=H2464,OR(LEFT(N2464,3)=$W$7,LEFT(O2464,3)=$W$7)),"x","")</f>
        <v/>
      </c>
      <c r="X2464" s="84" t="str">
        <f>IF(OR(TH!N2464=TH!$X$7,O2464=TH!$X$7),"x","")</f>
        <v/>
      </c>
      <c r="Y2464" s="84" t="str">
        <f>IF(AND(OR(N2464="131",O2464="131"),H2464='131-CT'!$H$9),"x","")</f>
        <v/>
      </c>
      <c r="Z2464" s="84"/>
      <c r="AA2464" s="84" t="str">
        <f>IF(AND(MONTH(E2464)='IN-NX'!$J$5,'IN-NX'!$D$7=D2464),"x","")</f>
        <v/>
      </c>
      <c r="AB2464" s="84" t="str">
        <f>IF(AND(OR(LEFT(TH!N2464,2)="15",LEFT(TH!O2464,2)="15"),LEFT(TH!O2464,3)&lt;&gt;"111",'152-CT'!$J$8=TH!F2464),"x","")</f>
        <v/>
      </c>
      <c r="AC2464" s="84" t="str">
        <f>IF(AND(OR(LEFT(TH!N2464,2)="15",LEFT(TH!O2464,2)="15"),TK!$E$7=TH!F2464),"x","")</f>
        <v/>
      </c>
      <c r="AD2464" s="84" t="str">
        <f>IF(AND(N2464="1521",MONTH(C2464)='BK-NL'!$M$11),"x","")</f>
        <v/>
      </c>
    </row>
    <row r="2465" spans="1:30" s="351" customFormat="1" ht="15.75" hidden="1" customHeight="1">
      <c r="A2465" s="336" t="str">
        <f>IF(B2465&lt;&gt;"",IF(AND(B2465='IN-TC'!$S$4,OR(TH!N2465="1111",TH!O2465="1111")),TH!D2465,""),"")</f>
        <v/>
      </c>
      <c r="B2465" s="63" t="str">
        <f t="shared" si="292"/>
        <v/>
      </c>
      <c r="C2465" s="64"/>
      <c r="D2465" s="64"/>
      <c r="E2465" s="64"/>
      <c r="F2465" s="67"/>
      <c r="G2465" s="67"/>
      <c r="H2465" s="73"/>
      <c r="I2465" s="439"/>
      <c r="J2465" s="439"/>
      <c r="K2465" s="430"/>
      <c r="L2465" s="439"/>
      <c r="M2465" s="65"/>
      <c r="N2465" s="66"/>
      <c r="O2465" s="66"/>
      <c r="P2465" s="84" t="str">
        <f>IF(AND('331-CT'!$E$7=TH!H2465,OR(N2465="331",O2465="331")),"x","")</f>
        <v/>
      </c>
      <c r="Q2465" s="84" t="str">
        <f>IF(AND(B2465='111'!$L$11,OR($N2465=$Q$7,$O2465=$Q$7)),"x","")</f>
        <v/>
      </c>
      <c r="R2465" s="84" t="str">
        <f>IF(AND($N2465=$Q$7,$B2465&lt;'111'!$L$11),"x","")</f>
        <v/>
      </c>
      <c r="S2465" s="84" t="str">
        <f>IF(AND($O2465=$Q$7,$B2465&lt;'111'!$L$11),"x","")</f>
        <v/>
      </c>
      <c r="T2465" s="84" t="str">
        <f>IF(ISERROR(FIND('112'!$M$9,G2465,1)),"",IF((AND(FIND('112'!$M$9,G2465,1)&gt;=1,B2465='112'!$K$9,OR($N2465='112'!$I$6,$O2465='112'!$I$6))),"x",""))</f>
        <v/>
      </c>
      <c r="U2465" s="84" t="str">
        <f>IF(ISERROR(FIND('112'!$M$9,G2465,1)),"",IF((AND(LEFT(G2465,2)=LEFT('112'!$M$9,2),B2465&lt;'112'!$K$9,$N2465='112'!$I$6)),"x",""))</f>
        <v/>
      </c>
      <c r="V2465" s="84" t="str">
        <f>IF(ISERROR(FIND('112'!$M$9,G2465,1)),"",IF((AND(RIGHT(G2465,2)=RIGHT('112'!$M$9,2),B2465&lt;'112'!$K$9,$O2465='112'!$I$6)),"x",""))</f>
        <v/>
      </c>
      <c r="W2465" s="84" t="str">
        <f>IF(AND('341-CT'!$H$9=H2465,OR(LEFT(N2465,3)=$W$7,LEFT(O2465,3)=$W$7)),"x","")</f>
        <v/>
      </c>
      <c r="X2465" s="84" t="str">
        <f>IF(OR(TH!N2465=TH!$X$7,O2465=TH!$X$7),"x","")</f>
        <v/>
      </c>
      <c r="Y2465" s="84" t="str">
        <f>IF(AND(OR(N2465="131",O2465="131"),H2465='131-CT'!$H$9),"x","")</f>
        <v/>
      </c>
      <c r="Z2465" s="84"/>
      <c r="AA2465" s="84" t="str">
        <f>IF(AND(MONTH(E2465)='IN-NX'!$J$5,'IN-NX'!$D$7=D2465),"x","")</f>
        <v/>
      </c>
      <c r="AB2465" s="84" t="str">
        <f>IF(AND(OR(LEFT(TH!N2465,2)="15",LEFT(TH!O2465,2)="15"),LEFT(TH!O2465,3)&lt;&gt;"111",'152-CT'!$J$8=TH!F2465),"x","")</f>
        <v/>
      </c>
      <c r="AC2465" s="84" t="str">
        <f>IF(AND(OR(LEFT(TH!N2465,2)="15",LEFT(TH!O2465,2)="15"),TK!$E$7=TH!F2465),"x","")</f>
        <v/>
      </c>
      <c r="AD2465" s="84" t="str">
        <f>IF(AND(N2465="1521",MONTH(C2465)='BK-NL'!$M$11),"x","")</f>
        <v/>
      </c>
    </row>
    <row r="2466" spans="1:30" s="351" customFormat="1" ht="15.75" hidden="1" customHeight="1">
      <c r="A2466" s="336" t="str">
        <f>IF(B2466&lt;&gt;"",IF(AND(B2466='IN-TC'!$S$4,OR(TH!N2466="1111",TH!O2466="1111")),TH!D2466,""),"")</f>
        <v/>
      </c>
      <c r="B2466" s="63" t="str">
        <f t="shared" si="292"/>
        <v/>
      </c>
      <c r="C2466" s="64"/>
      <c r="D2466" s="64"/>
      <c r="E2466" s="64"/>
      <c r="F2466" s="67"/>
      <c r="G2466" s="67"/>
      <c r="H2466" s="73"/>
      <c r="I2466" s="439"/>
      <c r="J2466" s="439"/>
      <c r="K2466" s="430"/>
      <c r="L2466" s="439"/>
      <c r="M2466" s="65"/>
      <c r="N2466" s="66"/>
      <c r="O2466" s="66"/>
      <c r="P2466" s="84" t="str">
        <f>IF(AND('331-CT'!$E$7=TH!H2466,OR(N2466="331",O2466="331")),"x","")</f>
        <v/>
      </c>
      <c r="Q2466" s="84" t="str">
        <f>IF(AND(B2466='111'!$L$11,OR($N2466=$Q$7,$O2466=$Q$7)),"x","")</f>
        <v/>
      </c>
      <c r="R2466" s="84" t="str">
        <f>IF(AND($N2466=$Q$7,$B2466&lt;'111'!$L$11),"x","")</f>
        <v/>
      </c>
      <c r="S2466" s="84" t="str">
        <f>IF(AND($O2466=$Q$7,$B2466&lt;'111'!$L$11),"x","")</f>
        <v/>
      </c>
      <c r="T2466" s="84" t="str">
        <f>IF(ISERROR(FIND('112'!$M$9,G2466,1)),"",IF((AND(FIND('112'!$M$9,G2466,1)&gt;=1,B2466='112'!$K$9,OR($N2466='112'!$I$6,$O2466='112'!$I$6))),"x",""))</f>
        <v/>
      </c>
      <c r="U2466" s="84" t="str">
        <f>IF(ISERROR(FIND('112'!$M$9,G2466,1)),"",IF((AND(LEFT(G2466,2)=LEFT('112'!$M$9,2),B2466&lt;'112'!$K$9,$N2466='112'!$I$6)),"x",""))</f>
        <v/>
      </c>
      <c r="V2466" s="84" t="str">
        <f>IF(ISERROR(FIND('112'!$M$9,G2466,1)),"",IF((AND(RIGHT(G2466,2)=RIGHT('112'!$M$9,2),B2466&lt;'112'!$K$9,$O2466='112'!$I$6)),"x",""))</f>
        <v/>
      </c>
      <c r="W2466" s="84" t="str">
        <f>IF(AND('341-CT'!$H$9=H2466,OR(LEFT(N2466,3)=$W$7,LEFT(O2466,3)=$W$7)),"x","")</f>
        <v/>
      </c>
      <c r="X2466" s="84" t="str">
        <f>IF(OR(TH!N2466=TH!$X$7,O2466=TH!$X$7),"x","")</f>
        <v/>
      </c>
      <c r="Y2466" s="84" t="str">
        <f>IF(AND(OR(N2466="131",O2466="131"),H2466='131-CT'!$H$9),"x","")</f>
        <v/>
      </c>
      <c r="Z2466" s="84"/>
      <c r="AA2466" s="84" t="str">
        <f>IF(AND(MONTH(E2466)='IN-NX'!$J$5,'IN-NX'!$D$7=D2466),"x","")</f>
        <v/>
      </c>
      <c r="AB2466" s="84" t="str">
        <f>IF(AND(OR(LEFT(TH!N2466,2)="15",LEFT(TH!O2466,2)="15"),LEFT(TH!O2466,3)&lt;&gt;"111",'152-CT'!$J$8=TH!F2466),"x","")</f>
        <v/>
      </c>
      <c r="AC2466" s="84" t="str">
        <f>IF(AND(OR(LEFT(TH!N2466,2)="15",LEFT(TH!O2466,2)="15"),TK!$E$7=TH!F2466),"x","")</f>
        <v/>
      </c>
      <c r="AD2466" s="84" t="str">
        <f>IF(AND(N2466="1521",MONTH(C2466)='BK-NL'!$M$11),"x","")</f>
        <v/>
      </c>
    </row>
    <row r="2467" spans="1:30" s="351" customFormat="1" ht="15.75" hidden="1" customHeight="1">
      <c r="A2467" s="336" t="str">
        <f>IF(B2467&lt;&gt;"",IF(AND(B2467='IN-TC'!$S$4,OR(TH!N2467="1111",TH!O2467="1111")),TH!D2467,""),"")</f>
        <v/>
      </c>
      <c r="B2467" s="63" t="str">
        <f t="shared" si="292"/>
        <v/>
      </c>
      <c r="C2467" s="64"/>
      <c r="D2467" s="64"/>
      <c r="E2467" s="64"/>
      <c r="F2467" s="67"/>
      <c r="G2467" s="67"/>
      <c r="H2467" s="73"/>
      <c r="I2467" s="439"/>
      <c r="J2467" s="439"/>
      <c r="K2467" s="430"/>
      <c r="L2467" s="439"/>
      <c r="M2467" s="65"/>
      <c r="N2467" s="66"/>
      <c r="O2467" s="66"/>
      <c r="P2467" s="84" t="str">
        <f>IF(AND('331-CT'!$E$7=TH!H2467,OR(N2467="331",O2467="331")),"x","")</f>
        <v/>
      </c>
      <c r="Q2467" s="84" t="str">
        <f>IF(AND(B2467='111'!$L$11,OR($N2467=$Q$7,$O2467=$Q$7)),"x","")</f>
        <v/>
      </c>
      <c r="R2467" s="84" t="str">
        <f>IF(AND($N2467=$Q$7,$B2467&lt;'111'!$L$11),"x","")</f>
        <v/>
      </c>
      <c r="S2467" s="84" t="str">
        <f>IF(AND($O2467=$Q$7,$B2467&lt;'111'!$L$11),"x","")</f>
        <v/>
      </c>
      <c r="T2467" s="84" t="str">
        <f>IF(ISERROR(FIND('112'!$M$9,G2467,1)),"",IF((AND(FIND('112'!$M$9,G2467,1)&gt;=1,B2467='112'!$K$9,OR($N2467='112'!$I$6,$O2467='112'!$I$6))),"x",""))</f>
        <v/>
      </c>
      <c r="U2467" s="84" t="str">
        <f>IF(ISERROR(FIND('112'!$M$9,G2467,1)),"",IF((AND(LEFT(G2467,2)=LEFT('112'!$M$9,2),B2467&lt;'112'!$K$9,$N2467='112'!$I$6)),"x",""))</f>
        <v/>
      </c>
      <c r="V2467" s="84" t="str">
        <f>IF(ISERROR(FIND('112'!$M$9,G2467,1)),"",IF((AND(RIGHT(G2467,2)=RIGHT('112'!$M$9,2),B2467&lt;'112'!$K$9,$O2467='112'!$I$6)),"x",""))</f>
        <v/>
      </c>
      <c r="W2467" s="84" t="str">
        <f>IF(AND('341-CT'!$H$9=H2467,OR(LEFT(N2467,3)=$W$7,LEFT(O2467,3)=$W$7)),"x","")</f>
        <v/>
      </c>
      <c r="X2467" s="84" t="str">
        <f>IF(OR(TH!N2467=TH!$X$7,O2467=TH!$X$7),"x","")</f>
        <v/>
      </c>
      <c r="Y2467" s="84" t="str">
        <f>IF(AND(OR(N2467="131",O2467="131"),H2467='131-CT'!$H$9),"x","")</f>
        <v/>
      </c>
      <c r="Z2467" s="84"/>
      <c r="AA2467" s="84" t="str">
        <f>IF(AND(MONTH(E2467)='IN-NX'!$J$5,'IN-NX'!$D$7=D2467),"x","")</f>
        <v/>
      </c>
      <c r="AB2467" s="84" t="str">
        <f>IF(AND(OR(LEFT(TH!N2467,2)="15",LEFT(TH!O2467,2)="15"),LEFT(TH!O2467,3)&lt;&gt;"111",'152-CT'!$J$8=TH!F2467),"x","")</f>
        <v/>
      </c>
      <c r="AC2467" s="84" t="str">
        <f>IF(AND(OR(LEFT(TH!N2467,2)="15",LEFT(TH!O2467,2)="15"),TK!$E$7=TH!F2467),"x","")</f>
        <v/>
      </c>
      <c r="AD2467" s="84" t="str">
        <f>IF(AND(N2467="1521",MONTH(C2467)='BK-NL'!$M$11),"x","")</f>
        <v/>
      </c>
    </row>
    <row r="2468" spans="1:30" s="351" customFormat="1" ht="15.75" hidden="1" customHeight="1">
      <c r="A2468" s="336" t="str">
        <f>IF(B2468&lt;&gt;"",IF(AND(B2468='IN-TC'!$S$4,OR(TH!N2468="1111",TH!O2468="1111")),TH!D2468,""),"")</f>
        <v/>
      </c>
      <c r="B2468" s="63" t="str">
        <f t="shared" ref="B2468:B2499" si="293">IF(C2468&lt;&gt;"",MONTH(C2468),"")</f>
        <v/>
      </c>
      <c r="C2468" s="64"/>
      <c r="D2468" s="64"/>
      <c r="E2468" s="64"/>
      <c r="F2468" s="67"/>
      <c r="G2468" s="67"/>
      <c r="H2468" s="73"/>
      <c r="I2468" s="439"/>
      <c r="J2468" s="439"/>
      <c r="K2468" s="430"/>
      <c r="L2468" s="439"/>
      <c r="M2468" s="65"/>
      <c r="N2468" s="66"/>
      <c r="O2468" s="66"/>
      <c r="P2468" s="84" t="str">
        <f>IF(AND('331-CT'!$E$7=TH!H2468,OR(N2468="331",O2468="331")),"x","")</f>
        <v/>
      </c>
      <c r="Q2468" s="84" t="str">
        <f>IF(AND(B2468='111'!$L$11,OR($N2468=$Q$7,$O2468=$Q$7)),"x","")</f>
        <v/>
      </c>
      <c r="R2468" s="84" t="str">
        <f>IF(AND($N2468=$Q$7,$B2468&lt;'111'!$L$11),"x","")</f>
        <v/>
      </c>
      <c r="S2468" s="84" t="str">
        <f>IF(AND($O2468=$Q$7,$B2468&lt;'111'!$L$11),"x","")</f>
        <v/>
      </c>
      <c r="T2468" s="84" t="str">
        <f>IF(ISERROR(FIND('112'!$M$9,G2468,1)),"",IF((AND(FIND('112'!$M$9,G2468,1)&gt;=1,B2468='112'!$K$9,OR($N2468='112'!$I$6,$O2468='112'!$I$6))),"x",""))</f>
        <v/>
      </c>
      <c r="U2468" s="84" t="str">
        <f>IF(ISERROR(FIND('112'!$M$9,G2468,1)),"",IF((AND(LEFT(G2468,2)=LEFT('112'!$M$9,2),B2468&lt;'112'!$K$9,$N2468='112'!$I$6)),"x",""))</f>
        <v/>
      </c>
      <c r="V2468" s="84" t="str">
        <f>IF(ISERROR(FIND('112'!$M$9,G2468,1)),"",IF((AND(RIGHT(G2468,2)=RIGHT('112'!$M$9,2),B2468&lt;'112'!$K$9,$O2468='112'!$I$6)),"x",""))</f>
        <v/>
      </c>
      <c r="W2468" s="84" t="str">
        <f>IF(AND('341-CT'!$H$9=H2468,OR(LEFT(N2468,3)=$W$7,LEFT(O2468,3)=$W$7)),"x","")</f>
        <v/>
      </c>
      <c r="X2468" s="84" t="str">
        <f>IF(OR(TH!N2468=TH!$X$7,O2468=TH!$X$7),"x","")</f>
        <v/>
      </c>
      <c r="Y2468" s="84" t="str">
        <f>IF(AND(OR(N2468="131",O2468="131"),H2468='131-CT'!$H$9),"x","")</f>
        <v/>
      </c>
      <c r="Z2468" s="84"/>
      <c r="AA2468" s="84" t="str">
        <f>IF(AND(MONTH(E2468)='IN-NX'!$J$5,'IN-NX'!$D$7=D2468),"x","")</f>
        <v/>
      </c>
      <c r="AB2468" s="84" t="str">
        <f>IF(AND(OR(LEFT(TH!N2468,2)="15",LEFT(TH!O2468,2)="15"),LEFT(TH!O2468,3)&lt;&gt;"111",'152-CT'!$J$8=TH!F2468),"x","")</f>
        <v/>
      </c>
      <c r="AC2468" s="84" t="str">
        <f>IF(AND(OR(LEFT(TH!N2468,2)="15",LEFT(TH!O2468,2)="15"),TK!$E$7=TH!F2468),"x","")</f>
        <v/>
      </c>
      <c r="AD2468" s="84" t="str">
        <f>IF(AND(N2468="1521",MONTH(C2468)='BK-NL'!$M$11),"x","")</f>
        <v/>
      </c>
    </row>
    <row r="2469" spans="1:30" s="351" customFormat="1" ht="15.75" hidden="1" customHeight="1">
      <c r="A2469" s="336" t="str">
        <f>IF(B2469&lt;&gt;"",IF(AND(B2469='IN-TC'!$S$4,OR(TH!N2469="1111",TH!O2469="1111")),TH!D2469,""),"")</f>
        <v/>
      </c>
      <c r="B2469" s="63" t="str">
        <f t="shared" si="293"/>
        <v/>
      </c>
      <c r="C2469" s="64"/>
      <c r="D2469" s="64"/>
      <c r="E2469" s="64"/>
      <c r="F2469" s="67"/>
      <c r="G2469" s="67"/>
      <c r="H2469" s="73"/>
      <c r="I2469" s="439"/>
      <c r="J2469" s="439"/>
      <c r="K2469" s="430"/>
      <c r="L2469" s="439"/>
      <c r="M2469" s="65"/>
      <c r="N2469" s="66"/>
      <c r="O2469" s="66"/>
      <c r="P2469" s="84" t="str">
        <f>IF(AND('331-CT'!$E$7=TH!H2469,OR(N2469="331",O2469="331")),"x","")</f>
        <v/>
      </c>
      <c r="Q2469" s="84" t="str">
        <f>IF(AND(B2469='111'!$L$11,OR($N2469=$Q$7,$O2469=$Q$7)),"x","")</f>
        <v/>
      </c>
      <c r="R2469" s="84" t="str">
        <f>IF(AND($N2469=$Q$7,$B2469&lt;'111'!$L$11),"x","")</f>
        <v/>
      </c>
      <c r="S2469" s="84" t="str">
        <f>IF(AND($O2469=$Q$7,$B2469&lt;'111'!$L$11),"x","")</f>
        <v/>
      </c>
      <c r="T2469" s="84" t="str">
        <f>IF(ISERROR(FIND('112'!$M$9,G2469,1)),"",IF((AND(FIND('112'!$M$9,G2469,1)&gt;=1,B2469='112'!$K$9,OR($N2469='112'!$I$6,$O2469='112'!$I$6))),"x",""))</f>
        <v/>
      </c>
      <c r="U2469" s="84" t="str">
        <f>IF(ISERROR(FIND('112'!$M$9,G2469,1)),"",IF((AND(LEFT(G2469,2)=LEFT('112'!$M$9,2),B2469&lt;'112'!$K$9,$N2469='112'!$I$6)),"x",""))</f>
        <v/>
      </c>
      <c r="V2469" s="84" t="str">
        <f>IF(ISERROR(FIND('112'!$M$9,G2469,1)),"",IF((AND(RIGHT(G2469,2)=RIGHT('112'!$M$9,2),B2469&lt;'112'!$K$9,$O2469='112'!$I$6)),"x",""))</f>
        <v/>
      </c>
      <c r="W2469" s="84" t="str">
        <f>IF(AND('341-CT'!$H$9=H2469,OR(LEFT(N2469,3)=$W$7,LEFT(O2469,3)=$W$7)),"x","")</f>
        <v/>
      </c>
      <c r="X2469" s="84" t="str">
        <f>IF(OR(TH!N2469=TH!$X$7,O2469=TH!$X$7),"x","")</f>
        <v/>
      </c>
      <c r="Y2469" s="84" t="str">
        <f>IF(AND(OR(N2469="131",O2469="131"),H2469='131-CT'!$H$9),"x","")</f>
        <v/>
      </c>
      <c r="Z2469" s="84"/>
      <c r="AA2469" s="84" t="str">
        <f>IF(AND(MONTH(E2469)='IN-NX'!$J$5,'IN-NX'!$D$7=D2469),"x","")</f>
        <v/>
      </c>
      <c r="AB2469" s="84" t="str">
        <f>IF(AND(OR(LEFT(TH!N2469,2)="15",LEFT(TH!O2469,2)="15"),LEFT(TH!O2469,3)&lt;&gt;"111",'152-CT'!$J$8=TH!F2469),"x","")</f>
        <v/>
      </c>
      <c r="AC2469" s="84" t="str">
        <f>IF(AND(OR(LEFT(TH!N2469,2)="15",LEFT(TH!O2469,2)="15"),TK!$E$7=TH!F2469),"x","")</f>
        <v/>
      </c>
      <c r="AD2469" s="84" t="str">
        <f>IF(AND(N2469="1521",MONTH(C2469)='BK-NL'!$M$11),"x","")</f>
        <v/>
      </c>
    </row>
    <row r="2470" spans="1:30" s="351" customFormat="1" ht="15.75" hidden="1" customHeight="1">
      <c r="A2470" s="336" t="str">
        <f>IF(B2470&lt;&gt;"",IF(AND(B2470='IN-TC'!$S$4,OR(TH!N2470="1111",TH!O2470="1111")),TH!D2470,""),"")</f>
        <v/>
      </c>
      <c r="B2470" s="63" t="str">
        <f t="shared" si="293"/>
        <v/>
      </c>
      <c r="C2470" s="64"/>
      <c r="D2470" s="64"/>
      <c r="E2470" s="64"/>
      <c r="F2470" s="67"/>
      <c r="G2470" s="67"/>
      <c r="H2470" s="73"/>
      <c r="I2470" s="439"/>
      <c r="J2470" s="439"/>
      <c r="K2470" s="430"/>
      <c r="L2470" s="439"/>
      <c r="M2470" s="65"/>
      <c r="N2470" s="66"/>
      <c r="O2470" s="66"/>
      <c r="P2470" s="84" t="str">
        <f>IF(AND('331-CT'!$E$7=TH!H2470,OR(N2470="331",O2470="331")),"x","")</f>
        <v/>
      </c>
      <c r="Q2470" s="84" t="str">
        <f>IF(AND(B2470='111'!$L$11,OR($N2470=$Q$7,$O2470=$Q$7)),"x","")</f>
        <v/>
      </c>
      <c r="R2470" s="84" t="str">
        <f>IF(AND($N2470=$Q$7,$B2470&lt;'111'!$L$11),"x","")</f>
        <v/>
      </c>
      <c r="S2470" s="84" t="str">
        <f>IF(AND($O2470=$Q$7,$B2470&lt;'111'!$L$11),"x","")</f>
        <v/>
      </c>
      <c r="T2470" s="84" t="str">
        <f>IF(ISERROR(FIND('112'!$M$9,G2470,1)),"",IF((AND(FIND('112'!$M$9,G2470,1)&gt;=1,B2470='112'!$K$9,OR($N2470='112'!$I$6,$O2470='112'!$I$6))),"x",""))</f>
        <v/>
      </c>
      <c r="U2470" s="84" t="str">
        <f>IF(ISERROR(FIND('112'!$M$9,G2470,1)),"",IF((AND(LEFT(G2470,2)=LEFT('112'!$M$9,2),B2470&lt;'112'!$K$9,$N2470='112'!$I$6)),"x",""))</f>
        <v/>
      </c>
      <c r="V2470" s="84" t="str">
        <f>IF(ISERROR(FIND('112'!$M$9,G2470,1)),"",IF((AND(RIGHT(G2470,2)=RIGHT('112'!$M$9,2),B2470&lt;'112'!$K$9,$O2470='112'!$I$6)),"x",""))</f>
        <v/>
      </c>
      <c r="W2470" s="84" t="str">
        <f>IF(AND('341-CT'!$H$9=H2470,OR(LEFT(N2470,3)=$W$7,LEFT(O2470,3)=$W$7)),"x","")</f>
        <v/>
      </c>
      <c r="X2470" s="84" t="str">
        <f>IF(OR(TH!N2470=TH!$X$7,O2470=TH!$X$7),"x","")</f>
        <v/>
      </c>
      <c r="Y2470" s="84" t="str">
        <f>IF(AND(OR(N2470="131",O2470="131"),H2470='131-CT'!$H$9),"x","")</f>
        <v/>
      </c>
      <c r="Z2470" s="84"/>
      <c r="AA2470" s="84" t="str">
        <f>IF(AND(MONTH(E2470)='IN-NX'!$J$5,'IN-NX'!$D$7=D2470),"x","")</f>
        <v/>
      </c>
      <c r="AB2470" s="84" t="str">
        <f>IF(AND(OR(LEFT(TH!N2470,2)="15",LEFT(TH!O2470,2)="15"),LEFT(TH!O2470,3)&lt;&gt;"111",'152-CT'!$J$8=TH!F2470),"x","")</f>
        <v/>
      </c>
      <c r="AC2470" s="84" t="str">
        <f>IF(AND(OR(LEFT(TH!N2470,2)="15",LEFT(TH!O2470,2)="15"),TK!$E$7=TH!F2470),"x","")</f>
        <v/>
      </c>
      <c r="AD2470" s="84" t="str">
        <f>IF(AND(N2470="1521",MONTH(C2470)='BK-NL'!$M$11),"x","")</f>
        <v/>
      </c>
    </row>
    <row r="2471" spans="1:30" s="351" customFormat="1" ht="15.75" hidden="1" customHeight="1">
      <c r="A2471" s="336" t="str">
        <f>IF(B2471&lt;&gt;"",IF(AND(B2471='IN-TC'!$S$4,OR(TH!N2471="1111",TH!O2471="1111")),TH!D2471,""),"")</f>
        <v/>
      </c>
      <c r="B2471" s="63" t="str">
        <f t="shared" si="293"/>
        <v/>
      </c>
      <c r="C2471" s="64"/>
      <c r="D2471" s="64"/>
      <c r="E2471" s="64"/>
      <c r="F2471" s="67"/>
      <c r="G2471" s="67"/>
      <c r="H2471" s="73"/>
      <c r="I2471" s="439"/>
      <c r="J2471" s="439"/>
      <c r="K2471" s="430"/>
      <c r="L2471" s="439"/>
      <c r="M2471" s="65"/>
      <c r="N2471" s="66"/>
      <c r="O2471" s="66"/>
      <c r="P2471" s="84" t="str">
        <f>IF(AND('331-CT'!$E$7=TH!H2471,OR(N2471="331",O2471="331")),"x","")</f>
        <v/>
      </c>
      <c r="Q2471" s="84" t="str">
        <f>IF(AND(B2471='111'!$L$11,OR($N2471=$Q$7,$O2471=$Q$7)),"x","")</f>
        <v/>
      </c>
      <c r="R2471" s="84" t="str">
        <f>IF(AND($N2471=$Q$7,$B2471&lt;'111'!$L$11),"x","")</f>
        <v/>
      </c>
      <c r="S2471" s="84" t="str">
        <f>IF(AND($O2471=$Q$7,$B2471&lt;'111'!$L$11),"x","")</f>
        <v/>
      </c>
      <c r="T2471" s="84" t="str">
        <f>IF(ISERROR(FIND('112'!$M$9,G2471,1)),"",IF((AND(FIND('112'!$M$9,G2471,1)&gt;=1,B2471='112'!$K$9,OR($N2471='112'!$I$6,$O2471='112'!$I$6))),"x",""))</f>
        <v/>
      </c>
      <c r="U2471" s="84" t="str">
        <f>IF(ISERROR(FIND('112'!$M$9,G2471,1)),"",IF((AND(LEFT(G2471,2)=LEFT('112'!$M$9,2),B2471&lt;'112'!$K$9,$N2471='112'!$I$6)),"x",""))</f>
        <v/>
      </c>
      <c r="V2471" s="84" t="str">
        <f>IF(ISERROR(FIND('112'!$M$9,G2471,1)),"",IF((AND(RIGHT(G2471,2)=RIGHT('112'!$M$9,2),B2471&lt;'112'!$K$9,$O2471='112'!$I$6)),"x",""))</f>
        <v/>
      </c>
      <c r="W2471" s="84" t="str">
        <f>IF(AND('341-CT'!$H$9=H2471,OR(LEFT(N2471,3)=$W$7,LEFT(O2471,3)=$W$7)),"x","")</f>
        <v/>
      </c>
      <c r="X2471" s="84" t="str">
        <f>IF(OR(TH!N2471=TH!$X$7,O2471=TH!$X$7),"x","")</f>
        <v/>
      </c>
      <c r="Y2471" s="84" t="str">
        <f>IF(AND(OR(N2471="131",O2471="131"),H2471='131-CT'!$H$9),"x","")</f>
        <v/>
      </c>
      <c r="Z2471" s="84"/>
      <c r="AA2471" s="84" t="str">
        <f>IF(AND(MONTH(E2471)='IN-NX'!$J$5,'IN-NX'!$D$7=D2471),"x","")</f>
        <v/>
      </c>
      <c r="AB2471" s="84" t="str">
        <f>IF(AND(OR(LEFT(TH!N2471,2)="15",LEFT(TH!O2471,2)="15"),LEFT(TH!O2471,3)&lt;&gt;"111",'152-CT'!$J$8=TH!F2471),"x","")</f>
        <v/>
      </c>
      <c r="AC2471" s="84" t="str">
        <f>IF(AND(OR(LEFT(TH!N2471,2)="15",LEFT(TH!O2471,2)="15"),TK!$E$7=TH!F2471),"x","")</f>
        <v/>
      </c>
      <c r="AD2471" s="84" t="str">
        <f>IF(AND(N2471="1521",MONTH(C2471)='BK-NL'!$M$11),"x","")</f>
        <v/>
      </c>
    </row>
    <row r="2472" spans="1:30" s="351" customFormat="1" ht="15.75" hidden="1" customHeight="1">
      <c r="A2472" s="336" t="str">
        <f>IF(B2472&lt;&gt;"",IF(AND(B2472='IN-TC'!$S$4,OR(TH!N2472="1111",TH!O2472="1111")),TH!D2472,""),"")</f>
        <v/>
      </c>
      <c r="B2472" s="63" t="str">
        <f t="shared" si="293"/>
        <v/>
      </c>
      <c r="C2472" s="64"/>
      <c r="D2472" s="64"/>
      <c r="E2472" s="64"/>
      <c r="F2472" s="67"/>
      <c r="G2472" s="67"/>
      <c r="H2472" s="73"/>
      <c r="I2472" s="439"/>
      <c r="J2472" s="439"/>
      <c r="K2472" s="430"/>
      <c r="L2472" s="439"/>
      <c r="M2472" s="65"/>
      <c r="N2472" s="66"/>
      <c r="O2472" s="66"/>
      <c r="P2472" s="84" t="str">
        <f>IF(AND('331-CT'!$E$7=TH!H2472,OR(N2472="331",O2472="331")),"x","")</f>
        <v/>
      </c>
      <c r="Q2472" s="84" t="str">
        <f>IF(AND(B2472='111'!$L$11,OR($N2472=$Q$7,$O2472=$Q$7)),"x","")</f>
        <v/>
      </c>
      <c r="R2472" s="84" t="str">
        <f>IF(AND($N2472=$Q$7,$B2472&lt;'111'!$L$11),"x","")</f>
        <v/>
      </c>
      <c r="S2472" s="84" t="str">
        <f>IF(AND($O2472=$Q$7,$B2472&lt;'111'!$L$11),"x","")</f>
        <v/>
      </c>
      <c r="T2472" s="84" t="str">
        <f>IF(ISERROR(FIND('112'!$M$9,G2472,1)),"",IF((AND(FIND('112'!$M$9,G2472,1)&gt;=1,B2472='112'!$K$9,OR($N2472='112'!$I$6,$O2472='112'!$I$6))),"x",""))</f>
        <v/>
      </c>
      <c r="U2472" s="84" t="str">
        <f>IF(ISERROR(FIND('112'!$M$9,G2472,1)),"",IF((AND(LEFT(G2472,2)=LEFT('112'!$M$9,2),B2472&lt;'112'!$K$9,$N2472='112'!$I$6)),"x",""))</f>
        <v/>
      </c>
      <c r="V2472" s="84" t="str">
        <f>IF(ISERROR(FIND('112'!$M$9,G2472,1)),"",IF((AND(RIGHT(G2472,2)=RIGHT('112'!$M$9,2),B2472&lt;'112'!$K$9,$O2472='112'!$I$6)),"x",""))</f>
        <v/>
      </c>
      <c r="W2472" s="84" t="str">
        <f>IF(AND('341-CT'!$H$9=H2472,OR(LEFT(N2472,3)=$W$7,LEFT(O2472,3)=$W$7)),"x","")</f>
        <v/>
      </c>
      <c r="X2472" s="84" t="str">
        <f>IF(OR(TH!N2472=TH!$X$7,O2472=TH!$X$7),"x","")</f>
        <v/>
      </c>
      <c r="Y2472" s="84" t="str">
        <f>IF(AND(OR(N2472="131",O2472="131"),H2472='131-CT'!$H$9),"x","")</f>
        <v/>
      </c>
      <c r="Z2472" s="84"/>
      <c r="AA2472" s="84" t="str">
        <f>IF(AND(MONTH(E2472)='IN-NX'!$J$5,'IN-NX'!$D$7=D2472),"x","")</f>
        <v/>
      </c>
      <c r="AB2472" s="84" t="str">
        <f>IF(AND(OR(LEFT(TH!N2472,2)="15",LEFT(TH!O2472,2)="15"),LEFT(TH!O2472,3)&lt;&gt;"111",'152-CT'!$J$8=TH!F2472),"x","")</f>
        <v/>
      </c>
      <c r="AC2472" s="84" t="str">
        <f>IF(AND(OR(LEFT(TH!N2472,2)="15",LEFT(TH!O2472,2)="15"),TK!$E$7=TH!F2472),"x","")</f>
        <v/>
      </c>
      <c r="AD2472" s="84" t="str">
        <f>IF(AND(N2472="1521",MONTH(C2472)='BK-NL'!$M$11),"x","")</f>
        <v/>
      </c>
    </row>
    <row r="2473" spans="1:30" s="351" customFormat="1" ht="15.75" hidden="1" customHeight="1">
      <c r="A2473" s="336" t="str">
        <f>IF(B2473&lt;&gt;"",IF(AND(B2473='IN-TC'!$S$4,OR(TH!N2473="1111",TH!O2473="1111")),TH!D2473,""),"")</f>
        <v/>
      </c>
      <c r="B2473" s="63" t="str">
        <f t="shared" si="293"/>
        <v/>
      </c>
      <c r="C2473" s="64"/>
      <c r="D2473" s="64"/>
      <c r="E2473" s="64"/>
      <c r="F2473" s="67"/>
      <c r="G2473" s="67"/>
      <c r="H2473" s="73"/>
      <c r="I2473" s="439"/>
      <c r="J2473" s="439"/>
      <c r="K2473" s="430"/>
      <c r="L2473" s="439"/>
      <c r="M2473" s="65"/>
      <c r="N2473" s="66"/>
      <c r="O2473" s="66"/>
      <c r="P2473" s="84" t="str">
        <f>IF(AND('331-CT'!$E$7=TH!H2473,OR(N2473="331",O2473="331")),"x","")</f>
        <v/>
      </c>
      <c r="Q2473" s="84" t="str">
        <f>IF(AND(B2473='111'!$L$11,OR($N2473=$Q$7,$O2473=$Q$7)),"x","")</f>
        <v/>
      </c>
      <c r="R2473" s="84" t="str">
        <f>IF(AND($N2473=$Q$7,$B2473&lt;'111'!$L$11),"x","")</f>
        <v/>
      </c>
      <c r="S2473" s="84" t="str">
        <f>IF(AND($O2473=$Q$7,$B2473&lt;'111'!$L$11),"x","")</f>
        <v/>
      </c>
      <c r="T2473" s="84" t="str">
        <f>IF(ISERROR(FIND('112'!$M$9,G2473,1)),"",IF((AND(FIND('112'!$M$9,G2473,1)&gt;=1,B2473='112'!$K$9,OR($N2473='112'!$I$6,$O2473='112'!$I$6))),"x",""))</f>
        <v/>
      </c>
      <c r="U2473" s="84" t="str">
        <f>IF(ISERROR(FIND('112'!$M$9,G2473,1)),"",IF((AND(LEFT(G2473,2)=LEFT('112'!$M$9,2),B2473&lt;'112'!$K$9,$N2473='112'!$I$6)),"x",""))</f>
        <v/>
      </c>
      <c r="V2473" s="84" t="str">
        <f>IF(ISERROR(FIND('112'!$M$9,G2473,1)),"",IF((AND(RIGHT(G2473,2)=RIGHT('112'!$M$9,2),B2473&lt;'112'!$K$9,$O2473='112'!$I$6)),"x",""))</f>
        <v/>
      </c>
      <c r="W2473" s="84" t="str">
        <f>IF(AND('341-CT'!$H$9=H2473,OR(LEFT(N2473,3)=$W$7,LEFT(O2473,3)=$W$7)),"x","")</f>
        <v/>
      </c>
      <c r="X2473" s="84" t="str">
        <f>IF(OR(TH!N2473=TH!$X$7,O2473=TH!$X$7),"x","")</f>
        <v/>
      </c>
      <c r="Y2473" s="84" t="str">
        <f>IF(AND(OR(N2473="131",O2473="131"),H2473='131-CT'!$H$9),"x","")</f>
        <v/>
      </c>
      <c r="Z2473" s="84"/>
      <c r="AA2473" s="84" t="str">
        <f>IF(AND(MONTH(E2473)='IN-NX'!$J$5,'IN-NX'!$D$7=D2473),"x","")</f>
        <v/>
      </c>
      <c r="AB2473" s="84" t="str">
        <f>IF(AND(OR(LEFT(TH!N2473,2)="15",LEFT(TH!O2473,2)="15"),LEFT(TH!O2473,3)&lt;&gt;"111",'152-CT'!$J$8=TH!F2473),"x","")</f>
        <v/>
      </c>
      <c r="AC2473" s="84" t="str">
        <f>IF(AND(OR(LEFT(TH!N2473,2)="15",LEFT(TH!O2473,2)="15"),TK!$E$7=TH!F2473),"x","")</f>
        <v/>
      </c>
      <c r="AD2473" s="84" t="str">
        <f>IF(AND(N2473="1521",MONTH(C2473)='BK-NL'!$M$11),"x","")</f>
        <v/>
      </c>
    </row>
    <row r="2474" spans="1:30" s="351" customFormat="1" ht="15.75" hidden="1" customHeight="1">
      <c r="A2474" s="336" t="str">
        <f>IF(B2474&lt;&gt;"",IF(AND(B2474='IN-TC'!$S$4,OR(TH!N2474="1111",TH!O2474="1111")),TH!D2474,""),"")</f>
        <v/>
      </c>
      <c r="B2474" s="63" t="str">
        <f t="shared" si="293"/>
        <v/>
      </c>
      <c r="C2474" s="64"/>
      <c r="D2474" s="64"/>
      <c r="E2474" s="64"/>
      <c r="F2474" s="67"/>
      <c r="G2474" s="67"/>
      <c r="H2474" s="73"/>
      <c r="I2474" s="439"/>
      <c r="J2474" s="439"/>
      <c r="K2474" s="430"/>
      <c r="L2474" s="439"/>
      <c r="M2474" s="65"/>
      <c r="N2474" s="66"/>
      <c r="O2474" s="66"/>
      <c r="P2474" s="84" t="str">
        <f>IF(AND('331-CT'!$E$7=TH!H2474,OR(N2474="331",O2474="331")),"x","")</f>
        <v/>
      </c>
      <c r="Q2474" s="84" t="str">
        <f>IF(AND(B2474='111'!$L$11,OR($N2474=$Q$7,$O2474=$Q$7)),"x","")</f>
        <v/>
      </c>
      <c r="R2474" s="84" t="str">
        <f>IF(AND($N2474=$Q$7,$B2474&lt;'111'!$L$11),"x","")</f>
        <v/>
      </c>
      <c r="S2474" s="84" t="str">
        <f>IF(AND($O2474=$Q$7,$B2474&lt;'111'!$L$11),"x","")</f>
        <v/>
      </c>
      <c r="T2474" s="84" t="str">
        <f>IF(ISERROR(FIND('112'!$M$9,G2474,1)),"",IF((AND(FIND('112'!$M$9,G2474,1)&gt;=1,B2474='112'!$K$9,OR($N2474='112'!$I$6,$O2474='112'!$I$6))),"x",""))</f>
        <v/>
      </c>
      <c r="U2474" s="84" t="str">
        <f>IF(ISERROR(FIND('112'!$M$9,G2474,1)),"",IF((AND(LEFT(G2474,2)=LEFT('112'!$M$9,2),B2474&lt;'112'!$K$9,$N2474='112'!$I$6)),"x",""))</f>
        <v/>
      </c>
      <c r="V2474" s="84" t="str">
        <f>IF(ISERROR(FIND('112'!$M$9,G2474,1)),"",IF((AND(RIGHT(G2474,2)=RIGHT('112'!$M$9,2),B2474&lt;'112'!$K$9,$O2474='112'!$I$6)),"x",""))</f>
        <v/>
      </c>
      <c r="W2474" s="84" t="str">
        <f>IF(AND('341-CT'!$H$9=H2474,OR(LEFT(N2474,3)=$W$7,LEFT(O2474,3)=$W$7)),"x","")</f>
        <v/>
      </c>
      <c r="X2474" s="84" t="str">
        <f>IF(OR(TH!N2474=TH!$X$7,O2474=TH!$X$7),"x","")</f>
        <v/>
      </c>
      <c r="Y2474" s="84" t="str">
        <f>IF(AND(OR(N2474="131",O2474="131"),H2474='131-CT'!$H$9),"x","")</f>
        <v/>
      </c>
      <c r="Z2474" s="84"/>
      <c r="AA2474" s="84" t="str">
        <f>IF(AND(MONTH(E2474)='IN-NX'!$J$5,'IN-NX'!$D$7=D2474),"x","")</f>
        <v/>
      </c>
      <c r="AB2474" s="84" t="str">
        <f>IF(AND(OR(LEFT(TH!N2474,2)="15",LEFT(TH!O2474,2)="15"),LEFT(TH!O2474,3)&lt;&gt;"111",'152-CT'!$J$8=TH!F2474),"x","")</f>
        <v/>
      </c>
      <c r="AC2474" s="84" t="str">
        <f>IF(AND(OR(LEFT(TH!N2474,2)="15",LEFT(TH!O2474,2)="15"),TK!$E$7=TH!F2474),"x","")</f>
        <v/>
      </c>
      <c r="AD2474" s="84" t="str">
        <f>IF(AND(N2474="1521",MONTH(C2474)='BK-NL'!$M$11),"x","")</f>
        <v/>
      </c>
    </row>
    <row r="2475" spans="1:30" s="351" customFormat="1" ht="15.75" hidden="1" customHeight="1">
      <c r="A2475" s="336" t="str">
        <f>IF(B2475&lt;&gt;"",IF(AND(B2475='IN-TC'!$S$4,OR(TH!N2475="1111",TH!O2475="1111")),TH!D2475,""),"")</f>
        <v/>
      </c>
      <c r="B2475" s="63" t="str">
        <f t="shared" si="293"/>
        <v/>
      </c>
      <c r="C2475" s="64"/>
      <c r="D2475" s="64"/>
      <c r="E2475" s="64"/>
      <c r="F2475" s="67"/>
      <c r="G2475" s="67"/>
      <c r="H2475" s="73"/>
      <c r="I2475" s="439"/>
      <c r="J2475" s="439"/>
      <c r="K2475" s="430"/>
      <c r="L2475" s="439"/>
      <c r="M2475" s="65"/>
      <c r="N2475" s="66"/>
      <c r="O2475" s="66"/>
      <c r="P2475" s="84" t="str">
        <f>IF(AND('331-CT'!$E$7=TH!H2475,OR(N2475="331",O2475="331")),"x","")</f>
        <v/>
      </c>
      <c r="Q2475" s="84" t="str">
        <f>IF(AND(B2475='111'!$L$11,OR($N2475=$Q$7,$O2475=$Q$7)),"x","")</f>
        <v/>
      </c>
      <c r="R2475" s="84" t="str">
        <f>IF(AND($N2475=$Q$7,$B2475&lt;'111'!$L$11),"x","")</f>
        <v/>
      </c>
      <c r="S2475" s="84" t="str">
        <f>IF(AND($O2475=$Q$7,$B2475&lt;'111'!$L$11),"x","")</f>
        <v/>
      </c>
      <c r="T2475" s="84" t="str">
        <f>IF(ISERROR(FIND('112'!$M$9,G2475,1)),"",IF((AND(FIND('112'!$M$9,G2475,1)&gt;=1,B2475='112'!$K$9,OR($N2475='112'!$I$6,$O2475='112'!$I$6))),"x",""))</f>
        <v/>
      </c>
      <c r="U2475" s="84" t="str">
        <f>IF(ISERROR(FIND('112'!$M$9,G2475,1)),"",IF((AND(LEFT(G2475,2)=LEFT('112'!$M$9,2),B2475&lt;'112'!$K$9,$N2475='112'!$I$6)),"x",""))</f>
        <v/>
      </c>
      <c r="V2475" s="84" t="str">
        <f>IF(ISERROR(FIND('112'!$M$9,G2475,1)),"",IF((AND(RIGHT(G2475,2)=RIGHT('112'!$M$9,2),B2475&lt;'112'!$K$9,$O2475='112'!$I$6)),"x",""))</f>
        <v/>
      </c>
      <c r="W2475" s="84" t="str">
        <f>IF(AND('341-CT'!$H$9=H2475,OR(LEFT(N2475,3)=$W$7,LEFT(O2475,3)=$W$7)),"x","")</f>
        <v/>
      </c>
      <c r="X2475" s="84" t="str">
        <f>IF(OR(TH!N2475=TH!$X$7,O2475=TH!$X$7),"x","")</f>
        <v/>
      </c>
      <c r="Y2475" s="84" t="str">
        <f>IF(AND(OR(N2475="131",O2475="131"),H2475='131-CT'!$H$9),"x","")</f>
        <v/>
      </c>
      <c r="Z2475" s="84"/>
      <c r="AA2475" s="84" t="str">
        <f>IF(AND(MONTH(E2475)='IN-NX'!$J$5,'IN-NX'!$D$7=D2475),"x","")</f>
        <v/>
      </c>
      <c r="AB2475" s="84" t="str">
        <f>IF(AND(OR(LEFT(TH!N2475,2)="15",LEFT(TH!O2475,2)="15"),LEFT(TH!O2475,3)&lt;&gt;"111",'152-CT'!$J$8=TH!F2475),"x","")</f>
        <v/>
      </c>
      <c r="AC2475" s="84" t="str">
        <f>IF(AND(OR(LEFT(TH!N2475,2)="15",LEFT(TH!O2475,2)="15"),TK!$E$7=TH!F2475),"x","")</f>
        <v/>
      </c>
      <c r="AD2475" s="84" t="str">
        <f>IF(AND(N2475="1521",MONTH(C2475)='BK-NL'!$M$11),"x","")</f>
        <v/>
      </c>
    </row>
    <row r="2476" spans="1:30" s="351" customFormat="1" ht="15.75" hidden="1" customHeight="1">
      <c r="A2476" s="336" t="str">
        <f>IF(B2476&lt;&gt;"",IF(AND(B2476='IN-TC'!$S$4,OR(TH!N2476="1111",TH!O2476="1111")),TH!D2476,""),"")</f>
        <v/>
      </c>
      <c r="B2476" s="63" t="str">
        <f t="shared" si="293"/>
        <v/>
      </c>
      <c r="C2476" s="64"/>
      <c r="D2476" s="64"/>
      <c r="E2476" s="64"/>
      <c r="F2476" s="67"/>
      <c r="G2476" s="67"/>
      <c r="H2476" s="73"/>
      <c r="I2476" s="439"/>
      <c r="J2476" s="439"/>
      <c r="K2476" s="430"/>
      <c r="L2476" s="439"/>
      <c r="M2476" s="65"/>
      <c r="N2476" s="66"/>
      <c r="O2476" s="66"/>
      <c r="P2476" s="84" t="str">
        <f>IF(AND('331-CT'!$E$7=TH!H2476,OR(N2476="331",O2476="331")),"x","")</f>
        <v/>
      </c>
      <c r="Q2476" s="84" t="str">
        <f>IF(AND(B2476='111'!$L$11,OR($N2476=$Q$7,$O2476=$Q$7)),"x","")</f>
        <v/>
      </c>
      <c r="R2476" s="84" t="str">
        <f>IF(AND($N2476=$Q$7,$B2476&lt;'111'!$L$11),"x","")</f>
        <v/>
      </c>
      <c r="S2476" s="84" t="str">
        <f>IF(AND($O2476=$Q$7,$B2476&lt;'111'!$L$11),"x","")</f>
        <v/>
      </c>
      <c r="T2476" s="84" t="str">
        <f>IF(ISERROR(FIND('112'!$M$9,G2476,1)),"",IF((AND(FIND('112'!$M$9,G2476,1)&gt;=1,B2476='112'!$K$9,OR($N2476='112'!$I$6,$O2476='112'!$I$6))),"x",""))</f>
        <v/>
      </c>
      <c r="U2476" s="84" t="str">
        <f>IF(ISERROR(FIND('112'!$M$9,G2476,1)),"",IF((AND(LEFT(G2476,2)=LEFT('112'!$M$9,2),B2476&lt;'112'!$K$9,$N2476='112'!$I$6)),"x",""))</f>
        <v/>
      </c>
      <c r="V2476" s="84" t="str">
        <f>IF(ISERROR(FIND('112'!$M$9,G2476,1)),"",IF((AND(RIGHT(G2476,2)=RIGHT('112'!$M$9,2),B2476&lt;'112'!$K$9,$O2476='112'!$I$6)),"x",""))</f>
        <v/>
      </c>
      <c r="W2476" s="84" t="str">
        <f>IF(AND('341-CT'!$H$9=H2476,OR(LEFT(N2476,3)=$W$7,LEFT(O2476,3)=$W$7)),"x","")</f>
        <v/>
      </c>
      <c r="X2476" s="84" t="str">
        <f>IF(OR(TH!N2476=TH!$X$7,O2476=TH!$X$7),"x","")</f>
        <v/>
      </c>
      <c r="Y2476" s="84" t="str">
        <f>IF(AND(OR(N2476="131",O2476="131"),H2476='131-CT'!$H$9),"x","")</f>
        <v/>
      </c>
      <c r="Z2476" s="84"/>
      <c r="AA2476" s="84" t="str">
        <f>IF(AND(MONTH(E2476)='IN-NX'!$J$5,'IN-NX'!$D$7=D2476),"x","")</f>
        <v/>
      </c>
      <c r="AB2476" s="84" t="str">
        <f>IF(AND(OR(LEFT(TH!N2476,2)="15",LEFT(TH!O2476,2)="15"),LEFT(TH!O2476,3)&lt;&gt;"111",'152-CT'!$J$8=TH!F2476),"x","")</f>
        <v/>
      </c>
      <c r="AC2476" s="84" t="str">
        <f>IF(AND(OR(LEFT(TH!N2476,2)="15",LEFT(TH!O2476,2)="15"),TK!$E$7=TH!F2476),"x","")</f>
        <v/>
      </c>
      <c r="AD2476" s="84" t="str">
        <f>IF(AND(N2476="1521",MONTH(C2476)='BK-NL'!$M$11),"x","")</f>
        <v/>
      </c>
    </row>
    <row r="2477" spans="1:30" s="351" customFormat="1" ht="15.75" hidden="1" customHeight="1">
      <c r="A2477" s="336" t="str">
        <f>IF(B2477&lt;&gt;"",IF(AND(B2477='IN-TC'!$S$4,OR(TH!N2477="1111",TH!O2477="1111")),TH!D2477,""),"")</f>
        <v/>
      </c>
      <c r="B2477" s="63" t="str">
        <f t="shared" si="293"/>
        <v/>
      </c>
      <c r="C2477" s="64"/>
      <c r="D2477" s="64"/>
      <c r="E2477" s="64"/>
      <c r="F2477" s="67"/>
      <c r="G2477" s="67"/>
      <c r="H2477" s="73"/>
      <c r="I2477" s="439"/>
      <c r="J2477" s="439"/>
      <c r="K2477" s="430"/>
      <c r="L2477" s="439"/>
      <c r="M2477" s="65"/>
      <c r="N2477" s="66"/>
      <c r="O2477" s="66"/>
      <c r="P2477" s="84" t="str">
        <f>IF(AND('331-CT'!$E$7=TH!H2477,OR(N2477="331",O2477="331")),"x","")</f>
        <v/>
      </c>
      <c r="Q2477" s="84" t="str">
        <f>IF(AND(B2477='111'!$L$11,OR($N2477=$Q$7,$O2477=$Q$7)),"x","")</f>
        <v/>
      </c>
      <c r="R2477" s="84" t="str">
        <f>IF(AND($N2477=$Q$7,$B2477&lt;'111'!$L$11),"x","")</f>
        <v/>
      </c>
      <c r="S2477" s="84" t="str">
        <f>IF(AND($O2477=$Q$7,$B2477&lt;'111'!$L$11),"x","")</f>
        <v/>
      </c>
      <c r="T2477" s="84" t="str">
        <f>IF(ISERROR(FIND('112'!$M$9,G2477,1)),"",IF((AND(FIND('112'!$M$9,G2477,1)&gt;=1,B2477='112'!$K$9,OR($N2477='112'!$I$6,$O2477='112'!$I$6))),"x",""))</f>
        <v/>
      </c>
      <c r="U2477" s="84" t="str">
        <f>IF(ISERROR(FIND('112'!$M$9,G2477,1)),"",IF((AND(LEFT(G2477,2)=LEFT('112'!$M$9,2),B2477&lt;'112'!$K$9,$N2477='112'!$I$6)),"x",""))</f>
        <v/>
      </c>
      <c r="V2477" s="84" t="str">
        <f>IF(ISERROR(FIND('112'!$M$9,G2477,1)),"",IF((AND(RIGHT(G2477,2)=RIGHT('112'!$M$9,2),B2477&lt;'112'!$K$9,$O2477='112'!$I$6)),"x",""))</f>
        <v/>
      </c>
      <c r="W2477" s="84" t="str">
        <f>IF(AND('341-CT'!$H$9=H2477,OR(LEFT(N2477,3)=$W$7,LEFT(O2477,3)=$W$7)),"x","")</f>
        <v/>
      </c>
      <c r="X2477" s="84" t="str">
        <f>IF(OR(TH!N2477=TH!$X$7,O2477=TH!$X$7),"x","")</f>
        <v/>
      </c>
      <c r="Y2477" s="84" t="str">
        <f>IF(AND(OR(N2477="131",O2477="131"),H2477='131-CT'!$H$9),"x","")</f>
        <v/>
      </c>
      <c r="Z2477" s="84"/>
      <c r="AA2477" s="84" t="str">
        <f>IF(AND(MONTH(E2477)='IN-NX'!$J$5,'IN-NX'!$D$7=D2477),"x","")</f>
        <v/>
      </c>
      <c r="AB2477" s="84" t="str">
        <f>IF(AND(OR(LEFT(TH!N2477,2)="15",LEFT(TH!O2477,2)="15"),LEFT(TH!O2477,3)&lt;&gt;"111",'152-CT'!$J$8=TH!F2477),"x","")</f>
        <v/>
      </c>
      <c r="AC2477" s="84" t="str">
        <f>IF(AND(OR(LEFT(TH!N2477,2)="15",LEFT(TH!O2477,2)="15"),TK!$E$7=TH!F2477),"x","")</f>
        <v/>
      </c>
      <c r="AD2477" s="84" t="str">
        <f>IF(AND(N2477="1521",MONTH(C2477)='BK-NL'!$M$11),"x","")</f>
        <v/>
      </c>
    </row>
    <row r="2478" spans="1:30" s="351" customFormat="1" ht="15.75" hidden="1" customHeight="1">
      <c r="A2478" s="336" t="str">
        <f>IF(B2478&lt;&gt;"",IF(AND(B2478='IN-TC'!$S$4,OR(TH!N2478="1111",TH!O2478="1111")),TH!D2478,""),"")</f>
        <v/>
      </c>
      <c r="B2478" s="63" t="str">
        <f t="shared" si="293"/>
        <v/>
      </c>
      <c r="C2478" s="64"/>
      <c r="D2478" s="64"/>
      <c r="E2478" s="64"/>
      <c r="F2478" s="67"/>
      <c r="G2478" s="67"/>
      <c r="H2478" s="73"/>
      <c r="I2478" s="439"/>
      <c r="J2478" s="439"/>
      <c r="K2478" s="430"/>
      <c r="L2478" s="439"/>
      <c r="M2478" s="65"/>
      <c r="N2478" s="66"/>
      <c r="O2478" s="66"/>
      <c r="P2478" s="84" t="str">
        <f>IF(AND('331-CT'!$E$7=TH!H2478,OR(N2478="331",O2478="331")),"x","")</f>
        <v/>
      </c>
      <c r="Q2478" s="84" t="str">
        <f>IF(AND(B2478='111'!$L$11,OR($N2478=$Q$7,$O2478=$Q$7)),"x","")</f>
        <v/>
      </c>
      <c r="R2478" s="84" t="str">
        <f>IF(AND($N2478=$Q$7,$B2478&lt;'111'!$L$11),"x","")</f>
        <v/>
      </c>
      <c r="S2478" s="84" t="str">
        <f>IF(AND($O2478=$Q$7,$B2478&lt;'111'!$L$11),"x","")</f>
        <v/>
      </c>
      <c r="T2478" s="84" t="str">
        <f>IF(ISERROR(FIND('112'!$M$9,G2478,1)),"",IF((AND(FIND('112'!$M$9,G2478,1)&gt;=1,B2478='112'!$K$9,OR($N2478='112'!$I$6,$O2478='112'!$I$6))),"x",""))</f>
        <v/>
      </c>
      <c r="U2478" s="84" t="str">
        <f>IF(ISERROR(FIND('112'!$M$9,G2478,1)),"",IF((AND(LEFT(G2478,2)=LEFT('112'!$M$9,2),B2478&lt;'112'!$K$9,$N2478='112'!$I$6)),"x",""))</f>
        <v/>
      </c>
      <c r="V2478" s="84" t="str">
        <f>IF(ISERROR(FIND('112'!$M$9,G2478,1)),"",IF((AND(RIGHT(G2478,2)=RIGHT('112'!$M$9,2),B2478&lt;'112'!$K$9,$O2478='112'!$I$6)),"x",""))</f>
        <v/>
      </c>
      <c r="W2478" s="84" t="str">
        <f>IF(AND('341-CT'!$H$9=H2478,OR(LEFT(N2478,3)=$W$7,LEFT(O2478,3)=$W$7)),"x","")</f>
        <v/>
      </c>
      <c r="X2478" s="84" t="str">
        <f>IF(OR(TH!N2478=TH!$X$7,O2478=TH!$X$7),"x","")</f>
        <v/>
      </c>
      <c r="Y2478" s="84" t="str">
        <f>IF(AND(OR(N2478="131",O2478="131"),H2478='131-CT'!$H$9),"x","")</f>
        <v/>
      </c>
      <c r="Z2478" s="84"/>
      <c r="AA2478" s="84" t="str">
        <f>IF(AND(MONTH(E2478)='IN-NX'!$J$5,'IN-NX'!$D$7=D2478),"x","")</f>
        <v/>
      </c>
      <c r="AB2478" s="84" t="str">
        <f>IF(AND(OR(LEFT(TH!N2478,2)="15",LEFT(TH!O2478,2)="15"),LEFT(TH!O2478,3)&lt;&gt;"111",'152-CT'!$J$8=TH!F2478),"x","")</f>
        <v/>
      </c>
      <c r="AC2478" s="84" t="str">
        <f>IF(AND(OR(LEFT(TH!N2478,2)="15",LEFT(TH!O2478,2)="15"),TK!$E$7=TH!F2478),"x","")</f>
        <v/>
      </c>
      <c r="AD2478" s="84" t="str">
        <f>IF(AND(N2478="1521",MONTH(C2478)='BK-NL'!$M$11),"x","")</f>
        <v/>
      </c>
    </row>
    <row r="2479" spans="1:30" s="351" customFormat="1" ht="15.75" hidden="1" customHeight="1">
      <c r="A2479" s="336" t="str">
        <f>IF(B2479&lt;&gt;"",IF(AND(B2479='IN-TC'!$S$4,OR(TH!N2479="1111",TH!O2479="1111")),TH!D2479,""),"")</f>
        <v/>
      </c>
      <c r="B2479" s="63" t="str">
        <f t="shared" si="293"/>
        <v/>
      </c>
      <c r="C2479" s="64"/>
      <c r="D2479" s="64"/>
      <c r="E2479" s="64"/>
      <c r="F2479" s="67"/>
      <c r="G2479" s="67"/>
      <c r="H2479" s="73"/>
      <c r="I2479" s="439"/>
      <c r="J2479" s="439"/>
      <c r="K2479" s="430"/>
      <c r="L2479" s="439"/>
      <c r="M2479" s="65"/>
      <c r="N2479" s="66"/>
      <c r="O2479" s="66"/>
      <c r="P2479" s="84" t="str">
        <f>IF(AND('331-CT'!$E$7=TH!H2479,OR(N2479="331",O2479="331")),"x","")</f>
        <v/>
      </c>
      <c r="Q2479" s="84" t="str">
        <f>IF(AND(B2479='111'!$L$11,OR($N2479=$Q$7,$O2479=$Q$7)),"x","")</f>
        <v/>
      </c>
      <c r="R2479" s="84" t="str">
        <f>IF(AND($N2479=$Q$7,$B2479&lt;'111'!$L$11),"x","")</f>
        <v/>
      </c>
      <c r="S2479" s="84" t="str">
        <f>IF(AND($O2479=$Q$7,$B2479&lt;'111'!$L$11),"x","")</f>
        <v/>
      </c>
      <c r="T2479" s="84" t="str">
        <f>IF(ISERROR(FIND('112'!$M$9,G2479,1)),"",IF((AND(FIND('112'!$M$9,G2479,1)&gt;=1,B2479='112'!$K$9,OR($N2479='112'!$I$6,$O2479='112'!$I$6))),"x",""))</f>
        <v/>
      </c>
      <c r="U2479" s="84" t="str">
        <f>IF(ISERROR(FIND('112'!$M$9,G2479,1)),"",IF((AND(LEFT(G2479,2)=LEFT('112'!$M$9,2),B2479&lt;'112'!$K$9,$N2479='112'!$I$6)),"x",""))</f>
        <v/>
      </c>
      <c r="V2479" s="84" t="str">
        <f>IF(ISERROR(FIND('112'!$M$9,G2479,1)),"",IF((AND(RIGHT(G2479,2)=RIGHT('112'!$M$9,2),B2479&lt;'112'!$K$9,$O2479='112'!$I$6)),"x",""))</f>
        <v/>
      </c>
      <c r="W2479" s="84" t="str">
        <f>IF(AND('341-CT'!$H$9=H2479,OR(LEFT(N2479,3)=$W$7,LEFT(O2479,3)=$W$7)),"x","")</f>
        <v/>
      </c>
      <c r="X2479" s="84" t="str">
        <f>IF(OR(TH!N2479=TH!$X$7,O2479=TH!$X$7),"x","")</f>
        <v/>
      </c>
      <c r="Y2479" s="84" t="str">
        <f>IF(AND(OR(N2479="131",O2479="131"),H2479='131-CT'!$H$9),"x","")</f>
        <v/>
      </c>
      <c r="Z2479" s="84"/>
      <c r="AA2479" s="84" t="str">
        <f>IF(AND(MONTH(E2479)='IN-NX'!$J$5,'IN-NX'!$D$7=D2479),"x","")</f>
        <v/>
      </c>
      <c r="AB2479" s="84" t="str">
        <f>IF(AND(OR(LEFT(TH!N2479,2)="15",LEFT(TH!O2479,2)="15"),LEFT(TH!O2479,3)&lt;&gt;"111",'152-CT'!$J$8=TH!F2479),"x","")</f>
        <v/>
      </c>
      <c r="AC2479" s="84" t="str">
        <f>IF(AND(OR(LEFT(TH!N2479,2)="15",LEFT(TH!O2479,2)="15"),TK!$E$7=TH!F2479),"x","")</f>
        <v/>
      </c>
      <c r="AD2479" s="84" t="str">
        <f>IF(AND(N2479="1521",MONTH(C2479)='BK-NL'!$M$11),"x","")</f>
        <v/>
      </c>
    </row>
    <row r="2480" spans="1:30" s="351" customFormat="1" ht="15.75" hidden="1" customHeight="1">
      <c r="A2480" s="336" t="str">
        <f>IF(B2480&lt;&gt;"",IF(AND(B2480='IN-TC'!$S$4,OR(TH!N2480="1111",TH!O2480="1111")),TH!D2480,""),"")</f>
        <v/>
      </c>
      <c r="B2480" s="63" t="str">
        <f t="shared" si="293"/>
        <v/>
      </c>
      <c r="C2480" s="64"/>
      <c r="D2480" s="64"/>
      <c r="E2480" s="64"/>
      <c r="F2480" s="67"/>
      <c r="G2480" s="67"/>
      <c r="H2480" s="73"/>
      <c r="I2480" s="439"/>
      <c r="J2480" s="439"/>
      <c r="K2480" s="430"/>
      <c r="L2480" s="439"/>
      <c r="M2480" s="65"/>
      <c r="N2480" s="66"/>
      <c r="O2480" s="66"/>
      <c r="P2480" s="84" t="str">
        <f>IF(AND('331-CT'!$E$7=TH!H2480,OR(N2480="331",O2480="331")),"x","")</f>
        <v/>
      </c>
      <c r="Q2480" s="84" t="str">
        <f>IF(AND(B2480='111'!$L$11,OR($N2480=$Q$7,$O2480=$Q$7)),"x","")</f>
        <v/>
      </c>
      <c r="R2480" s="84" t="str">
        <f>IF(AND($N2480=$Q$7,$B2480&lt;'111'!$L$11),"x","")</f>
        <v/>
      </c>
      <c r="S2480" s="84" t="str">
        <f>IF(AND($O2480=$Q$7,$B2480&lt;'111'!$L$11),"x","")</f>
        <v/>
      </c>
      <c r="T2480" s="84" t="str">
        <f>IF(ISERROR(FIND('112'!$M$9,G2480,1)),"",IF((AND(FIND('112'!$M$9,G2480,1)&gt;=1,B2480='112'!$K$9,OR($N2480='112'!$I$6,$O2480='112'!$I$6))),"x",""))</f>
        <v/>
      </c>
      <c r="U2480" s="84" t="str">
        <f>IF(ISERROR(FIND('112'!$M$9,G2480,1)),"",IF((AND(LEFT(G2480,2)=LEFT('112'!$M$9,2),B2480&lt;'112'!$K$9,$N2480='112'!$I$6)),"x",""))</f>
        <v/>
      </c>
      <c r="V2480" s="84" t="str">
        <f>IF(ISERROR(FIND('112'!$M$9,G2480,1)),"",IF((AND(RIGHT(G2480,2)=RIGHT('112'!$M$9,2),B2480&lt;'112'!$K$9,$O2480='112'!$I$6)),"x",""))</f>
        <v/>
      </c>
      <c r="W2480" s="84" t="str">
        <f>IF(AND('341-CT'!$H$9=H2480,OR(LEFT(N2480,3)=$W$7,LEFT(O2480,3)=$W$7)),"x","")</f>
        <v/>
      </c>
      <c r="X2480" s="84" t="str">
        <f>IF(OR(TH!N2480=TH!$X$7,O2480=TH!$X$7),"x","")</f>
        <v/>
      </c>
      <c r="Y2480" s="84" t="str">
        <f>IF(AND(OR(N2480="131",O2480="131"),H2480='131-CT'!$H$9),"x","")</f>
        <v/>
      </c>
      <c r="Z2480" s="84"/>
      <c r="AA2480" s="84" t="str">
        <f>IF(AND(MONTH(E2480)='IN-NX'!$J$5,'IN-NX'!$D$7=D2480),"x","")</f>
        <v/>
      </c>
      <c r="AB2480" s="84" t="str">
        <f>IF(AND(OR(LEFT(TH!N2480,2)="15",LEFT(TH!O2480,2)="15"),LEFT(TH!O2480,3)&lt;&gt;"111",'152-CT'!$J$8=TH!F2480),"x","")</f>
        <v/>
      </c>
      <c r="AC2480" s="84" t="str">
        <f>IF(AND(OR(LEFT(TH!N2480,2)="15",LEFT(TH!O2480,2)="15"),TK!$E$7=TH!F2480),"x","")</f>
        <v/>
      </c>
      <c r="AD2480" s="84" t="str">
        <f>IF(AND(N2480="1521",MONTH(C2480)='BK-NL'!$M$11),"x","")</f>
        <v/>
      </c>
    </row>
    <row r="2481" spans="1:30" s="351" customFormat="1" ht="15.75" hidden="1" customHeight="1">
      <c r="A2481" s="336" t="str">
        <f>IF(B2481&lt;&gt;"",IF(AND(B2481='IN-TC'!$S$4,OR(TH!N2481="1111",TH!O2481="1111")),TH!D2481,""),"")</f>
        <v/>
      </c>
      <c r="B2481" s="63" t="str">
        <f t="shared" si="293"/>
        <v/>
      </c>
      <c r="C2481" s="64"/>
      <c r="D2481" s="64"/>
      <c r="E2481" s="64"/>
      <c r="F2481" s="67"/>
      <c r="G2481" s="67"/>
      <c r="H2481" s="73"/>
      <c r="I2481" s="439"/>
      <c r="J2481" s="439"/>
      <c r="K2481" s="430"/>
      <c r="L2481" s="439"/>
      <c r="M2481" s="65"/>
      <c r="N2481" s="66"/>
      <c r="O2481" s="66"/>
      <c r="P2481" s="84" t="str">
        <f>IF(AND('331-CT'!$E$7=TH!H2481,OR(N2481="331",O2481="331")),"x","")</f>
        <v/>
      </c>
      <c r="Q2481" s="84" t="str">
        <f>IF(AND(B2481='111'!$L$11,OR($N2481=$Q$7,$O2481=$Q$7)),"x","")</f>
        <v/>
      </c>
      <c r="R2481" s="84" t="str">
        <f>IF(AND($N2481=$Q$7,$B2481&lt;'111'!$L$11),"x","")</f>
        <v/>
      </c>
      <c r="S2481" s="84" t="str">
        <f>IF(AND($O2481=$Q$7,$B2481&lt;'111'!$L$11),"x","")</f>
        <v/>
      </c>
      <c r="T2481" s="84" t="str">
        <f>IF(ISERROR(FIND('112'!$M$9,G2481,1)),"",IF((AND(FIND('112'!$M$9,G2481,1)&gt;=1,B2481='112'!$K$9,OR($N2481='112'!$I$6,$O2481='112'!$I$6))),"x",""))</f>
        <v/>
      </c>
      <c r="U2481" s="84" t="str">
        <f>IF(ISERROR(FIND('112'!$M$9,G2481,1)),"",IF((AND(LEFT(G2481,2)=LEFT('112'!$M$9,2),B2481&lt;'112'!$K$9,$N2481='112'!$I$6)),"x",""))</f>
        <v/>
      </c>
      <c r="V2481" s="84" t="str">
        <f>IF(ISERROR(FIND('112'!$M$9,G2481,1)),"",IF((AND(RIGHT(G2481,2)=RIGHT('112'!$M$9,2),B2481&lt;'112'!$K$9,$O2481='112'!$I$6)),"x",""))</f>
        <v/>
      </c>
      <c r="W2481" s="84" t="str">
        <f>IF(AND('341-CT'!$H$9=H2481,OR(LEFT(N2481,3)=$W$7,LEFT(O2481,3)=$W$7)),"x","")</f>
        <v/>
      </c>
      <c r="X2481" s="84" t="str">
        <f>IF(OR(TH!N2481=TH!$X$7,O2481=TH!$X$7),"x","")</f>
        <v/>
      </c>
      <c r="Y2481" s="84" t="str">
        <f>IF(AND(OR(N2481="131",O2481="131"),H2481='131-CT'!$H$9),"x","")</f>
        <v/>
      </c>
      <c r="Z2481" s="84"/>
      <c r="AA2481" s="84" t="str">
        <f>IF(AND(MONTH(E2481)='IN-NX'!$J$5,'IN-NX'!$D$7=D2481),"x","")</f>
        <v/>
      </c>
      <c r="AB2481" s="84" t="str">
        <f>IF(AND(OR(LEFT(TH!N2481,2)="15",LEFT(TH!O2481,2)="15"),LEFT(TH!O2481,3)&lt;&gt;"111",'152-CT'!$J$8=TH!F2481),"x","")</f>
        <v/>
      </c>
      <c r="AC2481" s="84" t="str">
        <f>IF(AND(OR(LEFT(TH!N2481,2)="15",LEFT(TH!O2481,2)="15"),TK!$E$7=TH!F2481),"x","")</f>
        <v/>
      </c>
      <c r="AD2481" s="84" t="str">
        <f>IF(AND(N2481="1521",MONTH(C2481)='BK-NL'!$M$11),"x","")</f>
        <v/>
      </c>
    </row>
    <row r="2482" spans="1:30" s="351" customFormat="1" ht="15.75" hidden="1" customHeight="1">
      <c r="A2482" s="336" t="str">
        <f>IF(B2482&lt;&gt;"",IF(AND(B2482='IN-TC'!$S$4,OR(TH!N2482="1111",TH!O2482="1111")),TH!D2482,""),"")</f>
        <v/>
      </c>
      <c r="B2482" s="63" t="str">
        <f t="shared" si="293"/>
        <v/>
      </c>
      <c r="C2482" s="64"/>
      <c r="D2482" s="64"/>
      <c r="E2482" s="64"/>
      <c r="F2482" s="67"/>
      <c r="G2482" s="67"/>
      <c r="H2482" s="73"/>
      <c r="I2482" s="439"/>
      <c r="J2482" s="439"/>
      <c r="K2482" s="430"/>
      <c r="L2482" s="439"/>
      <c r="M2482" s="65"/>
      <c r="N2482" s="66"/>
      <c r="O2482" s="66"/>
      <c r="P2482" s="84" t="str">
        <f>IF(AND('331-CT'!$E$7=TH!H2482,OR(N2482="331",O2482="331")),"x","")</f>
        <v/>
      </c>
      <c r="Q2482" s="84" t="str">
        <f>IF(AND(B2482='111'!$L$11,OR($N2482=$Q$7,$O2482=$Q$7)),"x","")</f>
        <v/>
      </c>
      <c r="R2482" s="84" t="str">
        <f>IF(AND($N2482=$Q$7,$B2482&lt;'111'!$L$11),"x","")</f>
        <v/>
      </c>
      <c r="S2482" s="84" t="str">
        <f>IF(AND($O2482=$Q$7,$B2482&lt;'111'!$L$11),"x","")</f>
        <v/>
      </c>
      <c r="T2482" s="84" t="str">
        <f>IF(ISERROR(FIND('112'!$M$9,G2482,1)),"",IF((AND(FIND('112'!$M$9,G2482,1)&gt;=1,B2482='112'!$K$9,OR($N2482='112'!$I$6,$O2482='112'!$I$6))),"x",""))</f>
        <v/>
      </c>
      <c r="U2482" s="84" t="str">
        <f>IF(ISERROR(FIND('112'!$M$9,G2482,1)),"",IF((AND(LEFT(G2482,2)=LEFT('112'!$M$9,2),B2482&lt;'112'!$K$9,$N2482='112'!$I$6)),"x",""))</f>
        <v/>
      </c>
      <c r="V2482" s="84" t="str">
        <f>IF(ISERROR(FIND('112'!$M$9,G2482,1)),"",IF((AND(RIGHT(G2482,2)=RIGHT('112'!$M$9,2),B2482&lt;'112'!$K$9,$O2482='112'!$I$6)),"x",""))</f>
        <v/>
      </c>
      <c r="W2482" s="84" t="str">
        <f>IF(AND('341-CT'!$H$9=H2482,OR(LEFT(N2482,3)=$W$7,LEFT(O2482,3)=$W$7)),"x","")</f>
        <v/>
      </c>
      <c r="X2482" s="84" t="str">
        <f>IF(OR(TH!N2482=TH!$X$7,O2482=TH!$X$7),"x","")</f>
        <v/>
      </c>
      <c r="Y2482" s="84" t="str">
        <f>IF(AND(OR(N2482="131",O2482="131"),H2482='131-CT'!$H$9),"x","")</f>
        <v/>
      </c>
      <c r="Z2482" s="84"/>
      <c r="AA2482" s="84" t="str">
        <f>IF(AND(MONTH(E2482)='IN-NX'!$J$5,'IN-NX'!$D$7=D2482),"x","")</f>
        <v/>
      </c>
      <c r="AB2482" s="84" t="str">
        <f>IF(AND(OR(LEFT(TH!N2482,2)="15",LEFT(TH!O2482,2)="15"),LEFT(TH!O2482,3)&lt;&gt;"111",'152-CT'!$J$8=TH!F2482),"x","")</f>
        <v/>
      </c>
      <c r="AC2482" s="84" t="str">
        <f>IF(AND(OR(LEFT(TH!N2482,2)="15",LEFT(TH!O2482,2)="15"),TK!$E$7=TH!F2482),"x","")</f>
        <v/>
      </c>
      <c r="AD2482" s="84" t="str">
        <f>IF(AND(N2482="1521",MONTH(C2482)='BK-NL'!$M$11),"x","")</f>
        <v/>
      </c>
    </row>
    <row r="2483" spans="1:30" s="351" customFormat="1" ht="15.75" hidden="1" customHeight="1">
      <c r="A2483" s="336" t="str">
        <f>IF(B2483&lt;&gt;"",IF(AND(B2483='IN-TC'!$S$4,OR(TH!N2483="1111",TH!O2483="1111")),TH!D2483,""),"")</f>
        <v/>
      </c>
      <c r="B2483" s="63" t="str">
        <f t="shared" si="293"/>
        <v/>
      </c>
      <c r="C2483" s="64"/>
      <c r="D2483" s="64"/>
      <c r="E2483" s="64"/>
      <c r="F2483" s="67"/>
      <c r="G2483" s="67"/>
      <c r="H2483" s="73"/>
      <c r="I2483" s="439"/>
      <c r="J2483" s="439"/>
      <c r="K2483" s="430"/>
      <c r="L2483" s="439"/>
      <c r="M2483" s="65"/>
      <c r="N2483" s="66"/>
      <c r="O2483" s="66"/>
      <c r="P2483" s="84" t="str">
        <f>IF(AND('331-CT'!$E$7=TH!H2483,OR(N2483="331",O2483="331")),"x","")</f>
        <v/>
      </c>
      <c r="Q2483" s="84" t="str">
        <f>IF(AND(B2483='111'!$L$11,OR($N2483=$Q$7,$O2483=$Q$7)),"x","")</f>
        <v/>
      </c>
      <c r="R2483" s="84" t="str">
        <f>IF(AND($N2483=$Q$7,$B2483&lt;'111'!$L$11),"x","")</f>
        <v/>
      </c>
      <c r="S2483" s="84" t="str">
        <f>IF(AND($O2483=$Q$7,$B2483&lt;'111'!$L$11),"x","")</f>
        <v/>
      </c>
      <c r="T2483" s="84" t="str">
        <f>IF(ISERROR(FIND('112'!$M$9,G2483,1)),"",IF((AND(FIND('112'!$M$9,G2483,1)&gt;=1,B2483='112'!$K$9,OR($N2483='112'!$I$6,$O2483='112'!$I$6))),"x",""))</f>
        <v/>
      </c>
      <c r="U2483" s="84" t="str">
        <f>IF(ISERROR(FIND('112'!$M$9,G2483,1)),"",IF((AND(LEFT(G2483,2)=LEFT('112'!$M$9,2),B2483&lt;'112'!$K$9,$N2483='112'!$I$6)),"x",""))</f>
        <v/>
      </c>
      <c r="V2483" s="84" t="str">
        <f>IF(ISERROR(FIND('112'!$M$9,G2483,1)),"",IF((AND(RIGHT(G2483,2)=RIGHT('112'!$M$9,2),B2483&lt;'112'!$K$9,$O2483='112'!$I$6)),"x",""))</f>
        <v/>
      </c>
      <c r="W2483" s="84" t="str">
        <f>IF(AND('341-CT'!$H$9=H2483,OR(LEFT(N2483,3)=$W$7,LEFT(O2483,3)=$W$7)),"x","")</f>
        <v/>
      </c>
      <c r="X2483" s="84" t="str">
        <f>IF(OR(TH!N2483=TH!$X$7,O2483=TH!$X$7),"x","")</f>
        <v/>
      </c>
      <c r="Y2483" s="84" t="str">
        <f>IF(AND(OR(N2483="131",O2483="131"),H2483='131-CT'!$H$9),"x","")</f>
        <v/>
      </c>
      <c r="Z2483" s="84"/>
      <c r="AA2483" s="84" t="str">
        <f>IF(AND(MONTH(E2483)='IN-NX'!$J$5,'IN-NX'!$D$7=D2483),"x","")</f>
        <v/>
      </c>
      <c r="AB2483" s="84" t="str">
        <f>IF(AND(OR(LEFT(TH!N2483,2)="15",LEFT(TH!O2483,2)="15"),LEFT(TH!O2483,3)&lt;&gt;"111",'152-CT'!$J$8=TH!F2483),"x","")</f>
        <v/>
      </c>
      <c r="AC2483" s="84" t="str">
        <f>IF(AND(OR(LEFT(TH!N2483,2)="15",LEFT(TH!O2483,2)="15"),TK!$E$7=TH!F2483),"x","")</f>
        <v/>
      </c>
      <c r="AD2483" s="84" t="str">
        <f>IF(AND(N2483="1521",MONTH(C2483)='BK-NL'!$M$11),"x","")</f>
        <v/>
      </c>
    </row>
    <row r="2484" spans="1:30" s="351" customFormat="1" ht="15.75" hidden="1" customHeight="1">
      <c r="A2484" s="336" t="str">
        <f>IF(B2484&lt;&gt;"",IF(AND(B2484='IN-TC'!$S$4,OR(TH!N2484="1111",TH!O2484="1111")),TH!D2484,""),"")</f>
        <v/>
      </c>
      <c r="B2484" s="63" t="str">
        <f t="shared" si="293"/>
        <v/>
      </c>
      <c r="C2484" s="64"/>
      <c r="D2484" s="64"/>
      <c r="E2484" s="64"/>
      <c r="F2484" s="67"/>
      <c r="G2484" s="67"/>
      <c r="H2484" s="73"/>
      <c r="I2484" s="439"/>
      <c r="J2484" s="439"/>
      <c r="K2484" s="430"/>
      <c r="L2484" s="439"/>
      <c r="M2484" s="65"/>
      <c r="N2484" s="66"/>
      <c r="O2484" s="66"/>
      <c r="P2484" s="84" t="str">
        <f>IF(AND('331-CT'!$E$7=TH!H2484,OR(N2484="331",O2484="331")),"x","")</f>
        <v/>
      </c>
      <c r="Q2484" s="84" t="str">
        <f>IF(AND(B2484='111'!$L$11,OR($N2484=$Q$7,$O2484=$Q$7)),"x","")</f>
        <v/>
      </c>
      <c r="R2484" s="84" t="str">
        <f>IF(AND($N2484=$Q$7,$B2484&lt;'111'!$L$11),"x","")</f>
        <v/>
      </c>
      <c r="S2484" s="84" t="str">
        <f>IF(AND($O2484=$Q$7,$B2484&lt;'111'!$L$11),"x","")</f>
        <v/>
      </c>
      <c r="T2484" s="84" t="str">
        <f>IF(ISERROR(FIND('112'!$M$9,G2484,1)),"",IF((AND(FIND('112'!$M$9,G2484,1)&gt;=1,B2484='112'!$K$9,OR($N2484='112'!$I$6,$O2484='112'!$I$6))),"x",""))</f>
        <v/>
      </c>
      <c r="U2484" s="84" t="str">
        <f>IF(ISERROR(FIND('112'!$M$9,G2484,1)),"",IF((AND(LEFT(G2484,2)=LEFT('112'!$M$9,2),B2484&lt;'112'!$K$9,$N2484='112'!$I$6)),"x",""))</f>
        <v/>
      </c>
      <c r="V2484" s="84" t="str">
        <f>IF(ISERROR(FIND('112'!$M$9,G2484,1)),"",IF((AND(RIGHT(G2484,2)=RIGHT('112'!$M$9,2),B2484&lt;'112'!$K$9,$O2484='112'!$I$6)),"x",""))</f>
        <v/>
      </c>
      <c r="W2484" s="84" t="str">
        <f>IF(AND('341-CT'!$H$9=H2484,OR(LEFT(N2484,3)=$W$7,LEFT(O2484,3)=$W$7)),"x","")</f>
        <v/>
      </c>
      <c r="X2484" s="84" t="str">
        <f>IF(OR(TH!N2484=TH!$X$7,O2484=TH!$X$7),"x","")</f>
        <v/>
      </c>
      <c r="Y2484" s="84" t="str">
        <f>IF(AND(OR(N2484="131",O2484="131"),H2484='131-CT'!$H$9),"x","")</f>
        <v/>
      </c>
      <c r="Z2484" s="84"/>
      <c r="AA2484" s="84" t="str">
        <f>IF(AND(MONTH(E2484)='IN-NX'!$J$5,'IN-NX'!$D$7=D2484),"x","")</f>
        <v/>
      </c>
      <c r="AB2484" s="84" t="str">
        <f>IF(AND(OR(LEFT(TH!N2484,2)="15",LEFT(TH!O2484,2)="15"),LEFT(TH!O2484,3)&lt;&gt;"111",'152-CT'!$J$8=TH!F2484),"x","")</f>
        <v/>
      </c>
      <c r="AC2484" s="84" t="str">
        <f>IF(AND(OR(LEFT(TH!N2484,2)="15",LEFT(TH!O2484,2)="15"),TK!$E$7=TH!F2484),"x","")</f>
        <v/>
      </c>
      <c r="AD2484" s="84" t="str">
        <f>IF(AND(N2484="1521",MONTH(C2484)='BK-NL'!$M$11),"x","")</f>
        <v/>
      </c>
    </row>
    <row r="2485" spans="1:30" s="351" customFormat="1" ht="15.75" hidden="1" customHeight="1">
      <c r="A2485" s="336" t="str">
        <f>IF(B2485&lt;&gt;"",IF(AND(B2485='IN-TC'!$S$4,OR(TH!N2485="1111",TH!O2485="1111")),TH!D2485,""),"")</f>
        <v/>
      </c>
      <c r="B2485" s="63" t="str">
        <f t="shared" si="293"/>
        <v/>
      </c>
      <c r="C2485" s="64"/>
      <c r="D2485" s="64"/>
      <c r="E2485" s="64"/>
      <c r="F2485" s="67"/>
      <c r="G2485" s="67"/>
      <c r="H2485" s="73"/>
      <c r="I2485" s="439"/>
      <c r="J2485" s="439"/>
      <c r="K2485" s="430"/>
      <c r="L2485" s="439"/>
      <c r="M2485" s="65"/>
      <c r="N2485" s="66"/>
      <c r="O2485" s="66"/>
      <c r="P2485" s="84" t="str">
        <f>IF(AND('331-CT'!$E$7=TH!H2485,OR(N2485="331",O2485="331")),"x","")</f>
        <v/>
      </c>
      <c r="Q2485" s="84" t="str">
        <f>IF(AND(B2485='111'!$L$11,OR($N2485=$Q$7,$O2485=$Q$7)),"x","")</f>
        <v/>
      </c>
      <c r="R2485" s="84" t="str">
        <f>IF(AND($N2485=$Q$7,$B2485&lt;'111'!$L$11),"x","")</f>
        <v/>
      </c>
      <c r="S2485" s="84" t="str">
        <f>IF(AND($O2485=$Q$7,$B2485&lt;'111'!$L$11),"x","")</f>
        <v/>
      </c>
      <c r="T2485" s="84" t="str">
        <f>IF(ISERROR(FIND('112'!$M$9,G2485,1)),"",IF((AND(FIND('112'!$M$9,G2485,1)&gt;=1,B2485='112'!$K$9,OR($N2485='112'!$I$6,$O2485='112'!$I$6))),"x",""))</f>
        <v/>
      </c>
      <c r="U2485" s="84" t="str">
        <f>IF(ISERROR(FIND('112'!$M$9,G2485,1)),"",IF((AND(LEFT(G2485,2)=LEFT('112'!$M$9,2),B2485&lt;'112'!$K$9,$N2485='112'!$I$6)),"x",""))</f>
        <v/>
      </c>
      <c r="V2485" s="84" t="str">
        <f>IF(ISERROR(FIND('112'!$M$9,G2485,1)),"",IF((AND(RIGHT(G2485,2)=RIGHT('112'!$M$9,2),B2485&lt;'112'!$K$9,$O2485='112'!$I$6)),"x",""))</f>
        <v/>
      </c>
      <c r="W2485" s="84" t="str">
        <f>IF(AND('341-CT'!$H$9=H2485,OR(LEFT(N2485,3)=$W$7,LEFT(O2485,3)=$W$7)),"x","")</f>
        <v/>
      </c>
      <c r="X2485" s="84" t="str">
        <f>IF(OR(TH!N2485=TH!$X$7,O2485=TH!$X$7),"x","")</f>
        <v/>
      </c>
      <c r="Y2485" s="84" t="str">
        <f>IF(AND(OR(N2485="131",O2485="131"),H2485='131-CT'!$H$9),"x","")</f>
        <v/>
      </c>
      <c r="Z2485" s="84"/>
      <c r="AA2485" s="84" t="str">
        <f>IF(AND(MONTH(E2485)='IN-NX'!$J$5,'IN-NX'!$D$7=D2485),"x","")</f>
        <v/>
      </c>
      <c r="AB2485" s="84" t="str">
        <f>IF(AND(OR(LEFT(TH!N2485,2)="15",LEFT(TH!O2485,2)="15"),LEFT(TH!O2485,3)&lt;&gt;"111",'152-CT'!$J$8=TH!F2485),"x","")</f>
        <v/>
      </c>
      <c r="AC2485" s="84" t="str">
        <f>IF(AND(OR(LEFT(TH!N2485,2)="15",LEFT(TH!O2485,2)="15"),TK!$E$7=TH!F2485),"x","")</f>
        <v/>
      </c>
      <c r="AD2485" s="84" t="str">
        <f>IF(AND(N2485="1521",MONTH(C2485)='BK-NL'!$M$11),"x","")</f>
        <v/>
      </c>
    </row>
    <row r="2486" spans="1:30" s="351" customFormat="1" ht="15.75" hidden="1" customHeight="1">
      <c r="A2486" s="336" t="str">
        <f>IF(B2486&lt;&gt;"",IF(AND(B2486='IN-TC'!$S$4,OR(TH!N2486="1111",TH!O2486="1111")),TH!D2486,""),"")</f>
        <v/>
      </c>
      <c r="B2486" s="63" t="str">
        <f t="shared" si="293"/>
        <v/>
      </c>
      <c r="C2486" s="64"/>
      <c r="D2486" s="64"/>
      <c r="E2486" s="64"/>
      <c r="F2486" s="67"/>
      <c r="G2486" s="67"/>
      <c r="H2486" s="73"/>
      <c r="I2486" s="439"/>
      <c r="J2486" s="439"/>
      <c r="K2486" s="430"/>
      <c r="L2486" s="439"/>
      <c r="M2486" s="65"/>
      <c r="N2486" s="66"/>
      <c r="O2486" s="66"/>
      <c r="P2486" s="84" t="str">
        <f>IF(AND('331-CT'!$E$7=TH!H2486,OR(N2486="331",O2486="331")),"x","")</f>
        <v/>
      </c>
      <c r="Q2486" s="84" t="str">
        <f>IF(AND(B2486='111'!$L$11,OR($N2486=$Q$7,$O2486=$Q$7)),"x","")</f>
        <v/>
      </c>
      <c r="R2486" s="84" t="str">
        <f>IF(AND($N2486=$Q$7,$B2486&lt;'111'!$L$11),"x","")</f>
        <v/>
      </c>
      <c r="S2486" s="84" t="str">
        <f>IF(AND($O2486=$Q$7,$B2486&lt;'111'!$L$11),"x","")</f>
        <v/>
      </c>
      <c r="T2486" s="84" t="str">
        <f>IF(ISERROR(FIND('112'!$M$9,G2486,1)),"",IF((AND(FIND('112'!$M$9,G2486,1)&gt;=1,B2486='112'!$K$9,OR($N2486='112'!$I$6,$O2486='112'!$I$6))),"x",""))</f>
        <v/>
      </c>
      <c r="U2486" s="84" t="str">
        <f>IF(ISERROR(FIND('112'!$M$9,G2486,1)),"",IF((AND(LEFT(G2486,2)=LEFT('112'!$M$9,2),B2486&lt;'112'!$K$9,$N2486='112'!$I$6)),"x",""))</f>
        <v/>
      </c>
      <c r="V2486" s="84" t="str">
        <f>IF(ISERROR(FIND('112'!$M$9,G2486,1)),"",IF((AND(RIGHT(G2486,2)=RIGHT('112'!$M$9,2),B2486&lt;'112'!$K$9,$O2486='112'!$I$6)),"x",""))</f>
        <v/>
      </c>
      <c r="W2486" s="84" t="str">
        <f>IF(AND('341-CT'!$H$9=H2486,OR(LEFT(N2486,3)=$W$7,LEFT(O2486,3)=$W$7)),"x","")</f>
        <v/>
      </c>
      <c r="X2486" s="84" t="str">
        <f>IF(OR(TH!N2486=TH!$X$7,O2486=TH!$X$7),"x","")</f>
        <v/>
      </c>
      <c r="Y2486" s="84" t="str">
        <f>IF(AND(OR(N2486="131",O2486="131"),H2486='131-CT'!$H$9),"x","")</f>
        <v/>
      </c>
      <c r="Z2486" s="84"/>
      <c r="AA2486" s="84" t="str">
        <f>IF(AND(MONTH(E2486)='IN-NX'!$J$5,'IN-NX'!$D$7=D2486),"x","")</f>
        <v/>
      </c>
      <c r="AB2486" s="84" t="str">
        <f>IF(AND(OR(LEFT(TH!N2486,2)="15",LEFT(TH!O2486,2)="15"),LEFT(TH!O2486,3)&lt;&gt;"111",'152-CT'!$J$8=TH!F2486),"x","")</f>
        <v/>
      </c>
      <c r="AC2486" s="84" t="str">
        <f>IF(AND(OR(LEFT(TH!N2486,2)="15",LEFT(TH!O2486,2)="15"),TK!$E$7=TH!F2486),"x","")</f>
        <v/>
      </c>
      <c r="AD2486" s="84" t="str">
        <f>IF(AND(N2486="1521",MONTH(C2486)='BK-NL'!$M$11),"x","")</f>
        <v/>
      </c>
    </row>
    <row r="2487" spans="1:30" s="351" customFormat="1" ht="15.75" hidden="1" customHeight="1">
      <c r="A2487" s="336" t="str">
        <f>IF(B2487&lt;&gt;"",IF(AND(B2487='IN-TC'!$S$4,OR(TH!N2487="1111",TH!O2487="1111")),TH!D2487,""),"")</f>
        <v/>
      </c>
      <c r="B2487" s="63" t="str">
        <f t="shared" si="293"/>
        <v/>
      </c>
      <c r="C2487" s="64"/>
      <c r="D2487" s="64"/>
      <c r="E2487" s="64"/>
      <c r="F2487" s="67"/>
      <c r="G2487" s="67"/>
      <c r="H2487" s="73"/>
      <c r="I2487" s="439"/>
      <c r="J2487" s="439"/>
      <c r="K2487" s="430"/>
      <c r="L2487" s="439"/>
      <c r="M2487" s="65"/>
      <c r="N2487" s="66"/>
      <c r="O2487" s="66"/>
      <c r="P2487" s="84" t="str">
        <f>IF(AND('331-CT'!$E$7=TH!H2487,OR(N2487="331",O2487="331")),"x","")</f>
        <v/>
      </c>
      <c r="Q2487" s="84" t="str">
        <f>IF(AND(B2487='111'!$L$11,OR($N2487=$Q$7,$O2487=$Q$7)),"x","")</f>
        <v/>
      </c>
      <c r="R2487" s="84" t="str">
        <f>IF(AND($N2487=$Q$7,$B2487&lt;'111'!$L$11),"x","")</f>
        <v/>
      </c>
      <c r="S2487" s="84" t="str">
        <f>IF(AND($O2487=$Q$7,$B2487&lt;'111'!$L$11),"x","")</f>
        <v/>
      </c>
      <c r="T2487" s="84" t="str">
        <f>IF(ISERROR(FIND('112'!$M$9,G2487,1)),"",IF((AND(FIND('112'!$M$9,G2487,1)&gt;=1,B2487='112'!$K$9,OR($N2487='112'!$I$6,$O2487='112'!$I$6))),"x",""))</f>
        <v/>
      </c>
      <c r="U2487" s="84" t="str">
        <f>IF(ISERROR(FIND('112'!$M$9,G2487,1)),"",IF((AND(LEFT(G2487,2)=LEFT('112'!$M$9,2),B2487&lt;'112'!$K$9,$N2487='112'!$I$6)),"x",""))</f>
        <v/>
      </c>
      <c r="V2487" s="84" t="str">
        <f>IF(ISERROR(FIND('112'!$M$9,G2487,1)),"",IF((AND(RIGHT(G2487,2)=RIGHT('112'!$M$9,2),B2487&lt;'112'!$K$9,$O2487='112'!$I$6)),"x",""))</f>
        <v/>
      </c>
      <c r="W2487" s="84" t="str">
        <f>IF(AND('341-CT'!$H$9=H2487,OR(LEFT(N2487,3)=$W$7,LEFT(O2487,3)=$W$7)),"x","")</f>
        <v/>
      </c>
      <c r="X2487" s="84" t="str">
        <f>IF(OR(TH!N2487=TH!$X$7,O2487=TH!$X$7),"x","")</f>
        <v/>
      </c>
      <c r="Y2487" s="84" t="str">
        <f>IF(AND(OR(N2487="131",O2487="131"),H2487='131-CT'!$H$9),"x","")</f>
        <v/>
      </c>
      <c r="Z2487" s="84"/>
      <c r="AA2487" s="84" t="str">
        <f>IF(AND(MONTH(E2487)='IN-NX'!$J$5,'IN-NX'!$D$7=D2487),"x","")</f>
        <v/>
      </c>
      <c r="AB2487" s="84" t="str">
        <f>IF(AND(OR(LEFT(TH!N2487,2)="15",LEFT(TH!O2487,2)="15"),LEFT(TH!O2487,3)&lt;&gt;"111",'152-CT'!$J$8=TH!F2487),"x","")</f>
        <v/>
      </c>
      <c r="AC2487" s="84" t="str">
        <f>IF(AND(OR(LEFT(TH!N2487,2)="15",LEFT(TH!O2487,2)="15"),TK!$E$7=TH!F2487),"x","")</f>
        <v/>
      </c>
      <c r="AD2487" s="84" t="str">
        <f>IF(AND(N2487="1521",MONTH(C2487)='BK-NL'!$M$11),"x","")</f>
        <v/>
      </c>
    </row>
    <row r="2488" spans="1:30" s="351" customFormat="1" ht="15.75" hidden="1" customHeight="1">
      <c r="A2488" s="336" t="str">
        <f>IF(B2488&lt;&gt;"",IF(AND(B2488='IN-TC'!$S$4,OR(TH!N2488="1111",TH!O2488="1111")),TH!D2488,""),"")</f>
        <v/>
      </c>
      <c r="B2488" s="63" t="str">
        <f t="shared" si="293"/>
        <v/>
      </c>
      <c r="C2488" s="64"/>
      <c r="D2488" s="64"/>
      <c r="E2488" s="64"/>
      <c r="F2488" s="67"/>
      <c r="G2488" s="67"/>
      <c r="H2488" s="73"/>
      <c r="I2488" s="439"/>
      <c r="J2488" s="439"/>
      <c r="K2488" s="430"/>
      <c r="L2488" s="439"/>
      <c r="M2488" s="65"/>
      <c r="N2488" s="66"/>
      <c r="O2488" s="66"/>
      <c r="P2488" s="84" t="str">
        <f>IF(AND('331-CT'!$E$7=TH!H2488,OR(N2488="331",O2488="331")),"x","")</f>
        <v/>
      </c>
      <c r="Q2488" s="84" t="str">
        <f>IF(AND(B2488='111'!$L$11,OR($N2488=$Q$7,$O2488=$Q$7)),"x","")</f>
        <v/>
      </c>
      <c r="R2488" s="84" t="str">
        <f>IF(AND($N2488=$Q$7,$B2488&lt;'111'!$L$11),"x","")</f>
        <v/>
      </c>
      <c r="S2488" s="84" t="str">
        <f>IF(AND($O2488=$Q$7,$B2488&lt;'111'!$L$11),"x","")</f>
        <v/>
      </c>
      <c r="T2488" s="84" t="str">
        <f>IF(ISERROR(FIND('112'!$M$9,G2488,1)),"",IF((AND(FIND('112'!$M$9,G2488,1)&gt;=1,B2488='112'!$K$9,OR($N2488='112'!$I$6,$O2488='112'!$I$6))),"x",""))</f>
        <v/>
      </c>
      <c r="U2488" s="84" t="str">
        <f>IF(ISERROR(FIND('112'!$M$9,G2488,1)),"",IF((AND(LEFT(G2488,2)=LEFT('112'!$M$9,2),B2488&lt;'112'!$K$9,$N2488='112'!$I$6)),"x",""))</f>
        <v/>
      </c>
      <c r="V2488" s="84" t="str">
        <f>IF(ISERROR(FIND('112'!$M$9,G2488,1)),"",IF((AND(RIGHT(G2488,2)=RIGHT('112'!$M$9,2),B2488&lt;'112'!$K$9,$O2488='112'!$I$6)),"x",""))</f>
        <v/>
      </c>
      <c r="W2488" s="84" t="str">
        <f>IF(AND('341-CT'!$H$9=H2488,OR(LEFT(N2488,3)=$W$7,LEFT(O2488,3)=$W$7)),"x","")</f>
        <v/>
      </c>
      <c r="X2488" s="84" t="str">
        <f>IF(OR(TH!N2488=TH!$X$7,O2488=TH!$X$7),"x","")</f>
        <v/>
      </c>
      <c r="Y2488" s="84" t="str">
        <f>IF(AND(OR(N2488="131",O2488="131"),H2488='131-CT'!$H$9),"x","")</f>
        <v/>
      </c>
      <c r="Z2488" s="84"/>
      <c r="AA2488" s="84" t="str">
        <f>IF(AND(MONTH(E2488)='IN-NX'!$J$5,'IN-NX'!$D$7=D2488),"x","")</f>
        <v/>
      </c>
      <c r="AB2488" s="84" t="str">
        <f>IF(AND(OR(LEFT(TH!N2488,2)="15",LEFT(TH!O2488,2)="15"),LEFT(TH!O2488,3)&lt;&gt;"111",'152-CT'!$J$8=TH!F2488),"x","")</f>
        <v/>
      </c>
      <c r="AC2488" s="84" t="str">
        <f>IF(AND(OR(LEFT(TH!N2488,2)="15",LEFT(TH!O2488,2)="15"),TK!$E$7=TH!F2488),"x","")</f>
        <v/>
      </c>
      <c r="AD2488" s="84" t="str">
        <f>IF(AND(N2488="1521",MONTH(C2488)='BK-NL'!$M$11),"x","")</f>
        <v/>
      </c>
    </row>
    <row r="2489" spans="1:30" s="351" customFormat="1" ht="15.75" hidden="1" customHeight="1">
      <c r="A2489" s="336" t="str">
        <f>IF(B2489&lt;&gt;"",IF(AND(B2489='IN-TC'!$S$4,OR(TH!N2489="1111",TH!O2489="1111")),TH!D2489,""),"")</f>
        <v/>
      </c>
      <c r="B2489" s="63" t="str">
        <f t="shared" si="293"/>
        <v/>
      </c>
      <c r="C2489" s="64"/>
      <c r="D2489" s="64"/>
      <c r="E2489" s="64"/>
      <c r="F2489" s="67"/>
      <c r="G2489" s="67"/>
      <c r="H2489" s="73"/>
      <c r="I2489" s="439"/>
      <c r="J2489" s="439"/>
      <c r="K2489" s="430"/>
      <c r="L2489" s="439"/>
      <c r="M2489" s="65"/>
      <c r="N2489" s="66"/>
      <c r="O2489" s="66"/>
      <c r="P2489" s="84" t="str">
        <f>IF(AND('331-CT'!$E$7=TH!H2489,OR(N2489="331",O2489="331")),"x","")</f>
        <v/>
      </c>
      <c r="Q2489" s="84" t="str">
        <f>IF(AND(B2489='111'!$L$11,OR($N2489=$Q$7,$O2489=$Q$7)),"x","")</f>
        <v/>
      </c>
      <c r="R2489" s="84" t="str">
        <f>IF(AND($N2489=$Q$7,$B2489&lt;'111'!$L$11),"x","")</f>
        <v/>
      </c>
      <c r="S2489" s="84" t="str">
        <f>IF(AND($O2489=$Q$7,$B2489&lt;'111'!$L$11),"x","")</f>
        <v/>
      </c>
      <c r="T2489" s="84" t="str">
        <f>IF(ISERROR(FIND('112'!$M$9,G2489,1)),"",IF((AND(FIND('112'!$M$9,G2489,1)&gt;=1,B2489='112'!$K$9,OR($N2489='112'!$I$6,$O2489='112'!$I$6))),"x",""))</f>
        <v/>
      </c>
      <c r="U2489" s="84" t="str">
        <f>IF(ISERROR(FIND('112'!$M$9,G2489,1)),"",IF((AND(LEFT(G2489,2)=LEFT('112'!$M$9,2),B2489&lt;'112'!$K$9,$N2489='112'!$I$6)),"x",""))</f>
        <v/>
      </c>
      <c r="V2489" s="84" t="str">
        <f>IF(ISERROR(FIND('112'!$M$9,G2489,1)),"",IF((AND(RIGHT(G2489,2)=RIGHT('112'!$M$9,2),B2489&lt;'112'!$K$9,$O2489='112'!$I$6)),"x",""))</f>
        <v/>
      </c>
      <c r="W2489" s="84" t="str">
        <f>IF(AND('341-CT'!$H$9=H2489,OR(LEFT(N2489,3)=$W$7,LEFT(O2489,3)=$W$7)),"x","")</f>
        <v/>
      </c>
      <c r="X2489" s="84" t="str">
        <f>IF(OR(TH!N2489=TH!$X$7,O2489=TH!$X$7),"x","")</f>
        <v/>
      </c>
      <c r="Y2489" s="84" t="str">
        <f>IF(AND(OR(N2489="131",O2489="131"),H2489='131-CT'!$H$9),"x","")</f>
        <v/>
      </c>
      <c r="Z2489" s="84"/>
      <c r="AA2489" s="84" t="str">
        <f>IF(AND(MONTH(E2489)='IN-NX'!$J$5,'IN-NX'!$D$7=D2489),"x","")</f>
        <v/>
      </c>
      <c r="AB2489" s="84" t="str">
        <f>IF(AND(OR(LEFT(TH!N2489,2)="15",LEFT(TH!O2489,2)="15"),LEFT(TH!O2489,3)&lt;&gt;"111",'152-CT'!$J$8=TH!F2489),"x","")</f>
        <v/>
      </c>
      <c r="AC2489" s="84" t="str">
        <f>IF(AND(OR(LEFT(TH!N2489,2)="15",LEFT(TH!O2489,2)="15"),TK!$E$7=TH!F2489),"x","")</f>
        <v/>
      </c>
      <c r="AD2489" s="84" t="str">
        <f>IF(AND(N2489="1521",MONTH(C2489)='BK-NL'!$M$11),"x","")</f>
        <v/>
      </c>
    </row>
    <row r="2490" spans="1:30" s="351" customFormat="1" ht="15.75" hidden="1" customHeight="1">
      <c r="A2490" s="336" t="str">
        <f>IF(B2490&lt;&gt;"",IF(AND(B2490='IN-TC'!$S$4,OR(TH!N2490="1111",TH!O2490="1111")),TH!D2490,""),"")</f>
        <v/>
      </c>
      <c r="B2490" s="63" t="str">
        <f t="shared" si="293"/>
        <v/>
      </c>
      <c r="C2490" s="64"/>
      <c r="D2490" s="64"/>
      <c r="E2490" s="64"/>
      <c r="F2490" s="67"/>
      <c r="G2490" s="67"/>
      <c r="H2490" s="73"/>
      <c r="I2490" s="439"/>
      <c r="J2490" s="439"/>
      <c r="K2490" s="430"/>
      <c r="L2490" s="439"/>
      <c r="M2490" s="65"/>
      <c r="N2490" s="66"/>
      <c r="O2490" s="66"/>
      <c r="P2490" s="84" t="str">
        <f>IF(AND('331-CT'!$E$7=TH!H2490,OR(N2490="331",O2490="331")),"x","")</f>
        <v/>
      </c>
      <c r="Q2490" s="84" t="str">
        <f>IF(AND(B2490='111'!$L$11,OR($N2490=$Q$7,$O2490=$Q$7)),"x","")</f>
        <v/>
      </c>
      <c r="R2490" s="84" t="str">
        <f>IF(AND($N2490=$Q$7,$B2490&lt;'111'!$L$11),"x","")</f>
        <v/>
      </c>
      <c r="S2490" s="84" t="str">
        <f>IF(AND($O2490=$Q$7,$B2490&lt;'111'!$L$11),"x","")</f>
        <v/>
      </c>
      <c r="T2490" s="84" t="str">
        <f>IF(ISERROR(FIND('112'!$M$9,G2490,1)),"",IF((AND(FIND('112'!$M$9,G2490,1)&gt;=1,B2490='112'!$K$9,OR($N2490='112'!$I$6,$O2490='112'!$I$6))),"x",""))</f>
        <v/>
      </c>
      <c r="U2490" s="84" t="str">
        <f>IF(ISERROR(FIND('112'!$M$9,G2490,1)),"",IF((AND(LEFT(G2490,2)=LEFT('112'!$M$9,2),B2490&lt;'112'!$K$9,$N2490='112'!$I$6)),"x",""))</f>
        <v/>
      </c>
      <c r="V2490" s="84" t="str">
        <f>IF(ISERROR(FIND('112'!$M$9,G2490,1)),"",IF((AND(RIGHT(G2490,2)=RIGHT('112'!$M$9,2),B2490&lt;'112'!$K$9,$O2490='112'!$I$6)),"x",""))</f>
        <v/>
      </c>
      <c r="W2490" s="84" t="str">
        <f>IF(AND('341-CT'!$H$9=H2490,OR(LEFT(N2490,3)=$W$7,LEFT(O2490,3)=$W$7)),"x","")</f>
        <v/>
      </c>
      <c r="X2490" s="84" t="str">
        <f>IF(OR(TH!N2490=TH!$X$7,O2490=TH!$X$7),"x","")</f>
        <v/>
      </c>
      <c r="Y2490" s="84" t="str">
        <f>IF(AND(OR(N2490="131",O2490="131"),H2490='131-CT'!$H$9),"x","")</f>
        <v/>
      </c>
      <c r="Z2490" s="84"/>
      <c r="AA2490" s="84" t="str">
        <f>IF(AND(MONTH(E2490)='IN-NX'!$J$5,'IN-NX'!$D$7=D2490),"x","")</f>
        <v/>
      </c>
      <c r="AB2490" s="84" t="str">
        <f>IF(AND(OR(LEFT(TH!N2490,2)="15",LEFT(TH!O2490,2)="15"),LEFT(TH!O2490,3)&lt;&gt;"111",'152-CT'!$J$8=TH!F2490),"x","")</f>
        <v/>
      </c>
      <c r="AC2490" s="84" t="str">
        <f>IF(AND(OR(LEFT(TH!N2490,2)="15",LEFT(TH!O2490,2)="15"),TK!$E$7=TH!F2490),"x","")</f>
        <v/>
      </c>
      <c r="AD2490" s="84" t="str">
        <f>IF(AND(N2490="1521",MONTH(C2490)='BK-NL'!$M$11),"x","")</f>
        <v/>
      </c>
    </row>
    <row r="2491" spans="1:30" s="351" customFormat="1" ht="15.75" hidden="1" customHeight="1">
      <c r="A2491" s="336" t="str">
        <f>IF(B2491&lt;&gt;"",IF(AND(B2491='IN-TC'!$S$4,OR(TH!N2491="1111",TH!O2491="1111")),TH!D2491,""),"")</f>
        <v/>
      </c>
      <c r="B2491" s="63" t="str">
        <f t="shared" si="293"/>
        <v/>
      </c>
      <c r="C2491" s="64"/>
      <c r="D2491" s="64"/>
      <c r="E2491" s="64"/>
      <c r="F2491" s="67"/>
      <c r="G2491" s="67"/>
      <c r="H2491" s="73"/>
      <c r="I2491" s="439"/>
      <c r="J2491" s="439"/>
      <c r="K2491" s="430"/>
      <c r="L2491" s="439"/>
      <c r="M2491" s="65"/>
      <c r="N2491" s="66"/>
      <c r="O2491" s="66"/>
      <c r="P2491" s="84" t="str">
        <f>IF(AND('331-CT'!$E$7=TH!H2491,OR(N2491="331",O2491="331")),"x","")</f>
        <v/>
      </c>
      <c r="Q2491" s="84" t="str">
        <f>IF(AND(B2491='111'!$L$11,OR($N2491=$Q$7,$O2491=$Q$7)),"x","")</f>
        <v/>
      </c>
      <c r="R2491" s="84" t="str">
        <f>IF(AND($N2491=$Q$7,$B2491&lt;'111'!$L$11),"x","")</f>
        <v/>
      </c>
      <c r="S2491" s="84" t="str">
        <f>IF(AND($O2491=$Q$7,$B2491&lt;'111'!$L$11),"x","")</f>
        <v/>
      </c>
      <c r="T2491" s="84" t="str">
        <f>IF(ISERROR(FIND('112'!$M$9,G2491,1)),"",IF((AND(FIND('112'!$M$9,G2491,1)&gt;=1,B2491='112'!$K$9,OR($N2491='112'!$I$6,$O2491='112'!$I$6))),"x",""))</f>
        <v/>
      </c>
      <c r="U2491" s="84" t="str">
        <f>IF(ISERROR(FIND('112'!$M$9,G2491,1)),"",IF((AND(LEFT(G2491,2)=LEFT('112'!$M$9,2),B2491&lt;'112'!$K$9,$N2491='112'!$I$6)),"x",""))</f>
        <v/>
      </c>
      <c r="V2491" s="84" t="str">
        <f>IF(ISERROR(FIND('112'!$M$9,G2491,1)),"",IF((AND(RIGHT(G2491,2)=RIGHT('112'!$M$9,2),B2491&lt;'112'!$K$9,$O2491='112'!$I$6)),"x",""))</f>
        <v/>
      </c>
      <c r="W2491" s="84" t="str">
        <f>IF(AND('341-CT'!$H$9=H2491,OR(LEFT(N2491,3)=$W$7,LEFT(O2491,3)=$W$7)),"x","")</f>
        <v/>
      </c>
      <c r="X2491" s="84" t="str">
        <f>IF(OR(TH!N2491=TH!$X$7,O2491=TH!$X$7),"x","")</f>
        <v/>
      </c>
      <c r="Y2491" s="84" t="str">
        <f>IF(AND(OR(N2491="131",O2491="131"),H2491='131-CT'!$H$9),"x","")</f>
        <v/>
      </c>
      <c r="Z2491" s="84"/>
      <c r="AA2491" s="84" t="str">
        <f>IF(AND(MONTH(E2491)='IN-NX'!$J$5,'IN-NX'!$D$7=D2491),"x","")</f>
        <v/>
      </c>
      <c r="AB2491" s="84" t="str">
        <f>IF(AND(OR(LEFT(TH!N2491,2)="15",LEFT(TH!O2491,2)="15"),LEFT(TH!O2491,3)&lt;&gt;"111",'152-CT'!$J$8=TH!F2491),"x","")</f>
        <v/>
      </c>
      <c r="AC2491" s="84" t="str">
        <f>IF(AND(OR(LEFT(TH!N2491,2)="15",LEFT(TH!O2491,2)="15"),TK!$E$7=TH!F2491),"x","")</f>
        <v/>
      </c>
      <c r="AD2491" s="84" t="str">
        <f>IF(AND(N2491="1521",MONTH(C2491)='BK-NL'!$M$11),"x","")</f>
        <v/>
      </c>
    </row>
    <row r="2492" spans="1:30" s="351" customFormat="1" ht="15.75" hidden="1" customHeight="1">
      <c r="A2492" s="336" t="str">
        <f>IF(B2492&lt;&gt;"",IF(AND(B2492='IN-TC'!$S$4,OR(TH!N2492="1111",TH!O2492="1111")),TH!D2492,""),"")</f>
        <v/>
      </c>
      <c r="B2492" s="63" t="str">
        <f t="shared" si="293"/>
        <v/>
      </c>
      <c r="C2492" s="64"/>
      <c r="D2492" s="64"/>
      <c r="E2492" s="64"/>
      <c r="F2492" s="67"/>
      <c r="G2492" s="67"/>
      <c r="H2492" s="73"/>
      <c r="I2492" s="439"/>
      <c r="J2492" s="439"/>
      <c r="K2492" s="430"/>
      <c r="L2492" s="439"/>
      <c r="M2492" s="65"/>
      <c r="N2492" s="66"/>
      <c r="O2492" s="66"/>
      <c r="P2492" s="84" t="str">
        <f>IF(AND('331-CT'!$E$7=TH!H2492,OR(N2492="331",O2492="331")),"x","")</f>
        <v/>
      </c>
      <c r="Q2492" s="84" t="str">
        <f>IF(AND(B2492='111'!$L$11,OR($N2492=$Q$7,$O2492=$Q$7)),"x","")</f>
        <v/>
      </c>
      <c r="R2492" s="84" t="str">
        <f>IF(AND($N2492=$Q$7,$B2492&lt;'111'!$L$11),"x","")</f>
        <v/>
      </c>
      <c r="S2492" s="84" t="str">
        <f>IF(AND($O2492=$Q$7,$B2492&lt;'111'!$L$11),"x","")</f>
        <v/>
      </c>
      <c r="T2492" s="84" t="str">
        <f>IF(ISERROR(FIND('112'!$M$9,G2492,1)),"",IF((AND(FIND('112'!$M$9,G2492,1)&gt;=1,B2492='112'!$K$9,OR($N2492='112'!$I$6,$O2492='112'!$I$6))),"x",""))</f>
        <v/>
      </c>
      <c r="U2492" s="84" t="str">
        <f>IF(ISERROR(FIND('112'!$M$9,G2492,1)),"",IF((AND(LEFT(G2492,2)=LEFT('112'!$M$9,2),B2492&lt;'112'!$K$9,$N2492='112'!$I$6)),"x",""))</f>
        <v/>
      </c>
      <c r="V2492" s="84" t="str">
        <f>IF(ISERROR(FIND('112'!$M$9,G2492,1)),"",IF((AND(RIGHT(G2492,2)=RIGHT('112'!$M$9,2),B2492&lt;'112'!$K$9,$O2492='112'!$I$6)),"x",""))</f>
        <v/>
      </c>
      <c r="W2492" s="84" t="str">
        <f>IF(AND('341-CT'!$H$9=H2492,OR(LEFT(N2492,3)=$W$7,LEFT(O2492,3)=$W$7)),"x","")</f>
        <v/>
      </c>
      <c r="X2492" s="84" t="str">
        <f>IF(OR(TH!N2492=TH!$X$7,O2492=TH!$X$7),"x","")</f>
        <v/>
      </c>
      <c r="Y2492" s="84" t="str">
        <f>IF(AND(OR(N2492="131",O2492="131"),H2492='131-CT'!$H$9),"x","")</f>
        <v/>
      </c>
      <c r="Z2492" s="84"/>
      <c r="AA2492" s="84" t="str">
        <f>IF(AND(MONTH(E2492)='IN-NX'!$J$5,'IN-NX'!$D$7=D2492),"x","")</f>
        <v/>
      </c>
      <c r="AB2492" s="84" t="str">
        <f>IF(AND(OR(LEFT(TH!N2492,2)="15",LEFT(TH!O2492,2)="15"),LEFT(TH!O2492,3)&lt;&gt;"111",'152-CT'!$J$8=TH!F2492),"x","")</f>
        <v/>
      </c>
      <c r="AC2492" s="84" t="str">
        <f>IF(AND(OR(LEFT(TH!N2492,2)="15",LEFT(TH!O2492,2)="15"),TK!$E$7=TH!F2492),"x","")</f>
        <v/>
      </c>
      <c r="AD2492" s="84" t="str">
        <f>IF(AND(N2492="1521",MONTH(C2492)='BK-NL'!$M$11),"x","")</f>
        <v/>
      </c>
    </row>
    <row r="2493" spans="1:30" s="351" customFormat="1" ht="15.75" hidden="1" customHeight="1">
      <c r="A2493" s="336" t="str">
        <f>IF(B2493&lt;&gt;"",IF(AND(B2493='IN-TC'!$S$4,OR(TH!N2493="1111",TH!O2493="1111")),TH!D2493,""),"")</f>
        <v/>
      </c>
      <c r="B2493" s="63" t="str">
        <f t="shared" si="293"/>
        <v/>
      </c>
      <c r="C2493" s="64"/>
      <c r="D2493" s="64"/>
      <c r="E2493" s="64"/>
      <c r="F2493" s="67"/>
      <c r="G2493" s="67"/>
      <c r="H2493" s="73"/>
      <c r="I2493" s="439"/>
      <c r="J2493" s="439"/>
      <c r="K2493" s="430"/>
      <c r="L2493" s="439"/>
      <c r="M2493" s="65"/>
      <c r="N2493" s="66"/>
      <c r="O2493" s="66"/>
      <c r="P2493" s="84" t="str">
        <f>IF(AND('331-CT'!$E$7=TH!H2493,OR(N2493="331",O2493="331")),"x","")</f>
        <v/>
      </c>
      <c r="Q2493" s="84" t="str">
        <f>IF(AND(B2493='111'!$L$11,OR($N2493=$Q$7,$O2493=$Q$7)),"x","")</f>
        <v/>
      </c>
      <c r="R2493" s="84" t="str">
        <f>IF(AND($N2493=$Q$7,$B2493&lt;'111'!$L$11),"x","")</f>
        <v/>
      </c>
      <c r="S2493" s="84" t="str">
        <f>IF(AND($O2493=$Q$7,$B2493&lt;'111'!$L$11),"x","")</f>
        <v/>
      </c>
      <c r="T2493" s="84" t="str">
        <f>IF(ISERROR(FIND('112'!$M$9,G2493,1)),"",IF((AND(FIND('112'!$M$9,G2493,1)&gt;=1,B2493='112'!$K$9,OR($N2493='112'!$I$6,$O2493='112'!$I$6))),"x",""))</f>
        <v/>
      </c>
      <c r="U2493" s="84" t="str">
        <f>IF(ISERROR(FIND('112'!$M$9,G2493,1)),"",IF((AND(LEFT(G2493,2)=LEFT('112'!$M$9,2),B2493&lt;'112'!$K$9,$N2493='112'!$I$6)),"x",""))</f>
        <v/>
      </c>
      <c r="V2493" s="84" t="str">
        <f>IF(ISERROR(FIND('112'!$M$9,G2493,1)),"",IF((AND(RIGHT(G2493,2)=RIGHT('112'!$M$9,2),B2493&lt;'112'!$K$9,$O2493='112'!$I$6)),"x",""))</f>
        <v/>
      </c>
      <c r="W2493" s="84" t="str">
        <f>IF(AND('341-CT'!$H$9=H2493,OR(LEFT(N2493,3)=$W$7,LEFT(O2493,3)=$W$7)),"x","")</f>
        <v/>
      </c>
      <c r="X2493" s="84" t="str">
        <f>IF(OR(TH!N2493=TH!$X$7,O2493=TH!$X$7),"x","")</f>
        <v/>
      </c>
      <c r="Y2493" s="84" t="str">
        <f>IF(AND(OR(N2493="131",O2493="131"),H2493='131-CT'!$H$9),"x","")</f>
        <v/>
      </c>
      <c r="Z2493" s="84"/>
      <c r="AA2493" s="84" t="str">
        <f>IF(AND(MONTH(E2493)='IN-NX'!$J$5,'IN-NX'!$D$7=D2493),"x","")</f>
        <v/>
      </c>
      <c r="AB2493" s="84" t="str">
        <f>IF(AND(OR(LEFT(TH!N2493,2)="15",LEFT(TH!O2493,2)="15"),LEFT(TH!O2493,3)&lt;&gt;"111",'152-CT'!$J$8=TH!F2493),"x","")</f>
        <v/>
      </c>
      <c r="AC2493" s="84" t="str">
        <f>IF(AND(OR(LEFT(TH!N2493,2)="15",LEFT(TH!O2493,2)="15"),TK!$E$7=TH!F2493),"x","")</f>
        <v/>
      </c>
      <c r="AD2493" s="84" t="str">
        <f>IF(AND(N2493="1521",MONTH(C2493)='BK-NL'!$M$11),"x","")</f>
        <v/>
      </c>
    </row>
    <row r="2494" spans="1:30" s="351" customFormat="1" ht="15.75" hidden="1" customHeight="1">
      <c r="A2494" s="336" t="str">
        <f>IF(B2494&lt;&gt;"",IF(AND(B2494='IN-TC'!$S$4,OR(TH!N2494="1111",TH!O2494="1111")),TH!D2494,""),"")</f>
        <v/>
      </c>
      <c r="B2494" s="63" t="str">
        <f t="shared" si="293"/>
        <v/>
      </c>
      <c r="C2494" s="64"/>
      <c r="D2494" s="64"/>
      <c r="E2494" s="64"/>
      <c r="F2494" s="67"/>
      <c r="G2494" s="67"/>
      <c r="H2494" s="73"/>
      <c r="I2494" s="439"/>
      <c r="J2494" s="439"/>
      <c r="K2494" s="430"/>
      <c r="L2494" s="439"/>
      <c r="M2494" s="65"/>
      <c r="N2494" s="66"/>
      <c r="O2494" s="66"/>
      <c r="P2494" s="84" t="str">
        <f>IF(AND('331-CT'!$E$7=TH!H2494,OR(N2494="331",O2494="331")),"x","")</f>
        <v/>
      </c>
      <c r="Q2494" s="84" t="str">
        <f>IF(AND(B2494='111'!$L$11,OR($N2494=$Q$7,$O2494=$Q$7)),"x","")</f>
        <v/>
      </c>
      <c r="R2494" s="84" t="str">
        <f>IF(AND($N2494=$Q$7,$B2494&lt;'111'!$L$11),"x","")</f>
        <v/>
      </c>
      <c r="S2494" s="84" t="str">
        <f>IF(AND($O2494=$Q$7,$B2494&lt;'111'!$L$11),"x","")</f>
        <v/>
      </c>
      <c r="T2494" s="84" t="str">
        <f>IF(ISERROR(FIND('112'!$M$9,G2494,1)),"",IF((AND(FIND('112'!$M$9,G2494,1)&gt;=1,B2494='112'!$K$9,OR($N2494='112'!$I$6,$O2494='112'!$I$6))),"x",""))</f>
        <v/>
      </c>
      <c r="U2494" s="84" t="str">
        <f>IF(ISERROR(FIND('112'!$M$9,G2494,1)),"",IF((AND(LEFT(G2494,2)=LEFT('112'!$M$9,2),B2494&lt;'112'!$K$9,$N2494='112'!$I$6)),"x",""))</f>
        <v/>
      </c>
      <c r="V2494" s="84" t="str">
        <f>IF(ISERROR(FIND('112'!$M$9,G2494,1)),"",IF((AND(RIGHT(G2494,2)=RIGHT('112'!$M$9,2),B2494&lt;'112'!$K$9,$O2494='112'!$I$6)),"x",""))</f>
        <v/>
      </c>
      <c r="W2494" s="84" t="str">
        <f>IF(AND('341-CT'!$H$9=H2494,OR(LEFT(N2494,3)=$W$7,LEFT(O2494,3)=$W$7)),"x","")</f>
        <v/>
      </c>
      <c r="X2494" s="84" t="str">
        <f>IF(OR(TH!N2494=TH!$X$7,O2494=TH!$X$7),"x","")</f>
        <v/>
      </c>
      <c r="Y2494" s="84" t="str">
        <f>IF(AND(OR(N2494="131",O2494="131"),H2494='131-CT'!$H$9),"x","")</f>
        <v/>
      </c>
      <c r="Z2494" s="84"/>
      <c r="AA2494" s="84" t="str">
        <f>IF(AND(MONTH(E2494)='IN-NX'!$J$5,'IN-NX'!$D$7=D2494),"x","")</f>
        <v/>
      </c>
      <c r="AB2494" s="84" t="str">
        <f>IF(AND(OR(LEFT(TH!N2494,2)="15",LEFT(TH!O2494,2)="15"),LEFT(TH!O2494,3)&lt;&gt;"111",'152-CT'!$J$8=TH!F2494),"x","")</f>
        <v/>
      </c>
      <c r="AC2494" s="84" t="str">
        <f>IF(AND(OR(LEFT(TH!N2494,2)="15",LEFT(TH!O2494,2)="15"),TK!$E$7=TH!F2494),"x","")</f>
        <v/>
      </c>
      <c r="AD2494" s="84" t="str">
        <f>IF(AND(N2494="1521",MONTH(C2494)='BK-NL'!$M$11),"x","")</f>
        <v/>
      </c>
    </row>
    <row r="2495" spans="1:30" s="351" customFormat="1" ht="15.75" hidden="1" customHeight="1">
      <c r="A2495" s="336" t="str">
        <f>IF(B2495&lt;&gt;"",IF(AND(B2495='IN-TC'!$S$4,OR(TH!N2495="1111",TH!O2495="1111")),TH!D2495,""),"")</f>
        <v/>
      </c>
      <c r="B2495" s="63" t="str">
        <f t="shared" si="293"/>
        <v/>
      </c>
      <c r="C2495" s="64"/>
      <c r="D2495" s="64"/>
      <c r="E2495" s="64"/>
      <c r="F2495" s="67"/>
      <c r="G2495" s="67"/>
      <c r="H2495" s="73"/>
      <c r="I2495" s="439"/>
      <c r="J2495" s="439"/>
      <c r="K2495" s="430"/>
      <c r="L2495" s="439"/>
      <c r="M2495" s="65"/>
      <c r="N2495" s="66"/>
      <c r="O2495" s="66"/>
      <c r="P2495" s="84" t="str">
        <f>IF(AND('331-CT'!$E$7=TH!H2495,OR(N2495="331",O2495="331")),"x","")</f>
        <v/>
      </c>
      <c r="Q2495" s="84" t="str">
        <f>IF(AND(B2495='111'!$L$11,OR($N2495=$Q$7,$O2495=$Q$7)),"x","")</f>
        <v/>
      </c>
      <c r="R2495" s="84" t="str">
        <f>IF(AND($N2495=$Q$7,$B2495&lt;'111'!$L$11),"x","")</f>
        <v/>
      </c>
      <c r="S2495" s="84" t="str">
        <f>IF(AND($O2495=$Q$7,$B2495&lt;'111'!$L$11),"x","")</f>
        <v/>
      </c>
      <c r="T2495" s="84" t="str">
        <f>IF(ISERROR(FIND('112'!$M$9,G2495,1)),"",IF((AND(FIND('112'!$M$9,G2495,1)&gt;=1,B2495='112'!$K$9,OR($N2495='112'!$I$6,$O2495='112'!$I$6))),"x",""))</f>
        <v/>
      </c>
      <c r="U2495" s="84" t="str">
        <f>IF(ISERROR(FIND('112'!$M$9,G2495,1)),"",IF((AND(LEFT(G2495,2)=LEFT('112'!$M$9,2),B2495&lt;'112'!$K$9,$N2495='112'!$I$6)),"x",""))</f>
        <v/>
      </c>
      <c r="V2495" s="84" t="str">
        <f>IF(ISERROR(FIND('112'!$M$9,G2495,1)),"",IF((AND(RIGHT(G2495,2)=RIGHT('112'!$M$9,2),B2495&lt;'112'!$K$9,$O2495='112'!$I$6)),"x",""))</f>
        <v/>
      </c>
      <c r="W2495" s="84" t="str">
        <f>IF(AND('341-CT'!$H$9=H2495,OR(LEFT(N2495,3)=$W$7,LEFT(O2495,3)=$W$7)),"x","")</f>
        <v/>
      </c>
      <c r="X2495" s="84" t="str">
        <f>IF(OR(TH!N2495=TH!$X$7,O2495=TH!$X$7),"x","")</f>
        <v/>
      </c>
      <c r="Y2495" s="84" t="str">
        <f>IF(AND(OR(N2495="131",O2495="131"),H2495='131-CT'!$H$9),"x","")</f>
        <v/>
      </c>
      <c r="Z2495" s="84"/>
      <c r="AA2495" s="84" t="str">
        <f>IF(AND(MONTH(E2495)='IN-NX'!$J$5,'IN-NX'!$D$7=D2495),"x","")</f>
        <v/>
      </c>
      <c r="AB2495" s="84" t="str">
        <f>IF(AND(OR(LEFT(TH!N2495,2)="15",LEFT(TH!O2495,2)="15"),LEFT(TH!O2495,3)&lt;&gt;"111",'152-CT'!$J$8=TH!F2495),"x","")</f>
        <v/>
      </c>
      <c r="AC2495" s="84" t="str">
        <f>IF(AND(OR(LEFT(TH!N2495,2)="15",LEFT(TH!O2495,2)="15"),TK!$E$7=TH!F2495),"x","")</f>
        <v/>
      </c>
      <c r="AD2495" s="84" t="str">
        <f>IF(AND(N2495="1521",MONTH(C2495)='BK-NL'!$M$11),"x","")</f>
        <v/>
      </c>
    </row>
    <row r="2496" spans="1:30" s="351" customFormat="1" ht="15.75" hidden="1" customHeight="1">
      <c r="A2496" s="336" t="str">
        <f>IF(B2496&lt;&gt;"",IF(AND(B2496='IN-TC'!$S$4,OR(TH!N2496="1111",TH!O2496="1111")),TH!D2496,""),"")</f>
        <v/>
      </c>
      <c r="B2496" s="63" t="str">
        <f t="shared" si="293"/>
        <v/>
      </c>
      <c r="C2496" s="64"/>
      <c r="D2496" s="64"/>
      <c r="E2496" s="64"/>
      <c r="F2496" s="67"/>
      <c r="G2496" s="67"/>
      <c r="H2496" s="73"/>
      <c r="I2496" s="439"/>
      <c r="J2496" s="439"/>
      <c r="K2496" s="430"/>
      <c r="L2496" s="439"/>
      <c r="M2496" s="65"/>
      <c r="N2496" s="66"/>
      <c r="O2496" s="66"/>
      <c r="P2496" s="84" t="str">
        <f>IF(AND('331-CT'!$E$7=TH!H2496,OR(N2496="331",O2496="331")),"x","")</f>
        <v/>
      </c>
      <c r="Q2496" s="84" t="str">
        <f>IF(AND(B2496='111'!$L$11,OR($N2496=$Q$7,$O2496=$Q$7)),"x","")</f>
        <v/>
      </c>
      <c r="R2496" s="84" t="str">
        <f>IF(AND($N2496=$Q$7,$B2496&lt;'111'!$L$11),"x","")</f>
        <v/>
      </c>
      <c r="S2496" s="84" t="str">
        <f>IF(AND($O2496=$Q$7,$B2496&lt;'111'!$L$11),"x","")</f>
        <v/>
      </c>
      <c r="T2496" s="84" t="str">
        <f>IF(ISERROR(FIND('112'!$M$9,G2496,1)),"",IF((AND(FIND('112'!$M$9,G2496,1)&gt;=1,B2496='112'!$K$9,OR($N2496='112'!$I$6,$O2496='112'!$I$6))),"x",""))</f>
        <v/>
      </c>
      <c r="U2496" s="84" t="str">
        <f>IF(ISERROR(FIND('112'!$M$9,G2496,1)),"",IF((AND(LEFT(G2496,2)=LEFT('112'!$M$9,2),B2496&lt;'112'!$K$9,$N2496='112'!$I$6)),"x",""))</f>
        <v/>
      </c>
      <c r="V2496" s="84" t="str">
        <f>IF(ISERROR(FIND('112'!$M$9,G2496,1)),"",IF((AND(RIGHT(G2496,2)=RIGHT('112'!$M$9,2),B2496&lt;'112'!$K$9,$O2496='112'!$I$6)),"x",""))</f>
        <v/>
      </c>
      <c r="W2496" s="84" t="str">
        <f>IF(AND('341-CT'!$H$9=H2496,OR(LEFT(N2496,3)=$W$7,LEFT(O2496,3)=$W$7)),"x","")</f>
        <v/>
      </c>
      <c r="X2496" s="84" t="str">
        <f>IF(OR(TH!N2496=TH!$X$7,O2496=TH!$X$7),"x","")</f>
        <v/>
      </c>
      <c r="Y2496" s="84" t="str">
        <f>IF(AND(OR(N2496="131",O2496="131"),H2496='131-CT'!$H$9),"x","")</f>
        <v/>
      </c>
      <c r="Z2496" s="84"/>
      <c r="AA2496" s="84" t="str">
        <f>IF(AND(MONTH(E2496)='IN-NX'!$J$5,'IN-NX'!$D$7=D2496),"x","")</f>
        <v/>
      </c>
      <c r="AB2496" s="84" t="str">
        <f>IF(AND(OR(LEFT(TH!N2496,2)="15",LEFT(TH!O2496,2)="15"),LEFT(TH!O2496,3)&lt;&gt;"111",'152-CT'!$J$8=TH!F2496),"x","")</f>
        <v/>
      </c>
      <c r="AC2496" s="84" t="str">
        <f>IF(AND(OR(LEFT(TH!N2496,2)="15",LEFT(TH!O2496,2)="15"),TK!$E$7=TH!F2496),"x","")</f>
        <v/>
      </c>
      <c r="AD2496" s="84" t="str">
        <f>IF(AND(N2496="1521",MONTH(C2496)='BK-NL'!$M$11),"x","")</f>
        <v/>
      </c>
    </row>
    <row r="2497" spans="1:30" s="351" customFormat="1" ht="15.75" hidden="1" customHeight="1">
      <c r="A2497" s="336" t="str">
        <f>IF(B2497&lt;&gt;"",IF(AND(B2497='IN-TC'!$S$4,OR(TH!N2497="1111",TH!O2497="1111")),TH!D2497,""),"")</f>
        <v/>
      </c>
      <c r="B2497" s="63" t="str">
        <f t="shared" si="293"/>
        <v/>
      </c>
      <c r="C2497" s="64"/>
      <c r="D2497" s="64"/>
      <c r="E2497" s="64"/>
      <c r="F2497" s="67"/>
      <c r="G2497" s="67"/>
      <c r="H2497" s="73"/>
      <c r="I2497" s="439"/>
      <c r="J2497" s="439"/>
      <c r="K2497" s="430"/>
      <c r="L2497" s="439"/>
      <c r="M2497" s="65"/>
      <c r="N2497" s="66"/>
      <c r="O2497" s="66"/>
      <c r="P2497" s="84" t="str">
        <f>IF(AND('331-CT'!$E$7=TH!H2497,OR(N2497="331",O2497="331")),"x","")</f>
        <v/>
      </c>
      <c r="Q2497" s="84" t="str">
        <f>IF(AND(B2497='111'!$L$11,OR($N2497=$Q$7,$O2497=$Q$7)),"x","")</f>
        <v/>
      </c>
      <c r="R2497" s="84" t="str">
        <f>IF(AND($N2497=$Q$7,$B2497&lt;'111'!$L$11),"x","")</f>
        <v/>
      </c>
      <c r="S2497" s="84" t="str">
        <f>IF(AND($O2497=$Q$7,$B2497&lt;'111'!$L$11),"x","")</f>
        <v/>
      </c>
      <c r="T2497" s="84" t="str">
        <f>IF(ISERROR(FIND('112'!$M$9,G2497,1)),"",IF((AND(FIND('112'!$M$9,G2497,1)&gt;=1,B2497='112'!$K$9,OR($N2497='112'!$I$6,$O2497='112'!$I$6))),"x",""))</f>
        <v/>
      </c>
      <c r="U2497" s="84" t="str">
        <f>IF(ISERROR(FIND('112'!$M$9,G2497,1)),"",IF((AND(LEFT(G2497,2)=LEFT('112'!$M$9,2),B2497&lt;'112'!$K$9,$N2497='112'!$I$6)),"x",""))</f>
        <v/>
      </c>
      <c r="V2497" s="84" t="str">
        <f>IF(ISERROR(FIND('112'!$M$9,G2497,1)),"",IF((AND(RIGHT(G2497,2)=RIGHT('112'!$M$9,2),B2497&lt;'112'!$K$9,$O2497='112'!$I$6)),"x",""))</f>
        <v/>
      </c>
      <c r="W2497" s="84" t="str">
        <f>IF(AND('341-CT'!$H$9=H2497,OR(LEFT(N2497,3)=$W$7,LEFT(O2497,3)=$W$7)),"x","")</f>
        <v/>
      </c>
      <c r="X2497" s="84" t="str">
        <f>IF(OR(TH!N2497=TH!$X$7,O2497=TH!$X$7),"x","")</f>
        <v/>
      </c>
      <c r="Y2497" s="84" t="str">
        <f>IF(AND(OR(N2497="131",O2497="131"),H2497='131-CT'!$H$9),"x","")</f>
        <v/>
      </c>
      <c r="Z2497" s="84"/>
      <c r="AA2497" s="84" t="str">
        <f>IF(AND(MONTH(E2497)='IN-NX'!$J$5,'IN-NX'!$D$7=D2497),"x","")</f>
        <v/>
      </c>
      <c r="AB2497" s="84" t="str">
        <f>IF(AND(OR(LEFT(TH!N2497,2)="15",LEFT(TH!O2497,2)="15"),LEFT(TH!O2497,3)&lt;&gt;"111",'152-CT'!$J$8=TH!F2497),"x","")</f>
        <v/>
      </c>
      <c r="AC2497" s="84" t="str">
        <f>IF(AND(OR(LEFT(TH!N2497,2)="15",LEFT(TH!O2497,2)="15"),TK!$E$7=TH!F2497),"x","")</f>
        <v/>
      </c>
      <c r="AD2497" s="84" t="str">
        <f>IF(AND(N2497="1521",MONTH(C2497)='BK-NL'!$M$11),"x","")</f>
        <v/>
      </c>
    </row>
    <row r="2498" spans="1:30" s="351" customFormat="1" ht="15.75" hidden="1" customHeight="1">
      <c r="A2498" s="336" t="str">
        <f>IF(B2498&lt;&gt;"",IF(AND(B2498='IN-TC'!$S$4,OR(TH!N2498="1111",TH!O2498="1111")),TH!D2498,""),"")</f>
        <v/>
      </c>
      <c r="B2498" s="63" t="str">
        <f t="shared" si="293"/>
        <v/>
      </c>
      <c r="C2498" s="64"/>
      <c r="D2498" s="64"/>
      <c r="E2498" s="64"/>
      <c r="F2498" s="67"/>
      <c r="G2498" s="67"/>
      <c r="H2498" s="73"/>
      <c r="I2498" s="439"/>
      <c r="J2498" s="439"/>
      <c r="K2498" s="430"/>
      <c r="L2498" s="439"/>
      <c r="M2498" s="65"/>
      <c r="N2498" s="66"/>
      <c r="O2498" s="66"/>
      <c r="P2498" s="84" t="str">
        <f>IF(AND('331-CT'!$E$7=TH!H2498,OR(N2498="331",O2498="331")),"x","")</f>
        <v/>
      </c>
      <c r="Q2498" s="84" t="str">
        <f>IF(AND(B2498='111'!$L$11,OR($N2498=$Q$7,$O2498=$Q$7)),"x","")</f>
        <v/>
      </c>
      <c r="R2498" s="84" t="str">
        <f>IF(AND($N2498=$Q$7,$B2498&lt;'111'!$L$11),"x","")</f>
        <v/>
      </c>
      <c r="S2498" s="84" t="str">
        <f>IF(AND($O2498=$Q$7,$B2498&lt;'111'!$L$11),"x","")</f>
        <v/>
      </c>
      <c r="T2498" s="84" t="str">
        <f>IF(ISERROR(FIND('112'!$M$9,G2498,1)),"",IF((AND(FIND('112'!$M$9,G2498,1)&gt;=1,B2498='112'!$K$9,OR($N2498='112'!$I$6,$O2498='112'!$I$6))),"x",""))</f>
        <v/>
      </c>
      <c r="U2498" s="84" t="str">
        <f>IF(ISERROR(FIND('112'!$M$9,G2498,1)),"",IF((AND(LEFT(G2498,2)=LEFT('112'!$M$9,2),B2498&lt;'112'!$K$9,$N2498='112'!$I$6)),"x",""))</f>
        <v/>
      </c>
      <c r="V2498" s="84" t="str">
        <f>IF(ISERROR(FIND('112'!$M$9,G2498,1)),"",IF((AND(RIGHT(G2498,2)=RIGHT('112'!$M$9,2),B2498&lt;'112'!$K$9,$O2498='112'!$I$6)),"x",""))</f>
        <v/>
      </c>
      <c r="W2498" s="84" t="str">
        <f>IF(AND('341-CT'!$H$9=H2498,OR(LEFT(N2498,3)=$W$7,LEFT(O2498,3)=$W$7)),"x","")</f>
        <v/>
      </c>
      <c r="X2498" s="84" t="str">
        <f>IF(OR(TH!N2498=TH!$X$7,O2498=TH!$X$7),"x","")</f>
        <v/>
      </c>
      <c r="Y2498" s="84" t="str">
        <f>IF(AND(OR(N2498="131",O2498="131"),H2498='131-CT'!$H$9),"x","")</f>
        <v/>
      </c>
      <c r="Z2498" s="84"/>
      <c r="AA2498" s="84" t="str">
        <f>IF(AND(MONTH(E2498)='IN-NX'!$J$5,'IN-NX'!$D$7=D2498),"x","")</f>
        <v/>
      </c>
      <c r="AB2498" s="84" t="str">
        <f>IF(AND(OR(LEFT(TH!N2498,2)="15",LEFT(TH!O2498,2)="15"),LEFT(TH!O2498,3)&lt;&gt;"111",'152-CT'!$J$8=TH!F2498),"x","")</f>
        <v/>
      </c>
      <c r="AC2498" s="84" t="str">
        <f>IF(AND(OR(LEFT(TH!N2498,2)="15",LEFT(TH!O2498,2)="15"),TK!$E$7=TH!F2498),"x","")</f>
        <v/>
      </c>
      <c r="AD2498" s="84" t="str">
        <f>IF(AND(N2498="1521",MONTH(C2498)='BK-NL'!$M$11),"x","")</f>
        <v/>
      </c>
    </row>
    <row r="2499" spans="1:30" s="351" customFormat="1" ht="15.75" hidden="1" customHeight="1">
      <c r="A2499" s="336" t="str">
        <f>IF(B2499&lt;&gt;"",IF(AND(B2499='IN-TC'!$S$4,OR(TH!N2499="1111",TH!O2499="1111")),TH!D2499,""),"")</f>
        <v/>
      </c>
      <c r="B2499" s="63" t="str">
        <f t="shared" si="293"/>
        <v/>
      </c>
      <c r="C2499" s="64"/>
      <c r="D2499" s="64"/>
      <c r="E2499" s="64"/>
      <c r="F2499" s="67"/>
      <c r="G2499" s="67"/>
      <c r="H2499" s="73"/>
      <c r="I2499" s="439"/>
      <c r="J2499" s="439"/>
      <c r="K2499" s="430"/>
      <c r="L2499" s="439"/>
      <c r="M2499" s="65"/>
      <c r="N2499" s="66"/>
      <c r="O2499" s="66"/>
      <c r="P2499" s="84" t="str">
        <f>IF(AND('331-CT'!$E$7=TH!H2499,OR(N2499="331",O2499="331")),"x","")</f>
        <v/>
      </c>
      <c r="Q2499" s="84" t="str">
        <f>IF(AND(B2499='111'!$L$11,OR($N2499=$Q$7,$O2499=$Q$7)),"x","")</f>
        <v/>
      </c>
      <c r="R2499" s="84" t="str">
        <f>IF(AND($N2499=$Q$7,$B2499&lt;'111'!$L$11),"x","")</f>
        <v/>
      </c>
      <c r="S2499" s="84" t="str">
        <f>IF(AND($O2499=$Q$7,$B2499&lt;'111'!$L$11),"x","")</f>
        <v/>
      </c>
      <c r="T2499" s="84" t="str">
        <f>IF(ISERROR(FIND('112'!$M$9,G2499,1)),"",IF((AND(FIND('112'!$M$9,G2499,1)&gt;=1,B2499='112'!$K$9,OR($N2499='112'!$I$6,$O2499='112'!$I$6))),"x",""))</f>
        <v/>
      </c>
      <c r="U2499" s="84" t="str">
        <f>IF(ISERROR(FIND('112'!$M$9,G2499,1)),"",IF((AND(LEFT(G2499,2)=LEFT('112'!$M$9,2),B2499&lt;'112'!$K$9,$N2499='112'!$I$6)),"x",""))</f>
        <v/>
      </c>
      <c r="V2499" s="84" t="str">
        <f>IF(ISERROR(FIND('112'!$M$9,G2499,1)),"",IF((AND(RIGHT(G2499,2)=RIGHT('112'!$M$9,2),B2499&lt;'112'!$K$9,$O2499='112'!$I$6)),"x",""))</f>
        <v/>
      </c>
      <c r="W2499" s="84" t="str">
        <f>IF(AND('341-CT'!$H$9=H2499,OR(LEFT(N2499,3)=$W$7,LEFT(O2499,3)=$W$7)),"x","")</f>
        <v/>
      </c>
      <c r="X2499" s="84" t="str">
        <f>IF(OR(TH!N2499=TH!$X$7,O2499=TH!$X$7),"x","")</f>
        <v/>
      </c>
      <c r="Y2499" s="84" t="str">
        <f>IF(AND(OR(N2499="131",O2499="131"),H2499='131-CT'!$H$9),"x","")</f>
        <v/>
      </c>
      <c r="Z2499" s="84"/>
      <c r="AA2499" s="84" t="str">
        <f>IF(AND(MONTH(E2499)='IN-NX'!$J$5,'IN-NX'!$D$7=D2499),"x","")</f>
        <v/>
      </c>
      <c r="AB2499" s="84" t="str">
        <f>IF(AND(OR(LEFT(TH!N2499,2)="15",LEFT(TH!O2499,2)="15"),LEFT(TH!O2499,3)&lt;&gt;"111",'152-CT'!$J$8=TH!F2499),"x","")</f>
        <v/>
      </c>
      <c r="AC2499" s="84" t="str">
        <f>IF(AND(OR(LEFT(TH!N2499,2)="15",LEFT(TH!O2499,2)="15"),TK!$E$7=TH!F2499),"x","")</f>
        <v/>
      </c>
      <c r="AD2499" s="84" t="str">
        <f>IF(AND(N2499="1521",MONTH(C2499)='BK-NL'!$M$11),"x","")</f>
        <v/>
      </c>
    </row>
    <row r="2500" spans="1:30" s="351" customFormat="1" ht="15.75" hidden="1" customHeight="1">
      <c r="A2500" s="336" t="str">
        <f>IF(B2500&lt;&gt;"",IF(AND(B2500='IN-TC'!$S$4,OR(TH!N2500="1111",TH!O2500="1111")),TH!D2500,""),"")</f>
        <v/>
      </c>
      <c r="B2500" s="63" t="str">
        <f t="shared" ref="B2500:B2531" si="294">IF(C2500&lt;&gt;"",MONTH(C2500),"")</f>
        <v/>
      </c>
      <c r="C2500" s="64"/>
      <c r="D2500" s="64"/>
      <c r="E2500" s="64"/>
      <c r="F2500" s="67"/>
      <c r="G2500" s="67"/>
      <c r="H2500" s="73"/>
      <c r="I2500" s="439"/>
      <c r="J2500" s="439"/>
      <c r="K2500" s="430"/>
      <c r="L2500" s="439"/>
      <c r="M2500" s="65"/>
      <c r="N2500" s="66"/>
      <c r="O2500" s="66"/>
      <c r="P2500" s="84" t="str">
        <f>IF(AND('331-CT'!$E$7=TH!H2500,OR(N2500="331",O2500="331")),"x","")</f>
        <v/>
      </c>
      <c r="Q2500" s="84" t="str">
        <f>IF(AND(B2500='111'!$L$11,OR($N2500=$Q$7,$O2500=$Q$7)),"x","")</f>
        <v/>
      </c>
      <c r="R2500" s="84" t="str">
        <f>IF(AND($N2500=$Q$7,$B2500&lt;'111'!$L$11),"x","")</f>
        <v/>
      </c>
      <c r="S2500" s="84" t="str">
        <f>IF(AND($O2500=$Q$7,$B2500&lt;'111'!$L$11),"x","")</f>
        <v/>
      </c>
      <c r="T2500" s="84" t="str">
        <f>IF(ISERROR(FIND('112'!$M$9,G2500,1)),"",IF((AND(FIND('112'!$M$9,G2500,1)&gt;=1,B2500='112'!$K$9,OR($N2500='112'!$I$6,$O2500='112'!$I$6))),"x",""))</f>
        <v/>
      </c>
      <c r="U2500" s="84" t="str">
        <f>IF(ISERROR(FIND('112'!$M$9,G2500,1)),"",IF((AND(LEFT(G2500,2)=LEFT('112'!$M$9,2),B2500&lt;'112'!$K$9,$N2500='112'!$I$6)),"x",""))</f>
        <v/>
      </c>
      <c r="V2500" s="84" t="str">
        <f>IF(ISERROR(FIND('112'!$M$9,G2500,1)),"",IF((AND(RIGHT(G2500,2)=RIGHT('112'!$M$9,2),B2500&lt;'112'!$K$9,$O2500='112'!$I$6)),"x",""))</f>
        <v/>
      </c>
      <c r="W2500" s="84" t="str">
        <f>IF(AND('341-CT'!$H$9=H2500,OR(LEFT(N2500,3)=$W$7,LEFT(O2500,3)=$W$7)),"x","")</f>
        <v/>
      </c>
      <c r="X2500" s="84" t="str">
        <f>IF(OR(TH!N2500=TH!$X$7,O2500=TH!$X$7),"x","")</f>
        <v/>
      </c>
      <c r="Y2500" s="84" t="str">
        <f>IF(AND(OR(N2500="131",O2500="131"),H2500='131-CT'!$H$9),"x","")</f>
        <v/>
      </c>
      <c r="Z2500" s="84"/>
      <c r="AA2500" s="84" t="str">
        <f>IF(AND(MONTH(E2500)='IN-NX'!$J$5,'IN-NX'!$D$7=D2500),"x","")</f>
        <v/>
      </c>
      <c r="AB2500" s="84" t="str">
        <f>IF(AND(OR(LEFT(TH!N2500,2)="15",LEFT(TH!O2500,2)="15"),LEFT(TH!O2500,3)&lt;&gt;"111",'152-CT'!$J$8=TH!F2500),"x","")</f>
        <v/>
      </c>
      <c r="AC2500" s="84" t="str">
        <f>IF(AND(OR(LEFT(TH!N2500,2)="15",LEFT(TH!O2500,2)="15"),TK!$E$7=TH!F2500),"x","")</f>
        <v/>
      </c>
      <c r="AD2500" s="84" t="str">
        <f>IF(AND(N2500="1521",MONTH(C2500)='BK-NL'!$M$11),"x","")</f>
        <v/>
      </c>
    </row>
    <row r="2501" spans="1:30" s="351" customFormat="1" ht="15.75" hidden="1" customHeight="1">
      <c r="A2501" s="336" t="str">
        <f>IF(B2501&lt;&gt;"",IF(AND(B2501='IN-TC'!$S$4,OR(TH!N2501="1111",TH!O2501="1111")),TH!D2501,""),"")</f>
        <v/>
      </c>
      <c r="B2501" s="63" t="str">
        <f t="shared" si="294"/>
        <v/>
      </c>
      <c r="C2501" s="64"/>
      <c r="D2501" s="64"/>
      <c r="E2501" s="64"/>
      <c r="F2501" s="67"/>
      <c r="G2501" s="67"/>
      <c r="H2501" s="73"/>
      <c r="I2501" s="439"/>
      <c r="J2501" s="439"/>
      <c r="K2501" s="430"/>
      <c r="L2501" s="439"/>
      <c r="M2501" s="65"/>
      <c r="N2501" s="66"/>
      <c r="O2501" s="66"/>
      <c r="P2501" s="84" t="str">
        <f>IF(AND('331-CT'!$E$7=TH!H2501,OR(N2501="331",O2501="331")),"x","")</f>
        <v/>
      </c>
      <c r="Q2501" s="84" t="str">
        <f>IF(AND(B2501='111'!$L$11,OR($N2501=$Q$7,$O2501=$Q$7)),"x","")</f>
        <v/>
      </c>
      <c r="R2501" s="84" t="str">
        <f>IF(AND($N2501=$Q$7,$B2501&lt;'111'!$L$11),"x","")</f>
        <v/>
      </c>
      <c r="S2501" s="84" t="str">
        <f>IF(AND($O2501=$Q$7,$B2501&lt;'111'!$L$11),"x","")</f>
        <v/>
      </c>
      <c r="T2501" s="84" t="str">
        <f>IF(ISERROR(FIND('112'!$M$9,G2501,1)),"",IF((AND(FIND('112'!$M$9,G2501,1)&gt;=1,B2501='112'!$K$9,OR($N2501='112'!$I$6,$O2501='112'!$I$6))),"x",""))</f>
        <v/>
      </c>
      <c r="U2501" s="84" t="str">
        <f>IF(ISERROR(FIND('112'!$M$9,G2501,1)),"",IF((AND(LEFT(G2501,2)=LEFT('112'!$M$9,2),B2501&lt;'112'!$K$9,$N2501='112'!$I$6)),"x",""))</f>
        <v/>
      </c>
      <c r="V2501" s="84" t="str">
        <f>IF(ISERROR(FIND('112'!$M$9,G2501,1)),"",IF((AND(RIGHT(G2501,2)=RIGHT('112'!$M$9,2),B2501&lt;'112'!$K$9,$O2501='112'!$I$6)),"x",""))</f>
        <v/>
      </c>
      <c r="W2501" s="84" t="str">
        <f>IF(AND('341-CT'!$H$9=H2501,OR(LEFT(N2501,3)=$W$7,LEFT(O2501,3)=$W$7)),"x","")</f>
        <v/>
      </c>
      <c r="X2501" s="84" t="str">
        <f>IF(OR(TH!N2501=TH!$X$7,O2501=TH!$X$7),"x","")</f>
        <v/>
      </c>
      <c r="Y2501" s="84" t="str">
        <f>IF(AND(OR(N2501="131",O2501="131"),H2501='131-CT'!$H$9),"x","")</f>
        <v/>
      </c>
      <c r="Z2501" s="84"/>
      <c r="AA2501" s="84" t="str">
        <f>IF(AND(MONTH(E2501)='IN-NX'!$J$5,'IN-NX'!$D$7=D2501),"x","")</f>
        <v/>
      </c>
      <c r="AB2501" s="84" t="str">
        <f>IF(AND(OR(LEFT(TH!N2501,2)="15",LEFT(TH!O2501,2)="15"),LEFT(TH!O2501,3)&lt;&gt;"111",'152-CT'!$J$8=TH!F2501),"x","")</f>
        <v/>
      </c>
      <c r="AC2501" s="84" t="str">
        <f>IF(AND(OR(LEFT(TH!N2501,2)="15",LEFT(TH!O2501,2)="15"),TK!$E$7=TH!F2501),"x","")</f>
        <v/>
      </c>
      <c r="AD2501" s="84" t="str">
        <f>IF(AND(N2501="1521",MONTH(C2501)='BK-NL'!$M$11),"x","")</f>
        <v/>
      </c>
    </row>
    <row r="2502" spans="1:30" s="351" customFormat="1" ht="15.75" hidden="1" customHeight="1">
      <c r="A2502" s="336" t="str">
        <f>IF(B2502&lt;&gt;"",IF(AND(B2502='IN-TC'!$S$4,OR(TH!N2502="1111",TH!O2502="1111")),TH!D2502,""),"")</f>
        <v/>
      </c>
      <c r="B2502" s="63" t="str">
        <f t="shared" si="294"/>
        <v/>
      </c>
      <c r="C2502" s="64"/>
      <c r="D2502" s="64"/>
      <c r="E2502" s="64"/>
      <c r="F2502" s="67"/>
      <c r="G2502" s="67"/>
      <c r="H2502" s="73"/>
      <c r="I2502" s="439"/>
      <c r="J2502" s="439"/>
      <c r="K2502" s="430"/>
      <c r="L2502" s="439"/>
      <c r="M2502" s="65"/>
      <c r="N2502" s="66"/>
      <c r="O2502" s="66"/>
      <c r="P2502" s="84" t="str">
        <f>IF(AND('331-CT'!$E$7=TH!H2502,OR(N2502="331",O2502="331")),"x","")</f>
        <v/>
      </c>
      <c r="Q2502" s="84" t="str">
        <f>IF(AND(B2502='111'!$L$11,OR($N2502=$Q$7,$O2502=$Q$7)),"x","")</f>
        <v/>
      </c>
      <c r="R2502" s="84" t="str">
        <f>IF(AND($N2502=$Q$7,$B2502&lt;'111'!$L$11),"x","")</f>
        <v/>
      </c>
      <c r="S2502" s="84" t="str">
        <f>IF(AND($O2502=$Q$7,$B2502&lt;'111'!$L$11),"x","")</f>
        <v/>
      </c>
      <c r="T2502" s="84" t="str">
        <f>IF(ISERROR(FIND('112'!$M$9,G2502,1)),"",IF((AND(FIND('112'!$M$9,G2502,1)&gt;=1,B2502='112'!$K$9,OR($N2502='112'!$I$6,$O2502='112'!$I$6))),"x",""))</f>
        <v/>
      </c>
      <c r="U2502" s="84" t="str">
        <f>IF(ISERROR(FIND('112'!$M$9,G2502,1)),"",IF((AND(LEFT(G2502,2)=LEFT('112'!$M$9,2),B2502&lt;'112'!$K$9,$N2502='112'!$I$6)),"x",""))</f>
        <v/>
      </c>
      <c r="V2502" s="84" t="str">
        <f>IF(ISERROR(FIND('112'!$M$9,G2502,1)),"",IF((AND(RIGHT(G2502,2)=RIGHT('112'!$M$9,2),B2502&lt;'112'!$K$9,$O2502='112'!$I$6)),"x",""))</f>
        <v/>
      </c>
      <c r="W2502" s="84" t="str">
        <f>IF(AND('341-CT'!$H$9=H2502,OR(LEFT(N2502,3)=$W$7,LEFT(O2502,3)=$W$7)),"x","")</f>
        <v/>
      </c>
      <c r="X2502" s="84" t="str">
        <f>IF(OR(TH!N2502=TH!$X$7,O2502=TH!$X$7),"x","")</f>
        <v/>
      </c>
      <c r="Y2502" s="84" t="str">
        <f>IF(AND(OR(N2502="131",O2502="131"),H2502='131-CT'!$H$9),"x","")</f>
        <v/>
      </c>
      <c r="Z2502" s="84"/>
      <c r="AA2502" s="84" t="str">
        <f>IF(AND(MONTH(E2502)='IN-NX'!$J$5,'IN-NX'!$D$7=D2502),"x","")</f>
        <v/>
      </c>
      <c r="AB2502" s="84" t="str">
        <f>IF(AND(OR(LEFT(TH!N2502,2)="15",LEFT(TH!O2502,2)="15"),LEFT(TH!O2502,3)&lt;&gt;"111",'152-CT'!$J$8=TH!F2502),"x","")</f>
        <v/>
      </c>
      <c r="AC2502" s="84" t="str">
        <f>IF(AND(OR(LEFT(TH!N2502,2)="15",LEFT(TH!O2502,2)="15"),TK!$E$7=TH!F2502),"x","")</f>
        <v/>
      </c>
      <c r="AD2502" s="84" t="str">
        <f>IF(AND(N2502="1521",MONTH(C2502)='BK-NL'!$M$11),"x","")</f>
        <v/>
      </c>
    </row>
    <row r="2503" spans="1:30" s="351" customFormat="1" ht="15.75" hidden="1" customHeight="1">
      <c r="A2503" s="336" t="str">
        <f>IF(B2503&lt;&gt;"",IF(AND(B2503='IN-TC'!$S$4,OR(TH!N2503="1111",TH!O2503="1111")),TH!D2503,""),"")</f>
        <v/>
      </c>
      <c r="B2503" s="63" t="str">
        <f t="shared" si="294"/>
        <v/>
      </c>
      <c r="C2503" s="64"/>
      <c r="D2503" s="64"/>
      <c r="E2503" s="64"/>
      <c r="F2503" s="67"/>
      <c r="G2503" s="67"/>
      <c r="H2503" s="73"/>
      <c r="I2503" s="439"/>
      <c r="J2503" s="439"/>
      <c r="K2503" s="430"/>
      <c r="L2503" s="439"/>
      <c r="M2503" s="65"/>
      <c r="N2503" s="66"/>
      <c r="O2503" s="66"/>
      <c r="P2503" s="84" t="str">
        <f>IF(AND('331-CT'!$E$7=TH!H2503,OR(N2503="331",O2503="331")),"x","")</f>
        <v/>
      </c>
      <c r="Q2503" s="84" t="str">
        <f>IF(AND(B2503='111'!$L$11,OR($N2503=$Q$7,$O2503=$Q$7)),"x","")</f>
        <v/>
      </c>
      <c r="R2503" s="84" t="str">
        <f>IF(AND($N2503=$Q$7,$B2503&lt;'111'!$L$11),"x","")</f>
        <v/>
      </c>
      <c r="S2503" s="84" t="str">
        <f>IF(AND($O2503=$Q$7,$B2503&lt;'111'!$L$11),"x","")</f>
        <v/>
      </c>
      <c r="T2503" s="84" t="str">
        <f>IF(ISERROR(FIND('112'!$M$9,G2503,1)),"",IF((AND(FIND('112'!$M$9,G2503,1)&gt;=1,B2503='112'!$K$9,OR($N2503='112'!$I$6,$O2503='112'!$I$6))),"x",""))</f>
        <v/>
      </c>
      <c r="U2503" s="84" t="str">
        <f>IF(ISERROR(FIND('112'!$M$9,G2503,1)),"",IF((AND(LEFT(G2503,2)=LEFT('112'!$M$9,2),B2503&lt;'112'!$K$9,$N2503='112'!$I$6)),"x",""))</f>
        <v/>
      </c>
      <c r="V2503" s="84" t="str">
        <f>IF(ISERROR(FIND('112'!$M$9,G2503,1)),"",IF((AND(RIGHT(G2503,2)=RIGHT('112'!$M$9,2),B2503&lt;'112'!$K$9,$O2503='112'!$I$6)),"x",""))</f>
        <v/>
      </c>
      <c r="W2503" s="84" t="str">
        <f>IF(AND('341-CT'!$H$9=H2503,OR(LEFT(N2503,3)=$W$7,LEFT(O2503,3)=$W$7)),"x","")</f>
        <v/>
      </c>
      <c r="X2503" s="84" t="str">
        <f>IF(OR(TH!N2503=TH!$X$7,O2503=TH!$X$7),"x","")</f>
        <v/>
      </c>
      <c r="Y2503" s="84" t="str">
        <f>IF(AND(OR(N2503="131",O2503="131"),H2503='131-CT'!$H$9),"x","")</f>
        <v/>
      </c>
      <c r="Z2503" s="84"/>
      <c r="AA2503" s="84" t="str">
        <f>IF(AND(MONTH(E2503)='IN-NX'!$J$5,'IN-NX'!$D$7=D2503),"x","")</f>
        <v/>
      </c>
      <c r="AB2503" s="84" t="str">
        <f>IF(AND(OR(LEFT(TH!N2503,2)="15",LEFT(TH!O2503,2)="15"),LEFT(TH!O2503,3)&lt;&gt;"111",'152-CT'!$J$8=TH!F2503),"x","")</f>
        <v/>
      </c>
      <c r="AC2503" s="84" t="str">
        <f>IF(AND(OR(LEFT(TH!N2503,2)="15",LEFT(TH!O2503,2)="15"),TK!$E$7=TH!F2503),"x","")</f>
        <v/>
      </c>
      <c r="AD2503" s="84" t="str">
        <f>IF(AND(N2503="1521",MONTH(C2503)='BK-NL'!$M$11),"x","")</f>
        <v/>
      </c>
    </row>
    <row r="2504" spans="1:30" s="351" customFormat="1" ht="15.75" hidden="1" customHeight="1">
      <c r="A2504" s="336" t="str">
        <f>IF(B2504&lt;&gt;"",IF(AND(B2504='IN-TC'!$S$4,OR(TH!N2504="1111",TH!O2504="1111")),TH!D2504,""),"")</f>
        <v/>
      </c>
      <c r="B2504" s="63" t="str">
        <f t="shared" si="294"/>
        <v/>
      </c>
      <c r="C2504" s="64"/>
      <c r="D2504" s="64"/>
      <c r="E2504" s="64"/>
      <c r="F2504" s="67"/>
      <c r="G2504" s="67"/>
      <c r="H2504" s="73"/>
      <c r="I2504" s="439"/>
      <c r="J2504" s="439"/>
      <c r="K2504" s="430"/>
      <c r="L2504" s="439"/>
      <c r="M2504" s="65"/>
      <c r="N2504" s="66"/>
      <c r="O2504" s="66"/>
      <c r="P2504" s="84" t="str">
        <f>IF(AND('331-CT'!$E$7=TH!H2504,OR(N2504="331",O2504="331")),"x","")</f>
        <v/>
      </c>
      <c r="Q2504" s="84" t="str">
        <f>IF(AND(B2504='111'!$L$11,OR($N2504=$Q$7,$O2504=$Q$7)),"x","")</f>
        <v/>
      </c>
      <c r="R2504" s="84" t="str">
        <f>IF(AND($N2504=$Q$7,$B2504&lt;'111'!$L$11),"x","")</f>
        <v/>
      </c>
      <c r="S2504" s="84" t="str">
        <f>IF(AND($O2504=$Q$7,$B2504&lt;'111'!$L$11),"x","")</f>
        <v/>
      </c>
      <c r="T2504" s="84" t="str">
        <f>IF(ISERROR(FIND('112'!$M$9,G2504,1)),"",IF((AND(FIND('112'!$M$9,G2504,1)&gt;=1,B2504='112'!$K$9,OR($N2504='112'!$I$6,$O2504='112'!$I$6))),"x",""))</f>
        <v/>
      </c>
      <c r="U2504" s="84" t="str">
        <f>IF(ISERROR(FIND('112'!$M$9,G2504,1)),"",IF((AND(LEFT(G2504,2)=LEFT('112'!$M$9,2),B2504&lt;'112'!$K$9,$N2504='112'!$I$6)),"x",""))</f>
        <v/>
      </c>
      <c r="V2504" s="84" t="str">
        <f>IF(ISERROR(FIND('112'!$M$9,G2504,1)),"",IF((AND(RIGHT(G2504,2)=RIGHT('112'!$M$9,2),B2504&lt;'112'!$K$9,$O2504='112'!$I$6)),"x",""))</f>
        <v/>
      </c>
      <c r="W2504" s="84" t="str">
        <f>IF(AND('341-CT'!$H$9=H2504,OR(LEFT(N2504,3)=$W$7,LEFT(O2504,3)=$W$7)),"x","")</f>
        <v/>
      </c>
      <c r="X2504" s="84" t="str">
        <f>IF(OR(TH!N2504=TH!$X$7,O2504=TH!$X$7),"x","")</f>
        <v/>
      </c>
      <c r="Y2504" s="84" t="str">
        <f>IF(AND(OR(N2504="131",O2504="131"),H2504='131-CT'!$H$9),"x","")</f>
        <v/>
      </c>
      <c r="Z2504" s="84"/>
      <c r="AA2504" s="84" t="str">
        <f>IF(AND(MONTH(E2504)='IN-NX'!$J$5,'IN-NX'!$D$7=D2504),"x","")</f>
        <v/>
      </c>
      <c r="AB2504" s="84" t="str">
        <f>IF(AND(OR(LEFT(TH!N2504,2)="15",LEFT(TH!O2504,2)="15"),LEFT(TH!O2504,3)&lt;&gt;"111",'152-CT'!$J$8=TH!F2504),"x","")</f>
        <v/>
      </c>
      <c r="AC2504" s="84" t="str">
        <f>IF(AND(OR(LEFT(TH!N2504,2)="15",LEFT(TH!O2504,2)="15"),TK!$E$7=TH!F2504),"x","")</f>
        <v/>
      </c>
      <c r="AD2504" s="84" t="str">
        <f>IF(AND(N2504="1521",MONTH(C2504)='BK-NL'!$M$11),"x","")</f>
        <v/>
      </c>
    </row>
    <row r="2505" spans="1:30" s="351" customFormat="1" ht="15.75" hidden="1" customHeight="1">
      <c r="A2505" s="336" t="str">
        <f>IF(B2505&lt;&gt;"",IF(AND(B2505='IN-TC'!$S$4,OR(TH!N2505="1111",TH!O2505="1111")),TH!D2505,""),"")</f>
        <v/>
      </c>
      <c r="B2505" s="63" t="str">
        <f t="shared" si="294"/>
        <v/>
      </c>
      <c r="C2505" s="64"/>
      <c r="D2505" s="64"/>
      <c r="E2505" s="64"/>
      <c r="F2505" s="67"/>
      <c r="G2505" s="67"/>
      <c r="H2505" s="73"/>
      <c r="I2505" s="439"/>
      <c r="J2505" s="439"/>
      <c r="K2505" s="430"/>
      <c r="L2505" s="439"/>
      <c r="M2505" s="65"/>
      <c r="N2505" s="66"/>
      <c r="O2505" s="66"/>
      <c r="P2505" s="84" t="str">
        <f>IF(AND('331-CT'!$E$7=TH!H2505,OR(N2505="331",O2505="331")),"x","")</f>
        <v/>
      </c>
      <c r="Q2505" s="84" t="str">
        <f>IF(AND(B2505='111'!$L$11,OR($N2505=$Q$7,$O2505=$Q$7)),"x","")</f>
        <v/>
      </c>
      <c r="R2505" s="84" t="str">
        <f>IF(AND($N2505=$Q$7,$B2505&lt;'111'!$L$11),"x","")</f>
        <v/>
      </c>
      <c r="S2505" s="84" t="str">
        <f>IF(AND($O2505=$Q$7,$B2505&lt;'111'!$L$11),"x","")</f>
        <v/>
      </c>
      <c r="T2505" s="84" t="str">
        <f>IF(ISERROR(FIND('112'!$M$9,G2505,1)),"",IF((AND(FIND('112'!$M$9,G2505,1)&gt;=1,B2505='112'!$K$9,OR($N2505='112'!$I$6,$O2505='112'!$I$6))),"x",""))</f>
        <v/>
      </c>
      <c r="U2505" s="84" t="str">
        <f>IF(ISERROR(FIND('112'!$M$9,G2505,1)),"",IF((AND(LEFT(G2505,2)=LEFT('112'!$M$9,2),B2505&lt;'112'!$K$9,$N2505='112'!$I$6)),"x",""))</f>
        <v/>
      </c>
      <c r="V2505" s="84" t="str">
        <f>IF(ISERROR(FIND('112'!$M$9,G2505,1)),"",IF((AND(RIGHT(G2505,2)=RIGHT('112'!$M$9,2),B2505&lt;'112'!$K$9,$O2505='112'!$I$6)),"x",""))</f>
        <v/>
      </c>
      <c r="W2505" s="84" t="str">
        <f>IF(AND('341-CT'!$H$9=H2505,OR(LEFT(N2505,3)=$W$7,LEFT(O2505,3)=$W$7)),"x","")</f>
        <v/>
      </c>
      <c r="X2505" s="84" t="str">
        <f>IF(OR(TH!N2505=TH!$X$7,O2505=TH!$X$7),"x","")</f>
        <v/>
      </c>
      <c r="Y2505" s="84" t="str">
        <f>IF(AND(OR(N2505="131",O2505="131"),H2505='131-CT'!$H$9),"x","")</f>
        <v/>
      </c>
      <c r="Z2505" s="84"/>
      <c r="AA2505" s="84" t="str">
        <f>IF(AND(MONTH(E2505)='IN-NX'!$J$5,'IN-NX'!$D$7=D2505),"x","")</f>
        <v/>
      </c>
      <c r="AB2505" s="84" t="str">
        <f>IF(AND(OR(LEFT(TH!N2505,2)="15",LEFT(TH!O2505,2)="15"),LEFT(TH!O2505,3)&lt;&gt;"111",'152-CT'!$J$8=TH!F2505),"x","")</f>
        <v/>
      </c>
      <c r="AC2505" s="84" t="str">
        <f>IF(AND(OR(LEFT(TH!N2505,2)="15",LEFT(TH!O2505,2)="15"),TK!$E$7=TH!F2505),"x","")</f>
        <v/>
      </c>
      <c r="AD2505" s="84" t="str">
        <f>IF(AND(N2505="1521",MONTH(C2505)='BK-NL'!$M$11),"x","")</f>
        <v/>
      </c>
    </row>
    <row r="2506" spans="1:30" s="351" customFormat="1" ht="15.75" hidden="1" customHeight="1">
      <c r="A2506" s="336" t="str">
        <f>IF(B2506&lt;&gt;"",IF(AND(B2506='IN-TC'!$S$4,OR(TH!N2506="1111",TH!O2506="1111")),TH!D2506,""),"")</f>
        <v/>
      </c>
      <c r="B2506" s="63" t="str">
        <f t="shared" si="294"/>
        <v/>
      </c>
      <c r="C2506" s="64"/>
      <c r="D2506" s="64"/>
      <c r="E2506" s="64"/>
      <c r="F2506" s="67"/>
      <c r="G2506" s="67"/>
      <c r="H2506" s="73"/>
      <c r="I2506" s="439"/>
      <c r="J2506" s="439"/>
      <c r="K2506" s="430"/>
      <c r="L2506" s="439"/>
      <c r="M2506" s="65"/>
      <c r="N2506" s="66"/>
      <c r="O2506" s="66"/>
      <c r="P2506" s="84" t="str">
        <f>IF(AND('331-CT'!$E$7=TH!H2506,OR(N2506="331",O2506="331")),"x","")</f>
        <v/>
      </c>
      <c r="Q2506" s="84" t="str">
        <f>IF(AND(B2506='111'!$L$11,OR($N2506=$Q$7,$O2506=$Q$7)),"x","")</f>
        <v/>
      </c>
      <c r="R2506" s="84" t="str">
        <f>IF(AND($N2506=$Q$7,$B2506&lt;'111'!$L$11),"x","")</f>
        <v/>
      </c>
      <c r="S2506" s="84" t="str">
        <f>IF(AND($O2506=$Q$7,$B2506&lt;'111'!$L$11),"x","")</f>
        <v/>
      </c>
      <c r="T2506" s="84" t="str">
        <f>IF(ISERROR(FIND('112'!$M$9,G2506,1)),"",IF((AND(FIND('112'!$M$9,G2506,1)&gt;=1,B2506='112'!$K$9,OR($N2506='112'!$I$6,$O2506='112'!$I$6))),"x",""))</f>
        <v/>
      </c>
      <c r="U2506" s="84" t="str">
        <f>IF(ISERROR(FIND('112'!$M$9,G2506,1)),"",IF((AND(LEFT(G2506,2)=LEFT('112'!$M$9,2),B2506&lt;'112'!$K$9,$N2506='112'!$I$6)),"x",""))</f>
        <v/>
      </c>
      <c r="V2506" s="84" t="str">
        <f>IF(ISERROR(FIND('112'!$M$9,G2506,1)),"",IF((AND(RIGHT(G2506,2)=RIGHT('112'!$M$9,2),B2506&lt;'112'!$K$9,$O2506='112'!$I$6)),"x",""))</f>
        <v/>
      </c>
      <c r="W2506" s="84" t="str">
        <f>IF(AND('341-CT'!$H$9=H2506,OR(LEFT(N2506,3)=$W$7,LEFT(O2506,3)=$W$7)),"x","")</f>
        <v/>
      </c>
      <c r="X2506" s="84" t="str">
        <f>IF(OR(TH!N2506=TH!$X$7,O2506=TH!$X$7),"x","")</f>
        <v/>
      </c>
      <c r="Y2506" s="84" t="str">
        <f>IF(AND(OR(N2506="131",O2506="131"),H2506='131-CT'!$H$9),"x","")</f>
        <v/>
      </c>
      <c r="Z2506" s="84"/>
      <c r="AA2506" s="84" t="str">
        <f>IF(AND(MONTH(E2506)='IN-NX'!$J$5,'IN-NX'!$D$7=D2506),"x","")</f>
        <v/>
      </c>
      <c r="AB2506" s="84" t="str">
        <f>IF(AND(OR(LEFT(TH!N2506,2)="15",LEFT(TH!O2506,2)="15"),LEFT(TH!O2506,3)&lt;&gt;"111",'152-CT'!$J$8=TH!F2506),"x","")</f>
        <v/>
      </c>
      <c r="AC2506" s="84" t="str">
        <f>IF(AND(OR(LEFT(TH!N2506,2)="15",LEFT(TH!O2506,2)="15"),TK!$E$7=TH!F2506),"x","")</f>
        <v/>
      </c>
      <c r="AD2506" s="84" t="str">
        <f>IF(AND(N2506="1521",MONTH(C2506)='BK-NL'!$M$11),"x","")</f>
        <v/>
      </c>
    </row>
    <row r="2507" spans="1:30" s="351" customFormat="1" ht="15.75" hidden="1" customHeight="1">
      <c r="A2507" s="336" t="str">
        <f>IF(B2507&lt;&gt;"",IF(AND(B2507='IN-TC'!$S$4,OR(TH!N2507="1111",TH!O2507="1111")),TH!D2507,""),"")</f>
        <v/>
      </c>
      <c r="B2507" s="63" t="str">
        <f t="shared" si="294"/>
        <v/>
      </c>
      <c r="C2507" s="64"/>
      <c r="D2507" s="64"/>
      <c r="E2507" s="64"/>
      <c r="F2507" s="67"/>
      <c r="G2507" s="67"/>
      <c r="H2507" s="73"/>
      <c r="I2507" s="439"/>
      <c r="J2507" s="439"/>
      <c r="K2507" s="430"/>
      <c r="L2507" s="439"/>
      <c r="M2507" s="65"/>
      <c r="N2507" s="66"/>
      <c r="O2507" s="66"/>
      <c r="P2507" s="84" t="str">
        <f>IF(AND('331-CT'!$E$7=TH!H2507,OR(N2507="331",O2507="331")),"x","")</f>
        <v/>
      </c>
      <c r="Q2507" s="84" t="str">
        <f>IF(AND(B2507='111'!$L$11,OR($N2507=$Q$7,$O2507=$Q$7)),"x","")</f>
        <v/>
      </c>
      <c r="R2507" s="84" t="str">
        <f>IF(AND($N2507=$Q$7,$B2507&lt;'111'!$L$11),"x","")</f>
        <v/>
      </c>
      <c r="S2507" s="84" t="str">
        <f>IF(AND($O2507=$Q$7,$B2507&lt;'111'!$L$11),"x","")</f>
        <v/>
      </c>
      <c r="T2507" s="84" t="str">
        <f>IF(ISERROR(FIND('112'!$M$9,G2507,1)),"",IF((AND(FIND('112'!$M$9,G2507,1)&gt;=1,B2507='112'!$K$9,OR($N2507='112'!$I$6,$O2507='112'!$I$6))),"x",""))</f>
        <v/>
      </c>
      <c r="U2507" s="84" t="str">
        <f>IF(ISERROR(FIND('112'!$M$9,G2507,1)),"",IF((AND(LEFT(G2507,2)=LEFT('112'!$M$9,2),B2507&lt;'112'!$K$9,$N2507='112'!$I$6)),"x",""))</f>
        <v/>
      </c>
      <c r="V2507" s="84" t="str">
        <f>IF(ISERROR(FIND('112'!$M$9,G2507,1)),"",IF((AND(RIGHT(G2507,2)=RIGHT('112'!$M$9,2),B2507&lt;'112'!$K$9,$O2507='112'!$I$6)),"x",""))</f>
        <v/>
      </c>
      <c r="W2507" s="84" t="str">
        <f>IF(AND('341-CT'!$H$9=H2507,OR(LEFT(N2507,3)=$W$7,LEFT(O2507,3)=$W$7)),"x","")</f>
        <v/>
      </c>
      <c r="X2507" s="84" t="str">
        <f>IF(OR(TH!N2507=TH!$X$7,O2507=TH!$X$7),"x","")</f>
        <v/>
      </c>
      <c r="Y2507" s="84" t="str">
        <f>IF(AND(OR(N2507="131",O2507="131"),H2507='131-CT'!$H$9),"x","")</f>
        <v/>
      </c>
      <c r="Z2507" s="84"/>
      <c r="AA2507" s="84" t="str">
        <f>IF(AND(MONTH(E2507)='IN-NX'!$J$5,'IN-NX'!$D$7=D2507),"x","")</f>
        <v/>
      </c>
      <c r="AB2507" s="84" t="str">
        <f>IF(AND(OR(LEFT(TH!N2507,2)="15",LEFT(TH!O2507,2)="15"),LEFT(TH!O2507,3)&lt;&gt;"111",'152-CT'!$J$8=TH!F2507),"x","")</f>
        <v/>
      </c>
      <c r="AC2507" s="84" t="str">
        <f>IF(AND(OR(LEFT(TH!N2507,2)="15",LEFT(TH!O2507,2)="15"),TK!$E$7=TH!F2507),"x","")</f>
        <v/>
      </c>
      <c r="AD2507" s="84" t="str">
        <f>IF(AND(N2507="1521",MONTH(C2507)='BK-NL'!$M$11),"x","")</f>
        <v/>
      </c>
    </row>
    <row r="2508" spans="1:30" s="351" customFormat="1" ht="15.75" hidden="1" customHeight="1">
      <c r="A2508" s="336" t="str">
        <f>IF(B2508&lt;&gt;"",IF(AND(B2508='IN-TC'!$S$4,OR(TH!N2508="1111",TH!O2508="1111")),TH!D2508,""),"")</f>
        <v/>
      </c>
      <c r="B2508" s="63" t="str">
        <f t="shared" si="294"/>
        <v/>
      </c>
      <c r="C2508" s="64"/>
      <c r="D2508" s="64"/>
      <c r="E2508" s="64"/>
      <c r="F2508" s="67"/>
      <c r="G2508" s="67"/>
      <c r="H2508" s="73"/>
      <c r="I2508" s="439"/>
      <c r="J2508" s="439"/>
      <c r="K2508" s="430"/>
      <c r="L2508" s="439"/>
      <c r="M2508" s="65"/>
      <c r="N2508" s="66"/>
      <c r="O2508" s="66"/>
      <c r="P2508" s="84" t="str">
        <f>IF(AND('331-CT'!$E$7=TH!H2508,OR(N2508="331",O2508="331")),"x","")</f>
        <v/>
      </c>
      <c r="Q2508" s="84" t="str">
        <f>IF(AND(B2508='111'!$L$11,OR($N2508=$Q$7,$O2508=$Q$7)),"x","")</f>
        <v/>
      </c>
      <c r="R2508" s="84" t="str">
        <f>IF(AND($N2508=$Q$7,$B2508&lt;'111'!$L$11),"x","")</f>
        <v/>
      </c>
      <c r="S2508" s="84" t="str">
        <f>IF(AND($O2508=$Q$7,$B2508&lt;'111'!$L$11),"x","")</f>
        <v/>
      </c>
      <c r="T2508" s="84" t="str">
        <f>IF(ISERROR(FIND('112'!$M$9,G2508,1)),"",IF((AND(FIND('112'!$M$9,G2508,1)&gt;=1,B2508='112'!$K$9,OR($N2508='112'!$I$6,$O2508='112'!$I$6))),"x",""))</f>
        <v/>
      </c>
      <c r="U2508" s="84" t="str">
        <f>IF(ISERROR(FIND('112'!$M$9,G2508,1)),"",IF((AND(LEFT(G2508,2)=LEFT('112'!$M$9,2),B2508&lt;'112'!$K$9,$N2508='112'!$I$6)),"x",""))</f>
        <v/>
      </c>
      <c r="V2508" s="84" t="str">
        <f>IF(ISERROR(FIND('112'!$M$9,G2508,1)),"",IF((AND(RIGHT(G2508,2)=RIGHT('112'!$M$9,2),B2508&lt;'112'!$K$9,$O2508='112'!$I$6)),"x",""))</f>
        <v/>
      </c>
      <c r="W2508" s="84" t="str">
        <f>IF(AND('341-CT'!$H$9=H2508,OR(LEFT(N2508,3)=$W$7,LEFT(O2508,3)=$W$7)),"x","")</f>
        <v/>
      </c>
      <c r="X2508" s="84" t="str">
        <f>IF(OR(TH!N2508=TH!$X$7,O2508=TH!$X$7),"x","")</f>
        <v/>
      </c>
      <c r="Y2508" s="84" t="str">
        <f>IF(AND(OR(N2508="131",O2508="131"),H2508='131-CT'!$H$9),"x","")</f>
        <v/>
      </c>
      <c r="Z2508" s="84"/>
      <c r="AA2508" s="84" t="str">
        <f>IF(AND(MONTH(E2508)='IN-NX'!$J$5,'IN-NX'!$D$7=D2508),"x","")</f>
        <v/>
      </c>
      <c r="AB2508" s="84" t="str">
        <f>IF(AND(OR(LEFT(TH!N2508,2)="15",LEFT(TH!O2508,2)="15"),LEFT(TH!O2508,3)&lt;&gt;"111",'152-CT'!$J$8=TH!F2508),"x","")</f>
        <v/>
      </c>
      <c r="AC2508" s="84" t="str">
        <f>IF(AND(OR(LEFT(TH!N2508,2)="15",LEFT(TH!O2508,2)="15"),TK!$E$7=TH!F2508),"x","")</f>
        <v/>
      </c>
      <c r="AD2508" s="84" t="str">
        <f>IF(AND(N2508="1521",MONTH(C2508)='BK-NL'!$M$11),"x","")</f>
        <v/>
      </c>
    </row>
    <row r="2509" spans="1:30" s="351" customFormat="1" ht="15.75" hidden="1" customHeight="1">
      <c r="A2509" s="336" t="str">
        <f>IF(B2509&lt;&gt;"",IF(AND(B2509='IN-TC'!$S$4,OR(TH!N2509="1111",TH!O2509="1111")),TH!D2509,""),"")</f>
        <v/>
      </c>
      <c r="B2509" s="63" t="str">
        <f t="shared" si="294"/>
        <v/>
      </c>
      <c r="C2509" s="64"/>
      <c r="D2509" s="64"/>
      <c r="E2509" s="64"/>
      <c r="F2509" s="67"/>
      <c r="G2509" s="67"/>
      <c r="H2509" s="73"/>
      <c r="I2509" s="439"/>
      <c r="J2509" s="439"/>
      <c r="K2509" s="430"/>
      <c r="L2509" s="439"/>
      <c r="M2509" s="65"/>
      <c r="N2509" s="66"/>
      <c r="O2509" s="66"/>
      <c r="P2509" s="84" t="str">
        <f>IF(AND('331-CT'!$E$7=TH!H2509,OR(N2509="331",O2509="331")),"x","")</f>
        <v/>
      </c>
      <c r="Q2509" s="84" t="str">
        <f>IF(AND(B2509='111'!$L$11,OR($N2509=$Q$7,$O2509=$Q$7)),"x","")</f>
        <v/>
      </c>
      <c r="R2509" s="84" t="str">
        <f>IF(AND($N2509=$Q$7,$B2509&lt;'111'!$L$11),"x","")</f>
        <v/>
      </c>
      <c r="S2509" s="84" t="str">
        <f>IF(AND($O2509=$Q$7,$B2509&lt;'111'!$L$11),"x","")</f>
        <v/>
      </c>
      <c r="T2509" s="84" t="str">
        <f>IF(ISERROR(FIND('112'!$M$9,G2509,1)),"",IF((AND(FIND('112'!$M$9,G2509,1)&gt;=1,B2509='112'!$K$9,OR($N2509='112'!$I$6,$O2509='112'!$I$6))),"x",""))</f>
        <v/>
      </c>
      <c r="U2509" s="84" t="str">
        <f>IF(ISERROR(FIND('112'!$M$9,G2509,1)),"",IF((AND(LEFT(G2509,2)=LEFT('112'!$M$9,2),B2509&lt;'112'!$K$9,$N2509='112'!$I$6)),"x",""))</f>
        <v/>
      </c>
      <c r="V2509" s="84" t="str">
        <f>IF(ISERROR(FIND('112'!$M$9,G2509,1)),"",IF((AND(RIGHT(G2509,2)=RIGHT('112'!$M$9,2),B2509&lt;'112'!$K$9,$O2509='112'!$I$6)),"x",""))</f>
        <v/>
      </c>
      <c r="W2509" s="84" t="str">
        <f>IF(AND('341-CT'!$H$9=H2509,OR(LEFT(N2509,3)=$W$7,LEFT(O2509,3)=$W$7)),"x","")</f>
        <v/>
      </c>
      <c r="X2509" s="84" t="str">
        <f>IF(OR(TH!N2509=TH!$X$7,O2509=TH!$X$7),"x","")</f>
        <v/>
      </c>
      <c r="Y2509" s="84" t="str">
        <f>IF(AND(OR(N2509="131",O2509="131"),H2509='131-CT'!$H$9),"x","")</f>
        <v/>
      </c>
      <c r="Z2509" s="84"/>
      <c r="AA2509" s="84" t="str">
        <f>IF(AND(MONTH(E2509)='IN-NX'!$J$5,'IN-NX'!$D$7=D2509),"x","")</f>
        <v/>
      </c>
      <c r="AB2509" s="84" t="str">
        <f>IF(AND(OR(LEFT(TH!N2509,2)="15",LEFT(TH!O2509,2)="15"),LEFT(TH!O2509,3)&lt;&gt;"111",'152-CT'!$J$8=TH!F2509),"x","")</f>
        <v/>
      </c>
      <c r="AC2509" s="84" t="str">
        <f>IF(AND(OR(LEFT(TH!N2509,2)="15",LEFT(TH!O2509,2)="15"),TK!$E$7=TH!F2509),"x","")</f>
        <v/>
      </c>
      <c r="AD2509" s="84" t="str">
        <f>IF(AND(N2509="1521",MONTH(C2509)='BK-NL'!$M$11),"x","")</f>
        <v/>
      </c>
    </row>
    <row r="2510" spans="1:30" s="351" customFormat="1" ht="15.75" hidden="1" customHeight="1">
      <c r="A2510" s="336" t="str">
        <f>IF(B2510&lt;&gt;"",IF(AND(B2510='IN-TC'!$S$4,OR(TH!N2510="1111",TH!O2510="1111")),TH!D2510,""),"")</f>
        <v/>
      </c>
      <c r="B2510" s="63" t="str">
        <f t="shared" si="294"/>
        <v/>
      </c>
      <c r="C2510" s="64"/>
      <c r="D2510" s="64"/>
      <c r="E2510" s="64"/>
      <c r="F2510" s="67"/>
      <c r="G2510" s="67"/>
      <c r="H2510" s="73"/>
      <c r="I2510" s="439"/>
      <c r="J2510" s="439"/>
      <c r="K2510" s="430"/>
      <c r="L2510" s="439"/>
      <c r="M2510" s="65"/>
      <c r="N2510" s="66"/>
      <c r="O2510" s="66"/>
      <c r="P2510" s="84" t="str">
        <f>IF(AND('331-CT'!$E$7=TH!H2510,OR(N2510="331",O2510="331")),"x","")</f>
        <v/>
      </c>
      <c r="Q2510" s="84" t="str">
        <f>IF(AND(B2510='111'!$L$11,OR($N2510=$Q$7,$O2510=$Q$7)),"x","")</f>
        <v/>
      </c>
      <c r="R2510" s="84" t="str">
        <f>IF(AND($N2510=$Q$7,$B2510&lt;'111'!$L$11),"x","")</f>
        <v/>
      </c>
      <c r="S2510" s="84" t="str">
        <f>IF(AND($O2510=$Q$7,$B2510&lt;'111'!$L$11),"x","")</f>
        <v/>
      </c>
      <c r="T2510" s="84" t="str">
        <f>IF(ISERROR(FIND('112'!$M$9,G2510,1)),"",IF((AND(FIND('112'!$M$9,G2510,1)&gt;=1,B2510='112'!$K$9,OR($N2510='112'!$I$6,$O2510='112'!$I$6))),"x",""))</f>
        <v/>
      </c>
      <c r="U2510" s="84" t="str">
        <f>IF(ISERROR(FIND('112'!$M$9,G2510,1)),"",IF((AND(LEFT(G2510,2)=LEFT('112'!$M$9,2),B2510&lt;'112'!$K$9,$N2510='112'!$I$6)),"x",""))</f>
        <v/>
      </c>
      <c r="V2510" s="84" t="str">
        <f>IF(ISERROR(FIND('112'!$M$9,G2510,1)),"",IF((AND(RIGHT(G2510,2)=RIGHT('112'!$M$9,2),B2510&lt;'112'!$K$9,$O2510='112'!$I$6)),"x",""))</f>
        <v/>
      </c>
      <c r="W2510" s="84" t="str">
        <f>IF(AND('341-CT'!$H$9=H2510,OR(LEFT(N2510,3)=$W$7,LEFT(O2510,3)=$W$7)),"x","")</f>
        <v/>
      </c>
      <c r="X2510" s="84" t="str">
        <f>IF(OR(TH!N2510=TH!$X$7,O2510=TH!$X$7),"x","")</f>
        <v/>
      </c>
      <c r="Y2510" s="84" t="str">
        <f>IF(AND(OR(N2510="131",O2510="131"),H2510='131-CT'!$H$9),"x","")</f>
        <v/>
      </c>
      <c r="Z2510" s="84"/>
      <c r="AA2510" s="84" t="str">
        <f>IF(AND(MONTH(E2510)='IN-NX'!$J$5,'IN-NX'!$D$7=D2510),"x","")</f>
        <v/>
      </c>
      <c r="AB2510" s="84" t="str">
        <f>IF(AND(OR(LEFT(TH!N2510,2)="15",LEFT(TH!O2510,2)="15"),LEFT(TH!O2510,3)&lt;&gt;"111",'152-CT'!$J$8=TH!F2510),"x","")</f>
        <v/>
      </c>
      <c r="AC2510" s="84" t="str">
        <f>IF(AND(OR(LEFT(TH!N2510,2)="15",LEFT(TH!O2510,2)="15"),TK!$E$7=TH!F2510),"x","")</f>
        <v/>
      </c>
      <c r="AD2510" s="84" t="str">
        <f>IF(AND(N2510="1521",MONTH(C2510)='BK-NL'!$M$11),"x","")</f>
        <v/>
      </c>
    </row>
    <row r="2511" spans="1:30" s="351" customFormat="1" ht="15.75" hidden="1" customHeight="1">
      <c r="A2511" s="336" t="str">
        <f>IF(B2511&lt;&gt;"",IF(AND(B2511='IN-TC'!$S$4,OR(TH!N2511="1111",TH!O2511="1111")),TH!D2511,""),"")</f>
        <v/>
      </c>
      <c r="B2511" s="63" t="str">
        <f t="shared" si="294"/>
        <v/>
      </c>
      <c r="C2511" s="64"/>
      <c r="D2511" s="64"/>
      <c r="E2511" s="64"/>
      <c r="F2511" s="67"/>
      <c r="G2511" s="67"/>
      <c r="H2511" s="73"/>
      <c r="I2511" s="439"/>
      <c r="J2511" s="439"/>
      <c r="K2511" s="430"/>
      <c r="L2511" s="439"/>
      <c r="M2511" s="65"/>
      <c r="N2511" s="66"/>
      <c r="O2511" s="66"/>
      <c r="P2511" s="84" t="str">
        <f>IF(AND('331-CT'!$E$7=TH!H2511,OR(N2511="331",O2511="331")),"x","")</f>
        <v/>
      </c>
      <c r="Q2511" s="84" t="str">
        <f>IF(AND(B2511='111'!$L$11,OR($N2511=$Q$7,$O2511=$Q$7)),"x","")</f>
        <v/>
      </c>
      <c r="R2511" s="84" t="str">
        <f>IF(AND($N2511=$Q$7,$B2511&lt;'111'!$L$11),"x","")</f>
        <v/>
      </c>
      <c r="S2511" s="84" t="str">
        <f>IF(AND($O2511=$Q$7,$B2511&lt;'111'!$L$11),"x","")</f>
        <v/>
      </c>
      <c r="T2511" s="84" t="str">
        <f>IF(ISERROR(FIND('112'!$M$9,G2511,1)),"",IF((AND(FIND('112'!$M$9,G2511,1)&gt;=1,B2511='112'!$K$9,OR($N2511='112'!$I$6,$O2511='112'!$I$6))),"x",""))</f>
        <v/>
      </c>
      <c r="U2511" s="84" t="str">
        <f>IF(ISERROR(FIND('112'!$M$9,G2511,1)),"",IF((AND(LEFT(G2511,2)=LEFT('112'!$M$9,2),B2511&lt;'112'!$K$9,$N2511='112'!$I$6)),"x",""))</f>
        <v/>
      </c>
      <c r="V2511" s="84" t="str">
        <f>IF(ISERROR(FIND('112'!$M$9,G2511,1)),"",IF((AND(RIGHT(G2511,2)=RIGHT('112'!$M$9,2),B2511&lt;'112'!$K$9,$O2511='112'!$I$6)),"x",""))</f>
        <v/>
      </c>
      <c r="W2511" s="84" t="str">
        <f>IF(AND('341-CT'!$H$9=H2511,OR(LEFT(N2511,3)=$W$7,LEFT(O2511,3)=$W$7)),"x","")</f>
        <v/>
      </c>
      <c r="X2511" s="84" t="str">
        <f>IF(OR(TH!N2511=TH!$X$7,O2511=TH!$X$7),"x","")</f>
        <v/>
      </c>
      <c r="Y2511" s="84" t="str">
        <f>IF(AND(OR(N2511="131",O2511="131"),H2511='131-CT'!$H$9),"x","")</f>
        <v/>
      </c>
      <c r="Z2511" s="84"/>
      <c r="AA2511" s="84" t="str">
        <f>IF(AND(MONTH(E2511)='IN-NX'!$J$5,'IN-NX'!$D$7=D2511),"x","")</f>
        <v/>
      </c>
      <c r="AB2511" s="84" t="str">
        <f>IF(AND(OR(LEFT(TH!N2511,2)="15",LEFT(TH!O2511,2)="15"),LEFT(TH!O2511,3)&lt;&gt;"111",'152-CT'!$J$8=TH!F2511),"x","")</f>
        <v/>
      </c>
      <c r="AC2511" s="84" t="str">
        <f>IF(AND(OR(LEFT(TH!N2511,2)="15",LEFT(TH!O2511,2)="15"),TK!$E$7=TH!F2511),"x","")</f>
        <v/>
      </c>
      <c r="AD2511" s="84" t="str">
        <f>IF(AND(N2511="1521",MONTH(C2511)='BK-NL'!$M$11),"x","")</f>
        <v/>
      </c>
    </row>
    <row r="2512" spans="1:30" s="351" customFormat="1" ht="15.75" hidden="1" customHeight="1">
      <c r="A2512" s="336" t="str">
        <f>IF(B2512&lt;&gt;"",IF(AND(B2512='IN-TC'!$S$4,OR(TH!N2512="1111",TH!O2512="1111")),TH!D2512,""),"")</f>
        <v/>
      </c>
      <c r="B2512" s="63" t="str">
        <f t="shared" si="294"/>
        <v/>
      </c>
      <c r="C2512" s="64"/>
      <c r="D2512" s="64"/>
      <c r="E2512" s="64"/>
      <c r="F2512" s="67"/>
      <c r="G2512" s="67"/>
      <c r="H2512" s="73"/>
      <c r="I2512" s="439"/>
      <c r="J2512" s="439"/>
      <c r="K2512" s="430"/>
      <c r="L2512" s="439"/>
      <c r="M2512" s="65"/>
      <c r="N2512" s="66"/>
      <c r="O2512" s="66"/>
      <c r="P2512" s="84" t="str">
        <f>IF(AND('331-CT'!$E$7=TH!H2512,OR(N2512="331",O2512="331")),"x","")</f>
        <v/>
      </c>
      <c r="Q2512" s="84" t="str">
        <f>IF(AND(B2512='111'!$L$11,OR($N2512=$Q$7,$O2512=$Q$7)),"x","")</f>
        <v/>
      </c>
      <c r="R2512" s="84" t="str">
        <f>IF(AND($N2512=$Q$7,$B2512&lt;'111'!$L$11),"x","")</f>
        <v/>
      </c>
      <c r="S2512" s="84" t="str">
        <f>IF(AND($O2512=$Q$7,$B2512&lt;'111'!$L$11),"x","")</f>
        <v/>
      </c>
      <c r="T2512" s="84" t="str">
        <f>IF(ISERROR(FIND('112'!$M$9,G2512,1)),"",IF((AND(FIND('112'!$M$9,G2512,1)&gt;=1,B2512='112'!$K$9,OR($N2512='112'!$I$6,$O2512='112'!$I$6))),"x",""))</f>
        <v/>
      </c>
      <c r="U2512" s="84" t="str">
        <f>IF(ISERROR(FIND('112'!$M$9,G2512,1)),"",IF((AND(LEFT(G2512,2)=LEFT('112'!$M$9,2),B2512&lt;'112'!$K$9,$N2512='112'!$I$6)),"x",""))</f>
        <v/>
      </c>
      <c r="V2512" s="84" t="str">
        <f>IF(ISERROR(FIND('112'!$M$9,G2512,1)),"",IF((AND(RIGHT(G2512,2)=RIGHT('112'!$M$9,2),B2512&lt;'112'!$K$9,$O2512='112'!$I$6)),"x",""))</f>
        <v/>
      </c>
      <c r="W2512" s="84" t="str">
        <f>IF(AND('341-CT'!$H$9=H2512,OR(LEFT(N2512,3)=$W$7,LEFT(O2512,3)=$W$7)),"x","")</f>
        <v/>
      </c>
      <c r="X2512" s="84" t="str">
        <f>IF(OR(TH!N2512=TH!$X$7,O2512=TH!$X$7),"x","")</f>
        <v/>
      </c>
      <c r="Y2512" s="84" t="str">
        <f>IF(AND(OR(N2512="131",O2512="131"),H2512='131-CT'!$H$9),"x","")</f>
        <v/>
      </c>
      <c r="Z2512" s="84"/>
      <c r="AA2512" s="84" t="str">
        <f>IF(AND(MONTH(E2512)='IN-NX'!$J$5,'IN-NX'!$D$7=D2512),"x","")</f>
        <v/>
      </c>
      <c r="AB2512" s="84" t="str">
        <f>IF(AND(OR(LEFT(TH!N2512,2)="15",LEFT(TH!O2512,2)="15"),LEFT(TH!O2512,3)&lt;&gt;"111",'152-CT'!$J$8=TH!F2512),"x","")</f>
        <v/>
      </c>
      <c r="AC2512" s="84" t="str">
        <f>IF(AND(OR(LEFT(TH!N2512,2)="15",LEFT(TH!O2512,2)="15"),TK!$E$7=TH!F2512),"x","")</f>
        <v/>
      </c>
      <c r="AD2512" s="84" t="str">
        <f>IF(AND(N2512="1521",MONTH(C2512)='BK-NL'!$M$11),"x","")</f>
        <v/>
      </c>
    </row>
    <row r="2513" spans="1:30" s="351" customFormat="1" ht="15.75" hidden="1" customHeight="1">
      <c r="A2513" s="336" t="str">
        <f>IF(B2513&lt;&gt;"",IF(AND(B2513='IN-TC'!$S$4,OR(TH!N2513="1111",TH!O2513="1111")),TH!D2513,""),"")</f>
        <v/>
      </c>
      <c r="B2513" s="63" t="str">
        <f t="shared" si="294"/>
        <v/>
      </c>
      <c r="C2513" s="64"/>
      <c r="D2513" s="64"/>
      <c r="E2513" s="64"/>
      <c r="F2513" s="67"/>
      <c r="G2513" s="67"/>
      <c r="H2513" s="73"/>
      <c r="I2513" s="439"/>
      <c r="J2513" s="439"/>
      <c r="K2513" s="430"/>
      <c r="L2513" s="439"/>
      <c r="M2513" s="65"/>
      <c r="N2513" s="66"/>
      <c r="O2513" s="66"/>
      <c r="P2513" s="84" t="str">
        <f>IF(AND('331-CT'!$E$7=TH!H2513,OR(N2513="331",O2513="331")),"x","")</f>
        <v/>
      </c>
      <c r="Q2513" s="84" t="str">
        <f>IF(AND(B2513='111'!$L$11,OR($N2513=$Q$7,$O2513=$Q$7)),"x","")</f>
        <v/>
      </c>
      <c r="R2513" s="84" t="str">
        <f>IF(AND($N2513=$Q$7,$B2513&lt;'111'!$L$11),"x","")</f>
        <v/>
      </c>
      <c r="S2513" s="84" t="str">
        <f>IF(AND($O2513=$Q$7,$B2513&lt;'111'!$L$11),"x","")</f>
        <v/>
      </c>
      <c r="T2513" s="84" t="str">
        <f>IF(ISERROR(FIND('112'!$M$9,G2513,1)),"",IF((AND(FIND('112'!$M$9,G2513,1)&gt;=1,B2513='112'!$K$9,OR($N2513='112'!$I$6,$O2513='112'!$I$6))),"x",""))</f>
        <v/>
      </c>
      <c r="U2513" s="84" t="str">
        <f>IF(ISERROR(FIND('112'!$M$9,G2513,1)),"",IF((AND(LEFT(G2513,2)=LEFT('112'!$M$9,2),B2513&lt;'112'!$K$9,$N2513='112'!$I$6)),"x",""))</f>
        <v/>
      </c>
      <c r="V2513" s="84" t="str">
        <f>IF(ISERROR(FIND('112'!$M$9,G2513,1)),"",IF((AND(RIGHT(G2513,2)=RIGHT('112'!$M$9,2),B2513&lt;'112'!$K$9,$O2513='112'!$I$6)),"x",""))</f>
        <v/>
      </c>
      <c r="W2513" s="84" t="str">
        <f>IF(AND('341-CT'!$H$9=H2513,OR(LEFT(N2513,3)=$W$7,LEFT(O2513,3)=$W$7)),"x","")</f>
        <v/>
      </c>
      <c r="X2513" s="84" t="str">
        <f>IF(OR(TH!N2513=TH!$X$7,O2513=TH!$X$7),"x","")</f>
        <v/>
      </c>
      <c r="Y2513" s="84" t="str">
        <f>IF(AND(OR(N2513="131",O2513="131"),H2513='131-CT'!$H$9),"x","")</f>
        <v/>
      </c>
      <c r="Z2513" s="84"/>
      <c r="AA2513" s="84" t="str">
        <f>IF(AND(MONTH(E2513)='IN-NX'!$J$5,'IN-NX'!$D$7=D2513),"x","")</f>
        <v/>
      </c>
      <c r="AB2513" s="84" t="str">
        <f>IF(AND(OR(LEFT(TH!N2513,2)="15",LEFT(TH!O2513,2)="15"),LEFT(TH!O2513,3)&lt;&gt;"111",'152-CT'!$J$8=TH!F2513),"x","")</f>
        <v/>
      </c>
      <c r="AC2513" s="84" t="str">
        <f>IF(AND(OR(LEFT(TH!N2513,2)="15",LEFT(TH!O2513,2)="15"),TK!$E$7=TH!F2513),"x","")</f>
        <v/>
      </c>
      <c r="AD2513" s="84" t="str">
        <f>IF(AND(N2513="1521",MONTH(C2513)='BK-NL'!$M$11),"x","")</f>
        <v/>
      </c>
    </row>
    <row r="2514" spans="1:30" s="351" customFormat="1" ht="15.75" hidden="1" customHeight="1">
      <c r="A2514" s="336" t="str">
        <f>IF(B2514&lt;&gt;"",IF(AND(B2514='IN-TC'!$S$4,OR(TH!N2514="1111",TH!O2514="1111")),TH!D2514,""),"")</f>
        <v/>
      </c>
      <c r="B2514" s="63" t="str">
        <f t="shared" si="294"/>
        <v/>
      </c>
      <c r="C2514" s="64"/>
      <c r="D2514" s="64"/>
      <c r="E2514" s="64"/>
      <c r="F2514" s="67"/>
      <c r="G2514" s="67"/>
      <c r="H2514" s="73"/>
      <c r="I2514" s="439"/>
      <c r="J2514" s="439"/>
      <c r="K2514" s="430"/>
      <c r="L2514" s="439"/>
      <c r="M2514" s="65"/>
      <c r="N2514" s="66"/>
      <c r="O2514" s="66"/>
      <c r="P2514" s="84" t="str">
        <f>IF(AND('331-CT'!$E$7=TH!H2514,OR(N2514="331",O2514="331")),"x","")</f>
        <v/>
      </c>
      <c r="Q2514" s="84" t="str">
        <f>IF(AND(B2514='111'!$L$11,OR($N2514=$Q$7,$O2514=$Q$7)),"x","")</f>
        <v/>
      </c>
      <c r="R2514" s="84" t="str">
        <f>IF(AND($N2514=$Q$7,$B2514&lt;'111'!$L$11),"x","")</f>
        <v/>
      </c>
      <c r="S2514" s="84" t="str">
        <f>IF(AND($O2514=$Q$7,$B2514&lt;'111'!$L$11),"x","")</f>
        <v/>
      </c>
      <c r="T2514" s="84" t="str">
        <f>IF(ISERROR(FIND('112'!$M$9,G2514,1)),"",IF((AND(FIND('112'!$M$9,G2514,1)&gt;=1,B2514='112'!$K$9,OR($N2514='112'!$I$6,$O2514='112'!$I$6))),"x",""))</f>
        <v/>
      </c>
      <c r="U2514" s="84" t="str">
        <f>IF(ISERROR(FIND('112'!$M$9,G2514,1)),"",IF((AND(LEFT(G2514,2)=LEFT('112'!$M$9,2),B2514&lt;'112'!$K$9,$N2514='112'!$I$6)),"x",""))</f>
        <v/>
      </c>
      <c r="V2514" s="84" t="str">
        <f>IF(ISERROR(FIND('112'!$M$9,G2514,1)),"",IF((AND(RIGHT(G2514,2)=RIGHT('112'!$M$9,2),B2514&lt;'112'!$K$9,$O2514='112'!$I$6)),"x",""))</f>
        <v/>
      </c>
      <c r="W2514" s="84" t="str">
        <f>IF(AND('341-CT'!$H$9=H2514,OR(LEFT(N2514,3)=$W$7,LEFT(O2514,3)=$W$7)),"x","")</f>
        <v/>
      </c>
      <c r="X2514" s="84" t="str">
        <f>IF(OR(TH!N2514=TH!$X$7,O2514=TH!$X$7),"x","")</f>
        <v/>
      </c>
      <c r="Y2514" s="84" t="str">
        <f>IF(AND(OR(N2514="131",O2514="131"),H2514='131-CT'!$H$9),"x","")</f>
        <v/>
      </c>
      <c r="Z2514" s="84"/>
      <c r="AA2514" s="84" t="str">
        <f>IF(AND(MONTH(E2514)='IN-NX'!$J$5,'IN-NX'!$D$7=D2514),"x","")</f>
        <v/>
      </c>
      <c r="AB2514" s="84" t="str">
        <f>IF(AND(OR(LEFT(TH!N2514,2)="15",LEFT(TH!O2514,2)="15"),LEFT(TH!O2514,3)&lt;&gt;"111",'152-CT'!$J$8=TH!F2514),"x","")</f>
        <v/>
      </c>
      <c r="AC2514" s="84" t="str">
        <f>IF(AND(OR(LEFT(TH!N2514,2)="15",LEFT(TH!O2514,2)="15"),TK!$E$7=TH!F2514),"x","")</f>
        <v/>
      </c>
      <c r="AD2514" s="84" t="str">
        <f>IF(AND(N2514="1521",MONTH(C2514)='BK-NL'!$M$11),"x","")</f>
        <v/>
      </c>
    </row>
    <row r="2515" spans="1:30" s="351" customFormat="1" ht="15.75" hidden="1" customHeight="1">
      <c r="A2515" s="336" t="str">
        <f>IF(B2515&lt;&gt;"",IF(AND(B2515='IN-TC'!$S$4,OR(TH!N2515="1111",TH!O2515="1111")),TH!D2515,""),"")</f>
        <v/>
      </c>
      <c r="B2515" s="63" t="str">
        <f t="shared" si="294"/>
        <v/>
      </c>
      <c r="C2515" s="64"/>
      <c r="D2515" s="64"/>
      <c r="E2515" s="64"/>
      <c r="F2515" s="67"/>
      <c r="G2515" s="67"/>
      <c r="H2515" s="73"/>
      <c r="I2515" s="439"/>
      <c r="J2515" s="439"/>
      <c r="K2515" s="430"/>
      <c r="L2515" s="439"/>
      <c r="M2515" s="65"/>
      <c r="N2515" s="66"/>
      <c r="O2515" s="66"/>
      <c r="P2515" s="84" t="str">
        <f>IF(AND('331-CT'!$E$7=TH!H2515,OR(N2515="331",O2515="331")),"x","")</f>
        <v/>
      </c>
      <c r="Q2515" s="84" t="str">
        <f>IF(AND(B2515='111'!$L$11,OR($N2515=$Q$7,$O2515=$Q$7)),"x","")</f>
        <v/>
      </c>
      <c r="R2515" s="84" t="str">
        <f>IF(AND($N2515=$Q$7,$B2515&lt;'111'!$L$11),"x","")</f>
        <v/>
      </c>
      <c r="S2515" s="84" t="str">
        <f>IF(AND($O2515=$Q$7,$B2515&lt;'111'!$L$11),"x","")</f>
        <v/>
      </c>
      <c r="T2515" s="84" t="str">
        <f>IF(ISERROR(FIND('112'!$M$9,G2515,1)),"",IF((AND(FIND('112'!$M$9,G2515,1)&gt;=1,B2515='112'!$K$9,OR($N2515='112'!$I$6,$O2515='112'!$I$6))),"x",""))</f>
        <v/>
      </c>
      <c r="U2515" s="84" t="str">
        <f>IF(ISERROR(FIND('112'!$M$9,G2515,1)),"",IF((AND(LEFT(G2515,2)=LEFT('112'!$M$9,2),B2515&lt;'112'!$K$9,$N2515='112'!$I$6)),"x",""))</f>
        <v/>
      </c>
      <c r="V2515" s="84" t="str">
        <f>IF(ISERROR(FIND('112'!$M$9,G2515,1)),"",IF((AND(RIGHT(G2515,2)=RIGHT('112'!$M$9,2),B2515&lt;'112'!$K$9,$O2515='112'!$I$6)),"x",""))</f>
        <v/>
      </c>
      <c r="W2515" s="84" t="str">
        <f>IF(AND('341-CT'!$H$9=H2515,OR(LEFT(N2515,3)=$W$7,LEFT(O2515,3)=$W$7)),"x","")</f>
        <v/>
      </c>
      <c r="X2515" s="84" t="str">
        <f>IF(OR(TH!N2515=TH!$X$7,O2515=TH!$X$7),"x","")</f>
        <v/>
      </c>
      <c r="Y2515" s="84" t="str">
        <f>IF(AND(OR(N2515="131",O2515="131"),H2515='131-CT'!$H$9),"x","")</f>
        <v/>
      </c>
      <c r="Z2515" s="84"/>
      <c r="AA2515" s="84" t="str">
        <f>IF(AND(MONTH(E2515)='IN-NX'!$J$5,'IN-NX'!$D$7=D2515),"x","")</f>
        <v/>
      </c>
      <c r="AB2515" s="84" t="str">
        <f>IF(AND(OR(LEFT(TH!N2515,2)="15",LEFT(TH!O2515,2)="15"),LEFT(TH!O2515,3)&lt;&gt;"111",'152-CT'!$J$8=TH!F2515),"x","")</f>
        <v/>
      </c>
      <c r="AC2515" s="84" t="str">
        <f>IF(AND(OR(LEFT(TH!N2515,2)="15",LEFT(TH!O2515,2)="15"),TK!$E$7=TH!F2515),"x","")</f>
        <v/>
      </c>
      <c r="AD2515" s="84" t="str">
        <f>IF(AND(N2515="1521",MONTH(C2515)='BK-NL'!$M$11),"x","")</f>
        <v/>
      </c>
    </row>
    <row r="2516" spans="1:30" s="351" customFormat="1" ht="15.75" hidden="1" customHeight="1">
      <c r="A2516" s="336" t="str">
        <f>IF(B2516&lt;&gt;"",IF(AND(B2516='IN-TC'!$S$4,OR(TH!N2516="1111",TH!O2516="1111")),TH!D2516,""),"")</f>
        <v/>
      </c>
      <c r="B2516" s="63" t="str">
        <f t="shared" si="294"/>
        <v/>
      </c>
      <c r="C2516" s="64"/>
      <c r="D2516" s="64"/>
      <c r="E2516" s="64"/>
      <c r="F2516" s="67"/>
      <c r="G2516" s="67"/>
      <c r="H2516" s="73"/>
      <c r="I2516" s="439"/>
      <c r="J2516" s="439"/>
      <c r="K2516" s="430"/>
      <c r="L2516" s="439"/>
      <c r="M2516" s="65"/>
      <c r="N2516" s="66"/>
      <c r="O2516" s="66"/>
      <c r="P2516" s="84" t="str">
        <f>IF(AND('331-CT'!$E$7=TH!H2516,OR(N2516="331",O2516="331")),"x","")</f>
        <v/>
      </c>
      <c r="Q2516" s="84" t="str">
        <f>IF(AND(B2516='111'!$L$11,OR($N2516=$Q$7,$O2516=$Q$7)),"x","")</f>
        <v/>
      </c>
      <c r="R2516" s="84" t="str">
        <f>IF(AND($N2516=$Q$7,$B2516&lt;'111'!$L$11),"x","")</f>
        <v/>
      </c>
      <c r="S2516" s="84" t="str">
        <f>IF(AND($O2516=$Q$7,$B2516&lt;'111'!$L$11),"x","")</f>
        <v/>
      </c>
      <c r="T2516" s="84" t="str">
        <f>IF(ISERROR(FIND('112'!$M$9,G2516,1)),"",IF((AND(FIND('112'!$M$9,G2516,1)&gt;=1,B2516='112'!$K$9,OR($N2516='112'!$I$6,$O2516='112'!$I$6))),"x",""))</f>
        <v/>
      </c>
      <c r="U2516" s="84" t="str">
        <f>IF(ISERROR(FIND('112'!$M$9,G2516,1)),"",IF((AND(LEFT(G2516,2)=LEFT('112'!$M$9,2),B2516&lt;'112'!$K$9,$N2516='112'!$I$6)),"x",""))</f>
        <v/>
      </c>
      <c r="V2516" s="84" t="str">
        <f>IF(ISERROR(FIND('112'!$M$9,G2516,1)),"",IF((AND(RIGHT(G2516,2)=RIGHT('112'!$M$9,2),B2516&lt;'112'!$K$9,$O2516='112'!$I$6)),"x",""))</f>
        <v/>
      </c>
      <c r="W2516" s="84" t="str">
        <f>IF(AND('341-CT'!$H$9=H2516,OR(LEFT(N2516,3)=$W$7,LEFT(O2516,3)=$W$7)),"x","")</f>
        <v/>
      </c>
      <c r="X2516" s="84" t="str">
        <f>IF(OR(TH!N2516=TH!$X$7,O2516=TH!$X$7),"x","")</f>
        <v/>
      </c>
      <c r="Y2516" s="84" t="str">
        <f>IF(AND(OR(N2516="131",O2516="131"),H2516='131-CT'!$H$9),"x","")</f>
        <v/>
      </c>
      <c r="Z2516" s="84"/>
      <c r="AA2516" s="84" t="str">
        <f>IF(AND(MONTH(E2516)='IN-NX'!$J$5,'IN-NX'!$D$7=D2516),"x","")</f>
        <v/>
      </c>
      <c r="AB2516" s="84" t="str">
        <f>IF(AND(OR(LEFT(TH!N2516,2)="15",LEFT(TH!O2516,2)="15"),LEFT(TH!O2516,3)&lt;&gt;"111",'152-CT'!$J$8=TH!F2516),"x","")</f>
        <v/>
      </c>
      <c r="AC2516" s="84" t="str">
        <f>IF(AND(OR(LEFT(TH!N2516,2)="15",LEFT(TH!O2516,2)="15"),TK!$E$7=TH!F2516),"x","")</f>
        <v/>
      </c>
      <c r="AD2516" s="84" t="str">
        <f>IF(AND(N2516="1521",MONTH(C2516)='BK-NL'!$M$11),"x","")</f>
        <v/>
      </c>
    </row>
    <row r="2517" spans="1:30" s="351" customFormat="1" ht="15.75" hidden="1" customHeight="1">
      <c r="A2517" s="336" t="str">
        <f>IF(B2517&lt;&gt;"",IF(AND(B2517='IN-TC'!$S$4,OR(TH!N2517="1111",TH!O2517="1111")),TH!D2517,""),"")</f>
        <v/>
      </c>
      <c r="B2517" s="63" t="str">
        <f t="shared" si="294"/>
        <v/>
      </c>
      <c r="C2517" s="64"/>
      <c r="D2517" s="64"/>
      <c r="E2517" s="64"/>
      <c r="F2517" s="67"/>
      <c r="G2517" s="67"/>
      <c r="H2517" s="73"/>
      <c r="I2517" s="439"/>
      <c r="J2517" s="439"/>
      <c r="K2517" s="430"/>
      <c r="L2517" s="439"/>
      <c r="M2517" s="65"/>
      <c r="N2517" s="66"/>
      <c r="O2517" s="66"/>
      <c r="P2517" s="84" t="str">
        <f>IF(AND('331-CT'!$E$7=TH!H2517,OR(N2517="331",O2517="331")),"x","")</f>
        <v/>
      </c>
      <c r="Q2517" s="84" t="str">
        <f>IF(AND(B2517='111'!$L$11,OR($N2517=$Q$7,$O2517=$Q$7)),"x","")</f>
        <v/>
      </c>
      <c r="R2517" s="84" t="str">
        <f>IF(AND($N2517=$Q$7,$B2517&lt;'111'!$L$11),"x","")</f>
        <v/>
      </c>
      <c r="S2517" s="84" t="str">
        <f>IF(AND($O2517=$Q$7,$B2517&lt;'111'!$L$11),"x","")</f>
        <v/>
      </c>
      <c r="T2517" s="84" t="str">
        <f>IF(ISERROR(FIND('112'!$M$9,G2517,1)),"",IF((AND(FIND('112'!$M$9,G2517,1)&gt;=1,B2517='112'!$K$9,OR($N2517='112'!$I$6,$O2517='112'!$I$6))),"x",""))</f>
        <v/>
      </c>
      <c r="U2517" s="84" t="str">
        <f>IF(ISERROR(FIND('112'!$M$9,G2517,1)),"",IF((AND(LEFT(G2517,2)=LEFT('112'!$M$9,2),B2517&lt;'112'!$K$9,$N2517='112'!$I$6)),"x",""))</f>
        <v/>
      </c>
      <c r="V2517" s="84" t="str">
        <f>IF(ISERROR(FIND('112'!$M$9,G2517,1)),"",IF((AND(RIGHT(G2517,2)=RIGHT('112'!$M$9,2),B2517&lt;'112'!$K$9,$O2517='112'!$I$6)),"x",""))</f>
        <v/>
      </c>
      <c r="W2517" s="84" t="str">
        <f>IF(AND('341-CT'!$H$9=H2517,OR(LEFT(N2517,3)=$W$7,LEFT(O2517,3)=$W$7)),"x","")</f>
        <v/>
      </c>
      <c r="X2517" s="84" t="str">
        <f>IF(OR(TH!N2517=TH!$X$7,O2517=TH!$X$7),"x","")</f>
        <v/>
      </c>
      <c r="Y2517" s="84" t="str">
        <f>IF(AND(OR(N2517="131",O2517="131"),H2517='131-CT'!$H$9),"x","")</f>
        <v/>
      </c>
      <c r="Z2517" s="84"/>
      <c r="AA2517" s="84" t="str">
        <f>IF(AND(MONTH(E2517)='IN-NX'!$J$5,'IN-NX'!$D$7=D2517),"x","")</f>
        <v/>
      </c>
      <c r="AB2517" s="84" t="str">
        <f>IF(AND(OR(LEFT(TH!N2517,2)="15",LEFT(TH!O2517,2)="15"),LEFT(TH!O2517,3)&lt;&gt;"111",'152-CT'!$J$8=TH!F2517),"x","")</f>
        <v/>
      </c>
      <c r="AC2517" s="84" t="str">
        <f>IF(AND(OR(LEFT(TH!N2517,2)="15",LEFT(TH!O2517,2)="15"),TK!$E$7=TH!F2517),"x","")</f>
        <v/>
      </c>
      <c r="AD2517" s="84" t="str">
        <f>IF(AND(N2517="1521",MONTH(C2517)='BK-NL'!$M$11),"x","")</f>
        <v/>
      </c>
    </row>
    <row r="2518" spans="1:30" s="351" customFormat="1" ht="15.75" hidden="1" customHeight="1">
      <c r="A2518" s="336" t="str">
        <f>IF(B2518&lt;&gt;"",IF(AND(B2518='IN-TC'!$S$4,OR(TH!N2518="1111",TH!O2518="1111")),TH!D2518,""),"")</f>
        <v/>
      </c>
      <c r="B2518" s="63" t="str">
        <f t="shared" si="294"/>
        <v/>
      </c>
      <c r="C2518" s="64"/>
      <c r="D2518" s="64"/>
      <c r="E2518" s="64"/>
      <c r="F2518" s="67"/>
      <c r="G2518" s="67"/>
      <c r="H2518" s="73"/>
      <c r="I2518" s="439"/>
      <c r="J2518" s="439"/>
      <c r="K2518" s="430"/>
      <c r="L2518" s="439"/>
      <c r="M2518" s="65"/>
      <c r="N2518" s="66"/>
      <c r="O2518" s="66"/>
      <c r="P2518" s="84" t="str">
        <f>IF(AND('331-CT'!$E$7=TH!H2518,OR(N2518="331",O2518="331")),"x","")</f>
        <v/>
      </c>
      <c r="Q2518" s="84" t="str">
        <f>IF(AND(B2518='111'!$L$11,OR($N2518=$Q$7,$O2518=$Q$7)),"x","")</f>
        <v/>
      </c>
      <c r="R2518" s="84" t="str">
        <f>IF(AND($N2518=$Q$7,$B2518&lt;'111'!$L$11),"x","")</f>
        <v/>
      </c>
      <c r="S2518" s="84" t="str">
        <f>IF(AND($O2518=$Q$7,$B2518&lt;'111'!$L$11),"x","")</f>
        <v/>
      </c>
      <c r="T2518" s="84" t="str">
        <f>IF(ISERROR(FIND('112'!$M$9,G2518,1)),"",IF((AND(FIND('112'!$M$9,G2518,1)&gt;=1,B2518='112'!$K$9,OR($N2518='112'!$I$6,$O2518='112'!$I$6))),"x",""))</f>
        <v/>
      </c>
      <c r="U2518" s="84" t="str">
        <f>IF(ISERROR(FIND('112'!$M$9,G2518,1)),"",IF((AND(LEFT(G2518,2)=LEFT('112'!$M$9,2),B2518&lt;'112'!$K$9,$N2518='112'!$I$6)),"x",""))</f>
        <v/>
      </c>
      <c r="V2518" s="84" t="str">
        <f>IF(ISERROR(FIND('112'!$M$9,G2518,1)),"",IF((AND(RIGHT(G2518,2)=RIGHT('112'!$M$9,2),B2518&lt;'112'!$K$9,$O2518='112'!$I$6)),"x",""))</f>
        <v/>
      </c>
      <c r="W2518" s="84" t="str">
        <f>IF(AND('341-CT'!$H$9=H2518,OR(LEFT(N2518,3)=$W$7,LEFT(O2518,3)=$W$7)),"x","")</f>
        <v/>
      </c>
      <c r="X2518" s="84" t="str">
        <f>IF(OR(TH!N2518=TH!$X$7,O2518=TH!$X$7),"x","")</f>
        <v/>
      </c>
      <c r="Y2518" s="84" t="str">
        <f>IF(AND(OR(N2518="131",O2518="131"),H2518='131-CT'!$H$9),"x","")</f>
        <v/>
      </c>
      <c r="Z2518" s="84"/>
      <c r="AA2518" s="84" t="str">
        <f>IF(AND(MONTH(E2518)='IN-NX'!$J$5,'IN-NX'!$D$7=D2518),"x","")</f>
        <v/>
      </c>
      <c r="AB2518" s="84" t="str">
        <f>IF(AND(OR(LEFT(TH!N2518,2)="15",LEFT(TH!O2518,2)="15"),LEFT(TH!O2518,3)&lt;&gt;"111",'152-CT'!$J$8=TH!F2518),"x","")</f>
        <v/>
      </c>
      <c r="AC2518" s="84" t="str">
        <f>IF(AND(OR(LEFT(TH!N2518,2)="15",LEFT(TH!O2518,2)="15"),TK!$E$7=TH!F2518),"x","")</f>
        <v/>
      </c>
      <c r="AD2518" s="84" t="str">
        <f>IF(AND(N2518="1521",MONTH(C2518)='BK-NL'!$M$11),"x","")</f>
        <v/>
      </c>
    </row>
    <row r="2519" spans="1:30" s="351" customFormat="1" ht="15.75" hidden="1" customHeight="1">
      <c r="A2519" s="336" t="str">
        <f>IF(B2519&lt;&gt;"",IF(AND(B2519='IN-TC'!$S$4,OR(TH!N2519="1111",TH!O2519="1111")),TH!D2519,""),"")</f>
        <v/>
      </c>
      <c r="B2519" s="63" t="str">
        <f t="shared" si="294"/>
        <v/>
      </c>
      <c r="C2519" s="64"/>
      <c r="D2519" s="64"/>
      <c r="E2519" s="64"/>
      <c r="F2519" s="67"/>
      <c r="G2519" s="67"/>
      <c r="H2519" s="73"/>
      <c r="I2519" s="439"/>
      <c r="J2519" s="439"/>
      <c r="K2519" s="430"/>
      <c r="L2519" s="439"/>
      <c r="M2519" s="65"/>
      <c r="N2519" s="66"/>
      <c r="O2519" s="66"/>
      <c r="P2519" s="84" t="str">
        <f>IF(AND('331-CT'!$E$7=TH!H2519,OR(N2519="331",O2519="331")),"x","")</f>
        <v/>
      </c>
      <c r="Q2519" s="84" t="str">
        <f>IF(AND(B2519='111'!$L$11,OR($N2519=$Q$7,$O2519=$Q$7)),"x","")</f>
        <v/>
      </c>
      <c r="R2519" s="84" t="str">
        <f>IF(AND($N2519=$Q$7,$B2519&lt;'111'!$L$11),"x","")</f>
        <v/>
      </c>
      <c r="S2519" s="84" t="str">
        <f>IF(AND($O2519=$Q$7,$B2519&lt;'111'!$L$11),"x","")</f>
        <v/>
      </c>
      <c r="T2519" s="84" t="str">
        <f>IF(ISERROR(FIND('112'!$M$9,G2519,1)),"",IF((AND(FIND('112'!$M$9,G2519,1)&gt;=1,B2519='112'!$K$9,OR($N2519='112'!$I$6,$O2519='112'!$I$6))),"x",""))</f>
        <v/>
      </c>
      <c r="U2519" s="84" t="str">
        <f>IF(ISERROR(FIND('112'!$M$9,G2519,1)),"",IF((AND(LEFT(G2519,2)=LEFT('112'!$M$9,2),B2519&lt;'112'!$K$9,$N2519='112'!$I$6)),"x",""))</f>
        <v/>
      </c>
      <c r="V2519" s="84" t="str">
        <f>IF(ISERROR(FIND('112'!$M$9,G2519,1)),"",IF((AND(RIGHT(G2519,2)=RIGHT('112'!$M$9,2),B2519&lt;'112'!$K$9,$O2519='112'!$I$6)),"x",""))</f>
        <v/>
      </c>
      <c r="W2519" s="84" t="str">
        <f>IF(AND('341-CT'!$H$9=H2519,OR(LEFT(N2519,3)=$W$7,LEFT(O2519,3)=$W$7)),"x","")</f>
        <v/>
      </c>
      <c r="X2519" s="84" t="str">
        <f>IF(OR(TH!N2519=TH!$X$7,O2519=TH!$X$7),"x","")</f>
        <v/>
      </c>
      <c r="Y2519" s="84" t="str">
        <f>IF(AND(OR(N2519="131",O2519="131"),H2519='131-CT'!$H$9),"x","")</f>
        <v/>
      </c>
      <c r="Z2519" s="84"/>
      <c r="AA2519" s="84" t="str">
        <f>IF(AND(MONTH(E2519)='IN-NX'!$J$5,'IN-NX'!$D$7=D2519),"x","")</f>
        <v/>
      </c>
      <c r="AB2519" s="84" t="str">
        <f>IF(AND(OR(LEFT(TH!N2519,2)="15",LEFT(TH!O2519,2)="15"),LEFT(TH!O2519,3)&lt;&gt;"111",'152-CT'!$J$8=TH!F2519),"x","")</f>
        <v/>
      </c>
      <c r="AC2519" s="84" t="str">
        <f>IF(AND(OR(LEFT(TH!N2519,2)="15",LEFT(TH!O2519,2)="15"),TK!$E$7=TH!F2519),"x","")</f>
        <v/>
      </c>
      <c r="AD2519" s="84" t="str">
        <f>IF(AND(N2519="1521",MONTH(C2519)='BK-NL'!$M$11),"x","")</f>
        <v/>
      </c>
    </row>
    <row r="2520" spans="1:30" s="351" customFormat="1" ht="15.75" hidden="1" customHeight="1">
      <c r="A2520" s="336" t="str">
        <f>IF(B2520&lt;&gt;"",IF(AND(B2520='IN-TC'!$S$4,OR(TH!N2520="1111",TH!O2520="1111")),TH!D2520,""),"")</f>
        <v/>
      </c>
      <c r="B2520" s="63" t="str">
        <f t="shared" si="294"/>
        <v/>
      </c>
      <c r="C2520" s="64"/>
      <c r="D2520" s="64"/>
      <c r="E2520" s="64"/>
      <c r="F2520" s="67"/>
      <c r="G2520" s="67"/>
      <c r="H2520" s="73"/>
      <c r="I2520" s="439"/>
      <c r="J2520" s="439"/>
      <c r="K2520" s="430"/>
      <c r="L2520" s="439"/>
      <c r="M2520" s="65"/>
      <c r="N2520" s="66"/>
      <c r="O2520" s="66"/>
      <c r="P2520" s="84" t="str">
        <f>IF(AND('331-CT'!$E$7=TH!H2520,OR(N2520="331",O2520="331")),"x","")</f>
        <v/>
      </c>
      <c r="Q2520" s="84" t="str">
        <f>IF(AND(B2520='111'!$L$11,OR($N2520=$Q$7,$O2520=$Q$7)),"x","")</f>
        <v/>
      </c>
      <c r="R2520" s="84" t="str">
        <f>IF(AND($N2520=$Q$7,$B2520&lt;'111'!$L$11),"x","")</f>
        <v/>
      </c>
      <c r="S2520" s="84" t="str">
        <f>IF(AND($O2520=$Q$7,$B2520&lt;'111'!$L$11),"x","")</f>
        <v/>
      </c>
      <c r="T2520" s="84" t="str">
        <f>IF(ISERROR(FIND('112'!$M$9,G2520,1)),"",IF((AND(FIND('112'!$M$9,G2520,1)&gt;=1,B2520='112'!$K$9,OR($N2520='112'!$I$6,$O2520='112'!$I$6))),"x",""))</f>
        <v/>
      </c>
      <c r="U2520" s="84" t="str">
        <f>IF(ISERROR(FIND('112'!$M$9,G2520,1)),"",IF((AND(LEFT(G2520,2)=LEFT('112'!$M$9,2),B2520&lt;'112'!$K$9,$N2520='112'!$I$6)),"x",""))</f>
        <v/>
      </c>
      <c r="V2520" s="84" t="str">
        <f>IF(ISERROR(FIND('112'!$M$9,G2520,1)),"",IF((AND(RIGHT(G2520,2)=RIGHT('112'!$M$9,2),B2520&lt;'112'!$K$9,$O2520='112'!$I$6)),"x",""))</f>
        <v/>
      </c>
      <c r="W2520" s="84" t="str">
        <f>IF(AND('341-CT'!$H$9=H2520,OR(LEFT(N2520,3)=$W$7,LEFT(O2520,3)=$W$7)),"x","")</f>
        <v/>
      </c>
      <c r="X2520" s="84" t="str">
        <f>IF(OR(TH!N2520=TH!$X$7,O2520=TH!$X$7),"x","")</f>
        <v/>
      </c>
      <c r="Y2520" s="84" t="str">
        <f>IF(AND(OR(N2520="131",O2520="131"),H2520='131-CT'!$H$9),"x","")</f>
        <v/>
      </c>
      <c r="Z2520" s="84"/>
      <c r="AA2520" s="84" t="str">
        <f>IF(AND(MONTH(E2520)='IN-NX'!$J$5,'IN-NX'!$D$7=D2520),"x","")</f>
        <v/>
      </c>
      <c r="AB2520" s="84" t="str">
        <f>IF(AND(OR(LEFT(TH!N2520,2)="15",LEFT(TH!O2520,2)="15"),LEFT(TH!O2520,3)&lt;&gt;"111",'152-CT'!$J$8=TH!F2520),"x","")</f>
        <v/>
      </c>
      <c r="AC2520" s="84" t="str">
        <f>IF(AND(OR(LEFT(TH!N2520,2)="15",LEFT(TH!O2520,2)="15"),TK!$E$7=TH!F2520),"x","")</f>
        <v/>
      </c>
      <c r="AD2520" s="84" t="str">
        <f>IF(AND(N2520="1521",MONTH(C2520)='BK-NL'!$M$11),"x","")</f>
        <v/>
      </c>
    </row>
    <row r="2521" spans="1:30" s="351" customFormat="1" ht="15.75" hidden="1" customHeight="1">
      <c r="A2521" s="336" t="str">
        <f>IF(B2521&lt;&gt;"",IF(AND(B2521='IN-TC'!$S$4,OR(TH!N2521="1111",TH!O2521="1111")),TH!D2521,""),"")</f>
        <v/>
      </c>
      <c r="B2521" s="63" t="str">
        <f t="shared" si="294"/>
        <v/>
      </c>
      <c r="C2521" s="64"/>
      <c r="D2521" s="64"/>
      <c r="E2521" s="64"/>
      <c r="F2521" s="67"/>
      <c r="G2521" s="67"/>
      <c r="H2521" s="73"/>
      <c r="I2521" s="439"/>
      <c r="J2521" s="439"/>
      <c r="K2521" s="430"/>
      <c r="L2521" s="439"/>
      <c r="M2521" s="65"/>
      <c r="N2521" s="66"/>
      <c r="O2521" s="66"/>
      <c r="P2521" s="84" t="str">
        <f>IF(AND('331-CT'!$E$7=TH!H2521,OR(N2521="331",O2521="331")),"x","")</f>
        <v/>
      </c>
      <c r="Q2521" s="84" t="str">
        <f>IF(AND(B2521='111'!$L$11,OR($N2521=$Q$7,$O2521=$Q$7)),"x","")</f>
        <v/>
      </c>
      <c r="R2521" s="84" t="str">
        <f>IF(AND($N2521=$Q$7,$B2521&lt;'111'!$L$11),"x","")</f>
        <v/>
      </c>
      <c r="S2521" s="84" t="str">
        <f>IF(AND($O2521=$Q$7,$B2521&lt;'111'!$L$11),"x","")</f>
        <v/>
      </c>
      <c r="T2521" s="84" t="str">
        <f>IF(ISERROR(FIND('112'!$M$9,G2521,1)),"",IF((AND(FIND('112'!$M$9,G2521,1)&gt;=1,B2521='112'!$K$9,OR($N2521='112'!$I$6,$O2521='112'!$I$6))),"x",""))</f>
        <v/>
      </c>
      <c r="U2521" s="84" t="str">
        <f>IF(ISERROR(FIND('112'!$M$9,G2521,1)),"",IF((AND(LEFT(G2521,2)=LEFT('112'!$M$9,2),B2521&lt;'112'!$K$9,$N2521='112'!$I$6)),"x",""))</f>
        <v/>
      </c>
      <c r="V2521" s="84" t="str">
        <f>IF(ISERROR(FIND('112'!$M$9,G2521,1)),"",IF((AND(RIGHT(G2521,2)=RIGHT('112'!$M$9,2),B2521&lt;'112'!$K$9,$O2521='112'!$I$6)),"x",""))</f>
        <v/>
      </c>
      <c r="W2521" s="84" t="str">
        <f>IF(AND('341-CT'!$H$9=H2521,OR(LEFT(N2521,3)=$W$7,LEFT(O2521,3)=$W$7)),"x","")</f>
        <v/>
      </c>
      <c r="X2521" s="84" t="str">
        <f>IF(OR(TH!N2521=TH!$X$7,O2521=TH!$X$7),"x","")</f>
        <v/>
      </c>
      <c r="Y2521" s="84" t="str">
        <f>IF(AND(OR(N2521="131",O2521="131"),H2521='131-CT'!$H$9),"x","")</f>
        <v/>
      </c>
      <c r="Z2521" s="84"/>
      <c r="AA2521" s="84" t="str">
        <f>IF(AND(MONTH(E2521)='IN-NX'!$J$5,'IN-NX'!$D$7=D2521),"x","")</f>
        <v/>
      </c>
      <c r="AB2521" s="84" t="str">
        <f>IF(AND(OR(LEFT(TH!N2521,2)="15",LEFT(TH!O2521,2)="15"),LEFT(TH!O2521,3)&lt;&gt;"111",'152-CT'!$J$8=TH!F2521),"x","")</f>
        <v/>
      </c>
      <c r="AC2521" s="84" t="str">
        <f>IF(AND(OR(LEFT(TH!N2521,2)="15",LEFT(TH!O2521,2)="15"),TK!$E$7=TH!F2521),"x","")</f>
        <v/>
      </c>
      <c r="AD2521" s="84" t="str">
        <f>IF(AND(N2521="1521",MONTH(C2521)='BK-NL'!$M$11),"x","")</f>
        <v/>
      </c>
    </row>
    <row r="2522" spans="1:30" s="351" customFormat="1" ht="15.75" hidden="1" customHeight="1">
      <c r="A2522" s="336" t="str">
        <f>IF(B2522&lt;&gt;"",IF(AND(B2522='IN-TC'!$S$4,OR(TH!N2522="1111",TH!O2522="1111")),TH!D2522,""),"")</f>
        <v/>
      </c>
      <c r="B2522" s="63" t="str">
        <f t="shared" si="294"/>
        <v/>
      </c>
      <c r="C2522" s="64"/>
      <c r="D2522" s="64"/>
      <c r="E2522" s="64"/>
      <c r="F2522" s="67"/>
      <c r="G2522" s="67"/>
      <c r="H2522" s="73"/>
      <c r="I2522" s="439"/>
      <c r="J2522" s="439"/>
      <c r="K2522" s="430"/>
      <c r="L2522" s="439"/>
      <c r="M2522" s="65"/>
      <c r="N2522" s="66"/>
      <c r="O2522" s="66"/>
      <c r="P2522" s="84" t="str">
        <f>IF(AND('331-CT'!$E$7=TH!H2522,OR(N2522="331",O2522="331")),"x","")</f>
        <v/>
      </c>
      <c r="Q2522" s="84" t="str">
        <f>IF(AND(B2522='111'!$L$11,OR($N2522=$Q$7,$O2522=$Q$7)),"x","")</f>
        <v/>
      </c>
      <c r="R2522" s="84" t="str">
        <f>IF(AND($N2522=$Q$7,$B2522&lt;'111'!$L$11),"x","")</f>
        <v/>
      </c>
      <c r="S2522" s="84" t="str">
        <f>IF(AND($O2522=$Q$7,$B2522&lt;'111'!$L$11),"x","")</f>
        <v/>
      </c>
      <c r="T2522" s="84" t="str">
        <f>IF(ISERROR(FIND('112'!$M$9,G2522,1)),"",IF((AND(FIND('112'!$M$9,G2522,1)&gt;=1,B2522='112'!$K$9,OR($N2522='112'!$I$6,$O2522='112'!$I$6))),"x",""))</f>
        <v/>
      </c>
      <c r="U2522" s="84" t="str">
        <f>IF(ISERROR(FIND('112'!$M$9,G2522,1)),"",IF((AND(LEFT(G2522,2)=LEFT('112'!$M$9,2),B2522&lt;'112'!$K$9,$N2522='112'!$I$6)),"x",""))</f>
        <v/>
      </c>
      <c r="V2522" s="84" t="str">
        <f>IF(ISERROR(FIND('112'!$M$9,G2522,1)),"",IF((AND(RIGHT(G2522,2)=RIGHT('112'!$M$9,2),B2522&lt;'112'!$K$9,$O2522='112'!$I$6)),"x",""))</f>
        <v/>
      </c>
      <c r="W2522" s="84" t="str">
        <f>IF(AND('341-CT'!$H$9=H2522,OR(LEFT(N2522,3)=$W$7,LEFT(O2522,3)=$W$7)),"x","")</f>
        <v/>
      </c>
      <c r="X2522" s="84" t="str">
        <f>IF(OR(TH!N2522=TH!$X$7,O2522=TH!$X$7),"x","")</f>
        <v/>
      </c>
      <c r="Y2522" s="84" t="str">
        <f>IF(AND(OR(N2522="131",O2522="131"),H2522='131-CT'!$H$9),"x","")</f>
        <v/>
      </c>
      <c r="Z2522" s="84"/>
      <c r="AA2522" s="84" t="str">
        <f>IF(AND(MONTH(E2522)='IN-NX'!$J$5,'IN-NX'!$D$7=D2522),"x","")</f>
        <v/>
      </c>
      <c r="AB2522" s="84" t="str">
        <f>IF(AND(OR(LEFT(TH!N2522,2)="15",LEFT(TH!O2522,2)="15"),LEFT(TH!O2522,3)&lt;&gt;"111",'152-CT'!$J$8=TH!F2522),"x","")</f>
        <v/>
      </c>
      <c r="AC2522" s="84" t="str">
        <f>IF(AND(OR(LEFT(TH!N2522,2)="15",LEFT(TH!O2522,2)="15"),TK!$E$7=TH!F2522),"x","")</f>
        <v/>
      </c>
      <c r="AD2522" s="84" t="str">
        <f>IF(AND(N2522="1521",MONTH(C2522)='BK-NL'!$M$11),"x","")</f>
        <v/>
      </c>
    </row>
    <row r="2523" spans="1:30" s="351" customFormat="1" ht="15.75" hidden="1" customHeight="1">
      <c r="A2523" s="336" t="str">
        <f>IF(B2523&lt;&gt;"",IF(AND(B2523='IN-TC'!$S$4,OR(TH!N2523="1111",TH!O2523="1111")),TH!D2523,""),"")</f>
        <v/>
      </c>
      <c r="B2523" s="63" t="str">
        <f t="shared" si="294"/>
        <v/>
      </c>
      <c r="C2523" s="64"/>
      <c r="D2523" s="64"/>
      <c r="E2523" s="64"/>
      <c r="F2523" s="67"/>
      <c r="G2523" s="67"/>
      <c r="H2523" s="73"/>
      <c r="I2523" s="439"/>
      <c r="J2523" s="439"/>
      <c r="K2523" s="430"/>
      <c r="L2523" s="439"/>
      <c r="M2523" s="65"/>
      <c r="N2523" s="66"/>
      <c r="O2523" s="66"/>
      <c r="P2523" s="84" t="str">
        <f>IF(AND('331-CT'!$E$7=TH!H2523,OR(N2523="331",O2523="331")),"x","")</f>
        <v/>
      </c>
      <c r="Q2523" s="84" t="str">
        <f>IF(AND(B2523='111'!$L$11,OR($N2523=$Q$7,$O2523=$Q$7)),"x","")</f>
        <v/>
      </c>
      <c r="R2523" s="84" t="str">
        <f>IF(AND($N2523=$Q$7,$B2523&lt;'111'!$L$11),"x","")</f>
        <v/>
      </c>
      <c r="S2523" s="84" t="str">
        <f>IF(AND($O2523=$Q$7,$B2523&lt;'111'!$L$11),"x","")</f>
        <v/>
      </c>
      <c r="T2523" s="84" t="str">
        <f>IF(ISERROR(FIND('112'!$M$9,G2523,1)),"",IF((AND(FIND('112'!$M$9,G2523,1)&gt;=1,B2523='112'!$K$9,OR($N2523='112'!$I$6,$O2523='112'!$I$6))),"x",""))</f>
        <v/>
      </c>
      <c r="U2523" s="84" t="str">
        <f>IF(ISERROR(FIND('112'!$M$9,G2523,1)),"",IF((AND(LEFT(G2523,2)=LEFT('112'!$M$9,2),B2523&lt;'112'!$K$9,$N2523='112'!$I$6)),"x",""))</f>
        <v/>
      </c>
      <c r="V2523" s="84" t="str">
        <f>IF(ISERROR(FIND('112'!$M$9,G2523,1)),"",IF((AND(RIGHT(G2523,2)=RIGHT('112'!$M$9,2),B2523&lt;'112'!$K$9,$O2523='112'!$I$6)),"x",""))</f>
        <v/>
      </c>
      <c r="W2523" s="84" t="str">
        <f>IF(AND('341-CT'!$H$9=H2523,OR(LEFT(N2523,3)=$W$7,LEFT(O2523,3)=$W$7)),"x","")</f>
        <v/>
      </c>
      <c r="X2523" s="84" t="str">
        <f>IF(OR(TH!N2523=TH!$X$7,O2523=TH!$X$7),"x","")</f>
        <v/>
      </c>
      <c r="Y2523" s="84" t="str">
        <f>IF(AND(OR(N2523="131",O2523="131"),H2523='131-CT'!$H$9),"x","")</f>
        <v/>
      </c>
      <c r="Z2523" s="84"/>
      <c r="AA2523" s="84" t="str">
        <f>IF(AND(MONTH(E2523)='IN-NX'!$J$5,'IN-NX'!$D$7=D2523),"x","")</f>
        <v/>
      </c>
      <c r="AB2523" s="84" t="str">
        <f>IF(AND(OR(LEFT(TH!N2523,2)="15",LEFT(TH!O2523,2)="15"),LEFT(TH!O2523,3)&lt;&gt;"111",'152-CT'!$J$8=TH!F2523),"x","")</f>
        <v/>
      </c>
      <c r="AC2523" s="84" t="str">
        <f>IF(AND(OR(LEFT(TH!N2523,2)="15",LEFT(TH!O2523,2)="15"),TK!$E$7=TH!F2523),"x","")</f>
        <v/>
      </c>
      <c r="AD2523" s="84" t="str">
        <f>IF(AND(N2523="1521",MONTH(C2523)='BK-NL'!$M$11),"x","")</f>
        <v/>
      </c>
    </row>
    <row r="2524" spans="1:30" s="351" customFormat="1" ht="15.75" hidden="1" customHeight="1">
      <c r="A2524" s="336" t="str">
        <f>IF(B2524&lt;&gt;"",IF(AND(B2524='IN-TC'!$S$4,OR(TH!N2524="1111",TH!O2524="1111")),TH!D2524,""),"")</f>
        <v/>
      </c>
      <c r="B2524" s="63" t="str">
        <f t="shared" si="294"/>
        <v/>
      </c>
      <c r="C2524" s="64"/>
      <c r="D2524" s="64"/>
      <c r="E2524" s="64"/>
      <c r="F2524" s="67"/>
      <c r="G2524" s="67"/>
      <c r="H2524" s="73"/>
      <c r="I2524" s="439"/>
      <c r="J2524" s="439"/>
      <c r="K2524" s="430"/>
      <c r="L2524" s="439"/>
      <c r="M2524" s="65"/>
      <c r="N2524" s="66"/>
      <c r="O2524" s="66"/>
      <c r="P2524" s="84" t="str">
        <f>IF(AND('331-CT'!$E$7=TH!H2524,OR(N2524="331",O2524="331")),"x","")</f>
        <v/>
      </c>
      <c r="Q2524" s="84" t="str">
        <f>IF(AND(B2524='111'!$L$11,OR($N2524=$Q$7,$O2524=$Q$7)),"x","")</f>
        <v/>
      </c>
      <c r="R2524" s="84" t="str">
        <f>IF(AND($N2524=$Q$7,$B2524&lt;'111'!$L$11),"x","")</f>
        <v/>
      </c>
      <c r="S2524" s="84" t="str">
        <f>IF(AND($O2524=$Q$7,$B2524&lt;'111'!$L$11),"x","")</f>
        <v/>
      </c>
      <c r="T2524" s="84" t="str">
        <f>IF(ISERROR(FIND('112'!$M$9,G2524,1)),"",IF((AND(FIND('112'!$M$9,G2524,1)&gt;=1,B2524='112'!$K$9,OR($N2524='112'!$I$6,$O2524='112'!$I$6))),"x",""))</f>
        <v/>
      </c>
      <c r="U2524" s="84" t="str">
        <f>IF(ISERROR(FIND('112'!$M$9,G2524,1)),"",IF((AND(LEFT(G2524,2)=LEFT('112'!$M$9,2),B2524&lt;'112'!$K$9,$N2524='112'!$I$6)),"x",""))</f>
        <v/>
      </c>
      <c r="V2524" s="84" t="str">
        <f>IF(ISERROR(FIND('112'!$M$9,G2524,1)),"",IF((AND(RIGHT(G2524,2)=RIGHT('112'!$M$9,2),B2524&lt;'112'!$K$9,$O2524='112'!$I$6)),"x",""))</f>
        <v/>
      </c>
      <c r="W2524" s="84" t="str">
        <f>IF(AND('341-CT'!$H$9=H2524,OR(LEFT(N2524,3)=$W$7,LEFT(O2524,3)=$W$7)),"x","")</f>
        <v/>
      </c>
      <c r="X2524" s="84" t="str">
        <f>IF(OR(TH!N2524=TH!$X$7,O2524=TH!$X$7),"x","")</f>
        <v/>
      </c>
      <c r="Y2524" s="84" t="str">
        <f>IF(AND(OR(N2524="131",O2524="131"),H2524='131-CT'!$H$9),"x","")</f>
        <v/>
      </c>
      <c r="Z2524" s="84"/>
      <c r="AA2524" s="84" t="str">
        <f>IF(AND(MONTH(E2524)='IN-NX'!$J$5,'IN-NX'!$D$7=D2524),"x","")</f>
        <v/>
      </c>
      <c r="AB2524" s="84" t="str">
        <f>IF(AND(OR(LEFT(TH!N2524,2)="15",LEFT(TH!O2524,2)="15"),LEFT(TH!O2524,3)&lt;&gt;"111",'152-CT'!$J$8=TH!F2524),"x","")</f>
        <v/>
      </c>
      <c r="AC2524" s="84" t="str">
        <f>IF(AND(OR(LEFT(TH!N2524,2)="15",LEFT(TH!O2524,2)="15"),TK!$E$7=TH!F2524),"x","")</f>
        <v/>
      </c>
      <c r="AD2524" s="84" t="str">
        <f>IF(AND(N2524="1521",MONTH(C2524)='BK-NL'!$M$11),"x","")</f>
        <v/>
      </c>
    </row>
    <row r="2525" spans="1:30" s="351" customFormat="1" ht="15.75" hidden="1" customHeight="1">
      <c r="A2525" s="336" t="str">
        <f>IF(B2525&lt;&gt;"",IF(AND(B2525='IN-TC'!$S$4,OR(TH!N2525="1111",TH!O2525="1111")),TH!D2525,""),"")</f>
        <v/>
      </c>
      <c r="B2525" s="63" t="str">
        <f t="shared" si="294"/>
        <v/>
      </c>
      <c r="C2525" s="64"/>
      <c r="D2525" s="64"/>
      <c r="E2525" s="64"/>
      <c r="F2525" s="67"/>
      <c r="G2525" s="67"/>
      <c r="H2525" s="73"/>
      <c r="I2525" s="439"/>
      <c r="J2525" s="439"/>
      <c r="K2525" s="430"/>
      <c r="L2525" s="439"/>
      <c r="M2525" s="65"/>
      <c r="N2525" s="66"/>
      <c r="O2525" s="66"/>
      <c r="P2525" s="84" t="str">
        <f>IF(AND('331-CT'!$E$7=TH!H2525,OR(N2525="331",O2525="331")),"x","")</f>
        <v/>
      </c>
      <c r="Q2525" s="84" t="str">
        <f>IF(AND(B2525='111'!$L$11,OR($N2525=$Q$7,$O2525=$Q$7)),"x","")</f>
        <v/>
      </c>
      <c r="R2525" s="84" t="str">
        <f>IF(AND($N2525=$Q$7,$B2525&lt;'111'!$L$11),"x","")</f>
        <v/>
      </c>
      <c r="S2525" s="84" t="str">
        <f>IF(AND($O2525=$Q$7,$B2525&lt;'111'!$L$11),"x","")</f>
        <v/>
      </c>
      <c r="T2525" s="84" t="str">
        <f>IF(ISERROR(FIND('112'!$M$9,G2525,1)),"",IF((AND(FIND('112'!$M$9,G2525,1)&gt;=1,B2525='112'!$K$9,OR($N2525='112'!$I$6,$O2525='112'!$I$6))),"x",""))</f>
        <v/>
      </c>
      <c r="U2525" s="84" t="str">
        <f>IF(ISERROR(FIND('112'!$M$9,G2525,1)),"",IF((AND(LEFT(G2525,2)=LEFT('112'!$M$9,2),B2525&lt;'112'!$K$9,$N2525='112'!$I$6)),"x",""))</f>
        <v/>
      </c>
      <c r="V2525" s="84" t="str">
        <f>IF(ISERROR(FIND('112'!$M$9,G2525,1)),"",IF((AND(RIGHT(G2525,2)=RIGHT('112'!$M$9,2),B2525&lt;'112'!$K$9,$O2525='112'!$I$6)),"x",""))</f>
        <v/>
      </c>
      <c r="W2525" s="84" t="str">
        <f>IF(AND('341-CT'!$H$9=H2525,OR(LEFT(N2525,3)=$W$7,LEFT(O2525,3)=$W$7)),"x","")</f>
        <v/>
      </c>
      <c r="X2525" s="84" t="str">
        <f>IF(OR(TH!N2525=TH!$X$7,O2525=TH!$X$7),"x","")</f>
        <v/>
      </c>
      <c r="Y2525" s="84" t="str">
        <f>IF(AND(OR(N2525="131",O2525="131"),H2525='131-CT'!$H$9),"x","")</f>
        <v/>
      </c>
      <c r="Z2525" s="84"/>
      <c r="AA2525" s="84" t="str">
        <f>IF(AND(MONTH(E2525)='IN-NX'!$J$5,'IN-NX'!$D$7=D2525),"x","")</f>
        <v/>
      </c>
      <c r="AB2525" s="84" t="str">
        <f>IF(AND(OR(LEFT(TH!N2525,2)="15",LEFT(TH!O2525,2)="15"),LEFT(TH!O2525,3)&lt;&gt;"111",'152-CT'!$J$8=TH!F2525),"x","")</f>
        <v/>
      </c>
      <c r="AC2525" s="84" t="str">
        <f>IF(AND(OR(LEFT(TH!N2525,2)="15",LEFT(TH!O2525,2)="15"),TK!$E$7=TH!F2525),"x","")</f>
        <v/>
      </c>
      <c r="AD2525" s="84" t="str">
        <f>IF(AND(N2525="1521",MONTH(C2525)='BK-NL'!$M$11),"x","")</f>
        <v/>
      </c>
    </row>
    <row r="2526" spans="1:30" s="351" customFormat="1" ht="15.75" hidden="1" customHeight="1">
      <c r="A2526" s="336" t="str">
        <f>IF(B2526&lt;&gt;"",IF(AND(B2526='IN-TC'!$S$4,OR(TH!N2526="1111",TH!O2526="1111")),TH!D2526,""),"")</f>
        <v/>
      </c>
      <c r="B2526" s="63" t="str">
        <f t="shared" si="294"/>
        <v/>
      </c>
      <c r="C2526" s="64"/>
      <c r="D2526" s="64"/>
      <c r="E2526" s="64"/>
      <c r="F2526" s="67"/>
      <c r="G2526" s="67"/>
      <c r="H2526" s="73"/>
      <c r="I2526" s="439"/>
      <c r="J2526" s="439"/>
      <c r="K2526" s="430"/>
      <c r="L2526" s="439"/>
      <c r="M2526" s="65"/>
      <c r="N2526" s="66"/>
      <c r="O2526" s="66"/>
      <c r="P2526" s="84" t="str">
        <f>IF(AND('331-CT'!$E$7=TH!H2526,OR(N2526="331",O2526="331")),"x","")</f>
        <v/>
      </c>
      <c r="Q2526" s="84" t="str">
        <f>IF(AND(B2526='111'!$L$11,OR($N2526=$Q$7,$O2526=$Q$7)),"x","")</f>
        <v/>
      </c>
      <c r="R2526" s="84" t="str">
        <f>IF(AND($N2526=$Q$7,$B2526&lt;'111'!$L$11),"x","")</f>
        <v/>
      </c>
      <c r="S2526" s="84" t="str">
        <f>IF(AND($O2526=$Q$7,$B2526&lt;'111'!$L$11),"x","")</f>
        <v/>
      </c>
      <c r="T2526" s="84" t="str">
        <f>IF(ISERROR(FIND('112'!$M$9,G2526,1)),"",IF((AND(FIND('112'!$M$9,G2526,1)&gt;=1,B2526='112'!$K$9,OR($N2526='112'!$I$6,$O2526='112'!$I$6))),"x",""))</f>
        <v/>
      </c>
      <c r="U2526" s="84" t="str">
        <f>IF(ISERROR(FIND('112'!$M$9,G2526,1)),"",IF((AND(LEFT(G2526,2)=LEFT('112'!$M$9,2),B2526&lt;'112'!$K$9,$N2526='112'!$I$6)),"x",""))</f>
        <v/>
      </c>
      <c r="V2526" s="84" t="str">
        <f>IF(ISERROR(FIND('112'!$M$9,G2526,1)),"",IF((AND(RIGHT(G2526,2)=RIGHT('112'!$M$9,2),B2526&lt;'112'!$K$9,$O2526='112'!$I$6)),"x",""))</f>
        <v/>
      </c>
      <c r="W2526" s="84" t="str">
        <f>IF(AND('341-CT'!$H$9=H2526,OR(LEFT(N2526,3)=$W$7,LEFT(O2526,3)=$W$7)),"x","")</f>
        <v/>
      </c>
      <c r="X2526" s="84" t="str">
        <f>IF(OR(TH!N2526=TH!$X$7,O2526=TH!$X$7),"x","")</f>
        <v/>
      </c>
      <c r="Y2526" s="84" t="str">
        <f>IF(AND(OR(N2526="131",O2526="131"),H2526='131-CT'!$H$9),"x","")</f>
        <v/>
      </c>
      <c r="Z2526" s="84"/>
      <c r="AA2526" s="84" t="str">
        <f>IF(AND(MONTH(E2526)='IN-NX'!$J$5,'IN-NX'!$D$7=D2526),"x","")</f>
        <v/>
      </c>
      <c r="AB2526" s="84" t="str">
        <f>IF(AND(OR(LEFT(TH!N2526,2)="15",LEFT(TH!O2526,2)="15"),LEFT(TH!O2526,3)&lt;&gt;"111",'152-CT'!$J$8=TH!F2526),"x","")</f>
        <v/>
      </c>
      <c r="AC2526" s="84" t="str">
        <f>IF(AND(OR(LEFT(TH!N2526,2)="15",LEFT(TH!O2526,2)="15"),TK!$E$7=TH!F2526),"x","")</f>
        <v/>
      </c>
      <c r="AD2526" s="84" t="str">
        <f>IF(AND(N2526="1521",MONTH(C2526)='BK-NL'!$M$11),"x","")</f>
        <v/>
      </c>
    </row>
    <row r="2527" spans="1:30" s="351" customFormat="1" ht="15.75" hidden="1" customHeight="1">
      <c r="A2527" s="336" t="str">
        <f>IF(B2527&lt;&gt;"",IF(AND(B2527='IN-TC'!$S$4,OR(TH!N2527="1111",TH!O2527="1111")),TH!D2527,""),"")</f>
        <v/>
      </c>
      <c r="B2527" s="63" t="str">
        <f t="shared" si="294"/>
        <v/>
      </c>
      <c r="C2527" s="64"/>
      <c r="D2527" s="64"/>
      <c r="E2527" s="64"/>
      <c r="F2527" s="67"/>
      <c r="G2527" s="67"/>
      <c r="H2527" s="73"/>
      <c r="I2527" s="439"/>
      <c r="J2527" s="439"/>
      <c r="K2527" s="430"/>
      <c r="L2527" s="439"/>
      <c r="M2527" s="65"/>
      <c r="N2527" s="66"/>
      <c r="O2527" s="66"/>
      <c r="P2527" s="84" t="str">
        <f>IF(AND('331-CT'!$E$7=TH!H2527,OR(N2527="331",O2527="331")),"x","")</f>
        <v/>
      </c>
      <c r="Q2527" s="84" t="str">
        <f>IF(AND(B2527='111'!$L$11,OR($N2527=$Q$7,$O2527=$Q$7)),"x","")</f>
        <v/>
      </c>
      <c r="R2527" s="84" t="str">
        <f>IF(AND($N2527=$Q$7,$B2527&lt;'111'!$L$11),"x","")</f>
        <v/>
      </c>
      <c r="S2527" s="84" t="str">
        <f>IF(AND($O2527=$Q$7,$B2527&lt;'111'!$L$11),"x","")</f>
        <v/>
      </c>
      <c r="T2527" s="84" t="str">
        <f>IF(ISERROR(FIND('112'!$M$9,G2527,1)),"",IF((AND(FIND('112'!$M$9,G2527,1)&gt;=1,B2527='112'!$K$9,OR($N2527='112'!$I$6,$O2527='112'!$I$6))),"x",""))</f>
        <v/>
      </c>
      <c r="U2527" s="84" t="str">
        <f>IF(ISERROR(FIND('112'!$M$9,G2527,1)),"",IF((AND(LEFT(G2527,2)=LEFT('112'!$M$9,2),B2527&lt;'112'!$K$9,$N2527='112'!$I$6)),"x",""))</f>
        <v/>
      </c>
      <c r="V2527" s="84" t="str">
        <f>IF(ISERROR(FIND('112'!$M$9,G2527,1)),"",IF((AND(RIGHT(G2527,2)=RIGHT('112'!$M$9,2),B2527&lt;'112'!$K$9,$O2527='112'!$I$6)),"x",""))</f>
        <v/>
      </c>
      <c r="W2527" s="84" t="str">
        <f>IF(AND('341-CT'!$H$9=H2527,OR(LEFT(N2527,3)=$W$7,LEFT(O2527,3)=$W$7)),"x","")</f>
        <v/>
      </c>
      <c r="X2527" s="84" t="str">
        <f>IF(OR(TH!N2527=TH!$X$7,O2527=TH!$X$7),"x","")</f>
        <v/>
      </c>
      <c r="Y2527" s="84" t="str">
        <f>IF(AND(OR(N2527="131",O2527="131"),H2527='131-CT'!$H$9),"x","")</f>
        <v/>
      </c>
      <c r="Z2527" s="84"/>
      <c r="AA2527" s="84" t="str">
        <f>IF(AND(MONTH(E2527)='IN-NX'!$J$5,'IN-NX'!$D$7=D2527),"x","")</f>
        <v/>
      </c>
      <c r="AB2527" s="84" t="str">
        <f>IF(AND(OR(LEFT(TH!N2527,2)="15",LEFT(TH!O2527,2)="15"),LEFT(TH!O2527,3)&lt;&gt;"111",'152-CT'!$J$8=TH!F2527),"x","")</f>
        <v/>
      </c>
      <c r="AC2527" s="84" t="str">
        <f>IF(AND(OR(LEFT(TH!N2527,2)="15",LEFT(TH!O2527,2)="15"),TK!$E$7=TH!F2527),"x","")</f>
        <v/>
      </c>
      <c r="AD2527" s="84" t="str">
        <f>IF(AND(N2527="1521",MONTH(C2527)='BK-NL'!$M$11),"x","")</f>
        <v/>
      </c>
    </row>
    <row r="2528" spans="1:30" s="351" customFormat="1" ht="15.75" hidden="1" customHeight="1">
      <c r="A2528" s="336" t="str">
        <f>IF(B2528&lt;&gt;"",IF(AND(B2528='IN-TC'!$S$4,OR(TH!N2528="1111",TH!O2528="1111")),TH!D2528,""),"")</f>
        <v/>
      </c>
      <c r="B2528" s="63" t="str">
        <f t="shared" si="294"/>
        <v/>
      </c>
      <c r="C2528" s="64"/>
      <c r="D2528" s="64"/>
      <c r="E2528" s="64"/>
      <c r="F2528" s="67"/>
      <c r="G2528" s="67"/>
      <c r="H2528" s="73"/>
      <c r="I2528" s="439"/>
      <c r="J2528" s="439"/>
      <c r="K2528" s="430"/>
      <c r="L2528" s="439"/>
      <c r="M2528" s="65"/>
      <c r="N2528" s="66"/>
      <c r="O2528" s="66"/>
      <c r="P2528" s="84" t="str">
        <f>IF(AND('331-CT'!$E$7=TH!H2528,OR(N2528="331",O2528="331")),"x","")</f>
        <v/>
      </c>
      <c r="Q2528" s="84" t="str">
        <f>IF(AND(B2528='111'!$L$11,OR($N2528=$Q$7,$O2528=$Q$7)),"x","")</f>
        <v/>
      </c>
      <c r="R2528" s="84" t="str">
        <f>IF(AND($N2528=$Q$7,$B2528&lt;'111'!$L$11),"x","")</f>
        <v/>
      </c>
      <c r="S2528" s="84" t="str">
        <f>IF(AND($O2528=$Q$7,$B2528&lt;'111'!$L$11),"x","")</f>
        <v/>
      </c>
      <c r="T2528" s="84" t="str">
        <f>IF(ISERROR(FIND('112'!$M$9,G2528,1)),"",IF((AND(FIND('112'!$M$9,G2528,1)&gt;=1,B2528='112'!$K$9,OR($N2528='112'!$I$6,$O2528='112'!$I$6))),"x",""))</f>
        <v/>
      </c>
      <c r="U2528" s="84" t="str">
        <f>IF(ISERROR(FIND('112'!$M$9,G2528,1)),"",IF((AND(LEFT(G2528,2)=LEFT('112'!$M$9,2),B2528&lt;'112'!$K$9,$N2528='112'!$I$6)),"x",""))</f>
        <v/>
      </c>
      <c r="V2528" s="84" t="str">
        <f>IF(ISERROR(FIND('112'!$M$9,G2528,1)),"",IF((AND(RIGHT(G2528,2)=RIGHT('112'!$M$9,2),B2528&lt;'112'!$K$9,$O2528='112'!$I$6)),"x",""))</f>
        <v/>
      </c>
      <c r="W2528" s="84" t="str">
        <f>IF(AND('341-CT'!$H$9=H2528,OR(LEFT(N2528,3)=$W$7,LEFT(O2528,3)=$W$7)),"x","")</f>
        <v/>
      </c>
      <c r="X2528" s="84" t="str">
        <f>IF(OR(TH!N2528=TH!$X$7,O2528=TH!$X$7),"x","")</f>
        <v/>
      </c>
      <c r="Y2528" s="84" t="str">
        <f>IF(AND(OR(N2528="131",O2528="131"),H2528='131-CT'!$H$9),"x","")</f>
        <v/>
      </c>
      <c r="Z2528" s="84"/>
      <c r="AA2528" s="84" t="str">
        <f>IF(AND(MONTH(E2528)='IN-NX'!$J$5,'IN-NX'!$D$7=D2528),"x","")</f>
        <v/>
      </c>
      <c r="AB2528" s="84" t="str">
        <f>IF(AND(OR(LEFT(TH!N2528,2)="15",LEFT(TH!O2528,2)="15"),LEFT(TH!O2528,3)&lt;&gt;"111",'152-CT'!$J$8=TH!F2528),"x","")</f>
        <v/>
      </c>
      <c r="AC2528" s="84" t="str">
        <f>IF(AND(OR(LEFT(TH!N2528,2)="15",LEFT(TH!O2528,2)="15"),TK!$E$7=TH!F2528),"x","")</f>
        <v/>
      </c>
      <c r="AD2528" s="84" t="str">
        <f>IF(AND(N2528="1521",MONTH(C2528)='BK-NL'!$M$11),"x","")</f>
        <v/>
      </c>
    </row>
    <row r="2529" spans="1:30" s="351" customFormat="1" ht="15.75" hidden="1" customHeight="1">
      <c r="A2529" s="336" t="str">
        <f>IF(B2529&lt;&gt;"",IF(AND(B2529='IN-TC'!$S$4,OR(TH!N2529="1111",TH!O2529="1111")),TH!D2529,""),"")</f>
        <v/>
      </c>
      <c r="B2529" s="63" t="str">
        <f t="shared" si="294"/>
        <v/>
      </c>
      <c r="C2529" s="64"/>
      <c r="D2529" s="64"/>
      <c r="E2529" s="64"/>
      <c r="F2529" s="67"/>
      <c r="G2529" s="67"/>
      <c r="H2529" s="73"/>
      <c r="I2529" s="439"/>
      <c r="J2529" s="439"/>
      <c r="K2529" s="430"/>
      <c r="L2529" s="439"/>
      <c r="M2529" s="65"/>
      <c r="N2529" s="66"/>
      <c r="O2529" s="66"/>
      <c r="P2529" s="84" t="str">
        <f>IF(AND('331-CT'!$E$7=TH!H2529,OR(N2529="331",O2529="331")),"x","")</f>
        <v/>
      </c>
      <c r="Q2529" s="84" t="str">
        <f>IF(AND(B2529='111'!$L$11,OR($N2529=$Q$7,$O2529=$Q$7)),"x","")</f>
        <v/>
      </c>
      <c r="R2529" s="84" t="str">
        <f>IF(AND($N2529=$Q$7,$B2529&lt;'111'!$L$11),"x","")</f>
        <v/>
      </c>
      <c r="S2529" s="84" t="str">
        <f>IF(AND($O2529=$Q$7,$B2529&lt;'111'!$L$11),"x","")</f>
        <v/>
      </c>
      <c r="T2529" s="84" t="str">
        <f>IF(ISERROR(FIND('112'!$M$9,G2529,1)),"",IF((AND(FIND('112'!$M$9,G2529,1)&gt;=1,B2529='112'!$K$9,OR($N2529='112'!$I$6,$O2529='112'!$I$6))),"x",""))</f>
        <v/>
      </c>
      <c r="U2529" s="84" t="str">
        <f>IF(ISERROR(FIND('112'!$M$9,G2529,1)),"",IF((AND(LEFT(G2529,2)=LEFT('112'!$M$9,2),B2529&lt;'112'!$K$9,$N2529='112'!$I$6)),"x",""))</f>
        <v/>
      </c>
      <c r="V2529" s="84" t="str">
        <f>IF(ISERROR(FIND('112'!$M$9,G2529,1)),"",IF((AND(RIGHT(G2529,2)=RIGHT('112'!$M$9,2),B2529&lt;'112'!$K$9,$O2529='112'!$I$6)),"x",""))</f>
        <v/>
      </c>
      <c r="W2529" s="84" t="str">
        <f>IF(AND('341-CT'!$H$9=H2529,OR(LEFT(N2529,3)=$W$7,LEFT(O2529,3)=$W$7)),"x","")</f>
        <v/>
      </c>
      <c r="X2529" s="84" t="str">
        <f>IF(OR(TH!N2529=TH!$X$7,O2529=TH!$X$7),"x","")</f>
        <v/>
      </c>
      <c r="Y2529" s="84" t="str">
        <f>IF(AND(OR(N2529="131",O2529="131"),H2529='131-CT'!$H$9),"x","")</f>
        <v/>
      </c>
      <c r="Z2529" s="84"/>
      <c r="AA2529" s="84" t="str">
        <f>IF(AND(MONTH(E2529)='IN-NX'!$J$5,'IN-NX'!$D$7=D2529),"x","")</f>
        <v/>
      </c>
      <c r="AB2529" s="84" t="str">
        <f>IF(AND(OR(LEFT(TH!N2529,2)="15",LEFT(TH!O2529,2)="15"),LEFT(TH!O2529,3)&lt;&gt;"111",'152-CT'!$J$8=TH!F2529),"x","")</f>
        <v/>
      </c>
      <c r="AC2529" s="84" t="str">
        <f>IF(AND(OR(LEFT(TH!N2529,2)="15",LEFT(TH!O2529,2)="15"),TK!$E$7=TH!F2529),"x","")</f>
        <v/>
      </c>
      <c r="AD2529" s="84" t="str">
        <f>IF(AND(N2529="1521",MONTH(C2529)='BK-NL'!$M$11),"x","")</f>
        <v/>
      </c>
    </row>
    <row r="2530" spans="1:30" s="351" customFormat="1" ht="15.75" hidden="1" customHeight="1">
      <c r="A2530" s="336" t="str">
        <f>IF(B2530&lt;&gt;"",IF(AND(B2530='IN-TC'!$S$4,OR(TH!N2530="1111",TH!O2530="1111")),TH!D2530,""),"")</f>
        <v/>
      </c>
      <c r="B2530" s="63" t="str">
        <f t="shared" si="294"/>
        <v/>
      </c>
      <c r="C2530" s="64"/>
      <c r="D2530" s="64"/>
      <c r="E2530" s="64"/>
      <c r="F2530" s="67"/>
      <c r="G2530" s="67"/>
      <c r="H2530" s="73"/>
      <c r="I2530" s="439"/>
      <c r="J2530" s="439"/>
      <c r="K2530" s="430"/>
      <c r="L2530" s="439"/>
      <c r="M2530" s="65"/>
      <c r="N2530" s="66"/>
      <c r="O2530" s="66"/>
      <c r="P2530" s="84" t="str">
        <f>IF(AND('331-CT'!$E$7=TH!H2530,OR(N2530="331",O2530="331")),"x","")</f>
        <v/>
      </c>
      <c r="Q2530" s="84" t="str">
        <f>IF(AND(B2530='111'!$L$11,OR($N2530=$Q$7,$O2530=$Q$7)),"x","")</f>
        <v/>
      </c>
      <c r="R2530" s="84" t="str">
        <f>IF(AND($N2530=$Q$7,$B2530&lt;'111'!$L$11),"x","")</f>
        <v/>
      </c>
      <c r="S2530" s="84" t="str">
        <f>IF(AND($O2530=$Q$7,$B2530&lt;'111'!$L$11),"x","")</f>
        <v/>
      </c>
      <c r="T2530" s="84" t="str">
        <f>IF(ISERROR(FIND('112'!$M$9,G2530,1)),"",IF((AND(FIND('112'!$M$9,G2530,1)&gt;=1,B2530='112'!$K$9,OR($N2530='112'!$I$6,$O2530='112'!$I$6))),"x",""))</f>
        <v/>
      </c>
      <c r="U2530" s="84" t="str">
        <f>IF(ISERROR(FIND('112'!$M$9,G2530,1)),"",IF((AND(LEFT(G2530,2)=LEFT('112'!$M$9,2),B2530&lt;'112'!$K$9,$N2530='112'!$I$6)),"x",""))</f>
        <v/>
      </c>
      <c r="V2530" s="84" t="str">
        <f>IF(ISERROR(FIND('112'!$M$9,G2530,1)),"",IF((AND(RIGHT(G2530,2)=RIGHT('112'!$M$9,2),B2530&lt;'112'!$K$9,$O2530='112'!$I$6)),"x",""))</f>
        <v/>
      </c>
      <c r="W2530" s="84" t="str">
        <f>IF(AND('341-CT'!$H$9=H2530,OR(LEFT(N2530,3)=$W$7,LEFT(O2530,3)=$W$7)),"x","")</f>
        <v/>
      </c>
      <c r="X2530" s="84" t="str">
        <f>IF(OR(TH!N2530=TH!$X$7,O2530=TH!$X$7),"x","")</f>
        <v/>
      </c>
      <c r="Y2530" s="84" t="str">
        <f>IF(AND(OR(N2530="131",O2530="131"),H2530='131-CT'!$H$9),"x","")</f>
        <v/>
      </c>
      <c r="Z2530" s="84"/>
      <c r="AA2530" s="84" t="str">
        <f>IF(AND(MONTH(E2530)='IN-NX'!$J$5,'IN-NX'!$D$7=D2530),"x","")</f>
        <v/>
      </c>
      <c r="AB2530" s="84" t="str">
        <f>IF(AND(OR(LEFT(TH!N2530,2)="15",LEFT(TH!O2530,2)="15"),LEFT(TH!O2530,3)&lt;&gt;"111",'152-CT'!$J$8=TH!F2530),"x","")</f>
        <v/>
      </c>
      <c r="AC2530" s="84" t="str">
        <f>IF(AND(OR(LEFT(TH!N2530,2)="15",LEFT(TH!O2530,2)="15"),TK!$E$7=TH!F2530),"x","")</f>
        <v/>
      </c>
      <c r="AD2530" s="84" t="str">
        <f>IF(AND(N2530="1521",MONTH(C2530)='BK-NL'!$M$11),"x","")</f>
        <v/>
      </c>
    </row>
    <row r="2531" spans="1:30" s="351" customFormat="1" ht="15.75" hidden="1" customHeight="1">
      <c r="A2531" s="336" t="str">
        <f>IF(B2531&lt;&gt;"",IF(AND(B2531='IN-TC'!$S$4,OR(TH!N2531="1111",TH!O2531="1111")),TH!D2531,""),"")</f>
        <v/>
      </c>
      <c r="B2531" s="63" t="str">
        <f t="shared" si="294"/>
        <v/>
      </c>
      <c r="C2531" s="64"/>
      <c r="D2531" s="64"/>
      <c r="E2531" s="64"/>
      <c r="F2531" s="67"/>
      <c r="G2531" s="67"/>
      <c r="H2531" s="73"/>
      <c r="I2531" s="439"/>
      <c r="J2531" s="439"/>
      <c r="K2531" s="430"/>
      <c r="L2531" s="439"/>
      <c r="M2531" s="65"/>
      <c r="N2531" s="66"/>
      <c r="O2531" s="66"/>
      <c r="P2531" s="84" t="str">
        <f>IF(AND('331-CT'!$E$7=TH!H2531,OR(N2531="331",O2531="331")),"x","")</f>
        <v/>
      </c>
      <c r="Q2531" s="84" t="str">
        <f>IF(AND(B2531='111'!$L$11,OR($N2531=$Q$7,$O2531=$Q$7)),"x","")</f>
        <v/>
      </c>
      <c r="R2531" s="84" t="str">
        <f>IF(AND($N2531=$Q$7,$B2531&lt;'111'!$L$11),"x","")</f>
        <v/>
      </c>
      <c r="S2531" s="84" t="str">
        <f>IF(AND($O2531=$Q$7,$B2531&lt;'111'!$L$11),"x","")</f>
        <v/>
      </c>
      <c r="T2531" s="84" t="str">
        <f>IF(ISERROR(FIND('112'!$M$9,G2531,1)),"",IF((AND(FIND('112'!$M$9,G2531,1)&gt;=1,B2531='112'!$K$9,OR($N2531='112'!$I$6,$O2531='112'!$I$6))),"x",""))</f>
        <v/>
      </c>
      <c r="U2531" s="84" t="str">
        <f>IF(ISERROR(FIND('112'!$M$9,G2531,1)),"",IF((AND(LEFT(G2531,2)=LEFT('112'!$M$9,2),B2531&lt;'112'!$K$9,$N2531='112'!$I$6)),"x",""))</f>
        <v/>
      </c>
      <c r="V2531" s="84" t="str">
        <f>IF(ISERROR(FIND('112'!$M$9,G2531,1)),"",IF((AND(RIGHT(G2531,2)=RIGHT('112'!$M$9,2),B2531&lt;'112'!$K$9,$O2531='112'!$I$6)),"x",""))</f>
        <v/>
      </c>
      <c r="W2531" s="84" t="str">
        <f>IF(AND('341-CT'!$H$9=H2531,OR(LEFT(N2531,3)=$W$7,LEFT(O2531,3)=$W$7)),"x","")</f>
        <v/>
      </c>
      <c r="X2531" s="84" t="str">
        <f>IF(OR(TH!N2531=TH!$X$7,O2531=TH!$X$7),"x","")</f>
        <v/>
      </c>
      <c r="Y2531" s="84" t="str">
        <f>IF(AND(OR(N2531="131",O2531="131"),H2531='131-CT'!$H$9),"x","")</f>
        <v/>
      </c>
      <c r="Z2531" s="84"/>
      <c r="AA2531" s="84" t="str">
        <f>IF(AND(MONTH(E2531)='IN-NX'!$J$5,'IN-NX'!$D$7=D2531),"x","")</f>
        <v/>
      </c>
      <c r="AB2531" s="84" t="str">
        <f>IF(AND(OR(LEFT(TH!N2531,2)="15",LEFT(TH!O2531,2)="15"),LEFT(TH!O2531,3)&lt;&gt;"111",'152-CT'!$J$8=TH!F2531),"x","")</f>
        <v/>
      </c>
      <c r="AC2531" s="84" t="str">
        <f>IF(AND(OR(LEFT(TH!N2531,2)="15",LEFT(TH!O2531,2)="15"),TK!$E$7=TH!F2531),"x","")</f>
        <v/>
      </c>
      <c r="AD2531" s="84" t="str">
        <f>IF(AND(N2531="1521",MONTH(C2531)='BK-NL'!$M$11),"x","")</f>
        <v/>
      </c>
    </row>
    <row r="2532" spans="1:30" s="351" customFormat="1" ht="15.75" hidden="1" customHeight="1">
      <c r="A2532" s="336" t="str">
        <f>IF(B2532&lt;&gt;"",IF(AND(B2532='IN-TC'!$S$4,OR(TH!N2532="1111",TH!O2532="1111")),TH!D2532,""),"")</f>
        <v/>
      </c>
      <c r="B2532" s="63" t="str">
        <f t="shared" ref="B2532:B2563" si="295">IF(C2532&lt;&gt;"",MONTH(C2532),"")</f>
        <v/>
      </c>
      <c r="C2532" s="64"/>
      <c r="D2532" s="64"/>
      <c r="E2532" s="64"/>
      <c r="F2532" s="67"/>
      <c r="G2532" s="67"/>
      <c r="H2532" s="73"/>
      <c r="I2532" s="439"/>
      <c r="J2532" s="439"/>
      <c r="K2532" s="430"/>
      <c r="L2532" s="439"/>
      <c r="M2532" s="65"/>
      <c r="N2532" s="66"/>
      <c r="O2532" s="66"/>
      <c r="P2532" s="84" t="str">
        <f>IF(AND('331-CT'!$E$7=TH!H2532,OR(N2532="331",O2532="331")),"x","")</f>
        <v/>
      </c>
      <c r="Q2532" s="84" t="str">
        <f>IF(AND(B2532='111'!$L$11,OR($N2532=$Q$7,$O2532=$Q$7)),"x","")</f>
        <v/>
      </c>
      <c r="R2532" s="84" t="str">
        <f>IF(AND($N2532=$Q$7,$B2532&lt;'111'!$L$11),"x","")</f>
        <v/>
      </c>
      <c r="S2532" s="84" t="str">
        <f>IF(AND($O2532=$Q$7,$B2532&lt;'111'!$L$11),"x","")</f>
        <v/>
      </c>
      <c r="T2532" s="84" t="str">
        <f>IF(ISERROR(FIND('112'!$M$9,G2532,1)),"",IF((AND(FIND('112'!$M$9,G2532,1)&gt;=1,B2532='112'!$K$9,OR($N2532='112'!$I$6,$O2532='112'!$I$6))),"x",""))</f>
        <v/>
      </c>
      <c r="U2532" s="84" t="str">
        <f>IF(ISERROR(FIND('112'!$M$9,G2532,1)),"",IF((AND(LEFT(G2532,2)=LEFT('112'!$M$9,2),B2532&lt;'112'!$K$9,$N2532='112'!$I$6)),"x",""))</f>
        <v/>
      </c>
      <c r="V2532" s="84" t="str">
        <f>IF(ISERROR(FIND('112'!$M$9,G2532,1)),"",IF((AND(RIGHT(G2532,2)=RIGHT('112'!$M$9,2),B2532&lt;'112'!$K$9,$O2532='112'!$I$6)),"x",""))</f>
        <v/>
      </c>
      <c r="W2532" s="84" t="str">
        <f>IF(AND('341-CT'!$H$9=H2532,OR(LEFT(N2532,3)=$W$7,LEFT(O2532,3)=$W$7)),"x","")</f>
        <v/>
      </c>
      <c r="X2532" s="84" t="str">
        <f>IF(OR(TH!N2532=TH!$X$7,O2532=TH!$X$7),"x","")</f>
        <v/>
      </c>
      <c r="Y2532" s="84" t="str">
        <f>IF(AND(OR(N2532="131",O2532="131"),H2532='131-CT'!$H$9),"x","")</f>
        <v/>
      </c>
      <c r="Z2532" s="84"/>
      <c r="AA2532" s="84" t="str">
        <f>IF(AND(MONTH(E2532)='IN-NX'!$J$5,'IN-NX'!$D$7=D2532),"x","")</f>
        <v/>
      </c>
      <c r="AB2532" s="84" t="str">
        <f>IF(AND(OR(LEFT(TH!N2532,2)="15",LEFT(TH!O2532,2)="15"),LEFT(TH!O2532,3)&lt;&gt;"111",'152-CT'!$J$8=TH!F2532),"x","")</f>
        <v/>
      </c>
      <c r="AC2532" s="84" t="str">
        <f>IF(AND(OR(LEFT(TH!N2532,2)="15",LEFT(TH!O2532,2)="15"),TK!$E$7=TH!F2532),"x","")</f>
        <v/>
      </c>
      <c r="AD2532" s="84" t="str">
        <f>IF(AND(N2532="1521",MONTH(C2532)='BK-NL'!$M$11),"x","")</f>
        <v/>
      </c>
    </row>
    <row r="2533" spans="1:30" s="351" customFormat="1" ht="15.75" hidden="1" customHeight="1">
      <c r="A2533" s="336" t="str">
        <f>IF(B2533&lt;&gt;"",IF(AND(B2533='IN-TC'!$S$4,OR(TH!N2533="1111",TH!O2533="1111")),TH!D2533,""),"")</f>
        <v/>
      </c>
      <c r="B2533" s="63" t="str">
        <f t="shared" si="295"/>
        <v/>
      </c>
      <c r="C2533" s="64"/>
      <c r="D2533" s="64"/>
      <c r="E2533" s="64"/>
      <c r="F2533" s="67"/>
      <c r="G2533" s="67"/>
      <c r="H2533" s="73"/>
      <c r="I2533" s="439"/>
      <c r="J2533" s="439"/>
      <c r="K2533" s="430"/>
      <c r="L2533" s="439"/>
      <c r="M2533" s="65"/>
      <c r="N2533" s="66"/>
      <c r="O2533" s="66"/>
      <c r="P2533" s="84" t="str">
        <f>IF(AND('331-CT'!$E$7=TH!H2533,OR(N2533="331",O2533="331")),"x","")</f>
        <v/>
      </c>
      <c r="Q2533" s="84" t="str">
        <f>IF(AND(B2533='111'!$L$11,OR($N2533=$Q$7,$O2533=$Q$7)),"x","")</f>
        <v/>
      </c>
      <c r="R2533" s="84" t="str">
        <f>IF(AND($N2533=$Q$7,$B2533&lt;'111'!$L$11),"x","")</f>
        <v/>
      </c>
      <c r="S2533" s="84" t="str">
        <f>IF(AND($O2533=$Q$7,$B2533&lt;'111'!$L$11),"x","")</f>
        <v/>
      </c>
      <c r="T2533" s="84" t="str">
        <f>IF(ISERROR(FIND('112'!$M$9,G2533,1)),"",IF((AND(FIND('112'!$M$9,G2533,1)&gt;=1,B2533='112'!$K$9,OR($N2533='112'!$I$6,$O2533='112'!$I$6))),"x",""))</f>
        <v/>
      </c>
      <c r="U2533" s="84" t="str">
        <f>IF(ISERROR(FIND('112'!$M$9,G2533,1)),"",IF((AND(LEFT(G2533,2)=LEFT('112'!$M$9,2),B2533&lt;'112'!$K$9,$N2533='112'!$I$6)),"x",""))</f>
        <v/>
      </c>
      <c r="V2533" s="84" t="str">
        <f>IF(ISERROR(FIND('112'!$M$9,G2533,1)),"",IF((AND(RIGHT(G2533,2)=RIGHT('112'!$M$9,2),B2533&lt;'112'!$K$9,$O2533='112'!$I$6)),"x",""))</f>
        <v/>
      </c>
      <c r="W2533" s="84" t="str">
        <f>IF(AND('341-CT'!$H$9=H2533,OR(LEFT(N2533,3)=$W$7,LEFT(O2533,3)=$W$7)),"x","")</f>
        <v/>
      </c>
      <c r="X2533" s="84" t="str">
        <f>IF(OR(TH!N2533=TH!$X$7,O2533=TH!$X$7),"x","")</f>
        <v/>
      </c>
      <c r="Y2533" s="84" t="str">
        <f>IF(AND(OR(N2533="131",O2533="131"),H2533='131-CT'!$H$9),"x","")</f>
        <v/>
      </c>
      <c r="Z2533" s="84"/>
      <c r="AA2533" s="84" t="str">
        <f>IF(AND(MONTH(E2533)='IN-NX'!$J$5,'IN-NX'!$D$7=D2533),"x","")</f>
        <v/>
      </c>
      <c r="AB2533" s="84" t="str">
        <f>IF(AND(OR(LEFT(TH!N2533,2)="15",LEFT(TH!O2533,2)="15"),LEFT(TH!O2533,3)&lt;&gt;"111",'152-CT'!$J$8=TH!F2533),"x","")</f>
        <v/>
      </c>
      <c r="AC2533" s="84" t="str">
        <f>IF(AND(OR(LEFT(TH!N2533,2)="15",LEFT(TH!O2533,2)="15"),TK!$E$7=TH!F2533),"x","")</f>
        <v/>
      </c>
      <c r="AD2533" s="84" t="str">
        <f>IF(AND(N2533="1521",MONTH(C2533)='BK-NL'!$M$11),"x","")</f>
        <v/>
      </c>
    </row>
    <row r="2534" spans="1:30" s="351" customFormat="1" ht="15.75" hidden="1" customHeight="1">
      <c r="A2534" s="336" t="str">
        <f>IF(B2534&lt;&gt;"",IF(AND(B2534='IN-TC'!$S$4,OR(TH!N2534="1111",TH!O2534="1111")),TH!D2534,""),"")</f>
        <v/>
      </c>
      <c r="B2534" s="63" t="str">
        <f t="shared" si="295"/>
        <v/>
      </c>
      <c r="C2534" s="64"/>
      <c r="D2534" s="64"/>
      <c r="E2534" s="64"/>
      <c r="F2534" s="67"/>
      <c r="G2534" s="67"/>
      <c r="H2534" s="73"/>
      <c r="I2534" s="439"/>
      <c r="J2534" s="439"/>
      <c r="K2534" s="430"/>
      <c r="L2534" s="439"/>
      <c r="M2534" s="65"/>
      <c r="N2534" s="66"/>
      <c r="O2534" s="66"/>
      <c r="P2534" s="84" t="str">
        <f>IF(AND('331-CT'!$E$7=TH!H2534,OR(N2534="331",O2534="331")),"x","")</f>
        <v/>
      </c>
      <c r="Q2534" s="84" t="str">
        <f>IF(AND(B2534='111'!$L$11,OR($N2534=$Q$7,$O2534=$Q$7)),"x","")</f>
        <v/>
      </c>
      <c r="R2534" s="84" t="str">
        <f>IF(AND($N2534=$Q$7,$B2534&lt;'111'!$L$11),"x","")</f>
        <v/>
      </c>
      <c r="S2534" s="84" t="str">
        <f>IF(AND($O2534=$Q$7,$B2534&lt;'111'!$L$11),"x","")</f>
        <v/>
      </c>
      <c r="T2534" s="84" t="str">
        <f>IF(ISERROR(FIND('112'!$M$9,G2534,1)),"",IF((AND(FIND('112'!$M$9,G2534,1)&gt;=1,B2534='112'!$K$9,OR($N2534='112'!$I$6,$O2534='112'!$I$6))),"x",""))</f>
        <v/>
      </c>
      <c r="U2534" s="84" t="str">
        <f>IF(ISERROR(FIND('112'!$M$9,G2534,1)),"",IF((AND(LEFT(G2534,2)=LEFT('112'!$M$9,2),B2534&lt;'112'!$K$9,$N2534='112'!$I$6)),"x",""))</f>
        <v/>
      </c>
      <c r="V2534" s="84" t="str">
        <f>IF(ISERROR(FIND('112'!$M$9,G2534,1)),"",IF((AND(RIGHT(G2534,2)=RIGHT('112'!$M$9,2),B2534&lt;'112'!$K$9,$O2534='112'!$I$6)),"x",""))</f>
        <v/>
      </c>
      <c r="W2534" s="84" t="str">
        <f>IF(AND('341-CT'!$H$9=H2534,OR(LEFT(N2534,3)=$W$7,LEFT(O2534,3)=$W$7)),"x","")</f>
        <v/>
      </c>
      <c r="X2534" s="84" t="str">
        <f>IF(OR(TH!N2534=TH!$X$7,O2534=TH!$X$7),"x","")</f>
        <v/>
      </c>
      <c r="Y2534" s="84" t="str">
        <f>IF(AND(OR(N2534="131",O2534="131"),H2534='131-CT'!$H$9),"x","")</f>
        <v/>
      </c>
      <c r="Z2534" s="84"/>
      <c r="AA2534" s="84" t="str">
        <f>IF(AND(MONTH(E2534)='IN-NX'!$J$5,'IN-NX'!$D$7=D2534),"x","")</f>
        <v/>
      </c>
      <c r="AB2534" s="84" t="str">
        <f>IF(AND(OR(LEFT(TH!N2534,2)="15",LEFT(TH!O2534,2)="15"),LEFT(TH!O2534,3)&lt;&gt;"111",'152-CT'!$J$8=TH!F2534),"x","")</f>
        <v/>
      </c>
      <c r="AC2534" s="84" t="str">
        <f>IF(AND(OR(LEFT(TH!N2534,2)="15",LEFT(TH!O2534,2)="15"),TK!$E$7=TH!F2534),"x","")</f>
        <v/>
      </c>
      <c r="AD2534" s="84" t="str">
        <f>IF(AND(N2534="1521",MONTH(C2534)='BK-NL'!$M$11),"x","")</f>
        <v/>
      </c>
    </row>
    <row r="2535" spans="1:30" s="351" customFormat="1" ht="15.75" hidden="1" customHeight="1">
      <c r="A2535" s="336" t="str">
        <f>IF(B2535&lt;&gt;"",IF(AND(B2535='IN-TC'!$S$4,OR(TH!N2535="1111",TH!O2535="1111")),TH!D2535,""),"")</f>
        <v/>
      </c>
      <c r="B2535" s="63" t="str">
        <f t="shared" si="295"/>
        <v/>
      </c>
      <c r="C2535" s="64"/>
      <c r="D2535" s="64"/>
      <c r="E2535" s="64"/>
      <c r="F2535" s="67"/>
      <c r="G2535" s="67"/>
      <c r="H2535" s="73"/>
      <c r="I2535" s="439"/>
      <c r="J2535" s="439"/>
      <c r="K2535" s="430"/>
      <c r="L2535" s="439"/>
      <c r="M2535" s="65"/>
      <c r="N2535" s="66"/>
      <c r="O2535" s="66"/>
      <c r="P2535" s="84" t="str">
        <f>IF(AND('331-CT'!$E$7=TH!H2535,OR(N2535="331",O2535="331")),"x","")</f>
        <v/>
      </c>
      <c r="Q2535" s="84" t="str">
        <f>IF(AND(B2535='111'!$L$11,OR($N2535=$Q$7,$O2535=$Q$7)),"x","")</f>
        <v/>
      </c>
      <c r="R2535" s="84" t="str">
        <f>IF(AND($N2535=$Q$7,$B2535&lt;'111'!$L$11),"x","")</f>
        <v/>
      </c>
      <c r="S2535" s="84" t="str">
        <f>IF(AND($O2535=$Q$7,$B2535&lt;'111'!$L$11),"x","")</f>
        <v/>
      </c>
      <c r="T2535" s="84" t="str">
        <f>IF(ISERROR(FIND('112'!$M$9,G2535,1)),"",IF((AND(FIND('112'!$M$9,G2535,1)&gt;=1,B2535='112'!$K$9,OR($N2535='112'!$I$6,$O2535='112'!$I$6))),"x",""))</f>
        <v/>
      </c>
      <c r="U2535" s="84" t="str">
        <f>IF(ISERROR(FIND('112'!$M$9,G2535,1)),"",IF((AND(LEFT(G2535,2)=LEFT('112'!$M$9,2),B2535&lt;'112'!$K$9,$N2535='112'!$I$6)),"x",""))</f>
        <v/>
      </c>
      <c r="V2535" s="84" t="str">
        <f>IF(ISERROR(FIND('112'!$M$9,G2535,1)),"",IF((AND(RIGHT(G2535,2)=RIGHT('112'!$M$9,2),B2535&lt;'112'!$K$9,$O2535='112'!$I$6)),"x",""))</f>
        <v/>
      </c>
      <c r="W2535" s="84" t="str">
        <f>IF(AND('341-CT'!$H$9=H2535,OR(LEFT(N2535,3)=$W$7,LEFT(O2535,3)=$W$7)),"x","")</f>
        <v/>
      </c>
      <c r="X2535" s="84" t="str">
        <f>IF(OR(TH!N2535=TH!$X$7,O2535=TH!$X$7),"x","")</f>
        <v/>
      </c>
      <c r="Y2535" s="84" t="str">
        <f>IF(AND(OR(N2535="131",O2535="131"),H2535='131-CT'!$H$9),"x","")</f>
        <v/>
      </c>
      <c r="Z2535" s="84"/>
      <c r="AA2535" s="84" t="str">
        <f>IF(AND(MONTH(E2535)='IN-NX'!$J$5,'IN-NX'!$D$7=D2535),"x","")</f>
        <v/>
      </c>
      <c r="AB2535" s="84" t="str">
        <f>IF(AND(OR(LEFT(TH!N2535,2)="15",LEFT(TH!O2535,2)="15"),LEFT(TH!O2535,3)&lt;&gt;"111",'152-CT'!$J$8=TH!F2535),"x","")</f>
        <v/>
      </c>
      <c r="AC2535" s="84" t="str">
        <f>IF(AND(OR(LEFT(TH!N2535,2)="15",LEFT(TH!O2535,2)="15"),TK!$E$7=TH!F2535),"x","")</f>
        <v/>
      </c>
      <c r="AD2535" s="84" t="str">
        <f>IF(AND(N2535="1521",MONTH(C2535)='BK-NL'!$M$11),"x","")</f>
        <v/>
      </c>
    </row>
    <row r="2536" spans="1:30" s="351" customFormat="1" ht="15.75" hidden="1" customHeight="1">
      <c r="A2536" s="336" t="str">
        <f>IF(B2536&lt;&gt;"",IF(AND(B2536='IN-TC'!$S$4,OR(TH!N2536="1111",TH!O2536="1111")),TH!D2536,""),"")</f>
        <v/>
      </c>
      <c r="B2536" s="63" t="str">
        <f t="shared" si="295"/>
        <v/>
      </c>
      <c r="C2536" s="64"/>
      <c r="D2536" s="64"/>
      <c r="E2536" s="64"/>
      <c r="F2536" s="67"/>
      <c r="G2536" s="67"/>
      <c r="H2536" s="73"/>
      <c r="I2536" s="439"/>
      <c r="J2536" s="439"/>
      <c r="K2536" s="430"/>
      <c r="L2536" s="439"/>
      <c r="M2536" s="65"/>
      <c r="N2536" s="66"/>
      <c r="O2536" s="66"/>
      <c r="P2536" s="84" t="str">
        <f>IF(AND('331-CT'!$E$7=TH!H2536,OR(N2536="331",O2536="331")),"x","")</f>
        <v/>
      </c>
      <c r="Q2536" s="84" t="str">
        <f>IF(AND(B2536='111'!$L$11,OR($N2536=$Q$7,$O2536=$Q$7)),"x","")</f>
        <v/>
      </c>
      <c r="R2536" s="84" t="str">
        <f>IF(AND($N2536=$Q$7,$B2536&lt;'111'!$L$11),"x","")</f>
        <v/>
      </c>
      <c r="S2536" s="84" t="str">
        <f>IF(AND($O2536=$Q$7,$B2536&lt;'111'!$L$11),"x","")</f>
        <v/>
      </c>
      <c r="T2536" s="84" t="str">
        <f>IF(ISERROR(FIND('112'!$M$9,G2536,1)),"",IF((AND(FIND('112'!$M$9,G2536,1)&gt;=1,B2536='112'!$K$9,OR($N2536='112'!$I$6,$O2536='112'!$I$6))),"x",""))</f>
        <v/>
      </c>
      <c r="U2536" s="84" t="str">
        <f>IF(ISERROR(FIND('112'!$M$9,G2536,1)),"",IF((AND(LEFT(G2536,2)=LEFT('112'!$M$9,2),B2536&lt;'112'!$K$9,$N2536='112'!$I$6)),"x",""))</f>
        <v/>
      </c>
      <c r="V2536" s="84" t="str">
        <f>IF(ISERROR(FIND('112'!$M$9,G2536,1)),"",IF((AND(RIGHT(G2536,2)=RIGHT('112'!$M$9,2),B2536&lt;'112'!$K$9,$O2536='112'!$I$6)),"x",""))</f>
        <v/>
      </c>
      <c r="W2536" s="84" t="str">
        <f>IF(AND('341-CT'!$H$9=H2536,OR(LEFT(N2536,3)=$W$7,LEFT(O2536,3)=$W$7)),"x","")</f>
        <v/>
      </c>
      <c r="X2536" s="84" t="str">
        <f>IF(OR(TH!N2536=TH!$X$7,O2536=TH!$X$7),"x","")</f>
        <v/>
      </c>
      <c r="Y2536" s="84" t="str">
        <f>IF(AND(OR(N2536="131",O2536="131"),H2536='131-CT'!$H$9),"x","")</f>
        <v/>
      </c>
      <c r="Z2536" s="84"/>
      <c r="AA2536" s="84" t="str">
        <f>IF(AND(MONTH(E2536)='IN-NX'!$J$5,'IN-NX'!$D$7=D2536),"x","")</f>
        <v/>
      </c>
      <c r="AB2536" s="84" t="str">
        <f>IF(AND(OR(LEFT(TH!N2536,2)="15",LEFT(TH!O2536,2)="15"),LEFT(TH!O2536,3)&lt;&gt;"111",'152-CT'!$J$8=TH!F2536),"x","")</f>
        <v/>
      </c>
      <c r="AC2536" s="84" t="str">
        <f>IF(AND(OR(LEFT(TH!N2536,2)="15",LEFT(TH!O2536,2)="15"),TK!$E$7=TH!F2536),"x","")</f>
        <v/>
      </c>
      <c r="AD2536" s="84" t="str">
        <f>IF(AND(N2536="1521",MONTH(C2536)='BK-NL'!$M$11),"x","")</f>
        <v/>
      </c>
    </row>
    <row r="2537" spans="1:30" s="351" customFormat="1" ht="15.75" hidden="1" customHeight="1">
      <c r="A2537" s="336" t="str">
        <f>IF(B2537&lt;&gt;"",IF(AND(B2537='IN-TC'!$S$4,OR(TH!N2537="1111",TH!O2537="1111")),TH!D2537,""),"")</f>
        <v/>
      </c>
      <c r="B2537" s="63" t="str">
        <f t="shared" si="295"/>
        <v/>
      </c>
      <c r="C2537" s="64"/>
      <c r="D2537" s="64"/>
      <c r="E2537" s="64"/>
      <c r="F2537" s="67"/>
      <c r="G2537" s="67"/>
      <c r="H2537" s="73"/>
      <c r="I2537" s="439"/>
      <c r="J2537" s="439"/>
      <c r="K2537" s="430"/>
      <c r="L2537" s="439"/>
      <c r="M2537" s="65"/>
      <c r="N2537" s="66"/>
      <c r="O2537" s="66"/>
      <c r="P2537" s="84" t="str">
        <f>IF(AND('331-CT'!$E$7=TH!H2537,OR(N2537="331",O2537="331")),"x","")</f>
        <v/>
      </c>
      <c r="Q2537" s="84" t="str">
        <f>IF(AND(B2537='111'!$L$11,OR($N2537=$Q$7,$O2537=$Q$7)),"x","")</f>
        <v/>
      </c>
      <c r="R2537" s="84" t="str">
        <f>IF(AND($N2537=$Q$7,$B2537&lt;'111'!$L$11),"x","")</f>
        <v/>
      </c>
      <c r="S2537" s="84" t="str">
        <f>IF(AND($O2537=$Q$7,$B2537&lt;'111'!$L$11),"x","")</f>
        <v/>
      </c>
      <c r="T2537" s="84" t="str">
        <f>IF(ISERROR(FIND('112'!$M$9,G2537,1)),"",IF((AND(FIND('112'!$M$9,G2537,1)&gt;=1,B2537='112'!$K$9,OR($N2537='112'!$I$6,$O2537='112'!$I$6))),"x",""))</f>
        <v/>
      </c>
      <c r="U2537" s="84" t="str">
        <f>IF(ISERROR(FIND('112'!$M$9,G2537,1)),"",IF((AND(LEFT(G2537,2)=LEFT('112'!$M$9,2),B2537&lt;'112'!$K$9,$N2537='112'!$I$6)),"x",""))</f>
        <v/>
      </c>
      <c r="V2537" s="84" t="str">
        <f>IF(ISERROR(FIND('112'!$M$9,G2537,1)),"",IF((AND(RIGHT(G2537,2)=RIGHT('112'!$M$9,2),B2537&lt;'112'!$K$9,$O2537='112'!$I$6)),"x",""))</f>
        <v/>
      </c>
      <c r="W2537" s="84" t="str">
        <f>IF(AND('341-CT'!$H$9=H2537,OR(LEFT(N2537,3)=$W$7,LEFT(O2537,3)=$W$7)),"x","")</f>
        <v/>
      </c>
      <c r="X2537" s="84" t="str">
        <f>IF(OR(TH!N2537=TH!$X$7,O2537=TH!$X$7),"x","")</f>
        <v/>
      </c>
      <c r="Y2537" s="84" t="str">
        <f>IF(AND(OR(N2537="131",O2537="131"),H2537='131-CT'!$H$9),"x","")</f>
        <v/>
      </c>
      <c r="Z2537" s="84"/>
      <c r="AA2537" s="84" t="str">
        <f>IF(AND(MONTH(E2537)='IN-NX'!$J$5,'IN-NX'!$D$7=D2537),"x","")</f>
        <v/>
      </c>
      <c r="AB2537" s="84" t="str">
        <f>IF(AND(OR(LEFT(TH!N2537,2)="15",LEFT(TH!O2537,2)="15"),LEFT(TH!O2537,3)&lt;&gt;"111",'152-CT'!$J$8=TH!F2537),"x","")</f>
        <v/>
      </c>
      <c r="AC2537" s="84" t="str">
        <f>IF(AND(OR(LEFT(TH!N2537,2)="15",LEFT(TH!O2537,2)="15"),TK!$E$7=TH!F2537),"x","")</f>
        <v/>
      </c>
      <c r="AD2537" s="84" t="str">
        <f>IF(AND(N2537="1521",MONTH(C2537)='BK-NL'!$M$11),"x","")</f>
        <v/>
      </c>
    </row>
    <row r="2538" spans="1:30" s="351" customFormat="1" ht="15.75" hidden="1" customHeight="1">
      <c r="A2538" s="336" t="str">
        <f>IF(B2538&lt;&gt;"",IF(AND(B2538='IN-TC'!$S$4,OR(TH!N2538="1111",TH!O2538="1111")),TH!D2538,""),"")</f>
        <v/>
      </c>
      <c r="B2538" s="63" t="str">
        <f t="shared" si="295"/>
        <v/>
      </c>
      <c r="C2538" s="64"/>
      <c r="D2538" s="64"/>
      <c r="E2538" s="64"/>
      <c r="F2538" s="67"/>
      <c r="G2538" s="67"/>
      <c r="H2538" s="73"/>
      <c r="I2538" s="439"/>
      <c r="J2538" s="439"/>
      <c r="K2538" s="430"/>
      <c r="L2538" s="439"/>
      <c r="M2538" s="65"/>
      <c r="N2538" s="66"/>
      <c r="O2538" s="66"/>
      <c r="P2538" s="84" t="str">
        <f>IF(AND('331-CT'!$E$7=TH!H2538,OR(N2538="331",O2538="331")),"x","")</f>
        <v/>
      </c>
      <c r="Q2538" s="84" t="str">
        <f>IF(AND(B2538='111'!$L$11,OR($N2538=$Q$7,$O2538=$Q$7)),"x","")</f>
        <v/>
      </c>
      <c r="R2538" s="84" t="str">
        <f>IF(AND($N2538=$Q$7,$B2538&lt;'111'!$L$11),"x","")</f>
        <v/>
      </c>
      <c r="S2538" s="84" t="str">
        <f>IF(AND($O2538=$Q$7,$B2538&lt;'111'!$L$11),"x","")</f>
        <v/>
      </c>
      <c r="T2538" s="84" t="str">
        <f>IF(ISERROR(FIND('112'!$M$9,G2538,1)),"",IF((AND(FIND('112'!$M$9,G2538,1)&gt;=1,B2538='112'!$K$9,OR($N2538='112'!$I$6,$O2538='112'!$I$6))),"x",""))</f>
        <v/>
      </c>
      <c r="U2538" s="84" t="str">
        <f>IF(ISERROR(FIND('112'!$M$9,G2538,1)),"",IF((AND(LEFT(G2538,2)=LEFT('112'!$M$9,2),B2538&lt;'112'!$K$9,$N2538='112'!$I$6)),"x",""))</f>
        <v/>
      </c>
      <c r="V2538" s="84" t="str">
        <f>IF(ISERROR(FIND('112'!$M$9,G2538,1)),"",IF((AND(RIGHT(G2538,2)=RIGHT('112'!$M$9,2),B2538&lt;'112'!$K$9,$O2538='112'!$I$6)),"x",""))</f>
        <v/>
      </c>
      <c r="W2538" s="84" t="str">
        <f>IF(AND('341-CT'!$H$9=H2538,OR(LEFT(N2538,3)=$W$7,LEFT(O2538,3)=$W$7)),"x","")</f>
        <v/>
      </c>
      <c r="X2538" s="84" t="str">
        <f>IF(OR(TH!N2538=TH!$X$7,O2538=TH!$X$7),"x","")</f>
        <v/>
      </c>
      <c r="Y2538" s="84" t="str">
        <f>IF(AND(OR(N2538="131",O2538="131"),H2538='131-CT'!$H$9),"x","")</f>
        <v/>
      </c>
      <c r="Z2538" s="84"/>
      <c r="AA2538" s="84" t="str">
        <f>IF(AND(MONTH(E2538)='IN-NX'!$J$5,'IN-NX'!$D$7=D2538),"x","")</f>
        <v/>
      </c>
      <c r="AB2538" s="84" t="str">
        <f>IF(AND(OR(LEFT(TH!N2538,2)="15",LEFT(TH!O2538,2)="15"),LEFT(TH!O2538,3)&lt;&gt;"111",'152-CT'!$J$8=TH!F2538),"x","")</f>
        <v/>
      </c>
      <c r="AC2538" s="84" t="str">
        <f>IF(AND(OR(LEFT(TH!N2538,2)="15",LEFT(TH!O2538,2)="15"),TK!$E$7=TH!F2538),"x","")</f>
        <v/>
      </c>
      <c r="AD2538" s="84" t="str">
        <f>IF(AND(N2538="1521",MONTH(C2538)='BK-NL'!$M$11),"x","")</f>
        <v/>
      </c>
    </row>
    <row r="2539" spans="1:30" s="351" customFormat="1" ht="15.75" hidden="1" customHeight="1">
      <c r="A2539" s="336" t="str">
        <f>IF(B2539&lt;&gt;"",IF(AND(B2539='IN-TC'!$S$4,OR(TH!N2539="1111",TH!O2539="1111")),TH!D2539,""),"")</f>
        <v/>
      </c>
      <c r="B2539" s="63" t="str">
        <f t="shared" si="295"/>
        <v/>
      </c>
      <c r="C2539" s="64"/>
      <c r="D2539" s="64"/>
      <c r="E2539" s="64"/>
      <c r="F2539" s="67"/>
      <c r="G2539" s="67"/>
      <c r="H2539" s="73"/>
      <c r="I2539" s="439"/>
      <c r="J2539" s="439"/>
      <c r="K2539" s="430"/>
      <c r="L2539" s="439"/>
      <c r="M2539" s="65"/>
      <c r="N2539" s="66"/>
      <c r="O2539" s="66"/>
      <c r="P2539" s="84" t="str">
        <f>IF(AND('331-CT'!$E$7=TH!H2539,OR(N2539="331",O2539="331")),"x","")</f>
        <v/>
      </c>
      <c r="Q2539" s="84" t="str">
        <f>IF(AND(B2539='111'!$L$11,OR($N2539=$Q$7,$O2539=$Q$7)),"x","")</f>
        <v/>
      </c>
      <c r="R2539" s="84" t="str">
        <f>IF(AND($N2539=$Q$7,$B2539&lt;'111'!$L$11),"x","")</f>
        <v/>
      </c>
      <c r="S2539" s="84" t="str">
        <f>IF(AND($O2539=$Q$7,$B2539&lt;'111'!$L$11),"x","")</f>
        <v/>
      </c>
      <c r="T2539" s="84" t="str">
        <f>IF(ISERROR(FIND('112'!$M$9,G2539,1)),"",IF((AND(FIND('112'!$M$9,G2539,1)&gt;=1,B2539='112'!$K$9,OR($N2539='112'!$I$6,$O2539='112'!$I$6))),"x",""))</f>
        <v/>
      </c>
      <c r="U2539" s="84" t="str">
        <f>IF(ISERROR(FIND('112'!$M$9,G2539,1)),"",IF((AND(LEFT(G2539,2)=LEFT('112'!$M$9,2),B2539&lt;'112'!$K$9,$N2539='112'!$I$6)),"x",""))</f>
        <v/>
      </c>
      <c r="V2539" s="84" t="str">
        <f>IF(ISERROR(FIND('112'!$M$9,G2539,1)),"",IF((AND(RIGHT(G2539,2)=RIGHT('112'!$M$9,2),B2539&lt;'112'!$K$9,$O2539='112'!$I$6)),"x",""))</f>
        <v/>
      </c>
      <c r="W2539" s="84" t="str">
        <f>IF(AND('341-CT'!$H$9=H2539,OR(LEFT(N2539,3)=$W$7,LEFT(O2539,3)=$W$7)),"x","")</f>
        <v/>
      </c>
      <c r="X2539" s="84" t="str">
        <f>IF(OR(TH!N2539=TH!$X$7,O2539=TH!$X$7),"x","")</f>
        <v/>
      </c>
      <c r="Y2539" s="84" t="str">
        <f>IF(AND(OR(N2539="131",O2539="131"),H2539='131-CT'!$H$9),"x","")</f>
        <v/>
      </c>
      <c r="Z2539" s="84"/>
      <c r="AA2539" s="84" t="str">
        <f>IF(AND(MONTH(E2539)='IN-NX'!$J$5,'IN-NX'!$D$7=D2539),"x","")</f>
        <v/>
      </c>
      <c r="AB2539" s="84" t="str">
        <f>IF(AND(OR(LEFT(TH!N2539,2)="15",LEFT(TH!O2539,2)="15"),LEFT(TH!O2539,3)&lt;&gt;"111",'152-CT'!$J$8=TH!F2539),"x","")</f>
        <v/>
      </c>
      <c r="AC2539" s="84" t="str">
        <f>IF(AND(OR(LEFT(TH!N2539,2)="15",LEFT(TH!O2539,2)="15"),TK!$E$7=TH!F2539),"x","")</f>
        <v/>
      </c>
      <c r="AD2539" s="84" t="str">
        <f>IF(AND(N2539="1521",MONTH(C2539)='BK-NL'!$M$11),"x","")</f>
        <v/>
      </c>
    </row>
    <row r="2540" spans="1:30" s="351" customFormat="1" ht="15.75" hidden="1" customHeight="1">
      <c r="A2540" s="336" t="str">
        <f>IF(B2540&lt;&gt;"",IF(AND(B2540='IN-TC'!$S$4,OR(TH!N2540="1111",TH!O2540="1111")),TH!D2540,""),"")</f>
        <v/>
      </c>
      <c r="B2540" s="63" t="str">
        <f t="shared" si="295"/>
        <v/>
      </c>
      <c r="C2540" s="64"/>
      <c r="D2540" s="64"/>
      <c r="E2540" s="64"/>
      <c r="F2540" s="67"/>
      <c r="G2540" s="67"/>
      <c r="H2540" s="73"/>
      <c r="I2540" s="439"/>
      <c r="J2540" s="439"/>
      <c r="K2540" s="430"/>
      <c r="L2540" s="439"/>
      <c r="M2540" s="65"/>
      <c r="N2540" s="66"/>
      <c r="O2540" s="66"/>
      <c r="P2540" s="84" t="str">
        <f>IF(AND('331-CT'!$E$7=TH!H2540,OR(N2540="331",O2540="331")),"x","")</f>
        <v/>
      </c>
      <c r="Q2540" s="84" t="str">
        <f>IF(AND(B2540='111'!$L$11,OR($N2540=$Q$7,$O2540=$Q$7)),"x","")</f>
        <v/>
      </c>
      <c r="R2540" s="84" t="str">
        <f>IF(AND($N2540=$Q$7,$B2540&lt;'111'!$L$11),"x","")</f>
        <v/>
      </c>
      <c r="S2540" s="84" t="str">
        <f>IF(AND($O2540=$Q$7,$B2540&lt;'111'!$L$11),"x","")</f>
        <v/>
      </c>
      <c r="T2540" s="84" t="str">
        <f>IF(ISERROR(FIND('112'!$M$9,G2540,1)),"",IF((AND(FIND('112'!$M$9,G2540,1)&gt;=1,B2540='112'!$K$9,OR($N2540='112'!$I$6,$O2540='112'!$I$6))),"x",""))</f>
        <v/>
      </c>
      <c r="U2540" s="84" t="str">
        <f>IF(ISERROR(FIND('112'!$M$9,G2540,1)),"",IF((AND(LEFT(G2540,2)=LEFT('112'!$M$9,2),B2540&lt;'112'!$K$9,$N2540='112'!$I$6)),"x",""))</f>
        <v/>
      </c>
      <c r="V2540" s="84" t="str">
        <f>IF(ISERROR(FIND('112'!$M$9,G2540,1)),"",IF((AND(RIGHT(G2540,2)=RIGHT('112'!$M$9,2),B2540&lt;'112'!$K$9,$O2540='112'!$I$6)),"x",""))</f>
        <v/>
      </c>
      <c r="W2540" s="84" t="str">
        <f>IF(AND('341-CT'!$H$9=H2540,OR(LEFT(N2540,3)=$W$7,LEFT(O2540,3)=$W$7)),"x","")</f>
        <v/>
      </c>
      <c r="X2540" s="84" t="str">
        <f>IF(OR(TH!N2540=TH!$X$7,O2540=TH!$X$7),"x","")</f>
        <v/>
      </c>
      <c r="Y2540" s="84" t="str">
        <f>IF(AND(OR(N2540="131",O2540="131"),H2540='131-CT'!$H$9),"x","")</f>
        <v/>
      </c>
      <c r="Z2540" s="84"/>
      <c r="AA2540" s="84" t="str">
        <f>IF(AND(MONTH(E2540)='IN-NX'!$J$5,'IN-NX'!$D$7=D2540),"x","")</f>
        <v/>
      </c>
      <c r="AB2540" s="84" t="str">
        <f>IF(AND(OR(LEFT(TH!N2540,2)="15",LEFT(TH!O2540,2)="15"),LEFT(TH!O2540,3)&lt;&gt;"111",'152-CT'!$J$8=TH!F2540),"x","")</f>
        <v/>
      </c>
      <c r="AC2540" s="84" t="str">
        <f>IF(AND(OR(LEFT(TH!N2540,2)="15",LEFT(TH!O2540,2)="15"),TK!$E$7=TH!F2540),"x","")</f>
        <v/>
      </c>
      <c r="AD2540" s="84" t="str">
        <f>IF(AND(N2540="1521",MONTH(C2540)='BK-NL'!$M$11),"x","")</f>
        <v/>
      </c>
    </row>
    <row r="2541" spans="1:30" s="351" customFormat="1" ht="15.75" hidden="1" customHeight="1">
      <c r="A2541" s="336" t="str">
        <f>IF(B2541&lt;&gt;"",IF(AND(B2541='IN-TC'!$S$4,OR(TH!N2541="1111",TH!O2541="1111")),TH!D2541,""),"")</f>
        <v/>
      </c>
      <c r="B2541" s="63" t="str">
        <f t="shared" si="295"/>
        <v/>
      </c>
      <c r="C2541" s="64"/>
      <c r="D2541" s="64"/>
      <c r="E2541" s="64"/>
      <c r="F2541" s="67"/>
      <c r="G2541" s="67"/>
      <c r="H2541" s="73"/>
      <c r="I2541" s="439"/>
      <c r="J2541" s="439"/>
      <c r="K2541" s="430"/>
      <c r="L2541" s="439"/>
      <c r="M2541" s="65"/>
      <c r="N2541" s="66"/>
      <c r="O2541" s="66"/>
      <c r="P2541" s="84" t="str">
        <f>IF(AND('331-CT'!$E$7=TH!H2541,OR(N2541="331",O2541="331")),"x","")</f>
        <v/>
      </c>
      <c r="Q2541" s="84" t="str">
        <f>IF(AND(B2541='111'!$L$11,OR($N2541=$Q$7,$O2541=$Q$7)),"x","")</f>
        <v/>
      </c>
      <c r="R2541" s="84" t="str">
        <f>IF(AND($N2541=$Q$7,$B2541&lt;'111'!$L$11),"x","")</f>
        <v/>
      </c>
      <c r="S2541" s="84" t="str">
        <f>IF(AND($O2541=$Q$7,$B2541&lt;'111'!$L$11),"x","")</f>
        <v/>
      </c>
      <c r="T2541" s="84" t="str">
        <f>IF(ISERROR(FIND('112'!$M$9,G2541,1)),"",IF((AND(FIND('112'!$M$9,G2541,1)&gt;=1,B2541='112'!$K$9,OR($N2541='112'!$I$6,$O2541='112'!$I$6))),"x",""))</f>
        <v/>
      </c>
      <c r="U2541" s="84" t="str">
        <f>IF(ISERROR(FIND('112'!$M$9,G2541,1)),"",IF((AND(LEFT(G2541,2)=LEFT('112'!$M$9,2),B2541&lt;'112'!$K$9,$N2541='112'!$I$6)),"x",""))</f>
        <v/>
      </c>
      <c r="V2541" s="84" t="str">
        <f>IF(ISERROR(FIND('112'!$M$9,G2541,1)),"",IF((AND(RIGHT(G2541,2)=RIGHT('112'!$M$9,2),B2541&lt;'112'!$K$9,$O2541='112'!$I$6)),"x",""))</f>
        <v/>
      </c>
      <c r="W2541" s="84" t="str">
        <f>IF(AND('341-CT'!$H$9=H2541,OR(LEFT(N2541,3)=$W$7,LEFT(O2541,3)=$W$7)),"x","")</f>
        <v/>
      </c>
      <c r="X2541" s="84" t="str">
        <f>IF(OR(TH!N2541=TH!$X$7,O2541=TH!$X$7),"x","")</f>
        <v/>
      </c>
      <c r="Y2541" s="84" t="str">
        <f>IF(AND(OR(N2541="131",O2541="131"),H2541='131-CT'!$H$9),"x","")</f>
        <v/>
      </c>
      <c r="Z2541" s="84"/>
      <c r="AA2541" s="84" t="str">
        <f>IF(AND(MONTH(E2541)='IN-NX'!$J$5,'IN-NX'!$D$7=D2541),"x","")</f>
        <v/>
      </c>
      <c r="AB2541" s="84" t="str">
        <f>IF(AND(OR(LEFT(TH!N2541,2)="15",LEFT(TH!O2541,2)="15"),LEFT(TH!O2541,3)&lt;&gt;"111",'152-CT'!$J$8=TH!F2541),"x","")</f>
        <v/>
      </c>
      <c r="AC2541" s="84" t="str">
        <f>IF(AND(OR(LEFT(TH!N2541,2)="15",LEFT(TH!O2541,2)="15"),TK!$E$7=TH!F2541),"x","")</f>
        <v/>
      </c>
      <c r="AD2541" s="84" t="str">
        <f>IF(AND(N2541="1521",MONTH(C2541)='BK-NL'!$M$11),"x","")</f>
        <v/>
      </c>
    </row>
    <row r="2542" spans="1:30" s="351" customFormat="1" ht="15.75" hidden="1" customHeight="1">
      <c r="A2542" s="336" t="str">
        <f>IF(B2542&lt;&gt;"",IF(AND(B2542='IN-TC'!$S$4,OR(TH!N2542="1111",TH!O2542="1111")),TH!D2542,""),"")</f>
        <v/>
      </c>
      <c r="B2542" s="63" t="str">
        <f t="shared" si="295"/>
        <v/>
      </c>
      <c r="C2542" s="64"/>
      <c r="D2542" s="64"/>
      <c r="E2542" s="64"/>
      <c r="F2542" s="67"/>
      <c r="G2542" s="67"/>
      <c r="H2542" s="73"/>
      <c r="I2542" s="439"/>
      <c r="J2542" s="439"/>
      <c r="K2542" s="430"/>
      <c r="L2542" s="439"/>
      <c r="M2542" s="65"/>
      <c r="N2542" s="66"/>
      <c r="O2542" s="66"/>
      <c r="P2542" s="84" t="str">
        <f>IF(AND('331-CT'!$E$7=TH!H2542,OR(N2542="331",O2542="331")),"x","")</f>
        <v/>
      </c>
      <c r="Q2542" s="84" t="str">
        <f>IF(AND(B2542='111'!$L$11,OR($N2542=$Q$7,$O2542=$Q$7)),"x","")</f>
        <v/>
      </c>
      <c r="R2542" s="84" t="str">
        <f>IF(AND($N2542=$Q$7,$B2542&lt;'111'!$L$11),"x","")</f>
        <v/>
      </c>
      <c r="S2542" s="84" t="str">
        <f>IF(AND($O2542=$Q$7,$B2542&lt;'111'!$L$11),"x","")</f>
        <v/>
      </c>
      <c r="T2542" s="84" t="str">
        <f>IF(ISERROR(FIND('112'!$M$9,G2542,1)),"",IF((AND(FIND('112'!$M$9,G2542,1)&gt;=1,B2542='112'!$K$9,OR($N2542='112'!$I$6,$O2542='112'!$I$6))),"x",""))</f>
        <v/>
      </c>
      <c r="U2542" s="84" t="str">
        <f>IF(ISERROR(FIND('112'!$M$9,G2542,1)),"",IF((AND(LEFT(G2542,2)=LEFT('112'!$M$9,2),B2542&lt;'112'!$K$9,$N2542='112'!$I$6)),"x",""))</f>
        <v/>
      </c>
      <c r="V2542" s="84" t="str">
        <f>IF(ISERROR(FIND('112'!$M$9,G2542,1)),"",IF((AND(RIGHT(G2542,2)=RIGHT('112'!$M$9,2),B2542&lt;'112'!$K$9,$O2542='112'!$I$6)),"x",""))</f>
        <v/>
      </c>
      <c r="W2542" s="84" t="str">
        <f>IF(AND('341-CT'!$H$9=H2542,OR(LEFT(N2542,3)=$W$7,LEFT(O2542,3)=$W$7)),"x","")</f>
        <v/>
      </c>
      <c r="X2542" s="84" t="str">
        <f>IF(OR(TH!N2542=TH!$X$7,O2542=TH!$X$7),"x","")</f>
        <v/>
      </c>
      <c r="Y2542" s="84" t="str">
        <f>IF(AND(OR(N2542="131",O2542="131"),H2542='131-CT'!$H$9),"x","")</f>
        <v/>
      </c>
      <c r="Z2542" s="84"/>
      <c r="AA2542" s="84" t="str">
        <f>IF(AND(MONTH(E2542)='IN-NX'!$J$5,'IN-NX'!$D$7=D2542),"x","")</f>
        <v/>
      </c>
      <c r="AB2542" s="84" t="str">
        <f>IF(AND(OR(LEFT(TH!N2542,2)="15",LEFT(TH!O2542,2)="15"),LEFT(TH!O2542,3)&lt;&gt;"111",'152-CT'!$J$8=TH!F2542),"x","")</f>
        <v/>
      </c>
      <c r="AC2542" s="84" t="str">
        <f>IF(AND(OR(LEFT(TH!N2542,2)="15",LEFT(TH!O2542,2)="15"),TK!$E$7=TH!F2542),"x","")</f>
        <v/>
      </c>
      <c r="AD2542" s="84" t="str">
        <f>IF(AND(N2542="1521",MONTH(C2542)='BK-NL'!$M$11),"x","")</f>
        <v/>
      </c>
    </row>
    <row r="2543" spans="1:30" s="351" customFormat="1" ht="15.75" hidden="1" customHeight="1">
      <c r="A2543" s="336" t="str">
        <f>IF(B2543&lt;&gt;"",IF(AND(B2543='IN-TC'!$S$4,OR(TH!N2543="1111",TH!O2543="1111")),TH!D2543,""),"")</f>
        <v/>
      </c>
      <c r="B2543" s="63" t="str">
        <f t="shared" si="295"/>
        <v/>
      </c>
      <c r="C2543" s="64"/>
      <c r="D2543" s="64"/>
      <c r="E2543" s="64"/>
      <c r="F2543" s="67"/>
      <c r="G2543" s="67"/>
      <c r="H2543" s="73"/>
      <c r="I2543" s="439"/>
      <c r="J2543" s="439"/>
      <c r="K2543" s="430"/>
      <c r="L2543" s="439"/>
      <c r="M2543" s="65"/>
      <c r="N2543" s="66"/>
      <c r="O2543" s="66"/>
      <c r="P2543" s="84" t="str">
        <f>IF(AND('331-CT'!$E$7=TH!H2543,OR(N2543="331",O2543="331")),"x","")</f>
        <v/>
      </c>
      <c r="Q2543" s="84" t="str">
        <f>IF(AND(B2543='111'!$L$11,OR($N2543=$Q$7,$O2543=$Q$7)),"x","")</f>
        <v/>
      </c>
      <c r="R2543" s="84" t="str">
        <f>IF(AND($N2543=$Q$7,$B2543&lt;'111'!$L$11),"x","")</f>
        <v/>
      </c>
      <c r="S2543" s="84" t="str">
        <f>IF(AND($O2543=$Q$7,$B2543&lt;'111'!$L$11),"x","")</f>
        <v/>
      </c>
      <c r="T2543" s="84" t="str">
        <f>IF(ISERROR(FIND('112'!$M$9,G2543,1)),"",IF((AND(FIND('112'!$M$9,G2543,1)&gt;=1,B2543='112'!$K$9,OR($N2543='112'!$I$6,$O2543='112'!$I$6))),"x",""))</f>
        <v/>
      </c>
      <c r="U2543" s="84" t="str">
        <f>IF(ISERROR(FIND('112'!$M$9,G2543,1)),"",IF((AND(LEFT(G2543,2)=LEFT('112'!$M$9,2),B2543&lt;'112'!$K$9,$N2543='112'!$I$6)),"x",""))</f>
        <v/>
      </c>
      <c r="V2543" s="84" t="str">
        <f>IF(ISERROR(FIND('112'!$M$9,G2543,1)),"",IF((AND(RIGHT(G2543,2)=RIGHT('112'!$M$9,2),B2543&lt;'112'!$K$9,$O2543='112'!$I$6)),"x",""))</f>
        <v/>
      </c>
      <c r="W2543" s="84" t="str">
        <f>IF(AND('341-CT'!$H$9=H2543,OR(LEFT(N2543,3)=$W$7,LEFT(O2543,3)=$W$7)),"x","")</f>
        <v/>
      </c>
      <c r="X2543" s="84" t="str">
        <f>IF(OR(TH!N2543=TH!$X$7,O2543=TH!$X$7),"x","")</f>
        <v/>
      </c>
      <c r="Y2543" s="84" t="str">
        <f>IF(AND(OR(N2543="131",O2543="131"),H2543='131-CT'!$H$9),"x","")</f>
        <v/>
      </c>
      <c r="Z2543" s="84"/>
      <c r="AA2543" s="84" t="str">
        <f>IF(AND(MONTH(E2543)='IN-NX'!$J$5,'IN-NX'!$D$7=D2543),"x","")</f>
        <v/>
      </c>
      <c r="AB2543" s="84" t="str">
        <f>IF(AND(OR(LEFT(TH!N2543,2)="15",LEFT(TH!O2543,2)="15"),LEFT(TH!O2543,3)&lt;&gt;"111",'152-CT'!$J$8=TH!F2543),"x","")</f>
        <v/>
      </c>
      <c r="AC2543" s="84" t="str">
        <f>IF(AND(OR(LEFT(TH!N2543,2)="15",LEFT(TH!O2543,2)="15"),TK!$E$7=TH!F2543),"x","")</f>
        <v/>
      </c>
      <c r="AD2543" s="84" t="str">
        <f>IF(AND(N2543="1521",MONTH(C2543)='BK-NL'!$M$11),"x","")</f>
        <v/>
      </c>
    </row>
    <row r="2544" spans="1:30" s="351" customFormat="1" ht="15.75" hidden="1" customHeight="1">
      <c r="A2544" s="336" t="str">
        <f>IF(B2544&lt;&gt;"",IF(AND(B2544='IN-TC'!$S$4,OR(TH!N2544="1111",TH!O2544="1111")),TH!D2544,""),"")</f>
        <v/>
      </c>
      <c r="B2544" s="63" t="str">
        <f t="shared" si="295"/>
        <v/>
      </c>
      <c r="C2544" s="64"/>
      <c r="D2544" s="64"/>
      <c r="E2544" s="64"/>
      <c r="F2544" s="67"/>
      <c r="G2544" s="67"/>
      <c r="H2544" s="73"/>
      <c r="I2544" s="439"/>
      <c r="J2544" s="439"/>
      <c r="K2544" s="430"/>
      <c r="L2544" s="439"/>
      <c r="M2544" s="65"/>
      <c r="N2544" s="66"/>
      <c r="O2544" s="66"/>
      <c r="P2544" s="84" t="str">
        <f>IF(AND('331-CT'!$E$7=TH!H2544,OR(N2544="331",O2544="331")),"x","")</f>
        <v/>
      </c>
      <c r="Q2544" s="84" t="str">
        <f>IF(AND(B2544='111'!$L$11,OR($N2544=$Q$7,$O2544=$Q$7)),"x","")</f>
        <v/>
      </c>
      <c r="R2544" s="84" t="str">
        <f>IF(AND($N2544=$Q$7,$B2544&lt;'111'!$L$11),"x","")</f>
        <v/>
      </c>
      <c r="S2544" s="84" t="str">
        <f>IF(AND($O2544=$Q$7,$B2544&lt;'111'!$L$11),"x","")</f>
        <v/>
      </c>
      <c r="T2544" s="84" t="str">
        <f>IF(ISERROR(FIND('112'!$M$9,G2544,1)),"",IF((AND(FIND('112'!$M$9,G2544,1)&gt;=1,B2544='112'!$K$9,OR($N2544='112'!$I$6,$O2544='112'!$I$6))),"x",""))</f>
        <v/>
      </c>
      <c r="U2544" s="84" t="str">
        <f>IF(ISERROR(FIND('112'!$M$9,G2544,1)),"",IF((AND(LEFT(G2544,2)=LEFT('112'!$M$9,2),B2544&lt;'112'!$K$9,$N2544='112'!$I$6)),"x",""))</f>
        <v/>
      </c>
      <c r="V2544" s="84" t="str">
        <f>IF(ISERROR(FIND('112'!$M$9,G2544,1)),"",IF((AND(RIGHT(G2544,2)=RIGHT('112'!$M$9,2),B2544&lt;'112'!$K$9,$O2544='112'!$I$6)),"x",""))</f>
        <v/>
      </c>
      <c r="W2544" s="84" t="str">
        <f>IF(AND('341-CT'!$H$9=H2544,OR(LEFT(N2544,3)=$W$7,LEFT(O2544,3)=$W$7)),"x","")</f>
        <v/>
      </c>
      <c r="X2544" s="84" t="str">
        <f>IF(OR(TH!N2544=TH!$X$7,O2544=TH!$X$7),"x","")</f>
        <v/>
      </c>
      <c r="Y2544" s="84" t="str">
        <f>IF(AND(OR(N2544="131",O2544="131"),H2544='131-CT'!$H$9),"x","")</f>
        <v/>
      </c>
      <c r="Z2544" s="84"/>
      <c r="AA2544" s="84" t="str">
        <f>IF(AND(MONTH(E2544)='IN-NX'!$J$5,'IN-NX'!$D$7=D2544),"x","")</f>
        <v/>
      </c>
      <c r="AB2544" s="84" t="str">
        <f>IF(AND(OR(LEFT(TH!N2544,2)="15",LEFT(TH!O2544,2)="15"),LEFT(TH!O2544,3)&lt;&gt;"111",'152-CT'!$J$8=TH!F2544),"x","")</f>
        <v/>
      </c>
      <c r="AC2544" s="84" t="str">
        <f>IF(AND(OR(LEFT(TH!N2544,2)="15",LEFT(TH!O2544,2)="15"),TK!$E$7=TH!F2544),"x","")</f>
        <v/>
      </c>
      <c r="AD2544" s="84" t="str">
        <f>IF(AND(N2544="1521",MONTH(C2544)='BK-NL'!$M$11),"x","")</f>
        <v/>
      </c>
    </row>
    <row r="2545" spans="1:30" s="351" customFormat="1" ht="15.75" hidden="1" customHeight="1">
      <c r="A2545" s="336" t="str">
        <f>IF(B2545&lt;&gt;"",IF(AND(B2545='IN-TC'!$S$4,OR(TH!N2545="1111",TH!O2545="1111")),TH!D2545,""),"")</f>
        <v/>
      </c>
      <c r="B2545" s="63" t="str">
        <f t="shared" si="295"/>
        <v/>
      </c>
      <c r="C2545" s="64"/>
      <c r="D2545" s="64"/>
      <c r="E2545" s="64"/>
      <c r="F2545" s="67"/>
      <c r="G2545" s="67"/>
      <c r="H2545" s="73"/>
      <c r="I2545" s="439"/>
      <c r="J2545" s="439"/>
      <c r="K2545" s="430"/>
      <c r="L2545" s="439"/>
      <c r="M2545" s="65"/>
      <c r="N2545" s="66"/>
      <c r="O2545" s="66"/>
      <c r="P2545" s="84" t="str">
        <f>IF(AND('331-CT'!$E$7=TH!H2545,OR(N2545="331",O2545="331")),"x","")</f>
        <v/>
      </c>
      <c r="Q2545" s="84" t="str">
        <f>IF(AND(B2545='111'!$L$11,OR($N2545=$Q$7,$O2545=$Q$7)),"x","")</f>
        <v/>
      </c>
      <c r="R2545" s="84" t="str">
        <f>IF(AND($N2545=$Q$7,$B2545&lt;'111'!$L$11),"x","")</f>
        <v/>
      </c>
      <c r="S2545" s="84" t="str">
        <f>IF(AND($O2545=$Q$7,$B2545&lt;'111'!$L$11),"x","")</f>
        <v/>
      </c>
      <c r="T2545" s="84" t="str">
        <f>IF(ISERROR(FIND('112'!$M$9,G2545,1)),"",IF((AND(FIND('112'!$M$9,G2545,1)&gt;=1,B2545='112'!$K$9,OR($N2545='112'!$I$6,$O2545='112'!$I$6))),"x",""))</f>
        <v/>
      </c>
      <c r="U2545" s="84" t="str">
        <f>IF(ISERROR(FIND('112'!$M$9,G2545,1)),"",IF((AND(LEFT(G2545,2)=LEFT('112'!$M$9,2),B2545&lt;'112'!$K$9,$N2545='112'!$I$6)),"x",""))</f>
        <v/>
      </c>
      <c r="V2545" s="84" t="str">
        <f>IF(ISERROR(FIND('112'!$M$9,G2545,1)),"",IF((AND(RIGHT(G2545,2)=RIGHT('112'!$M$9,2),B2545&lt;'112'!$K$9,$O2545='112'!$I$6)),"x",""))</f>
        <v/>
      </c>
      <c r="W2545" s="84" t="str">
        <f>IF(AND('341-CT'!$H$9=H2545,OR(LEFT(N2545,3)=$W$7,LEFT(O2545,3)=$W$7)),"x","")</f>
        <v/>
      </c>
      <c r="X2545" s="84" t="str">
        <f>IF(OR(TH!N2545=TH!$X$7,O2545=TH!$X$7),"x","")</f>
        <v/>
      </c>
      <c r="Y2545" s="84" t="str">
        <f>IF(AND(OR(N2545="131",O2545="131"),H2545='131-CT'!$H$9),"x","")</f>
        <v/>
      </c>
      <c r="Z2545" s="84"/>
      <c r="AA2545" s="84" t="str">
        <f>IF(AND(MONTH(E2545)='IN-NX'!$J$5,'IN-NX'!$D$7=D2545),"x","")</f>
        <v/>
      </c>
      <c r="AB2545" s="84" t="str">
        <f>IF(AND(OR(LEFT(TH!N2545,2)="15",LEFT(TH!O2545,2)="15"),LEFT(TH!O2545,3)&lt;&gt;"111",'152-CT'!$J$8=TH!F2545),"x","")</f>
        <v/>
      </c>
      <c r="AC2545" s="84" t="str">
        <f>IF(AND(OR(LEFT(TH!N2545,2)="15",LEFT(TH!O2545,2)="15"),TK!$E$7=TH!F2545),"x","")</f>
        <v/>
      </c>
      <c r="AD2545" s="84" t="str">
        <f>IF(AND(N2545="1521",MONTH(C2545)='BK-NL'!$M$11),"x","")</f>
        <v/>
      </c>
    </row>
    <row r="2546" spans="1:30" s="351" customFormat="1" ht="15.75" hidden="1" customHeight="1">
      <c r="A2546" s="336" t="str">
        <f>IF(B2546&lt;&gt;"",IF(AND(B2546='IN-TC'!$S$4,OR(TH!N2546="1111",TH!O2546="1111")),TH!D2546,""),"")</f>
        <v/>
      </c>
      <c r="B2546" s="63" t="str">
        <f t="shared" si="295"/>
        <v/>
      </c>
      <c r="C2546" s="64"/>
      <c r="D2546" s="64"/>
      <c r="E2546" s="64"/>
      <c r="F2546" s="67"/>
      <c r="G2546" s="67"/>
      <c r="H2546" s="73"/>
      <c r="I2546" s="439"/>
      <c r="J2546" s="439"/>
      <c r="K2546" s="430"/>
      <c r="L2546" s="439"/>
      <c r="M2546" s="65"/>
      <c r="N2546" s="66"/>
      <c r="O2546" s="66"/>
      <c r="P2546" s="84" t="str">
        <f>IF(AND('331-CT'!$E$7=TH!H2546,OR(N2546="331",O2546="331")),"x","")</f>
        <v/>
      </c>
      <c r="Q2546" s="84" t="str">
        <f>IF(AND(B2546='111'!$L$11,OR($N2546=$Q$7,$O2546=$Q$7)),"x","")</f>
        <v/>
      </c>
      <c r="R2546" s="84" t="str">
        <f>IF(AND($N2546=$Q$7,$B2546&lt;'111'!$L$11),"x","")</f>
        <v/>
      </c>
      <c r="S2546" s="84" t="str">
        <f>IF(AND($O2546=$Q$7,$B2546&lt;'111'!$L$11),"x","")</f>
        <v/>
      </c>
      <c r="T2546" s="84" t="str">
        <f>IF(ISERROR(FIND('112'!$M$9,G2546,1)),"",IF((AND(FIND('112'!$M$9,G2546,1)&gt;=1,B2546='112'!$K$9,OR($N2546='112'!$I$6,$O2546='112'!$I$6))),"x",""))</f>
        <v/>
      </c>
      <c r="U2546" s="84" t="str">
        <f>IF(ISERROR(FIND('112'!$M$9,G2546,1)),"",IF((AND(LEFT(G2546,2)=LEFT('112'!$M$9,2),B2546&lt;'112'!$K$9,$N2546='112'!$I$6)),"x",""))</f>
        <v/>
      </c>
      <c r="V2546" s="84" t="str">
        <f>IF(ISERROR(FIND('112'!$M$9,G2546,1)),"",IF((AND(RIGHT(G2546,2)=RIGHT('112'!$M$9,2),B2546&lt;'112'!$K$9,$O2546='112'!$I$6)),"x",""))</f>
        <v/>
      </c>
      <c r="W2546" s="84" t="str">
        <f>IF(AND('341-CT'!$H$9=H2546,OR(LEFT(N2546,3)=$W$7,LEFT(O2546,3)=$W$7)),"x","")</f>
        <v/>
      </c>
      <c r="X2546" s="84" t="str">
        <f>IF(OR(TH!N2546=TH!$X$7,O2546=TH!$X$7),"x","")</f>
        <v/>
      </c>
      <c r="Y2546" s="84" t="str">
        <f>IF(AND(OR(N2546="131",O2546="131"),H2546='131-CT'!$H$9),"x","")</f>
        <v/>
      </c>
      <c r="Z2546" s="84"/>
      <c r="AA2546" s="84" t="str">
        <f>IF(AND(MONTH(E2546)='IN-NX'!$J$5,'IN-NX'!$D$7=D2546),"x","")</f>
        <v/>
      </c>
      <c r="AB2546" s="84" t="str">
        <f>IF(AND(OR(LEFT(TH!N2546,2)="15",LEFT(TH!O2546,2)="15"),LEFT(TH!O2546,3)&lt;&gt;"111",'152-CT'!$J$8=TH!F2546),"x","")</f>
        <v/>
      </c>
      <c r="AC2546" s="84" t="str">
        <f>IF(AND(OR(LEFT(TH!N2546,2)="15",LEFT(TH!O2546,2)="15"),TK!$E$7=TH!F2546),"x","")</f>
        <v/>
      </c>
      <c r="AD2546" s="84" t="str">
        <f>IF(AND(N2546="1521",MONTH(C2546)='BK-NL'!$M$11),"x","")</f>
        <v/>
      </c>
    </row>
    <row r="2547" spans="1:30" s="351" customFormat="1" ht="15.75" hidden="1" customHeight="1">
      <c r="A2547" s="336" t="str">
        <f>IF(B2547&lt;&gt;"",IF(AND(B2547='IN-TC'!$S$4,OR(TH!N2547="1111",TH!O2547="1111")),TH!D2547,""),"")</f>
        <v/>
      </c>
      <c r="B2547" s="63" t="str">
        <f t="shared" si="295"/>
        <v/>
      </c>
      <c r="C2547" s="64"/>
      <c r="D2547" s="64"/>
      <c r="E2547" s="64"/>
      <c r="F2547" s="67"/>
      <c r="G2547" s="67"/>
      <c r="H2547" s="73"/>
      <c r="I2547" s="439"/>
      <c r="J2547" s="439"/>
      <c r="K2547" s="430"/>
      <c r="L2547" s="439"/>
      <c r="M2547" s="65"/>
      <c r="N2547" s="66"/>
      <c r="O2547" s="66"/>
      <c r="P2547" s="84" t="str">
        <f>IF(AND('331-CT'!$E$7=TH!H2547,OR(N2547="331",O2547="331")),"x","")</f>
        <v/>
      </c>
      <c r="Q2547" s="84" t="str">
        <f>IF(AND(B2547='111'!$L$11,OR($N2547=$Q$7,$O2547=$Q$7)),"x","")</f>
        <v/>
      </c>
      <c r="R2547" s="84" t="str">
        <f>IF(AND($N2547=$Q$7,$B2547&lt;'111'!$L$11),"x","")</f>
        <v/>
      </c>
      <c r="S2547" s="84" t="str">
        <f>IF(AND($O2547=$Q$7,$B2547&lt;'111'!$L$11),"x","")</f>
        <v/>
      </c>
      <c r="T2547" s="84" t="str">
        <f>IF(ISERROR(FIND('112'!$M$9,G2547,1)),"",IF((AND(FIND('112'!$M$9,G2547,1)&gt;=1,B2547='112'!$K$9,OR($N2547='112'!$I$6,$O2547='112'!$I$6))),"x",""))</f>
        <v/>
      </c>
      <c r="U2547" s="84" t="str">
        <f>IF(ISERROR(FIND('112'!$M$9,G2547,1)),"",IF((AND(LEFT(G2547,2)=LEFT('112'!$M$9,2),B2547&lt;'112'!$K$9,$N2547='112'!$I$6)),"x",""))</f>
        <v/>
      </c>
      <c r="V2547" s="84" t="str">
        <f>IF(ISERROR(FIND('112'!$M$9,G2547,1)),"",IF((AND(RIGHT(G2547,2)=RIGHT('112'!$M$9,2),B2547&lt;'112'!$K$9,$O2547='112'!$I$6)),"x",""))</f>
        <v/>
      </c>
      <c r="W2547" s="84" t="str">
        <f>IF(AND('341-CT'!$H$9=H2547,OR(LEFT(N2547,3)=$W$7,LEFT(O2547,3)=$W$7)),"x","")</f>
        <v/>
      </c>
      <c r="X2547" s="84" t="str">
        <f>IF(OR(TH!N2547=TH!$X$7,O2547=TH!$X$7),"x","")</f>
        <v/>
      </c>
      <c r="Y2547" s="84" t="str">
        <f>IF(AND(OR(N2547="131",O2547="131"),H2547='131-CT'!$H$9),"x","")</f>
        <v/>
      </c>
      <c r="Z2547" s="84"/>
      <c r="AA2547" s="84" t="str">
        <f>IF(AND(MONTH(E2547)='IN-NX'!$J$5,'IN-NX'!$D$7=D2547),"x","")</f>
        <v/>
      </c>
      <c r="AB2547" s="84" t="str">
        <f>IF(AND(OR(LEFT(TH!N2547,2)="15",LEFT(TH!O2547,2)="15"),LEFT(TH!O2547,3)&lt;&gt;"111",'152-CT'!$J$8=TH!F2547),"x","")</f>
        <v/>
      </c>
      <c r="AC2547" s="84" t="str">
        <f>IF(AND(OR(LEFT(TH!N2547,2)="15",LEFT(TH!O2547,2)="15"),TK!$E$7=TH!F2547),"x","")</f>
        <v/>
      </c>
      <c r="AD2547" s="84" t="str">
        <f>IF(AND(N2547="1521",MONTH(C2547)='BK-NL'!$M$11),"x","")</f>
        <v/>
      </c>
    </row>
    <row r="2548" spans="1:30" s="351" customFormat="1" ht="15.75" hidden="1" customHeight="1">
      <c r="A2548" s="336" t="str">
        <f>IF(B2548&lt;&gt;"",IF(AND(B2548='IN-TC'!$S$4,OR(TH!N2548="1111",TH!O2548="1111")),TH!D2548,""),"")</f>
        <v/>
      </c>
      <c r="B2548" s="63" t="str">
        <f t="shared" si="295"/>
        <v/>
      </c>
      <c r="C2548" s="64"/>
      <c r="D2548" s="64"/>
      <c r="E2548" s="64"/>
      <c r="F2548" s="67"/>
      <c r="G2548" s="67"/>
      <c r="H2548" s="73"/>
      <c r="I2548" s="439"/>
      <c r="J2548" s="439"/>
      <c r="K2548" s="430"/>
      <c r="L2548" s="439"/>
      <c r="M2548" s="65"/>
      <c r="N2548" s="66"/>
      <c r="O2548" s="66"/>
      <c r="P2548" s="84" t="str">
        <f>IF(AND('331-CT'!$E$7=TH!H2548,OR(N2548="331",O2548="331")),"x","")</f>
        <v/>
      </c>
      <c r="Q2548" s="84" t="str">
        <f>IF(AND(B2548='111'!$L$11,OR($N2548=$Q$7,$O2548=$Q$7)),"x","")</f>
        <v/>
      </c>
      <c r="R2548" s="84" t="str">
        <f>IF(AND($N2548=$Q$7,$B2548&lt;'111'!$L$11),"x","")</f>
        <v/>
      </c>
      <c r="S2548" s="84" t="str">
        <f>IF(AND($O2548=$Q$7,$B2548&lt;'111'!$L$11),"x","")</f>
        <v/>
      </c>
      <c r="T2548" s="84" t="str">
        <f>IF(ISERROR(FIND('112'!$M$9,G2548,1)),"",IF((AND(FIND('112'!$M$9,G2548,1)&gt;=1,B2548='112'!$K$9,OR($N2548='112'!$I$6,$O2548='112'!$I$6))),"x",""))</f>
        <v/>
      </c>
      <c r="U2548" s="84" t="str">
        <f>IF(ISERROR(FIND('112'!$M$9,G2548,1)),"",IF((AND(LEFT(G2548,2)=LEFT('112'!$M$9,2),B2548&lt;'112'!$K$9,$N2548='112'!$I$6)),"x",""))</f>
        <v/>
      </c>
      <c r="V2548" s="84" t="str">
        <f>IF(ISERROR(FIND('112'!$M$9,G2548,1)),"",IF((AND(RIGHT(G2548,2)=RIGHT('112'!$M$9,2),B2548&lt;'112'!$K$9,$O2548='112'!$I$6)),"x",""))</f>
        <v/>
      </c>
      <c r="W2548" s="84" t="str">
        <f>IF(AND('341-CT'!$H$9=H2548,OR(LEFT(N2548,3)=$W$7,LEFT(O2548,3)=$W$7)),"x","")</f>
        <v/>
      </c>
      <c r="X2548" s="84" t="str">
        <f>IF(OR(TH!N2548=TH!$X$7,O2548=TH!$X$7),"x","")</f>
        <v/>
      </c>
      <c r="Y2548" s="84" t="str">
        <f>IF(AND(OR(N2548="131",O2548="131"),H2548='131-CT'!$H$9),"x","")</f>
        <v/>
      </c>
      <c r="Z2548" s="84"/>
      <c r="AA2548" s="84" t="str">
        <f>IF(AND(MONTH(E2548)='IN-NX'!$J$5,'IN-NX'!$D$7=D2548),"x","")</f>
        <v/>
      </c>
      <c r="AB2548" s="84" t="str">
        <f>IF(AND(OR(LEFT(TH!N2548,2)="15",LEFT(TH!O2548,2)="15"),LEFT(TH!O2548,3)&lt;&gt;"111",'152-CT'!$J$8=TH!F2548),"x","")</f>
        <v/>
      </c>
      <c r="AC2548" s="84" t="str">
        <f>IF(AND(OR(LEFT(TH!N2548,2)="15",LEFT(TH!O2548,2)="15"),TK!$E$7=TH!F2548),"x","")</f>
        <v/>
      </c>
      <c r="AD2548" s="84" t="str">
        <f>IF(AND(N2548="1521",MONTH(C2548)='BK-NL'!$M$11),"x","")</f>
        <v/>
      </c>
    </row>
    <row r="2549" spans="1:30" s="351" customFormat="1" ht="15.75" hidden="1" customHeight="1">
      <c r="A2549" s="336" t="str">
        <f>IF(B2549&lt;&gt;"",IF(AND(B2549='IN-TC'!$S$4,OR(TH!N2549="1111",TH!O2549="1111")),TH!D2549,""),"")</f>
        <v/>
      </c>
      <c r="B2549" s="63" t="str">
        <f t="shared" si="295"/>
        <v/>
      </c>
      <c r="C2549" s="64"/>
      <c r="D2549" s="64"/>
      <c r="E2549" s="64"/>
      <c r="F2549" s="67"/>
      <c r="G2549" s="67"/>
      <c r="H2549" s="73"/>
      <c r="I2549" s="439"/>
      <c r="J2549" s="439"/>
      <c r="K2549" s="430"/>
      <c r="L2549" s="439"/>
      <c r="M2549" s="65"/>
      <c r="N2549" s="66"/>
      <c r="O2549" s="66"/>
      <c r="P2549" s="84" t="str">
        <f>IF(AND('331-CT'!$E$7=TH!H2549,OR(N2549="331",O2549="331")),"x","")</f>
        <v/>
      </c>
      <c r="Q2549" s="84" t="str">
        <f>IF(AND(B2549='111'!$L$11,OR($N2549=$Q$7,$O2549=$Q$7)),"x","")</f>
        <v/>
      </c>
      <c r="R2549" s="84" t="str">
        <f>IF(AND($N2549=$Q$7,$B2549&lt;'111'!$L$11),"x","")</f>
        <v/>
      </c>
      <c r="S2549" s="84" t="str">
        <f>IF(AND($O2549=$Q$7,$B2549&lt;'111'!$L$11),"x","")</f>
        <v/>
      </c>
      <c r="T2549" s="84" t="str">
        <f>IF(ISERROR(FIND('112'!$M$9,G2549,1)),"",IF((AND(FIND('112'!$M$9,G2549,1)&gt;=1,B2549='112'!$K$9,OR($N2549='112'!$I$6,$O2549='112'!$I$6))),"x",""))</f>
        <v/>
      </c>
      <c r="U2549" s="84" t="str">
        <f>IF(ISERROR(FIND('112'!$M$9,G2549,1)),"",IF((AND(LEFT(G2549,2)=LEFT('112'!$M$9,2),B2549&lt;'112'!$K$9,$N2549='112'!$I$6)),"x",""))</f>
        <v/>
      </c>
      <c r="V2549" s="84" t="str">
        <f>IF(ISERROR(FIND('112'!$M$9,G2549,1)),"",IF((AND(RIGHT(G2549,2)=RIGHT('112'!$M$9,2),B2549&lt;'112'!$K$9,$O2549='112'!$I$6)),"x",""))</f>
        <v/>
      </c>
      <c r="W2549" s="84" t="str">
        <f>IF(AND('341-CT'!$H$9=H2549,OR(LEFT(N2549,3)=$W$7,LEFT(O2549,3)=$W$7)),"x","")</f>
        <v/>
      </c>
      <c r="X2549" s="84" t="str">
        <f>IF(OR(TH!N2549=TH!$X$7,O2549=TH!$X$7),"x","")</f>
        <v/>
      </c>
      <c r="Y2549" s="84" t="str">
        <f>IF(AND(OR(N2549="131",O2549="131"),H2549='131-CT'!$H$9),"x","")</f>
        <v/>
      </c>
      <c r="Z2549" s="84"/>
      <c r="AA2549" s="84" t="str">
        <f>IF(AND(MONTH(E2549)='IN-NX'!$J$5,'IN-NX'!$D$7=D2549),"x","")</f>
        <v/>
      </c>
      <c r="AB2549" s="84" t="str">
        <f>IF(AND(OR(LEFT(TH!N2549,2)="15",LEFT(TH!O2549,2)="15"),LEFT(TH!O2549,3)&lt;&gt;"111",'152-CT'!$J$8=TH!F2549),"x","")</f>
        <v/>
      </c>
      <c r="AC2549" s="84" t="str">
        <f>IF(AND(OR(LEFT(TH!N2549,2)="15",LEFT(TH!O2549,2)="15"),TK!$E$7=TH!F2549),"x","")</f>
        <v/>
      </c>
      <c r="AD2549" s="84" t="str">
        <f>IF(AND(N2549="1521",MONTH(C2549)='BK-NL'!$M$11),"x","")</f>
        <v/>
      </c>
    </row>
    <row r="2550" spans="1:30" s="351" customFormat="1" ht="15.75" hidden="1" customHeight="1">
      <c r="A2550" s="336" t="str">
        <f>IF(B2550&lt;&gt;"",IF(AND(B2550='IN-TC'!$S$4,OR(TH!N2550="1111",TH!O2550="1111")),TH!D2550,""),"")</f>
        <v/>
      </c>
      <c r="B2550" s="63" t="str">
        <f t="shared" si="295"/>
        <v/>
      </c>
      <c r="C2550" s="64"/>
      <c r="D2550" s="64"/>
      <c r="E2550" s="64"/>
      <c r="F2550" s="67"/>
      <c r="G2550" s="67"/>
      <c r="H2550" s="73"/>
      <c r="I2550" s="439"/>
      <c r="J2550" s="439"/>
      <c r="K2550" s="430"/>
      <c r="L2550" s="439"/>
      <c r="M2550" s="65"/>
      <c r="N2550" s="66"/>
      <c r="O2550" s="66"/>
      <c r="P2550" s="84" t="str">
        <f>IF(AND('331-CT'!$E$7=TH!H2550,OR(N2550="331",O2550="331")),"x","")</f>
        <v/>
      </c>
      <c r="Q2550" s="84" t="str">
        <f>IF(AND(B2550='111'!$L$11,OR($N2550=$Q$7,$O2550=$Q$7)),"x","")</f>
        <v/>
      </c>
      <c r="R2550" s="84" t="str">
        <f>IF(AND($N2550=$Q$7,$B2550&lt;'111'!$L$11),"x","")</f>
        <v/>
      </c>
      <c r="S2550" s="84" t="str">
        <f>IF(AND($O2550=$Q$7,$B2550&lt;'111'!$L$11),"x","")</f>
        <v/>
      </c>
      <c r="T2550" s="84" t="str">
        <f>IF(ISERROR(FIND('112'!$M$9,G2550,1)),"",IF((AND(FIND('112'!$M$9,G2550,1)&gt;=1,B2550='112'!$K$9,OR($N2550='112'!$I$6,$O2550='112'!$I$6))),"x",""))</f>
        <v/>
      </c>
      <c r="U2550" s="84" t="str">
        <f>IF(ISERROR(FIND('112'!$M$9,G2550,1)),"",IF((AND(LEFT(G2550,2)=LEFT('112'!$M$9,2),B2550&lt;'112'!$K$9,$N2550='112'!$I$6)),"x",""))</f>
        <v/>
      </c>
      <c r="V2550" s="84" t="str">
        <f>IF(ISERROR(FIND('112'!$M$9,G2550,1)),"",IF((AND(RIGHT(G2550,2)=RIGHT('112'!$M$9,2),B2550&lt;'112'!$K$9,$O2550='112'!$I$6)),"x",""))</f>
        <v/>
      </c>
      <c r="W2550" s="84" t="str">
        <f>IF(AND('341-CT'!$H$9=H2550,OR(LEFT(N2550,3)=$W$7,LEFT(O2550,3)=$W$7)),"x","")</f>
        <v/>
      </c>
      <c r="X2550" s="84" t="str">
        <f>IF(OR(TH!N2550=TH!$X$7,O2550=TH!$X$7),"x","")</f>
        <v/>
      </c>
      <c r="Y2550" s="84" t="str">
        <f>IF(AND(OR(N2550="131",O2550="131"),H2550='131-CT'!$H$9),"x","")</f>
        <v/>
      </c>
      <c r="Z2550" s="84"/>
      <c r="AA2550" s="84" t="str">
        <f>IF(AND(MONTH(E2550)='IN-NX'!$J$5,'IN-NX'!$D$7=D2550),"x","")</f>
        <v/>
      </c>
      <c r="AB2550" s="84" t="str">
        <f>IF(AND(OR(LEFT(TH!N2550,2)="15",LEFT(TH!O2550,2)="15"),LEFT(TH!O2550,3)&lt;&gt;"111",'152-CT'!$J$8=TH!F2550),"x","")</f>
        <v/>
      </c>
      <c r="AC2550" s="84" t="str">
        <f>IF(AND(OR(LEFT(TH!N2550,2)="15",LEFT(TH!O2550,2)="15"),TK!$E$7=TH!F2550),"x","")</f>
        <v/>
      </c>
      <c r="AD2550" s="84" t="str">
        <f>IF(AND(N2550="1521",MONTH(C2550)='BK-NL'!$M$11),"x","")</f>
        <v/>
      </c>
    </row>
    <row r="2551" spans="1:30" s="351" customFormat="1" ht="15.75" hidden="1" customHeight="1">
      <c r="A2551" s="336" t="str">
        <f>IF(B2551&lt;&gt;"",IF(AND(B2551='IN-TC'!$S$4,OR(TH!N2551="1111",TH!O2551="1111")),TH!D2551,""),"")</f>
        <v/>
      </c>
      <c r="B2551" s="63" t="str">
        <f t="shared" si="295"/>
        <v/>
      </c>
      <c r="C2551" s="64"/>
      <c r="D2551" s="64"/>
      <c r="E2551" s="64"/>
      <c r="F2551" s="67"/>
      <c r="G2551" s="67"/>
      <c r="H2551" s="73"/>
      <c r="I2551" s="439"/>
      <c r="J2551" s="439"/>
      <c r="K2551" s="430"/>
      <c r="L2551" s="439"/>
      <c r="M2551" s="65"/>
      <c r="N2551" s="66"/>
      <c r="O2551" s="66"/>
      <c r="P2551" s="84" t="str">
        <f>IF(AND('331-CT'!$E$7=TH!H2551,OR(N2551="331",O2551="331")),"x","")</f>
        <v/>
      </c>
      <c r="Q2551" s="84" t="str">
        <f>IF(AND(B2551='111'!$L$11,OR($N2551=$Q$7,$O2551=$Q$7)),"x","")</f>
        <v/>
      </c>
      <c r="R2551" s="84" t="str">
        <f>IF(AND($N2551=$Q$7,$B2551&lt;'111'!$L$11),"x","")</f>
        <v/>
      </c>
      <c r="S2551" s="84" t="str">
        <f>IF(AND($O2551=$Q$7,$B2551&lt;'111'!$L$11),"x","")</f>
        <v/>
      </c>
      <c r="T2551" s="84" t="str">
        <f>IF(ISERROR(FIND('112'!$M$9,G2551,1)),"",IF((AND(FIND('112'!$M$9,G2551,1)&gt;=1,B2551='112'!$K$9,OR($N2551='112'!$I$6,$O2551='112'!$I$6))),"x",""))</f>
        <v/>
      </c>
      <c r="U2551" s="84" t="str">
        <f>IF(ISERROR(FIND('112'!$M$9,G2551,1)),"",IF((AND(LEFT(G2551,2)=LEFT('112'!$M$9,2),B2551&lt;'112'!$K$9,$N2551='112'!$I$6)),"x",""))</f>
        <v/>
      </c>
      <c r="V2551" s="84" t="str">
        <f>IF(ISERROR(FIND('112'!$M$9,G2551,1)),"",IF((AND(RIGHT(G2551,2)=RIGHT('112'!$M$9,2),B2551&lt;'112'!$K$9,$O2551='112'!$I$6)),"x",""))</f>
        <v/>
      </c>
      <c r="W2551" s="84" t="str">
        <f>IF(AND('341-CT'!$H$9=H2551,OR(LEFT(N2551,3)=$W$7,LEFT(O2551,3)=$W$7)),"x","")</f>
        <v/>
      </c>
      <c r="X2551" s="84" t="str">
        <f>IF(OR(TH!N2551=TH!$X$7,O2551=TH!$X$7),"x","")</f>
        <v/>
      </c>
      <c r="Y2551" s="84" t="str">
        <f>IF(AND(OR(N2551="131",O2551="131"),H2551='131-CT'!$H$9),"x","")</f>
        <v/>
      </c>
      <c r="Z2551" s="84"/>
      <c r="AA2551" s="84" t="str">
        <f>IF(AND(MONTH(E2551)='IN-NX'!$J$5,'IN-NX'!$D$7=D2551),"x","")</f>
        <v/>
      </c>
      <c r="AB2551" s="84" t="str">
        <f>IF(AND(OR(LEFT(TH!N2551,2)="15",LEFT(TH!O2551,2)="15"),LEFT(TH!O2551,3)&lt;&gt;"111",'152-CT'!$J$8=TH!F2551),"x","")</f>
        <v/>
      </c>
      <c r="AC2551" s="84" t="str">
        <f>IF(AND(OR(LEFT(TH!N2551,2)="15",LEFT(TH!O2551,2)="15"),TK!$E$7=TH!F2551),"x","")</f>
        <v/>
      </c>
      <c r="AD2551" s="84" t="str">
        <f>IF(AND(N2551="1521",MONTH(C2551)='BK-NL'!$M$11),"x","")</f>
        <v/>
      </c>
    </row>
    <row r="2552" spans="1:30" s="351" customFormat="1" ht="15.75" hidden="1" customHeight="1">
      <c r="A2552" s="336" t="str">
        <f>IF(B2552&lt;&gt;"",IF(AND(B2552='IN-TC'!$S$4,OR(TH!N2552="1111",TH!O2552="1111")),TH!D2552,""),"")</f>
        <v/>
      </c>
      <c r="B2552" s="63" t="str">
        <f t="shared" si="295"/>
        <v/>
      </c>
      <c r="C2552" s="64"/>
      <c r="D2552" s="64"/>
      <c r="E2552" s="64"/>
      <c r="F2552" s="67"/>
      <c r="G2552" s="67"/>
      <c r="H2552" s="73"/>
      <c r="I2552" s="439"/>
      <c r="J2552" s="439"/>
      <c r="K2552" s="430"/>
      <c r="L2552" s="439"/>
      <c r="M2552" s="65"/>
      <c r="N2552" s="66"/>
      <c r="O2552" s="66"/>
      <c r="P2552" s="84" t="str">
        <f>IF(AND('331-CT'!$E$7=TH!H2552,OR(N2552="331",O2552="331")),"x","")</f>
        <v/>
      </c>
      <c r="Q2552" s="84" t="str">
        <f>IF(AND(B2552='111'!$L$11,OR($N2552=$Q$7,$O2552=$Q$7)),"x","")</f>
        <v/>
      </c>
      <c r="R2552" s="84" t="str">
        <f>IF(AND($N2552=$Q$7,$B2552&lt;'111'!$L$11),"x","")</f>
        <v/>
      </c>
      <c r="S2552" s="84" t="str">
        <f>IF(AND($O2552=$Q$7,$B2552&lt;'111'!$L$11),"x","")</f>
        <v/>
      </c>
      <c r="T2552" s="84" t="str">
        <f>IF(ISERROR(FIND('112'!$M$9,G2552,1)),"",IF((AND(FIND('112'!$M$9,G2552,1)&gt;=1,B2552='112'!$K$9,OR($N2552='112'!$I$6,$O2552='112'!$I$6))),"x",""))</f>
        <v/>
      </c>
      <c r="U2552" s="84" t="str">
        <f>IF(ISERROR(FIND('112'!$M$9,G2552,1)),"",IF((AND(LEFT(G2552,2)=LEFT('112'!$M$9,2),B2552&lt;'112'!$K$9,$N2552='112'!$I$6)),"x",""))</f>
        <v/>
      </c>
      <c r="V2552" s="84" t="str">
        <f>IF(ISERROR(FIND('112'!$M$9,G2552,1)),"",IF((AND(RIGHT(G2552,2)=RIGHT('112'!$M$9,2),B2552&lt;'112'!$K$9,$O2552='112'!$I$6)),"x",""))</f>
        <v/>
      </c>
      <c r="W2552" s="84" t="str">
        <f>IF(AND('341-CT'!$H$9=H2552,OR(LEFT(N2552,3)=$W$7,LEFT(O2552,3)=$W$7)),"x","")</f>
        <v/>
      </c>
      <c r="X2552" s="84" t="str">
        <f>IF(OR(TH!N2552=TH!$X$7,O2552=TH!$X$7),"x","")</f>
        <v/>
      </c>
      <c r="Y2552" s="84" t="str">
        <f>IF(AND(OR(N2552="131",O2552="131"),H2552='131-CT'!$H$9),"x","")</f>
        <v/>
      </c>
      <c r="Z2552" s="84"/>
      <c r="AA2552" s="84" t="str">
        <f>IF(AND(MONTH(E2552)='IN-NX'!$J$5,'IN-NX'!$D$7=D2552),"x","")</f>
        <v/>
      </c>
      <c r="AB2552" s="84" t="str">
        <f>IF(AND(OR(LEFT(TH!N2552,2)="15",LEFT(TH!O2552,2)="15"),LEFT(TH!O2552,3)&lt;&gt;"111",'152-CT'!$J$8=TH!F2552),"x","")</f>
        <v/>
      </c>
      <c r="AC2552" s="84" t="str">
        <f>IF(AND(OR(LEFT(TH!N2552,2)="15",LEFT(TH!O2552,2)="15"),TK!$E$7=TH!F2552),"x","")</f>
        <v/>
      </c>
      <c r="AD2552" s="84" t="str">
        <f>IF(AND(N2552="1521",MONTH(C2552)='BK-NL'!$M$11),"x","")</f>
        <v/>
      </c>
    </row>
    <row r="2553" spans="1:30" s="351" customFormat="1" ht="15.75" hidden="1" customHeight="1">
      <c r="A2553" s="336" t="str">
        <f>IF(B2553&lt;&gt;"",IF(AND(B2553='IN-TC'!$S$4,OR(TH!N2553="1111",TH!O2553="1111")),TH!D2553,""),"")</f>
        <v/>
      </c>
      <c r="B2553" s="63" t="str">
        <f t="shared" si="295"/>
        <v/>
      </c>
      <c r="C2553" s="64"/>
      <c r="D2553" s="64"/>
      <c r="E2553" s="64"/>
      <c r="F2553" s="67"/>
      <c r="G2553" s="67"/>
      <c r="H2553" s="73"/>
      <c r="I2553" s="439"/>
      <c r="J2553" s="439"/>
      <c r="K2553" s="430"/>
      <c r="L2553" s="439"/>
      <c r="M2553" s="65"/>
      <c r="N2553" s="66"/>
      <c r="O2553" s="66"/>
      <c r="P2553" s="84" t="str">
        <f>IF(AND('331-CT'!$E$7=TH!H2553,OR(N2553="331",O2553="331")),"x","")</f>
        <v/>
      </c>
      <c r="Q2553" s="84" t="str">
        <f>IF(AND(B2553='111'!$L$11,OR($N2553=$Q$7,$O2553=$Q$7)),"x","")</f>
        <v/>
      </c>
      <c r="R2553" s="84" t="str">
        <f>IF(AND($N2553=$Q$7,$B2553&lt;'111'!$L$11),"x","")</f>
        <v/>
      </c>
      <c r="S2553" s="84" t="str">
        <f>IF(AND($O2553=$Q$7,$B2553&lt;'111'!$L$11),"x","")</f>
        <v/>
      </c>
      <c r="T2553" s="84" t="str">
        <f>IF(ISERROR(FIND('112'!$M$9,G2553,1)),"",IF((AND(FIND('112'!$M$9,G2553,1)&gt;=1,B2553='112'!$K$9,OR($N2553='112'!$I$6,$O2553='112'!$I$6))),"x",""))</f>
        <v/>
      </c>
      <c r="U2553" s="84" t="str">
        <f>IF(ISERROR(FIND('112'!$M$9,G2553,1)),"",IF((AND(LEFT(G2553,2)=LEFT('112'!$M$9,2),B2553&lt;'112'!$K$9,$N2553='112'!$I$6)),"x",""))</f>
        <v/>
      </c>
      <c r="V2553" s="84" t="str">
        <f>IF(ISERROR(FIND('112'!$M$9,G2553,1)),"",IF((AND(RIGHT(G2553,2)=RIGHT('112'!$M$9,2),B2553&lt;'112'!$K$9,$O2553='112'!$I$6)),"x",""))</f>
        <v/>
      </c>
      <c r="W2553" s="84" t="str">
        <f>IF(AND('341-CT'!$H$9=H2553,OR(LEFT(N2553,3)=$W$7,LEFT(O2553,3)=$W$7)),"x","")</f>
        <v/>
      </c>
      <c r="X2553" s="84" t="str">
        <f>IF(OR(TH!N2553=TH!$X$7,O2553=TH!$X$7),"x","")</f>
        <v/>
      </c>
      <c r="Y2553" s="84" t="str">
        <f>IF(AND(OR(N2553="131",O2553="131"),H2553='131-CT'!$H$9),"x","")</f>
        <v/>
      </c>
      <c r="Z2553" s="84"/>
      <c r="AA2553" s="84" t="str">
        <f>IF(AND(MONTH(E2553)='IN-NX'!$J$5,'IN-NX'!$D$7=D2553),"x","")</f>
        <v/>
      </c>
      <c r="AB2553" s="84" t="str">
        <f>IF(AND(OR(LEFT(TH!N2553,2)="15",LEFT(TH!O2553,2)="15"),LEFT(TH!O2553,3)&lt;&gt;"111",'152-CT'!$J$8=TH!F2553),"x","")</f>
        <v/>
      </c>
      <c r="AC2553" s="84" t="str">
        <f>IF(AND(OR(LEFT(TH!N2553,2)="15",LEFT(TH!O2553,2)="15"),TK!$E$7=TH!F2553),"x","")</f>
        <v/>
      </c>
      <c r="AD2553" s="84" t="str">
        <f>IF(AND(N2553="1521",MONTH(C2553)='BK-NL'!$M$11),"x","")</f>
        <v/>
      </c>
    </row>
    <row r="2554" spans="1:30" s="351" customFormat="1" ht="15.75" hidden="1" customHeight="1">
      <c r="A2554" s="336" t="str">
        <f>IF(B2554&lt;&gt;"",IF(AND(B2554='IN-TC'!$S$4,OR(TH!N2554="1111",TH!O2554="1111")),TH!D2554,""),"")</f>
        <v/>
      </c>
      <c r="B2554" s="63" t="str">
        <f t="shared" si="295"/>
        <v/>
      </c>
      <c r="C2554" s="64"/>
      <c r="D2554" s="64"/>
      <c r="E2554" s="64"/>
      <c r="F2554" s="67"/>
      <c r="G2554" s="67"/>
      <c r="H2554" s="73"/>
      <c r="I2554" s="439"/>
      <c r="J2554" s="439"/>
      <c r="K2554" s="430"/>
      <c r="L2554" s="439"/>
      <c r="M2554" s="65"/>
      <c r="N2554" s="66"/>
      <c r="O2554" s="66"/>
      <c r="P2554" s="84" t="str">
        <f>IF(AND('331-CT'!$E$7=TH!H2554,OR(N2554="331",O2554="331")),"x","")</f>
        <v/>
      </c>
      <c r="Q2554" s="84" t="str">
        <f>IF(AND(B2554='111'!$L$11,OR($N2554=$Q$7,$O2554=$Q$7)),"x","")</f>
        <v/>
      </c>
      <c r="R2554" s="84" t="str">
        <f>IF(AND($N2554=$Q$7,$B2554&lt;'111'!$L$11),"x","")</f>
        <v/>
      </c>
      <c r="S2554" s="84" t="str">
        <f>IF(AND($O2554=$Q$7,$B2554&lt;'111'!$L$11),"x","")</f>
        <v/>
      </c>
      <c r="T2554" s="84" t="str">
        <f>IF(ISERROR(FIND('112'!$M$9,G2554,1)),"",IF((AND(FIND('112'!$M$9,G2554,1)&gt;=1,B2554='112'!$K$9,OR($N2554='112'!$I$6,$O2554='112'!$I$6))),"x",""))</f>
        <v/>
      </c>
      <c r="U2554" s="84" t="str">
        <f>IF(ISERROR(FIND('112'!$M$9,G2554,1)),"",IF((AND(LEFT(G2554,2)=LEFT('112'!$M$9,2),B2554&lt;'112'!$K$9,$N2554='112'!$I$6)),"x",""))</f>
        <v/>
      </c>
      <c r="V2554" s="84" t="str">
        <f>IF(ISERROR(FIND('112'!$M$9,G2554,1)),"",IF((AND(RIGHT(G2554,2)=RIGHT('112'!$M$9,2),B2554&lt;'112'!$K$9,$O2554='112'!$I$6)),"x",""))</f>
        <v/>
      </c>
      <c r="W2554" s="84" t="str">
        <f>IF(AND('341-CT'!$H$9=H2554,OR(LEFT(N2554,3)=$W$7,LEFT(O2554,3)=$W$7)),"x","")</f>
        <v/>
      </c>
      <c r="X2554" s="84" t="str">
        <f>IF(OR(TH!N2554=TH!$X$7,O2554=TH!$X$7),"x","")</f>
        <v/>
      </c>
      <c r="Y2554" s="84" t="str">
        <f>IF(AND(OR(N2554="131",O2554="131"),H2554='131-CT'!$H$9),"x","")</f>
        <v/>
      </c>
      <c r="Z2554" s="84"/>
      <c r="AA2554" s="84" t="str">
        <f>IF(AND(MONTH(E2554)='IN-NX'!$J$5,'IN-NX'!$D$7=D2554),"x","")</f>
        <v/>
      </c>
      <c r="AB2554" s="84" t="str">
        <f>IF(AND(OR(LEFT(TH!N2554,2)="15",LEFT(TH!O2554,2)="15"),LEFT(TH!O2554,3)&lt;&gt;"111",'152-CT'!$J$8=TH!F2554),"x","")</f>
        <v/>
      </c>
      <c r="AC2554" s="84" t="str">
        <f>IF(AND(OR(LEFT(TH!N2554,2)="15",LEFT(TH!O2554,2)="15"),TK!$E$7=TH!F2554),"x","")</f>
        <v/>
      </c>
      <c r="AD2554" s="84" t="str">
        <f>IF(AND(N2554="1521",MONTH(C2554)='BK-NL'!$M$11),"x","")</f>
        <v/>
      </c>
    </row>
    <row r="2555" spans="1:30" s="351" customFormat="1" ht="15.75" hidden="1" customHeight="1">
      <c r="A2555" s="336" t="str">
        <f>IF(B2555&lt;&gt;"",IF(AND(B2555='IN-TC'!$S$4,OR(TH!N2555="1111",TH!O2555="1111")),TH!D2555,""),"")</f>
        <v/>
      </c>
      <c r="B2555" s="63" t="str">
        <f t="shared" si="295"/>
        <v/>
      </c>
      <c r="C2555" s="64"/>
      <c r="D2555" s="64"/>
      <c r="E2555" s="64"/>
      <c r="F2555" s="67"/>
      <c r="G2555" s="67"/>
      <c r="H2555" s="73"/>
      <c r="I2555" s="439"/>
      <c r="J2555" s="439"/>
      <c r="K2555" s="430"/>
      <c r="L2555" s="439"/>
      <c r="M2555" s="65"/>
      <c r="N2555" s="66"/>
      <c r="O2555" s="66"/>
      <c r="P2555" s="84" t="str">
        <f>IF(AND('331-CT'!$E$7=TH!H2555,OR(N2555="331",O2555="331")),"x","")</f>
        <v/>
      </c>
      <c r="Q2555" s="84" t="str">
        <f>IF(AND(B2555='111'!$L$11,OR($N2555=$Q$7,$O2555=$Q$7)),"x","")</f>
        <v/>
      </c>
      <c r="R2555" s="84" t="str">
        <f>IF(AND($N2555=$Q$7,$B2555&lt;'111'!$L$11),"x","")</f>
        <v/>
      </c>
      <c r="S2555" s="84" t="str">
        <f>IF(AND($O2555=$Q$7,$B2555&lt;'111'!$L$11),"x","")</f>
        <v/>
      </c>
      <c r="T2555" s="84" t="str">
        <f>IF(ISERROR(FIND('112'!$M$9,G2555,1)),"",IF((AND(FIND('112'!$M$9,G2555,1)&gt;=1,B2555='112'!$K$9,OR($N2555='112'!$I$6,$O2555='112'!$I$6))),"x",""))</f>
        <v/>
      </c>
      <c r="U2555" s="84" t="str">
        <f>IF(ISERROR(FIND('112'!$M$9,G2555,1)),"",IF((AND(LEFT(G2555,2)=LEFT('112'!$M$9,2),B2555&lt;'112'!$K$9,$N2555='112'!$I$6)),"x",""))</f>
        <v/>
      </c>
      <c r="V2555" s="84" t="str">
        <f>IF(ISERROR(FIND('112'!$M$9,G2555,1)),"",IF((AND(RIGHT(G2555,2)=RIGHT('112'!$M$9,2),B2555&lt;'112'!$K$9,$O2555='112'!$I$6)),"x",""))</f>
        <v/>
      </c>
      <c r="W2555" s="84" t="str">
        <f>IF(AND('341-CT'!$H$9=H2555,OR(LEFT(N2555,3)=$W$7,LEFT(O2555,3)=$W$7)),"x","")</f>
        <v/>
      </c>
      <c r="X2555" s="84" t="str">
        <f>IF(OR(TH!N2555=TH!$X$7,O2555=TH!$X$7),"x","")</f>
        <v/>
      </c>
      <c r="Y2555" s="84" t="str">
        <f>IF(AND(OR(N2555="131",O2555="131"),H2555='131-CT'!$H$9),"x","")</f>
        <v/>
      </c>
      <c r="Z2555" s="84"/>
      <c r="AA2555" s="84" t="str">
        <f>IF(AND(MONTH(E2555)='IN-NX'!$J$5,'IN-NX'!$D$7=D2555),"x","")</f>
        <v/>
      </c>
      <c r="AB2555" s="84" t="str">
        <f>IF(AND(OR(LEFT(TH!N2555,2)="15",LEFT(TH!O2555,2)="15"),LEFT(TH!O2555,3)&lt;&gt;"111",'152-CT'!$J$8=TH!F2555),"x","")</f>
        <v/>
      </c>
      <c r="AC2555" s="84" t="str">
        <f>IF(AND(OR(LEFT(TH!N2555,2)="15",LEFT(TH!O2555,2)="15"),TK!$E$7=TH!F2555),"x","")</f>
        <v/>
      </c>
      <c r="AD2555" s="84" t="str">
        <f>IF(AND(N2555="1521",MONTH(C2555)='BK-NL'!$M$11),"x","")</f>
        <v/>
      </c>
    </row>
    <row r="2556" spans="1:30" s="351" customFormat="1" ht="15.75" hidden="1" customHeight="1">
      <c r="A2556" s="336" t="str">
        <f>IF(B2556&lt;&gt;"",IF(AND(B2556='IN-TC'!$S$4,OR(TH!N2556="1111",TH!O2556="1111")),TH!D2556,""),"")</f>
        <v/>
      </c>
      <c r="B2556" s="63" t="str">
        <f t="shared" si="295"/>
        <v/>
      </c>
      <c r="C2556" s="64"/>
      <c r="D2556" s="64"/>
      <c r="E2556" s="64"/>
      <c r="F2556" s="67"/>
      <c r="G2556" s="67"/>
      <c r="H2556" s="73"/>
      <c r="I2556" s="439"/>
      <c r="J2556" s="439"/>
      <c r="K2556" s="430"/>
      <c r="L2556" s="439"/>
      <c r="M2556" s="65"/>
      <c r="N2556" s="66"/>
      <c r="O2556" s="66"/>
      <c r="P2556" s="84" t="str">
        <f>IF(AND('331-CT'!$E$7=TH!H2556,OR(N2556="331",O2556="331")),"x","")</f>
        <v/>
      </c>
      <c r="Q2556" s="84" t="str">
        <f>IF(AND(B2556='111'!$L$11,OR($N2556=$Q$7,$O2556=$Q$7)),"x","")</f>
        <v/>
      </c>
      <c r="R2556" s="84" t="str">
        <f>IF(AND($N2556=$Q$7,$B2556&lt;'111'!$L$11),"x","")</f>
        <v/>
      </c>
      <c r="S2556" s="84" t="str">
        <f>IF(AND($O2556=$Q$7,$B2556&lt;'111'!$L$11),"x","")</f>
        <v/>
      </c>
      <c r="T2556" s="84" t="str">
        <f>IF(ISERROR(FIND('112'!$M$9,G2556,1)),"",IF((AND(FIND('112'!$M$9,G2556,1)&gt;=1,B2556='112'!$K$9,OR($N2556='112'!$I$6,$O2556='112'!$I$6))),"x",""))</f>
        <v/>
      </c>
      <c r="U2556" s="84" t="str">
        <f>IF(ISERROR(FIND('112'!$M$9,G2556,1)),"",IF((AND(LEFT(G2556,2)=LEFT('112'!$M$9,2),B2556&lt;'112'!$K$9,$N2556='112'!$I$6)),"x",""))</f>
        <v/>
      </c>
      <c r="V2556" s="84" t="str">
        <f>IF(ISERROR(FIND('112'!$M$9,G2556,1)),"",IF((AND(RIGHT(G2556,2)=RIGHT('112'!$M$9,2),B2556&lt;'112'!$K$9,$O2556='112'!$I$6)),"x",""))</f>
        <v/>
      </c>
      <c r="W2556" s="84" t="str">
        <f>IF(AND('341-CT'!$H$9=H2556,OR(LEFT(N2556,3)=$W$7,LEFT(O2556,3)=$W$7)),"x","")</f>
        <v/>
      </c>
      <c r="X2556" s="84" t="str">
        <f>IF(OR(TH!N2556=TH!$X$7,O2556=TH!$X$7),"x","")</f>
        <v/>
      </c>
      <c r="Y2556" s="84" t="str">
        <f>IF(AND(OR(N2556="131",O2556="131"),H2556='131-CT'!$H$9),"x","")</f>
        <v/>
      </c>
      <c r="Z2556" s="84"/>
      <c r="AA2556" s="84" t="str">
        <f>IF(AND(MONTH(E2556)='IN-NX'!$J$5,'IN-NX'!$D$7=D2556),"x","")</f>
        <v/>
      </c>
      <c r="AB2556" s="84" t="str">
        <f>IF(AND(OR(LEFT(TH!N2556,2)="15",LEFT(TH!O2556,2)="15"),LEFT(TH!O2556,3)&lt;&gt;"111",'152-CT'!$J$8=TH!F2556),"x","")</f>
        <v/>
      </c>
      <c r="AC2556" s="84" t="str">
        <f>IF(AND(OR(LEFT(TH!N2556,2)="15",LEFT(TH!O2556,2)="15"),TK!$E$7=TH!F2556),"x","")</f>
        <v/>
      </c>
      <c r="AD2556" s="84" t="str">
        <f>IF(AND(N2556="1521",MONTH(C2556)='BK-NL'!$M$11),"x","")</f>
        <v/>
      </c>
    </row>
    <row r="2557" spans="1:30" s="351" customFormat="1" ht="15.75" hidden="1" customHeight="1">
      <c r="A2557" s="336" t="str">
        <f>IF(B2557&lt;&gt;"",IF(AND(B2557='IN-TC'!$S$4,OR(TH!N2557="1111",TH!O2557="1111")),TH!D2557,""),"")</f>
        <v/>
      </c>
      <c r="B2557" s="63" t="str">
        <f t="shared" si="295"/>
        <v/>
      </c>
      <c r="C2557" s="64"/>
      <c r="D2557" s="64"/>
      <c r="E2557" s="64"/>
      <c r="F2557" s="67"/>
      <c r="G2557" s="67"/>
      <c r="H2557" s="73"/>
      <c r="I2557" s="439"/>
      <c r="J2557" s="439"/>
      <c r="K2557" s="430"/>
      <c r="L2557" s="439"/>
      <c r="M2557" s="65"/>
      <c r="N2557" s="66"/>
      <c r="O2557" s="66"/>
      <c r="P2557" s="84" t="str">
        <f>IF(AND('331-CT'!$E$7=TH!H2557,OR(N2557="331",O2557="331")),"x","")</f>
        <v/>
      </c>
      <c r="Q2557" s="84" t="str">
        <f>IF(AND(B2557='111'!$L$11,OR($N2557=$Q$7,$O2557=$Q$7)),"x","")</f>
        <v/>
      </c>
      <c r="R2557" s="84" t="str">
        <f>IF(AND($N2557=$Q$7,$B2557&lt;'111'!$L$11),"x","")</f>
        <v/>
      </c>
      <c r="S2557" s="84" t="str">
        <f>IF(AND($O2557=$Q$7,$B2557&lt;'111'!$L$11),"x","")</f>
        <v/>
      </c>
      <c r="T2557" s="84" t="str">
        <f>IF(ISERROR(FIND('112'!$M$9,G2557,1)),"",IF((AND(FIND('112'!$M$9,G2557,1)&gt;=1,B2557='112'!$K$9,OR($N2557='112'!$I$6,$O2557='112'!$I$6))),"x",""))</f>
        <v/>
      </c>
      <c r="U2557" s="84" t="str">
        <f>IF(ISERROR(FIND('112'!$M$9,G2557,1)),"",IF((AND(LEFT(G2557,2)=LEFT('112'!$M$9,2),B2557&lt;'112'!$K$9,$N2557='112'!$I$6)),"x",""))</f>
        <v/>
      </c>
      <c r="V2557" s="84" t="str">
        <f>IF(ISERROR(FIND('112'!$M$9,G2557,1)),"",IF((AND(RIGHT(G2557,2)=RIGHT('112'!$M$9,2),B2557&lt;'112'!$K$9,$O2557='112'!$I$6)),"x",""))</f>
        <v/>
      </c>
      <c r="W2557" s="84" t="str">
        <f>IF(AND('341-CT'!$H$9=H2557,OR(LEFT(N2557,3)=$W$7,LEFT(O2557,3)=$W$7)),"x","")</f>
        <v/>
      </c>
      <c r="X2557" s="84" t="str">
        <f>IF(OR(TH!N2557=TH!$X$7,O2557=TH!$X$7),"x","")</f>
        <v/>
      </c>
      <c r="Y2557" s="84" t="str">
        <f>IF(AND(OR(N2557="131",O2557="131"),H2557='131-CT'!$H$9),"x","")</f>
        <v/>
      </c>
      <c r="Z2557" s="84"/>
      <c r="AA2557" s="84" t="str">
        <f>IF(AND(MONTH(E2557)='IN-NX'!$J$5,'IN-NX'!$D$7=D2557),"x","")</f>
        <v/>
      </c>
      <c r="AB2557" s="84" t="str">
        <f>IF(AND(OR(LEFT(TH!N2557,2)="15",LEFT(TH!O2557,2)="15"),LEFT(TH!O2557,3)&lt;&gt;"111",'152-CT'!$J$8=TH!F2557),"x","")</f>
        <v/>
      </c>
      <c r="AC2557" s="84" t="str">
        <f>IF(AND(OR(LEFT(TH!N2557,2)="15",LEFT(TH!O2557,2)="15"),TK!$E$7=TH!F2557),"x","")</f>
        <v/>
      </c>
      <c r="AD2557" s="84" t="str">
        <f>IF(AND(N2557="1521",MONTH(C2557)='BK-NL'!$M$11),"x","")</f>
        <v/>
      </c>
    </row>
    <row r="2558" spans="1:30" s="351" customFormat="1" ht="15.75" hidden="1" customHeight="1">
      <c r="A2558" s="336" t="str">
        <f>IF(B2558&lt;&gt;"",IF(AND(B2558='IN-TC'!$S$4,OR(TH!N2558="1111",TH!O2558="1111")),TH!D2558,""),"")</f>
        <v/>
      </c>
      <c r="B2558" s="63" t="str">
        <f t="shared" si="295"/>
        <v/>
      </c>
      <c r="C2558" s="64"/>
      <c r="D2558" s="64"/>
      <c r="E2558" s="64"/>
      <c r="F2558" s="67"/>
      <c r="G2558" s="67"/>
      <c r="H2558" s="73"/>
      <c r="I2558" s="439"/>
      <c r="J2558" s="439"/>
      <c r="K2558" s="430"/>
      <c r="L2558" s="439"/>
      <c r="M2558" s="65"/>
      <c r="N2558" s="66"/>
      <c r="O2558" s="66"/>
      <c r="P2558" s="84" t="str">
        <f>IF(AND('331-CT'!$E$7=TH!H2558,OR(N2558="331",O2558="331")),"x","")</f>
        <v/>
      </c>
      <c r="Q2558" s="84" t="str">
        <f>IF(AND(B2558='111'!$L$11,OR($N2558=$Q$7,$O2558=$Q$7)),"x","")</f>
        <v/>
      </c>
      <c r="R2558" s="84" t="str">
        <f>IF(AND($N2558=$Q$7,$B2558&lt;'111'!$L$11),"x","")</f>
        <v/>
      </c>
      <c r="S2558" s="84" t="str">
        <f>IF(AND($O2558=$Q$7,$B2558&lt;'111'!$L$11),"x","")</f>
        <v/>
      </c>
      <c r="T2558" s="84" t="str">
        <f>IF(ISERROR(FIND('112'!$M$9,G2558,1)),"",IF((AND(FIND('112'!$M$9,G2558,1)&gt;=1,B2558='112'!$K$9,OR($N2558='112'!$I$6,$O2558='112'!$I$6))),"x",""))</f>
        <v/>
      </c>
      <c r="U2558" s="84" t="str">
        <f>IF(ISERROR(FIND('112'!$M$9,G2558,1)),"",IF((AND(LEFT(G2558,2)=LEFT('112'!$M$9,2),B2558&lt;'112'!$K$9,$N2558='112'!$I$6)),"x",""))</f>
        <v/>
      </c>
      <c r="V2558" s="84" t="str">
        <f>IF(ISERROR(FIND('112'!$M$9,G2558,1)),"",IF((AND(RIGHT(G2558,2)=RIGHT('112'!$M$9,2),B2558&lt;'112'!$K$9,$O2558='112'!$I$6)),"x",""))</f>
        <v/>
      </c>
      <c r="W2558" s="84" t="str">
        <f>IF(AND('341-CT'!$H$9=H2558,OR(LEFT(N2558,3)=$W$7,LEFT(O2558,3)=$W$7)),"x","")</f>
        <v/>
      </c>
      <c r="X2558" s="84" t="str">
        <f>IF(OR(TH!N2558=TH!$X$7,O2558=TH!$X$7),"x","")</f>
        <v/>
      </c>
      <c r="Y2558" s="84" t="str">
        <f>IF(AND(OR(N2558="131",O2558="131"),H2558='131-CT'!$H$9),"x","")</f>
        <v/>
      </c>
      <c r="Z2558" s="84"/>
      <c r="AA2558" s="84" t="str">
        <f>IF(AND(MONTH(E2558)='IN-NX'!$J$5,'IN-NX'!$D$7=D2558),"x","")</f>
        <v/>
      </c>
      <c r="AB2558" s="84" t="str">
        <f>IF(AND(OR(LEFT(TH!N2558,2)="15",LEFT(TH!O2558,2)="15"),LEFT(TH!O2558,3)&lt;&gt;"111",'152-CT'!$J$8=TH!F2558),"x","")</f>
        <v/>
      </c>
      <c r="AC2558" s="84" t="str">
        <f>IF(AND(OR(LEFT(TH!N2558,2)="15",LEFT(TH!O2558,2)="15"),TK!$E$7=TH!F2558),"x","")</f>
        <v/>
      </c>
      <c r="AD2558" s="84" t="str">
        <f>IF(AND(N2558="1521",MONTH(C2558)='BK-NL'!$M$11),"x","")</f>
        <v/>
      </c>
    </row>
    <row r="2559" spans="1:30" s="351" customFormat="1" ht="15.75" hidden="1" customHeight="1">
      <c r="A2559" s="336" t="str">
        <f>IF(B2559&lt;&gt;"",IF(AND(B2559='IN-TC'!$S$4,OR(TH!N2559="1111",TH!O2559="1111")),TH!D2559,""),"")</f>
        <v/>
      </c>
      <c r="B2559" s="63" t="str">
        <f t="shared" si="295"/>
        <v/>
      </c>
      <c r="C2559" s="64"/>
      <c r="D2559" s="64"/>
      <c r="E2559" s="64"/>
      <c r="F2559" s="67"/>
      <c r="G2559" s="67"/>
      <c r="H2559" s="73"/>
      <c r="I2559" s="439"/>
      <c r="J2559" s="439"/>
      <c r="K2559" s="430"/>
      <c r="L2559" s="439"/>
      <c r="M2559" s="65"/>
      <c r="N2559" s="66"/>
      <c r="O2559" s="66"/>
      <c r="P2559" s="84" t="str">
        <f>IF(AND('331-CT'!$E$7=TH!H2559,OR(N2559="331",O2559="331")),"x","")</f>
        <v/>
      </c>
      <c r="Q2559" s="84" t="str">
        <f>IF(AND(B2559='111'!$L$11,OR($N2559=$Q$7,$O2559=$Q$7)),"x","")</f>
        <v/>
      </c>
      <c r="R2559" s="84" t="str">
        <f>IF(AND($N2559=$Q$7,$B2559&lt;'111'!$L$11),"x","")</f>
        <v/>
      </c>
      <c r="S2559" s="84" t="str">
        <f>IF(AND($O2559=$Q$7,$B2559&lt;'111'!$L$11),"x","")</f>
        <v/>
      </c>
      <c r="T2559" s="84" t="str">
        <f>IF(ISERROR(FIND('112'!$M$9,G2559,1)),"",IF((AND(FIND('112'!$M$9,G2559,1)&gt;=1,B2559='112'!$K$9,OR($N2559='112'!$I$6,$O2559='112'!$I$6))),"x",""))</f>
        <v/>
      </c>
      <c r="U2559" s="84" t="str">
        <f>IF(ISERROR(FIND('112'!$M$9,G2559,1)),"",IF((AND(LEFT(G2559,2)=LEFT('112'!$M$9,2),B2559&lt;'112'!$K$9,$N2559='112'!$I$6)),"x",""))</f>
        <v/>
      </c>
      <c r="V2559" s="84" t="str">
        <f>IF(ISERROR(FIND('112'!$M$9,G2559,1)),"",IF((AND(RIGHT(G2559,2)=RIGHT('112'!$M$9,2),B2559&lt;'112'!$K$9,$O2559='112'!$I$6)),"x",""))</f>
        <v/>
      </c>
      <c r="W2559" s="84" t="str">
        <f>IF(AND('341-CT'!$H$9=H2559,OR(LEFT(N2559,3)=$W$7,LEFT(O2559,3)=$W$7)),"x","")</f>
        <v/>
      </c>
      <c r="X2559" s="84" t="str">
        <f>IF(OR(TH!N2559=TH!$X$7,O2559=TH!$X$7),"x","")</f>
        <v/>
      </c>
      <c r="Y2559" s="84" t="str">
        <f>IF(AND(OR(N2559="131",O2559="131"),H2559='131-CT'!$H$9),"x","")</f>
        <v/>
      </c>
      <c r="Z2559" s="84"/>
      <c r="AA2559" s="84" t="str">
        <f>IF(AND(MONTH(E2559)='IN-NX'!$J$5,'IN-NX'!$D$7=D2559),"x","")</f>
        <v/>
      </c>
      <c r="AB2559" s="84" t="str">
        <f>IF(AND(OR(LEFT(TH!N2559,2)="15",LEFT(TH!O2559,2)="15"),LEFT(TH!O2559,3)&lt;&gt;"111",'152-CT'!$J$8=TH!F2559),"x","")</f>
        <v/>
      </c>
      <c r="AC2559" s="84" t="str">
        <f>IF(AND(OR(LEFT(TH!N2559,2)="15",LEFT(TH!O2559,2)="15"),TK!$E$7=TH!F2559),"x","")</f>
        <v/>
      </c>
      <c r="AD2559" s="84" t="str">
        <f>IF(AND(N2559="1521",MONTH(C2559)='BK-NL'!$M$11),"x","")</f>
        <v/>
      </c>
    </row>
    <row r="2560" spans="1:30" s="351" customFormat="1" ht="15.75" hidden="1" customHeight="1">
      <c r="A2560" s="336" t="str">
        <f>IF(B2560&lt;&gt;"",IF(AND(B2560='IN-TC'!$S$4,OR(TH!N2560="1111",TH!O2560="1111")),TH!D2560,""),"")</f>
        <v/>
      </c>
      <c r="B2560" s="63" t="str">
        <f t="shared" si="295"/>
        <v/>
      </c>
      <c r="C2560" s="64"/>
      <c r="D2560" s="64"/>
      <c r="E2560" s="64"/>
      <c r="F2560" s="67"/>
      <c r="G2560" s="67"/>
      <c r="H2560" s="73"/>
      <c r="I2560" s="439"/>
      <c r="J2560" s="439"/>
      <c r="K2560" s="430"/>
      <c r="L2560" s="439"/>
      <c r="M2560" s="65"/>
      <c r="N2560" s="66"/>
      <c r="O2560" s="66"/>
      <c r="P2560" s="84" t="str">
        <f>IF(AND('331-CT'!$E$7=TH!H2560,OR(N2560="331",O2560="331")),"x","")</f>
        <v/>
      </c>
      <c r="Q2560" s="84" t="str">
        <f>IF(AND(B2560='111'!$L$11,OR($N2560=$Q$7,$O2560=$Q$7)),"x","")</f>
        <v/>
      </c>
      <c r="R2560" s="84" t="str">
        <f>IF(AND($N2560=$Q$7,$B2560&lt;'111'!$L$11),"x","")</f>
        <v/>
      </c>
      <c r="S2560" s="84" t="str">
        <f>IF(AND($O2560=$Q$7,$B2560&lt;'111'!$L$11),"x","")</f>
        <v/>
      </c>
      <c r="T2560" s="84" t="str">
        <f>IF(ISERROR(FIND('112'!$M$9,G2560,1)),"",IF((AND(FIND('112'!$M$9,G2560,1)&gt;=1,B2560='112'!$K$9,OR($N2560='112'!$I$6,$O2560='112'!$I$6))),"x",""))</f>
        <v/>
      </c>
      <c r="U2560" s="84" t="str">
        <f>IF(ISERROR(FIND('112'!$M$9,G2560,1)),"",IF((AND(LEFT(G2560,2)=LEFT('112'!$M$9,2),B2560&lt;'112'!$K$9,$N2560='112'!$I$6)),"x",""))</f>
        <v/>
      </c>
      <c r="V2560" s="84" t="str">
        <f>IF(ISERROR(FIND('112'!$M$9,G2560,1)),"",IF((AND(RIGHT(G2560,2)=RIGHT('112'!$M$9,2),B2560&lt;'112'!$K$9,$O2560='112'!$I$6)),"x",""))</f>
        <v/>
      </c>
      <c r="W2560" s="84" t="str">
        <f>IF(AND('341-CT'!$H$9=H2560,OR(LEFT(N2560,3)=$W$7,LEFT(O2560,3)=$W$7)),"x","")</f>
        <v/>
      </c>
      <c r="X2560" s="84" t="str">
        <f>IF(OR(TH!N2560=TH!$X$7,O2560=TH!$X$7),"x","")</f>
        <v/>
      </c>
      <c r="Y2560" s="84" t="str">
        <f>IF(AND(OR(N2560="131",O2560="131"),H2560='131-CT'!$H$9),"x","")</f>
        <v/>
      </c>
      <c r="Z2560" s="84"/>
      <c r="AA2560" s="84" t="str">
        <f>IF(AND(MONTH(E2560)='IN-NX'!$J$5,'IN-NX'!$D$7=D2560),"x","")</f>
        <v/>
      </c>
      <c r="AB2560" s="84" t="str">
        <f>IF(AND(OR(LEFT(TH!N2560,2)="15",LEFT(TH!O2560,2)="15"),LEFT(TH!O2560,3)&lt;&gt;"111",'152-CT'!$J$8=TH!F2560),"x","")</f>
        <v/>
      </c>
      <c r="AC2560" s="84" t="str">
        <f>IF(AND(OR(LEFT(TH!N2560,2)="15",LEFT(TH!O2560,2)="15"),TK!$E$7=TH!F2560),"x","")</f>
        <v/>
      </c>
      <c r="AD2560" s="84" t="str">
        <f>IF(AND(N2560="1521",MONTH(C2560)='BK-NL'!$M$11),"x","")</f>
        <v/>
      </c>
    </row>
    <row r="2561" spans="1:30" s="351" customFormat="1" ht="15.75" hidden="1" customHeight="1">
      <c r="A2561" s="336" t="str">
        <f>IF(B2561&lt;&gt;"",IF(AND(B2561='IN-TC'!$S$4,OR(TH!N2561="1111",TH!O2561="1111")),TH!D2561,""),"")</f>
        <v/>
      </c>
      <c r="B2561" s="63" t="str">
        <f t="shared" si="295"/>
        <v/>
      </c>
      <c r="C2561" s="64"/>
      <c r="D2561" s="64"/>
      <c r="E2561" s="64"/>
      <c r="F2561" s="67"/>
      <c r="G2561" s="67"/>
      <c r="H2561" s="73"/>
      <c r="I2561" s="439"/>
      <c r="J2561" s="439"/>
      <c r="K2561" s="430"/>
      <c r="L2561" s="439"/>
      <c r="M2561" s="65"/>
      <c r="N2561" s="66"/>
      <c r="O2561" s="66"/>
      <c r="P2561" s="84" t="str">
        <f>IF(AND('331-CT'!$E$7=TH!H2561,OR(N2561="331",O2561="331")),"x","")</f>
        <v/>
      </c>
      <c r="Q2561" s="84" t="str">
        <f>IF(AND(B2561='111'!$L$11,OR($N2561=$Q$7,$O2561=$Q$7)),"x","")</f>
        <v/>
      </c>
      <c r="R2561" s="84" t="str">
        <f>IF(AND($N2561=$Q$7,$B2561&lt;'111'!$L$11),"x","")</f>
        <v/>
      </c>
      <c r="S2561" s="84" t="str">
        <f>IF(AND($O2561=$Q$7,$B2561&lt;'111'!$L$11),"x","")</f>
        <v/>
      </c>
      <c r="T2561" s="84" t="str">
        <f>IF(ISERROR(FIND('112'!$M$9,G2561,1)),"",IF((AND(FIND('112'!$M$9,G2561,1)&gt;=1,B2561='112'!$K$9,OR($N2561='112'!$I$6,$O2561='112'!$I$6))),"x",""))</f>
        <v/>
      </c>
      <c r="U2561" s="84" t="str">
        <f>IF(ISERROR(FIND('112'!$M$9,G2561,1)),"",IF((AND(LEFT(G2561,2)=LEFT('112'!$M$9,2),B2561&lt;'112'!$K$9,$N2561='112'!$I$6)),"x",""))</f>
        <v/>
      </c>
      <c r="V2561" s="84" t="str">
        <f>IF(ISERROR(FIND('112'!$M$9,G2561,1)),"",IF((AND(RIGHT(G2561,2)=RIGHT('112'!$M$9,2),B2561&lt;'112'!$K$9,$O2561='112'!$I$6)),"x",""))</f>
        <v/>
      </c>
      <c r="W2561" s="84" t="str">
        <f>IF(AND('341-CT'!$H$9=H2561,OR(LEFT(N2561,3)=$W$7,LEFT(O2561,3)=$W$7)),"x","")</f>
        <v/>
      </c>
      <c r="X2561" s="84" t="str">
        <f>IF(OR(TH!N2561=TH!$X$7,O2561=TH!$X$7),"x","")</f>
        <v/>
      </c>
      <c r="Y2561" s="84" t="str">
        <f>IF(AND(OR(N2561="131",O2561="131"),H2561='131-CT'!$H$9),"x","")</f>
        <v/>
      </c>
      <c r="Z2561" s="84"/>
      <c r="AA2561" s="84" t="str">
        <f>IF(AND(MONTH(E2561)='IN-NX'!$J$5,'IN-NX'!$D$7=D2561),"x","")</f>
        <v/>
      </c>
      <c r="AB2561" s="84" t="str">
        <f>IF(AND(OR(LEFT(TH!N2561,2)="15",LEFT(TH!O2561,2)="15"),LEFT(TH!O2561,3)&lt;&gt;"111",'152-CT'!$J$8=TH!F2561),"x","")</f>
        <v/>
      </c>
      <c r="AC2561" s="84" t="str">
        <f>IF(AND(OR(LEFT(TH!N2561,2)="15",LEFT(TH!O2561,2)="15"),TK!$E$7=TH!F2561),"x","")</f>
        <v/>
      </c>
      <c r="AD2561" s="84" t="str">
        <f>IF(AND(N2561="1521",MONTH(C2561)='BK-NL'!$M$11),"x","")</f>
        <v/>
      </c>
    </row>
    <row r="2562" spans="1:30" s="351" customFormat="1" ht="15.75" hidden="1" customHeight="1">
      <c r="A2562" s="336" t="str">
        <f>IF(B2562&lt;&gt;"",IF(AND(B2562='IN-TC'!$S$4,OR(TH!N2562="1111",TH!O2562="1111")),TH!D2562,""),"")</f>
        <v/>
      </c>
      <c r="B2562" s="63" t="str">
        <f t="shared" si="295"/>
        <v/>
      </c>
      <c r="C2562" s="64"/>
      <c r="D2562" s="64"/>
      <c r="E2562" s="64"/>
      <c r="F2562" s="67"/>
      <c r="G2562" s="67"/>
      <c r="H2562" s="73"/>
      <c r="I2562" s="439"/>
      <c r="J2562" s="439"/>
      <c r="K2562" s="430"/>
      <c r="L2562" s="439"/>
      <c r="M2562" s="65"/>
      <c r="N2562" s="66"/>
      <c r="O2562" s="66"/>
      <c r="P2562" s="84" t="str">
        <f>IF(AND('331-CT'!$E$7=TH!H2562,OR(N2562="331",O2562="331")),"x","")</f>
        <v/>
      </c>
      <c r="Q2562" s="84" t="str">
        <f>IF(AND(B2562='111'!$L$11,OR($N2562=$Q$7,$O2562=$Q$7)),"x","")</f>
        <v/>
      </c>
      <c r="R2562" s="84" t="str">
        <f>IF(AND($N2562=$Q$7,$B2562&lt;'111'!$L$11),"x","")</f>
        <v/>
      </c>
      <c r="S2562" s="84" t="str">
        <f>IF(AND($O2562=$Q$7,$B2562&lt;'111'!$L$11),"x","")</f>
        <v/>
      </c>
      <c r="T2562" s="84" t="str">
        <f>IF(ISERROR(FIND('112'!$M$9,G2562,1)),"",IF((AND(FIND('112'!$M$9,G2562,1)&gt;=1,B2562='112'!$K$9,OR($N2562='112'!$I$6,$O2562='112'!$I$6))),"x",""))</f>
        <v/>
      </c>
      <c r="U2562" s="84" t="str">
        <f>IF(ISERROR(FIND('112'!$M$9,G2562,1)),"",IF((AND(LEFT(G2562,2)=LEFT('112'!$M$9,2),B2562&lt;'112'!$K$9,$N2562='112'!$I$6)),"x",""))</f>
        <v/>
      </c>
      <c r="V2562" s="84" t="str">
        <f>IF(ISERROR(FIND('112'!$M$9,G2562,1)),"",IF((AND(RIGHT(G2562,2)=RIGHT('112'!$M$9,2),B2562&lt;'112'!$K$9,$O2562='112'!$I$6)),"x",""))</f>
        <v/>
      </c>
      <c r="W2562" s="84" t="str">
        <f>IF(AND('341-CT'!$H$9=H2562,OR(LEFT(N2562,3)=$W$7,LEFT(O2562,3)=$W$7)),"x","")</f>
        <v/>
      </c>
      <c r="X2562" s="84" t="str">
        <f>IF(OR(TH!N2562=TH!$X$7,O2562=TH!$X$7),"x","")</f>
        <v/>
      </c>
      <c r="Y2562" s="84" t="str">
        <f>IF(AND(OR(N2562="131",O2562="131"),H2562='131-CT'!$H$9),"x","")</f>
        <v/>
      </c>
      <c r="Z2562" s="84"/>
      <c r="AA2562" s="84" t="str">
        <f>IF(AND(MONTH(E2562)='IN-NX'!$J$5,'IN-NX'!$D$7=D2562),"x","")</f>
        <v/>
      </c>
      <c r="AB2562" s="84" t="str">
        <f>IF(AND(OR(LEFT(TH!N2562,2)="15",LEFT(TH!O2562,2)="15"),LEFT(TH!O2562,3)&lt;&gt;"111",'152-CT'!$J$8=TH!F2562),"x","")</f>
        <v/>
      </c>
      <c r="AC2562" s="84" t="str">
        <f>IF(AND(OR(LEFT(TH!N2562,2)="15",LEFT(TH!O2562,2)="15"),TK!$E$7=TH!F2562),"x","")</f>
        <v/>
      </c>
      <c r="AD2562" s="84" t="str">
        <f>IF(AND(N2562="1521",MONTH(C2562)='BK-NL'!$M$11),"x","")</f>
        <v/>
      </c>
    </row>
    <row r="2563" spans="1:30" s="351" customFormat="1" ht="15.75" hidden="1" customHeight="1">
      <c r="A2563" s="336" t="str">
        <f>IF(B2563&lt;&gt;"",IF(AND(B2563='IN-TC'!$S$4,OR(TH!N2563="1111",TH!O2563="1111")),TH!D2563,""),"")</f>
        <v/>
      </c>
      <c r="B2563" s="63" t="str">
        <f t="shared" si="295"/>
        <v/>
      </c>
      <c r="C2563" s="64"/>
      <c r="D2563" s="64"/>
      <c r="E2563" s="64"/>
      <c r="F2563" s="67"/>
      <c r="G2563" s="67"/>
      <c r="H2563" s="73"/>
      <c r="I2563" s="439"/>
      <c r="J2563" s="439"/>
      <c r="K2563" s="430"/>
      <c r="L2563" s="439"/>
      <c r="M2563" s="65"/>
      <c r="N2563" s="66"/>
      <c r="O2563" s="66"/>
      <c r="P2563" s="84" t="str">
        <f>IF(AND('331-CT'!$E$7=TH!H2563,OR(N2563="331",O2563="331")),"x","")</f>
        <v/>
      </c>
      <c r="Q2563" s="84" t="str">
        <f>IF(AND(B2563='111'!$L$11,OR($N2563=$Q$7,$O2563=$Q$7)),"x","")</f>
        <v/>
      </c>
      <c r="R2563" s="84" t="str">
        <f>IF(AND($N2563=$Q$7,$B2563&lt;'111'!$L$11),"x","")</f>
        <v/>
      </c>
      <c r="S2563" s="84" t="str">
        <f>IF(AND($O2563=$Q$7,$B2563&lt;'111'!$L$11),"x","")</f>
        <v/>
      </c>
      <c r="T2563" s="84" t="str">
        <f>IF(ISERROR(FIND('112'!$M$9,G2563,1)),"",IF((AND(FIND('112'!$M$9,G2563,1)&gt;=1,B2563='112'!$K$9,OR($N2563='112'!$I$6,$O2563='112'!$I$6))),"x",""))</f>
        <v/>
      </c>
      <c r="U2563" s="84" t="str">
        <f>IF(ISERROR(FIND('112'!$M$9,G2563,1)),"",IF((AND(LEFT(G2563,2)=LEFT('112'!$M$9,2),B2563&lt;'112'!$K$9,$N2563='112'!$I$6)),"x",""))</f>
        <v/>
      </c>
      <c r="V2563" s="84" t="str">
        <f>IF(ISERROR(FIND('112'!$M$9,G2563,1)),"",IF((AND(RIGHT(G2563,2)=RIGHT('112'!$M$9,2),B2563&lt;'112'!$K$9,$O2563='112'!$I$6)),"x",""))</f>
        <v/>
      </c>
      <c r="W2563" s="84" t="str">
        <f>IF(AND('341-CT'!$H$9=H2563,OR(LEFT(N2563,3)=$W$7,LEFT(O2563,3)=$W$7)),"x","")</f>
        <v/>
      </c>
      <c r="X2563" s="84" t="str">
        <f>IF(OR(TH!N2563=TH!$X$7,O2563=TH!$X$7),"x","")</f>
        <v/>
      </c>
      <c r="Y2563" s="84" t="str">
        <f>IF(AND(OR(N2563="131",O2563="131"),H2563='131-CT'!$H$9),"x","")</f>
        <v/>
      </c>
      <c r="Z2563" s="84"/>
      <c r="AA2563" s="84" t="str">
        <f>IF(AND(MONTH(E2563)='IN-NX'!$J$5,'IN-NX'!$D$7=D2563),"x","")</f>
        <v/>
      </c>
      <c r="AB2563" s="84" t="str">
        <f>IF(AND(OR(LEFT(TH!N2563,2)="15",LEFT(TH!O2563,2)="15"),LEFT(TH!O2563,3)&lt;&gt;"111",'152-CT'!$J$8=TH!F2563),"x","")</f>
        <v/>
      </c>
      <c r="AC2563" s="84" t="str">
        <f>IF(AND(OR(LEFT(TH!N2563,2)="15",LEFT(TH!O2563,2)="15"),TK!$E$7=TH!F2563),"x","")</f>
        <v/>
      </c>
      <c r="AD2563" s="84" t="str">
        <f>IF(AND(N2563="1521",MONTH(C2563)='BK-NL'!$M$11),"x","")</f>
        <v/>
      </c>
    </row>
    <row r="2564" spans="1:30" s="351" customFormat="1" ht="15.75" hidden="1" customHeight="1">
      <c r="A2564" s="336" t="str">
        <f>IF(B2564&lt;&gt;"",IF(AND(B2564='IN-TC'!$S$4,OR(TH!N2564="1111",TH!O2564="1111")),TH!D2564,""),"")</f>
        <v/>
      </c>
      <c r="B2564" s="63" t="str">
        <f t="shared" ref="B2564:B2566" si="296">IF(C2564&lt;&gt;"",MONTH(C2564),"")</f>
        <v/>
      </c>
      <c r="C2564" s="64"/>
      <c r="D2564" s="64"/>
      <c r="E2564" s="64"/>
      <c r="F2564" s="67"/>
      <c r="G2564" s="67"/>
      <c r="H2564" s="73"/>
      <c r="I2564" s="439"/>
      <c r="J2564" s="439"/>
      <c r="K2564" s="430"/>
      <c r="L2564" s="439"/>
      <c r="M2564" s="65"/>
      <c r="N2564" s="66"/>
      <c r="O2564" s="66"/>
      <c r="P2564" s="84" t="str">
        <f>IF(AND('331-CT'!$E$7=TH!H2564,OR(N2564="331",O2564="331")),"x","")</f>
        <v/>
      </c>
      <c r="Q2564" s="84" t="str">
        <f>IF(AND(B2564='111'!$L$11,OR($N2564=$Q$7,$O2564=$Q$7)),"x","")</f>
        <v/>
      </c>
      <c r="R2564" s="84" t="str">
        <f>IF(AND($N2564=$Q$7,$B2564&lt;'111'!$L$11),"x","")</f>
        <v/>
      </c>
      <c r="S2564" s="84" t="str">
        <f>IF(AND($O2564=$Q$7,$B2564&lt;'111'!$L$11),"x","")</f>
        <v/>
      </c>
      <c r="T2564" s="84" t="str">
        <f>IF(ISERROR(FIND('112'!$M$9,G2564,1)),"",IF((AND(FIND('112'!$M$9,G2564,1)&gt;=1,B2564='112'!$K$9,OR($N2564='112'!$I$6,$O2564='112'!$I$6))),"x",""))</f>
        <v/>
      </c>
      <c r="U2564" s="84" t="str">
        <f>IF(ISERROR(FIND('112'!$M$9,G2564,1)),"",IF((AND(LEFT(G2564,2)=LEFT('112'!$M$9,2),B2564&lt;'112'!$K$9,$N2564='112'!$I$6)),"x",""))</f>
        <v/>
      </c>
      <c r="V2564" s="84" t="str">
        <f>IF(ISERROR(FIND('112'!$M$9,G2564,1)),"",IF((AND(RIGHT(G2564,2)=RIGHT('112'!$M$9,2),B2564&lt;'112'!$K$9,$O2564='112'!$I$6)),"x",""))</f>
        <v/>
      </c>
      <c r="W2564" s="84" t="str">
        <f>IF(AND('341-CT'!$H$9=H2564,OR(LEFT(N2564,3)=$W$7,LEFT(O2564,3)=$W$7)),"x","")</f>
        <v/>
      </c>
      <c r="X2564" s="84" t="str">
        <f>IF(OR(TH!N2564=TH!$X$7,O2564=TH!$X$7),"x","")</f>
        <v/>
      </c>
      <c r="Y2564" s="84" t="str">
        <f>IF(AND(OR(N2564="131",O2564="131"),H2564='131-CT'!$H$9),"x","")</f>
        <v/>
      </c>
      <c r="Z2564" s="84"/>
      <c r="AA2564" s="84" t="str">
        <f>IF(AND(MONTH(E2564)='IN-NX'!$J$5,'IN-NX'!$D$7=D2564),"x","")</f>
        <v/>
      </c>
      <c r="AB2564" s="84" t="str">
        <f>IF(AND(OR(LEFT(TH!N2564,2)="15",LEFT(TH!O2564,2)="15"),LEFT(TH!O2564,3)&lt;&gt;"111",'152-CT'!$J$8=TH!F2564),"x","")</f>
        <v/>
      </c>
      <c r="AC2564" s="84" t="str">
        <f>IF(AND(OR(LEFT(TH!N2564,2)="15",LEFT(TH!O2564,2)="15"),TK!$E$7=TH!F2564),"x","")</f>
        <v/>
      </c>
      <c r="AD2564" s="84" t="str">
        <f>IF(AND(N2564="1521",MONTH(C2564)='BK-NL'!$M$11),"x","")</f>
        <v/>
      </c>
    </row>
    <row r="2565" spans="1:30" s="351" customFormat="1" ht="15.75" hidden="1" customHeight="1">
      <c r="A2565" s="336" t="str">
        <f>IF(B2565&lt;&gt;"",IF(AND(B2565='IN-TC'!$S$4,OR(TH!N2565="1111",TH!O2565="1111")),TH!D2565,""),"")</f>
        <v/>
      </c>
      <c r="B2565" s="63" t="str">
        <f t="shared" si="296"/>
        <v/>
      </c>
      <c r="C2565" s="64"/>
      <c r="D2565" s="64"/>
      <c r="E2565" s="64"/>
      <c r="F2565" s="67"/>
      <c r="G2565" s="67"/>
      <c r="H2565" s="73"/>
      <c r="I2565" s="439"/>
      <c r="J2565" s="439"/>
      <c r="K2565" s="430"/>
      <c r="L2565" s="439"/>
      <c r="M2565" s="65"/>
      <c r="N2565" s="66"/>
      <c r="O2565" s="66"/>
      <c r="P2565" s="84" t="str">
        <f>IF(AND('331-CT'!$E$7=TH!H2565,OR(N2565="331",O2565="331")),"x","")</f>
        <v/>
      </c>
      <c r="Q2565" s="84" t="str">
        <f>IF(AND(B2565='111'!$L$11,OR($N2565=$Q$7,$O2565=$Q$7)),"x","")</f>
        <v/>
      </c>
      <c r="R2565" s="84" t="str">
        <f>IF(AND($N2565=$Q$7,$B2565&lt;'111'!$L$11),"x","")</f>
        <v/>
      </c>
      <c r="S2565" s="84" t="str">
        <f>IF(AND($O2565=$Q$7,$B2565&lt;'111'!$L$11),"x","")</f>
        <v/>
      </c>
      <c r="T2565" s="84" t="str">
        <f>IF(ISERROR(FIND('112'!$M$9,G2565,1)),"",IF((AND(FIND('112'!$M$9,G2565,1)&gt;=1,B2565='112'!$K$9,OR($N2565='112'!$I$6,$O2565='112'!$I$6))),"x",""))</f>
        <v/>
      </c>
      <c r="U2565" s="84" t="str">
        <f>IF(ISERROR(FIND('112'!$M$9,G2565,1)),"",IF((AND(LEFT(G2565,2)=LEFT('112'!$M$9,2),B2565&lt;'112'!$K$9,$N2565='112'!$I$6)),"x",""))</f>
        <v/>
      </c>
      <c r="V2565" s="84" t="str">
        <f>IF(ISERROR(FIND('112'!$M$9,G2565,1)),"",IF((AND(RIGHT(G2565,2)=RIGHT('112'!$M$9,2),B2565&lt;'112'!$K$9,$O2565='112'!$I$6)),"x",""))</f>
        <v/>
      </c>
      <c r="W2565" s="84" t="str">
        <f>IF(AND('341-CT'!$H$9=H2565,OR(LEFT(N2565,3)=$W$7,LEFT(O2565,3)=$W$7)),"x","")</f>
        <v/>
      </c>
      <c r="X2565" s="84" t="str">
        <f>IF(OR(TH!N2565=TH!$X$7,O2565=TH!$X$7),"x","")</f>
        <v/>
      </c>
      <c r="Y2565" s="84" t="str">
        <f>IF(AND(OR(N2565="131",O2565="131"),H2565='131-CT'!$H$9),"x","")</f>
        <v/>
      </c>
      <c r="Z2565" s="84"/>
      <c r="AA2565" s="84" t="str">
        <f>IF(AND(MONTH(E2565)='IN-NX'!$J$5,'IN-NX'!$D$7=D2565),"x","")</f>
        <v/>
      </c>
      <c r="AB2565" s="84" t="str">
        <f>IF(AND(OR(LEFT(TH!N2565,2)="15",LEFT(TH!O2565,2)="15"),LEFT(TH!O2565,3)&lt;&gt;"111",'152-CT'!$J$8=TH!F2565),"x","")</f>
        <v/>
      </c>
      <c r="AC2565" s="84" t="str">
        <f>IF(AND(OR(LEFT(TH!N2565,2)="15",LEFT(TH!O2565,2)="15"),TK!$E$7=TH!F2565),"x","")</f>
        <v/>
      </c>
      <c r="AD2565" s="84" t="str">
        <f>IF(AND(N2565="1521",MONTH(C2565)='BK-NL'!$M$11),"x","")</f>
        <v/>
      </c>
    </row>
    <row r="2566" spans="1:30" s="351" customFormat="1" ht="15.75" hidden="1" customHeight="1">
      <c r="A2566" s="336" t="str">
        <f>IF(B2566&lt;&gt;"",IF(AND(B2566='IN-TC'!$S$4,OR(TH!N2566="1111",TH!O2566="1111")),TH!D2566,""),"")</f>
        <v/>
      </c>
      <c r="B2566" s="63" t="str">
        <f t="shared" si="296"/>
        <v/>
      </c>
      <c r="C2566" s="64"/>
      <c r="D2566" s="64"/>
      <c r="E2566" s="64"/>
      <c r="F2566" s="67"/>
      <c r="G2566" s="67"/>
      <c r="H2566" s="73"/>
      <c r="I2566" s="439"/>
      <c r="J2566" s="439"/>
      <c r="K2566" s="430"/>
      <c r="L2566" s="439"/>
      <c r="M2566" s="65"/>
      <c r="N2566" s="66"/>
      <c r="O2566" s="66"/>
      <c r="P2566" s="84" t="str">
        <f>IF(AND('331-CT'!$E$7=TH!H2566,OR(N2566="331",O2566="331")),"x","")</f>
        <v/>
      </c>
      <c r="Q2566" s="84" t="str">
        <f>IF(AND(B2566='111'!$L$11,OR($N2566=$Q$7,$O2566=$Q$7)),"x","")</f>
        <v/>
      </c>
      <c r="R2566" s="84" t="str">
        <f>IF(AND($N2566=$Q$7,$B2566&lt;'111'!$L$11),"x","")</f>
        <v/>
      </c>
      <c r="S2566" s="84" t="str">
        <f>IF(AND($O2566=$Q$7,$B2566&lt;'111'!$L$11),"x","")</f>
        <v/>
      </c>
      <c r="T2566" s="84" t="str">
        <f>IF(ISERROR(FIND('112'!$M$9,G2566,1)),"",IF((AND(FIND('112'!$M$9,G2566,1)&gt;=1,B2566='112'!$K$9,OR($N2566='112'!$I$6,$O2566='112'!$I$6))),"x",""))</f>
        <v/>
      </c>
      <c r="U2566" s="84" t="str">
        <f>IF(ISERROR(FIND('112'!$M$9,G2566,1)),"",IF((AND(LEFT(G2566,2)=LEFT('112'!$M$9,2),B2566&lt;'112'!$K$9,$N2566='112'!$I$6)),"x",""))</f>
        <v/>
      </c>
      <c r="V2566" s="84" t="str">
        <f>IF(ISERROR(FIND('112'!$M$9,G2566,1)),"",IF((AND(RIGHT(G2566,2)=RIGHT('112'!$M$9,2),B2566&lt;'112'!$K$9,$O2566='112'!$I$6)),"x",""))</f>
        <v/>
      </c>
      <c r="W2566" s="84" t="str">
        <f>IF(AND('341-CT'!$H$9=H2566,OR(LEFT(N2566,3)=$W$7,LEFT(O2566,3)=$W$7)),"x","")</f>
        <v/>
      </c>
      <c r="X2566" s="84" t="str">
        <f>IF(OR(TH!N2566=TH!$X$7,O2566=TH!$X$7),"x","")</f>
        <v/>
      </c>
      <c r="Y2566" s="84" t="str">
        <f>IF(AND(OR(N2566="131",O2566="131"),H2566='131-CT'!$H$9),"x","")</f>
        <v/>
      </c>
      <c r="Z2566" s="84"/>
      <c r="AA2566" s="84" t="str">
        <f>IF(AND(MONTH(E2566)='IN-NX'!$J$5,'IN-NX'!$D$7=D2566),"x","")</f>
        <v/>
      </c>
      <c r="AB2566" s="84" t="str">
        <f>IF(AND(OR(LEFT(TH!N2566,2)="15",LEFT(TH!O2566,2)="15"),LEFT(TH!O2566,3)&lt;&gt;"111",'152-CT'!$J$8=TH!F2566),"x","")</f>
        <v/>
      </c>
      <c r="AC2566" s="84" t="str">
        <f>IF(AND(OR(LEFT(TH!N2566,2)="15",LEFT(TH!O2566,2)="15"),TK!$E$7=TH!F2566),"x","")</f>
        <v/>
      </c>
      <c r="AD2566" s="84" t="str">
        <f>IF(AND(N2566="1521",MONTH(C2566)='BK-NL'!$M$11),"x","")</f>
        <v/>
      </c>
    </row>
    <row r="2567" spans="1:30" s="351" customFormat="1" ht="15.75" hidden="1" customHeight="1">
      <c r="A2567" s="336" t="str">
        <f>IF(B2567&lt;&gt;"",IF(AND(B2567='IN-TC'!$S$4,OR(TH!N2567="1111",TH!O2567="1111")),TH!D2567,""),"")</f>
        <v/>
      </c>
      <c r="B2567" s="63" t="str">
        <f t="shared" ref="B2567:B2697" si="297">IF(C2567&lt;&gt;"",MONTH(C2567),"")</f>
        <v/>
      </c>
      <c r="C2567" s="64"/>
      <c r="D2567" s="64"/>
      <c r="E2567" s="64"/>
      <c r="F2567" s="67"/>
      <c r="G2567" s="67"/>
      <c r="H2567" s="73"/>
      <c r="I2567" s="439"/>
      <c r="J2567" s="439"/>
      <c r="K2567" s="430"/>
      <c r="L2567" s="439"/>
      <c r="M2567" s="65"/>
      <c r="N2567" s="66"/>
      <c r="O2567" s="66"/>
      <c r="P2567" s="84" t="str">
        <f>IF(AND('331-CT'!$E$7=TH!H2567,OR(N2567="331",O2567="331")),"x","")</f>
        <v/>
      </c>
      <c r="Q2567" s="84" t="str">
        <f>IF(AND(B2567='111'!$L$11,OR($N2567=$Q$7,$O2567=$Q$7)),"x","")</f>
        <v/>
      </c>
      <c r="R2567" s="84" t="str">
        <f>IF(AND($N2567=$Q$7,$B2567&lt;'111'!$L$11),"x","")</f>
        <v/>
      </c>
      <c r="S2567" s="84" t="str">
        <f>IF(AND($O2567=$Q$7,$B2567&lt;'111'!$L$11),"x","")</f>
        <v/>
      </c>
      <c r="T2567" s="84" t="str">
        <f>IF(ISERROR(FIND('112'!$M$9,G2567,1)),"",IF((AND(FIND('112'!$M$9,G2567,1)&gt;=1,B2567='112'!$K$9,OR($N2567='112'!$I$6,$O2567='112'!$I$6))),"x",""))</f>
        <v/>
      </c>
      <c r="U2567" s="84" t="str">
        <f>IF(ISERROR(FIND('112'!$M$9,G2567,1)),"",IF((AND(LEFT(G2567,2)=LEFT('112'!$M$9,2),B2567&lt;'112'!$K$9,$N2567='112'!$I$6)),"x",""))</f>
        <v/>
      </c>
      <c r="V2567" s="84" t="str">
        <f>IF(ISERROR(FIND('112'!$M$9,G2567,1)),"",IF((AND(RIGHT(G2567,2)=RIGHT('112'!$M$9,2),B2567&lt;'112'!$K$9,$O2567='112'!$I$6)),"x",""))</f>
        <v/>
      </c>
      <c r="W2567" s="84" t="str">
        <f>IF(AND('341-CT'!$H$9=H2567,OR(LEFT(N2567,3)=$W$7,LEFT(O2567,3)=$W$7)),"x","")</f>
        <v/>
      </c>
      <c r="X2567" s="84" t="str">
        <f>IF(OR(TH!N2567=TH!$X$7,O2567=TH!$X$7),"x","")</f>
        <v/>
      </c>
      <c r="Y2567" s="84" t="str">
        <f>IF(AND(OR(N2567="131",O2567="131"),H2567='131-CT'!$H$9),"x","")</f>
        <v/>
      </c>
      <c r="Z2567" s="84"/>
      <c r="AA2567" s="84" t="str">
        <f>IF(AND(MONTH(E2567)='IN-NX'!$J$5,'IN-NX'!$D$7=D2567),"x","")</f>
        <v/>
      </c>
      <c r="AB2567" s="84" t="str">
        <f>IF(AND(OR(LEFT(TH!N2567,2)="15",LEFT(TH!O2567,2)="15"),LEFT(TH!O2567,3)&lt;&gt;"111",'152-CT'!$J$8=TH!F2567),"x","")</f>
        <v/>
      </c>
      <c r="AC2567" s="84" t="str">
        <f>IF(AND(OR(LEFT(TH!N2567,2)="15",LEFT(TH!O2567,2)="15"),TK!$E$7=TH!F2567),"x","")</f>
        <v/>
      </c>
      <c r="AD2567" s="84" t="str">
        <f>IF(AND(N2567="1521",MONTH(C2567)='BK-NL'!$M$11),"x","")</f>
        <v/>
      </c>
    </row>
    <row r="2568" spans="1:30" s="351" customFormat="1" ht="15.75" hidden="1" customHeight="1">
      <c r="A2568" s="336" t="str">
        <f>IF(B2568&lt;&gt;"",IF(AND(B2568='IN-TC'!$S$4,OR(TH!N2568="1111",TH!O2568="1111")),TH!D2568,""),"")</f>
        <v/>
      </c>
      <c r="B2568" s="63" t="str">
        <f t="shared" si="297"/>
        <v/>
      </c>
      <c r="C2568" s="64"/>
      <c r="D2568" s="64"/>
      <c r="E2568" s="64"/>
      <c r="F2568" s="67"/>
      <c r="G2568" s="67"/>
      <c r="H2568" s="73"/>
      <c r="I2568" s="439"/>
      <c r="J2568" s="439"/>
      <c r="K2568" s="430"/>
      <c r="L2568" s="439"/>
      <c r="M2568" s="65"/>
      <c r="N2568" s="66"/>
      <c r="O2568" s="66"/>
      <c r="P2568" s="84" t="str">
        <f>IF(AND('331-CT'!$E$7=TH!H2568,OR(N2568="331",O2568="331")),"x","")</f>
        <v/>
      </c>
      <c r="Q2568" s="84" t="str">
        <f>IF(AND(B2568='111'!$L$11,OR($N2568=$Q$7,$O2568=$Q$7)),"x","")</f>
        <v/>
      </c>
      <c r="R2568" s="84" t="str">
        <f>IF(AND($N2568=$Q$7,$B2568&lt;'111'!$L$11),"x","")</f>
        <v/>
      </c>
      <c r="S2568" s="84" t="str">
        <f>IF(AND($O2568=$Q$7,$B2568&lt;'111'!$L$11),"x","")</f>
        <v/>
      </c>
      <c r="T2568" s="84" t="str">
        <f>IF(ISERROR(FIND('112'!$M$9,G2568,1)),"",IF((AND(FIND('112'!$M$9,G2568,1)&gt;=1,B2568='112'!$K$9,OR($N2568='112'!$I$6,$O2568='112'!$I$6))),"x",""))</f>
        <v/>
      </c>
      <c r="U2568" s="84" t="str">
        <f>IF(ISERROR(FIND('112'!$M$9,G2568,1)),"",IF((AND(LEFT(G2568,2)=LEFT('112'!$M$9,2),B2568&lt;'112'!$K$9,$N2568='112'!$I$6)),"x",""))</f>
        <v/>
      </c>
      <c r="V2568" s="84" t="str">
        <f>IF(ISERROR(FIND('112'!$M$9,G2568,1)),"",IF((AND(RIGHT(G2568,2)=RIGHT('112'!$M$9,2),B2568&lt;'112'!$K$9,$O2568='112'!$I$6)),"x",""))</f>
        <v/>
      </c>
      <c r="W2568" s="84" t="str">
        <f>IF(AND('341-CT'!$H$9=H2568,OR(LEFT(N2568,3)=$W$7,LEFT(O2568,3)=$W$7)),"x","")</f>
        <v/>
      </c>
      <c r="X2568" s="84" t="str">
        <f>IF(OR(TH!N2568=TH!$X$7,O2568=TH!$X$7),"x","")</f>
        <v/>
      </c>
      <c r="Y2568" s="84" t="str">
        <f>IF(AND(OR(N2568="131",O2568="131"),H2568='131-CT'!$H$9),"x","")</f>
        <v/>
      </c>
      <c r="Z2568" s="84"/>
      <c r="AA2568" s="84" t="str">
        <f>IF(AND(MONTH(E2568)='IN-NX'!$J$5,'IN-NX'!$D$7=D2568),"x","")</f>
        <v/>
      </c>
      <c r="AB2568" s="84" t="str">
        <f>IF(AND(OR(LEFT(TH!N2568,2)="15",LEFT(TH!O2568,2)="15"),LEFT(TH!O2568,3)&lt;&gt;"111",'152-CT'!$J$8=TH!F2568),"x","")</f>
        <v/>
      </c>
      <c r="AC2568" s="84" t="str">
        <f>IF(AND(OR(LEFT(TH!N2568,2)="15",LEFT(TH!O2568,2)="15"),TK!$E$7=TH!F2568),"x","")</f>
        <v/>
      </c>
      <c r="AD2568" s="84" t="str">
        <f>IF(AND(N2568="1521",MONTH(C2568)='BK-NL'!$M$11),"x","")</f>
        <v/>
      </c>
    </row>
    <row r="2569" spans="1:30" s="351" customFormat="1" ht="15.75" hidden="1" customHeight="1">
      <c r="A2569" s="336" t="str">
        <f>IF(B2569&lt;&gt;"",IF(AND(B2569='IN-TC'!$S$4,OR(TH!N2569="1111",TH!O2569="1111")),TH!D2569,""),"")</f>
        <v/>
      </c>
      <c r="B2569" s="63" t="str">
        <f t="shared" si="297"/>
        <v/>
      </c>
      <c r="C2569" s="64"/>
      <c r="D2569" s="64"/>
      <c r="E2569" s="64"/>
      <c r="F2569" s="67"/>
      <c r="G2569" s="67"/>
      <c r="H2569" s="73"/>
      <c r="I2569" s="439"/>
      <c r="J2569" s="439"/>
      <c r="K2569" s="430"/>
      <c r="L2569" s="439"/>
      <c r="M2569" s="65"/>
      <c r="N2569" s="66"/>
      <c r="O2569" s="66"/>
      <c r="P2569" s="84" t="str">
        <f>IF(AND('331-CT'!$E$7=TH!H2569,OR(N2569="331",O2569="331")),"x","")</f>
        <v/>
      </c>
      <c r="Q2569" s="84" t="str">
        <f>IF(AND(B2569='111'!$L$11,OR($N2569=$Q$7,$O2569=$Q$7)),"x","")</f>
        <v/>
      </c>
      <c r="R2569" s="84" t="str">
        <f>IF(AND($N2569=$Q$7,$B2569&lt;'111'!$L$11),"x","")</f>
        <v/>
      </c>
      <c r="S2569" s="84" t="str">
        <f>IF(AND($O2569=$Q$7,$B2569&lt;'111'!$L$11),"x","")</f>
        <v/>
      </c>
      <c r="T2569" s="84" t="str">
        <f>IF(ISERROR(FIND('112'!$M$9,G2569,1)),"",IF((AND(FIND('112'!$M$9,G2569,1)&gt;=1,B2569='112'!$K$9,OR($N2569='112'!$I$6,$O2569='112'!$I$6))),"x",""))</f>
        <v/>
      </c>
      <c r="U2569" s="84" t="str">
        <f>IF(ISERROR(FIND('112'!$M$9,G2569,1)),"",IF((AND(LEFT(G2569,2)=LEFT('112'!$M$9,2),B2569&lt;'112'!$K$9,$N2569='112'!$I$6)),"x",""))</f>
        <v/>
      </c>
      <c r="V2569" s="84" t="str">
        <f>IF(ISERROR(FIND('112'!$M$9,G2569,1)),"",IF((AND(RIGHT(G2569,2)=RIGHT('112'!$M$9,2),B2569&lt;'112'!$K$9,$O2569='112'!$I$6)),"x",""))</f>
        <v/>
      </c>
      <c r="W2569" s="84" t="str">
        <f>IF(AND('341-CT'!$H$9=H2569,OR(LEFT(N2569,3)=$W$7,LEFT(O2569,3)=$W$7)),"x","")</f>
        <v/>
      </c>
      <c r="X2569" s="84" t="str">
        <f>IF(OR(TH!N2569=TH!$X$7,O2569=TH!$X$7),"x","")</f>
        <v/>
      </c>
      <c r="Y2569" s="84" t="str">
        <f>IF(AND(OR(N2569="131",O2569="131"),H2569='131-CT'!$H$9),"x","")</f>
        <v/>
      </c>
      <c r="Z2569" s="84"/>
      <c r="AA2569" s="84" t="str">
        <f>IF(AND(MONTH(E2569)='IN-NX'!$J$5,'IN-NX'!$D$7=D2569),"x","")</f>
        <v/>
      </c>
      <c r="AB2569" s="84" t="str">
        <f>IF(AND(OR(LEFT(TH!N2569,2)="15",LEFT(TH!O2569,2)="15"),LEFT(TH!O2569,3)&lt;&gt;"111",'152-CT'!$J$8=TH!F2569),"x","")</f>
        <v/>
      </c>
      <c r="AC2569" s="84" t="str">
        <f>IF(AND(OR(LEFT(TH!N2569,2)="15",LEFT(TH!O2569,2)="15"),TK!$E$7=TH!F2569),"x","")</f>
        <v/>
      </c>
      <c r="AD2569" s="84" t="str">
        <f>IF(AND(N2569="1521",MONTH(C2569)='BK-NL'!$M$11),"x","")</f>
        <v/>
      </c>
    </row>
    <row r="2570" spans="1:30" s="351" customFormat="1" ht="15.75" hidden="1" customHeight="1">
      <c r="A2570" s="336" t="str">
        <f>IF(B2570&lt;&gt;"",IF(AND(B2570='IN-TC'!$S$4,OR(TH!N2570="1111",TH!O2570="1111")),TH!D2570,""),"")</f>
        <v/>
      </c>
      <c r="B2570" s="63" t="str">
        <f t="shared" si="297"/>
        <v/>
      </c>
      <c r="C2570" s="64"/>
      <c r="D2570" s="64"/>
      <c r="E2570" s="64"/>
      <c r="F2570" s="67"/>
      <c r="G2570" s="67"/>
      <c r="H2570" s="73"/>
      <c r="I2570" s="439"/>
      <c r="J2570" s="439"/>
      <c r="K2570" s="430"/>
      <c r="L2570" s="439"/>
      <c r="M2570" s="65"/>
      <c r="N2570" s="66"/>
      <c r="O2570" s="66"/>
      <c r="P2570" s="84" t="str">
        <f>IF(AND('331-CT'!$E$7=TH!H2570,OR(N2570="331",O2570="331")),"x","")</f>
        <v/>
      </c>
      <c r="Q2570" s="84" t="str">
        <f>IF(AND(B2570='111'!$L$11,OR($N2570=$Q$7,$O2570=$Q$7)),"x","")</f>
        <v/>
      </c>
      <c r="R2570" s="84" t="str">
        <f>IF(AND($N2570=$Q$7,$B2570&lt;'111'!$L$11),"x","")</f>
        <v/>
      </c>
      <c r="S2570" s="84" t="str">
        <f>IF(AND($O2570=$Q$7,$B2570&lt;'111'!$L$11),"x","")</f>
        <v/>
      </c>
      <c r="T2570" s="84" t="str">
        <f>IF(ISERROR(FIND('112'!$M$9,G2570,1)),"",IF((AND(FIND('112'!$M$9,G2570,1)&gt;=1,B2570='112'!$K$9,OR($N2570='112'!$I$6,$O2570='112'!$I$6))),"x",""))</f>
        <v/>
      </c>
      <c r="U2570" s="84" t="str">
        <f>IF(ISERROR(FIND('112'!$M$9,G2570,1)),"",IF((AND(LEFT(G2570,2)=LEFT('112'!$M$9,2),B2570&lt;'112'!$K$9,$N2570='112'!$I$6)),"x",""))</f>
        <v/>
      </c>
      <c r="V2570" s="84" t="str">
        <f>IF(ISERROR(FIND('112'!$M$9,G2570,1)),"",IF((AND(RIGHT(G2570,2)=RIGHT('112'!$M$9,2),B2570&lt;'112'!$K$9,$O2570='112'!$I$6)),"x",""))</f>
        <v/>
      </c>
      <c r="W2570" s="84" t="str">
        <f>IF(AND('341-CT'!$H$9=H2570,OR(LEFT(N2570,3)=$W$7,LEFT(O2570,3)=$W$7)),"x","")</f>
        <v/>
      </c>
      <c r="X2570" s="84" t="str">
        <f>IF(OR(TH!N2570=TH!$X$7,O2570=TH!$X$7),"x","")</f>
        <v/>
      </c>
      <c r="Y2570" s="84" t="str">
        <f>IF(AND(OR(N2570="131",O2570="131"),H2570='131-CT'!$H$9),"x","")</f>
        <v/>
      </c>
      <c r="Z2570" s="84"/>
      <c r="AA2570" s="84" t="str">
        <f>IF(AND(MONTH(E2570)='IN-NX'!$J$5,'IN-NX'!$D$7=D2570),"x","")</f>
        <v/>
      </c>
      <c r="AB2570" s="84" t="str">
        <f>IF(AND(OR(LEFT(TH!N2570,2)="15",LEFT(TH!O2570,2)="15"),LEFT(TH!O2570,3)&lt;&gt;"111",'152-CT'!$J$8=TH!F2570),"x","")</f>
        <v/>
      </c>
      <c r="AC2570" s="84" t="str">
        <f>IF(AND(OR(LEFT(TH!N2570,2)="15",LEFT(TH!O2570,2)="15"),TK!$E$7=TH!F2570),"x","")</f>
        <v/>
      </c>
      <c r="AD2570" s="84" t="str">
        <f>IF(AND(N2570="1521",MONTH(C2570)='BK-NL'!$M$11),"x","")</f>
        <v/>
      </c>
    </row>
    <row r="2571" spans="1:30" s="351" customFormat="1" ht="15.75" hidden="1" customHeight="1">
      <c r="A2571" s="336" t="str">
        <f>IF(B2571&lt;&gt;"",IF(AND(B2571='IN-TC'!$S$4,OR(TH!N2571="1111",TH!O2571="1111")),TH!D2571,""),"")</f>
        <v/>
      </c>
      <c r="B2571" s="63" t="str">
        <f t="shared" si="297"/>
        <v/>
      </c>
      <c r="C2571" s="64"/>
      <c r="D2571" s="64"/>
      <c r="E2571" s="64"/>
      <c r="F2571" s="67"/>
      <c r="G2571" s="67"/>
      <c r="H2571" s="73"/>
      <c r="I2571" s="439"/>
      <c r="J2571" s="439"/>
      <c r="K2571" s="430"/>
      <c r="L2571" s="439"/>
      <c r="M2571" s="65"/>
      <c r="N2571" s="66"/>
      <c r="O2571" s="66"/>
      <c r="P2571" s="84" t="str">
        <f>IF(AND('331-CT'!$E$7=TH!H2571,OR(N2571="331",O2571="331")),"x","")</f>
        <v/>
      </c>
      <c r="Q2571" s="84" t="str">
        <f>IF(AND(B2571='111'!$L$11,OR($N2571=$Q$7,$O2571=$Q$7)),"x","")</f>
        <v/>
      </c>
      <c r="R2571" s="84" t="str">
        <f>IF(AND($N2571=$Q$7,$B2571&lt;'111'!$L$11),"x","")</f>
        <v/>
      </c>
      <c r="S2571" s="84" t="str">
        <f>IF(AND($O2571=$Q$7,$B2571&lt;'111'!$L$11),"x","")</f>
        <v/>
      </c>
      <c r="T2571" s="84" t="str">
        <f>IF(ISERROR(FIND('112'!$M$9,G2571,1)),"",IF((AND(FIND('112'!$M$9,G2571,1)&gt;=1,B2571='112'!$K$9,OR($N2571='112'!$I$6,$O2571='112'!$I$6))),"x",""))</f>
        <v/>
      </c>
      <c r="U2571" s="84" t="str">
        <f>IF(ISERROR(FIND('112'!$M$9,G2571,1)),"",IF((AND(LEFT(G2571,2)=LEFT('112'!$M$9,2),B2571&lt;'112'!$K$9,$N2571='112'!$I$6)),"x",""))</f>
        <v/>
      </c>
      <c r="V2571" s="84" t="str">
        <f>IF(ISERROR(FIND('112'!$M$9,G2571,1)),"",IF((AND(RIGHT(G2571,2)=RIGHT('112'!$M$9,2),B2571&lt;'112'!$K$9,$O2571='112'!$I$6)),"x",""))</f>
        <v/>
      </c>
      <c r="W2571" s="84" t="str">
        <f>IF(AND('341-CT'!$H$9=H2571,OR(LEFT(N2571,3)=$W$7,LEFT(O2571,3)=$W$7)),"x","")</f>
        <v/>
      </c>
      <c r="X2571" s="84" t="str">
        <f>IF(OR(TH!N2571=TH!$X$7,O2571=TH!$X$7),"x","")</f>
        <v/>
      </c>
      <c r="Y2571" s="84" t="str">
        <f>IF(AND(OR(N2571="131",O2571="131"),H2571='131-CT'!$H$9),"x","")</f>
        <v/>
      </c>
      <c r="Z2571" s="84"/>
      <c r="AA2571" s="84" t="str">
        <f>IF(AND(MONTH(E2571)='IN-NX'!$J$5,'IN-NX'!$D$7=D2571),"x","")</f>
        <v/>
      </c>
      <c r="AB2571" s="84" t="str">
        <f>IF(AND(OR(LEFT(TH!N2571,2)="15",LEFT(TH!O2571,2)="15"),LEFT(TH!O2571,3)&lt;&gt;"111",'152-CT'!$J$8=TH!F2571),"x","")</f>
        <v/>
      </c>
      <c r="AC2571" s="84" t="str">
        <f>IF(AND(OR(LEFT(TH!N2571,2)="15",LEFT(TH!O2571,2)="15"),TK!$E$7=TH!F2571),"x","")</f>
        <v/>
      </c>
      <c r="AD2571" s="84" t="str">
        <f>IF(AND(N2571="1521",MONTH(C2571)='BK-NL'!$M$11),"x","")</f>
        <v/>
      </c>
    </row>
    <row r="2572" spans="1:30" s="351" customFormat="1" ht="15.75" hidden="1" customHeight="1">
      <c r="A2572" s="336" t="str">
        <f>IF(B2572&lt;&gt;"",IF(AND(B2572='IN-TC'!$S$4,OR(TH!N2572="1111",TH!O2572="1111")),TH!D2572,""),"")</f>
        <v/>
      </c>
      <c r="B2572" s="63" t="str">
        <f t="shared" si="297"/>
        <v/>
      </c>
      <c r="C2572" s="64"/>
      <c r="D2572" s="64"/>
      <c r="E2572" s="64"/>
      <c r="F2572" s="67"/>
      <c r="G2572" s="67"/>
      <c r="H2572" s="73"/>
      <c r="I2572" s="439"/>
      <c r="J2572" s="439"/>
      <c r="K2572" s="430"/>
      <c r="L2572" s="439"/>
      <c r="M2572" s="65"/>
      <c r="N2572" s="66"/>
      <c r="O2572" s="66"/>
      <c r="P2572" s="84" t="str">
        <f>IF(AND('331-CT'!$E$7=TH!H2572,OR(N2572="331",O2572="331")),"x","")</f>
        <v/>
      </c>
      <c r="Q2572" s="84" t="str">
        <f>IF(AND(B2572='111'!$L$11,OR($N2572=$Q$7,$O2572=$Q$7)),"x","")</f>
        <v/>
      </c>
      <c r="R2572" s="84" t="str">
        <f>IF(AND($N2572=$Q$7,$B2572&lt;'111'!$L$11),"x","")</f>
        <v/>
      </c>
      <c r="S2572" s="84" t="str">
        <f>IF(AND($O2572=$Q$7,$B2572&lt;'111'!$L$11),"x","")</f>
        <v/>
      </c>
      <c r="T2572" s="84" t="str">
        <f>IF(ISERROR(FIND('112'!$M$9,G2572,1)),"",IF((AND(FIND('112'!$M$9,G2572,1)&gt;=1,B2572='112'!$K$9,OR($N2572='112'!$I$6,$O2572='112'!$I$6))),"x",""))</f>
        <v/>
      </c>
      <c r="U2572" s="84" t="str">
        <f>IF(ISERROR(FIND('112'!$M$9,G2572,1)),"",IF((AND(LEFT(G2572,2)=LEFT('112'!$M$9,2),B2572&lt;'112'!$K$9,$N2572='112'!$I$6)),"x",""))</f>
        <v/>
      </c>
      <c r="V2572" s="84" t="str">
        <f>IF(ISERROR(FIND('112'!$M$9,G2572,1)),"",IF((AND(RIGHT(G2572,2)=RIGHT('112'!$M$9,2),B2572&lt;'112'!$K$9,$O2572='112'!$I$6)),"x",""))</f>
        <v/>
      </c>
      <c r="W2572" s="84" t="str">
        <f>IF(AND('341-CT'!$H$9=H2572,OR(LEFT(N2572,3)=$W$7,LEFT(O2572,3)=$W$7)),"x","")</f>
        <v/>
      </c>
      <c r="X2572" s="84" t="str">
        <f>IF(OR(TH!N2572=TH!$X$7,O2572=TH!$X$7),"x","")</f>
        <v/>
      </c>
      <c r="Y2572" s="84" t="str">
        <f>IF(AND(OR(N2572="131",O2572="131"),H2572='131-CT'!$H$9),"x","")</f>
        <v/>
      </c>
      <c r="Z2572" s="84"/>
      <c r="AA2572" s="84" t="str">
        <f>IF(AND(MONTH(E2572)='IN-NX'!$J$5,'IN-NX'!$D$7=D2572),"x","")</f>
        <v/>
      </c>
      <c r="AB2572" s="84" t="str">
        <f>IF(AND(OR(LEFT(TH!N2572,2)="15",LEFT(TH!O2572,2)="15"),LEFT(TH!O2572,3)&lt;&gt;"111",'152-CT'!$J$8=TH!F2572),"x","")</f>
        <v/>
      </c>
      <c r="AC2572" s="84" t="str">
        <f>IF(AND(OR(LEFT(TH!N2572,2)="15",LEFT(TH!O2572,2)="15"),TK!$E$7=TH!F2572),"x","")</f>
        <v/>
      </c>
      <c r="AD2572" s="84" t="str">
        <f>IF(AND(N2572="1521",MONTH(C2572)='BK-NL'!$M$11),"x","")</f>
        <v/>
      </c>
    </row>
    <row r="2573" spans="1:30" s="351" customFormat="1" ht="15.75" hidden="1" customHeight="1">
      <c r="A2573" s="336" t="str">
        <f>IF(B2573&lt;&gt;"",IF(AND(B2573='IN-TC'!$S$4,OR(TH!N2573="1111",TH!O2573="1111")),TH!D2573,""),"")</f>
        <v/>
      </c>
      <c r="B2573" s="63" t="str">
        <f t="shared" si="297"/>
        <v/>
      </c>
      <c r="C2573" s="64"/>
      <c r="D2573" s="64"/>
      <c r="E2573" s="64"/>
      <c r="F2573" s="67"/>
      <c r="G2573" s="67"/>
      <c r="H2573" s="73"/>
      <c r="I2573" s="439"/>
      <c r="J2573" s="439"/>
      <c r="K2573" s="430"/>
      <c r="L2573" s="439"/>
      <c r="M2573" s="65"/>
      <c r="N2573" s="66"/>
      <c r="O2573" s="66"/>
      <c r="P2573" s="84" t="str">
        <f>IF(AND('331-CT'!$E$7=TH!H2573,OR(N2573="331",O2573="331")),"x","")</f>
        <v/>
      </c>
      <c r="Q2573" s="84" t="str">
        <f>IF(AND(B2573='111'!$L$11,OR($N2573=$Q$7,$O2573=$Q$7)),"x","")</f>
        <v/>
      </c>
      <c r="R2573" s="84" t="str">
        <f>IF(AND($N2573=$Q$7,$B2573&lt;'111'!$L$11),"x","")</f>
        <v/>
      </c>
      <c r="S2573" s="84" t="str">
        <f>IF(AND($O2573=$Q$7,$B2573&lt;'111'!$L$11),"x","")</f>
        <v/>
      </c>
      <c r="T2573" s="84" t="str">
        <f>IF(ISERROR(FIND('112'!$M$9,G2573,1)),"",IF((AND(FIND('112'!$M$9,G2573,1)&gt;=1,B2573='112'!$K$9,OR($N2573='112'!$I$6,$O2573='112'!$I$6))),"x",""))</f>
        <v/>
      </c>
      <c r="U2573" s="84" t="str">
        <f>IF(ISERROR(FIND('112'!$M$9,G2573,1)),"",IF((AND(LEFT(G2573,2)=LEFT('112'!$M$9,2),B2573&lt;'112'!$K$9,$N2573='112'!$I$6)),"x",""))</f>
        <v/>
      </c>
      <c r="V2573" s="84" t="str">
        <f>IF(ISERROR(FIND('112'!$M$9,G2573,1)),"",IF((AND(RIGHT(G2573,2)=RIGHT('112'!$M$9,2),B2573&lt;'112'!$K$9,$O2573='112'!$I$6)),"x",""))</f>
        <v/>
      </c>
      <c r="W2573" s="84" t="str">
        <f>IF(AND('341-CT'!$H$9=H2573,OR(LEFT(N2573,3)=$W$7,LEFT(O2573,3)=$W$7)),"x","")</f>
        <v/>
      </c>
      <c r="X2573" s="84" t="str">
        <f>IF(OR(TH!N2573=TH!$X$7,O2573=TH!$X$7),"x","")</f>
        <v/>
      </c>
      <c r="Y2573" s="84" t="str">
        <f>IF(AND(OR(N2573="131",O2573="131"),H2573='131-CT'!$H$9),"x","")</f>
        <v/>
      </c>
      <c r="Z2573" s="84"/>
      <c r="AA2573" s="84" t="str">
        <f>IF(AND(MONTH(E2573)='IN-NX'!$J$5,'IN-NX'!$D$7=D2573),"x","")</f>
        <v/>
      </c>
      <c r="AB2573" s="84" t="str">
        <f>IF(AND(OR(LEFT(TH!N2573,2)="15",LEFT(TH!O2573,2)="15"),LEFT(TH!O2573,3)&lt;&gt;"111",'152-CT'!$J$8=TH!F2573),"x","")</f>
        <v/>
      </c>
      <c r="AC2573" s="84" t="str">
        <f>IF(AND(OR(LEFT(TH!N2573,2)="15",LEFT(TH!O2573,2)="15"),TK!$E$7=TH!F2573),"x","")</f>
        <v/>
      </c>
      <c r="AD2573" s="84" t="str">
        <f>IF(AND(N2573="1521",MONTH(C2573)='BK-NL'!$M$11),"x","")</f>
        <v/>
      </c>
    </row>
    <row r="2574" spans="1:30" s="351" customFormat="1" ht="15.75" hidden="1" customHeight="1">
      <c r="A2574" s="336" t="str">
        <f>IF(B2574&lt;&gt;"",IF(AND(B2574='IN-TC'!$S$4,OR(TH!N2574="1111",TH!O2574="1111")),TH!D2574,""),"")</f>
        <v/>
      </c>
      <c r="B2574" s="63" t="str">
        <f t="shared" si="297"/>
        <v/>
      </c>
      <c r="C2574" s="64"/>
      <c r="D2574" s="64"/>
      <c r="E2574" s="64"/>
      <c r="F2574" s="67"/>
      <c r="G2574" s="67"/>
      <c r="H2574" s="73"/>
      <c r="I2574" s="439"/>
      <c r="J2574" s="439"/>
      <c r="K2574" s="430"/>
      <c r="L2574" s="439"/>
      <c r="M2574" s="65"/>
      <c r="N2574" s="66"/>
      <c r="O2574" s="66"/>
      <c r="P2574" s="84" t="str">
        <f>IF(AND('331-CT'!$E$7=TH!H2574,OR(N2574="331",O2574="331")),"x","")</f>
        <v/>
      </c>
      <c r="Q2574" s="84" t="str">
        <f>IF(AND(B2574='111'!$L$11,OR($N2574=$Q$7,$O2574=$Q$7)),"x","")</f>
        <v/>
      </c>
      <c r="R2574" s="84" t="str">
        <f>IF(AND($N2574=$Q$7,$B2574&lt;'111'!$L$11),"x","")</f>
        <v/>
      </c>
      <c r="S2574" s="84" t="str">
        <f>IF(AND($O2574=$Q$7,$B2574&lt;'111'!$L$11),"x","")</f>
        <v/>
      </c>
      <c r="T2574" s="84" t="str">
        <f>IF(ISERROR(FIND('112'!$M$9,G2574,1)),"",IF((AND(FIND('112'!$M$9,G2574,1)&gt;=1,B2574='112'!$K$9,OR($N2574='112'!$I$6,$O2574='112'!$I$6))),"x",""))</f>
        <v/>
      </c>
      <c r="U2574" s="84" t="str">
        <f>IF(ISERROR(FIND('112'!$M$9,G2574,1)),"",IF((AND(LEFT(G2574,2)=LEFT('112'!$M$9,2),B2574&lt;'112'!$K$9,$N2574='112'!$I$6)),"x",""))</f>
        <v/>
      </c>
      <c r="V2574" s="84" t="str">
        <f>IF(ISERROR(FIND('112'!$M$9,G2574,1)),"",IF((AND(RIGHT(G2574,2)=RIGHT('112'!$M$9,2),B2574&lt;'112'!$K$9,$O2574='112'!$I$6)),"x",""))</f>
        <v/>
      </c>
      <c r="W2574" s="84" t="str">
        <f>IF(AND('341-CT'!$H$9=H2574,OR(LEFT(N2574,3)=$W$7,LEFT(O2574,3)=$W$7)),"x","")</f>
        <v/>
      </c>
      <c r="X2574" s="84" t="str">
        <f>IF(OR(TH!N2574=TH!$X$7,O2574=TH!$X$7),"x","")</f>
        <v/>
      </c>
      <c r="Y2574" s="84" t="str">
        <f>IF(AND(OR(N2574="131",O2574="131"),H2574='131-CT'!$H$9),"x","")</f>
        <v/>
      </c>
      <c r="Z2574" s="84"/>
      <c r="AA2574" s="84" t="str">
        <f>IF(AND(MONTH(E2574)='IN-NX'!$J$5,'IN-NX'!$D$7=D2574),"x","")</f>
        <v/>
      </c>
      <c r="AB2574" s="84" t="str">
        <f>IF(AND(OR(LEFT(TH!N2574,2)="15",LEFT(TH!O2574,2)="15"),LEFT(TH!O2574,3)&lt;&gt;"111",'152-CT'!$J$8=TH!F2574),"x","")</f>
        <v/>
      </c>
      <c r="AC2574" s="84" t="str">
        <f>IF(AND(OR(LEFT(TH!N2574,2)="15",LEFT(TH!O2574,2)="15"),TK!$E$7=TH!F2574),"x","")</f>
        <v/>
      </c>
      <c r="AD2574" s="84" t="str">
        <f>IF(AND(N2574="1521",MONTH(C2574)='BK-NL'!$M$11),"x","")</f>
        <v/>
      </c>
    </row>
    <row r="2575" spans="1:30" s="351" customFormat="1" ht="15.75" hidden="1" customHeight="1">
      <c r="A2575" s="336" t="str">
        <f>IF(B2575&lt;&gt;"",IF(AND(B2575='IN-TC'!$S$4,OR(TH!N2575="1111",TH!O2575="1111")),TH!D2575,""),"")</f>
        <v/>
      </c>
      <c r="B2575" s="63" t="str">
        <f t="shared" si="297"/>
        <v/>
      </c>
      <c r="C2575" s="64"/>
      <c r="D2575" s="64"/>
      <c r="E2575" s="64"/>
      <c r="F2575" s="67"/>
      <c r="G2575" s="67"/>
      <c r="H2575" s="73"/>
      <c r="I2575" s="439"/>
      <c r="J2575" s="439"/>
      <c r="K2575" s="430"/>
      <c r="L2575" s="439"/>
      <c r="M2575" s="65"/>
      <c r="N2575" s="66"/>
      <c r="O2575" s="66"/>
      <c r="P2575" s="84" t="str">
        <f>IF(AND('331-CT'!$E$7=TH!H2575,OR(N2575="331",O2575="331")),"x","")</f>
        <v/>
      </c>
      <c r="Q2575" s="84" t="str">
        <f>IF(AND(B2575='111'!$L$11,OR($N2575=$Q$7,$O2575=$Q$7)),"x","")</f>
        <v/>
      </c>
      <c r="R2575" s="84" t="str">
        <f>IF(AND($N2575=$Q$7,$B2575&lt;'111'!$L$11),"x","")</f>
        <v/>
      </c>
      <c r="S2575" s="84" t="str">
        <f>IF(AND($O2575=$Q$7,$B2575&lt;'111'!$L$11),"x","")</f>
        <v/>
      </c>
      <c r="T2575" s="84" t="str">
        <f>IF(ISERROR(FIND('112'!$M$9,G2575,1)),"",IF((AND(FIND('112'!$M$9,G2575,1)&gt;=1,B2575='112'!$K$9,OR($N2575='112'!$I$6,$O2575='112'!$I$6))),"x",""))</f>
        <v/>
      </c>
      <c r="U2575" s="84" t="str">
        <f>IF(ISERROR(FIND('112'!$M$9,G2575,1)),"",IF((AND(LEFT(G2575,2)=LEFT('112'!$M$9,2),B2575&lt;'112'!$K$9,$N2575='112'!$I$6)),"x",""))</f>
        <v/>
      </c>
      <c r="V2575" s="84" t="str">
        <f>IF(ISERROR(FIND('112'!$M$9,G2575,1)),"",IF((AND(RIGHT(G2575,2)=RIGHT('112'!$M$9,2),B2575&lt;'112'!$K$9,$O2575='112'!$I$6)),"x",""))</f>
        <v/>
      </c>
      <c r="W2575" s="84" t="str">
        <f>IF(AND('341-CT'!$H$9=H2575,OR(LEFT(N2575,3)=$W$7,LEFT(O2575,3)=$W$7)),"x","")</f>
        <v/>
      </c>
      <c r="X2575" s="84" t="str">
        <f>IF(OR(TH!N2575=TH!$X$7,O2575=TH!$X$7),"x","")</f>
        <v/>
      </c>
      <c r="Y2575" s="84" t="str">
        <f>IF(AND(OR(N2575="131",O2575="131"),H2575='131-CT'!$H$9),"x","")</f>
        <v/>
      </c>
      <c r="Z2575" s="84"/>
      <c r="AA2575" s="84" t="str">
        <f>IF(AND(MONTH(E2575)='IN-NX'!$J$5,'IN-NX'!$D$7=D2575),"x","")</f>
        <v/>
      </c>
      <c r="AB2575" s="84" t="str">
        <f>IF(AND(OR(LEFT(TH!N2575,2)="15",LEFT(TH!O2575,2)="15"),LEFT(TH!O2575,3)&lt;&gt;"111",'152-CT'!$J$8=TH!F2575),"x","")</f>
        <v/>
      </c>
      <c r="AC2575" s="84" t="str">
        <f>IF(AND(OR(LEFT(TH!N2575,2)="15",LEFT(TH!O2575,2)="15"),TK!$E$7=TH!F2575),"x","")</f>
        <v/>
      </c>
      <c r="AD2575" s="84" t="str">
        <f>IF(AND(N2575="1521",MONTH(C2575)='BK-NL'!$M$11),"x","")</f>
        <v/>
      </c>
    </row>
    <row r="2576" spans="1:30" s="351" customFormat="1" ht="15.75" hidden="1" customHeight="1">
      <c r="A2576" s="336" t="str">
        <f>IF(B2576&lt;&gt;"",IF(AND(B2576='IN-TC'!$S$4,OR(TH!N2576="1111",TH!O2576="1111")),TH!D2576,""),"")</f>
        <v/>
      </c>
      <c r="B2576" s="63" t="str">
        <f t="shared" si="297"/>
        <v/>
      </c>
      <c r="C2576" s="64"/>
      <c r="D2576" s="64"/>
      <c r="E2576" s="64"/>
      <c r="F2576" s="67"/>
      <c r="G2576" s="67"/>
      <c r="H2576" s="73"/>
      <c r="I2576" s="439"/>
      <c r="J2576" s="439"/>
      <c r="K2576" s="430"/>
      <c r="L2576" s="439"/>
      <c r="M2576" s="65"/>
      <c r="N2576" s="66"/>
      <c r="O2576" s="66"/>
      <c r="P2576" s="84" t="str">
        <f>IF(AND('331-CT'!$E$7=TH!H2576,OR(N2576="331",O2576="331")),"x","")</f>
        <v/>
      </c>
      <c r="Q2576" s="84" t="str">
        <f>IF(AND(B2576='111'!$L$11,OR($N2576=$Q$7,$O2576=$Q$7)),"x","")</f>
        <v/>
      </c>
      <c r="R2576" s="84" t="str">
        <f>IF(AND($N2576=$Q$7,$B2576&lt;'111'!$L$11),"x","")</f>
        <v/>
      </c>
      <c r="S2576" s="84" t="str">
        <f>IF(AND($O2576=$Q$7,$B2576&lt;'111'!$L$11),"x","")</f>
        <v/>
      </c>
      <c r="T2576" s="84" t="str">
        <f>IF(ISERROR(FIND('112'!$M$9,G2576,1)),"",IF((AND(FIND('112'!$M$9,G2576,1)&gt;=1,B2576='112'!$K$9,OR($N2576='112'!$I$6,$O2576='112'!$I$6))),"x",""))</f>
        <v/>
      </c>
      <c r="U2576" s="84" t="str">
        <f>IF(ISERROR(FIND('112'!$M$9,G2576,1)),"",IF((AND(LEFT(G2576,2)=LEFT('112'!$M$9,2),B2576&lt;'112'!$K$9,$N2576='112'!$I$6)),"x",""))</f>
        <v/>
      </c>
      <c r="V2576" s="84" t="str">
        <f>IF(ISERROR(FIND('112'!$M$9,G2576,1)),"",IF((AND(RIGHT(G2576,2)=RIGHT('112'!$M$9,2),B2576&lt;'112'!$K$9,$O2576='112'!$I$6)),"x",""))</f>
        <v/>
      </c>
      <c r="W2576" s="84" t="str">
        <f>IF(AND('341-CT'!$H$9=H2576,OR(LEFT(N2576,3)=$W$7,LEFT(O2576,3)=$W$7)),"x","")</f>
        <v/>
      </c>
      <c r="X2576" s="84" t="str">
        <f>IF(OR(TH!N2576=TH!$X$7,O2576=TH!$X$7),"x","")</f>
        <v/>
      </c>
      <c r="Y2576" s="84" t="str">
        <f>IF(AND(OR(N2576="131",O2576="131"),H2576='131-CT'!$H$9),"x","")</f>
        <v/>
      </c>
      <c r="Z2576" s="84"/>
      <c r="AA2576" s="84" t="str">
        <f>IF(AND(MONTH(E2576)='IN-NX'!$J$5,'IN-NX'!$D$7=D2576),"x","")</f>
        <v/>
      </c>
      <c r="AB2576" s="84" t="str">
        <f>IF(AND(OR(LEFT(TH!N2576,2)="15",LEFT(TH!O2576,2)="15"),LEFT(TH!O2576,3)&lt;&gt;"111",'152-CT'!$J$8=TH!F2576),"x","")</f>
        <v/>
      </c>
      <c r="AC2576" s="84" t="str">
        <f>IF(AND(OR(LEFT(TH!N2576,2)="15",LEFT(TH!O2576,2)="15"),TK!$E$7=TH!F2576),"x","")</f>
        <v/>
      </c>
      <c r="AD2576" s="84" t="str">
        <f>IF(AND(N2576="1521",MONTH(C2576)='BK-NL'!$M$11),"x","")</f>
        <v/>
      </c>
    </row>
    <row r="2577" spans="1:30" s="351" customFormat="1" ht="15.75" hidden="1" customHeight="1">
      <c r="A2577" s="336" t="str">
        <f>IF(B2577&lt;&gt;"",IF(AND(B2577='IN-TC'!$S$4,OR(TH!N2577="1111",TH!O2577="1111")),TH!D2577,""),"")</f>
        <v/>
      </c>
      <c r="B2577" s="63" t="str">
        <f t="shared" si="297"/>
        <v/>
      </c>
      <c r="C2577" s="64"/>
      <c r="D2577" s="64"/>
      <c r="E2577" s="64"/>
      <c r="F2577" s="67"/>
      <c r="G2577" s="67"/>
      <c r="H2577" s="73"/>
      <c r="I2577" s="439"/>
      <c r="J2577" s="439"/>
      <c r="K2577" s="430"/>
      <c r="L2577" s="439"/>
      <c r="M2577" s="65"/>
      <c r="N2577" s="66"/>
      <c r="O2577" s="66"/>
      <c r="P2577" s="84" t="str">
        <f>IF(AND('331-CT'!$E$7=TH!H2577,OR(N2577="331",O2577="331")),"x","")</f>
        <v/>
      </c>
      <c r="Q2577" s="84" t="str">
        <f>IF(AND(B2577='111'!$L$11,OR($N2577=$Q$7,$O2577=$Q$7)),"x","")</f>
        <v/>
      </c>
      <c r="R2577" s="84" t="str">
        <f>IF(AND($N2577=$Q$7,$B2577&lt;'111'!$L$11),"x","")</f>
        <v/>
      </c>
      <c r="S2577" s="84" t="str">
        <f>IF(AND($O2577=$Q$7,$B2577&lt;'111'!$L$11),"x","")</f>
        <v/>
      </c>
      <c r="T2577" s="84" t="str">
        <f>IF(ISERROR(FIND('112'!$M$9,G2577,1)),"",IF((AND(FIND('112'!$M$9,G2577,1)&gt;=1,B2577='112'!$K$9,OR($N2577='112'!$I$6,$O2577='112'!$I$6))),"x",""))</f>
        <v/>
      </c>
      <c r="U2577" s="84" t="str">
        <f>IF(ISERROR(FIND('112'!$M$9,G2577,1)),"",IF((AND(LEFT(G2577,2)=LEFT('112'!$M$9,2),B2577&lt;'112'!$K$9,$N2577='112'!$I$6)),"x",""))</f>
        <v/>
      </c>
      <c r="V2577" s="84" t="str">
        <f>IF(ISERROR(FIND('112'!$M$9,G2577,1)),"",IF((AND(RIGHT(G2577,2)=RIGHT('112'!$M$9,2),B2577&lt;'112'!$K$9,$O2577='112'!$I$6)),"x",""))</f>
        <v/>
      </c>
      <c r="W2577" s="84" t="str">
        <f>IF(AND('341-CT'!$H$9=H2577,OR(LEFT(N2577,3)=$W$7,LEFT(O2577,3)=$W$7)),"x","")</f>
        <v/>
      </c>
      <c r="X2577" s="84" t="str">
        <f>IF(OR(TH!N2577=TH!$X$7,O2577=TH!$X$7),"x","")</f>
        <v/>
      </c>
      <c r="Y2577" s="84" t="str">
        <f>IF(AND(OR(N2577="131",O2577="131"),H2577='131-CT'!$H$9),"x","")</f>
        <v/>
      </c>
      <c r="Z2577" s="84"/>
      <c r="AA2577" s="84" t="str">
        <f>IF(AND(MONTH(E2577)='IN-NX'!$J$5,'IN-NX'!$D$7=D2577),"x","")</f>
        <v/>
      </c>
      <c r="AB2577" s="84" t="str">
        <f>IF(AND(OR(LEFT(TH!N2577,2)="15",LEFT(TH!O2577,2)="15"),LEFT(TH!O2577,3)&lt;&gt;"111",'152-CT'!$J$8=TH!F2577),"x","")</f>
        <v/>
      </c>
      <c r="AC2577" s="84" t="str">
        <f>IF(AND(OR(LEFT(TH!N2577,2)="15",LEFT(TH!O2577,2)="15"),TK!$E$7=TH!F2577),"x","")</f>
        <v/>
      </c>
      <c r="AD2577" s="84" t="str">
        <f>IF(AND(N2577="1521",MONTH(C2577)='BK-NL'!$M$11),"x","")</f>
        <v/>
      </c>
    </row>
    <row r="2578" spans="1:30" s="351" customFormat="1" ht="15.75" hidden="1" customHeight="1">
      <c r="A2578" s="336" t="str">
        <f>IF(B2578&lt;&gt;"",IF(AND(B2578='IN-TC'!$S$4,OR(TH!N2578="1111",TH!O2578="1111")),TH!D2578,""),"")</f>
        <v/>
      </c>
      <c r="B2578" s="63" t="str">
        <f t="shared" si="297"/>
        <v/>
      </c>
      <c r="C2578" s="64"/>
      <c r="D2578" s="64"/>
      <c r="E2578" s="64"/>
      <c r="F2578" s="67"/>
      <c r="G2578" s="67"/>
      <c r="H2578" s="73"/>
      <c r="I2578" s="439"/>
      <c r="J2578" s="439"/>
      <c r="K2578" s="430"/>
      <c r="L2578" s="439"/>
      <c r="M2578" s="65"/>
      <c r="N2578" s="66"/>
      <c r="O2578" s="66"/>
      <c r="P2578" s="84" t="str">
        <f>IF(AND('331-CT'!$E$7=TH!H2578,OR(N2578="331",O2578="331")),"x","")</f>
        <v/>
      </c>
      <c r="Q2578" s="84" t="str">
        <f>IF(AND(B2578='111'!$L$11,OR($N2578=$Q$7,$O2578=$Q$7)),"x","")</f>
        <v/>
      </c>
      <c r="R2578" s="84" t="str">
        <f>IF(AND($N2578=$Q$7,$B2578&lt;'111'!$L$11),"x","")</f>
        <v/>
      </c>
      <c r="S2578" s="84" t="str">
        <f>IF(AND($O2578=$Q$7,$B2578&lt;'111'!$L$11),"x","")</f>
        <v/>
      </c>
      <c r="T2578" s="84" t="str">
        <f>IF(ISERROR(FIND('112'!$M$9,G2578,1)),"",IF((AND(FIND('112'!$M$9,G2578,1)&gt;=1,B2578='112'!$K$9,OR($N2578='112'!$I$6,$O2578='112'!$I$6))),"x",""))</f>
        <v/>
      </c>
      <c r="U2578" s="84" t="str">
        <f>IF(ISERROR(FIND('112'!$M$9,G2578,1)),"",IF((AND(LEFT(G2578,2)=LEFT('112'!$M$9,2),B2578&lt;'112'!$K$9,$N2578='112'!$I$6)),"x",""))</f>
        <v/>
      </c>
      <c r="V2578" s="84" t="str">
        <f>IF(ISERROR(FIND('112'!$M$9,G2578,1)),"",IF((AND(RIGHT(G2578,2)=RIGHT('112'!$M$9,2),B2578&lt;'112'!$K$9,$O2578='112'!$I$6)),"x",""))</f>
        <v/>
      </c>
      <c r="W2578" s="84" t="str">
        <f>IF(AND('341-CT'!$H$9=H2578,OR(LEFT(N2578,3)=$W$7,LEFT(O2578,3)=$W$7)),"x","")</f>
        <v/>
      </c>
      <c r="X2578" s="84" t="str">
        <f>IF(OR(TH!N2578=TH!$X$7,O2578=TH!$X$7),"x","")</f>
        <v/>
      </c>
      <c r="Y2578" s="84" t="str">
        <f>IF(AND(OR(N2578="131",O2578="131"),H2578='131-CT'!$H$9),"x","")</f>
        <v/>
      </c>
      <c r="Z2578" s="84"/>
      <c r="AA2578" s="84" t="str">
        <f>IF(AND(MONTH(E2578)='IN-NX'!$J$5,'IN-NX'!$D$7=D2578),"x","")</f>
        <v/>
      </c>
      <c r="AB2578" s="84" t="str">
        <f>IF(AND(OR(LEFT(TH!N2578,2)="15",LEFT(TH!O2578,2)="15"),LEFT(TH!O2578,3)&lt;&gt;"111",'152-CT'!$J$8=TH!F2578),"x","")</f>
        <v/>
      </c>
      <c r="AC2578" s="84" t="str">
        <f>IF(AND(OR(LEFT(TH!N2578,2)="15",LEFT(TH!O2578,2)="15"),TK!$E$7=TH!F2578),"x","")</f>
        <v/>
      </c>
      <c r="AD2578" s="84" t="str">
        <f>IF(AND(N2578="1521",MONTH(C2578)='BK-NL'!$M$11),"x","")</f>
        <v/>
      </c>
    </row>
    <row r="2579" spans="1:30" s="351" customFormat="1" ht="15.75" hidden="1" customHeight="1">
      <c r="A2579" s="336" t="str">
        <f>IF(B2579&lt;&gt;"",IF(AND(B2579='IN-TC'!$S$4,OR(TH!N2579="1111",TH!O2579="1111")),TH!D2579,""),"")</f>
        <v/>
      </c>
      <c r="B2579" s="63" t="str">
        <f t="shared" si="297"/>
        <v/>
      </c>
      <c r="C2579" s="64"/>
      <c r="D2579" s="64"/>
      <c r="E2579" s="64"/>
      <c r="F2579" s="67"/>
      <c r="G2579" s="67"/>
      <c r="H2579" s="73"/>
      <c r="I2579" s="439"/>
      <c r="J2579" s="439"/>
      <c r="K2579" s="430"/>
      <c r="L2579" s="439"/>
      <c r="M2579" s="65"/>
      <c r="N2579" s="66"/>
      <c r="O2579" s="66"/>
      <c r="P2579" s="84" t="str">
        <f>IF(AND('331-CT'!$E$7=TH!H2579,OR(N2579="331",O2579="331")),"x","")</f>
        <v/>
      </c>
      <c r="Q2579" s="84" t="str">
        <f>IF(AND(B2579='111'!$L$11,OR($N2579=$Q$7,$O2579=$Q$7)),"x","")</f>
        <v/>
      </c>
      <c r="R2579" s="84" t="str">
        <f>IF(AND($N2579=$Q$7,$B2579&lt;'111'!$L$11),"x","")</f>
        <v/>
      </c>
      <c r="S2579" s="84" t="str">
        <f>IF(AND($O2579=$Q$7,$B2579&lt;'111'!$L$11),"x","")</f>
        <v/>
      </c>
      <c r="T2579" s="84" t="str">
        <f>IF(ISERROR(FIND('112'!$M$9,G2579,1)),"",IF((AND(FIND('112'!$M$9,G2579,1)&gt;=1,B2579='112'!$K$9,OR($N2579='112'!$I$6,$O2579='112'!$I$6))),"x",""))</f>
        <v/>
      </c>
      <c r="U2579" s="84" t="str">
        <f>IF(ISERROR(FIND('112'!$M$9,G2579,1)),"",IF((AND(LEFT(G2579,2)=LEFT('112'!$M$9,2),B2579&lt;'112'!$K$9,$N2579='112'!$I$6)),"x",""))</f>
        <v/>
      </c>
      <c r="V2579" s="84" t="str">
        <f>IF(ISERROR(FIND('112'!$M$9,G2579,1)),"",IF((AND(RIGHT(G2579,2)=RIGHT('112'!$M$9,2),B2579&lt;'112'!$K$9,$O2579='112'!$I$6)),"x",""))</f>
        <v/>
      </c>
      <c r="W2579" s="84" t="str">
        <f>IF(AND('341-CT'!$H$9=H2579,OR(LEFT(N2579,3)=$W$7,LEFT(O2579,3)=$W$7)),"x","")</f>
        <v/>
      </c>
      <c r="X2579" s="84" t="str">
        <f>IF(OR(TH!N2579=TH!$X$7,O2579=TH!$X$7),"x","")</f>
        <v/>
      </c>
      <c r="Y2579" s="84" t="str">
        <f>IF(AND(OR(N2579="131",O2579="131"),H2579='131-CT'!$H$9),"x","")</f>
        <v/>
      </c>
      <c r="Z2579" s="84"/>
      <c r="AA2579" s="84" t="str">
        <f>IF(AND(MONTH(E2579)='IN-NX'!$J$5,'IN-NX'!$D$7=D2579),"x","")</f>
        <v/>
      </c>
      <c r="AB2579" s="84" t="str">
        <f>IF(AND(OR(LEFT(TH!N2579,2)="15",LEFT(TH!O2579,2)="15"),LEFT(TH!O2579,3)&lt;&gt;"111",'152-CT'!$J$8=TH!F2579),"x","")</f>
        <v/>
      </c>
      <c r="AC2579" s="84" t="str">
        <f>IF(AND(OR(LEFT(TH!N2579,2)="15",LEFT(TH!O2579,2)="15"),TK!$E$7=TH!F2579),"x","")</f>
        <v/>
      </c>
      <c r="AD2579" s="84" t="str">
        <f>IF(AND(N2579="1521",MONTH(C2579)='BK-NL'!$M$11),"x","")</f>
        <v/>
      </c>
    </row>
    <row r="2580" spans="1:30" s="351" customFormat="1" ht="15.75" hidden="1" customHeight="1">
      <c r="A2580" s="336" t="str">
        <f>IF(B2580&lt;&gt;"",IF(AND(B2580='IN-TC'!$S$4,OR(TH!N2580="1111",TH!O2580="1111")),TH!D2580,""),"")</f>
        <v/>
      </c>
      <c r="B2580" s="63" t="str">
        <f t="shared" si="297"/>
        <v/>
      </c>
      <c r="C2580" s="64"/>
      <c r="D2580" s="64"/>
      <c r="E2580" s="64"/>
      <c r="F2580" s="67"/>
      <c r="G2580" s="67"/>
      <c r="H2580" s="73"/>
      <c r="I2580" s="439"/>
      <c r="J2580" s="439"/>
      <c r="K2580" s="430"/>
      <c r="L2580" s="439"/>
      <c r="M2580" s="65"/>
      <c r="N2580" s="66"/>
      <c r="O2580" s="66"/>
      <c r="P2580" s="84" t="str">
        <f>IF(AND('331-CT'!$E$7=TH!H2580,OR(N2580="331",O2580="331")),"x","")</f>
        <v/>
      </c>
      <c r="Q2580" s="84" t="str">
        <f>IF(AND(B2580='111'!$L$11,OR($N2580=$Q$7,$O2580=$Q$7)),"x","")</f>
        <v/>
      </c>
      <c r="R2580" s="84" t="str">
        <f>IF(AND($N2580=$Q$7,$B2580&lt;'111'!$L$11),"x","")</f>
        <v/>
      </c>
      <c r="S2580" s="84" t="str">
        <f>IF(AND($O2580=$Q$7,$B2580&lt;'111'!$L$11),"x","")</f>
        <v/>
      </c>
      <c r="T2580" s="84" t="str">
        <f>IF(ISERROR(FIND('112'!$M$9,G2580,1)),"",IF((AND(FIND('112'!$M$9,G2580,1)&gt;=1,B2580='112'!$K$9,OR($N2580='112'!$I$6,$O2580='112'!$I$6))),"x",""))</f>
        <v/>
      </c>
      <c r="U2580" s="84" t="str">
        <f>IF(ISERROR(FIND('112'!$M$9,G2580,1)),"",IF((AND(LEFT(G2580,2)=LEFT('112'!$M$9,2),B2580&lt;'112'!$K$9,$N2580='112'!$I$6)),"x",""))</f>
        <v/>
      </c>
      <c r="V2580" s="84" t="str">
        <f>IF(ISERROR(FIND('112'!$M$9,G2580,1)),"",IF((AND(RIGHT(G2580,2)=RIGHT('112'!$M$9,2),B2580&lt;'112'!$K$9,$O2580='112'!$I$6)),"x",""))</f>
        <v/>
      </c>
      <c r="W2580" s="84" t="str">
        <f>IF(AND('341-CT'!$H$9=H2580,OR(LEFT(N2580,3)=$W$7,LEFT(O2580,3)=$W$7)),"x","")</f>
        <v/>
      </c>
      <c r="X2580" s="84" t="str">
        <f>IF(OR(TH!N2580=TH!$X$7,O2580=TH!$X$7),"x","")</f>
        <v/>
      </c>
      <c r="Y2580" s="84" t="str">
        <f>IF(AND(OR(N2580="131",O2580="131"),H2580='131-CT'!$H$9),"x","")</f>
        <v/>
      </c>
      <c r="Z2580" s="84"/>
      <c r="AA2580" s="84" t="str">
        <f>IF(AND(MONTH(E2580)='IN-NX'!$J$5,'IN-NX'!$D$7=D2580),"x","")</f>
        <v/>
      </c>
      <c r="AB2580" s="84" t="str">
        <f>IF(AND(OR(LEFT(TH!N2580,2)="15",LEFT(TH!O2580,2)="15"),LEFT(TH!O2580,3)&lt;&gt;"111",'152-CT'!$J$8=TH!F2580),"x","")</f>
        <v/>
      </c>
      <c r="AC2580" s="84" t="str">
        <f>IF(AND(OR(LEFT(TH!N2580,2)="15",LEFT(TH!O2580,2)="15"),TK!$E$7=TH!F2580),"x","")</f>
        <v/>
      </c>
      <c r="AD2580" s="84" t="str">
        <f>IF(AND(N2580="1521",MONTH(C2580)='BK-NL'!$M$11),"x","")</f>
        <v/>
      </c>
    </row>
    <row r="2581" spans="1:30" s="351" customFormat="1" ht="15.75" hidden="1" customHeight="1">
      <c r="A2581" s="336" t="str">
        <f>IF(B2581&lt;&gt;"",IF(AND(B2581='IN-TC'!$S$4,OR(TH!N2581="1111",TH!O2581="1111")),TH!D2581,""),"")</f>
        <v/>
      </c>
      <c r="B2581" s="63" t="str">
        <f t="shared" si="297"/>
        <v/>
      </c>
      <c r="C2581" s="64"/>
      <c r="D2581" s="64"/>
      <c r="E2581" s="64"/>
      <c r="F2581" s="67"/>
      <c r="G2581" s="67"/>
      <c r="H2581" s="73"/>
      <c r="I2581" s="439"/>
      <c r="J2581" s="439"/>
      <c r="K2581" s="430"/>
      <c r="L2581" s="439"/>
      <c r="M2581" s="65"/>
      <c r="N2581" s="66"/>
      <c r="O2581" s="66"/>
      <c r="P2581" s="84" t="str">
        <f>IF(AND('331-CT'!$E$7=TH!H2581,OR(N2581="331",O2581="331")),"x","")</f>
        <v/>
      </c>
      <c r="Q2581" s="84" t="str">
        <f>IF(AND(B2581='111'!$L$11,OR($N2581=$Q$7,$O2581=$Q$7)),"x","")</f>
        <v/>
      </c>
      <c r="R2581" s="84" t="str">
        <f>IF(AND($N2581=$Q$7,$B2581&lt;'111'!$L$11),"x","")</f>
        <v/>
      </c>
      <c r="S2581" s="84" t="str">
        <f>IF(AND($O2581=$Q$7,$B2581&lt;'111'!$L$11),"x","")</f>
        <v/>
      </c>
      <c r="T2581" s="84" t="str">
        <f>IF(ISERROR(FIND('112'!$M$9,G2581,1)),"",IF((AND(FIND('112'!$M$9,G2581,1)&gt;=1,B2581='112'!$K$9,OR($N2581='112'!$I$6,$O2581='112'!$I$6))),"x",""))</f>
        <v/>
      </c>
      <c r="U2581" s="84" t="str">
        <f>IF(ISERROR(FIND('112'!$M$9,G2581,1)),"",IF((AND(LEFT(G2581,2)=LEFT('112'!$M$9,2),B2581&lt;'112'!$K$9,$N2581='112'!$I$6)),"x",""))</f>
        <v/>
      </c>
      <c r="V2581" s="84" t="str">
        <f>IF(ISERROR(FIND('112'!$M$9,G2581,1)),"",IF((AND(RIGHT(G2581,2)=RIGHT('112'!$M$9,2),B2581&lt;'112'!$K$9,$O2581='112'!$I$6)),"x",""))</f>
        <v/>
      </c>
      <c r="W2581" s="84" t="str">
        <f>IF(AND('341-CT'!$H$9=H2581,OR(LEFT(N2581,3)=$W$7,LEFT(O2581,3)=$W$7)),"x","")</f>
        <v/>
      </c>
      <c r="X2581" s="84" t="str">
        <f>IF(OR(TH!N2581=TH!$X$7,O2581=TH!$X$7),"x","")</f>
        <v/>
      </c>
      <c r="Y2581" s="84" t="str">
        <f>IF(AND(OR(N2581="131",O2581="131"),H2581='131-CT'!$H$9),"x","")</f>
        <v/>
      </c>
      <c r="Z2581" s="84"/>
      <c r="AA2581" s="84" t="str">
        <f>IF(AND(MONTH(E2581)='IN-NX'!$J$5,'IN-NX'!$D$7=D2581),"x","")</f>
        <v/>
      </c>
      <c r="AB2581" s="84" t="str">
        <f>IF(AND(OR(LEFT(TH!N2581,2)="15",LEFT(TH!O2581,2)="15"),LEFT(TH!O2581,3)&lt;&gt;"111",'152-CT'!$J$8=TH!F2581),"x","")</f>
        <v/>
      </c>
      <c r="AC2581" s="84" t="str">
        <f>IF(AND(OR(LEFT(TH!N2581,2)="15",LEFT(TH!O2581,2)="15"),TK!$E$7=TH!F2581),"x","")</f>
        <v/>
      </c>
      <c r="AD2581" s="84" t="str">
        <f>IF(AND(N2581="1521",MONTH(C2581)='BK-NL'!$M$11),"x","")</f>
        <v/>
      </c>
    </row>
    <row r="2582" spans="1:30" s="351" customFormat="1" ht="15.75" hidden="1" customHeight="1">
      <c r="A2582" s="336" t="str">
        <f>IF(B2582&lt;&gt;"",IF(AND(B2582='IN-TC'!$S$4,OR(TH!N2582="1111",TH!O2582="1111")),TH!D2582,""),"")</f>
        <v/>
      </c>
      <c r="B2582" s="63" t="str">
        <f t="shared" si="297"/>
        <v/>
      </c>
      <c r="C2582" s="64"/>
      <c r="D2582" s="64"/>
      <c r="E2582" s="64"/>
      <c r="F2582" s="67"/>
      <c r="G2582" s="67"/>
      <c r="H2582" s="73"/>
      <c r="I2582" s="439"/>
      <c r="J2582" s="439"/>
      <c r="K2582" s="430"/>
      <c r="L2582" s="439"/>
      <c r="M2582" s="65"/>
      <c r="N2582" s="66"/>
      <c r="O2582" s="66"/>
      <c r="P2582" s="84" t="str">
        <f>IF(AND('331-CT'!$E$7=TH!H2582,OR(N2582="331",O2582="331")),"x","")</f>
        <v/>
      </c>
      <c r="Q2582" s="84" t="str">
        <f>IF(AND(B2582='111'!$L$11,OR($N2582=$Q$7,$O2582=$Q$7)),"x","")</f>
        <v/>
      </c>
      <c r="R2582" s="84" t="str">
        <f>IF(AND($N2582=$Q$7,$B2582&lt;'111'!$L$11),"x","")</f>
        <v/>
      </c>
      <c r="S2582" s="84" t="str">
        <f>IF(AND($O2582=$Q$7,$B2582&lt;'111'!$L$11),"x","")</f>
        <v/>
      </c>
      <c r="T2582" s="84" t="str">
        <f>IF(ISERROR(FIND('112'!$M$9,G2582,1)),"",IF((AND(FIND('112'!$M$9,G2582,1)&gt;=1,B2582='112'!$K$9,OR($N2582='112'!$I$6,$O2582='112'!$I$6))),"x",""))</f>
        <v/>
      </c>
      <c r="U2582" s="84" t="str">
        <f>IF(ISERROR(FIND('112'!$M$9,G2582,1)),"",IF((AND(LEFT(G2582,2)=LEFT('112'!$M$9,2),B2582&lt;'112'!$K$9,$N2582='112'!$I$6)),"x",""))</f>
        <v/>
      </c>
      <c r="V2582" s="84" t="str">
        <f>IF(ISERROR(FIND('112'!$M$9,G2582,1)),"",IF((AND(RIGHT(G2582,2)=RIGHT('112'!$M$9,2),B2582&lt;'112'!$K$9,$O2582='112'!$I$6)),"x",""))</f>
        <v/>
      </c>
      <c r="W2582" s="84" t="str">
        <f>IF(AND('341-CT'!$H$9=H2582,OR(LEFT(N2582,3)=$W$7,LEFT(O2582,3)=$W$7)),"x","")</f>
        <v/>
      </c>
      <c r="X2582" s="84" t="str">
        <f>IF(OR(TH!N2582=TH!$X$7,O2582=TH!$X$7),"x","")</f>
        <v/>
      </c>
      <c r="Y2582" s="84" t="str">
        <f>IF(AND(OR(N2582="131",O2582="131"),H2582='131-CT'!$H$9),"x","")</f>
        <v/>
      </c>
      <c r="Z2582" s="84"/>
      <c r="AA2582" s="84" t="str">
        <f>IF(AND(MONTH(E2582)='IN-NX'!$J$5,'IN-NX'!$D$7=D2582),"x","")</f>
        <v/>
      </c>
      <c r="AB2582" s="84" t="str">
        <f>IF(AND(OR(LEFT(TH!N2582,2)="15",LEFT(TH!O2582,2)="15"),LEFT(TH!O2582,3)&lt;&gt;"111",'152-CT'!$J$8=TH!F2582),"x","")</f>
        <v/>
      </c>
      <c r="AC2582" s="84" t="str">
        <f>IF(AND(OR(LEFT(TH!N2582,2)="15",LEFT(TH!O2582,2)="15"),TK!$E$7=TH!F2582),"x","")</f>
        <v/>
      </c>
      <c r="AD2582" s="84" t="str">
        <f>IF(AND(N2582="1521",MONTH(C2582)='BK-NL'!$M$11),"x","")</f>
        <v/>
      </c>
    </row>
    <row r="2583" spans="1:30" s="351" customFormat="1" ht="15.75" hidden="1" customHeight="1">
      <c r="A2583" s="336" t="str">
        <f>IF(B2583&lt;&gt;"",IF(AND(B2583='IN-TC'!$S$4,OR(TH!N2583="1111",TH!O2583="1111")),TH!D2583,""),"")</f>
        <v/>
      </c>
      <c r="B2583" s="63" t="str">
        <f t="shared" si="297"/>
        <v/>
      </c>
      <c r="C2583" s="64"/>
      <c r="D2583" s="64"/>
      <c r="E2583" s="64"/>
      <c r="F2583" s="67"/>
      <c r="G2583" s="67"/>
      <c r="H2583" s="73"/>
      <c r="I2583" s="439"/>
      <c r="J2583" s="439"/>
      <c r="K2583" s="430"/>
      <c r="L2583" s="439"/>
      <c r="M2583" s="65"/>
      <c r="N2583" s="66"/>
      <c r="O2583" s="66"/>
      <c r="P2583" s="84" t="str">
        <f>IF(AND('331-CT'!$E$7=TH!H2583,OR(N2583="331",O2583="331")),"x","")</f>
        <v/>
      </c>
      <c r="Q2583" s="84" t="str">
        <f>IF(AND(B2583='111'!$L$11,OR($N2583=$Q$7,$O2583=$Q$7)),"x","")</f>
        <v/>
      </c>
      <c r="R2583" s="84" t="str">
        <f>IF(AND($N2583=$Q$7,$B2583&lt;'111'!$L$11),"x","")</f>
        <v/>
      </c>
      <c r="S2583" s="84" t="str">
        <f>IF(AND($O2583=$Q$7,$B2583&lt;'111'!$L$11),"x","")</f>
        <v/>
      </c>
      <c r="T2583" s="84" t="str">
        <f>IF(ISERROR(FIND('112'!$M$9,G2583,1)),"",IF((AND(FIND('112'!$M$9,G2583,1)&gt;=1,B2583='112'!$K$9,OR($N2583='112'!$I$6,$O2583='112'!$I$6))),"x",""))</f>
        <v/>
      </c>
      <c r="U2583" s="84" t="str">
        <f>IF(ISERROR(FIND('112'!$M$9,G2583,1)),"",IF((AND(LEFT(G2583,2)=LEFT('112'!$M$9,2),B2583&lt;'112'!$K$9,$N2583='112'!$I$6)),"x",""))</f>
        <v/>
      </c>
      <c r="V2583" s="84" t="str">
        <f>IF(ISERROR(FIND('112'!$M$9,G2583,1)),"",IF((AND(RIGHT(G2583,2)=RIGHT('112'!$M$9,2),B2583&lt;'112'!$K$9,$O2583='112'!$I$6)),"x",""))</f>
        <v/>
      </c>
      <c r="W2583" s="84" t="str">
        <f>IF(AND('341-CT'!$H$9=H2583,OR(LEFT(N2583,3)=$W$7,LEFT(O2583,3)=$W$7)),"x","")</f>
        <v/>
      </c>
      <c r="X2583" s="84" t="str">
        <f>IF(OR(TH!N2583=TH!$X$7,O2583=TH!$X$7),"x","")</f>
        <v/>
      </c>
      <c r="Y2583" s="84" t="str">
        <f>IF(AND(OR(N2583="131",O2583="131"),H2583='131-CT'!$H$9),"x","")</f>
        <v/>
      </c>
      <c r="Z2583" s="84"/>
      <c r="AA2583" s="84" t="str">
        <f>IF(AND(MONTH(E2583)='IN-NX'!$J$5,'IN-NX'!$D$7=D2583),"x","")</f>
        <v/>
      </c>
      <c r="AB2583" s="84" t="str">
        <f>IF(AND(OR(LEFT(TH!N2583,2)="15",LEFT(TH!O2583,2)="15"),LEFT(TH!O2583,3)&lt;&gt;"111",'152-CT'!$J$8=TH!F2583),"x","")</f>
        <v/>
      </c>
      <c r="AC2583" s="84" t="str">
        <f>IF(AND(OR(LEFT(TH!N2583,2)="15",LEFT(TH!O2583,2)="15"),TK!$E$7=TH!F2583),"x","")</f>
        <v/>
      </c>
      <c r="AD2583" s="84" t="str">
        <f>IF(AND(N2583="1521",MONTH(C2583)='BK-NL'!$M$11),"x","")</f>
        <v/>
      </c>
    </row>
    <row r="2584" spans="1:30" s="351" customFormat="1" ht="15.75" hidden="1" customHeight="1">
      <c r="A2584" s="336" t="str">
        <f>IF(B2584&lt;&gt;"",IF(AND(B2584='IN-TC'!$S$4,OR(TH!N2584="1111",TH!O2584="1111")),TH!D2584,""),"")</f>
        <v/>
      </c>
      <c r="B2584" s="63" t="str">
        <f t="shared" si="297"/>
        <v/>
      </c>
      <c r="C2584" s="64"/>
      <c r="D2584" s="64"/>
      <c r="E2584" s="64"/>
      <c r="F2584" s="67"/>
      <c r="G2584" s="67"/>
      <c r="H2584" s="73"/>
      <c r="I2584" s="439"/>
      <c r="J2584" s="439"/>
      <c r="K2584" s="430"/>
      <c r="L2584" s="439"/>
      <c r="M2584" s="65"/>
      <c r="N2584" s="66"/>
      <c r="O2584" s="66"/>
      <c r="P2584" s="84" t="str">
        <f>IF(AND('331-CT'!$E$7=TH!H2584,OR(N2584="331",O2584="331")),"x","")</f>
        <v/>
      </c>
      <c r="Q2584" s="84" t="str">
        <f>IF(AND(B2584='111'!$L$11,OR($N2584=$Q$7,$O2584=$Q$7)),"x","")</f>
        <v/>
      </c>
      <c r="R2584" s="84" t="str">
        <f>IF(AND($N2584=$Q$7,$B2584&lt;'111'!$L$11),"x","")</f>
        <v/>
      </c>
      <c r="S2584" s="84" t="str">
        <f>IF(AND($O2584=$Q$7,$B2584&lt;'111'!$L$11),"x","")</f>
        <v/>
      </c>
      <c r="T2584" s="84" t="str">
        <f>IF(ISERROR(FIND('112'!$M$9,G2584,1)),"",IF((AND(FIND('112'!$M$9,G2584,1)&gt;=1,B2584='112'!$K$9,OR($N2584='112'!$I$6,$O2584='112'!$I$6))),"x",""))</f>
        <v/>
      </c>
      <c r="U2584" s="84" t="str">
        <f>IF(ISERROR(FIND('112'!$M$9,G2584,1)),"",IF((AND(LEFT(G2584,2)=LEFT('112'!$M$9,2),B2584&lt;'112'!$K$9,$N2584='112'!$I$6)),"x",""))</f>
        <v/>
      </c>
      <c r="V2584" s="84" t="str">
        <f>IF(ISERROR(FIND('112'!$M$9,G2584,1)),"",IF((AND(RIGHT(G2584,2)=RIGHT('112'!$M$9,2),B2584&lt;'112'!$K$9,$O2584='112'!$I$6)),"x",""))</f>
        <v/>
      </c>
      <c r="W2584" s="84" t="str">
        <f>IF(AND('341-CT'!$H$9=H2584,OR(LEFT(N2584,3)=$W$7,LEFT(O2584,3)=$W$7)),"x","")</f>
        <v/>
      </c>
      <c r="X2584" s="84" t="str">
        <f>IF(OR(TH!N2584=TH!$X$7,O2584=TH!$X$7),"x","")</f>
        <v/>
      </c>
      <c r="Y2584" s="84" t="str">
        <f>IF(AND(OR(N2584="131",O2584="131"),H2584='131-CT'!$H$9),"x","")</f>
        <v/>
      </c>
      <c r="Z2584" s="84"/>
      <c r="AA2584" s="84" t="str">
        <f>IF(AND(MONTH(E2584)='IN-NX'!$J$5,'IN-NX'!$D$7=D2584),"x","")</f>
        <v/>
      </c>
      <c r="AB2584" s="84" t="str">
        <f>IF(AND(OR(LEFT(TH!N2584,2)="15",LEFT(TH!O2584,2)="15"),LEFT(TH!O2584,3)&lt;&gt;"111",'152-CT'!$J$8=TH!F2584),"x","")</f>
        <v/>
      </c>
      <c r="AC2584" s="84" t="str">
        <f>IF(AND(OR(LEFT(TH!N2584,2)="15",LEFT(TH!O2584,2)="15"),TK!$E$7=TH!F2584),"x","")</f>
        <v/>
      </c>
      <c r="AD2584" s="84" t="str">
        <f>IF(AND(N2584="1521",MONTH(C2584)='BK-NL'!$M$11),"x","")</f>
        <v/>
      </c>
    </row>
    <row r="2585" spans="1:30" s="351" customFormat="1" ht="15.75" hidden="1" customHeight="1">
      <c r="A2585" s="336" t="str">
        <f>IF(B2585&lt;&gt;"",IF(AND(B2585='IN-TC'!$S$4,OR(TH!N2585="1111",TH!O2585="1111")),TH!D2585,""),"")</f>
        <v/>
      </c>
      <c r="B2585" s="63" t="str">
        <f t="shared" si="297"/>
        <v/>
      </c>
      <c r="C2585" s="64"/>
      <c r="D2585" s="64"/>
      <c r="E2585" s="64"/>
      <c r="F2585" s="67"/>
      <c r="G2585" s="67"/>
      <c r="H2585" s="73"/>
      <c r="I2585" s="439"/>
      <c r="J2585" s="439"/>
      <c r="K2585" s="430"/>
      <c r="L2585" s="439"/>
      <c r="M2585" s="65"/>
      <c r="N2585" s="66"/>
      <c r="O2585" s="66"/>
      <c r="P2585" s="84" t="str">
        <f>IF(AND('331-CT'!$E$7=TH!H2585,OR(N2585="331",O2585="331")),"x","")</f>
        <v/>
      </c>
      <c r="Q2585" s="84" t="str">
        <f>IF(AND(B2585='111'!$L$11,OR($N2585=$Q$7,$O2585=$Q$7)),"x","")</f>
        <v/>
      </c>
      <c r="R2585" s="84" t="str">
        <f>IF(AND($N2585=$Q$7,$B2585&lt;'111'!$L$11),"x","")</f>
        <v/>
      </c>
      <c r="S2585" s="84" t="str">
        <f>IF(AND($O2585=$Q$7,$B2585&lt;'111'!$L$11),"x","")</f>
        <v/>
      </c>
      <c r="T2585" s="84" t="str">
        <f>IF(ISERROR(FIND('112'!$M$9,G2585,1)),"",IF((AND(FIND('112'!$M$9,G2585,1)&gt;=1,B2585='112'!$K$9,OR($N2585='112'!$I$6,$O2585='112'!$I$6))),"x",""))</f>
        <v/>
      </c>
      <c r="U2585" s="84" t="str">
        <f>IF(ISERROR(FIND('112'!$M$9,G2585,1)),"",IF((AND(LEFT(G2585,2)=LEFT('112'!$M$9,2),B2585&lt;'112'!$K$9,$N2585='112'!$I$6)),"x",""))</f>
        <v/>
      </c>
      <c r="V2585" s="84" t="str">
        <f>IF(ISERROR(FIND('112'!$M$9,G2585,1)),"",IF((AND(RIGHT(G2585,2)=RIGHT('112'!$M$9,2),B2585&lt;'112'!$K$9,$O2585='112'!$I$6)),"x",""))</f>
        <v/>
      </c>
      <c r="W2585" s="84" t="str">
        <f>IF(AND('341-CT'!$H$9=H2585,OR(LEFT(N2585,3)=$W$7,LEFT(O2585,3)=$W$7)),"x","")</f>
        <v/>
      </c>
      <c r="X2585" s="84" t="str">
        <f>IF(OR(TH!N2585=TH!$X$7,O2585=TH!$X$7),"x","")</f>
        <v/>
      </c>
      <c r="Y2585" s="84" t="str">
        <f>IF(AND(OR(N2585="131",O2585="131"),H2585='131-CT'!$H$9),"x","")</f>
        <v/>
      </c>
      <c r="Z2585" s="84"/>
      <c r="AA2585" s="84" t="str">
        <f>IF(AND(MONTH(E2585)='IN-NX'!$J$5,'IN-NX'!$D$7=D2585),"x","")</f>
        <v/>
      </c>
      <c r="AB2585" s="84" t="str">
        <f>IF(AND(OR(LEFT(TH!N2585,2)="15",LEFT(TH!O2585,2)="15"),LEFT(TH!O2585,3)&lt;&gt;"111",'152-CT'!$J$8=TH!F2585),"x","")</f>
        <v/>
      </c>
      <c r="AC2585" s="84" t="str">
        <f>IF(AND(OR(LEFT(TH!N2585,2)="15",LEFT(TH!O2585,2)="15"),TK!$E$7=TH!F2585),"x","")</f>
        <v/>
      </c>
      <c r="AD2585" s="84" t="str">
        <f>IF(AND(N2585="1521",MONTH(C2585)='BK-NL'!$M$11),"x","")</f>
        <v/>
      </c>
    </row>
    <row r="2586" spans="1:30" s="351" customFormat="1" ht="15.75" hidden="1" customHeight="1">
      <c r="A2586" s="336" t="str">
        <f>IF(B2586&lt;&gt;"",IF(AND(B2586='IN-TC'!$S$4,OR(TH!N2586="1111",TH!O2586="1111")),TH!D2586,""),"")</f>
        <v/>
      </c>
      <c r="B2586" s="63" t="str">
        <f t="shared" si="297"/>
        <v/>
      </c>
      <c r="C2586" s="64"/>
      <c r="D2586" s="64"/>
      <c r="E2586" s="64"/>
      <c r="F2586" s="67"/>
      <c r="G2586" s="67"/>
      <c r="H2586" s="73"/>
      <c r="I2586" s="439"/>
      <c r="J2586" s="439"/>
      <c r="K2586" s="430"/>
      <c r="L2586" s="439"/>
      <c r="M2586" s="65"/>
      <c r="N2586" s="66"/>
      <c r="O2586" s="66"/>
      <c r="P2586" s="84" t="str">
        <f>IF(AND('331-CT'!$E$7=TH!H2586,OR(N2586="331",O2586="331")),"x","")</f>
        <v/>
      </c>
      <c r="Q2586" s="84" t="str">
        <f>IF(AND(B2586='111'!$L$11,OR($N2586=$Q$7,$O2586=$Q$7)),"x","")</f>
        <v/>
      </c>
      <c r="R2586" s="84" t="str">
        <f>IF(AND($N2586=$Q$7,$B2586&lt;'111'!$L$11),"x","")</f>
        <v/>
      </c>
      <c r="S2586" s="84" t="str">
        <f>IF(AND($O2586=$Q$7,$B2586&lt;'111'!$L$11),"x","")</f>
        <v/>
      </c>
      <c r="T2586" s="84" t="str">
        <f>IF(ISERROR(FIND('112'!$M$9,G2586,1)),"",IF((AND(FIND('112'!$M$9,G2586,1)&gt;=1,B2586='112'!$K$9,OR($N2586='112'!$I$6,$O2586='112'!$I$6))),"x",""))</f>
        <v/>
      </c>
      <c r="U2586" s="84" t="str">
        <f>IF(ISERROR(FIND('112'!$M$9,G2586,1)),"",IF((AND(LEFT(G2586,2)=LEFT('112'!$M$9,2),B2586&lt;'112'!$K$9,$N2586='112'!$I$6)),"x",""))</f>
        <v/>
      </c>
      <c r="V2586" s="84" t="str">
        <f>IF(ISERROR(FIND('112'!$M$9,G2586,1)),"",IF((AND(RIGHT(G2586,2)=RIGHT('112'!$M$9,2),B2586&lt;'112'!$K$9,$O2586='112'!$I$6)),"x",""))</f>
        <v/>
      </c>
      <c r="W2586" s="84" t="str">
        <f>IF(AND('341-CT'!$H$9=H2586,OR(LEFT(N2586,3)=$W$7,LEFT(O2586,3)=$W$7)),"x","")</f>
        <v/>
      </c>
      <c r="X2586" s="84" t="str">
        <f>IF(OR(TH!N2586=TH!$X$7,O2586=TH!$X$7),"x","")</f>
        <v/>
      </c>
      <c r="Y2586" s="84" t="str">
        <f>IF(AND(OR(N2586="131",O2586="131"),H2586='131-CT'!$H$9),"x","")</f>
        <v/>
      </c>
      <c r="Z2586" s="84"/>
      <c r="AA2586" s="84" t="str">
        <f>IF(AND(MONTH(E2586)='IN-NX'!$J$5,'IN-NX'!$D$7=D2586),"x","")</f>
        <v/>
      </c>
      <c r="AB2586" s="84" t="str">
        <f>IF(AND(OR(LEFT(TH!N2586,2)="15",LEFT(TH!O2586,2)="15"),LEFT(TH!O2586,3)&lt;&gt;"111",'152-CT'!$J$8=TH!F2586),"x","")</f>
        <v/>
      </c>
      <c r="AC2586" s="84" t="str">
        <f>IF(AND(OR(LEFT(TH!N2586,2)="15",LEFT(TH!O2586,2)="15"),TK!$E$7=TH!F2586),"x","")</f>
        <v/>
      </c>
      <c r="AD2586" s="84" t="str">
        <f>IF(AND(N2586="1521",MONTH(C2586)='BK-NL'!$M$11),"x","")</f>
        <v/>
      </c>
    </row>
    <row r="2587" spans="1:30" s="351" customFormat="1" ht="15.75" hidden="1" customHeight="1">
      <c r="A2587" s="336" t="str">
        <f>IF(B2587&lt;&gt;"",IF(AND(B2587='IN-TC'!$S$4,OR(TH!N2587="1111",TH!O2587="1111")),TH!D2587,""),"")</f>
        <v/>
      </c>
      <c r="B2587" s="63" t="str">
        <f t="shared" si="297"/>
        <v/>
      </c>
      <c r="C2587" s="64"/>
      <c r="D2587" s="64"/>
      <c r="E2587" s="64"/>
      <c r="F2587" s="67"/>
      <c r="G2587" s="67"/>
      <c r="H2587" s="73"/>
      <c r="I2587" s="439"/>
      <c r="J2587" s="439"/>
      <c r="K2587" s="430"/>
      <c r="L2587" s="439"/>
      <c r="M2587" s="65"/>
      <c r="N2587" s="66"/>
      <c r="O2587" s="66"/>
      <c r="P2587" s="84" t="str">
        <f>IF(AND('331-CT'!$E$7=TH!H2587,OR(N2587="331",O2587="331")),"x","")</f>
        <v/>
      </c>
      <c r="Q2587" s="84" t="str">
        <f>IF(AND(B2587='111'!$L$11,OR($N2587=$Q$7,$O2587=$Q$7)),"x","")</f>
        <v/>
      </c>
      <c r="R2587" s="84" t="str">
        <f>IF(AND($N2587=$Q$7,$B2587&lt;'111'!$L$11),"x","")</f>
        <v/>
      </c>
      <c r="S2587" s="84" t="str">
        <f>IF(AND($O2587=$Q$7,$B2587&lt;'111'!$L$11),"x","")</f>
        <v/>
      </c>
      <c r="T2587" s="84" t="str">
        <f>IF(ISERROR(FIND('112'!$M$9,G2587,1)),"",IF((AND(FIND('112'!$M$9,G2587,1)&gt;=1,B2587='112'!$K$9,OR($N2587='112'!$I$6,$O2587='112'!$I$6))),"x",""))</f>
        <v/>
      </c>
      <c r="U2587" s="84" t="str">
        <f>IF(ISERROR(FIND('112'!$M$9,G2587,1)),"",IF((AND(LEFT(G2587,2)=LEFT('112'!$M$9,2),B2587&lt;'112'!$K$9,$N2587='112'!$I$6)),"x",""))</f>
        <v/>
      </c>
      <c r="V2587" s="84" t="str">
        <f>IF(ISERROR(FIND('112'!$M$9,G2587,1)),"",IF((AND(RIGHT(G2587,2)=RIGHT('112'!$M$9,2),B2587&lt;'112'!$K$9,$O2587='112'!$I$6)),"x",""))</f>
        <v/>
      </c>
      <c r="W2587" s="84" t="str">
        <f>IF(AND('341-CT'!$H$9=H2587,OR(LEFT(N2587,3)=$W$7,LEFT(O2587,3)=$W$7)),"x","")</f>
        <v/>
      </c>
      <c r="X2587" s="84" t="str">
        <f>IF(OR(TH!N2587=TH!$X$7,O2587=TH!$X$7),"x","")</f>
        <v/>
      </c>
      <c r="Y2587" s="84" t="str">
        <f>IF(AND(OR(N2587="131",O2587="131"),H2587='131-CT'!$H$9),"x","")</f>
        <v/>
      </c>
      <c r="Z2587" s="84"/>
      <c r="AA2587" s="84" t="str">
        <f>IF(AND(MONTH(E2587)='IN-NX'!$J$5,'IN-NX'!$D$7=D2587),"x","")</f>
        <v/>
      </c>
      <c r="AB2587" s="84" t="str">
        <f>IF(AND(OR(LEFT(TH!N2587,2)="15",LEFT(TH!O2587,2)="15"),LEFT(TH!O2587,3)&lt;&gt;"111",'152-CT'!$J$8=TH!F2587),"x","")</f>
        <v/>
      </c>
      <c r="AC2587" s="84" t="str">
        <f>IF(AND(OR(LEFT(TH!N2587,2)="15",LEFT(TH!O2587,2)="15"),TK!$E$7=TH!F2587),"x","")</f>
        <v/>
      </c>
      <c r="AD2587" s="84" t="str">
        <f>IF(AND(N2587="1521",MONTH(C2587)='BK-NL'!$M$11),"x","")</f>
        <v/>
      </c>
    </row>
    <row r="2588" spans="1:30" s="351" customFormat="1" ht="15.75" hidden="1" customHeight="1">
      <c r="A2588" s="336" t="str">
        <f>IF(B2588&lt;&gt;"",IF(AND(B2588='IN-TC'!$S$4,OR(TH!N2588="1111",TH!O2588="1111")),TH!D2588,""),"")</f>
        <v/>
      </c>
      <c r="B2588" s="63" t="str">
        <f t="shared" si="297"/>
        <v/>
      </c>
      <c r="C2588" s="64"/>
      <c r="D2588" s="64"/>
      <c r="E2588" s="64"/>
      <c r="F2588" s="67"/>
      <c r="G2588" s="67"/>
      <c r="H2588" s="73"/>
      <c r="I2588" s="439"/>
      <c r="J2588" s="439"/>
      <c r="K2588" s="430"/>
      <c r="L2588" s="439"/>
      <c r="M2588" s="65"/>
      <c r="N2588" s="66"/>
      <c r="O2588" s="66"/>
      <c r="P2588" s="84" t="str">
        <f>IF(AND('331-CT'!$E$7=TH!H2588,OR(N2588="331",O2588="331")),"x","")</f>
        <v/>
      </c>
      <c r="Q2588" s="84" t="str">
        <f>IF(AND(B2588='111'!$L$11,OR($N2588=$Q$7,$O2588=$Q$7)),"x","")</f>
        <v/>
      </c>
      <c r="R2588" s="84" t="str">
        <f>IF(AND($N2588=$Q$7,$B2588&lt;'111'!$L$11),"x","")</f>
        <v/>
      </c>
      <c r="S2588" s="84" t="str">
        <f>IF(AND($O2588=$Q$7,$B2588&lt;'111'!$L$11),"x","")</f>
        <v/>
      </c>
      <c r="T2588" s="84" t="str">
        <f>IF(ISERROR(FIND('112'!$M$9,G2588,1)),"",IF((AND(FIND('112'!$M$9,G2588,1)&gt;=1,B2588='112'!$K$9,OR($N2588='112'!$I$6,$O2588='112'!$I$6))),"x",""))</f>
        <v/>
      </c>
      <c r="U2588" s="84" t="str">
        <f>IF(ISERROR(FIND('112'!$M$9,G2588,1)),"",IF((AND(LEFT(G2588,2)=LEFT('112'!$M$9,2),B2588&lt;'112'!$K$9,$N2588='112'!$I$6)),"x",""))</f>
        <v/>
      </c>
      <c r="V2588" s="84" t="str">
        <f>IF(ISERROR(FIND('112'!$M$9,G2588,1)),"",IF((AND(RIGHT(G2588,2)=RIGHT('112'!$M$9,2),B2588&lt;'112'!$K$9,$O2588='112'!$I$6)),"x",""))</f>
        <v/>
      </c>
      <c r="W2588" s="84" t="str">
        <f>IF(AND('341-CT'!$H$9=H2588,OR(LEFT(N2588,3)=$W$7,LEFT(O2588,3)=$W$7)),"x","")</f>
        <v/>
      </c>
      <c r="X2588" s="84" t="str">
        <f>IF(OR(TH!N2588=TH!$X$7,O2588=TH!$X$7),"x","")</f>
        <v/>
      </c>
      <c r="Y2588" s="84" t="str">
        <f>IF(AND(OR(N2588="131",O2588="131"),H2588='131-CT'!$H$9),"x","")</f>
        <v/>
      </c>
      <c r="Z2588" s="84"/>
      <c r="AA2588" s="84" t="str">
        <f>IF(AND(MONTH(E2588)='IN-NX'!$J$5,'IN-NX'!$D$7=D2588),"x","")</f>
        <v/>
      </c>
      <c r="AB2588" s="84" t="str">
        <f>IF(AND(OR(LEFT(TH!N2588,2)="15",LEFT(TH!O2588,2)="15"),LEFT(TH!O2588,3)&lt;&gt;"111",'152-CT'!$J$8=TH!F2588),"x","")</f>
        <v/>
      </c>
      <c r="AC2588" s="84" t="str">
        <f>IF(AND(OR(LEFT(TH!N2588,2)="15",LEFT(TH!O2588,2)="15"),TK!$E$7=TH!F2588),"x","")</f>
        <v/>
      </c>
      <c r="AD2588" s="84" t="str">
        <f>IF(AND(N2588="1521",MONTH(C2588)='BK-NL'!$M$11),"x","")</f>
        <v/>
      </c>
    </row>
    <row r="2589" spans="1:30" s="351" customFormat="1" ht="15.75" hidden="1" customHeight="1">
      <c r="A2589" s="336" t="str">
        <f>IF(B2589&lt;&gt;"",IF(AND(B2589='IN-TC'!$S$4,OR(TH!N2589="1111",TH!O2589="1111")),TH!D2589,""),"")</f>
        <v/>
      </c>
      <c r="B2589" s="63" t="str">
        <f t="shared" si="297"/>
        <v/>
      </c>
      <c r="C2589" s="64"/>
      <c r="D2589" s="64"/>
      <c r="E2589" s="64"/>
      <c r="F2589" s="67"/>
      <c r="G2589" s="67"/>
      <c r="H2589" s="73"/>
      <c r="I2589" s="439"/>
      <c r="J2589" s="439"/>
      <c r="K2589" s="430"/>
      <c r="L2589" s="439"/>
      <c r="M2589" s="65"/>
      <c r="N2589" s="66"/>
      <c r="O2589" s="66"/>
      <c r="P2589" s="84" t="str">
        <f>IF(AND('331-CT'!$E$7=TH!H2589,OR(N2589="331",O2589="331")),"x","")</f>
        <v/>
      </c>
      <c r="Q2589" s="84" t="str">
        <f>IF(AND(B2589='111'!$L$11,OR($N2589=$Q$7,$O2589=$Q$7)),"x","")</f>
        <v/>
      </c>
      <c r="R2589" s="84" t="str">
        <f>IF(AND($N2589=$Q$7,$B2589&lt;'111'!$L$11),"x","")</f>
        <v/>
      </c>
      <c r="S2589" s="84" t="str">
        <f>IF(AND($O2589=$Q$7,$B2589&lt;'111'!$L$11),"x","")</f>
        <v/>
      </c>
      <c r="T2589" s="84" t="str">
        <f>IF(ISERROR(FIND('112'!$M$9,G2589,1)),"",IF((AND(FIND('112'!$M$9,G2589,1)&gt;=1,B2589='112'!$K$9,OR($N2589='112'!$I$6,$O2589='112'!$I$6))),"x",""))</f>
        <v/>
      </c>
      <c r="U2589" s="84" t="str">
        <f>IF(ISERROR(FIND('112'!$M$9,G2589,1)),"",IF((AND(LEFT(G2589,2)=LEFT('112'!$M$9,2),B2589&lt;'112'!$K$9,$N2589='112'!$I$6)),"x",""))</f>
        <v/>
      </c>
      <c r="V2589" s="84" t="str">
        <f>IF(ISERROR(FIND('112'!$M$9,G2589,1)),"",IF((AND(RIGHT(G2589,2)=RIGHT('112'!$M$9,2),B2589&lt;'112'!$K$9,$O2589='112'!$I$6)),"x",""))</f>
        <v/>
      </c>
      <c r="W2589" s="84" t="str">
        <f>IF(AND('341-CT'!$H$9=H2589,OR(LEFT(N2589,3)=$W$7,LEFT(O2589,3)=$W$7)),"x","")</f>
        <v/>
      </c>
      <c r="X2589" s="84" t="str">
        <f>IF(OR(TH!N2589=TH!$X$7,O2589=TH!$X$7),"x","")</f>
        <v/>
      </c>
      <c r="Y2589" s="84" t="str">
        <f>IF(AND(OR(N2589="131",O2589="131"),H2589='131-CT'!$H$9),"x","")</f>
        <v/>
      </c>
      <c r="Z2589" s="84"/>
      <c r="AA2589" s="84" t="str">
        <f>IF(AND(MONTH(E2589)='IN-NX'!$J$5,'IN-NX'!$D$7=D2589),"x","")</f>
        <v/>
      </c>
      <c r="AB2589" s="84" t="str">
        <f>IF(AND(OR(LEFT(TH!N2589,2)="15",LEFT(TH!O2589,2)="15"),LEFT(TH!O2589,3)&lt;&gt;"111",'152-CT'!$J$8=TH!F2589),"x","")</f>
        <v/>
      </c>
      <c r="AC2589" s="84" t="str">
        <f>IF(AND(OR(LEFT(TH!N2589,2)="15",LEFT(TH!O2589,2)="15"),TK!$E$7=TH!F2589),"x","")</f>
        <v/>
      </c>
      <c r="AD2589" s="84" t="str">
        <f>IF(AND(N2589="1521",MONTH(C2589)='BK-NL'!$M$11),"x","")</f>
        <v/>
      </c>
    </row>
    <row r="2590" spans="1:30" s="351" customFormat="1" ht="15.75" hidden="1" customHeight="1">
      <c r="A2590" s="336" t="str">
        <f>IF(B2590&lt;&gt;"",IF(AND(B2590='IN-TC'!$S$4,OR(TH!N2590="1111",TH!O2590="1111")),TH!D2590,""),"")</f>
        <v/>
      </c>
      <c r="B2590" s="63" t="str">
        <f t="shared" si="297"/>
        <v/>
      </c>
      <c r="C2590" s="64"/>
      <c r="D2590" s="64"/>
      <c r="E2590" s="64"/>
      <c r="F2590" s="67"/>
      <c r="G2590" s="67"/>
      <c r="H2590" s="73"/>
      <c r="I2590" s="439"/>
      <c r="J2590" s="439"/>
      <c r="K2590" s="430"/>
      <c r="L2590" s="439"/>
      <c r="M2590" s="65"/>
      <c r="N2590" s="66"/>
      <c r="O2590" s="66"/>
      <c r="P2590" s="84" t="str">
        <f>IF(AND('331-CT'!$E$7=TH!H2590,OR(N2590="331",O2590="331")),"x","")</f>
        <v/>
      </c>
      <c r="Q2590" s="84" t="str">
        <f>IF(AND(B2590='111'!$L$11,OR($N2590=$Q$7,$O2590=$Q$7)),"x","")</f>
        <v/>
      </c>
      <c r="R2590" s="84" t="str">
        <f>IF(AND($N2590=$Q$7,$B2590&lt;'111'!$L$11),"x","")</f>
        <v/>
      </c>
      <c r="S2590" s="84" t="str">
        <f>IF(AND($O2590=$Q$7,$B2590&lt;'111'!$L$11),"x","")</f>
        <v/>
      </c>
      <c r="T2590" s="84" t="str">
        <f>IF(ISERROR(FIND('112'!$M$9,G2590,1)),"",IF((AND(FIND('112'!$M$9,G2590,1)&gt;=1,B2590='112'!$K$9,OR($N2590='112'!$I$6,$O2590='112'!$I$6))),"x",""))</f>
        <v/>
      </c>
      <c r="U2590" s="84" t="str">
        <f>IF(ISERROR(FIND('112'!$M$9,G2590,1)),"",IF((AND(LEFT(G2590,2)=LEFT('112'!$M$9,2),B2590&lt;'112'!$K$9,$N2590='112'!$I$6)),"x",""))</f>
        <v/>
      </c>
      <c r="V2590" s="84" t="str">
        <f>IF(ISERROR(FIND('112'!$M$9,G2590,1)),"",IF((AND(RIGHT(G2590,2)=RIGHT('112'!$M$9,2),B2590&lt;'112'!$K$9,$O2590='112'!$I$6)),"x",""))</f>
        <v/>
      </c>
      <c r="W2590" s="84" t="str">
        <f>IF(AND('341-CT'!$H$9=H2590,OR(LEFT(N2590,3)=$W$7,LEFT(O2590,3)=$W$7)),"x","")</f>
        <v/>
      </c>
      <c r="X2590" s="84" t="str">
        <f>IF(OR(TH!N2590=TH!$X$7,O2590=TH!$X$7),"x","")</f>
        <v/>
      </c>
      <c r="Y2590" s="84" t="str">
        <f>IF(AND(OR(N2590="131",O2590="131"),H2590='131-CT'!$H$9),"x","")</f>
        <v/>
      </c>
      <c r="Z2590" s="84"/>
      <c r="AA2590" s="84" t="str">
        <f>IF(AND(MONTH(E2590)='IN-NX'!$J$5,'IN-NX'!$D$7=D2590),"x","")</f>
        <v/>
      </c>
      <c r="AB2590" s="84" t="str">
        <f>IF(AND(OR(LEFT(TH!N2590,2)="15",LEFT(TH!O2590,2)="15"),LEFT(TH!O2590,3)&lt;&gt;"111",'152-CT'!$J$8=TH!F2590),"x","")</f>
        <v/>
      </c>
      <c r="AC2590" s="84" t="str">
        <f>IF(AND(OR(LEFT(TH!N2590,2)="15",LEFT(TH!O2590,2)="15"),TK!$E$7=TH!F2590),"x","")</f>
        <v/>
      </c>
      <c r="AD2590" s="84" t="str">
        <f>IF(AND(N2590="1521",MONTH(C2590)='BK-NL'!$M$11),"x","")</f>
        <v/>
      </c>
    </row>
    <row r="2591" spans="1:30" s="351" customFormat="1" ht="15.75" hidden="1" customHeight="1">
      <c r="A2591" s="336" t="str">
        <f>IF(B2591&lt;&gt;"",IF(AND(B2591='IN-TC'!$S$4,OR(TH!N2591="1111",TH!O2591="1111")),TH!D2591,""),"")</f>
        <v/>
      </c>
      <c r="B2591" s="63" t="str">
        <f t="shared" si="297"/>
        <v/>
      </c>
      <c r="C2591" s="64"/>
      <c r="D2591" s="64"/>
      <c r="E2591" s="64"/>
      <c r="F2591" s="67"/>
      <c r="G2591" s="67"/>
      <c r="H2591" s="73"/>
      <c r="I2591" s="439"/>
      <c r="J2591" s="439"/>
      <c r="K2591" s="430"/>
      <c r="L2591" s="439"/>
      <c r="M2591" s="65"/>
      <c r="N2591" s="66"/>
      <c r="O2591" s="66"/>
      <c r="P2591" s="84" t="str">
        <f>IF(AND('331-CT'!$E$7=TH!H2591,OR(N2591="331",O2591="331")),"x","")</f>
        <v/>
      </c>
      <c r="Q2591" s="84" t="str">
        <f>IF(AND(B2591='111'!$L$11,OR($N2591=$Q$7,$O2591=$Q$7)),"x","")</f>
        <v/>
      </c>
      <c r="R2591" s="84" t="str">
        <f>IF(AND($N2591=$Q$7,$B2591&lt;'111'!$L$11),"x","")</f>
        <v/>
      </c>
      <c r="S2591" s="84" t="str">
        <f>IF(AND($O2591=$Q$7,$B2591&lt;'111'!$L$11),"x","")</f>
        <v/>
      </c>
      <c r="T2591" s="84" t="str">
        <f>IF(ISERROR(FIND('112'!$M$9,G2591,1)),"",IF((AND(FIND('112'!$M$9,G2591,1)&gt;=1,B2591='112'!$K$9,OR($N2591='112'!$I$6,$O2591='112'!$I$6))),"x",""))</f>
        <v/>
      </c>
      <c r="U2591" s="84" t="str">
        <f>IF(ISERROR(FIND('112'!$M$9,G2591,1)),"",IF((AND(LEFT(G2591,2)=LEFT('112'!$M$9,2),B2591&lt;'112'!$K$9,$N2591='112'!$I$6)),"x",""))</f>
        <v/>
      </c>
      <c r="V2591" s="84" t="str">
        <f>IF(ISERROR(FIND('112'!$M$9,G2591,1)),"",IF((AND(RIGHT(G2591,2)=RIGHT('112'!$M$9,2),B2591&lt;'112'!$K$9,$O2591='112'!$I$6)),"x",""))</f>
        <v/>
      </c>
      <c r="W2591" s="84" t="str">
        <f>IF(AND('341-CT'!$H$9=H2591,OR(LEFT(N2591,3)=$W$7,LEFT(O2591,3)=$W$7)),"x","")</f>
        <v/>
      </c>
      <c r="X2591" s="84" t="str">
        <f>IF(OR(TH!N2591=TH!$X$7,O2591=TH!$X$7),"x","")</f>
        <v/>
      </c>
      <c r="Y2591" s="84" t="str">
        <f>IF(AND(OR(N2591="131",O2591="131"),H2591='131-CT'!$H$9),"x","")</f>
        <v/>
      </c>
      <c r="Z2591" s="84"/>
      <c r="AA2591" s="84" t="str">
        <f>IF(AND(MONTH(E2591)='IN-NX'!$J$5,'IN-NX'!$D$7=D2591),"x","")</f>
        <v/>
      </c>
      <c r="AB2591" s="84" t="str">
        <f>IF(AND(OR(LEFT(TH!N2591,2)="15",LEFT(TH!O2591,2)="15"),LEFT(TH!O2591,3)&lt;&gt;"111",'152-CT'!$J$8=TH!F2591),"x","")</f>
        <v/>
      </c>
      <c r="AC2591" s="84" t="str">
        <f>IF(AND(OR(LEFT(TH!N2591,2)="15",LEFT(TH!O2591,2)="15"),TK!$E$7=TH!F2591),"x","")</f>
        <v/>
      </c>
      <c r="AD2591" s="84" t="str">
        <f>IF(AND(N2591="1521",MONTH(C2591)='BK-NL'!$M$11),"x","")</f>
        <v/>
      </c>
    </row>
    <row r="2592" spans="1:30" s="351" customFormat="1" ht="15.75" hidden="1" customHeight="1">
      <c r="A2592" s="336" t="str">
        <f>IF(B2592&lt;&gt;"",IF(AND(B2592='IN-TC'!$S$4,OR(TH!N2592="1111",TH!O2592="1111")),TH!D2592,""),"")</f>
        <v/>
      </c>
      <c r="B2592" s="63" t="str">
        <f t="shared" si="297"/>
        <v/>
      </c>
      <c r="C2592" s="64"/>
      <c r="D2592" s="64"/>
      <c r="E2592" s="64"/>
      <c r="F2592" s="67"/>
      <c r="G2592" s="67"/>
      <c r="H2592" s="73"/>
      <c r="I2592" s="439"/>
      <c r="J2592" s="439"/>
      <c r="K2592" s="430"/>
      <c r="L2592" s="439"/>
      <c r="M2592" s="65"/>
      <c r="N2592" s="66"/>
      <c r="O2592" s="66"/>
      <c r="P2592" s="84" t="str">
        <f>IF(AND('331-CT'!$E$7=TH!H2592,OR(N2592="331",O2592="331")),"x","")</f>
        <v/>
      </c>
      <c r="Q2592" s="84" t="str">
        <f>IF(AND(B2592='111'!$L$11,OR($N2592=$Q$7,$O2592=$Q$7)),"x","")</f>
        <v/>
      </c>
      <c r="R2592" s="84" t="str">
        <f>IF(AND($N2592=$Q$7,$B2592&lt;'111'!$L$11),"x","")</f>
        <v/>
      </c>
      <c r="S2592" s="84" t="str">
        <f>IF(AND($O2592=$Q$7,$B2592&lt;'111'!$L$11),"x","")</f>
        <v/>
      </c>
      <c r="T2592" s="84" t="str">
        <f>IF(ISERROR(FIND('112'!$M$9,G2592,1)),"",IF((AND(FIND('112'!$M$9,G2592,1)&gt;=1,B2592='112'!$K$9,OR($N2592='112'!$I$6,$O2592='112'!$I$6))),"x",""))</f>
        <v/>
      </c>
      <c r="U2592" s="84" t="str">
        <f>IF(ISERROR(FIND('112'!$M$9,G2592,1)),"",IF((AND(LEFT(G2592,2)=LEFT('112'!$M$9,2),B2592&lt;'112'!$K$9,$N2592='112'!$I$6)),"x",""))</f>
        <v/>
      </c>
      <c r="V2592" s="84" t="str">
        <f>IF(ISERROR(FIND('112'!$M$9,G2592,1)),"",IF((AND(RIGHT(G2592,2)=RIGHT('112'!$M$9,2),B2592&lt;'112'!$K$9,$O2592='112'!$I$6)),"x",""))</f>
        <v/>
      </c>
      <c r="W2592" s="84" t="str">
        <f>IF(AND('341-CT'!$H$9=H2592,OR(LEFT(N2592,3)=$W$7,LEFT(O2592,3)=$W$7)),"x","")</f>
        <v/>
      </c>
      <c r="X2592" s="84" t="str">
        <f>IF(OR(TH!N2592=TH!$X$7,O2592=TH!$X$7),"x","")</f>
        <v/>
      </c>
      <c r="Y2592" s="84" t="str">
        <f>IF(AND(OR(N2592="131",O2592="131"),H2592='131-CT'!$H$9),"x","")</f>
        <v/>
      </c>
      <c r="Z2592" s="84"/>
      <c r="AA2592" s="84" t="str">
        <f>IF(AND(MONTH(E2592)='IN-NX'!$J$5,'IN-NX'!$D$7=D2592),"x","")</f>
        <v/>
      </c>
      <c r="AB2592" s="84" t="str">
        <f>IF(AND(OR(LEFT(TH!N2592,2)="15",LEFT(TH!O2592,2)="15"),LEFT(TH!O2592,3)&lt;&gt;"111",'152-CT'!$J$8=TH!F2592),"x","")</f>
        <v/>
      </c>
      <c r="AC2592" s="84" t="str">
        <f>IF(AND(OR(LEFT(TH!N2592,2)="15",LEFT(TH!O2592,2)="15"),TK!$E$7=TH!F2592),"x","")</f>
        <v/>
      </c>
      <c r="AD2592" s="84" t="str">
        <f>IF(AND(N2592="1521",MONTH(C2592)='BK-NL'!$M$11),"x","")</f>
        <v/>
      </c>
    </row>
    <row r="2593" spans="1:30" s="351" customFormat="1" ht="15.75" hidden="1" customHeight="1">
      <c r="A2593" s="336" t="str">
        <f>IF(B2593&lt;&gt;"",IF(AND(B2593='IN-TC'!$S$4,OR(TH!N2593="1111",TH!O2593="1111")),TH!D2593,""),"")</f>
        <v/>
      </c>
      <c r="B2593" s="63" t="str">
        <f t="shared" si="297"/>
        <v/>
      </c>
      <c r="C2593" s="64"/>
      <c r="D2593" s="64"/>
      <c r="E2593" s="64"/>
      <c r="F2593" s="67"/>
      <c r="G2593" s="67"/>
      <c r="H2593" s="73"/>
      <c r="I2593" s="439"/>
      <c r="J2593" s="439"/>
      <c r="K2593" s="430"/>
      <c r="L2593" s="439"/>
      <c r="M2593" s="65"/>
      <c r="N2593" s="66"/>
      <c r="O2593" s="66"/>
      <c r="P2593" s="84" t="str">
        <f>IF(AND('331-CT'!$E$7=TH!H2593,OR(N2593="331",O2593="331")),"x","")</f>
        <v/>
      </c>
      <c r="Q2593" s="84" t="str">
        <f>IF(AND(B2593='111'!$L$11,OR($N2593=$Q$7,$O2593=$Q$7)),"x","")</f>
        <v/>
      </c>
      <c r="R2593" s="84" t="str">
        <f>IF(AND($N2593=$Q$7,$B2593&lt;'111'!$L$11),"x","")</f>
        <v/>
      </c>
      <c r="S2593" s="84" t="str">
        <f>IF(AND($O2593=$Q$7,$B2593&lt;'111'!$L$11),"x","")</f>
        <v/>
      </c>
      <c r="T2593" s="84" t="str">
        <f>IF(ISERROR(FIND('112'!$M$9,G2593,1)),"",IF((AND(FIND('112'!$M$9,G2593,1)&gt;=1,B2593='112'!$K$9,OR($N2593='112'!$I$6,$O2593='112'!$I$6))),"x",""))</f>
        <v/>
      </c>
      <c r="U2593" s="84" t="str">
        <f>IF(ISERROR(FIND('112'!$M$9,G2593,1)),"",IF((AND(LEFT(G2593,2)=LEFT('112'!$M$9,2),B2593&lt;'112'!$K$9,$N2593='112'!$I$6)),"x",""))</f>
        <v/>
      </c>
      <c r="V2593" s="84" t="str">
        <f>IF(ISERROR(FIND('112'!$M$9,G2593,1)),"",IF((AND(RIGHT(G2593,2)=RIGHT('112'!$M$9,2),B2593&lt;'112'!$K$9,$O2593='112'!$I$6)),"x",""))</f>
        <v/>
      </c>
      <c r="W2593" s="84" t="str">
        <f>IF(AND('341-CT'!$H$9=H2593,OR(LEFT(N2593,3)=$W$7,LEFT(O2593,3)=$W$7)),"x","")</f>
        <v/>
      </c>
      <c r="X2593" s="84" t="str">
        <f>IF(OR(TH!N2593=TH!$X$7,O2593=TH!$X$7),"x","")</f>
        <v/>
      </c>
      <c r="Y2593" s="84" t="str">
        <f>IF(AND(OR(N2593="131",O2593="131"),H2593='131-CT'!$H$9),"x","")</f>
        <v/>
      </c>
      <c r="Z2593" s="84"/>
      <c r="AA2593" s="84" t="str">
        <f>IF(AND(MONTH(E2593)='IN-NX'!$J$5,'IN-NX'!$D$7=D2593),"x","")</f>
        <v/>
      </c>
      <c r="AB2593" s="84" t="str">
        <f>IF(AND(OR(LEFT(TH!N2593,2)="15",LEFT(TH!O2593,2)="15"),LEFT(TH!O2593,3)&lt;&gt;"111",'152-CT'!$J$8=TH!F2593),"x","")</f>
        <v/>
      </c>
      <c r="AC2593" s="84" t="str">
        <f>IF(AND(OR(LEFT(TH!N2593,2)="15",LEFT(TH!O2593,2)="15"),TK!$E$7=TH!F2593),"x","")</f>
        <v/>
      </c>
      <c r="AD2593" s="84" t="str">
        <f>IF(AND(N2593="1521",MONTH(C2593)='BK-NL'!$M$11),"x","")</f>
        <v/>
      </c>
    </row>
    <row r="2594" spans="1:30" s="351" customFormat="1" ht="15.75" hidden="1" customHeight="1">
      <c r="A2594" s="336" t="str">
        <f>IF(B2594&lt;&gt;"",IF(AND(B2594='IN-TC'!$S$4,OR(TH!N2594="1111",TH!O2594="1111")),TH!D2594,""),"")</f>
        <v/>
      </c>
      <c r="B2594" s="63" t="str">
        <f t="shared" si="297"/>
        <v/>
      </c>
      <c r="C2594" s="64"/>
      <c r="D2594" s="64"/>
      <c r="E2594" s="64"/>
      <c r="F2594" s="67"/>
      <c r="G2594" s="67"/>
      <c r="H2594" s="73"/>
      <c r="I2594" s="439"/>
      <c r="J2594" s="439"/>
      <c r="K2594" s="430"/>
      <c r="L2594" s="439"/>
      <c r="M2594" s="65"/>
      <c r="N2594" s="66"/>
      <c r="O2594" s="66"/>
      <c r="P2594" s="84" t="str">
        <f>IF(AND('331-CT'!$E$7=TH!H2594,OR(N2594="331",O2594="331")),"x","")</f>
        <v/>
      </c>
      <c r="Q2594" s="84" t="str">
        <f>IF(AND(B2594='111'!$L$11,OR($N2594=$Q$7,$O2594=$Q$7)),"x","")</f>
        <v/>
      </c>
      <c r="R2594" s="84" t="str">
        <f>IF(AND($N2594=$Q$7,$B2594&lt;'111'!$L$11),"x","")</f>
        <v/>
      </c>
      <c r="S2594" s="84" t="str">
        <f>IF(AND($O2594=$Q$7,$B2594&lt;'111'!$L$11),"x","")</f>
        <v/>
      </c>
      <c r="T2594" s="84" t="str">
        <f>IF(ISERROR(FIND('112'!$M$9,G2594,1)),"",IF((AND(FIND('112'!$M$9,G2594,1)&gt;=1,B2594='112'!$K$9,OR($N2594='112'!$I$6,$O2594='112'!$I$6))),"x",""))</f>
        <v/>
      </c>
      <c r="U2594" s="84" t="str">
        <f>IF(ISERROR(FIND('112'!$M$9,G2594,1)),"",IF((AND(LEFT(G2594,2)=LEFT('112'!$M$9,2),B2594&lt;'112'!$K$9,$N2594='112'!$I$6)),"x",""))</f>
        <v/>
      </c>
      <c r="V2594" s="84" t="str">
        <f>IF(ISERROR(FIND('112'!$M$9,G2594,1)),"",IF((AND(RIGHT(G2594,2)=RIGHT('112'!$M$9,2),B2594&lt;'112'!$K$9,$O2594='112'!$I$6)),"x",""))</f>
        <v/>
      </c>
      <c r="W2594" s="84" t="str">
        <f>IF(AND('341-CT'!$H$9=H2594,OR(LEFT(N2594,3)=$W$7,LEFT(O2594,3)=$W$7)),"x","")</f>
        <v/>
      </c>
      <c r="X2594" s="84" t="str">
        <f>IF(OR(TH!N2594=TH!$X$7,O2594=TH!$X$7),"x","")</f>
        <v/>
      </c>
      <c r="Y2594" s="84" t="str">
        <f>IF(AND(OR(N2594="131",O2594="131"),H2594='131-CT'!$H$9),"x","")</f>
        <v/>
      </c>
      <c r="Z2594" s="84"/>
      <c r="AA2594" s="84" t="str">
        <f>IF(AND(MONTH(E2594)='IN-NX'!$J$5,'IN-NX'!$D$7=D2594),"x","")</f>
        <v/>
      </c>
      <c r="AB2594" s="84" t="str">
        <f>IF(AND(OR(LEFT(TH!N2594,2)="15",LEFT(TH!O2594,2)="15"),LEFT(TH!O2594,3)&lt;&gt;"111",'152-CT'!$J$8=TH!F2594),"x","")</f>
        <v/>
      </c>
      <c r="AC2594" s="84" t="str">
        <f>IF(AND(OR(LEFT(TH!N2594,2)="15",LEFT(TH!O2594,2)="15"),TK!$E$7=TH!F2594),"x","")</f>
        <v/>
      </c>
      <c r="AD2594" s="84" t="str">
        <f>IF(AND(N2594="1521",MONTH(C2594)='BK-NL'!$M$11),"x","")</f>
        <v/>
      </c>
    </row>
    <row r="2595" spans="1:30" s="351" customFormat="1" ht="15.75" hidden="1" customHeight="1">
      <c r="A2595" s="336" t="str">
        <f>IF(B2595&lt;&gt;"",IF(AND(B2595='IN-TC'!$S$4,OR(TH!N2595="1111",TH!O2595="1111")),TH!D2595,""),"")</f>
        <v/>
      </c>
      <c r="B2595" s="63" t="str">
        <f t="shared" si="297"/>
        <v/>
      </c>
      <c r="C2595" s="64"/>
      <c r="D2595" s="64"/>
      <c r="E2595" s="64"/>
      <c r="F2595" s="67"/>
      <c r="G2595" s="67"/>
      <c r="H2595" s="73"/>
      <c r="I2595" s="439"/>
      <c r="J2595" s="439"/>
      <c r="K2595" s="430"/>
      <c r="L2595" s="439"/>
      <c r="M2595" s="65"/>
      <c r="N2595" s="66"/>
      <c r="O2595" s="66"/>
      <c r="P2595" s="84" t="str">
        <f>IF(AND('331-CT'!$E$7=TH!H2595,OR(N2595="331",O2595="331")),"x","")</f>
        <v/>
      </c>
      <c r="Q2595" s="84" t="str">
        <f>IF(AND(B2595='111'!$L$11,OR($N2595=$Q$7,$O2595=$Q$7)),"x","")</f>
        <v/>
      </c>
      <c r="R2595" s="84" t="str">
        <f>IF(AND($N2595=$Q$7,$B2595&lt;'111'!$L$11),"x","")</f>
        <v/>
      </c>
      <c r="S2595" s="84" t="str">
        <f>IF(AND($O2595=$Q$7,$B2595&lt;'111'!$L$11),"x","")</f>
        <v/>
      </c>
      <c r="T2595" s="84" t="str">
        <f>IF(ISERROR(FIND('112'!$M$9,G2595,1)),"",IF((AND(FIND('112'!$M$9,G2595,1)&gt;=1,B2595='112'!$K$9,OR($N2595='112'!$I$6,$O2595='112'!$I$6))),"x",""))</f>
        <v/>
      </c>
      <c r="U2595" s="84" t="str">
        <f>IF(ISERROR(FIND('112'!$M$9,G2595,1)),"",IF((AND(LEFT(G2595,2)=LEFT('112'!$M$9,2),B2595&lt;'112'!$K$9,$N2595='112'!$I$6)),"x",""))</f>
        <v/>
      </c>
      <c r="V2595" s="84" t="str">
        <f>IF(ISERROR(FIND('112'!$M$9,G2595,1)),"",IF((AND(RIGHT(G2595,2)=RIGHT('112'!$M$9,2),B2595&lt;'112'!$K$9,$O2595='112'!$I$6)),"x",""))</f>
        <v/>
      </c>
      <c r="W2595" s="84" t="str">
        <f>IF(AND('341-CT'!$H$9=H2595,OR(LEFT(N2595,3)=$W$7,LEFT(O2595,3)=$W$7)),"x","")</f>
        <v/>
      </c>
      <c r="X2595" s="84" t="str">
        <f>IF(OR(TH!N2595=TH!$X$7,O2595=TH!$X$7),"x","")</f>
        <v/>
      </c>
      <c r="Y2595" s="84" t="str">
        <f>IF(AND(OR(N2595="131",O2595="131"),H2595='131-CT'!$H$9),"x","")</f>
        <v/>
      </c>
      <c r="Z2595" s="84"/>
      <c r="AA2595" s="84" t="str">
        <f>IF(AND(MONTH(E2595)='IN-NX'!$J$5,'IN-NX'!$D$7=D2595),"x","")</f>
        <v/>
      </c>
      <c r="AB2595" s="84" t="str">
        <f>IF(AND(OR(LEFT(TH!N2595,2)="15",LEFT(TH!O2595,2)="15"),LEFT(TH!O2595,3)&lt;&gt;"111",'152-CT'!$J$8=TH!F2595),"x","")</f>
        <v/>
      </c>
      <c r="AC2595" s="84" t="str">
        <f>IF(AND(OR(LEFT(TH!N2595,2)="15",LEFT(TH!O2595,2)="15"),TK!$E$7=TH!F2595),"x","")</f>
        <v/>
      </c>
      <c r="AD2595" s="84" t="str">
        <f>IF(AND(N2595="1521",MONTH(C2595)='BK-NL'!$M$11),"x","")</f>
        <v/>
      </c>
    </row>
    <row r="2596" spans="1:30" s="351" customFormat="1" ht="15.75" hidden="1" customHeight="1">
      <c r="A2596" s="336" t="str">
        <f>IF(B2596&lt;&gt;"",IF(AND(B2596='IN-TC'!$S$4,OR(TH!N2596="1111",TH!O2596="1111")),TH!D2596,""),"")</f>
        <v/>
      </c>
      <c r="B2596" s="63" t="str">
        <f t="shared" si="297"/>
        <v/>
      </c>
      <c r="C2596" s="64"/>
      <c r="D2596" s="64"/>
      <c r="E2596" s="64"/>
      <c r="F2596" s="67"/>
      <c r="G2596" s="67"/>
      <c r="H2596" s="73"/>
      <c r="I2596" s="439"/>
      <c r="J2596" s="439"/>
      <c r="K2596" s="430"/>
      <c r="L2596" s="439"/>
      <c r="M2596" s="65"/>
      <c r="N2596" s="66"/>
      <c r="O2596" s="66"/>
      <c r="P2596" s="84" t="str">
        <f>IF(AND('331-CT'!$E$7=TH!H2596,OR(N2596="331",O2596="331")),"x","")</f>
        <v/>
      </c>
      <c r="Q2596" s="84" t="str">
        <f>IF(AND(B2596='111'!$L$11,OR($N2596=$Q$7,$O2596=$Q$7)),"x","")</f>
        <v/>
      </c>
      <c r="R2596" s="84" t="str">
        <f>IF(AND($N2596=$Q$7,$B2596&lt;'111'!$L$11),"x","")</f>
        <v/>
      </c>
      <c r="S2596" s="84" t="str">
        <f>IF(AND($O2596=$Q$7,$B2596&lt;'111'!$L$11),"x","")</f>
        <v/>
      </c>
      <c r="T2596" s="84" t="str">
        <f>IF(ISERROR(FIND('112'!$M$9,G2596,1)),"",IF((AND(FIND('112'!$M$9,G2596,1)&gt;=1,B2596='112'!$K$9,OR($N2596='112'!$I$6,$O2596='112'!$I$6))),"x",""))</f>
        <v/>
      </c>
      <c r="U2596" s="84" t="str">
        <f>IF(ISERROR(FIND('112'!$M$9,G2596,1)),"",IF((AND(LEFT(G2596,2)=LEFT('112'!$M$9,2),B2596&lt;'112'!$K$9,$N2596='112'!$I$6)),"x",""))</f>
        <v/>
      </c>
      <c r="V2596" s="84" t="str">
        <f>IF(ISERROR(FIND('112'!$M$9,G2596,1)),"",IF((AND(RIGHT(G2596,2)=RIGHT('112'!$M$9,2),B2596&lt;'112'!$K$9,$O2596='112'!$I$6)),"x",""))</f>
        <v/>
      </c>
      <c r="W2596" s="84" t="str">
        <f>IF(AND('341-CT'!$H$9=H2596,OR(LEFT(N2596,3)=$W$7,LEFT(O2596,3)=$W$7)),"x","")</f>
        <v/>
      </c>
      <c r="X2596" s="84" t="str">
        <f>IF(OR(TH!N2596=TH!$X$7,O2596=TH!$X$7),"x","")</f>
        <v/>
      </c>
      <c r="Y2596" s="84" t="str">
        <f>IF(AND(OR(N2596="131",O2596="131"),H2596='131-CT'!$H$9),"x","")</f>
        <v/>
      </c>
      <c r="Z2596" s="84"/>
      <c r="AA2596" s="84" t="str">
        <f>IF(AND(MONTH(E2596)='IN-NX'!$J$5,'IN-NX'!$D$7=D2596),"x","")</f>
        <v/>
      </c>
      <c r="AB2596" s="84" t="str">
        <f>IF(AND(OR(LEFT(TH!N2596,2)="15",LEFT(TH!O2596,2)="15"),LEFT(TH!O2596,3)&lt;&gt;"111",'152-CT'!$J$8=TH!F2596),"x","")</f>
        <v/>
      </c>
      <c r="AC2596" s="84" t="str">
        <f>IF(AND(OR(LEFT(TH!N2596,2)="15",LEFT(TH!O2596,2)="15"),TK!$E$7=TH!F2596),"x","")</f>
        <v/>
      </c>
      <c r="AD2596" s="84" t="str">
        <f>IF(AND(N2596="1521",MONTH(C2596)='BK-NL'!$M$11),"x","")</f>
        <v/>
      </c>
    </row>
    <row r="2597" spans="1:30" s="351" customFormat="1" ht="15.75" hidden="1" customHeight="1">
      <c r="A2597" s="336" t="str">
        <f>IF(B2597&lt;&gt;"",IF(AND(B2597='IN-TC'!$S$4,OR(TH!N2597="1111",TH!O2597="1111")),TH!D2597,""),"")</f>
        <v/>
      </c>
      <c r="B2597" s="63" t="str">
        <f t="shared" si="297"/>
        <v/>
      </c>
      <c r="C2597" s="64"/>
      <c r="D2597" s="64"/>
      <c r="E2597" s="64"/>
      <c r="F2597" s="67"/>
      <c r="G2597" s="67"/>
      <c r="H2597" s="73"/>
      <c r="I2597" s="439"/>
      <c r="J2597" s="439"/>
      <c r="K2597" s="430"/>
      <c r="L2597" s="439"/>
      <c r="M2597" s="65"/>
      <c r="N2597" s="66"/>
      <c r="O2597" s="66"/>
      <c r="P2597" s="84" t="str">
        <f>IF(AND('331-CT'!$E$7=TH!H2597,OR(N2597="331",O2597="331")),"x","")</f>
        <v/>
      </c>
      <c r="Q2597" s="84" t="str">
        <f>IF(AND(B2597='111'!$L$11,OR($N2597=$Q$7,$O2597=$Q$7)),"x","")</f>
        <v/>
      </c>
      <c r="R2597" s="84" t="str">
        <f>IF(AND($N2597=$Q$7,$B2597&lt;'111'!$L$11),"x","")</f>
        <v/>
      </c>
      <c r="S2597" s="84" t="str">
        <f>IF(AND($O2597=$Q$7,$B2597&lt;'111'!$L$11),"x","")</f>
        <v/>
      </c>
      <c r="T2597" s="84" t="str">
        <f>IF(ISERROR(FIND('112'!$M$9,G2597,1)),"",IF((AND(FIND('112'!$M$9,G2597,1)&gt;=1,B2597='112'!$K$9,OR($N2597='112'!$I$6,$O2597='112'!$I$6))),"x",""))</f>
        <v/>
      </c>
      <c r="U2597" s="84" t="str">
        <f>IF(ISERROR(FIND('112'!$M$9,G2597,1)),"",IF((AND(LEFT(G2597,2)=LEFT('112'!$M$9,2),B2597&lt;'112'!$K$9,$N2597='112'!$I$6)),"x",""))</f>
        <v/>
      </c>
      <c r="V2597" s="84" t="str">
        <f>IF(ISERROR(FIND('112'!$M$9,G2597,1)),"",IF((AND(RIGHT(G2597,2)=RIGHT('112'!$M$9,2),B2597&lt;'112'!$K$9,$O2597='112'!$I$6)),"x",""))</f>
        <v/>
      </c>
      <c r="W2597" s="84" t="str">
        <f>IF(AND('341-CT'!$H$9=H2597,OR(LEFT(N2597,3)=$W$7,LEFT(O2597,3)=$W$7)),"x","")</f>
        <v/>
      </c>
      <c r="X2597" s="84" t="str">
        <f>IF(OR(TH!N2597=TH!$X$7,O2597=TH!$X$7),"x","")</f>
        <v/>
      </c>
      <c r="Y2597" s="84" t="str">
        <f>IF(AND(OR(N2597="131",O2597="131"),H2597='131-CT'!$H$9),"x","")</f>
        <v/>
      </c>
      <c r="Z2597" s="84"/>
      <c r="AA2597" s="84" t="str">
        <f>IF(AND(MONTH(E2597)='IN-NX'!$J$5,'IN-NX'!$D$7=D2597),"x","")</f>
        <v/>
      </c>
      <c r="AB2597" s="84" t="str">
        <f>IF(AND(OR(LEFT(TH!N2597,2)="15",LEFT(TH!O2597,2)="15"),LEFT(TH!O2597,3)&lt;&gt;"111",'152-CT'!$J$8=TH!F2597),"x","")</f>
        <v/>
      </c>
      <c r="AC2597" s="84" t="str">
        <f>IF(AND(OR(LEFT(TH!N2597,2)="15",LEFT(TH!O2597,2)="15"),TK!$E$7=TH!F2597),"x","")</f>
        <v/>
      </c>
      <c r="AD2597" s="84" t="str">
        <f>IF(AND(N2597="1521",MONTH(C2597)='BK-NL'!$M$11),"x","")</f>
        <v/>
      </c>
    </row>
    <row r="2598" spans="1:30" s="351" customFormat="1" ht="15.75" hidden="1" customHeight="1">
      <c r="A2598" s="336" t="str">
        <f>IF(B2598&lt;&gt;"",IF(AND(B2598='IN-TC'!$S$4,OR(TH!N2598="1111",TH!O2598="1111")),TH!D2598,""),"")</f>
        <v/>
      </c>
      <c r="B2598" s="63" t="str">
        <f t="shared" si="297"/>
        <v/>
      </c>
      <c r="C2598" s="64"/>
      <c r="D2598" s="64"/>
      <c r="E2598" s="64"/>
      <c r="F2598" s="67"/>
      <c r="G2598" s="67"/>
      <c r="H2598" s="73"/>
      <c r="I2598" s="439"/>
      <c r="J2598" s="439"/>
      <c r="K2598" s="430"/>
      <c r="L2598" s="439"/>
      <c r="M2598" s="65"/>
      <c r="N2598" s="66"/>
      <c r="O2598" s="66"/>
      <c r="P2598" s="84" t="str">
        <f>IF(AND('331-CT'!$E$7=TH!H2598,OR(N2598="331",O2598="331")),"x","")</f>
        <v/>
      </c>
      <c r="Q2598" s="84" t="str">
        <f>IF(AND(B2598='111'!$L$11,OR($N2598=$Q$7,$O2598=$Q$7)),"x","")</f>
        <v/>
      </c>
      <c r="R2598" s="84" t="str">
        <f>IF(AND($N2598=$Q$7,$B2598&lt;'111'!$L$11),"x","")</f>
        <v/>
      </c>
      <c r="S2598" s="84" t="str">
        <f>IF(AND($O2598=$Q$7,$B2598&lt;'111'!$L$11),"x","")</f>
        <v/>
      </c>
      <c r="T2598" s="84" t="str">
        <f>IF(ISERROR(FIND('112'!$M$9,G2598,1)),"",IF((AND(FIND('112'!$M$9,G2598,1)&gt;=1,B2598='112'!$K$9,OR($N2598='112'!$I$6,$O2598='112'!$I$6))),"x",""))</f>
        <v/>
      </c>
      <c r="U2598" s="84" t="str">
        <f>IF(ISERROR(FIND('112'!$M$9,G2598,1)),"",IF((AND(LEFT(G2598,2)=LEFT('112'!$M$9,2),B2598&lt;'112'!$K$9,$N2598='112'!$I$6)),"x",""))</f>
        <v/>
      </c>
      <c r="V2598" s="84" t="str">
        <f>IF(ISERROR(FIND('112'!$M$9,G2598,1)),"",IF((AND(RIGHT(G2598,2)=RIGHT('112'!$M$9,2),B2598&lt;'112'!$K$9,$O2598='112'!$I$6)),"x",""))</f>
        <v/>
      </c>
      <c r="W2598" s="84" t="str">
        <f>IF(AND('341-CT'!$H$9=H2598,OR(LEFT(N2598,3)=$W$7,LEFT(O2598,3)=$W$7)),"x","")</f>
        <v/>
      </c>
      <c r="X2598" s="84" t="str">
        <f>IF(OR(TH!N2598=TH!$X$7,O2598=TH!$X$7),"x","")</f>
        <v/>
      </c>
      <c r="Y2598" s="84" t="str">
        <f>IF(AND(OR(N2598="131",O2598="131"),H2598='131-CT'!$H$9),"x","")</f>
        <v/>
      </c>
      <c r="Z2598" s="84"/>
      <c r="AA2598" s="84" t="str">
        <f>IF(AND(MONTH(E2598)='IN-NX'!$J$5,'IN-NX'!$D$7=D2598),"x","")</f>
        <v/>
      </c>
      <c r="AB2598" s="84" t="str">
        <f>IF(AND(OR(LEFT(TH!N2598,2)="15",LEFT(TH!O2598,2)="15"),LEFT(TH!O2598,3)&lt;&gt;"111",'152-CT'!$J$8=TH!F2598),"x","")</f>
        <v/>
      </c>
      <c r="AC2598" s="84" t="str">
        <f>IF(AND(OR(LEFT(TH!N2598,2)="15",LEFT(TH!O2598,2)="15"),TK!$E$7=TH!F2598),"x","")</f>
        <v/>
      </c>
      <c r="AD2598" s="84" t="str">
        <f>IF(AND(N2598="1521",MONTH(C2598)='BK-NL'!$M$11),"x","")</f>
        <v/>
      </c>
    </row>
    <row r="2599" spans="1:30" s="351" customFormat="1" ht="15.75" hidden="1" customHeight="1">
      <c r="A2599" s="336" t="str">
        <f>IF(B2599&lt;&gt;"",IF(AND(B2599='IN-TC'!$S$4,OR(TH!N2599="1111",TH!O2599="1111")),TH!D2599,""),"")</f>
        <v/>
      </c>
      <c r="B2599" s="63" t="str">
        <f t="shared" si="297"/>
        <v/>
      </c>
      <c r="C2599" s="64"/>
      <c r="D2599" s="64"/>
      <c r="E2599" s="64"/>
      <c r="F2599" s="67"/>
      <c r="G2599" s="67"/>
      <c r="H2599" s="73"/>
      <c r="I2599" s="439"/>
      <c r="J2599" s="439"/>
      <c r="K2599" s="430"/>
      <c r="L2599" s="439"/>
      <c r="M2599" s="65"/>
      <c r="N2599" s="66"/>
      <c r="O2599" s="66"/>
      <c r="P2599" s="84" t="str">
        <f>IF(AND('331-CT'!$E$7=TH!H2599,OR(N2599="331",O2599="331")),"x","")</f>
        <v/>
      </c>
      <c r="Q2599" s="84" t="str">
        <f>IF(AND(B2599='111'!$L$11,OR($N2599=$Q$7,$O2599=$Q$7)),"x","")</f>
        <v/>
      </c>
      <c r="R2599" s="84" t="str">
        <f>IF(AND($N2599=$Q$7,$B2599&lt;'111'!$L$11),"x","")</f>
        <v/>
      </c>
      <c r="S2599" s="84" t="str">
        <f>IF(AND($O2599=$Q$7,$B2599&lt;'111'!$L$11),"x","")</f>
        <v/>
      </c>
      <c r="T2599" s="84" t="str">
        <f>IF(ISERROR(FIND('112'!$M$9,G2599,1)),"",IF((AND(FIND('112'!$M$9,G2599,1)&gt;=1,B2599='112'!$K$9,OR($N2599='112'!$I$6,$O2599='112'!$I$6))),"x",""))</f>
        <v/>
      </c>
      <c r="U2599" s="84" t="str">
        <f>IF(ISERROR(FIND('112'!$M$9,G2599,1)),"",IF((AND(LEFT(G2599,2)=LEFT('112'!$M$9,2),B2599&lt;'112'!$K$9,$N2599='112'!$I$6)),"x",""))</f>
        <v/>
      </c>
      <c r="V2599" s="84" t="str">
        <f>IF(ISERROR(FIND('112'!$M$9,G2599,1)),"",IF((AND(RIGHT(G2599,2)=RIGHT('112'!$M$9,2),B2599&lt;'112'!$K$9,$O2599='112'!$I$6)),"x",""))</f>
        <v/>
      </c>
      <c r="W2599" s="84" t="str">
        <f>IF(AND('341-CT'!$H$9=H2599,OR(LEFT(N2599,3)=$W$7,LEFT(O2599,3)=$W$7)),"x","")</f>
        <v/>
      </c>
      <c r="X2599" s="84" t="str">
        <f>IF(OR(TH!N2599=TH!$X$7,O2599=TH!$X$7),"x","")</f>
        <v/>
      </c>
      <c r="Y2599" s="84" t="str">
        <f>IF(AND(OR(N2599="131",O2599="131"),H2599='131-CT'!$H$9),"x","")</f>
        <v/>
      </c>
      <c r="Z2599" s="84"/>
      <c r="AA2599" s="84" t="str">
        <f>IF(AND(MONTH(E2599)='IN-NX'!$J$5,'IN-NX'!$D$7=D2599),"x","")</f>
        <v/>
      </c>
      <c r="AB2599" s="84" t="str">
        <f>IF(AND(OR(LEFT(TH!N2599,2)="15",LEFT(TH!O2599,2)="15"),LEFT(TH!O2599,3)&lt;&gt;"111",'152-CT'!$J$8=TH!F2599),"x","")</f>
        <v/>
      </c>
      <c r="AC2599" s="84" t="str">
        <f>IF(AND(OR(LEFT(TH!N2599,2)="15",LEFT(TH!O2599,2)="15"),TK!$E$7=TH!F2599),"x","")</f>
        <v/>
      </c>
      <c r="AD2599" s="84" t="str">
        <f>IF(AND(N2599="1521",MONTH(C2599)='BK-NL'!$M$11),"x","")</f>
        <v/>
      </c>
    </row>
    <row r="2600" spans="1:30" s="351" customFormat="1" ht="15.75" hidden="1" customHeight="1">
      <c r="A2600" s="336" t="str">
        <f>IF(B2600&lt;&gt;"",IF(AND(B2600='IN-TC'!$S$4,OR(TH!N2600="1111",TH!O2600="1111")),TH!D2600,""),"")</f>
        <v/>
      </c>
      <c r="B2600" s="63" t="str">
        <f t="shared" si="297"/>
        <v/>
      </c>
      <c r="C2600" s="64"/>
      <c r="D2600" s="64"/>
      <c r="E2600" s="64"/>
      <c r="F2600" s="67"/>
      <c r="G2600" s="67"/>
      <c r="H2600" s="73"/>
      <c r="I2600" s="439"/>
      <c r="J2600" s="439"/>
      <c r="K2600" s="430"/>
      <c r="L2600" s="439"/>
      <c r="M2600" s="65"/>
      <c r="N2600" s="66"/>
      <c r="O2600" s="66"/>
      <c r="P2600" s="84" t="str">
        <f>IF(AND('331-CT'!$E$7=TH!H2600,OR(N2600="331",O2600="331")),"x","")</f>
        <v/>
      </c>
      <c r="Q2600" s="84" t="str">
        <f>IF(AND(B2600='111'!$L$11,OR($N2600=$Q$7,$O2600=$Q$7)),"x","")</f>
        <v/>
      </c>
      <c r="R2600" s="84" t="str">
        <f>IF(AND($N2600=$Q$7,$B2600&lt;'111'!$L$11),"x","")</f>
        <v/>
      </c>
      <c r="S2600" s="84" t="str">
        <f>IF(AND($O2600=$Q$7,$B2600&lt;'111'!$L$11),"x","")</f>
        <v/>
      </c>
      <c r="T2600" s="84" t="str">
        <f>IF(ISERROR(FIND('112'!$M$9,G2600,1)),"",IF((AND(FIND('112'!$M$9,G2600,1)&gt;=1,B2600='112'!$K$9,OR($N2600='112'!$I$6,$O2600='112'!$I$6))),"x",""))</f>
        <v/>
      </c>
      <c r="U2600" s="84" t="str">
        <f>IF(ISERROR(FIND('112'!$M$9,G2600,1)),"",IF((AND(LEFT(G2600,2)=LEFT('112'!$M$9,2),B2600&lt;'112'!$K$9,$N2600='112'!$I$6)),"x",""))</f>
        <v/>
      </c>
      <c r="V2600" s="84" t="str">
        <f>IF(ISERROR(FIND('112'!$M$9,G2600,1)),"",IF((AND(RIGHT(G2600,2)=RIGHT('112'!$M$9,2),B2600&lt;'112'!$K$9,$O2600='112'!$I$6)),"x",""))</f>
        <v/>
      </c>
      <c r="W2600" s="84" t="str">
        <f>IF(AND('341-CT'!$H$9=H2600,OR(LEFT(N2600,3)=$W$7,LEFT(O2600,3)=$W$7)),"x","")</f>
        <v/>
      </c>
      <c r="X2600" s="84" t="str">
        <f>IF(OR(TH!N2600=TH!$X$7,O2600=TH!$X$7),"x","")</f>
        <v/>
      </c>
      <c r="Y2600" s="84" t="str">
        <f>IF(AND(OR(N2600="131",O2600="131"),H2600='131-CT'!$H$9),"x","")</f>
        <v/>
      </c>
      <c r="Z2600" s="84"/>
      <c r="AA2600" s="84" t="str">
        <f>IF(AND(MONTH(E2600)='IN-NX'!$J$5,'IN-NX'!$D$7=D2600),"x","")</f>
        <v/>
      </c>
      <c r="AB2600" s="84" t="str">
        <f>IF(AND(OR(LEFT(TH!N2600,2)="15",LEFT(TH!O2600,2)="15"),LEFT(TH!O2600,3)&lt;&gt;"111",'152-CT'!$J$8=TH!F2600),"x","")</f>
        <v/>
      </c>
      <c r="AC2600" s="84" t="str">
        <f>IF(AND(OR(LEFT(TH!N2600,2)="15",LEFT(TH!O2600,2)="15"),TK!$E$7=TH!F2600),"x","")</f>
        <v/>
      </c>
      <c r="AD2600" s="84" t="str">
        <f>IF(AND(N2600="1521",MONTH(C2600)='BK-NL'!$M$11),"x","")</f>
        <v/>
      </c>
    </row>
    <row r="2601" spans="1:30" s="351" customFormat="1" ht="15.75" hidden="1" customHeight="1">
      <c r="A2601" s="336" t="str">
        <f>IF(B2601&lt;&gt;"",IF(AND(B2601='IN-TC'!$S$4,OR(TH!N2601="1111",TH!O2601="1111")),TH!D2601,""),"")</f>
        <v/>
      </c>
      <c r="B2601" s="63" t="str">
        <f t="shared" si="297"/>
        <v/>
      </c>
      <c r="C2601" s="64"/>
      <c r="D2601" s="64"/>
      <c r="E2601" s="64"/>
      <c r="F2601" s="67"/>
      <c r="G2601" s="67"/>
      <c r="H2601" s="73"/>
      <c r="I2601" s="439"/>
      <c r="J2601" s="439"/>
      <c r="K2601" s="430"/>
      <c r="L2601" s="439"/>
      <c r="M2601" s="65"/>
      <c r="N2601" s="66"/>
      <c r="O2601" s="66"/>
      <c r="P2601" s="84" t="str">
        <f>IF(AND('331-CT'!$E$7=TH!H2601,OR(N2601="331",O2601="331")),"x","")</f>
        <v/>
      </c>
      <c r="Q2601" s="84" t="str">
        <f>IF(AND(B2601='111'!$L$11,OR($N2601=$Q$7,$O2601=$Q$7)),"x","")</f>
        <v/>
      </c>
      <c r="R2601" s="84" t="str">
        <f>IF(AND($N2601=$Q$7,$B2601&lt;'111'!$L$11),"x","")</f>
        <v/>
      </c>
      <c r="S2601" s="84" t="str">
        <f>IF(AND($O2601=$Q$7,$B2601&lt;'111'!$L$11),"x","")</f>
        <v/>
      </c>
      <c r="T2601" s="84" t="str">
        <f>IF(ISERROR(FIND('112'!$M$9,G2601,1)),"",IF((AND(FIND('112'!$M$9,G2601,1)&gt;=1,B2601='112'!$K$9,OR($N2601='112'!$I$6,$O2601='112'!$I$6))),"x",""))</f>
        <v/>
      </c>
      <c r="U2601" s="84" t="str">
        <f>IF(ISERROR(FIND('112'!$M$9,G2601,1)),"",IF((AND(LEFT(G2601,2)=LEFT('112'!$M$9,2),B2601&lt;'112'!$K$9,$N2601='112'!$I$6)),"x",""))</f>
        <v/>
      </c>
      <c r="V2601" s="84" t="str">
        <f>IF(ISERROR(FIND('112'!$M$9,G2601,1)),"",IF((AND(RIGHT(G2601,2)=RIGHT('112'!$M$9,2),B2601&lt;'112'!$K$9,$O2601='112'!$I$6)),"x",""))</f>
        <v/>
      </c>
      <c r="W2601" s="84" t="str">
        <f>IF(AND('341-CT'!$H$9=H2601,OR(LEFT(N2601,3)=$W$7,LEFT(O2601,3)=$W$7)),"x","")</f>
        <v/>
      </c>
      <c r="X2601" s="84" t="str">
        <f>IF(OR(TH!N2601=TH!$X$7,O2601=TH!$X$7),"x","")</f>
        <v/>
      </c>
      <c r="Y2601" s="84" t="str">
        <f>IF(AND(OR(N2601="131",O2601="131"),H2601='131-CT'!$H$9),"x","")</f>
        <v/>
      </c>
      <c r="Z2601" s="84"/>
      <c r="AA2601" s="84" t="str">
        <f>IF(AND(MONTH(E2601)='IN-NX'!$J$5,'IN-NX'!$D$7=D2601),"x","")</f>
        <v/>
      </c>
      <c r="AB2601" s="84" t="str">
        <f>IF(AND(OR(LEFT(TH!N2601,2)="15",LEFT(TH!O2601,2)="15"),LEFT(TH!O2601,3)&lt;&gt;"111",'152-CT'!$J$8=TH!F2601),"x","")</f>
        <v/>
      </c>
      <c r="AC2601" s="84" t="str">
        <f>IF(AND(OR(LEFT(TH!N2601,2)="15",LEFT(TH!O2601,2)="15"),TK!$E$7=TH!F2601),"x","")</f>
        <v/>
      </c>
      <c r="AD2601" s="84" t="str">
        <f>IF(AND(N2601="1521",MONTH(C2601)='BK-NL'!$M$11),"x","")</f>
        <v/>
      </c>
    </row>
    <row r="2602" spans="1:30" s="351" customFormat="1" ht="15.75" hidden="1" customHeight="1">
      <c r="A2602" s="336" t="str">
        <f>IF(B2602&lt;&gt;"",IF(AND(B2602='IN-TC'!$S$4,OR(TH!N2602="1111",TH!O2602="1111")),TH!D2602,""),"")</f>
        <v/>
      </c>
      <c r="B2602" s="63" t="str">
        <f t="shared" si="297"/>
        <v/>
      </c>
      <c r="C2602" s="64"/>
      <c r="D2602" s="64"/>
      <c r="E2602" s="64"/>
      <c r="F2602" s="67"/>
      <c r="G2602" s="67"/>
      <c r="H2602" s="73"/>
      <c r="I2602" s="439"/>
      <c r="J2602" s="439"/>
      <c r="K2602" s="430"/>
      <c r="L2602" s="439"/>
      <c r="M2602" s="65"/>
      <c r="N2602" s="66"/>
      <c r="O2602" s="66"/>
      <c r="P2602" s="84" t="str">
        <f>IF(AND('331-CT'!$E$7=TH!H2602,OR(N2602="331",O2602="331")),"x","")</f>
        <v/>
      </c>
      <c r="Q2602" s="84" t="str">
        <f>IF(AND(B2602='111'!$L$11,OR($N2602=$Q$7,$O2602=$Q$7)),"x","")</f>
        <v/>
      </c>
      <c r="R2602" s="84" t="str">
        <f>IF(AND($N2602=$Q$7,$B2602&lt;'111'!$L$11),"x","")</f>
        <v/>
      </c>
      <c r="S2602" s="84" t="str">
        <f>IF(AND($O2602=$Q$7,$B2602&lt;'111'!$L$11),"x","")</f>
        <v/>
      </c>
      <c r="T2602" s="84" t="str">
        <f>IF(ISERROR(FIND('112'!$M$9,G2602,1)),"",IF((AND(FIND('112'!$M$9,G2602,1)&gt;=1,B2602='112'!$K$9,OR($N2602='112'!$I$6,$O2602='112'!$I$6))),"x",""))</f>
        <v/>
      </c>
      <c r="U2602" s="84" t="str">
        <f>IF(ISERROR(FIND('112'!$M$9,G2602,1)),"",IF((AND(LEFT(G2602,2)=LEFT('112'!$M$9,2),B2602&lt;'112'!$K$9,$N2602='112'!$I$6)),"x",""))</f>
        <v/>
      </c>
      <c r="V2602" s="84" t="str">
        <f>IF(ISERROR(FIND('112'!$M$9,G2602,1)),"",IF((AND(RIGHT(G2602,2)=RIGHT('112'!$M$9,2),B2602&lt;'112'!$K$9,$O2602='112'!$I$6)),"x",""))</f>
        <v/>
      </c>
      <c r="W2602" s="84" t="str">
        <f>IF(AND('341-CT'!$H$9=H2602,OR(LEFT(N2602,3)=$W$7,LEFT(O2602,3)=$W$7)),"x","")</f>
        <v/>
      </c>
      <c r="X2602" s="84" t="str">
        <f>IF(OR(TH!N2602=TH!$X$7,O2602=TH!$X$7),"x","")</f>
        <v/>
      </c>
      <c r="Y2602" s="84" t="str">
        <f>IF(AND(OR(N2602="131",O2602="131"),H2602='131-CT'!$H$9),"x","")</f>
        <v/>
      </c>
      <c r="Z2602" s="84"/>
      <c r="AA2602" s="84" t="str">
        <f>IF(AND(MONTH(E2602)='IN-NX'!$J$5,'IN-NX'!$D$7=D2602),"x","")</f>
        <v/>
      </c>
      <c r="AB2602" s="84" t="str">
        <f>IF(AND(OR(LEFT(TH!N2602,2)="15",LEFT(TH!O2602,2)="15"),LEFT(TH!O2602,3)&lt;&gt;"111",'152-CT'!$J$8=TH!F2602),"x","")</f>
        <v/>
      </c>
      <c r="AC2602" s="84" t="str">
        <f>IF(AND(OR(LEFT(TH!N2602,2)="15",LEFT(TH!O2602,2)="15"),TK!$E$7=TH!F2602),"x","")</f>
        <v/>
      </c>
      <c r="AD2602" s="84" t="str">
        <f>IF(AND(N2602="1521",MONTH(C2602)='BK-NL'!$M$11),"x","")</f>
        <v/>
      </c>
    </row>
    <row r="2603" spans="1:30" s="351" customFormat="1" ht="15.75" hidden="1" customHeight="1">
      <c r="A2603" s="336" t="str">
        <f>IF(B2603&lt;&gt;"",IF(AND(B2603='IN-TC'!$S$4,OR(TH!N2603="1111",TH!O2603="1111")),TH!D2603,""),"")</f>
        <v/>
      </c>
      <c r="B2603" s="63" t="str">
        <f t="shared" si="297"/>
        <v/>
      </c>
      <c r="C2603" s="64"/>
      <c r="D2603" s="64"/>
      <c r="E2603" s="64"/>
      <c r="F2603" s="67"/>
      <c r="G2603" s="67"/>
      <c r="H2603" s="73"/>
      <c r="I2603" s="439"/>
      <c r="J2603" s="439"/>
      <c r="K2603" s="430"/>
      <c r="L2603" s="439"/>
      <c r="M2603" s="65"/>
      <c r="N2603" s="66"/>
      <c r="O2603" s="66"/>
      <c r="P2603" s="84" t="str">
        <f>IF(AND('331-CT'!$E$7=TH!H2603,OR(N2603="331",O2603="331")),"x","")</f>
        <v/>
      </c>
      <c r="Q2603" s="84" t="str">
        <f>IF(AND(B2603='111'!$L$11,OR($N2603=$Q$7,$O2603=$Q$7)),"x","")</f>
        <v/>
      </c>
      <c r="R2603" s="84" t="str">
        <f>IF(AND($N2603=$Q$7,$B2603&lt;'111'!$L$11),"x","")</f>
        <v/>
      </c>
      <c r="S2603" s="84" t="str">
        <f>IF(AND($O2603=$Q$7,$B2603&lt;'111'!$L$11),"x","")</f>
        <v/>
      </c>
      <c r="T2603" s="84" t="str">
        <f>IF(ISERROR(FIND('112'!$M$9,G2603,1)),"",IF((AND(FIND('112'!$M$9,G2603,1)&gt;=1,B2603='112'!$K$9,OR($N2603='112'!$I$6,$O2603='112'!$I$6))),"x",""))</f>
        <v/>
      </c>
      <c r="U2603" s="84" t="str">
        <f>IF(ISERROR(FIND('112'!$M$9,G2603,1)),"",IF((AND(LEFT(G2603,2)=LEFT('112'!$M$9,2),B2603&lt;'112'!$K$9,$N2603='112'!$I$6)),"x",""))</f>
        <v/>
      </c>
      <c r="V2603" s="84" t="str">
        <f>IF(ISERROR(FIND('112'!$M$9,G2603,1)),"",IF((AND(RIGHT(G2603,2)=RIGHT('112'!$M$9,2),B2603&lt;'112'!$K$9,$O2603='112'!$I$6)),"x",""))</f>
        <v/>
      </c>
      <c r="W2603" s="84" t="str">
        <f>IF(AND('341-CT'!$H$9=H2603,OR(LEFT(N2603,3)=$W$7,LEFT(O2603,3)=$W$7)),"x","")</f>
        <v/>
      </c>
      <c r="X2603" s="84" t="str">
        <f>IF(OR(TH!N2603=TH!$X$7,O2603=TH!$X$7),"x","")</f>
        <v/>
      </c>
      <c r="Y2603" s="84" t="str">
        <f>IF(AND(OR(N2603="131",O2603="131"),H2603='131-CT'!$H$9),"x","")</f>
        <v/>
      </c>
      <c r="Z2603" s="84"/>
      <c r="AA2603" s="84" t="str">
        <f>IF(AND(MONTH(E2603)='IN-NX'!$J$5,'IN-NX'!$D$7=D2603),"x","")</f>
        <v/>
      </c>
      <c r="AB2603" s="84" t="str">
        <f>IF(AND(OR(LEFT(TH!N2603,2)="15",LEFT(TH!O2603,2)="15"),LEFT(TH!O2603,3)&lt;&gt;"111",'152-CT'!$J$8=TH!F2603),"x","")</f>
        <v/>
      </c>
      <c r="AC2603" s="84" t="str">
        <f>IF(AND(OR(LEFT(TH!N2603,2)="15",LEFT(TH!O2603,2)="15"),TK!$E$7=TH!F2603),"x","")</f>
        <v/>
      </c>
      <c r="AD2603" s="84" t="str">
        <f>IF(AND(N2603="1521",MONTH(C2603)='BK-NL'!$M$11),"x","")</f>
        <v/>
      </c>
    </row>
    <row r="2604" spans="1:30" s="351" customFormat="1" ht="15.75" hidden="1" customHeight="1">
      <c r="A2604" s="336" t="str">
        <f>IF(B2604&lt;&gt;"",IF(AND(B2604='IN-TC'!$S$4,OR(TH!N2604="1111",TH!O2604="1111")),TH!D2604,""),"")</f>
        <v/>
      </c>
      <c r="B2604" s="63" t="str">
        <f t="shared" si="297"/>
        <v/>
      </c>
      <c r="C2604" s="64"/>
      <c r="D2604" s="64"/>
      <c r="E2604" s="64"/>
      <c r="F2604" s="67"/>
      <c r="G2604" s="67"/>
      <c r="H2604" s="73"/>
      <c r="I2604" s="439"/>
      <c r="J2604" s="439"/>
      <c r="K2604" s="430"/>
      <c r="L2604" s="439"/>
      <c r="M2604" s="65"/>
      <c r="N2604" s="66"/>
      <c r="O2604" s="66"/>
      <c r="P2604" s="84" t="str">
        <f>IF(AND('331-CT'!$E$7=TH!H2604,OR(N2604="331",O2604="331")),"x","")</f>
        <v/>
      </c>
      <c r="Q2604" s="84" t="str">
        <f>IF(AND(B2604='111'!$L$11,OR($N2604=$Q$7,$O2604=$Q$7)),"x","")</f>
        <v/>
      </c>
      <c r="R2604" s="84" t="str">
        <f>IF(AND($N2604=$Q$7,$B2604&lt;'111'!$L$11),"x","")</f>
        <v/>
      </c>
      <c r="S2604" s="84" t="str">
        <f>IF(AND($O2604=$Q$7,$B2604&lt;'111'!$L$11),"x","")</f>
        <v/>
      </c>
      <c r="T2604" s="84" t="str">
        <f>IF(ISERROR(FIND('112'!$M$9,G2604,1)),"",IF((AND(FIND('112'!$M$9,G2604,1)&gt;=1,B2604='112'!$K$9,OR($N2604='112'!$I$6,$O2604='112'!$I$6))),"x",""))</f>
        <v/>
      </c>
      <c r="U2604" s="84" t="str">
        <f>IF(ISERROR(FIND('112'!$M$9,G2604,1)),"",IF((AND(LEFT(G2604,2)=LEFT('112'!$M$9,2),B2604&lt;'112'!$K$9,$N2604='112'!$I$6)),"x",""))</f>
        <v/>
      </c>
      <c r="V2604" s="84" t="str">
        <f>IF(ISERROR(FIND('112'!$M$9,G2604,1)),"",IF((AND(RIGHT(G2604,2)=RIGHT('112'!$M$9,2),B2604&lt;'112'!$K$9,$O2604='112'!$I$6)),"x",""))</f>
        <v/>
      </c>
      <c r="W2604" s="84" t="str">
        <f>IF(AND('341-CT'!$H$9=H2604,OR(LEFT(N2604,3)=$W$7,LEFT(O2604,3)=$W$7)),"x","")</f>
        <v/>
      </c>
      <c r="X2604" s="84" t="str">
        <f>IF(OR(TH!N2604=TH!$X$7,O2604=TH!$X$7),"x","")</f>
        <v/>
      </c>
      <c r="Y2604" s="84" t="str">
        <f>IF(AND(OR(N2604="131",O2604="131"),H2604='131-CT'!$H$9),"x","")</f>
        <v/>
      </c>
      <c r="Z2604" s="84"/>
      <c r="AA2604" s="84" t="str">
        <f>IF(AND(MONTH(E2604)='IN-NX'!$J$5,'IN-NX'!$D$7=D2604),"x","")</f>
        <v/>
      </c>
      <c r="AB2604" s="84" t="str">
        <f>IF(AND(OR(LEFT(TH!N2604,2)="15",LEFT(TH!O2604,2)="15"),LEFT(TH!O2604,3)&lt;&gt;"111",'152-CT'!$J$8=TH!F2604),"x","")</f>
        <v/>
      </c>
      <c r="AC2604" s="84" t="str">
        <f>IF(AND(OR(LEFT(TH!N2604,2)="15",LEFT(TH!O2604,2)="15"),TK!$E$7=TH!F2604),"x","")</f>
        <v/>
      </c>
      <c r="AD2604" s="84" t="str">
        <f>IF(AND(N2604="1521",MONTH(C2604)='BK-NL'!$M$11),"x","")</f>
        <v/>
      </c>
    </row>
    <row r="2605" spans="1:30" s="351" customFormat="1" ht="15.75" hidden="1" customHeight="1">
      <c r="A2605" s="336" t="str">
        <f>IF(B2605&lt;&gt;"",IF(AND(B2605='IN-TC'!$S$4,OR(TH!N2605="1111",TH!O2605="1111")),TH!D2605,""),"")</f>
        <v/>
      </c>
      <c r="B2605" s="63" t="str">
        <f t="shared" si="297"/>
        <v/>
      </c>
      <c r="C2605" s="64"/>
      <c r="D2605" s="64"/>
      <c r="E2605" s="64"/>
      <c r="F2605" s="67"/>
      <c r="G2605" s="67"/>
      <c r="H2605" s="73"/>
      <c r="I2605" s="439"/>
      <c r="J2605" s="439"/>
      <c r="K2605" s="430"/>
      <c r="L2605" s="439"/>
      <c r="M2605" s="65"/>
      <c r="N2605" s="66"/>
      <c r="O2605" s="66"/>
      <c r="P2605" s="84" t="str">
        <f>IF(AND('331-CT'!$E$7=TH!H2605,OR(N2605="331",O2605="331")),"x","")</f>
        <v/>
      </c>
      <c r="Q2605" s="84" t="str">
        <f>IF(AND(B2605='111'!$L$11,OR($N2605=$Q$7,$O2605=$Q$7)),"x","")</f>
        <v/>
      </c>
      <c r="R2605" s="84" t="str">
        <f>IF(AND($N2605=$Q$7,$B2605&lt;'111'!$L$11),"x","")</f>
        <v/>
      </c>
      <c r="S2605" s="84" t="str">
        <f>IF(AND($O2605=$Q$7,$B2605&lt;'111'!$L$11),"x","")</f>
        <v/>
      </c>
      <c r="T2605" s="84" t="str">
        <f>IF(ISERROR(FIND('112'!$M$9,G2605,1)),"",IF((AND(FIND('112'!$M$9,G2605,1)&gt;=1,B2605='112'!$K$9,OR($N2605='112'!$I$6,$O2605='112'!$I$6))),"x",""))</f>
        <v/>
      </c>
      <c r="U2605" s="84" t="str">
        <f>IF(ISERROR(FIND('112'!$M$9,G2605,1)),"",IF((AND(LEFT(G2605,2)=LEFT('112'!$M$9,2),B2605&lt;'112'!$K$9,$N2605='112'!$I$6)),"x",""))</f>
        <v/>
      </c>
      <c r="V2605" s="84" t="str">
        <f>IF(ISERROR(FIND('112'!$M$9,G2605,1)),"",IF((AND(RIGHT(G2605,2)=RIGHT('112'!$M$9,2),B2605&lt;'112'!$K$9,$O2605='112'!$I$6)),"x",""))</f>
        <v/>
      </c>
      <c r="W2605" s="84" t="str">
        <f>IF(AND('341-CT'!$H$9=H2605,OR(LEFT(N2605,3)=$W$7,LEFT(O2605,3)=$W$7)),"x","")</f>
        <v/>
      </c>
      <c r="X2605" s="84" t="str">
        <f>IF(OR(TH!N2605=TH!$X$7,O2605=TH!$X$7),"x","")</f>
        <v/>
      </c>
      <c r="Y2605" s="84" t="str">
        <f>IF(AND(OR(N2605="131",O2605="131"),H2605='131-CT'!$H$9),"x","")</f>
        <v/>
      </c>
      <c r="Z2605" s="84"/>
      <c r="AA2605" s="84" t="str">
        <f>IF(AND(MONTH(E2605)='IN-NX'!$J$5,'IN-NX'!$D$7=D2605),"x","")</f>
        <v/>
      </c>
      <c r="AB2605" s="84" t="str">
        <f>IF(AND(OR(LEFT(TH!N2605,2)="15",LEFT(TH!O2605,2)="15"),LEFT(TH!O2605,3)&lt;&gt;"111",'152-CT'!$J$8=TH!F2605),"x","")</f>
        <v/>
      </c>
      <c r="AC2605" s="84" t="str">
        <f>IF(AND(OR(LEFT(TH!N2605,2)="15",LEFT(TH!O2605,2)="15"),TK!$E$7=TH!F2605),"x","")</f>
        <v/>
      </c>
      <c r="AD2605" s="84" t="str">
        <f>IF(AND(N2605="1521",MONTH(C2605)='BK-NL'!$M$11),"x","")</f>
        <v/>
      </c>
    </row>
    <row r="2606" spans="1:30" s="351" customFormat="1" ht="15.75" hidden="1" customHeight="1">
      <c r="A2606" s="336" t="str">
        <f>IF(B2606&lt;&gt;"",IF(AND(B2606='IN-TC'!$S$4,OR(TH!N2606="1111",TH!O2606="1111")),TH!D2606,""),"")</f>
        <v/>
      </c>
      <c r="B2606" s="63" t="str">
        <f t="shared" si="297"/>
        <v/>
      </c>
      <c r="C2606" s="64"/>
      <c r="D2606" s="64"/>
      <c r="E2606" s="64"/>
      <c r="F2606" s="67"/>
      <c r="G2606" s="67"/>
      <c r="H2606" s="73"/>
      <c r="I2606" s="439"/>
      <c r="J2606" s="439"/>
      <c r="K2606" s="430"/>
      <c r="L2606" s="439"/>
      <c r="M2606" s="65"/>
      <c r="N2606" s="66"/>
      <c r="O2606" s="66"/>
      <c r="P2606" s="84" t="str">
        <f>IF(AND('331-CT'!$E$7=TH!H2606,OR(N2606="331",O2606="331")),"x","")</f>
        <v/>
      </c>
      <c r="Q2606" s="84" t="str">
        <f>IF(AND(B2606='111'!$L$11,OR($N2606=$Q$7,$O2606=$Q$7)),"x","")</f>
        <v/>
      </c>
      <c r="R2606" s="84" t="str">
        <f>IF(AND($N2606=$Q$7,$B2606&lt;'111'!$L$11),"x","")</f>
        <v/>
      </c>
      <c r="S2606" s="84" t="str">
        <f>IF(AND($O2606=$Q$7,$B2606&lt;'111'!$L$11),"x","")</f>
        <v/>
      </c>
      <c r="T2606" s="84" t="str">
        <f>IF(ISERROR(FIND('112'!$M$9,G2606,1)),"",IF((AND(FIND('112'!$M$9,G2606,1)&gt;=1,B2606='112'!$K$9,OR($N2606='112'!$I$6,$O2606='112'!$I$6))),"x",""))</f>
        <v/>
      </c>
      <c r="U2606" s="84" t="str">
        <f>IF(ISERROR(FIND('112'!$M$9,G2606,1)),"",IF((AND(LEFT(G2606,2)=LEFT('112'!$M$9,2),B2606&lt;'112'!$K$9,$N2606='112'!$I$6)),"x",""))</f>
        <v/>
      </c>
      <c r="V2606" s="84" t="str">
        <f>IF(ISERROR(FIND('112'!$M$9,G2606,1)),"",IF((AND(RIGHT(G2606,2)=RIGHT('112'!$M$9,2),B2606&lt;'112'!$K$9,$O2606='112'!$I$6)),"x",""))</f>
        <v/>
      </c>
      <c r="W2606" s="84" t="str">
        <f>IF(AND('341-CT'!$H$9=H2606,OR(LEFT(N2606,3)=$W$7,LEFT(O2606,3)=$W$7)),"x","")</f>
        <v/>
      </c>
      <c r="X2606" s="84" t="str">
        <f>IF(OR(TH!N2606=TH!$X$7,O2606=TH!$X$7),"x","")</f>
        <v/>
      </c>
      <c r="Y2606" s="84" t="str">
        <f>IF(AND(OR(N2606="131",O2606="131"),H2606='131-CT'!$H$9),"x","")</f>
        <v/>
      </c>
      <c r="Z2606" s="84"/>
      <c r="AA2606" s="84" t="str">
        <f>IF(AND(MONTH(E2606)='IN-NX'!$J$5,'IN-NX'!$D$7=D2606),"x","")</f>
        <v/>
      </c>
      <c r="AB2606" s="84" t="str">
        <f>IF(AND(OR(LEFT(TH!N2606,2)="15",LEFT(TH!O2606,2)="15"),LEFT(TH!O2606,3)&lt;&gt;"111",'152-CT'!$J$8=TH!F2606),"x","")</f>
        <v/>
      </c>
      <c r="AC2606" s="84" t="str">
        <f>IF(AND(OR(LEFT(TH!N2606,2)="15",LEFT(TH!O2606,2)="15"),TK!$E$7=TH!F2606),"x","")</f>
        <v/>
      </c>
      <c r="AD2606" s="84" t="str">
        <f>IF(AND(N2606="1521",MONTH(C2606)='BK-NL'!$M$11),"x","")</f>
        <v/>
      </c>
    </row>
    <row r="2607" spans="1:30" s="351" customFormat="1" ht="15.75" hidden="1" customHeight="1">
      <c r="A2607" s="336" t="str">
        <f>IF(B2607&lt;&gt;"",IF(AND(B2607='IN-TC'!$S$4,OR(TH!N2607="1111",TH!O2607="1111")),TH!D2607,""),"")</f>
        <v/>
      </c>
      <c r="B2607" s="63" t="str">
        <f t="shared" si="297"/>
        <v/>
      </c>
      <c r="C2607" s="64"/>
      <c r="D2607" s="64"/>
      <c r="E2607" s="64"/>
      <c r="F2607" s="67"/>
      <c r="G2607" s="67"/>
      <c r="H2607" s="73"/>
      <c r="I2607" s="439"/>
      <c r="J2607" s="439"/>
      <c r="K2607" s="430"/>
      <c r="L2607" s="439"/>
      <c r="M2607" s="65"/>
      <c r="N2607" s="66"/>
      <c r="O2607" s="66"/>
      <c r="P2607" s="84" t="str">
        <f>IF(AND('331-CT'!$E$7=TH!H2607,OR(N2607="331",O2607="331")),"x","")</f>
        <v/>
      </c>
      <c r="Q2607" s="84" t="str">
        <f>IF(AND(B2607='111'!$L$11,OR($N2607=$Q$7,$O2607=$Q$7)),"x","")</f>
        <v/>
      </c>
      <c r="R2607" s="84" t="str">
        <f>IF(AND($N2607=$Q$7,$B2607&lt;'111'!$L$11),"x","")</f>
        <v/>
      </c>
      <c r="S2607" s="84" t="str">
        <f>IF(AND($O2607=$Q$7,$B2607&lt;'111'!$L$11),"x","")</f>
        <v/>
      </c>
      <c r="T2607" s="84" t="str">
        <f>IF(ISERROR(FIND('112'!$M$9,G2607,1)),"",IF((AND(FIND('112'!$M$9,G2607,1)&gt;=1,B2607='112'!$K$9,OR($N2607='112'!$I$6,$O2607='112'!$I$6))),"x",""))</f>
        <v/>
      </c>
      <c r="U2607" s="84" t="str">
        <f>IF(ISERROR(FIND('112'!$M$9,G2607,1)),"",IF((AND(LEFT(G2607,2)=LEFT('112'!$M$9,2),B2607&lt;'112'!$K$9,$N2607='112'!$I$6)),"x",""))</f>
        <v/>
      </c>
      <c r="V2607" s="84" t="str">
        <f>IF(ISERROR(FIND('112'!$M$9,G2607,1)),"",IF((AND(RIGHT(G2607,2)=RIGHT('112'!$M$9,2),B2607&lt;'112'!$K$9,$O2607='112'!$I$6)),"x",""))</f>
        <v/>
      </c>
      <c r="W2607" s="84" t="str">
        <f>IF(AND('341-CT'!$H$9=H2607,OR(LEFT(N2607,3)=$W$7,LEFT(O2607,3)=$W$7)),"x","")</f>
        <v/>
      </c>
      <c r="X2607" s="84" t="str">
        <f>IF(OR(TH!N2607=TH!$X$7,O2607=TH!$X$7),"x","")</f>
        <v/>
      </c>
      <c r="Y2607" s="84" t="str">
        <f>IF(AND(OR(N2607="131",O2607="131"),H2607='131-CT'!$H$9),"x","")</f>
        <v/>
      </c>
      <c r="Z2607" s="84"/>
      <c r="AA2607" s="84" t="str">
        <f>IF(AND(MONTH(E2607)='IN-NX'!$J$5,'IN-NX'!$D$7=D2607),"x","")</f>
        <v/>
      </c>
      <c r="AB2607" s="84" t="str">
        <f>IF(AND(OR(LEFT(TH!N2607,2)="15",LEFT(TH!O2607,2)="15"),LEFT(TH!O2607,3)&lt;&gt;"111",'152-CT'!$J$8=TH!F2607),"x","")</f>
        <v/>
      </c>
      <c r="AC2607" s="84" t="str">
        <f>IF(AND(OR(LEFT(TH!N2607,2)="15",LEFT(TH!O2607,2)="15"),TK!$E$7=TH!F2607),"x","")</f>
        <v/>
      </c>
      <c r="AD2607" s="84" t="str">
        <f>IF(AND(N2607="1521",MONTH(C2607)='BK-NL'!$M$11),"x","")</f>
        <v/>
      </c>
    </row>
    <row r="2608" spans="1:30" s="351" customFormat="1" ht="15.75" hidden="1" customHeight="1">
      <c r="A2608" s="336" t="str">
        <f>IF(B2608&lt;&gt;"",IF(AND(B2608='IN-TC'!$S$4,OR(TH!N2608="1111",TH!O2608="1111")),TH!D2608,""),"")</f>
        <v/>
      </c>
      <c r="B2608" s="63" t="str">
        <f t="shared" si="297"/>
        <v/>
      </c>
      <c r="C2608" s="64"/>
      <c r="D2608" s="64"/>
      <c r="E2608" s="64"/>
      <c r="F2608" s="67"/>
      <c r="G2608" s="67"/>
      <c r="H2608" s="73"/>
      <c r="I2608" s="439"/>
      <c r="J2608" s="439"/>
      <c r="K2608" s="430"/>
      <c r="L2608" s="439"/>
      <c r="M2608" s="65"/>
      <c r="N2608" s="66"/>
      <c r="O2608" s="66"/>
      <c r="P2608" s="84" t="str">
        <f>IF(AND('331-CT'!$E$7=TH!H2608,OR(N2608="331",O2608="331")),"x","")</f>
        <v/>
      </c>
      <c r="Q2608" s="84" t="str">
        <f>IF(AND(B2608='111'!$L$11,OR($N2608=$Q$7,$O2608=$Q$7)),"x","")</f>
        <v/>
      </c>
      <c r="R2608" s="84" t="str">
        <f>IF(AND($N2608=$Q$7,$B2608&lt;'111'!$L$11),"x","")</f>
        <v/>
      </c>
      <c r="S2608" s="84" t="str">
        <f>IF(AND($O2608=$Q$7,$B2608&lt;'111'!$L$11),"x","")</f>
        <v/>
      </c>
      <c r="T2608" s="84" t="str">
        <f>IF(ISERROR(FIND('112'!$M$9,G2608,1)),"",IF((AND(FIND('112'!$M$9,G2608,1)&gt;=1,B2608='112'!$K$9,OR($N2608='112'!$I$6,$O2608='112'!$I$6))),"x",""))</f>
        <v/>
      </c>
      <c r="U2608" s="84" t="str">
        <f>IF(ISERROR(FIND('112'!$M$9,G2608,1)),"",IF((AND(LEFT(G2608,2)=LEFT('112'!$M$9,2),B2608&lt;'112'!$K$9,$N2608='112'!$I$6)),"x",""))</f>
        <v/>
      </c>
      <c r="V2608" s="84" t="str">
        <f>IF(ISERROR(FIND('112'!$M$9,G2608,1)),"",IF((AND(RIGHT(G2608,2)=RIGHT('112'!$M$9,2),B2608&lt;'112'!$K$9,$O2608='112'!$I$6)),"x",""))</f>
        <v/>
      </c>
      <c r="W2608" s="84" t="str">
        <f>IF(AND('341-CT'!$H$9=H2608,OR(LEFT(N2608,3)=$W$7,LEFT(O2608,3)=$W$7)),"x","")</f>
        <v/>
      </c>
      <c r="X2608" s="84" t="str">
        <f>IF(OR(TH!N2608=TH!$X$7,O2608=TH!$X$7),"x","")</f>
        <v/>
      </c>
      <c r="Y2608" s="84" t="str">
        <f>IF(AND(OR(N2608="131",O2608="131"),H2608='131-CT'!$H$9),"x","")</f>
        <v/>
      </c>
      <c r="Z2608" s="84"/>
      <c r="AA2608" s="84" t="str">
        <f>IF(AND(MONTH(E2608)='IN-NX'!$J$5,'IN-NX'!$D$7=D2608),"x","")</f>
        <v/>
      </c>
      <c r="AB2608" s="84" t="str">
        <f>IF(AND(OR(LEFT(TH!N2608,2)="15",LEFT(TH!O2608,2)="15"),LEFT(TH!O2608,3)&lt;&gt;"111",'152-CT'!$J$8=TH!F2608),"x","")</f>
        <v/>
      </c>
      <c r="AC2608" s="84" t="str">
        <f>IF(AND(OR(LEFT(TH!N2608,2)="15",LEFT(TH!O2608,2)="15"),TK!$E$7=TH!F2608),"x","")</f>
        <v/>
      </c>
      <c r="AD2608" s="84" t="str">
        <f>IF(AND(N2608="1521",MONTH(C2608)='BK-NL'!$M$11),"x","")</f>
        <v/>
      </c>
    </row>
    <row r="2609" spans="1:30" s="351" customFormat="1" ht="15.75" hidden="1" customHeight="1">
      <c r="A2609" s="336" t="str">
        <f>IF(B2609&lt;&gt;"",IF(AND(B2609='IN-TC'!$S$4,OR(TH!N2609="1111",TH!O2609="1111")),TH!D2609,""),"")</f>
        <v/>
      </c>
      <c r="B2609" s="63" t="str">
        <f t="shared" si="297"/>
        <v/>
      </c>
      <c r="C2609" s="64"/>
      <c r="D2609" s="64"/>
      <c r="E2609" s="64"/>
      <c r="F2609" s="67"/>
      <c r="G2609" s="67"/>
      <c r="H2609" s="73"/>
      <c r="I2609" s="439"/>
      <c r="J2609" s="439"/>
      <c r="K2609" s="430"/>
      <c r="L2609" s="439"/>
      <c r="M2609" s="65"/>
      <c r="N2609" s="66"/>
      <c r="O2609" s="66"/>
      <c r="P2609" s="84" t="str">
        <f>IF(AND('331-CT'!$E$7=TH!H2609,OR(N2609="331",O2609="331")),"x","")</f>
        <v/>
      </c>
      <c r="Q2609" s="84" t="str">
        <f>IF(AND(B2609='111'!$L$11,OR($N2609=$Q$7,$O2609=$Q$7)),"x","")</f>
        <v/>
      </c>
      <c r="R2609" s="84" t="str">
        <f>IF(AND($N2609=$Q$7,$B2609&lt;'111'!$L$11),"x","")</f>
        <v/>
      </c>
      <c r="S2609" s="84" t="str">
        <f>IF(AND($O2609=$Q$7,$B2609&lt;'111'!$L$11),"x","")</f>
        <v/>
      </c>
      <c r="T2609" s="84" t="str">
        <f>IF(ISERROR(FIND('112'!$M$9,G2609,1)),"",IF((AND(FIND('112'!$M$9,G2609,1)&gt;=1,B2609='112'!$K$9,OR($N2609='112'!$I$6,$O2609='112'!$I$6))),"x",""))</f>
        <v/>
      </c>
      <c r="U2609" s="84" t="str">
        <f>IF(ISERROR(FIND('112'!$M$9,G2609,1)),"",IF((AND(LEFT(G2609,2)=LEFT('112'!$M$9,2),B2609&lt;'112'!$K$9,$N2609='112'!$I$6)),"x",""))</f>
        <v/>
      </c>
      <c r="V2609" s="84" t="str">
        <f>IF(ISERROR(FIND('112'!$M$9,G2609,1)),"",IF((AND(RIGHT(G2609,2)=RIGHT('112'!$M$9,2),B2609&lt;'112'!$K$9,$O2609='112'!$I$6)),"x",""))</f>
        <v/>
      </c>
      <c r="W2609" s="84" t="str">
        <f>IF(AND('341-CT'!$H$9=H2609,OR(LEFT(N2609,3)=$W$7,LEFT(O2609,3)=$W$7)),"x","")</f>
        <v/>
      </c>
      <c r="X2609" s="84" t="str">
        <f>IF(OR(TH!N2609=TH!$X$7,O2609=TH!$X$7),"x","")</f>
        <v/>
      </c>
      <c r="Y2609" s="84" t="str">
        <f>IF(AND(OR(N2609="131",O2609="131"),H2609='131-CT'!$H$9),"x","")</f>
        <v/>
      </c>
      <c r="Z2609" s="84"/>
      <c r="AA2609" s="84" t="str">
        <f>IF(AND(MONTH(E2609)='IN-NX'!$J$5,'IN-NX'!$D$7=D2609),"x","")</f>
        <v/>
      </c>
      <c r="AB2609" s="84" t="str">
        <f>IF(AND(OR(LEFT(TH!N2609,2)="15",LEFT(TH!O2609,2)="15"),LEFT(TH!O2609,3)&lt;&gt;"111",'152-CT'!$J$8=TH!F2609),"x","")</f>
        <v/>
      </c>
      <c r="AC2609" s="84" t="str">
        <f>IF(AND(OR(LEFT(TH!N2609,2)="15",LEFT(TH!O2609,2)="15"),TK!$E$7=TH!F2609),"x","")</f>
        <v/>
      </c>
      <c r="AD2609" s="84" t="str">
        <f>IF(AND(N2609="1521",MONTH(C2609)='BK-NL'!$M$11),"x","")</f>
        <v/>
      </c>
    </row>
    <row r="2610" spans="1:30" s="351" customFormat="1" ht="15.75" hidden="1" customHeight="1">
      <c r="A2610" s="336" t="str">
        <f>IF(B2610&lt;&gt;"",IF(AND(B2610='IN-TC'!$S$4,OR(TH!N2610="1111",TH!O2610="1111")),TH!D2610,""),"")</f>
        <v/>
      </c>
      <c r="B2610" s="63" t="str">
        <f t="shared" si="297"/>
        <v/>
      </c>
      <c r="C2610" s="64"/>
      <c r="D2610" s="64"/>
      <c r="E2610" s="64"/>
      <c r="F2610" s="67"/>
      <c r="G2610" s="67"/>
      <c r="H2610" s="73"/>
      <c r="I2610" s="439"/>
      <c r="J2610" s="439"/>
      <c r="K2610" s="430"/>
      <c r="L2610" s="439"/>
      <c r="M2610" s="65"/>
      <c r="N2610" s="66"/>
      <c r="O2610" s="66"/>
      <c r="P2610" s="84" t="str">
        <f>IF(AND('331-CT'!$E$7=TH!H2610,OR(N2610="331",O2610="331")),"x","")</f>
        <v/>
      </c>
      <c r="Q2610" s="84" t="str">
        <f>IF(AND(B2610='111'!$L$11,OR($N2610=$Q$7,$O2610=$Q$7)),"x","")</f>
        <v/>
      </c>
      <c r="R2610" s="84" t="str">
        <f>IF(AND($N2610=$Q$7,$B2610&lt;'111'!$L$11),"x","")</f>
        <v/>
      </c>
      <c r="S2610" s="84" t="str">
        <f>IF(AND($O2610=$Q$7,$B2610&lt;'111'!$L$11),"x","")</f>
        <v/>
      </c>
      <c r="T2610" s="84" t="str">
        <f>IF(ISERROR(FIND('112'!$M$9,G2610,1)),"",IF((AND(FIND('112'!$M$9,G2610,1)&gt;=1,B2610='112'!$K$9,OR($N2610='112'!$I$6,$O2610='112'!$I$6))),"x",""))</f>
        <v/>
      </c>
      <c r="U2610" s="84" t="str">
        <f>IF(ISERROR(FIND('112'!$M$9,G2610,1)),"",IF((AND(LEFT(G2610,2)=LEFT('112'!$M$9,2),B2610&lt;'112'!$K$9,$N2610='112'!$I$6)),"x",""))</f>
        <v/>
      </c>
      <c r="V2610" s="84" t="str">
        <f>IF(ISERROR(FIND('112'!$M$9,G2610,1)),"",IF((AND(RIGHT(G2610,2)=RIGHT('112'!$M$9,2),B2610&lt;'112'!$K$9,$O2610='112'!$I$6)),"x",""))</f>
        <v/>
      </c>
      <c r="W2610" s="84" t="str">
        <f>IF(AND('341-CT'!$H$9=H2610,OR(LEFT(N2610,3)=$W$7,LEFT(O2610,3)=$W$7)),"x","")</f>
        <v/>
      </c>
      <c r="X2610" s="84" t="str">
        <f>IF(OR(TH!N2610=TH!$X$7,O2610=TH!$X$7),"x","")</f>
        <v/>
      </c>
      <c r="Y2610" s="84" t="str">
        <f>IF(AND(OR(N2610="131",O2610="131"),H2610='131-CT'!$H$9),"x","")</f>
        <v/>
      </c>
      <c r="Z2610" s="84"/>
      <c r="AA2610" s="84" t="str">
        <f>IF(AND(MONTH(E2610)='IN-NX'!$J$5,'IN-NX'!$D$7=D2610),"x","")</f>
        <v/>
      </c>
      <c r="AB2610" s="84" t="str">
        <f>IF(AND(OR(LEFT(TH!N2610,2)="15",LEFT(TH!O2610,2)="15"),LEFT(TH!O2610,3)&lt;&gt;"111",'152-CT'!$J$8=TH!F2610),"x","")</f>
        <v/>
      </c>
      <c r="AC2610" s="84" t="str">
        <f>IF(AND(OR(LEFT(TH!N2610,2)="15",LEFT(TH!O2610,2)="15"),TK!$E$7=TH!F2610),"x","")</f>
        <v/>
      </c>
      <c r="AD2610" s="84" t="str">
        <f>IF(AND(N2610="1521",MONTH(C2610)='BK-NL'!$M$11),"x","")</f>
        <v/>
      </c>
    </row>
    <row r="2611" spans="1:30" s="351" customFormat="1" ht="15.75" hidden="1" customHeight="1">
      <c r="A2611" s="336" t="str">
        <f>IF(B2611&lt;&gt;"",IF(AND(B2611='IN-TC'!$S$4,OR(TH!N2611="1111",TH!O2611="1111")),TH!D2611,""),"")</f>
        <v/>
      </c>
      <c r="B2611" s="63" t="str">
        <f t="shared" si="297"/>
        <v/>
      </c>
      <c r="C2611" s="64"/>
      <c r="D2611" s="64"/>
      <c r="E2611" s="64"/>
      <c r="F2611" s="67"/>
      <c r="G2611" s="67"/>
      <c r="H2611" s="73"/>
      <c r="I2611" s="439"/>
      <c r="J2611" s="439"/>
      <c r="K2611" s="430"/>
      <c r="L2611" s="439"/>
      <c r="M2611" s="65"/>
      <c r="N2611" s="66"/>
      <c r="O2611" s="66"/>
      <c r="P2611" s="84" t="str">
        <f>IF(AND('331-CT'!$E$7=TH!H2611,OR(N2611="331",O2611="331")),"x","")</f>
        <v/>
      </c>
      <c r="Q2611" s="84" t="str">
        <f>IF(AND(B2611='111'!$L$11,OR($N2611=$Q$7,$O2611=$Q$7)),"x","")</f>
        <v/>
      </c>
      <c r="R2611" s="84" t="str">
        <f>IF(AND($N2611=$Q$7,$B2611&lt;'111'!$L$11),"x","")</f>
        <v/>
      </c>
      <c r="S2611" s="84" t="str">
        <f>IF(AND($O2611=$Q$7,$B2611&lt;'111'!$L$11),"x","")</f>
        <v/>
      </c>
      <c r="T2611" s="84" t="str">
        <f>IF(ISERROR(FIND('112'!$M$9,G2611,1)),"",IF((AND(FIND('112'!$M$9,G2611,1)&gt;=1,B2611='112'!$K$9,OR($N2611='112'!$I$6,$O2611='112'!$I$6))),"x",""))</f>
        <v/>
      </c>
      <c r="U2611" s="84" t="str">
        <f>IF(ISERROR(FIND('112'!$M$9,G2611,1)),"",IF((AND(LEFT(G2611,2)=LEFT('112'!$M$9,2),B2611&lt;'112'!$K$9,$N2611='112'!$I$6)),"x",""))</f>
        <v/>
      </c>
      <c r="V2611" s="84" t="str">
        <f>IF(ISERROR(FIND('112'!$M$9,G2611,1)),"",IF((AND(RIGHT(G2611,2)=RIGHT('112'!$M$9,2),B2611&lt;'112'!$K$9,$O2611='112'!$I$6)),"x",""))</f>
        <v/>
      </c>
      <c r="W2611" s="84" t="str">
        <f>IF(AND('341-CT'!$H$9=H2611,OR(LEFT(N2611,3)=$W$7,LEFT(O2611,3)=$W$7)),"x","")</f>
        <v/>
      </c>
      <c r="X2611" s="84" t="str">
        <f>IF(OR(TH!N2611=TH!$X$7,O2611=TH!$X$7),"x","")</f>
        <v/>
      </c>
      <c r="Y2611" s="84" t="str">
        <f>IF(AND(OR(N2611="131",O2611="131"),H2611='131-CT'!$H$9),"x","")</f>
        <v/>
      </c>
      <c r="Z2611" s="84"/>
      <c r="AA2611" s="84" t="str">
        <f>IF(AND(MONTH(E2611)='IN-NX'!$J$5,'IN-NX'!$D$7=D2611),"x","")</f>
        <v/>
      </c>
      <c r="AB2611" s="84" t="str">
        <f>IF(AND(OR(LEFT(TH!N2611,2)="15",LEFT(TH!O2611,2)="15"),LEFT(TH!O2611,3)&lt;&gt;"111",'152-CT'!$J$8=TH!F2611),"x","")</f>
        <v/>
      </c>
      <c r="AC2611" s="84" t="str">
        <f>IF(AND(OR(LEFT(TH!N2611,2)="15",LEFT(TH!O2611,2)="15"),TK!$E$7=TH!F2611),"x","")</f>
        <v/>
      </c>
      <c r="AD2611" s="84" t="str">
        <f>IF(AND(N2611="1521",MONTH(C2611)='BK-NL'!$M$11),"x","")</f>
        <v/>
      </c>
    </row>
    <row r="2612" spans="1:30" s="351" customFormat="1" ht="15.75" hidden="1" customHeight="1">
      <c r="A2612" s="336" t="str">
        <f>IF(B2612&lt;&gt;"",IF(AND(B2612='IN-TC'!$S$4,OR(TH!N2612="1111",TH!O2612="1111")),TH!D2612,""),"")</f>
        <v/>
      </c>
      <c r="B2612" s="63" t="str">
        <f t="shared" si="297"/>
        <v/>
      </c>
      <c r="C2612" s="64"/>
      <c r="D2612" s="64"/>
      <c r="E2612" s="64"/>
      <c r="F2612" s="67"/>
      <c r="G2612" s="67"/>
      <c r="H2612" s="73"/>
      <c r="I2612" s="439"/>
      <c r="J2612" s="439"/>
      <c r="K2612" s="430"/>
      <c r="L2612" s="439"/>
      <c r="M2612" s="65"/>
      <c r="N2612" s="66"/>
      <c r="O2612" s="66"/>
      <c r="P2612" s="84" t="str">
        <f>IF(AND('331-CT'!$E$7=TH!H2612,OR(N2612="331",O2612="331")),"x","")</f>
        <v/>
      </c>
      <c r="Q2612" s="84" t="str">
        <f>IF(AND(B2612='111'!$L$11,OR($N2612=$Q$7,$O2612=$Q$7)),"x","")</f>
        <v/>
      </c>
      <c r="R2612" s="84" t="str">
        <f>IF(AND($N2612=$Q$7,$B2612&lt;'111'!$L$11),"x","")</f>
        <v/>
      </c>
      <c r="S2612" s="84" t="str">
        <f>IF(AND($O2612=$Q$7,$B2612&lt;'111'!$L$11),"x","")</f>
        <v/>
      </c>
      <c r="T2612" s="84" t="str">
        <f>IF(ISERROR(FIND('112'!$M$9,G2612,1)),"",IF((AND(FIND('112'!$M$9,G2612,1)&gt;=1,B2612='112'!$K$9,OR($N2612='112'!$I$6,$O2612='112'!$I$6))),"x",""))</f>
        <v/>
      </c>
      <c r="U2612" s="84" t="str">
        <f>IF(ISERROR(FIND('112'!$M$9,G2612,1)),"",IF((AND(LEFT(G2612,2)=LEFT('112'!$M$9,2),B2612&lt;'112'!$K$9,$N2612='112'!$I$6)),"x",""))</f>
        <v/>
      </c>
      <c r="V2612" s="84" t="str">
        <f>IF(ISERROR(FIND('112'!$M$9,G2612,1)),"",IF((AND(RIGHT(G2612,2)=RIGHT('112'!$M$9,2),B2612&lt;'112'!$K$9,$O2612='112'!$I$6)),"x",""))</f>
        <v/>
      </c>
      <c r="W2612" s="84" t="str">
        <f>IF(AND('341-CT'!$H$9=H2612,OR(LEFT(N2612,3)=$W$7,LEFT(O2612,3)=$W$7)),"x","")</f>
        <v/>
      </c>
      <c r="X2612" s="84" t="str">
        <f>IF(OR(TH!N2612=TH!$X$7,O2612=TH!$X$7),"x","")</f>
        <v/>
      </c>
      <c r="Y2612" s="84" t="str">
        <f>IF(AND(OR(N2612="131",O2612="131"),H2612='131-CT'!$H$9),"x","")</f>
        <v/>
      </c>
      <c r="Z2612" s="84"/>
      <c r="AA2612" s="84" t="str">
        <f>IF(AND(MONTH(E2612)='IN-NX'!$J$5,'IN-NX'!$D$7=D2612),"x","")</f>
        <v/>
      </c>
      <c r="AB2612" s="84" t="str">
        <f>IF(AND(OR(LEFT(TH!N2612,2)="15",LEFT(TH!O2612,2)="15"),LEFT(TH!O2612,3)&lt;&gt;"111",'152-CT'!$J$8=TH!F2612),"x","")</f>
        <v/>
      </c>
      <c r="AC2612" s="84" t="str">
        <f>IF(AND(OR(LEFT(TH!N2612,2)="15",LEFT(TH!O2612,2)="15"),TK!$E$7=TH!F2612),"x","")</f>
        <v/>
      </c>
      <c r="AD2612" s="84" t="str">
        <f>IF(AND(N2612="1521",MONTH(C2612)='BK-NL'!$M$11),"x","")</f>
        <v/>
      </c>
    </row>
    <row r="2613" spans="1:30" s="351" customFormat="1" ht="15.75" hidden="1" customHeight="1">
      <c r="A2613" s="336" t="str">
        <f>IF(B2613&lt;&gt;"",IF(AND(B2613='IN-TC'!$S$4,OR(TH!N2613="1111",TH!O2613="1111")),TH!D2613,""),"")</f>
        <v/>
      </c>
      <c r="B2613" s="63" t="str">
        <f t="shared" si="297"/>
        <v/>
      </c>
      <c r="C2613" s="64"/>
      <c r="D2613" s="64"/>
      <c r="E2613" s="64"/>
      <c r="F2613" s="67"/>
      <c r="G2613" s="67"/>
      <c r="H2613" s="73"/>
      <c r="I2613" s="439"/>
      <c r="J2613" s="439"/>
      <c r="K2613" s="430"/>
      <c r="L2613" s="439"/>
      <c r="M2613" s="65"/>
      <c r="N2613" s="66"/>
      <c r="O2613" s="66"/>
      <c r="P2613" s="84" t="str">
        <f>IF(AND('331-CT'!$E$7=TH!H2613,OR(N2613="331",O2613="331")),"x","")</f>
        <v/>
      </c>
      <c r="Q2613" s="84" t="str">
        <f>IF(AND(B2613='111'!$L$11,OR($N2613=$Q$7,$O2613=$Q$7)),"x","")</f>
        <v/>
      </c>
      <c r="R2613" s="84" t="str">
        <f>IF(AND($N2613=$Q$7,$B2613&lt;'111'!$L$11),"x","")</f>
        <v/>
      </c>
      <c r="S2613" s="84" t="str">
        <f>IF(AND($O2613=$Q$7,$B2613&lt;'111'!$L$11),"x","")</f>
        <v/>
      </c>
      <c r="T2613" s="84" t="str">
        <f>IF(ISERROR(FIND('112'!$M$9,G2613,1)),"",IF((AND(FIND('112'!$M$9,G2613,1)&gt;=1,B2613='112'!$K$9,OR($N2613='112'!$I$6,$O2613='112'!$I$6))),"x",""))</f>
        <v/>
      </c>
      <c r="U2613" s="84" t="str">
        <f>IF(ISERROR(FIND('112'!$M$9,G2613,1)),"",IF((AND(LEFT(G2613,2)=LEFT('112'!$M$9,2),B2613&lt;'112'!$K$9,$N2613='112'!$I$6)),"x",""))</f>
        <v/>
      </c>
      <c r="V2613" s="84" t="str">
        <f>IF(ISERROR(FIND('112'!$M$9,G2613,1)),"",IF((AND(RIGHT(G2613,2)=RIGHT('112'!$M$9,2),B2613&lt;'112'!$K$9,$O2613='112'!$I$6)),"x",""))</f>
        <v/>
      </c>
      <c r="W2613" s="84" t="str">
        <f>IF(AND('341-CT'!$H$9=H2613,OR(LEFT(N2613,3)=$W$7,LEFT(O2613,3)=$W$7)),"x","")</f>
        <v/>
      </c>
      <c r="X2613" s="84" t="str">
        <f>IF(OR(TH!N2613=TH!$X$7,O2613=TH!$X$7),"x","")</f>
        <v/>
      </c>
      <c r="Y2613" s="84" t="str">
        <f>IF(AND(OR(N2613="131",O2613="131"),H2613='131-CT'!$H$9),"x","")</f>
        <v/>
      </c>
      <c r="Z2613" s="84"/>
      <c r="AA2613" s="84" t="str">
        <f>IF(AND(MONTH(E2613)='IN-NX'!$J$5,'IN-NX'!$D$7=D2613),"x","")</f>
        <v/>
      </c>
      <c r="AB2613" s="84" t="str">
        <f>IF(AND(OR(LEFT(TH!N2613,2)="15",LEFT(TH!O2613,2)="15"),LEFT(TH!O2613,3)&lt;&gt;"111",'152-CT'!$J$8=TH!F2613),"x","")</f>
        <v/>
      </c>
      <c r="AC2613" s="84" t="str">
        <f>IF(AND(OR(LEFT(TH!N2613,2)="15",LEFT(TH!O2613,2)="15"),TK!$E$7=TH!F2613),"x","")</f>
        <v/>
      </c>
      <c r="AD2613" s="84" t="str">
        <f>IF(AND(N2613="1521",MONTH(C2613)='BK-NL'!$M$11),"x","")</f>
        <v/>
      </c>
    </row>
    <row r="2614" spans="1:30" s="351" customFormat="1" ht="15.75" hidden="1" customHeight="1">
      <c r="A2614" s="336" t="str">
        <f>IF(B2614&lt;&gt;"",IF(AND(B2614='IN-TC'!$S$4,OR(TH!N2614="1111",TH!O2614="1111")),TH!D2614,""),"")</f>
        <v/>
      </c>
      <c r="B2614" s="63" t="str">
        <f t="shared" si="297"/>
        <v/>
      </c>
      <c r="C2614" s="64"/>
      <c r="D2614" s="64"/>
      <c r="E2614" s="64"/>
      <c r="F2614" s="67"/>
      <c r="G2614" s="67"/>
      <c r="H2614" s="73"/>
      <c r="I2614" s="439"/>
      <c r="J2614" s="439"/>
      <c r="K2614" s="430"/>
      <c r="L2614" s="439"/>
      <c r="M2614" s="65"/>
      <c r="N2614" s="66"/>
      <c r="O2614" s="66"/>
      <c r="P2614" s="84" t="str">
        <f>IF(AND('331-CT'!$E$7=TH!H2614,OR(N2614="331",O2614="331")),"x","")</f>
        <v/>
      </c>
      <c r="Q2614" s="84" t="str">
        <f>IF(AND(B2614='111'!$L$11,OR($N2614=$Q$7,$O2614=$Q$7)),"x","")</f>
        <v/>
      </c>
      <c r="R2614" s="84" t="str">
        <f>IF(AND($N2614=$Q$7,$B2614&lt;'111'!$L$11),"x","")</f>
        <v/>
      </c>
      <c r="S2614" s="84" t="str">
        <f>IF(AND($O2614=$Q$7,$B2614&lt;'111'!$L$11),"x","")</f>
        <v/>
      </c>
      <c r="T2614" s="84" t="str">
        <f>IF(ISERROR(FIND('112'!$M$9,G2614,1)),"",IF((AND(FIND('112'!$M$9,G2614,1)&gt;=1,B2614='112'!$K$9,OR($N2614='112'!$I$6,$O2614='112'!$I$6))),"x",""))</f>
        <v/>
      </c>
      <c r="U2614" s="84" t="str">
        <f>IF(ISERROR(FIND('112'!$M$9,G2614,1)),"",IF((AND(LEFT(G2614,2)=LEFT('112'!$M$9,2),B2614&lt;'112'!$K$9,$N2614='112'!$I$6)),"x",""))</f>
        <v/>
      </c>
      <c r="V2614" s="84" t="str">
        <f>IF(ISERROR(FIND('112'!$M$9,G2614,1)),"",IF((AND(RIGHT(G2614,2)=RIGHT('112'!$M$9,2),B2614&lt;'112'!$K$9,$O2614='112'!$I$6)),"x",""))</f>
        <v/>
      </c>
      <c r="W2614" s="84" t="str">
        <f>IF(AND('341-CT'!$H$9=H2614,OR(LEFT(N2614,3)=$W$7,LEFT(O2614,3)=$W$7)),"x","")</f>
        <v/>
      </c>
      <c r="X2614" s="84" t="str">
        <f>IF(OR(TH!N2614=TH!$X$7,O2614=TH!$X$7),"x","")</f>
        <v/>
      </c>
      <c r="Y2614" s="84" t="str">
        <f>IF(AND(OR(N2614="131",O2614="131"),H2614='131-CT'!$H$9),"x","")</f>
        <v/>
      </c>
      <c r="Z2614" s="84"/>
      <c r="AA2614" s="84" t="str">
        <f>IF(AND(MONTH(E2614)='IN-NX'!$J$5,'IN-NX'!$D$7=D2614),"x","")</f>
        <v/>
      </c>
      <c r="AB2614" s="84" t="str">
        <f>IF(AND(OR(LEFT(TH!N2614,2)="15",LEFT(TH!O2614,2)="15"),LEFT(TH!O2614,3)&lt;&gt;"111",'152-CT'!$J$8=TH!F2614),"x","")</f>
        <v/>
      </c>
      <c r="AC2614" s="84" t="str">
        <f>IF(AND(OR(LEFT(TH!N2614,2)="15",LEFT(TH!O2614,2)="15"),TK!$E$7=TH!F2614),"x","")</f>
        <v/>
      </c>
      <c r="AD2614" s="84" t="str">
        <f>IF(AND(N2614="1521",MONTH(C2614)='BK-NL'!$M$11),"x","")</f>
        <v/>
      </c>
    </row>
    <row r="2615" spans="1:30" s="351" customFormat="1" ht="15.75" hidden="1" customHeight="1">
      <c r="A2615" s="336" t="str">
        <f>IF(B2615&lt;&gt;"",IF(AND(B2615='IN-TC'!$S$4,OR(TH!N2615="1111",TH!O2615="1111")),TH!D2615,""),"")</f>
        <v/>
      </c>
      <c r="B2615" s="63" t="str">
        <f t="shared" si="297"/>
        <v/>
      </c>
      <c r="C2615" s="64"/>
      <c r="D2615" s="64"/>
      <c r="E2615" s="64"/>
      <c r="F2615" s="67"/>
      <c r="G2615" s="67"/>
      <c r="H2615" s="73"/>
      <c r="I2615" s="439"/>
      <c r="J2615" s="439"/>
      <c r="K2615" s="430"/>
      <c r="L2615" s="439"/>
      <c r="M2615" s="65"/>
      <c r="N2615" s="66"/>
      <c r="O2615" s="66"/>
      <c r="P2615" s="84" t="str">
        <f>IF(AND('331-CT'!$E$7=TH!H2615,OR(N2615="331",O2615="331")),"x","")</f>
        <v/>
      </c>
      <c r="Q2615" s="84" t="str">
        <f>IF(AND(B2615='111'!$L$11,OR($N2615=$Q$7,$O2615=$Q$7)),"x","")</f>
        <v/>
      </c>
      <c r="R2615" s="84" t="str">
        <f>IF(AND($N2615=$Q$7,$B2615&lt;'111'!$L$11),"x","")</f>
        <v/>
      </c>
      <c r="S2615" s="84" t="str">
        <f>IF(AND($O2615=$Q$7,$B2615&lt;'111'!$L$11),"x","")</f>
        <v/>
      </c>
      <c r="T2615" s="84" t="str">
        <f>IF(ISERROR(FIND('112'!$M$9,G2615,1)),"",IF((AND(FIND('112'!$M$9,G2615,1)&gt;=1,B2615='112'!$K$9,OR($N2615='112'!$I$6,$O2615='112'!$I$6))),"x",""))</f>
        <v/>
      </c>
      <c r="U2615" s="84" t="str">
        <f>IF(ISERROR(FIND('112'!$M$9,G2615,1)),"",IF((AND(LEFT(G2615,2)=LEFT('112'!$M$9,2),B2615&lt;'112'!$K$9,$N2615='112'!$I$6)),"x",""))</f>
        <v/>
      </c>
      <c r="V2615" s="84" t="str">
        <f>IF(ISERROR(FIND('112'!$M$9,G2615,1)),"",IF((AND(RIGHT(G2615,2)=RIGHT('112'!$M$9,2),B2615&lt;'112'!$K$9,$O2615='112'!$I$6)),"x",""))</f>
        <v/>
      </c>
      <c r="W2615" s="84" t="str">
        <f>IF(AND('341-CT'!$H$9=H2615,OR(LEFT(N2615,3)=$W$7,LEFT(O2615,3)=$W$7)),"x","")</f>
        <v/>
      </c>
      <c r="X2615" s="84" t="str">
        <f>IF(OR(TH!N2615=TH!$X$7,O2615=TH!$X$7),"x","")</f>
        <v/>
      </c>
      <c r="Y2615" s="84" t="str">
        <f>IF(AND(OR(N2615="131",O2615="131"),H2615='131-CT'!$H$9),"x","")</f>
        <v/>
      </c>
      <c r="Z2615" s="84"/>
      <c r="AA2615" s="84" t="str">
        <f>IF(AND(MONTH(E2615)='IN-NX'!$J$5,'IN-NX'!$D$7=D2615),"x","")</f>
        <v/>
      </c>
      <c r="AB2615" s="84" t="str">
        <f>IF(AND(OR(LEFT(TH!N2615,2)="15",LEFT(TH!O2615,2)="15"),LEFT(TH!O2615,3)&lt;&gt;"111",'152-CT'!$J$8=TH!F2615),"x","")</f>
        <v/>
      </c>
      <c r="AC2615" s="84" t="str">
        <f>IF(AND(OR(LEFT(TH!N2615,2)="15",LEFT(TH!O2615,2)="15"),TK!$E$7=TH!F2615),"x","")</f>
        <v/>
      </c>
      <c r="AD2615" s="84" t="str">
        <f>IF(AND(N2615="1521",MONTH(C2615)='BK-NL'!$M$11),"x","")</f>
        <v/>
      </c>
    </row>
    <row r="2616" spans="1:30" s="351" customFormat="1" ht="15.75" hidden="1" customHeight="1">
      <c r="A2616" s="336" t="str">
        <f>IF(B2616&lt;&gt;"",IF(AND(B2616='IN-TC'!$S$4,OR(TH!N2616="1111",TH!O2616="1111")),TH!D2616,""),"")</f>
        <v/>
      </c>
      <c r="B2616" s="63" t="str">
        <f t="shared" si="297"/>
        <v/>
      </c>
      <c r="C2616" s="64"/>
      <c r="D2616" s="64"/>
      <c r="E2616" s="64"/>
      <c r="F2616" s="67"/>
      <c r="G2616" s="67"/>
      <c r="H2616" s="73"/>
      <c r="I2616" s="439"/>
      <c r="J2616" s="439"/>
      <c r="K2616" s="430"/>
      <c r="L2616" s="439"/>
      <c r="M2616" s="65"/>
      <c r="N2616" s="66"/>
      <c r="O2616" s="66"/>
      <c r="P2616" s="84" t="str">
        <f>IF(AND('331-CT'!$E$7=TH!H2616,OR(N2616="331",O2616="331")),"x","")</f>
        <v/>
      </c>
      <c r="Q2616" s="84" t="str">
        <f>IF(AND(B2616='111'!$L$11,OR($N2616=$Q$7,$O2616=$Q$7)),"x","")</f>
        <v/>
      </c>
      <c r="R2616" s="84" t="str">
        <f>IF(AND($N2616=$Q$7,$B2616&lt;'111'!$L$11),"x","")</f>
        <v/>
      </c>
      <c r="S2616" s="84" t="str">
        <f>IF(AND($O2616=$Q$7,$B2616&lt;'111'!$L$11),"x","")</f>
        <v/>
      </c>
      <c r="T2616" s="84" t="str">
        <f>IF(ISERROR(FIND('112'!$M$9,G2616,1)),"",IF((AND(FIND('112'!$M$9,G2616,1)&gt;=1,B2616='112'!$K$9,OR($N2616='112'!$I$6,$O2616='112'!$I$6))),"x",""))</f>
        <v/>
      </c>
      <c r="U2616" s="84" t="str">
        <f>IF(ISERROR(FIND('112'!$M$9,G2616,1)),"",IF((AND(LEFT(G2616,2)=LEFT('112'!$M$9,2),B2616&lt;'112'!$K$9,$N2616='112'!$I$6)),"x",""))</f>
        <v/>
      </c>
      <c r="V2616" s="84" t="str">
        <f>IF(ISERROR(FIND('112'!$M$9,G2616,1)),"",IF((AND(RIGHT(G2616,2)=RIGHT('112'!$M$9,2),B2616&lt;'112'!$K$9,$O2616='112'!$I$6)),"x",""))</f>
        <v/>
      </c>
      <c r="W2616" s="84" t="str">
        <f>IF(AND('341-CT'!$H$9=H2616,OR(LEFT(N2616,3)=$W$7,LEFT(O2616,3)=$W$7)),"x","")</f>
        <v/>
      </c>
      <c r="X2616" s="84" t="str">
        <f>IF(OR(TH!N2616=TH!$X$7,O2616=TH!$X$7),"x","")</f>
        <v/>
      </c>
      <c r="Y2616" s="84" t="str">
        <f>IF(AND(OR(N2616="131",O2616="131"),H2616='131-CT'!$H$9),"x","")</f>
        <v/>
      </c>
      <c r="Z2616" s="84"/>
      <c r="AA2616" s="84" t="str">
        <f>IF(AND(MONTH(E2616)='IN-NX'!$J$5,'IN-NX'!$D$7=D2616),"x","")</f>
        <v/>
      </c>
      <c r="AB2616" s="84" t="str">
        <f>IF(AND(OR(LEFT(TH!N2616,2)="15",LEFT(TH!O2616,2)="15"),LEFT(TH!O2616,3)&lt;&gt;"111",'152-CT'!$J$8=TH!F2616),"x","")</f>
        <v/>
      </c>
      <c r="AC2616" s="84" t="str">
        <f>IF(AND(OR(LEFT(TH!N2616,2)="15",LEFT(TH!O2616,2)="15"),TK!$E$7=TH!F2616),"x","")</f>
        <v/>
      </c>
      <c r="AD2616" s="84" t="str">
        <f>IF(AND(N2616="1521",MONTH(C2616)='BK-NL'!$M$11),"x","")</f>
        <v/>
      </c>
    </row>
    <row r="2617" spans="1:30" s="351" customFormat="1" ht="15.75" hidden="1" customHeight="1">
      <c r="A2617" s="336" t="str">
        <f>IF(B2617&lt;&gt;"",IF(AND(B2617='IN-TC'!$S$4,OR(TH!N2617="1111",TH!O2617="1111")),TH!D2617,""),"")</f>
        <v/>
      </c>
      <c r="B2617" s="63" t="str">
        <f t="shared" si="297"/>
        <v/>
      </c>
      <c r="C2617" s="64"/>
      <c r="D2617" s="64"/>
      <c r="E2617" s="64"/>
      <c r="F2617" s="67"/>
      <c r="G2617" s="67"/>
      <c r="H2617" s="73"/>
      <c r="I2617" s="439"/>
      <c r="J2617" s="439"/>
      <c r="K2617" s="430"/>
      <c r="L2617" s="439"/>
      <c r="M2617" s="65"/>
      <c r="N2617" s="66"/>
      <c r="O2617" s="66"/>
      <c r="P2617" s="84" t="str">
        <f>IF(AND('331-CT'!$E$7=TH!H2617,OR(N2617="331",O2617="331")),"x","")</f>
        <v/>
      </c>
      <c r="Q2617" s="84" t="str">
        <f>IF(AND(B2617='111'!$L$11,OR($N2617=$Q$7,$O2617=$Q$7)),"x","")</f>
        <v/>
      </c>
      <c r="R2617" s="84" t="str">
        <f>IF(AND($N2617=$Q$7,$B2617&lt;'111'!$L$11),"x","")</f>
        <v/>
      </c>
      <c r="S2617" s="84" t="str">
        <f>IF(AND($O2617=$Q$7,$B2617&lt;'111'!$L$11),"x","")</f>
        <v/>
      </c>
      <c r="T2617" s="84" t="str">
        <f>IF(ISERROR(FIND('112'!$M$9,G2617,1)),"",IF((AND(FIND('112'!$M$9,G2617,1)&gt;=1,B2617='112'!$K$9,OR($N2617='112'!$I$6,$O2617='112'!$I$6))),"x",""))</f>
        <v/>
      </c>
      <c r="U2617" s="84" t="str">
        <f>IF(ISERROR(FIND('112'!$M$9,G2617,1)),"",IF((AND(LEFT(G2617,2)=LEFT('112'!$M$9,2),B2617&lt;'112'!$K$9,$N2617='112'!$I$6)),"x",""))</f>
        <v/>
      </c>
      <c r="V2617" s="84" t="str">
        <f>IF(ISERROR(FIND('112'!$M$9,G2617,1)),"",IF((AND(RIGHT(G2617,2)=RIGHT('112'!$M$9,2),B2617&lt;'112'!$K$9,$O2617='112'!$I$6)),"x",""))</f>
        <v/>
      </c>
      <c r="W2617" s="84" t="str">
        <f>IF(AND('341-CT'!$H$9=H2617,OR(LEFT(N2617,3)=$W$7,LEFT(O2617,3)=$W$7)),"x","")</f>
        <v/>
      </c>
      <c r="X2617" s="84" t="str">
        <f>IF(OR(TH!N2617=TH!$X$7,O2617=TH!$X$7),"x","")</f>
        <v/>
      </c>
      <c r="Y2617" s="84" t="str">
        <f>IF(AND(OR(N2617="131",O2617="131"),H2617='131-CT'!$H$9),"x","")</f>
        <v/>
      </c>
      <c r="Z2617" s="84"/>
      <c r="AA2617" s="84" t="str">
        <f>IF(AND(MONTH(E2617)='IN-NX'!$J$5,'IN-NX'!$D$7=D2617),"x","")</f>
        <v/>
      </c>
      <c r="AB2617" s="84" t="str">
        <f>IF(AND(OR(LEFT(TH!N2617,2)="15",LEFT(TH!O2617,2)="15"),LEFT(TH!O2617,3)&lt;&gt;"111",'152-CT'!$J$8=TH!F2617),"x","")</f>
        <v/>
      </c>
      <c r="AC2617" s="84" t="str">
        <f>IF(AND(OR(LEFT(TH!N2617,2)="15",LEFT(TH!O2617,2)="15"),TK!$E$7=TH!F2617),"x","")</f>
        <v/>
      </c>
      <c r="AD2617" s="84" t="str">
        <f>IF(AND(N2617="1521",MONTH(C2617)='BK-NL'!$M$11),"x","")</f>
        <v/>
      </c>
    </row>
    <row r="2618" spans="1:30" s="351" customFormat="1" ht="15.75" hidden="1" customHeight="1">
      <c r="A2618" s="336" t="str">
        <f>IF(B2618&lt;&gt;"",IF(AND(B2618='IN-TC'!$S$4,OR(TH!N2618="1111",TH!O2618="1111")),TH!D2618,""),"")</f>
        <v/>
      </c>
      <c r="B2618" s="63" t="str">
        <f t="shared" si="297"/>
        <v/>
      </c>
      <c r="C2618" s="64"/>
      <c r="D2618" s="64"/>
      <c r="E2618" s="64"/>
      <c r="F2618" s="67"/>
      <c r="G2618" s="67"/>
      <c r="H2618" s="73"/>
      <c r="I2618" s="439"/>
      <c r="J2618" s="439"/>
      <c r="K2618" s="430"/>
      <c r="L2618" s="439"/>
      <c r="M2618" s="65"/>
      <c r="N2618" s="66"/>
      <c r="O2618" s="66"/>
      <c r="P2618" s="84" t="str">
        <f>IF(AND('331-CT'!$E$7=TH!H2618,OR(N2618="331",O2618="331")),"x","")</f>
        <v/>
      </c>
      <c r="Q2618" s="84" t="str">
        <f>IF(AND(B2618='111'!$L$11,OR($N2618=$Q$7,$O2618=$Q$7)),"x","")</f>
        <v/>
      </c>
      <c r="R2618" s="84" t="str">
        <f>IF(AND($N2618=$Q$7,$B2618&lt;'111'!$L$11),"x","")</f>
        <v/>
      </c>
      <c r="S2618" s="84" t="str">
        <f>IF(AND($O2618=$Q$7,$B2618&lt;'111'!$L$11),"x","")</f>
        <v/>
      </c>
      <c r="T2618" s="84" t="str">
        <f>IF(ISERROR(FIND('112'!$M$9,G2618,1)),"",IF((AND(FIND('112'!$M$9,G2618,1)&gt;=1,B2618='112'!$K$9,OR($N2618='112'!$I$6,$O2618='112'!$I$6))),"x",""))</f>
        <v/>
      </c>
      <c r="U2618" s="84" t="str">
        <f>IF(ISERROR(FIND('112'!$M$9,G2618,1)),"",IF((AND(LEFT(G2618,2)=LEFT('112'!$M$9,2),B2618&lt;'112'!$K$9,$N2618='112'!$I$6)),"x",""))</f>
        <v/>
      </c>
      <c r="V2618" s="84" t="str">
        <f>IF(ISERROR(FIND('112'!$M$9,G2618,1)),"",IF((AND(RIGHT(G2618,2)=RIGHT('112'!$M$9,2),B2618&lt;'112'!$K$9,$O2618='112'!$I$6)),"x",""))</f>
        <v/>
      </c>
      <c r="W2618" s="84" t="str">
        <f>IF(AND('341-CT'!$H$9=H2618,OR(LEFT(N2618,3)=$W$7,LEFT(O2618,3)=$W$7)),"x","")</f>
        <v/>
      </c>
      <c r="X2618" s="84" t="str">
        <f>IF(OR(TH!N2618=TH!$X$7,O2618=TH!$X$7),"x","")</f>
        <v/>
      </c>
      <c r="Y2618" s="84" t="str">
        <f>IF(AND(OR(N2618="131",O2618="131"),H2618='131-CT'!$H$9),"x","")</f>
        <v/>
      </c>
      <c r="Z2618" s="84"/>
      <c r="AA2618" s="84" t="str">
        <f>IF(AND(MONTH(E2618)='IN-NX'!$J$5,'IN-NX'!$D$7=D2618),"x","")</f>
        <v/>
      </c>
      <c r="AB2618" s="84" t="str">
        <f>IF(AND(OR(LEFT(TH!N2618,2)="15",LEFT(TH!O2618,2)="15"),LEFT(TH!O2618,3)&lt;&gt;"111",'152-CT'!$J$8=TH!F2618),"x","")</f>
        <v/>
      </c>
      <c r="AC2618" s="84" t="str">
        <f>IF(AND(OR(LEFT(TH!N2618,2)="15",LEFT(TH!O2618,2)="15"),TK!$E$7=TH!F2618),"x","")</f>
        <v/>
      </c>
      <c r="AD2618" s="84" t="str">
        <f>IF(AND(N2618="1521",MONTH(C2618)='BK-NL'!$M$11),"x","")</f>
        <v/>
      </c>
    </row>
    <row r="2619" spans="1:30" s="351" customFormat="1" ht="15.75" hidden="1" customHeight="1">
      <c r="A2619" s="336" t="str">
        <f>IF(B2619&lt;&gt;"",IF(AND(B2619='IN-TC'!$S$4,OR(TH!N2619="1111",TH!O2619="1111")),TH!D2619,""),"")</f>
        <v/>
      </c>
      <c r="B2619" s="63" t="str">
        <f t="shared" si="297"/>
        <v/>
      </c>
      <c r="C2619" s="64"/>
      <c r="D2619" s="64"/>
      <c r="E2619" s="64"/>
      <c r="F2619" s="67"/>
      <c r="G2619" s="67"/>
      <c r="H2619" s="73"/>
      <c r="I2619" s="439"/>
      <c r="J2619" s="439"/>
      <c r="K2619" s="430"/>
      <c r="L2619" s="439"/>
      <c r="M2619" s="65"/>
      <c r="N2619" s="66"/>
      <c r="O2619" s="66"/>
      <c r="P2619" s="84" t="str">
        <f>IF(AND('331-CT'!$E$7=TH!H2619,OR(N2619="331",O2619="331")),"x","")</f>
        <v/>
      </c>
      <c r="Q2619" s="84" t="str">
        <f>IF(AND(B2619='111'!$L$11,OR($N2619=$Q$7,$O2619=$Q$7)),"x","")</f>
        <v/>
      </c>
      <c r="R2619" s="84" t="str">
        <f>IF(AND($N2619=$Q$7,$B2619&lt;'111'!$L$11),"x","")</f>
        <v/>
      </c>
      <c r="S2619" s="84" t="str">
        <f>IF(AND($O2619=$Q$7,$B2619&lt;'111'!$L$11),"x","")</f>
        <v/>
      </c>
      <c r="T2619" s="84" t="str">
        <f>IF(ISERROR(FIND('112'!$M$9,G2619,1)),"",IF((AND(FIND('112'!$M$9,G2619,1)&gt;=1,B2619='112'!$K$9,OR($N2619='112'!$I$6,$O2619='112'!$I$6))),"x",""))</f>
        <v/>
      </c>
      <c r="U2619" s="84" t="str">
        <f>IF(ISERROR(FIND('112'!$M$9,G2619,1)),"",IF((AND(LEFT(G2619,2)=LEFT('112'!$M$9,2),B2619&lt;'112'!$K$9,$N2619='112'!$I$6)),"x",""))</f>
        <v/>
      </c>
      <c r="V2619" s="84" t="str">
        <f>IF(ISERROR(FIND('112'!$M$9,G2619,1)),"",IF((AND(RIGHT(G2619,2)=RIGHT('112'!$M$9,2),B2619&lt;'112'!$K$9,$O2619='112'!$I$6)),"x",""))</f>
        <v/>
      </c>
      <c r="W2619" s="84" t="str">
        <f>IF(AND('341-CT'!$H$9=H2619,OR(LEFT(N2619,3)=$W$7,LEFT(O2619,3)=$W$7)),"x","")</f>
        <v/>
      </c>
      <c r="X2619" s="84" t="str">
        <f>IF(OR(TH!N2619=TH!$X$7,O2619=TH!$X$7),"x","")</f>
        <v/>
      </c>
      <c r="Y2619" s="84" t="str">
        <f>IF(AND(OR(N2619="131",O2619="131"),H2619='131-CT'!$H$9),"x","")</f>
        <v/>
      </c>
      <c r="Z2619" s="84"/>
      <c r="AA2619" s="84" t="str">
        <f>IF(AND(MONTH(E2619)='IN-NX'!$J$5,'IN-NX'!$D$7=D2619),"x","")</f>
        <v/>
      </c>
      <c r="AB2619" s="84" t="str">
        <f>IF(AND(OR(LEFT(TH!N2619,2)="15",LEFT(TH!O2619,2)="15"),LEFT(TH!O2619,3)&lt;&gt;"111",'152-CT'!$J$8=TH!F2619),"x","")</f>
        <v/>
      </c>
      <c r="AC2619" s="84" t="str">
        <f>IF(AND(OR(LEFT(TH!N2619,2)="15",LEFT(TH!O2619,2)="15"),TK!$E$7=TH!F2619),"x","")</f>
        <v/>
      </c>
      <c r="AD2619" s="84" t="str">
        <f>IF(AND(N2619="1521",MONTH(C2619)='BK-NL'!$M$11),"x","")</f>
        <v/>
      </c>
    </row>
    <row r="2620" spans="1:30" s="351" customFormat="1" ht="15.75" hidden="1" customHeight="1">
      <c r="A2620" s="336" t="str">
        <f>IF(B2620&lt;&gt;"",IF(AND(B2620='IN-TC'!$S$4,OR(TH!N2620="1111",TH!O2620="1111")),TH!D2620,""),"")</f>
        <v/>
      </c>
      <c r="B2620" s="63" t="str">
        <f t="shared" si="297"/>
        <v/>
      </c>
      <c r="C2620" s="64"/>
      <c r="D2620" s="64"/>
      <c r="E2620" s="64"/>
      <c r="F2620" s="67"/>
      <c r="G2620" s="67"/>
      <c r="H2620" s="73"/>
      <c r="I2620" s="439"/>
      <c r="J2620" s="439"/>
      <c r="K2620" s="430"/>
      <c r="L2620" s="439"/>
      <c r="M2620" s="65"/>
      <c r="N2620" s="66"/>
      <c r="O2620" s="66"/>
      <c r="P2620" s="84" t="str">
        <f>IF(AND('331-CT'!$E$7=TH!H2620,OR(N2620="331",O2620="331")),"x","")</f>
        <v/>
      </c>
      <c r="Q2620" s="84" t="str">
        <f>IF(AND(B2620='111'!$L$11,OR($N2620=$Q$7,$O2620=$Q$7)),"x","")</f>
        <v/>
      </c>
      <c r="R2620" s="84" t="str">
        <f>IF(AND($N2620=$Q$7,$B2620&lt;'111'!$L$11),"x","")</f>
        <v/>
      </c>
      <c r="S2620" s="84" t="str">
        <f>IF(AND($O2620=$Q$7,$B2620&lt;'111'!$L$11),"x","")</f>
        <v/>
      </c>
      <c r="T2620" s="84" t="str">
        <f>IF(ISERROR(FIND('112'!$M$9,G2620,1)),"",IF((AND(FIND('112'!$M$9,G2620,1)&gt;=1,B2620='112'!$K$9,OR($N2620='112'!$I$6,$O2620='112'!$I$6))),"x",""))</f>
        <v/>
      </c>
      <c r="U2620" s="84" t="str">
        <f>IF(ISERROR(FIND('112'!$M$9,G2620,1)),"",IF((AND(LEFT(G2620,2)=LEFT('112'!$M$9,2),B2620&lt;'112'!$K$9,$N2620='112'!$I$6)),"x",""))</f>
        <v/>
      </c>
      <c r="V2620" s="84" t="str">
        <f>IF(ISERROR(FIND('112'!$M$9,G2620,1)),"",IF((AND(RIGHT(G2620,2)=RIGHT('112'!$M$9,2),B2620&lt;'112'!$K$9,$O2620='112'!$I$6)),"x",""))</f>
        <v/>
      </c>
      <c r="W2620" s="84" t="str">
        <f>IF(AND('341-CT'!$H$9=H2620,OR(LEFT(N2620,3)=$W$7,LEFT(O2620,3)=$W$7)),"x","")</f>
        <v/>
      </c>
      <c r="X2620" s="84" t="str">
        <f>IF(OR(TH!N2620=TH!$X$7,O2620=TH!$X$7),"x","")</f>
        <v/>
      </c>
      <c r="Y2620" s="84" t="str">
        <f>IF(AND(OR(N2620="131",O2620="131"),H2620='131-CT'!$H$9),"x","")</f>
        <v/>
      </c>
      <c r="Z2620" s="84"/>
      <c r="AA2620" s="84" t="str">
        <f>IF(AND(MONTH(E2620)='IN-NX'!$J$5,'IN-NX'!$D$7=D2620),"x","")</f>
        <v/>
      </c>
      <c r="AB2620" s="84" t="str">
        <f>IF(AND(OR(LEFT(TH!N2620,2)="15",LEFT(TH!O2620,2)="15"),LEFT(TH!O2620,3)&lt;&gt;"111",'152-CT'!$J$8=TH!F2620),"x","")</f>
        <v/>
      </c>
      <c r="AC2620" s="84" t="str">
        <f>IF(AND(OR(LEFT(TH!N2620,2)="15",LEFT(TH!O2620,2)="15"),TK!$E$7=TH!F2620),"x","")</f>
        <v/>
      </c>
      <c r="AD2620" s="84" t="str">
        <f>IF(AND(N2620="1521",MONTH(C2620)='BK-NL'!$M$11),"x","")</f>
        <v/>
      </c>
    </row>
    <row r="2621" spans="1:30" s="351" customFormat="1" ht="15.75" hidden="1" customHeight="1">
      <c r="A2621" s="336" t="str">
        <f>IF(B2621&lt;&gt;"",IF(AND(B2621='IN-TC'!$S$4,OR(TH!N2621="1111",TH!O2621="1111")),TH!D2621,""),"")</f>
        <v/>
      </c>
      <c r="B2621" s="63" t="str">
        <f t="shared" si="297"/>
        <v/>
      </c>
      <c r="C2621" s="64"/>
      <c r="D2621" s="64"/>
      <c r="E2621" s="64"/>
      <c r="F2621" s="67"/>
      <c r="G2621" s="67"/>
      <c r="H2621" s="73"/>
      <c r="I2621" s="439"/>
      <c r="J2621" s="439"/>
      <c r="K2621" s="430"/>
      <c r="L2621" s="439"/>
      <c r="M2621" s="65"/>
      <c r="N2621" s="66"/>
      <c r="O2621" s="66"/>
      <c r="P2621" s="84" t="str">
        <f>IF(AND('331-CT'!$E$7=TH!H2621,OR(N2621="331",O2621="331")),"x","")</f>
        <v/>
      </c>
      <c r="Q2621" s="84" t="str">
        <f>IF(AND(B2621='111'!$L$11,OR($N2621=$Q$7,$O2621=$Q$7)),"x","")</f>
        <v/>
      </c>
      <c r="R2621" s="84" t="str">
        <f>IF(AND($N2621=$Q$7,$B2621&lt;'111'!$L$11),"x","")</f>
        <v/>
      </c>
      <c r="S2621" s="84" t="str">
        <f>IF(AND($O2621=$Q$7,$B2621&lt;'111'!$L$11),"x","")</f>
        <v/>
      </c>
      <c r="T2621" s="84" t="str">
        <f>IF(ISERROR(FIND('112'!$M$9,G2621,1)),"",IF((AND(FIND('112'!$M$9,G2621,1)&gt;=1,B2621='112'!$K$9,OR($N2621='112'!$I$6,$O2621='112'!$I$6))),"x",""))</f>
        <v/>
      </c>
      <c r="U2621" s="84" t="str">
        <f>IF(ISERROR(FIND('112'!$M$9,G2621,1)),"",IF((AND(LEFT(G2621,2)=LEFT('112'!$M$9,2),B2621&lt;'112'!$K$9,$N2621='112'!$I$6)),"x",""))</f>
        <v/>
      </c>
      <c r="V2621" s="84" t="str">
        <f>IF(ISERROR(FIND('112'!$M$9,G2621,1)),"",IF((AND(RIGHT(G2621,2)=RIGHT('112'!$M$9,2),B2621&lt;'112'!$K$9,$O2621='112'!$I$6)),"x",""))</f>
        <v/>
      </c>
      <c r="W2621" s="84" t="str">
        <f>IF(AND('341-CT'!$H$9=H2621,OR(LEFT(N2621,3)=$W$7,LEFT(O2621,3)=$W$7)),"x","")</f>
        <v/>
      </c>
      <c r="X2621" s="84" t="str">
        <f>IF(OR(TH!N2621=TH!$X$7,O2621=TH!$X$7),"x","")</f>
        <v/>
      </c>
      <c r="Y2621" s="84" t="str">
        <f>IF(AND(OR(N2621="131",O2621="131"),H2621='131-CT'!$H$9),"x","")</f>
        <v/>
      </c>
      <c r="Z2621" s="84"/>
      <c r="AA2621" s="84" t="str">
        <f>IF(AND(MONTH(E2621)='IN-NX'!$J$5,'IN-NX'!$D$7=D2621),"x","")</f>
        <v/>
      </c>
      <c r="AB2621" s="84" t="str">
        <f>IF(AND(OR(LEFT(TH!N2621,2)="15",LEFT(TH!O2621,2)="15"),LEFT(TH!O2621,3)&lt;&gt;"111",'152-CT'!$J$8=TH!F2621),"x","")</f>
        <v/>
      </c>
      <c r="AC2621" s="84" t="str">
        <f>IF(AND(OR(LEFT(TH!N2621,2)="15",LEFT(TH!O2621,2)="15"),TK!$E$7=TH!F2621),"x","")</f>
        <v/>
      </c>
      <c r="AD2621" s="84" t="str">
        <f>IF(AND(N2621="1521",MONTH(C2621)='BK-NL'!$M$11),"x","")</f>
        <v/>
      </c>
    </row>
    <row r="2622" spans="1:30" s="351" customFormat="1" ht="15.75" hidden="1" customHeight="1">
      <c r="A2622" s="336" t="str">
        <f>IF(B2622&lt;&gt;"",IF(AND(B2622='IN-TC'!$S$4,OR(TH!N2622="1111",TH!O2622="1111")),TH!D2622,""),"")</f>
        <v/>
      </c>
      <c r="B2622" s="63" t="str">
        <f t="shared" si="297"/>
        <v/>
      </c>
      <c r="C2622" s="64"/>
      <c r="D2622" s="64"/>
      <c r="E2622" s="64"/>
      <c r="F2622" s="67"/>
      <c r="G2622" s="67"/>
      <c r="H2622" s="73"/>
      <c r="I2622" s="439"/>
      <c r="J2622" s="439"/>
      <c r="K2622" s="430"/>
      <c r="L2622" s="439"/>
      <c r="M2622" s="65"/>
      <c r="N2622" s="66"/>
      <c r="O2622" s="66"/>
      <c r="P2622" s="84" t="str">
        <f>IF(AND('331-CT'!$E$7=TH!H2622,OR(N2622="331",O2622="331")),"x","")</f>
        <v/>
      </c>
      <c r="Q2622" s="84" t="str">
        <f>IF(AND(B2622='111'!$L$11,OR($N2622=$Q$7,$O2622=$Q$7)),"x","")</f>
        <v/>
      </c>
      <c r="R2622" s="84" t="str">
        <f>IF(AND($N2622=$Q$7,$B2622&lt;'111'!$L$11),"x","")</f>
        <v/>
      </c>
      <c r="S2622" s="84" t="str">
        <f>IF(AND($O2622=$Q$7,$B2622&lt;'111'!$L$11),"x","")</f>
        <v/>
      </c>
      <c r="T2622" s="84" t="str">
        <f>IF(ISERROR(FIND('112'!$M$9,G2622,1)),"",IF((AND(FIND('112'!$M$9,G2622,1)&gt;=1,B2622='112'!$K$9,OR($N2622='112'!$I$6,$O2622='112'!$I$6))),"x",""))</f>
        <v/>
      </c>
      <c r="U2622" s="84" t="str">
        <f>IF(ISERROR(FIND('112'!$M$9,G2622,1)),"",IF((AND(LEFT(G2622,2)=LEFT('112'!$M$9,2),B2622&lt;'112'!$K$9,$N2622='112'!$I$6)),"x",""))</f>
        <v/>
      </c>
      <c r="V2622" s="84" t="str">
        <f>IF(ISERROR(FIND('112'!$M$9,G2622,1)),"",IF((AND(RIGHT(G2622,2)=RIGHT('112'!$M$9,2),B2622&lt;'112'!$K$9,$O2622='112'!$I$6)),"x",""))</f>
        <v/>
      </c>
      <c r="W2622" s="84" t="str">
        <f>IF(AND('341-CT'!$H$9=H2622,OR(LEFT(N2622,3)=$W$7,LEFT(O2622,3)=$W$7)),"x","")</f>
        <v/>
      </c>
      <c r="X2622" s="84" t="str">
        <f>IF(OR(TH!N2622=TH!$X$7,O2622=TH!$X$7),"x","")</f>
        <v/>
      </c>
      <c r="Y2622" s="84" t="str">
        <f>IF(AND(OR(N2622="131",O2622="131"),H2622='131-CT'!$H$9),"x","")</f>
        <v/>
      </c>
      <c r="Z2622" s="84"/>
      <c r="AA2622" s="84" t="str">
        <f>IF(AND(MONTH(E2622)='IN-NX'!$J$5,'IN-NX'!$D$7=D2622),"x","")</f>
        <v/>
      </c>
      <c r="AB2622" s="84" t="str">
        <f>IF(AND(OR(LEFT(TH!N2622,2)="15",LEFT(TH!O2622,2)="15"),LEFT(TH!O2622,3)&lt;&gt;"111",'152-CT'!$J$8=TH!F2622),"x","")</f>
        <v/>
      </c>
      <c r="AC2622" s="84" t="str">
        <f>IF(AND(OR(LEFT(TH!N2622,2)="15",LEFT(TH!O2622,2)="15"),TK!$E$7=TH!F2622),"x","")</f>
        <v/>
      </c>
      <c r="AD2622" s="84" t="str">
        <f>IF(AND(N2622="1521",MONTH(C2622)='BK-NL'!$M$11),"x","")</f>
        <v/>
      </c>
    </row>
    <row r="2623" spans="1:30" s="351" customFormat="1" ht="15.75" hidden="1" customHeight="1">
      <c r="A2623" s="336" t="str">
        <f>IF(B2623&lt;&gt;"",IF(AND(B2623='IN-TC'!$S$4,OR(TH!N2623="1111",TH!O2623="1111")),TH!D2623,""),"")</f>
        <v/>
      </c>
      <c r="B2623" s="63" t="str">
        <f t="shared" si="297"/>
        <v/>
      </c>
      <c r="C2623" s="64"/>
      <c r="D2623" s="64"/>
      <c r="E2623" s="64"/>
      <c r="F2623" s="67"/>
      <c r="G2623" s="67"/>
      <c r="H2623" s="73"/>
      <c r="I2623" s="439"/>
      <c r="J2623" s="439"/>
      <c r="K2623" s="430"/>
      <c r="L2623" s="439"/>
      <c r="M2623" s="65"/>
      <c r="N2623" s="66"/>
      <c r="O2623" s="66"/>
      <c r="P2623" s="84" t="str">
        <f>IF(AND('331-CT'!$E$7=TH!H2623,OR(N2623="331",O2623="331")),"x","")</f>
        <v/>
      </c>
      <c r="Q2623" s="84" t="str">
        <f>IF(AND(B2623='111'!$L$11,OR($N2623=$Q$7,$O2623=$Q$7)),"x","")</f>
        <v/>
      </c>
      <c r="R2623" s="84" t="str">
        <f>IF(AND($N2623=$Q$7,$B2623&lt;'111'!$L$11),"x","")</f>
        <v/>
      </c>
      <c r="S2623" s="84" t="str">
        <f>IF(AND($O2623=$Q$7,$B2623&lt;'111'!$L$11),"x","")</f>
        <v/>
      </c>
      <c r="T2623" s="84" t="str">
        <f>IF(ISERROR(FIND('112'!$M$9,G2623,1)),"",IF((AND(FIND('112'!$M$9,G2623,1)&gt;=1,B2623='112'!$K$9,OR($N2623='112'!$I$6,$O2623='112'!$I$6))),"x",""))</f>
        <v/>
      </c>
      <c r="U2623" s="84" t="str">
        <f>IF(ISERROR(FIND('112'!$M$9,G2623,1)),"",IF((AND(LEFT(G2623,2)=LEFT('112'!$M$9,2),B2623&lt;'112'!$K$9,$N2623='112'!$I$6)),"x",""))</f>
        <v/>
      </c>
      <c r="V2623" s="84" t="str">
        <f>IF(ISERROR(FIND('112'!$M$9,G2623,1)),"",IF((AND(RIGHT(G2623,2)=RIGHT('112'!$M$9,2),B2623&lt;'112'!$K$9,$O2623='112'!$I$6)),"x",""))</f>
        <v/>
      </c>
      <c r="W2623" s="84" t="str">
        <f>IF(AND('341-CT'!$H$9=H2623,OR(LEFT(N2623,3)=$W$7,LEFT(O2623,3)=$W$7)),"x","")</f>
        <v/>
      </c>
      <c r="X2623" s="84" t="str">
        <f>IF(OR(TH!N2623=TH!$X$7,O2623=TH!$X$7),"x","")</f>
        <v/>
      </c>
      <c r="Y2623" s="84" t="str">
        <f>IF(AND(OR(N2623="131",O2623="131"),H2623='131-CT'!$H$9),"x","")</f>
        <v/>
      </c>
      <c r="Z2623" s="84"/>
      <c r="AA2623" s="84" t="str">
        <f>IF(AND(MONTH(E2623)='IN-NX'!$J$5,'IN-NX'!$D$7=D2623),"x","")</f>
        <v/>
      </c>
      <c r="AB2623" s="84" t="str">
        <f>IF(AND(OR(LEFT(TH!N2623,2)="15",LEFT(TH!O2623,2)="15"),LEFT(TH!O2623,3)&lt;&gt;"111",'152-CT'!$J$8=TH!F2623),"x","")</f>
        <v/>
      </c>
      <c r="AC2623" s="84" t="str">
        <f>IF(AND(OR(LEFT(TH!N2623,2)="15",LEFT(TH!O2623,2)="15"),TK!$E$7=TH!F2623),"x","")</f>
        <v/>
      </c>
      <c r="AD2623" s="84" t="str">
        <f>IF(AND(N2623="1521",MONTH(C2623)='BK-NL'!$M$11),"x","")</f>
        <v/>
      </c>
    </row>
    <row r="2624" spans="1:30" s="351" customFormat="1" ht="15.75" hidden="1" customHeight="1">
      <c r="A2624" s="336" t="str">
        <f>IF(B2624&lt;&gt;"",IF(AND(B2624='IN-TC'!$S$4,OR(TH!N2624="1111",TH!O2624="1111")),TH!D2624,""),"")</f>
        <v/>
      </c>
      <c r="B2624" s="63" t="str">
        <f t="shared" si="297"/>
        <v/>
      </c>
      <c r="C2624" s="64"/>
      <c r="D2624" s="64"/>
      <c r="E2624" s="64"/>
      <c r="F2624" s="67"/>
      <c r="G2624" s="67"/>
      <c r="H2624" s="73"/>
      <c r="I2624" s="439"/>
      <c r="J2624" s="439"/>
      <c r="K2624" s="430"/>
      <c r="L2624" s="439"/>
      <c r="M2624" s="65"/>
      <c r="N2624" s="66"/>
      <c r="O2624" s="66"/>
      <c r="P2624" s="84" t="str">
        <f>IF(AND('331-CT'!$E$7=TH!H2624,OR(N2624="331",O2624="331")),"x","")</f>
        <v/>
      </c>
      <c r="Q2624" s="84" t="str">
        <f>IF(AND(B2624='111'!$L$11,OR($N2624=$Q$7,$O2624=$Q$7)),"x","")</f>
        <v/>
      </c>
      <c r="R2624" s="84" t="str">
        <f>IF(AND($N2624=$Q$7,$B2624&lt;'111'!$L$11),"x","")</f>
        <v/>
      </c>
      <c r="S2624" s="84" t="str">
        <f>IF(AND($O2624=$Q$7,$B2624&lt;'111'!$L$11),"x","")</f>
        <v/>
      </c>
      <c r="T2624" s="84" t="str">
        <f>IF(ISERROR(FIND('112'!$M$9,G2624,1)),"",IF((AND(FIND('112'!$M$9,G2624,1)&gt;=1,B2624='112'!$K$9,OR($N2624='112'!$I$6,$O2624='112'!$I$6))),"x",""))</f>
        <v/>
      </c>
      <c r="U2624" s="84" t="str">
        <f>IF(ISERROR(FIND('112'!$M$9,G2624,1)),"",IF((AND(LEFT(G2624,2)=LEFT('112'!$M$9,2),B2624&lt;'112'!$K$9,$N2624='112'!$I$6)),"x",""))</f>
        <v/>
      </c>
      <c r="V2624" s="84" t="str">
        <f>IF(ISERROR(FIND('112'!$M$9,G2624,1)),"",IF((AND(RIGHT(G2624,2)=RIGHT('112'!$M$9,2),B2624&lt;'112'!$K$9,$O2624='112'!$I$6)),"x",""))</f>
        <v/>
      </c>
      <c r="W2624" s="84" t="str">
        <f>IF(AND('341-CT'!$H$9=H2624,OR(LEFT(N2624,3)=$W$7,LEFT(O2624,3)=$W$7)),"x","")</f>
        <v/>
      </c>
      <c r="X2624" s="84" t="str">
        <f>IF(OR(TH!N2624=TH!$X$7,O2624=TH!$X$7),"x","")</f>
        <v/>
      </c>
      <c r="Y2624" s="84" t="str">
        <f>IF(AND(OR(N2624="131",O2624="131"),H2624='131-CT'!$H$9),"x","")</f>
        <v/>
      </c>
      <c r="Z2624" s="84"/>
      <c r="AA2624" s="84" t="str">
        <f>IF(AND(MONTH(E2624)='IN-NX'!$J$5,'IN-NX'!$D$7=D2624),"x","")</f>
        <v/>
      </c>
      <c r="AB2624" s="84" t="str">
        <f>IF(AND(OR(LEFT(TH!N2624,2)="15",LEFT(TH!O2624,2)="15"),LEFT(TH!O2624,3)&lt;&gt;"111",'152-CT'!$J$8=TH!F2624),"x","")</f>
        <v/>
      </c>
      <c r="AC2624" s="84" t="str">
        <f>IF(AND(OR(LEFT(TH!N2624,2)="15",LEFT(TH!O2624,2)="15"),TK!$E$7=TH!F2624),"x","")</f>
        <v/>
      </c>
      <c r="AD2624" s="84" t="str">
        <f>IF(AND(N2624="1521",MONTH(C2624)='BK-NL'!$M$11),"x","")</f>
        <v/>
      </c>
    </row>
    <row r="2625" spans="1:30" s="351" customFormat="1" ht="15.75" hidden="1" customHeight="1">
      <c r="A2625" s="336" t="str">
        <f>IF(B2625&lt;&gt;"",IF(AND(B2625='IN-TC'!$S$4,OR(TH!N2625="1111",TH!O2625="1111")),TH!D2625,""),"")</f>
        <v/>
      </c>
      <c r="B2625" s="63" t="str">
        <f t="shared" si="297"/>
        <v/>
      </c>
      <c r="C2625" s="64"/>
      <c r="D2625" s="64"/>
      <c r="E2625" s="64"/>
      <c r="F2625" s="67"/>
      <c r="G2625" s="67"/>
      <c r="H2625" s="73"/>
      <c r="I2625" s="439"/>
      <c r="J2625" s="439"/>
      <c r="K2625" s="430"/>
      <c r="L2625" s="439"/>
      <c r="M2625" s="65"/>
      <c r="N2625" s="66"/>
      <c r="O2625" s="66"/>
      <c r="P2625" s="84" t="str">
        <f>IF(AND('331-CT'!$E$7=TH!H2625,OR(N2625="331",O2625="331")),"x","")</f>
        <v/>
      </c>
      <c r="Q2625" s="84" t="str">
        <f>IF(AND(B2625='111'!$L$11,OR($N2625=$Q$7,$O2625=$Q$7)),"x","")</f>
        <v/>
      </c>
      <c r="R2625" s="84" t="str">
        <f>IF(AND($N2625=$Q$7,$B2625&lt;'111'!$L$11),"x","")</f>
        <v/>
      </c>
      <c r="S2625" s="84" t="str">
        <f>IF(AND($O2625=$Q$7,$B2625&lt;'111'!$L$11),"x","")</f>
        <v/>
      </c>
      <c r="T2625" s="84" t="str">
        <f>IF(ISERROR(FIND('112'!$M$9,G2625,1)),"",IF((AND(FIND('112'!$M$9,G2625,1)&gt;=1,B2625='112'!$K$9,OR($N2625='112'!$I$6,$O2625='112'!$I$6))),"x",""))</f>
        <v/>
      </c>
      <c r="U2625" s="84" t="str">
        <f>IF(ISERROR(FIND('112'!$M$9,G2625,1)),"",IF((AND(LEFT(G2625,2)=LEFT('112'!$M$9,2),B2625&lt;'112'!$K$9,$N2625='112'!$I$6)),"x",""))</f>
        <v/>
      </c>
      <c r="V2625" s="84" t="str">
        <f>IF(ISERROR(FIND('112'!$M$9,G2625,1)),"",IF((AND(RIGHT(G2625,2)=RIGHT('112'!$M$9,2),B2625&lt;'112'!$K$9,$O2625='112'!$I$6)),"x",""))</f>
        <v/>
      </c>
      <c r="W2625" s="84" t="str">
        <f>IF(AND('341-CT'!$H$9=H2625,OR(LEFT(N2625,3)=$W$7,LEFT(O2625,3)=$W$7)),"x","")</f>
        <v/>
      </c>
      <c r="X2625" s="84" t="str">
        <f>IF(OR(TH!N2625=TH!$X$7,O2625=TH!$X$7),"x","")</f>
        <v/>
      </c>
      <c r="Y2625" s="84" t="str">
        <f>IF(AND(OR(N2625="131",O2625="131"),H2625='131-CT'!$H$9),"x","")</f>
        <v/>
      </c>
      <c r="Z2625" s="84"/>
      <c r="AA2625" s="84" t="str">
        <f>IF(AND(MONTH(E2625)='IN-NX'!$J$5,'IN-NX'!$D$7=D2625),"x","")</f>
        <v/>
      </c>
      <c r="AB2625" s="84" t="str">
        <f>IF(AND(OR(LEFT(TH!N2625,2)="15",LEFT(TH!O2625,2)="15"),LEFT(TH!O2625,3)&lt;&gt;"111",'152-CT'!$J$8=TH!F2625),"x","")</f>
        <v/>
      </c>
      <c r="AC2625" s="84" t="str">
        <f>IF(AND(OR(LEFT(TH!N2625,2)="15",LEFT(TH!O2625,2)="15"),TK!$E$7=TH!F2625),"x","")</f>
        <v/>
      </c>
      <c r="AD2625" s="84" t="str">
        <f>IF(AND(N2625="1521",MONTH(C2625)='BK-NL'!$M$11),"x","")</f>
        <v/>
      </c>
    </row>
    <row r="2626" spans="1:30" s="351" customFormat="1" ht="15.75" hidden="1" customHeight="1">
      <c r="A2626" s="336" t="str">
        <f>IF(B2626&lt;&gt;"",IF(AND(B2626='IN-TC'!$S$4,OR(TH!N2626="1111",TH!O2626="1111")),TH!D2626,""),"")</f>
        <v/>
      </c>
      <c r="B2626" s="63" t="str">
        <f t="shared" si="297"/>
        <v/>
      </c>
      <c r="C2626" s="64"/>
      <c r="D2626" s="64"/>
      <c r="E2626" s="64"/>
      <c r="F2626" s="67"/>
      <c r="G2626" s="67"/>
      <c r="H2626" s="73"/>
      <c r="I2626" s="439"/>
      <c r="J2626" s="439"/>
      <c r="K2626" s="430"/>
      <c r="L2626" s="439"/>
      <c r="M2626" s="65"/>
      <c r="N2626" s="66"/>
      <c r="O2626" s="66"/>
      <c r="P2626" s="84" t="str">
        <f>IF(AND('331-CT'!$E$7=TH!H2626,OR(N2626="331",O2626="331")),"x","")</f>
        <v/>
      </c>
      <c r="Q2626" s="84" t="str">
        <f>IF(AND(B2626='111'!$L$11,OR($N2626=$Q$7,$O2626=$Q$7)),"x","")</f>
        <v/>
      </c>
      <c r="R2626" s="84" t="str">
        <f>IF(AND($N2626=$Q$7,$B2626&lt;'111'!$L$11),"x","")</f>
        <v/>
      </c>
      <c r="S2626" s="84" t="str">
        <f>IF(AND($O2626=$Q$7,$B2626&lt;'111'!$L$11),"x","")</f>
        <v/>
      </c>
      <c r="T2626" s="84" t="str">
        <f>IF(ISERROR(FIND('112'!$M$9,G2626,1)),"",IF((AND(FIND('112'!$M$9,G2626,1)&gt;=1,B2626='112'!$K$9,OR($N2626='112'!$I$6,$O2626='112'!$I$6))),"x",""))</f>
        <v/>
      </c>
      <c r="U2626" s="84" t="str">
        <f>IF(ISERROR(FIND('112'!$M$9,G2626,1)),"",IF((AND(LEFT(G2626,2)=LEFT('112'!$M$9,2),B2626&lt;'112'!$K$9,$N2626='112'!$I$6)),"x",""))</f>
        <v/>
      </c>
      <c r="V2626" s="84" t="str">
        <f>IF(ISERROR(FIND('112'!$M$9,G2626,1)),"",IF((AND(RIGHT(G2626,2)=RIGHT('112'!$M$9,2),B2626&lt;'112'!$K$9,$O2626='112'!$I$6)),"x",""))</f>
        <v/>
      </c>
      <c r="W2626" s="84" t="str">
        <f>IF(AND('341-CT'!$H$9=H2626,OR(LEFT(N2626,3)=$W$7,LEFT(O2626,3)=$W$7)),"x","")</f>
        <v/>
      </c>
      <c r="X2626" s="84" t="str">
        <f>IF(OR(TH!N2626=TH!$X$7,O2626=TH!$X$7),"x","")</f>
        <v/>
      </c>
      <c r="Y2626" s="84" t="str">
        <f>IF(AND(OR(N2626="131",O2626="131"),H2626='131-CT'!$H$9),"x","")</f>
        <v/>
      </c>
      <c r="Z2626" s="84"/>
      <c r="AA2626" s="84" t="str">
        <f>IF(AND(MONTH(E2626)='IN-NX'!$J$5,'IN-NX'!$D$7=D2626),"x","")</f>
        <v/>
      </c>
      <c r="AB2626" s="84" t="str">
        <f>IF(AND(OR(LEFT(TH!N2626,2)="15",LEFT(TH!O2626,2)="15"),LEFT(TH!O2626,3)&lt;&gt;"111",'152-CT'!$J$8=TH!F2626),"x","")</f>
        <v/>
      </c>
      <c r="AC2626" s="84" t="str">
        <f>IF(AND(OR(LEFT(TH!N2626,2)="15",LEFT(TH!O2626,2)="15"),TK!$E$7=TH!F2626),"x","")</f>
        <v/>
      </c>
      <c r="AD2626" s="84" t="str">
        <f>IF(AND(N2626="1521",MONTH(C2626)='BK-NL'!$M$11),"x","")</f>
        <v/>
      </c>
    </row>
    <row r="2627" spans="1:30" s="351" customFormat="1" ht="15.75" hidden="1" customHeight="1">
      <c r="A2627" s="336" t="str">
        <f>IF(B2627&lt;&gt;"",IF(AND(B2627='IN-TC'!$S$4,OR(TH!N2627="1111",TH!O2627="1111")),TH!D2627,""),"")</f>
        <v/>
      </c>
      <c r="B2627" s="63" t="str">
        <f t="shared" si="297"/>
        <v/>
      </c>
      <c r="C2627" s="64"/>
      <c r="D2627" s="64"/>
      <c r="E2627" s="64"/>
      <c r="F2627" s="67"/>
      <c r="G2627" s="67"/>
      <c r="H2627" s="73"/>
      <c r="I2627" s="439"/>
      <c r="J2627" s="439"/>
      <c r="K2627" s="430"/>
      <c r="L2627" s="439"/>
      <c r="M2627" s="65"/>
      <c r="N2627" s="66"/>
      <c r="O2627" s="66"/>
      <c r="P2627" s="84" t="str">
        <f>IF(AND('331-CT'!$E$7=TH!H2627,OR(N2627="331",O2627="331")),"x","")</f>
        <v/>
      </c>
      <c r="Q2627" s="84" t="str">
        <f>IF(AND(B2627='111'!$L$11,OR($N2627=$Q$7,$O2627=$Q$7)),"x","")</f>
        <v/>
      </c>
      <c r="R2627" s="84" t="str">
        <f>IF(AND($N2627=$Q$7,$B2627&lt;'111'!$L$11),"x","")</f>
        <v/>
      </c>
      <c r="S2627" s="84" t="str">
        <f>IF(AND($O2627=$Q$7,$B2627&lt;'111'!$L$11),"x","")</f>
        <v/>
      </c>
      <c r="T2627" s="84" t="str">
        <f>IF(ISERROR(FIND('112'!$M$9,G2627,1)),"",IF((AND(FIND('112'!$M$9,G2627,1)&gt;=1,B2627='112'!$K$9,OR($N2627='112'!$I$6,$O2627='112'!$I$6))),"x",""))</f>
        <v/>
      </c>
      <c r="U2627" s="84" t="str">
        <f>IF(ISERROR(FIND('112'!$M$9,G2627,1)),"",IF((AND(LEFT(G2627,2)=LEFT('112'!$M$9,2),B2627&lt;'112'!$K$9,$N2627='112'!$I$6)),"x",""))</f>
        <v/>
      </c>
      <c r="V2627" s="84" t="str">
        <f>IF(ISERROR(FIND('112'!$M$9,G2627,1)),"",IF((AND(RIGHT(G2627,2)=RIGHT('112'!$M$9,2),B2627&lt;'112'!$K$9,$O2627='112'!$I$6)),"x",""))</f>
        <v/>
      </c>
      <c r="W2627" s="84" t="str">
        <f>IF(AND('341-CT'!$H$9=H2627,OR(LEFT(N2627,3)=$W$7,LEFT(O2627,3)=$W$7)),"x","")</f>
        <v/>
      </c>
      <c r="X2627" s="84" t="str">
        <f>IF(OR(TH!N2627=TH!$X$7,O2627=TH!$X$7),"x","")</f>
        <v/>
      </c>
      <c r="Y2627" s="84" t="str">
        <f>IF(AND(OR(N2627="131",O2627="131"),H2627='131-CT'!$H$9),"x","")</f>
        <v/>
      </c>
      <c r="Z2627" s="84"/>
      <c r="AA2627" s="84" t="str">
        <f>IF(AND(MONTH(E2627)='IN-NX'!$J$5,'IN-NX'!$D$7=D2627),"x","")</f>
        <v/>
      </c>
      <c r="AB2627" s="84" t="str">
        <f>IF(AND(OR(LEFT(TH!N2627,2)="15",LEFT(TH!O2627,2)="15"),LEFT(TH!O2627,3)&lt;&gt;"111",'152-CT'!$J$8=TH!F2627),"x","")</f>
        <v/>
      </c>
      <c r="AC2627" s="84" t="str">
        <f>IF(AND(OR(LEFT(TH!N2627,2)="15",LEFT(TH!O2627,2)="15"),TK!$E$7=TH!F2627),"x","")</f>
        <v/>
      </c>
      <c r="AD2627" s="84" t="str">
        <f>IF(AND(N2627="1521",MONTH(C2627)='BK-NL'!$M$11),"x","")</f>
        <v/>
      </c>
    </row>
    <row r="2628" spans="1:30" s="351" customFormat="1" ht="15.75" hidden="1" customHeight="1">
      <c r="A2628" s="336" t="str">
        <f>IF(B2628&lt;&gt;"",IF(AND(B2628='IN-TC'!$S$4,OR(TH!N2628="1111",TH!O2628="1111")),TH!D2628,""),"")</f>
        <v/>
      </c>
      <c r="B2628" s="63" t="str">
        <f t="shared" si="297"/>
        <v/>
      </c>
      <c r="C2628" s="64"/>
      <c r="D2628" s="64"/>
      <c r="E2628" s="64"/>
      <c r="F2628" s="67"/>
      <c r="G2628" s="67"/>
      <c r="H2628" s="73"/>
      <c r="I2628" s="439"/>
      <c r="J2628" s="439"/>
      <c r="K2628" s="430"/>
      <c r="L2628" s="439"/>
      <c r="M2628" s="65"/>
      <c r="N2628" s="66"/>
      <c r="O2628" s="66"/>
      <c r="P2628" s="84" t="str">
        <f>IF(AND('331-CT'!$E$7=TH!H2628,OR(N2628="331",O2628="331")),"x","")</f>
        <v/>
      </c>
      <c r="Q2628" s="84" t="str">
        <f>IF(AND(B2628='111'!$L$11,OR($N2628=$Q$7,$O2628=$Q$7)),"x","")</f>
        <v/>
      </c>
      <c r="R2628" s="84" t="str">
        <f>IF(AND($N2628=$Q$7,$B2628&lt;'111'!$L$11),"x","")</f>
        <v/>
      </c>
      <c r="S2628" s="84" t="str">
        <f>IF(AND($O2628=$Q$7,$B2628&lt;'111'!$L$11),"x","")</f>
        <v/>
      </c>
      <c r="T2628" s="84" t="str">
        <f>IF(ISERROR(FIND('112'!$M$9,G2628,1)),"",IF((AND(FIND('112'!$M$9,G2628,1)&gt;=1,B2628='112'!$K$9,OR($N2628='112'!$I$6,$O2628='112'!$I$6))),"x",""))</f>
        <v/>
      </c>
      <c r="U2628" s="84" t="str">
        <f>IF(ISERROR(FIND('112'!$M$9,G2628,1)),"",IF((AND(LEFT(G2628,2)=LEFT('112'!$M$9,2),B2628&lt;'112'!$K$9,$N2628='112'!$I$6)),"x",""))</f>
        <v/>
      </c>
      <c r="V2628" s="84" t="str">
        <f>IF(ISERROR(FIND('112'!$M$9,G2628,1)),"",IF((AND(RIGHT(G2628,2)=RIGHT('112'!$M$9,2),B2628&lt;'112'!$K$9,$O2628='112'!$I$6)),"x",""))</f>
        <v/>
      </c>
      <c r="W2628" s="84" t="str">
        <f>IF(AND('341-CT'!$H$9=H2628,OR(LEFT(N2628,3)=$W$7,LEFT(O2628,3)=$W$7)),"x","")</f>
        <v/>
      </c>
      <c r="X2628" s="84" t="str">
        <f>IF(OR(TH!N2628=TH!$X$7,O2628=TH!$X$7),"x","")</f>
        <v/>
      </c>
      <c r="Y2628" s="84" t="str">
        <f>IF(AND(OR(N2628="131",O2628="131"),H2628='131-CT'!$H$9),"x","")</f>
        <v/>
      </c>
      <c r="Z2628" s="84"/>
      <c r="AA2628" s="84" t="str">
        <f>IF(AND(MONTH(E2628)='IN-NX'!$J$5,'IN-NX'!$D$7=D2628),"x","")</f>
        <v/>
      </c>
      <c r="AB2628" s="84" t="str">
        <f>IF(AND(OR(LEFT(TH!N2628,2)="15",LEFT(TH!O2628,2)="15"),LEFT(TH!O2628,3)&lt;&gt;"111",'152-CT'!$J$8=TH!F2628),"x","")</f>
        <v/>
      </c>
      <c r="AC2628" s="84" t="str">
        <f>IF(AND(OR(LEFT(TH!N2628,2)="15",LEFT(TH!O2628,2)="15"),TK!$E$7=TH!F2628),"x","")</f>
        <v/>
      </c>
      <c r="AD2628" s="84" t="str">
        <f>IF(AND(N2628="1521",MONTH(C2628)='BK-NL'!$M$11),"x","")</f>
        <v/>
      </c>
    </row>
    <row r="2629" spans="1:30" s="351" customFormat="1" ht="15.75" hidden="1" customHeight="1">
      <c r="A2629" s="336" t="str">
        <f>IF(B2629&lt;&gt;"",IF(AND(B2629='IN-TC'!$S$4,OR(TH!N2629="1111",TH!O2629="1111")),TH!D2629,""),"")</f>
        <v/>
      </c>
      <c r="B2629" s="63" t="str">
        <f t="shared" si="297"/>
        <v/>
      </c>
      <c r="C2629" s="64"/>
      <c r="D2629" s="64"/>
      <c r="E2629" s="64"/>
      <c r="F2629" s="67"/>
      <c r="G2629" s="67"/>
      <c r="H2629" s="73"/>
      <c r="I2629" s="439"/>
      <c r="J2629" s="439"/>
      <c r="K2629" s="430"/>
      <c r="L2629" s="439"/>
      <c r="M2629" s="65"/>
      <c r="N2629" s="66"/>
      <c r="O2629" s="66"/>
      <c r="P2629" s="84" t="str">
        <f>IF(AND('331-CT'!$E$7=TH!H2629,OR(N2629="331",O2629="331")),"x","")</f>
        <v/>
      </c>
      <c r="Q2629" s="84" t="str">
        <f>IF(AND(B2629='111'!$L$11,OR($N2629=$Q$7,$O2629=$Q$7)),"x","")</f>
        <v/>
      </c>
      <c r="R2629" s="84" t="str">
        <f>IF(AND($N2629=$Q$7,$B2629&lt;'111'!$L$11),"x","")</f>
        <v/>
      </c>
      <c r="S2629" s="84" t="str">
        <f>IF(AND($O2629=$Q$7,$B2629&lt;'111'!$L$11),"x","")</f>
        <v/>
      </c>
      <c r="T2629" s="84" t="str">
        <f>IF(ISERROR(FIND('112'!$M$9,G2629,1)),"",IF((AND(FIND('112'!$M$9,G2629,1)&gt;=1,B2629='112'!$K$9,OR($N2629='112'!$I$6,$O2629='112'!$I$6))),"x",""))</f>
        <v/>
      </c>
      <c r="U2629" s="84" t="str">
        <f>IF(ISERROR(FIND('112'!$M$9,G2629,1)),"",IF((AND(LEFT(G2629,2)=LEFT('112'!$M$9,2),B2629&lt;'112'!$K$9,$N2629='112'!$I$6)),"x",""))</f>
        <v/>
      </c>
      <c r="V2629" s="84" t="str">
        <f>IF(ISERROR(FIND('112'!$M$9,G2629,1)),"",IF((AND(RIGHT(G2629,2)=RIGHT('112'!$M$9,2),B2629&lt;'112'!$K$9,$O2629='112'!$I$6)),"x",""))</f>
        <v/>
      </c>
      <c r="W2629" s="84" t="str">
        <f>IF(AND('341-CT'!$H$9=H2629,OR(LEFT(N2629,3)=$W$7,LEFT(O2629,3)=$W$7)),"x","")</f>
        <v/>
      </c>
      <c r="X2629" s="84" t="str">
        <f>IF(OR(TH!N2629=TH!$X$7,O2629=TH!$X$7),"x","")</f>
        <v/>
      </c>
      <c r="Y2629" s="84" t="str">
        <f>IF(AND(OR(N2629="131",O2629="131"),H2629='131-CT'!$H$9),"x","")</f>
        <v/>
      </c>
      <c r="Z2629" s="84"/>
      <c r="AA2629" s="84" t="str">
        <f>IF(AND(MONTH(E2629)='IN-NX'!$J$5,'IN-NX'!$D$7=D2629),"x","")</f>
        <v/>
      </c>
      <c r="AB2629" s="84" t="str">
        <f>IF(AND(OR(LEFT(TH!N2629,2)="15",LEFT(TH!O2629,2)="15"),LEFT(TH!O2629,3)&lt;&gt;"111",'152-CT'!$J$8=TH!F2629),"x","")</f>
        <v/>
      </c>
      <c r="AC2629" s="84" t="str">
        <f>IF(AND(OR(LEFT(TH!N2629,2)="15",LEFT(TH!O2629,2)="15"),TK!$E$7=TH!F2629),"x","")</f>
        <v/>
      </c>
      <c r="AD2629" s="84" t="str">
        <f>IF(AND(N2629="1521",MONTH(C2629)='BK-NL'!$M$11),"x","")</f>
        <v/>
      </c>
    </row>
    <row r="2630" spans="1:30" s="351" customFormat="1" ht="15.75" hidden="1" customHeight="1">
      <c r="A2630" s="336" t="str">
        <f>IF(B2630&lt;&gt;"",IF(AND(B2630='IN-TC'!$S$4,OR(TH!N2630="1111",TH!O2630="1111")),TH!D2630,""),"")</f>
        <v/>
      </c>
      <c r="B2630" s="63" t="str">
        <f t="shared" si="297"/>
        <v/>
      </c>
      <c r="C2630" s="64"/>
      <c r="D2630" s="64"/>
      <c r="E2630" s="64"/>
      <c r="F2630" s="67"/>
      <c r="G2630" s="67"/>
      <c r="H2630" s="73"/>
      <c r="I2630" s="439"/>
      <c r="J2630" s="439"/>
      <c r="K2630" s="430"/>
      <c r="L2630" s="439"/>
      <c r="M2630" s="65"/>
      <c r="N2630" s="66"/>
      <c r="O2630" s="66"/>
      <c r="P2630" s="84" t="str">
        <f>IF(AND('331-CT'!$E$7=TH!H2630,OR(N2630="331",O2630="331")),"x","")</f>
        <v/>
      </c>
      <c r="Q2630" s="84" t="str">
        <f>IF(AND(B2630='111'!$L$11,OR($N2630=$Q$7,$O2630=$Q$7)),"x","")</f>
        <v/>
      </c>
      <c r="R2630" s="84" t="str">
        <f>IF(AND($N2630=$Q$7,$B2630&lt;'111'!$L$11),"x","")</f>
        <v/>
      </c>
      <c r="S2630" s="84" t="str">
        <f>IF(AND($O2630=$Q$7,$B2630&lt;'111'!$L$11),"x","")</f>
        <v/>
      </c>
      <c r="T2630" s="84" t="str">
        <f>IF(ISERROR(FIND('112'!$M$9,G2630,1)),"",IF((AND(FIND('112'!$M$9,G2630,1)&gt;=1,B2630='112'!$K$9,OR($N2630='112'!$I$6,$O2630='112'!$I$6))),"x",""))</f>
        <v/>
      </c>
      <c r="U2630" s="84" t="str">
        <f>IF(ISERROR(FIND('112'!$M$9,G2630,1)),"",IF((AND(LEFT(G2630,2)=LEFT('112'!$M$9,2),B2630&lt;'112'!$K$9,$N2630='112'!$I$6)),"x",""))</f>
        <v/>
      </c>
      <c r="V2630" s="84" t="str">
        <f>IF(ISERROR(FIND('112'!$M$9,G2630,1)),"",IF((AND(RIGHT(G2630,2)=RIGHT('112'!$M$9,2),B2630&lt;'112'!$K$9,$O2630='112'!$I$6)),"x",""))</f>
        <v/>
      </c>
      <c r="W2630" s="84" t="str">
        <f>IF(AND('341-CT'!$H$9=H2630,OR(LEFT(N2630,3)=$W$7,LEFT(O2630,3)=$W$7)),"x","")</f>
        <v/>
      </c>
      <c r="X2630" s="84" t="str">
        <f>IF(OR(TH!N2630=TH!$X$7,O2630=TH!$X$7),"x","")</f>
        <v/>
      </c>
      <c r="Y2630" s="84" t="str">
        <f>IF(AND(OR(N2630="131",O2630="131"),H2630='131-CT'!$H$9),"x","")</f>
        <v/>
      </c>
      <c r="Z2630" s="84"/>
      <c r="AA2630" s="84" t="str">
        <f>IF(AND(MONTH(E2630)='IN-NX'!$J$5,'IN-NX'!$D$7=D2630),"x","")</f>
        <v/>
      </c>
      <c r="AB2630" s="84" t="str">
        <f>IF(AND(OR(LEFT(TH!N2630,2)="15",LEFT(TH!O2630,2)="15"),LEFT(TH!O2630,3)&lt;&gt;"111",'152-CT'!$J$8=TH!F2630),"x","")</f>
        <v/>
      </c>
      <c r="AC2630" s="84" t="str">
        <f>IF(AND(OR(LEFT(TH!N2630,2)="15",LEFT(TH!O2630,2)="15"),TK!$E$7=TH!F2630),"x","")</f>
        <v/>
      </c>
      <c r="AD2630" s="84" t="str">
        <f>IF(AND(N2630="1521",MONTH(C2630)='BK-NL'!$M$11),"x","")</f>
        <v/>
      </c>
    </row>
    <row r="2631" spans="1:30" s="351" customFormat="1" ht="15.75" hidden="1" customHeight="1">
      <c r="A2631" s="336" t="str">
        <f>IF(B2631&lt;&gt;"",IF(AND(B2631='IN-TC'!$S$4,OR(TH!N2631="1111",TH!O2631="1111")),TH!D2631,""),"")</f>
        <v/>
      </c>
      <c r="B2631" s="63" t="str">
        <f t="shared" si="297"/>
        <v/>
      </c>
      <c r="C2631" s="64"/>
      <c r="D2631" s="64"/>
      <c r="E2631" s="64"/>
      <c r="F2631" s="67"/>
      <c r="G2631" s="67"/>
      <c r="H2631" s="73"/>
      <c r="I2631" s="439"/>
      <c r="J2631" s="439"/>
      <c r="K2631" s="430"/>
      <c r="L2631" s="439"/>
      <c r="M2631" s="65"/>
      <c r="N2631" s="66"/>
      <c r="O2631" s="66"/>
      <c r="P2631" s="84" t="str">
        <f>IF(AND('331-CT'!$E$7=TH!H2631,OR(N2631="331",O2631="331")),"x","")</f>
        <v/>
      </c>
      <c r="Q2631" s="84" t="str">
        <f>IF(AND(B2631='111'!$L$11,OR($N2631=$Q$7,$O2631=$Q$7)),"x","")</f>
        <v/>
      </c>
      <c r="R2631" s="84" t="str">
        <f>IF(AND($N2631=$Q$7,$B2631&lt;'111'!$L$11),"x","")</f>
        <v/>
      </c>
      <c r="S2631" s="84" t="str">
        <f>IF(AND($O2631=$Q$7,$B2631&lt;'111'!$L$11),"x","")</f>
        <v/>
      </c>
      <c r="T2631" s="84" t="str">
        <f>IF(ISERROR(FIND('112'!$M$9,G2631,1)),"",IF((AND(FIND('112'!$M$9,G2631,1)&gt;=1,B2631='112'!$K$9,OR($N2631='112'!$I$6,$O2631='112'!$I$6))),"x",""))</f>
        <v/>
      </c>
      <c r="U2631" s="84" t="str">
        <f>IF(ISERROR(FIND('112'!$M$9,G2631,1)),"",IF((AND(LEFT(G2631,2)=LEFT('112'!$M$9,2),B2631&lt;'112'!$K$9,$N2631='112'!$I$6)),"x",""))</f>
        <v/>
      </c>
      <c r="V2631" s="84" t="str">
        <f>IF(ISERROR(FIND('112'!$M$9,G2631,1)),"",IF((AND(RIGHT(G2631,2)=RIGHT('112'!$M$9,2),B2631&lt;'112'!$K$9,$O2631='112'!$I$6)),"x",""))</f>
        <v/>
      </c>
      <c r="W2631" s="84" t="str">
        <f>IF(AND('341-CT'!$H$9=H2631,OR(LEFT(N2631,3)=$W$7,LEFT(O2631,3)=$W$7)),"x","")</f>
        <v/>
      </c>
      <c r="X2631" s="84" t="str">
        <f>IF(OR(TH!N2631=TH!$X$7,O2631=TH!$X$7),"x","")</f>
        <v/>
      </c>
      <c r="Y2631" s="84" t="str">
        <f>IF(AND(OR(N2631="131",O2631="131"),H2631='131-CT'!$H$9),"x","")</f>
        <v/>
      </c>
      <c r="Z2631" s="84"/>
      <c r="AA2631" s="84" t="str">
        <f>IF(AND(MONTH(E2631)='IN-NX'!$J$5,'IN-NX'!$D$7=D2631),"x","")</f>
        <v/>
      </c>
      <c r="AB2631" s="84" t="str">
        <f>IF(AND(OR(LEFT(TH!N2631,2)="15",LEFT(TH!O2631,2)="15"),LEFT(TH!O2631,3)&lt;&gt;"111",'152-CT'!$J$8=TH!F2631),"x","")</f>
        <v/>
      </c>
      <c r="AC2631" s="84" t="str">
        <f>IF(AND(OR(LEFT(TH!N2631,2)="15",LEFT(TH!O2631,2)="15"),TK!$E$7=TH!F2631),"x","")</f>
        <v/>
      </c>
      <c r="AD2631" s="84" t="str">
        <f>IF(AND(N2631="1521",MONTH(C2631)='BK-NL'!$M$11),"x","")</f>
        <v/>
      </c>
    </row>
    <row r="2632" spans="1:30" s="351" customFormat="1" ht="15.75" hidden="1" customHeight="1">
      <c r="A2632" s="336" t="str">
        <f>IF(B2632&lt;&gt;"",IF(AND(B2632='IN-TC'!$S$4,OR(TH!N2632="1111",TH!O2632="1111")),TH!D2632,""),"")</f>
        <v/>
      </c>
      <c r="B2632" s="63" t="str">
        <f t="shared" si="297"/>
        <v/>
      </c>
      <c r="C2632" s="64"/>
      <c r="D2632" s="64"/>
      <c r="E2632" s="64"/>
      <c r="F2632" s="67"/>
      <c r="G2632" s="67"/>
      <c r="H2632" s="73"/>
      <c r="I2632" s="439"/>
      <c r="J2632" s="439"/>
      <c r="K2632" s="430"/>
      <c r="L2632" s="439"/>
      <c r="M2632" s="65"/>
      <c r="N2632" s="66"/>
      <c r="O2632" s="66"/>
      <c r="P2632" s="84" t="str">
        <f>IF(AND('331-CT'!$E$7=TH!H2632,OR(N2632="331",O2632="331")),"x","")</f>
        <v/>
      </c>
      <c r="Q2632" s="84" t="str">
        <f>IF(AND(B2632='111'!$L$11,OR($N2632=$Q$7,$O2632=$Q$7)),"x","")</f>
        <v/>
      </c>
      <c r="R2632" s="84" t="str">
        <f>IF(AND($N2632=$Q$7,$B2632&lt;'111'!$L$11),"x","")</f>
        <v/>
      </c>
      <c r="S2632" s="84" t="str">
        <f>IF(AND($O2632=$Q$7,$B2632&lt;'111'!$L$11),"x","")</f>
        <v/>
      </c>
      <c r="T2632" s="84" t="str">
        <f>IF(ISERROR(FIND('112'!$M$9,G2632,1)),"",IF((AND(FIND('112'!$M$9,G2632,1)&gt;=1,B2632='112'!$K$9,OR($N2632='112'!$I$6,$O2632='112'!$I$6))),"x",""))</f>
        <v/>
      </c>
      <c r="U2632" s="84" t="str">
        <f>IF(ISERROR(FIND('112'!$M$9,G2632,1)),"",IF((AND(LEFT(G2632,2)=LEFT('112'!$M$9,2),B2632&lt;'112'!$K$9,$N2632='112'!$I$6)),"x",""))</f>
        <v/>
      </c>
      <c r="V2632" s="84" t="str">
        <f>IF(ISERROR(FIND('112'!$M$9,G2632,1)),"",IF((AND(RIGHT(G2632,2)=RIGHT('112'!$M$9,2),B2632&lt;'112'!$K$9,$O2632='112'!$I$6)),"x",""))</f>
        <v/>
      </c>
      <c r="W2632" s="84" t="str">
        <f>IF(AND('341-CT'!$H$9=H2632,OR(LEFT(N2632,3)=$W$7,LEFT(O2632,3)=$W$7)),"x","")</f>
        <v/>
      </c>
      <c r="X2632" s="84" t="str">
        <f>IF(OR(TH!N2632=TH!$X$7,O2632=TH!$X$7),"x","")</f>
        <v/>
      </c>
      <c r="Y2632" s="84" t="str">
        <f>IF(AND(OR(N2632="131",O2632="131"),H2632='131-CT'!$H$9),"x","")</f>
        <v/>
      </c>
      <c r="Z2632" s="84"/>
      <c r="AA2632" s="84" t="str">
        <f>IF(AND(MONTH(E2632)='IN-NX'!$J$5,'IN-NX'!$D$7=D2632),"x","")</f>
        <v/>
      </c>
      <c r="AB2632" s="84" t="str">
        <f>IF(AND(OR(LEFT(TH!N2632,2)="15",LEFT(TH!O2632,2)="15"),LEFT(TH!O2632,3)&lt;&gt;"111",'152-CT'!$J$8=TH!F2632),"x","")</f>
        <v/>
      </c>
      <c r="AC2632" s="84" t="str">
        <f>IF(AND(OR(LEFT(TH!N2632,2)="15",LEFT(TH!O2632,2)="15"),TK!$E$7=TH!F2632),"x","")</f>
        <v/>
      </c>
      <c r="AD2632" s="84" t="str">
        <f>IF(AND(N2632="1521",MONTH(C2632)='BK-NL'!$M$11),"x","")</f>
        <v/>
      </c>
    </row>
    <row r="2633" spans="1:30" s="351" customFormat="1" ht="15.75" hidden="1" customHeight="1">
      <c r="A2633" s="336" t="str">
        <f>IF(B2633&lt;&gt;"",IF(AND(B2633='IN-TC'!$S$4,OR(TH!N2633="1111",TH!O2633="1111")),TH!D2633,""),"")</f>
        <v/>
      </c>
      <c r="B2633" s="63" t="str">
        <f t="shared" si="297"/>
        <v/>
      </c>
      <c r="C2633" s="64"/>
      <c r="D2633" s="64"/>
      <c r="E2633" s="64"/>
      <c r="F2633" s="67"/>
      <c r="G2633" s="67"/>
      <c r="H2633" s="73"/>
      <c r="I2633" s="439"/>
      <c r="J2633" s="439"/>
      <c r="K2633" s="430"/>
      <c r="L2633" s="439"/>
      <c r="M2633" s="65"/>
      <c r="N2633" s="66"/>
      <c r="O2633" s="66"/>
      <c r="P2633" s="84" t="str">
        <f>IF(AND('331-CT'!$E$7=TH!H2633,OR(N2633="331",O2633="331")),"x","")</f>
        <v/>
      </c>
      <c r="Q2633" s="84" t="str">
        <f>IF(AND(B2633='111'!$L$11,OR($N2633=$Q$7,$O2633=$Q$7)),"x","")</f>
        <v/>
      </c>
      <c r="R2633" s="84" t="str">
        <f>IF(AND($N2633=$Q$7,$B2633&lt;'111'!$L$11),"x","")</f>
        <v/>
      </c>
      <c r="S2633" s="84" t="str">
        <f>IF(AND($O2633=$Q$7,$B2633&lt;'111'!$L$11),"x","")</f>
        <v/>
      </c>
      <c r="T2633" s="84" t="str">
        <f>IF(ISERROR(FIND('112'!$M$9,G2633,1)),"",IF((AND(FIND('112'!$M$9,G2633,1)&gt;=1,B2633='112'!$K$9,OR($N2633='112'!$I$6,$O2633='112'!$I$6))),"x",""))</f>
        <v/>
      </c>
      <c r="U2633" s="84" t="str">
        <f>IF(ISERROR(FIND('112'!$M$9,G2633,1)),"",IF((AND(LEFT(G2633,2)=LEFT('112'!$M$9,2),B2633&lt;'112'!$K$9,$N2633='112'!$I$6)),"x",""))</f>
        <v/>
      </c>
      <c r="V2633" s="84" t="str">
        <f>IF(ISERROR(FIND('112'!$M$9,G2633,1)),"",IF((AND(RIGHT(G2633,2)=RIGHT('112'!$M$9,2),B2633&lt;'112'!$K$9,$O2633='112'!$I$6)),"x",""))</f>
        <v/>
      </c>
      <c r="W2633" s="84" t="str">
        <f>IF(AND('341-CT'!$H$9=H2633,OR(LEFT(N2633,3)=$W$7,LEFT(O2633,3)=$W$7)),"x","")</f>
        <v/>
      </c>
      <c r="X2633" s="84" t="str">
        <f>IF(OR(TH!N2633=TH!$X$7,O2633=TH!$X$7),"x","")</f>
        <v/>
      </c>
      <c r="Y2633" s="84" t="str">
        <f>IF(AND(OR(N2633="131",O2633="131"),H2633='131-CT'!$H$9),"x","")</f>
        <v/>
      </c>
      <c r="Z2633" s="84"/>
      <c r="AA2633" s="84" t="str">
        <f>IF(AND(MONTH(E2633)='IN-NX'!$J$5,'IN-NX'!$D$7=D2633),"x","")</f>
        <v/>
      </c>
      <c r="AB2633" s="84" t="str">
        <f>IF(AND(OR(LEFT(TH!N2633,2)="15",LEFT(TH!O2633,2)="15"),LEFT(TH!O2633,3)&lt;&gt;"111",'152-CT'!$J$8=TH!F2633),"x","")</f>
        <v/>
      </c>
      <c r="AC2633" s="84" t="str">
        <f>IF(AND(OR(LEFT(TH!N2633,2)="15",LEFT(TH!O2633,2)="15"),TK!$E$7=TH!F2633),"x","")</f>
        <v/>
      </c>
      <c r="AD2633" s="84" t="str">
        <f>IF(AND(N2633="1521",MONTH(C2633)='BK-NL'!$M$11),"x","")</f>
        <v/>
      </c>
    </row>
    <row r="2634" spans="1:30" s="351" customFormat="1" ht="15.75" hidden="1" customHeight="1">
      <c r="A2634" s="336" t="str">
        <f>IF(B2634&lt;&gt;"",IF(AND(B2634='IN-TC'!$S$4,OR(TH!N2634="1111",TH!O2634="1111")),TH!D2634,""),"")</f>
        <v/>
      </c>
      <c r="B2634" s="63" t="str">
        <f t="shared" si="297"/>
        <v/>
      </c>
      <c r="C2634" s="64"/>
      <c r="D2634" s="64"/>
      <c r="E2634" s="64"/>
      <c r="F2634" s="67"/>
      <c r="G2634" s="67"/>
      <c r="H2634" s="73"/>
      <c r="I2634" s="439"/>
      <c r="J2634" s="439"/>
      <c r="K2634" s="430"/>
      <c r="L2634" s="439"/>
      <c r="M2634" s="65"/>
      <c r="N2634" s="66"/>
      <c r="O2634" s="66"/>
      <c r="P2634" s="84" t="str">
        <f>IF(AND('331-CT'!$E$7=TH!H2634,OR(N2634="331",O2634="331")),"x","")</f>
        <v/>
      </c>
      <c r="Q2634" s="84" t="str">
        <f>IF(AND(B2634='111'!$L$11,OR($N2634=$Q$7,$O2634=$Q$7)),"x","")</f>
        <v/>
      </c>
      <c r="R2634" s="84" t="str">
        <f>IF(AND($N2634=$Q$7,$B2634&lt;'111'!$L$11),"x","")</f>
        <v/>
      </c>
      <c r="S2634" s="84" t="str">
        <f>IF(AND($O2634=$Q$7,$B2634&lt;'111'!$L$11),"x","")</f>
        <v/>
      </c>
      <c r="T2634" s="84" t="str">
        <f>IF(ISERROR(FIND('112'!$M$9,G2634,1)),"",IF((AND(FIND('112'!$M$9,G2634,1)&gt;=1,B2634='112'!$K$9,OR($N2634='112'!$I$6,$O2634='112'!$I$6))),"x",""))</f>
        <v/>
      </c>
      <c r="U2634" s="84" t="str">
        <f>IF(ISERROR(FIND('112'!$M$9,G2634,1)),"",IF((AND(LEFT(G2634,2)=LEFT('112'!$M$9,2),B2634&lt;'112'!$K$9,$N2634='112'!$I$6)),"x",""))</f>
        <v/>
      </c>
      <c r="V2634" s="84" t="str">
        <f>IF(ISERROR(FIND('112'!$M$9,G2634,1)),"",IF((AND(RIGHT(G2634,2)=RIGHT('112'!$M$9,2),B2634&lt;'112'!$K$9,$O2634='112'!$I$6)),"x",""))</f>
        <v/>
      </c>
      <c r="W2634" s="84" t="str">
        <f>IF(AND('341-CT'!$H$9=H2634,OR(LEFT(N2634,3)=$W$7,LEFT(O2634,3)=$W$7)),"x","")</f>
        <v/>
      </c>
      <c r="X2634" s="84" t="str">
        <f>IF(OR(TH!N2634=TH!$X$7,O2634=TH!$X$7),"x","")</f>
        <v/>
      </c>
      <c r="Y2634" s="84" t="str">
        <f>IF(AND(OR(N2634="131",O2634="131"),H2634='131-CT'!$H$9),"x","")</f>
        <v/>
      </c>
      <c r="Z2634" s="84"/>
      <c r="AA2634" s="84" t="str">
        <f>IF(AND(MONTH(E2634)='IN-NX'!$J$5,'IN-NX'!$D$7=D2634),"x","")</f>
        <v/>
      </c>
      <c r="AB2634" s="84" t="str">
        <f>IF(AND(OR(LEFT(TH!N2634,2)="15",LEFT(TH!O2634,2)="15"),LEFT(TH!O2634,3)&lt;&gt;"111",'152-CT'!$J$8=TH!F2634),"x","")</f>
        <v/>
      </c>
      <c r="AC2634" s="84" t="str">
        <f>IF(AND(OR(LEFT(TH!N2634,2)="15",LEFT(TH!O2634,2)="15"),TK!$E$7=TH!F2634),"x","")</f>
        <v/>
      </c>
      <c r="AD2634" s="84" t="str">
        <f>IF(AND(N2634="1521",MONTH(C2634)='BK-NL'!$M$11),"x","")</f>
        <v/>
      </c>
    </row>
    <row r="2635" spans="1:30" s="351" customFormat="1" ht="15.75" hidden="1" customHeight="1">
      <c r="A2635" s="336" t="str">
        <f>IF(B2635&lt;&gt;"",IF(AND(B2635='IN-TC'!$S$4,OR(TH!N2635="1111",TH!O2635="1111")),TH!D2635,""),"")</f>
        <v/>
      </c>
      <c r="B2635" s="63" t="str">
        <f t="shared" si="297"/>
        <v/>
      </c>
      <c r="C2635" s="64"/>
      <c r="D2635" s="64"/>
      <c r="E2635" s="64"/>
      <c r="F2635" s="67"/>
      <c r="G2635" s="67"/>
      <c r="H2635" s="73"/>
      <c r="I2635" s="439"/>
      <c r="J2635" s="439"/>
      <c r="K2635" s="430"/>
      <c r="L2635" s="439"/>
      <c r="M2635" s="65"/>
      <c r="N2635" s="66"/>
      <c r="O2635" s="66"/>
      <c r="P2635" s="84" t="str">
        <f>IF(AND('331-CT'!$E$7=TH!H2635,OR(N2635="331",O2635="331")),"x","")</f>
        <v/>
      </c>
      <c r="Q2635" s="84" t="str">
        <f>IF(AND(B2635='111'!$L$11,OR($N2635=$Q$7,$O2635=$Q$7)),"x","")</f>
        <v/>
      </c>
      <c r="R2635" s="84" t="str">
        <f>IF(AND($N2635=$Q$7,$B2635&lt;'111'!$L$11),"x","")</f>
        <v/>
      </c>
      <c r="S2635" s="84" t="str">
        <f>IF(AND($O2635=$Q$7,$B2635&lt;'111'!$L$11),"x","")</f>
        <v/>
      </c>
      <c r="T2635" s="84" t="str">
        <f>IF(ISERROR(FIND('112'!$M$9,G2635,1)),"",IF((AND(FIND('112'!$M$9,G2635,1)&gt;=1,B2635='112'!$K$9,OR($N2635='112'!$I$6,$O2635='112'!$I$6))),"x",""))</f>
        <v/>
      </c>
      <c r="U2635" s="84" t="str">
        <f>IF(ISERROR(FIND('112'!$M$9,G2635,1)),"",IF((AND(LEFT(G2635,2)=LEFT('112'!$M$9,2),B2635&lt;'112'!$K$9,$N2635='112'!$I$6)),"x",""))</f>
        <v/>
      </c>
      <c r="V2635" s="84" t="str">
        <f>IF(ISERROR(FIND('112'!$M$9,G2635,1)),"",IF((AND(RIGHT(G2635,2)=RIGHT('112'!$M$9,2),B2635&lt;'112'!$K$9,$O2635='112'!$I$6)),"x",""))</f>
        <v/>
      </c>
      <c r="W2635" s="84" t="str">
        <f>IF(AND('341-CT'!$H$9=H2635,OR(LEFT(N2635,3)=$W$7,LEFT(O2635,3)=$W$7)),"x","")</f>
        <v/>
      </c>
      <c r="X2635" s="84" t="str">
        <f>IF(OR(TH!N2635=TH!$X$7,O2635=TH!$X$7),"x","")</f>
        <v/>
      </c>
      <c r="Y2635" s="84" t="str">
        <f>IF(AND(OR(N2635="131",O2635="131"),H2635='131-CT'!$H$9),"x","")</f>
        <v/>
      </c>
      <c r="Z2635" s="84"/>
      <c r="AA2635" s="84" t="str">
        <f>IF(AND(MONTH(E2635)='IN-NX'!$J$5,'IN-NX'!$D$7=D2635),"x","")</f>
        <v/>
      </c>
      <c r="AB2635" s="84" t="str">
        <f>IF(AND(OR(LEFT(TH!N2635,2)="15",LEFT(TH!O2635,2)="15"),LEFT(TH!O2635,3)&lt;&gt;"111",'152-CT'!$J$8=TH!F2635),"x","")</f>
        <v/>
      </c>
      <c r="AC2635" s="84" t="str">
        <f>IF(AND(OR(LEFT(TH!N2635,2)="15",LEFT(TH!O2635,2)="15"),TK!$E$7=TH!F2635),"x","")</f>
        <v/>
      </c>
      <c r="AD2635" s="84" t="str">
        <f>IF(AND(N2635="1521",MONTH(C2635)='BK-NL'!$M$11),"x","")</f>
        <v/>
      </c>
    </row>
    <row r="2636" spans="1:30" s="351" customFormat="1" ht="15.75" hidden="1" customHeight="1">
      <c r="A2636" s="336" t="str">
        <f>IF(B2636&lt;&gt;"",IF(AND(B2636='IN-TC'!$S$4,OR(TH!N2636="1111",TH!O2636="1111")),TH!D2636,""),"")</f>
        <v/>
      </c>
      <c r="B2636" s="63" t="str">
        <f t="shared" si="297"/>
        <v/>
      </c>
      <c r="C2636" s="64"/>
      <c r="D2636" s="64"/>
      <c r="E2636" s="64"/>
      <c r="F2636" s="67"/>
      <c r="G2636" s="67"/>
      <c r="H2636" s="73"/>
      <c r="I2636" s="439"/>
      <c r="J2636" s="439"/>
      <c r="K2636" s="430"/>
      <c r="L2636" s="439"/>
      <c r="M2636" s="65"/>
      <c r="N2636" s="66"/>
      <c r="O2636" s="66"/>
      <c r="P2636" s="84" t="str">
        <f>IF(AND('331-CT'!$E$7=TH!H2636,OR(N2636="331",O2636="331")),"x","")</f>
        <v/>
      </c>
      <c r="Q2636" s="84" t="str">
        <f>IF(AND(B2636='111'!$L$11,OR($N2636=$Q$7,$O2636=$Q$7)),"x","")</f>
        <v/>
      </c>
      <c r="R2636" s="84" t="str">
        <f>IF(AND($N2636=$Q$7,$B2636&lt;'111'!$L$11),"x","")</f>
        <v/>
      </c>
      <c r="S2636" s="84" t="str">
        <f>IF(AND($O2636=$Q$7,$B2636&lt;'111'!$L$11),"x","")</f>
        <v/>
      </c>
      <c r="T2636" s="84" t="str">
        <f>IF(ISERROR(FIND('112'!$M$9,G2636,1)),"",IF((AND(FIND('112'!$M$9,G2636,1)&gt;=1,B2636='112'!$K$9,OR($N2636='112'!$I$6,$O2636='112'!$I$6))),"x",""))</f>
        <v/>
      </c>
      <c r="U2636" s="84" t="str">
        <f>IF(ISERROR(FIND('112'!$M$9,G2636,1)),"",IF((AND(LEFT(G2636,2)=LEFT('112'!$M$9,2),B2636&lt;'112'!$K$9,$N2636='112'!$I$6)),"x",""))</f>
        <v/>
      </c>
      <c r="V2636" s="84" t="str">
        <f>IF(ISERROR(FIND('112'!$M$9,G2636,1)),"",IF((AND(RIGHT(G2636,2)=RIGHT('112'!$M$9,2),B2636&lt;'112'!$K$9,$O2636='112'!$I$6)),"x",""))</f>
        <v/>
      </c>
      <c r="W2636" s="84" t="str">
        <f>IF(AND('341-CT'!$H$9=H2636,OR(LEFT(N2636,3)=$W$7,LEFT(O2636,3)=$W$7)),"x","")</f>
        <v/>
      </c>
      <c r="X2636" s="84" t="str">
        <f>IF(OR(TH!N2636=TH!$X$7,O2636=TH!$X$7),"x","")</f>
        <v/>
      </c>
      <c r="Y2636" s="84" t="str">
        <f>IF(AND(OR(N2636="131",O2636="131"),H2636='131-CT'!$H$9),"x","")</f>
        <v/>
      </c>
      <c r="Z2636" s="84"/>
      <c r="AA2636" s="84" t="str">
        <f>IF(AND(MONTH(E2636)='IN-NX'!$J$5,'IN-NX'!$D$7=D2636),"x","")</f>
        <v/>
      </c>
      <c r="AB2636" s="84" t="str">
        <f>IF(AND(OR(LEFT(TH!N2636,2)="15",LEFT(TH!O2636,2)="15"),LEFT(TH!O2636,3)&lt;&gt;"111",'152-CT'!$J$8=TH!F2636),"x","")</f>
        <v/>
      </c>
      <c r="AC2636" s="84" t="str">
        <f>IF(AND(OR(LEFT(TH!N2636,2)="15",LEFT(TH!O2636,2)="15"),TK!$E$7=TH!F2636),"x","")</f>
        <v/>
      </c>
      <c r="AD2636" s="84" t="str">
        <f>IF(AND(N2636="1521",MONTH(C2636)='BK-NL'!$M$11),"x","")</f>
        <v/>
      </c>
    </row>
    <row r="2637" spans="1:30" s="351" customFormat="1" ht="15.75" hidden="1" customHeight="1">
      <c r="A2637" s="336" t="str">
        <f>IF(B2637&lt;&gt;"",IF(AND(B2637='IN-TC'!$S$4,OR(TH!N2637="1111",TH!O2637="1111")),TH!D2637,""),"")</f>
        <v/>
      </c>
      <c r="B2637" s="63" t="str">
        <f t="shared" si="297"/>
        <v/>
      </c>
      <c r="C2637" s="64"/>
      <c r="D2637" s="64"/>
      <c r="E2637" s="64"/>
      <c r="F2637" s="67"/>
      <c r="G2637" s="67"/>
      <c r="H2637" s="73"/>
      <c r="I2637" s="439"/>
      <c r="J2637" s="439"/>
      <c r="K2637" s="430"/>
      <c r="L2637" s="439"/>
      <c r="M2637" s="65"/>
      <c r="N2637" s="66"/>
      <c r="O2637" s="66"/>
      <c r="P2637" s="84" t="str">
        <f>IF(AND('331-CT'!$E$7=TH!H2637,OR(N2637="331",O2637="331")),"x","")</f>
        <v/>
      </c>
      <c r="Q2637" s="84" t="str">
        <f>IF(AND(B2637='111'!$L$11,OR($N2637=$Q$7,$O2637=$Q$7)),"x","")</f>
        <v/>
      </c>
      <c r="R2637" s="84" t="str">
        <f>IF(AND($N2637=$Q$7,$B2637&lt;'111'!$L$11),"x","")</f>
        <v/>
      </c>
      <c r="S2637" s="84" t="str">
        <f>IF(AND($O2637=$Q$7,$B2637&lt;'111'!$L$11),"x","")</f>
        <v/>
      </c>
      <c r="T2637" s="84" t="str">
        <f>IF(ISERROR(FIND('112'!$M$9,G2637,1)),"",IF((AND(FIND('112'!$M$9,G2637,1)&gt;=1,B2637='112'!$K$9,OR($N2637='112'!$I$6,$O2637='112'!$I$6))),"x",""))</f>
        <v/>
      </c>
      <c r="U2637" s="84" t="str">
        <f>IF(ISERROR(FIND('112'!$M$9,G2637,1)),"",IF((AND(LEFT(G2637,2)=LEFT('112'!$M$9,2),B2637&lt;'112'!$K$9,$N2637='112'!$I$6)),"x",""))</f>
        <v/>
      </c>
      <c r="V2637" s="84" t="str">
        <f>IF(ISERROR(FIND('112'!$M$9,G2637,1)),"",IF((AND(RIGHT(G2637,2)=RIGHT('112'!$M$9,2),B2637&lt;'112'!$K$9,$O2637='112'!$I$6)),"x",""))</f>
        <v/>
      </c>
      <c r="W2637" s="84" t="str">
        <f>IF(AND('341-CT'!$H$9=H2637,OR(LEFT(N2637,3)=$W$7,LEFT(O2637,3)=$W$7)),"x","")</f>
        <v/>
      </c>
      <c r="X2637" s="84" t="str">
        <f>IF(OR(TH!N2637=TH!$X$7,O2637=TH!$X$7),"x","")</f>
        <v/>
      </c>
      <c r="Y2637" s="84" t="str">
        <f>IF(AND(OR(N2637="131",O2637="131"),H2637='131-CT'!$H$9),"x","")</f>
        <v/>
      </c>
      <c r="Z2637" s="84"/>
      <c r="AA2637" s="84" t="str">
        <f>IF(AND(MONTH(E2637)='IN-NX'!$J$5,'IN-NX'!$D$7=D2637),"x","")</f>
        <v/>
      </c>
      <c r="AB2637" s="84" t="str">
        <f>IF(AND(OR(LEFT(TH!N2637,2)="15",LEFT(TH!O2637,2)="15"),LEFT(TH!O2637,3)&lt;&gt;"111",'152-CT'!$J$8=TH!F2637),"x","")</f>
        <v/>
      </c>
      <c r="AC2637" s="84" t="str">
        <f>IF(AND(OR(LEFT(TH!N2637,2)="15",LEFT(TH!O2637,2)="15"),TK!$E$7=TH!F2637),"x","")</f>
        <v/>
      </c>
      <c r="AD2637" s="84" t="str">
        <f>IF(AND(N2637="1521",MONTH(C2637)='BK-NL'!$M$11),"x","")</f>
        <v/>
      </c>
    </row>
    <row r="2638" spans="1:30" s="351" customFormat="1" ht="15.75" hidden="1" customHeight="1">
      <c r="A2638" s="336" t="str">
        <f>IF(B2638&lt;&gt;"",IF(AND(B2638='IN-TC'!$S$4,OR(TH!N2638="1111",TH!O2638="1111")),TH!D2638,""),"")</f>
        <v/>
      </c>
      <c r="B2638" s="63" t="str">
        <f t="shared" si="297"/>
        <v/>
      </c>
      <c r="C2638" s="64"/>
      <c r="D2638" s="64"/>
      <c r="E2638" s="64"/>
      <c r="F2638" s="67"/>
      <c r="G2638" s="67"/>
      <c r="H2638" s="73"/>
      <c r="I2638" s="439"/>
      <c r="J2638" s="439"/>
      <c r="K2638" s="430"/>
      <c r="L2638" s="439"/>
      <c r="M2638" s="65"/>
      <c r="N2638" s="66"/>
      <c r="O2638" s="66"/>
      <c r="P2638" s="84" t="str">
        <f>IF(AND('331-CT'!$E$7=TH!H2638,OR(N2638="331",O2638="331")),"x","")</f>
        <v/>
      </c>
      <c r="Q2638" s="84" t="str">
        <f>IF(AND(B2638='111'!$L$11,OR($N2638=$Q$7,$O2638=$Q$7)),"x","")</f>
        <v/>
      </c>
      <c r="R2638" s="84" t="str">
        <f>IF(AND($N2638=$Q$7,$B2638&lt;'111'!$L$11),"x","")</f>
        <v/>
      </c>
      <c r="S2638" s="84" t="str">
        <f>IF(AND($O2638=$Q$7,$B2638&lt;'111'!$L$11),"x","")</f>
        <v/>
      </c>
      <c r="T2638" s="84" t="str">
        <f>IF(ISERROR(FIND('112'!$M$9,G2638,1)),"",IF((AND(FIND('112'!$M$9,G2638,1)&gt;=1,B2638='112'!$K$9,OR($N2638='112'!$I$6,$O2638='112'!$I$6))),"x",""))</f>
        <v/>
      </c>
      <c r="U2638" s="84" t="str">
        <f>IF(ISERROR(FIND('112'!$M$9,G2638,1)),"",IF((AND(LEFT(G2638,2)=LEFT('112'!$M$9,2),B2638&lt;'112'!$K$9,$N2638='112'!$I$6)),"x",""))</f>
        <v/>
      </c>
      <c r="V2638" s="84" t="str">
        <f>IF(ISERROR(FIND('112'!$M$9,G2638,1)),"",IF((AND(RIGHT(G2638,2)=RIGHT('112'!$M$9,2),B2638&lt;'112'!$K$9,$O2638='112'!$I$6)),"x",""))</f>
        <v/>
      </c>
      <c r="W2638" s="84" t="str">
        <f>IF(AND('341-CT'!$H$9=H2638,OR(LEFT(N2638,3)=$W$7,LEFT(O2638,3)=$W$7)),"x","")</f>
        <v/>
      </c>
      <c r="X2638" s="84" t="str">
        <f>IF(OR(TH!N2638=TH!$X$7,O2638=TH!$X$7),"x","")</f>
        <v/>
      </c>
      <c r="Y2638" s="84" t="str">
        <f>IF(AND(OR(N2638="131",O2638="131"),H2638='131-CT'!$H$9),"x","")</f>
        <v/>
      </c>
      <c r="Z2638" s="84"/>
      <c r="AA2638" s="84" t="str">
        <f>IF(AND(MONTH(E2638)='IN-NX'!$J$5,'IN-NX'!$D$7=D2638),"x","")</f>
        <v/>
      </c>
      <c r="AB2638" s="84" t="str">
        <f>IF(AND(OR(LEFT(TH!N2638,2)="15",LEFT(TH!O2638,2)="15"),LEFT(TH!O2638,3)&lt;&gt;"111",'152-CT'!$J$8=TH!F2638),"x","")</f>
        <v/>
      </c>
      <c r="AC2638" s="84" t="str">
        <f>IF(AND(OR(LEFT(TH!N2638,2)="15",LEFT(TH!O2638,2)="15"),TK!$E$7=TH!F2638),"x","")</f>
        <v/>
      </c>
      <c r="AD2638" s="84" t="str">
        <f>IF(AND(N2638="1521",MONTH(C2638)='BK-NL'!$M$11),"x","")</f>
        <v/>
      </c>
    </row>
    <row r="2639" spans="1:30" s="351" customFormat="1" ht="15.75" hidden="1" customHeight="1">
      <c r="A2639" s="336" t="str">
        <f>IF(B2639&lt;&gt;"",IF(AND(B2639='IN-TC'!$S$4,OR(TH!N2639="1111",TH!O2639="1111")),TH!D2639,""),"")</f>
        <v/>
      </c>
      <c r="B2639" s="63" t="str">
        <f t="shared" si="297"/>
        <v/>
      </c>
      <c r="C2639" s="64"/>
      <c r="D2639" s="64"/>
      <c r="E2639" s="64"/>
      <c r="F2639" s="67"/>
      <c r="G2639" s="67"/>
      <c r="H2639" s="73"/>
      <c r="I2639" s="439"/>
      <c r="J2639" s="439"/>
      <c r="K2639" s="430"/>
      <c r="L2639" s="439"/>
      <c r="M2639" s="65"/>
      <c r="N2639" s="66"/>
      <c r="O2639" s="66"/>
      <c r="P2639" s="84" t="str">
        <f>IF(AND('331-CT'!$E$7=TH!H2639,OR(N2639="331",O2639="331")),"x","")</f>
        <v/>
      </c>
      <c r="Q2639" s="84" t="str">
        <f>IF(AND(B2639='111'!$L$11,OR($N2639=$Q$7,$O2639=$Q$7)),"x","")</f>
        <v/>
      </c>
      <c r="R2639" s="84" t="str">
        <f>IF(AND($N2639=$Q$7,$B2639&lt;'111'!$L$11),"x","")</f>
        <v/>
      </c>
      <c r="S2639" s="84" t="str">
        <f>IF(AND($O2639=$Q$7,$B2639&lt;'111'!$L$11),"x","")</f>
        <v/>
      </c>
      <c r="T2639" s="84" t="str">
        <f>IF(ISERROR(FIND('112'!$M$9,G2639,1)),"",IF((AND(FIND('112'!$M$9,G2639,1)&gt;=1,B2639='112'!$K$9,OR($N2639='112'!$I$6,$O2639='112'!$I$6))),"x",""))</f>
        <v/>
      </c>
      <c r="U2639" s="84" t="str">
        <f>IF(ISERROR(FIND('112'!$M$9,G2639,1)),"",IF((AND(LEFT(G2639,2)=LEFT('112'!$M$9,2),B2639&lt;'112'!$K$9,$N2639='112'!$I$6)),"x",""))</f>
        <v/>
      </c>
      <c r="V2639" s="84" t="str">
        <f>IF(ISERROR(FIND('112'!$M$9,G2639,1)),"",IF((AND(RIGHT(G2639,2)=RIGHT('112'!$M$9,2),B2639&lt;'112'!$K$9,$O2639='112'!$I$6)),"x",""))</f>
        <v/>
      </c>
      <c r="W2639" s="84" t="str">
        <f>IF(AND('341-CT'!$H$9=H2639,OR(LEFT(N2639,3)=$W$7,LEFT(O2639,3)=$W$7)),"x","")</f>
        <v/>
      </c>
      <c r="X2639" s="84" t="str">
        <f>IF(OR(TH!N2639=TH!$X$7,O2639=TH!$X$7),"x","")</f>
        <v/>
      </c>
      <c r="Y2639" s="84" t="str">
        <f>IF(AND(OR(N2639="131",O2639="131"),H2639='131-CT'!$H$9),"x","")</f>
        <v/>
      </c>
      <c r="Z2639" s="84"/>
      <c r="AA2639" s="84" t="str">
        <f>IF(AND(MONTH(E2639)='IN-NX'!$J$5,'IN-NX'!$D$7=D2639),"x","")</f>
        <v/>
      </c>
      <c r="AB2639" s="84" t="str">
        <f>IF(AND(OR(LEFT(TH!N2639,2)="15",LEFT(TH!O2639,2)="15"),LEFT(TH!O2639,3)&lt;&gt;"111",'152-CT'!$J$8=TH!F2639),"x","")</f>
        <v/>
      </c>
      <c r="AC2639" s="84" t="str">
        <f>IF(AND(OR(LEFT(TH!N2639,2)="15",LEFT(TH!O2639,2)="15"),TK!$E$7=TH!F2639),"x","")</f>
        <v/>
      </c>
      <c r="AD2639" s="84" t="str">
        <f>IF(AND(N2639="1521",MONTH(C2639)='BK-NL'!$M$11),"x","")</f>
        <v/>
      </c>
    </row>
    <row r="2640" spans="1:30" s="351" customFormat="1" ht="15.75" hidden="1" customHeight="1">
      <c r="A2640" s="336" t="str">
        <f>IF(B2640&lt;&gt;"",IF(AND(B2640='IN-TC'!$S$4,OR(TH!N2640="1111",TH!O2640="1111")),TH!D2640,""),"")</f>
        <v/>
      </c>
      <c r="B2640" s="63" t="str">
        <f t="shared" si="297"/>
        <v/>
      </c>
      <c r="C2640" s="64"/>
      <c r="D2640" s="64"/>
      <c r="E2640" s="64"/>
      <c r="F2640" s="67"/>
      <c r="G2640" s="67"/>
      <c r="H2640" s="73"/>
      <c r="I2640" s="439"/>
      <c r="J2640" s="439"/>
      <c r="K2640" s="430"/>
      <c r="L2640" s="439"/>
      <c r="M2640" s="65"/>
      <c r="N2640" s="66"/>
      <c r="O2640" s="66"/>
      <c r="P2640" s="84" t="str">
        <f>IF(AND('331-CT'!$E$7=TH!H2640,OR(N2640="331",O2640="331")),"x","")</f>
        <v/>
      </c>
      <c r="Q2640" s="84" t="str">
        <f>IF(AND(B2640='111'!$L$11,OR($N2640=$Q$7,$O2640=$Q$7)),"x","")</f>
        <v/>
      </c>
      <c r="R2640" s="84" t="str">
        <f>IF(AND($N2640=$Q$7,$B2640&lt;'111'!$L$11),"x","")</f>
        <v/>
      </c>
      <c r="S2640" s="84" t="str">
        <f>IF(AND($O2640=$Q$7,$B2640&lt;'111'!$L$11),"x","")</f>
        <v/>
      </c>
      <c r="T2640" s="84" t="str">
        <f>IF(ISERROR(FIND('112'!$M$9,G2640,1)),"",IF((AND(FIND('112'!$M$9,G2640,1)&gt;=1,B2640='112'!$K$9,OR($N2640='112'!$I$6,$O2640='112'!$I$6))),"x",""))</f>
        <v/>
      </c>
      <c r="U2640" s="84" t="str">
        <f>IF(ISERROR(FIND('112'!$M$9,G2640,1)),"",IF((AND(LEFT(G2640,2)=LEFT('112'!$M$9,2),B2640&lt;'112'!$K$9,$N2640='112'!$I$6)),"x",""))</f>
        <v/>
      </c>
      <c r="V2640" s="84" t="str">
        <f>IF(ISERROR(FIND('112'!$M$9,G2640,1)),"",IF((AND(RIGHT(G2640,2)=RIGHT('112'!$M$9,2),B2640&lt;'112'!$K$9,$O2640='112'!$I$6)),"x",""))</f>
        <v/>
      </c>
      <c r="W2640" s="84" t="str">
        <f>IF(AND('341-CT'!$H$9=H2640,OR(LEFT(N2640,3)=$W$7,LEFT(O2640,3)=$W$7)),"x","")</f>
        <v/>
      </c>
      <c r="X2640" s="84" t="str">
        <f>IF(OR(TH!N2640=TH!$X$7,O2640=TH!$X$7),"x","")</f>
        <v/>
      </c>
      <c r="Y2640" s="84" t="str">
        <f>IF(AND(OR(N2640="131",O2640="131"),H2640='131-CT'!$H$9),"x","")</f>
        <v/>
      </c>
      <c r="Z2640" s="84"/>
      <c r="AA2640" s="84" t="str">
        <f>IF(AND(MONTH(E2640)='IN-NX'!$J$5,'IN-NX'!$D$7=D2640),"x","")</f>
        <v/>
      </c>
      <c r="AB2640" s="84" t="str">
        <f>IF(AND(OR(LEFT(TH!N2640,2)="15",LEFT(TH!O2640,2)="15"),LEFT(TH!O2640,3)&lt;&gt;"111",'152-CT'!$J$8=TH!F2640),"x","")</f>
        <v/>
      </c>
      <c r="AC2640" s="84" t="str">
        <f>IF(AND(OR(LEFT(TH!N2640,2)="15",LEFT(TH!O2640,2)="15"),TK!$E$7=TH!F2640),"x","")</f>
        <v/>
      </c>
      <c r="AD2640" s="84" t="str">
        <f>IF(AND(N2640="1521",MONTH(C2640)='BK-NL'!$M$11),"x","")</f>
        <v/>
      </c>
    </row>
    <row r="2641" spans="1:30" s="351" customFormat="1" ht="15.75" hidden="1" customHeight="1">
      <c r="A2641" s="336" t="str">
        <f>IF(B2641&lt;&gt;"",IF(AND(B2641='IN-TC'!$S$4,OR(TH!N2641="1111",TH!O2641="1111")),TH!D2641,""),"")</f>
        <v/>
      </c>
      <c r="B2641" s="63" t="str">
        <f t="shared" si="297"/>
        <v/>
      </c>
      <c r="C2641" s="64"/>
      <c r="D2641" s="64"/>
      <c r="E2641" s="64"/>
      <c r="F2641" s="67"/>
      <c r="G2641" s="67"/>
      <c r="H2641" s="73"/>
      <c r="I2641" s="439"/>
      <c r="J2641" s="439"/>
      <c r="K2641" s="430"/>
      <c r="L2641" s="439"/>
      <c r="M2641" s="65"/>
      <c r="N2641" s="66"/>
      <c r="O2641" s="66"/>
      <c r="P2641" s="84" t="str">
        <f>IF(AND('331-CT'!$E$7=TH!H2641,OR(N2641="331",O2641="331")),"x","")</f>
        <v/>
      </c>
      <c r="Q2641" s="84" t="str">
        <f>IF(AND(B2641='111'!$L$11,OR($N2641=$Q$7,$O2641=$Q$7)),"x","")</f>
        <v/>
      </c>
      <c r="R2641" s="84" t="str">
        <f>IF(AND($N2641=$Q$7,$B2641&lt;'111'!$L$11),"x","")</f>
        <v/>
      </c>
      <c r="S2641" s="84" t="str">
        <f>IF(AND($O2641=$Q$7,$B2641&lt;'111'!$L$11),"x","")</f>
        <v/>
      </c>
      <c r="T2641" s="84" t="str">
        <f>IF(ISERROR(FIND('112'!$M$9,G2641,1)),"",IF((AND(FIND('112'!$M$9,G2641,1)&gt;=1,B2641='112'!$K$9,OR($N2641='112'!$I$6,$O2641='112'!$I$6))),"x",""))</f>
        <v/>
      </c>
      <c r="U2641" s="84" t="str">
        <f>IF(ISERROR(FIND('112'!$M$9,G2641,1)),"",IF((AND(LEFT(G2641,2)=LEFT('112'!$M$9,2),B2641&lt;'112'!$K$9,$N2641='112'!$I$6)),"x",""))</f>
        <v/>
      </c>
      <c r="V2641" s="84" t="str">
        <f>IF(ISERROR(FIND('112'!$M$9,G2641,1)),"",IF((AND(RIGHT(G2641,2)=RIGHT('112'!$M$9,2),B2641&lt;'112'!$K$9,$O2641='112'!$I$6)),"x",""))</f>
        <v/>
      </c>
      <c r="W2641" s="84" t="str">
        <f>IF(AND('341-CT'!$H$9=H2641,OR(LEFT(N2641,3)=$W$7,LEFT(O2641,3)=$W$7)),"x","")</f>
        <v/>
      </c>
      <c r="X2641" s="84" t="str">
        <f>IF(OR(TH!N2641=TH!$X$7,O2641=TH!$X$7),"x","")</f>
        <v/>
      </c>
      <c r="Y2641" s="84" t="str">
        <f>IF(AND(OR(N2641="131",O2641="131"),H2641='131-CT'!$H$9),"x","")</f>
        <v/>
      </c>
      <c r="Z2641" s="84"/>
      <c r="AA2641" s="84" t="str">
        <f>IF(AND(MONTH(E2641)='IN-NX'!$J$5,'IN-NX'!$D$7=D2641),"x","")</f>
        <v/>
      </c>
      <c r="AB2641" s="84" t="str">
        <f>IF(AND(OR(LEFT(TH!N2641,2)="15",LEFT(TH!O2641,2)="15"),LEFT(TH!O2641,3)&lt;&gt;"111",'152-CT'!$J$8=TH!F2641),"x","")</f>
        <v/>
      </c>
      <c r="AC2641" s="84" t="str">
        <f>IF(AND(OR(LEFT(TH!N2641,2)="15",LEFT(TH!O2641,2)="15"),TK!$E$7=TH!F2641),"x","")</f>
        <v/>
      </c>
      <c r="AD2641" s="84" t="str">
        <f>IF(AND(N2641="1521",MONTH(C2641)='BK-NL'!$M$11),"x","")</f>
        <v/>
      </c>
    </row>
    <row r="2642" spans="1:30" s="351" customFormat="1" ht="15.75" hidden="1" customHeight="1">
      <c r="A2642" s="336" t="str">
        <f>IF(B2642&lt;&gt;"",IF(AND(B2642='IN-TC'!$S$4,OR(TH!N2642="1111",TH!O2642="1111")),TH!D2642,""),"")</f>
        <v/>
      </c>
      <c r="B2642" s="63" t="str">
        <f t="shared" si="297"/>
        <v/>
      </c>
      <c r="C2642" s="64"/>
      <c r="D2642" s="64"/>
      <c r="E2642" s="64"/>
      <c r="F2642" s="67"/>
      <c r="G2642" s="67"/>
      <c r="H2642" s="73"/>
      <c r="I2642" s="439"/>
      <c r="J2642" s="439"/>
      <c r="K2642" s="430"/>
      <c r="L2642" s="439"/>
      <c r="M2642" s="65"/>
      <c r="N2642" s="66"/>
      <c r="O2642" s="66"/>
      <c r="P2642" s="84" t="str">
        <f>IF(AND('331-CT'!$E$7=TH!H2642,OR(N2642="331",O2642="331")),"x","")</f>
        <v/>
      </c>
      <c r="Q2642" s="84" t="str">
        <f>IF(AND(B2642='111'!$L$11,OR($N2642=$Q$7,$O2642=$Q$7)),"x","")</f>
        <v/>
      </c>
      <c r="R2642" s="84" t="str">
        <f>IF(AND($N2642=$Q$7,$B2642&lt;'111'!$L$11),"x","")</f>
        <v/>
      </c>
      <c r="S2642" s="84" t="str">
        <f>IF(AND($O2642=$Q$7,$B2642&lt;'111'!$L$11),"x","")</f>
        <v/>
      </c>
      <c r="T2642" s="84" t="str">
        <f>IF(ISERROR(FIND('112'!$M$9,G2642,1)),"",IF((AND(FIND('112'!$M$9,G2642,1)&gt;=1,B2642='112'!$K$9,OR($N2642='112'!$I$6,$O2642='112'!$I$6))),"x",""))</f>
        <v/>
      </c>
      <c r="U2642" s="84" t="str">
        <f>IF(ISERROR(FIND('112'!$M$9,G2642,1)),"",IF((AND(LEFT(G2642,2)=LEFT('112'!$M$9,2),B2642&lt;'112'!$K$9,$N2642='112'!$I$6)),"x",""))</f>
        <v/>
      </c>
      <c r="V2642" s="84" t="str">
        <f>IF(ISERROR(FIND('112'!$M$9,G2642,1)),"",IF((AND(RIGHT(G2642,2)=RIGHT('112'!$M$9,2),B2642&lt;'112'!$K$9,$O2642='112'!$I$6)),"x",""))</f>
        <v/>
      </c>
      <c r="W2642" s="84" t="str">
        <f>IF(AND('341-CT'!$H$9=H2642,OR(LEFT(N2642,3)=$W$7,LEFT(O2642,3)=$W$7)),"x","")</f>
        <v/>
      </c>
      <c r="X2642" s="84" t="str">
        <f>IF(OR(TH!N2642=TH!$X$7,O2642=TH!$X$7),"x","")</f>
        <v/>
      </c>
      <c r="Y2642" s="84" t="str">
        <f>IF(AND(OR(N2642="131",O2642="131"),H2642='131-CT'!$H$9),"x","")</f>
        <v/>
      </c>
      <c r="Z2642" s="84"/>
      <c r="AA2642" s="84" t="str">
        <f>IF(AND(MONTH(E2642)='IN-NX'!$J$5,'IN-NX'!$D$7=D2642),"x","")</f>
        <v/>
      </c>
      <c r="AB2642" s="84" t="str">
        <f>IF(AND(OR(LEFT(TH!N2642,2)="15",LEFT(TH!O2642,2)="15"),LEFT(TH!O2642,3)&lt;&gt;"111",'152-CT'!$J$8=TH!F2642),"x","")</f>
        <v/>
      </c>
      <c r="AC2642" s="84" t="str">
        <f>IF(AND(OR(LEFT(TH!N2642,2)="15",LEFT(TH!O2642,2)="15"),TK!$E$7=TH!F2642),"x","")</f>
        <v/>
      </c>
      <c r="AD2642" s="84" t="str">
        <f>IF(AND(N2642="1521",MONTH(C2642)='BK-NL'!$M$11),"x","")</f>
        <v/>
      </c>
    </row>
    <row r="2643" spans="1:30" s="351" customFormat="1" ht="15.75" hidden="1" customHeight="1">
      <c r="A2643" s="336" t="str">
        <f>IF(B2643&lt;&gt;"",IF(AND(B2643='IN-TC'!$S$4,OR(TH!N2643="1111",TH!O2643="1111")),TH!D2643,""),"")</f>
        <v/>
      </c>
      <c r="B2643" s="63" t="str">
        <f t="shared" si="297"/>
        <v/>
      </c>
      <c r="C2643" s="64"/>
      <c r="D2643" s="64"/>
      <c r="E2643" s="64"/>
      <c r="F2643" s="67"/>
      <c r="G2643" s="67"/>
      <c r="H2643" s="73"/>
      <c r="I2643" s="439"/>
      <c r="J2643" s="439"/>
      <c r="K2643" s="430"/>
      <c r="L2643" s="439"/>
      <c r="M2643" s="65"/>
      <c r="N2643" s="66"/>
      <c r="O2643" s="66"/>
      <c r="P2643" s="84" t="str">
        <f>IF(AND('331-CT'!$E$7=TH!H2643,OR(N2643="331",O2643="331")),"x","")</f>
        <v/>
      </c>
      <c r="Q2643" s="84" t="str">
        <f>IF(AND(B2643='111'!$L$11,OR($N2643=$Q$7,$O2643=$Q$7)),"x","")</f>
        <v/>
      </c>
      <c r="R2643" s="84" t="str">
        <f>IF(AND($N2643=$Q$7,$B2643&lt;'111'!$L$11),"x","")</f>
        <v/>
      </c>
      <c r="S2643" s="84" t="str">
        <f>IF(AND($O2643=$Q$7,$B2643&lt;'111'!$L$11),"x","")</f>
        <v/>
      </c>
      <c r="T2643" s="84" t="str">
        <f>IF(ISERROR(FIND('112'!$M$9,G2643,1)),"",IF((AND(FIND('112'!$M$9,G2643,1)&gt;=1,B2643='112'!$K$9,OR($N2643='112'!$I$6,$O2643='112'!$I$6))),"x",""))</f>
        <v/>
      </c>
      <c r="U2643" s="84" t="str">
        <f>IF(ISERROR(FIND('112'!$M$9,G2643,1)),"",IF((AND(LEFT(G2643,2)=LEFT('112'!$M$9,2),B2643&lt;'112'!$K$9,$N2643='112'!$I$6)),"x",""))</f>
        <v/>
      </c>
      <c r="V2643" s="84" t="str">
        <f>IF(ISERROR(FIND('112'!$M$9,G2643,1)),"",IF((AND(RIGHT(G2643,2)=RIGHT('112'!$M$9,2),B2643&lt;'112'!$K$9,$O2643='112'!$I$6)),"x",""))</f>
        <v/>
      </c>
      <c r="W2643" s="84" t="str">
        <f>IF(AND('341-CT'!$H$9=H2643,OR(LEFT(N2643,3)=$W$7,LEFT(O2643,3)=$W$7)),"x","")</f>
        <v/>
      </c>
      <c r="X2643" s="84" t="str">
        <f>IF(OR(TH!N2643=TH!$X$7,O2643=TH!$X$7),"x","")</f>
        <v/>
      </c>
      <c r="Y2643" s="84" t="str">
        <f>IF(AND(OR(N2643="131",O2643="131"),H2643='131-CT'!$H$9),"x","")</f>
        <v/>
      </c>
      <c r="Z2643" s="84"/>
      <c r="AA2643" s="84" t="str">
        <f>IF(AND(MONTH(E2643)='IN-NX'!$J$5,'IN-NX'!$D$7=D2643),"x","")</f>
        <v/>
      </c>
      <c r="AB2643" s="84" t="str">
        <f>IF(AND(OR(LEFT(TH!N2643,2)="15",LEFT(TH!O2643,2)="15"),LEFT(TH!O2643,3)&lt;&gt;"111",'152-CT'!$J$8=TH!F2643),"x","")</f>
        <v/>
      </c>
      <c r="AC2643" s="84" t="str">
        <f>IF(AND(OR(LEFT(TH!N2643,2)="15",LEFT(TH!O2643,2)="15"),TK!$E$7=TH!F2643),"x","")</f>
        <v/>
      </c>
      <c r="AD2643" s="84" t="str">
        <f>IF(AND(N2643="1521",MONTH(C2643)='BK-NL'!$M$11),"x","")</f>
        <v/>
      </c>
    </row>
    <row r="2644" spans="1:30" s="351" customFormat="1" ht="15.75" hidden="1" customHeight="1">
      <c r="A2644" s="336" t="str">
        <f>IF(B2644&lt;&gt;"",IF(AND(B2644='IN-TC'!$S$4,OR(TH!N2644="1111",TH!O2644="1111")),TH!D2644,""),"")</f>
        <v/>
      </c>
      <c r="B2644" s="63" t="str">
        <f t="shared" si="297"/>
        <v/>
      </c>
      <c r="C2644" s="64"/>
      <c r="D2644" s="64"/>
      <c r="E2644" s="64"/>
      <c r="F2644" s="67"/>
      <c r="G2644" s="67"/>
      <c r="H2644" s="73"/>
      <c r="I2644" s="439"/>
      <c r="J2644" s="439"/>
      <c r="K2644" s="430"/>
      <c r="L2644" s="439"/>
      <c r="M2644" s="65"/>
      <c r="N2644" s="66"/>
      <c r="O2644" s="66"/>
      <c r="P2644" s="84" t="str">
        <f>IF(AND('331-CT'!$E$7=TH!H2644,OR(N2644="331",O2644="331")),"x","")</f>
        <v/>
      </c>
      <c r="Q2644" s="84" t="str">
        <f>IF(AND(B2644='111'!$L$11,OR($N2644=$Q$7,$O2644=$Q$7)),"x","")</f>
        <v/>
      </c>
      <c r="R2644" s="84" t="str">
        <f>IF(AND($N2644=$Q$7,$B2644&lt;'111'!$L$11),"x","")</f>
        <v/>
      </c>
      <c r="S2644" s="84" t="str">
        <f>IF(AND($O2644=$Q$7,$B2644&lt;'111'!$L$11),"x","")</f>
        <v/>
      </c>
      <c r="T2644" s="84" t="str">
        <f>IF(ISERROR(FIND('112'!$M$9,G2644,1)),"",IF((AND(FIND('112'!$M$9,G2644,1)&gt;=1,B2644='112'!$K$9,OR($N2644='112'!$I$6,$O2644='112'!$I$6))),"x",""))</f>
        <v/>
      </c>
      <c r="U2644" s="84" t="str">
        <f>IF(ISERROR(FIND('112'!$M$9,G2644,1)),"",IF((AND(LEFT(G2644,2)=LEFT('112'!$M$9,2),B2644&lt;'112'!$K$9,$N2644='112'!$I$6)),"x",""))</f>
        <v/>
      </c>
      <c r="V2644" s="84" t="str">
        <f>IF(ISERROR(FIND('112'!$M$9,G2644,1)),"",IF((AND(RIGHT(G2644,2)=RIGHT('112'!$M$9,2),B2644&lt;'112'!$K$9,$O2644='112'!$I$6)),"x",""))</f>
        <v/>
      </c>
      <c r="W2644" s="84" t="str">
        <f>IF(AND('341-CT'!$H$9=H2644,OR(LEFT(N2644,3)=$W$7,LEFT(O2644,3)=$W$7)),"x","")</f>
        <v/>
      </c>
      <c r="X2644" s="84" t="str">
        <f>IF(OR(TH!N2644=TH!$X$7,O2644=TH!$X$7),"x","")</f>
        <v/>
      </c>
      <c r="Y2644" s="84" t="str">
        <f>IF(AND(OR(N2644="131",O2644="131"),H2644='131-CT'!$H$9),"x","")</f>
        <v/>
      </c>
      <c r="Z2644" s="84"/>
      <c r="AA2644" s="84" t="str">
        <f>IF(AND(MONTH(E2644)='IN-NX'!$J$5,'IN-NX'!$D$7=D2644),"x","")</f>
        <v/>
      </c>
      <c r="AB2644" s="84" t="str">
        <f>IF(AND(OR(LEFT(TH!N2644,2)="15",LEFT(TH!O2644,2)="15"),LEFT(TH!O2644,3)&lt;&gt;"111",'152-CT'!$J$8=TH!F2644),"x","")</f>
        <v/>
      </c>
      <c r="AC2644" s="84" t="str">
        <f>IF(AND(OR(LEFT(TH!N2644,2)="15",LEFT(TH!O2644,2)="15"),TK!$E$7=TH!F2644),"x","")</f>
        <v/>
      </c>
      <c r="AD2644" s="84" t="str">
        <f>IF(AND(N2644="1521",MONTH(C2644)='BK-NL'!$M$11),"x","")</f>
        <v/>
      </c>
    </row>
    <row r="2645" spans="1:30" s="351" customFormat="1" ht="15.75" hidden="1" customHeight="1">
      <c r="A2645" s="336" t="str">
        <f>IF(B2645&lt;&gt;"",IF(AND(B2645='IN-TC'!$S$4,OR(TH!N2645="1111",TH!O2645="1111")),TH!D2645,""),"")</f>
        <v/>
      </c>
      <c r="B2645" s="63" t="str">
        <f t="shared" si="297"/>
        <v/>
      </c>
      <c r="C2645" s="64"/>
      <c r="D2645" s="64"/>
      <c r="E2645" s="64"/>
      <c r="F2645" s="67"/>
      <c r="G2645" s="67"/>
      <c r="H2645" s="73"/>
      <c r="I2645" s="439"/>
      <c r="J2645" s="439"/>
      <c r="K2645" s="430"/>
      <c r="L2645" s="439"/>
      <c r="M2645" s="65"/>
      <c r="N2645" s="66"/>
      <c r="O2645" s="66"/>
      <c r="P2645" s="84" t="str">
        <f>IF(AND('331-CT'!$E$7=TH!H2645,OR(N2645="331",O2645="331")),"x","")</f>
        <v/>
      </c>
      <c r="Q2645" s="84" t="str">
        <f>IF(AND(B2645='111'!$L$11,OR($N2645=$Q$7,$O2645=$Q$7)),"x","")</f>
        <v/>
      </c>
      <c r="R2645" s="84" t="str">
        <f>IF(AND($N2645=$Q$7,$B2645&lt;'111'!$L$11),"x","")</f>
        <v/>
      </c>
      <c r="S2645" s="84" t="str">
        <f>IF(AND($O2645=$Q$7,$B2645&lt;'111'!$L$11),"x","")</f>
        <v/>
      </c>
      <c r="T2645" s="84" t="str">
        <f>IF(ISERROR(FIND('112'!$M$9,G2645,1)),"",IF((AND(FIND('112'!$M$9,G2645,1)&gt;=1,B2645='112'!$K$9,OR($N2645='112'!$I$6,$O2645='112'!$I$6))),"x",""))</f>
        <v/>
      </c>
      <c r="U2645" s="84" t="str">
        <f>IF(ISERROR(FIND('112'!$M$9,G2645,1)),"",IF((AND(LEFT(G2645,2)=LEFT('112'!$M$9,2),B2645&lt;'112'!$K$9,$N2645='112'!$I$6)),"x",""))</f>
        <v/>
      </c>
      <c r="V2645" s="84" t="str">
        <f>IF(ISERROR(FIND('112'!$M$9,G2645,1)),"",IF((AND(RIGHT(G2645,2)=RIGHT('112'!$M$9,2),B2645&lt;'112'!$K$9,$O2645='112'!$I$6)),"x",""))</f>
        <v/>
      </c>
      <c r="W2645" s="84" t="str">
        <f>IF(AND('341-CT'!$H$9=H2645,OR(LEFT(N2645,3)=$W$7,LEFT(O2645,3)=$W$7)),"x","")</f>
        <v/>
      </c>
      <c r="X2645" s="84" t="str">
        <f>IF(OR(TH!N2645=TH!$X$7,O2645=TH!$X$7),"x","")</f>
        <v/>
      </c>
      <c r="Y2645" s="84" t="str">
        <f>IF(AND(OR(N2645="131",O2645="131"),H2645='131-CT'!$H$9),"x","")</f>
        <v/>
      </c>
      <c r="Z2645" s="84"/>
      <c r="AA2645" s="84" t="str">
        <f>IF(AND(MONTH(E2645)='IN-NX'!$J$5,'IN-NX'!$D$7=D2645),"x","")</f>
        <v/>
      </c>
      <c r="AB2645" s="84" t="str">
        <f>IF(AND(OR(LEFT(TH!N2645,2)="15",LEFT(TH!O2645,2)="15"),LEFT(TH!O2645,3)&lt;&gt;"111",'152-CT'!$J$8=TH!F2645),"x","")</f>
        <v/>
      </c>
      <c r="AC2645" s="84" t="str">
        <f>IF(AND(OR(LEFT(TH!N2645,2)="15",LEFT(TH!O2645,2)="15"),TK!$E$7=TH!F2645),"x","")</f>
        <v/>
      </c>
      <c r="AD2645" s="84" t="str">
        <f>IF(AND(N2645="1521",MONTH(C2645)='BK-NL'!$M$11),"x","")</f>
        <v/>
      </c>
    </row>
    <row r="2646" spans="1:30" s="351" customFormat="1" ht="15.75" hidden="1" customHeight="1">
      <c r="A2646" s="336" t="str">
        <f>IF(B2646&lt;&gt;"",IF(AND(B2646='IN-TC'!$S$4,OR(TH!N2646="1111",TH!O2646="1111")),TH!D2646,""),"")</f>
        <v/>
      </c>
      <c r="B2646" s="63" t="str">
        <f t="shared" si="297"/>
        <v/>
      </c>
      <c r="C2646" s="64"/>
      <c r="D2646" s="64"/>
      <c r="E2646" s="64"/>
      <c r="F2646" s="67"/>
      <c r="G2646" s="67"/>
      <c r="H2646" s="73"/>
      <c r="I2646" s="439"/>
      <c r="J2646" s="439"/>
      <c r="K2646" s="430"/>
      <c r="L2646" s="439"/>
      <c r="M2646" s="65"/>
      <c r="N2646" s="66"/>
      <c r="O2646" s="66"/>
      <c r="P2646" s="84" t="str">
        <f>IF(AND('331-CT'!$E$7=TH!H2646,OR(N2646="331",O2646="331")),"x","")</f>
        <v/>
      </c>
      <c r="Q2646" s="84" t="str">
        <f>IF(AND(B2646='111'!$L$11,OR($N2646=$Q$7,$O2646=$Q$7)),"x","")</f>
        <v/>
      </c>
      <c r="R2646" s="84" t="str">
        <f>IF(AND($N2646=$Q$7,$B2646&lt;'111'!$L$11),"x","")</f>
        <v/>
      </c>
      <c r="S2646" s="84" t="str">
        <f>IF(AND($O2646=$Q$7,$B2646&lt;'111'!$L$11),"x","")</f>
        <v/>
      </c>
      <c r="T2646" s="84" t="str">
        <f>IF(ISERROR(FIND('112'!$M$9,G2646,1)),"",IF((AND(FIND('112'!$M$9,G2646,1)&gt;=1,B2646='112'!$K$9,OR($N2646='112'!$I$6,$O2646='112'!$I$6))),"x",""))</f>
        <v/>
      </c>
      <c r="U2646" s="84" t="str">
        <f>IF(ISERROR(FIND('112'!$M$9,G2646,1)),"",IF((AND(LEFT(G2646,2)=LEFT('112'!$M$9,2),B2646&lt;'112'!$K$9,$N2646='112'!$I$6)),"x",""))</f>
        <v/>
      </c>
      <c r="V2646" s="84" t="str">
        <f>IF(ISERROR(FIND('112'!$M$9,G2646,1)),"",IF((AND(RIGHT(G2646,2)=RIGHT('112'!$M$9,2),B2646&lt;'112'!$K$9,$O2646='112'!$I$6)),"x",""))</f>
        <v/>
      </c>
      <c r="W2646" s="84" t="str">
        <f>IF(AND('341-CT'!$H$9=H2646,OR(LEFT(N2646,3)=$W$7,LEFT(O2646,3)=$W$7)),"x","")</f>
        <v/>
      </c>
      <c r="X2646" s="84" t="str">
        <f>IF(OR(TH!N2646=TH!$X$7,O2646=TH!$X$7),"x","")</f>
        <v/>
      </c>
      <c r="Y2646" s="84" t="str">
        <f>IF(AND(OR(N2646="131",O2646="131"),H2646='131-CT'!$H$9),"x","")</f>
        <v/>
      </c>
      <c r="Z2646" s="84"/>
      <c r="AA2646" s="84" t="str">
        <f>IF(AND(MONTH(E2646)='IN-NX'!$J$5,'IN-NX'!$D$7=D2646),"x","")</f>
        <v/>
      </c>
      <c r="AB2646" s="84" t="str">
        <f>IF(AND(OR(LEFT(TH!N2646,2)="15",LEFT(TH!O2646,2)="15"),LEFT(TH!O2646,3)&lt;&gt;"111",'152-CT'!$J$8=TH!F2646),"x","")</f>
        <v/>
      </c>
      <c r="AC2646" s="84" t="str">
        <f>IF(AND(OR(LEFT(TH!N2646,2)="15",LEFT(TH!O2646,2)="15"),TK!$E$7=TH!F2646),"x","")</f>
        <v/>
      </c>
      <c r="AD2646" s="84" t="str">
        <f>IF(AND(N2646="1521",MONTH(C2646)='BK-NL'!$M$11),"x","")</f>
        <v/>
      </c>
    </row>
    <row r="2647" spans="1:30" s="351" customFormat="1" ht="15.75" hidden="1" customHeight="1">
      <c r="A2647" s="336" t="str">
        <f>IF(B2647&lt;&gt;"",IF(AND(B2647='IN-TC'!$S$4,OR(TH!N2647="1111",TH!O2647="1111")),TH!D2647,""),"")</f>
        <v/>
      </c>
      <c r="B2647" s="63" t="str">
        <f t="shared" si="297"/>
        <v/>
      </c>
      <c r="C2647" s="64"/>
      <c r="D2647" s="64"/>
      <c r="E2647" s="64"/>
      <c r="F2647" s="67"/>
      <c r="G2647" s="67"/>
      <c r="H2647" s="73"/>
      <c r="I2647" s="439"/>
      <c r="J2647" s="439"/>
      <c r="K2647" s="430"/>
      <c r="L2647" s="439"/>
      <c r="M2647" s="65"/>
      <c r="N2647" s="66"/>
      <c r="O2647" s="66"/>
      <c r="P2647" s="84" t="str">
        <f>IF(AND('331-CT'!$E$7=TH!H2647,OR(N2647="331",O2647="331")),"x","")</f>
        <v/>
      </c>
      <c r="Q2647" s="84" t="str">
        <f>IF(AND(B2647='111'!$L$11,OR($N2647=$Q$7,$O2647=$Q$7)),"x","")</f>
        <v/>
      </c>
      <c r="R2647" s="84" t="str">
        <f>IF(AND($N2647=$Q$7,$B2647&lt;'111'!$L$11),"x","")</f>
        <v/>
      </c>
      <c r="S2647" s="84" t="str">
        <f>IF(AND($O2647=$Q$7,$B2647&lt;'111'!$L$11),"x","")</f>
        <v/>
      </c>
      <c r="T2647" s="84" t="str">
        <f>IF(ISERROR(FIND('112'!$M$9,G2647,1)),"",IF((AND(FIND('112'!$M$9,G2647,1)&gt;=1,B2647='112'!$K$9,OR($N2647='112'!$I$6,$O2647='112'!$I$6))),"x",""))</f>
        <v/>
      </c>
      <c r="U2647" s="84" t="str">
        <f>IF(ISERROR(FIND('112'!$M$9,G2647,1)),"",IF((AND(LEFT(G2647,2)=LEFT('112'!$M$9,2),B2647&lt;'112'!$K$9,$N2647='112'!$I$6)),"x",""))</f>
        <v/>
      </c>
      <c r="V2647" s="84" t="str">
        <f>IF(ISERROR(FIND('112'!$M$9,G2647,1)),"",IF((AND(RIGHT(G2647,2)=RIGHT('112'!$M$9,2),B2647&lt;'112'!$K$9,$O2647='112'!$I$6)),"x",""))</f>
        <v/>
      </c>
      <c r="W2647" s="84" t="str">
        <f>IF(AND('341-CT'!$H$9=H2647,OR(LEFT(N2647,3)=$W$7,LEFT(O2647,3)=$W$7)),"x","")</f>
        <v/>
      </c>
      <c r="X2647" s="84" t="str">
        <f>IF(OR(TH!N2647=TH!$X$7,O2647=TH!$X$7),"x","")</f>
        <v/>
      </c>
      <c r="Y2647" s="84" t="str">
        <f>IF(AND(OR(N2647="131",O2647="131"),H2647='131-CT'!$H$9),"x","")</f>
        <v/>
      </c>
      <c r="Z2647" s="84"/>
      <c r="AA2647" s="84" t="str">
        <f>IF(AND(MONTH(E2647)='IN-NX'!$J$5,'IN-NX'!$D$7=D2647),"x","")</f>
        <v/>
      </c>
      <c r="AB2647" s="84" t="str">
        <f>IF(AND(OR(LEFT(TH!N2647,2)="15",LEFT(TH!O2647,2)="15"),LEFT(TH!O2647,3)&lt;&gt;"111",'152-CT'!$J$8=TH!F2647),"x","")</f>
        <v/>
      </c>
      <c r="AC2647" s="84" t="str">
        <f>IF(AND(OR(LEFT(TH!N2647,2)="15",LEFT(TH!O2647,2)="15"),TK!$E$7=TH!F2647),"x","")</f>
        <v/>
      </c>
      <c r="AD2647" s="84" t="str">
        <f>IF(AND(N2647="1521",MONTH(C2647)='BK-NL'!$M$11),"x","")</f>
        <v/>
      </c>
    </row>
    <row r="2648" spans="1:30" s="351" customFormat="1" ht="15.75" hidden="1" customHeight="1">
      <c r="A2648" s="336" t="str">
        <f>IF(B2648&lt;&gt;"",IF(AND(B2648='IN-TC'!$S$4,OR(TH!N2648="1111",TH!O2648="1111")),TH!D2648,""),"")</f>
        <v/>
      </c>
      <c r="B2648" s="63" t="str">
        <f t="shared" si="297"/>
        <v/>
      </c>
      <c r="C2648" s="64"/>
      <c r="D2648" s="64"/>
      <c r="E2648" s="64"/>
      <c r="F2648" s="67"/>
      <c r="G2648" s="67"/>
      <c r="H2648" s="73"/>
      <c r="I2648" s="439"/>
      <c r="J2648" s="439"/>
      <c r="K2648" s="430"/>
      <c r="L2648" s="439"/>
      <c r="M2648" s="65"/>
      <c r="N2648" s="66"/>
      <c r="O2648" s="66"/>
      <c r="P2648" s="84" t="str">
        <f>IF(AND('331-CT'!$E$7=TH!H2648,OR(N2648="331",O2648="331")),"x","")</f>
        <v/>
      </c>
      <c r="Q2648" s="84" t="str">
        <f>IF(AND(B2648='111'!$L$11,OR($N2648=$Q$7,$O2648=$Q$7)),"x","")</f>
        <v/>
      </c>
      <c r="R2648" s="84" t="str">
        <f>IF(AND($N2648=$Q$7,$B2648&lt;'111'!$L$11),"x","")</f>
        <v/>
      </c>
      <c r="S2648" s="84" t="str">
        <f>IF(AND($O2648=$Q$7,$B2648&lt;'111'!$L$11),"x","")</f>
        <v/>
      </c>
      <c r="T2648" s="84" t="str">
        <f>IF(ISERROR(FIND('112'!$M$9,G2648,1)),"",IF((AND(FIND('112'!$M$9,G2648,1)&gt;=1,B2648='112'!$K$9,OR($N2648='112'!$I$6,$O2648='112'!$I$6))),"x",""))</f>
        <v/>
      </c>
      <c r="U2648" s="84" t="str">
        <f>IF(ISERROR(FIND('112'!$M$9,G2648,1)),"",IF((AND(LEFT(G2648,2)=LEFT('112'!$M$9,2),B2648&lt;'112'!$K$9,$N2648='112'!$I$6)),"x",""))</f>
        <v/>
      </c>
      <c r="V2648" s="84" t="str">
        <f>IF(ISERROR(FIND('112'!$M$9,G2648,1)),"",IF((AND(RIGHT(G2648,2)=RIGHT('112'!$M$9,2),B2648&lt;'112'!$K$9,$O2648='112'!$I$6)),"x",""))</f>
        <v/>
      </c>
      <c r="W2648" s="84" t="str">
        <f>IF(AND('341-CT'!$H$9=H2648,OR(LEFT(N2648,3)=$W$7,LEFT(O2648,3)=$W$7)),"x","")</f>
        <v/>
      </c>
      <c r="X2648" s="84" t="str">
        <f>IF(OR(TH!N2648=TH!$X$7,O2648=TH!$X$7),"x","")</f>
        <v/>
      </c>
      <c r="Y2648" s="84" t="str">
        <f>IF(AND(OR(N2648="131",O2648="131"),H2648='131-CT'!$H$9),"x","")</f>
        <v/>
      </c>
      <c r="Z2648" s="84"/>
      <c r="AA2648" s="84" t="str">
        <f>IF(AND(MONTH(E2648)='IN-NX'!$J$5,'IN-NX'!$D$7=D2648),"x","")</f>
        <v/>
      </c>
      <c r="AB2648" s="84" t="str">
        <f>IF(AND(OR(LEFT(TH!N2648,2)="15",LEFT(TH!O2648,2)="15"),LEFT(TH!O2648,3)&lt;&gt;"111",'152-CT'!$J$8=TH!F2648),"x","")</f>
        <v/>
      </c>
      <c r="AC2648" s="84" t="str">
        <f>IF(AND(OR(LEFT(TH!N2648,2)="15",LEFT(TH!O2648,2)="15"),TK!$E$7=TH!F2648),"x","")</f>
        <v/>
      </c>
      <c r="AD2648" s="84" t="str">
        <f>IF(AND(N2648="1521",MONTH(C2648)='BK-NL'!$M$11),"x","")</f>
        <v/>
      </c>
    </row>
    <row r="2649" spans="1:30" s="351" customFormat="1" ht="15.75" hidden="1" customHeight="1">
      <c r="A2649" s="336" t="str">
        <f>IF(B2649&lt;&gt;"",IF(AND(B2649='IN-TC'!$S$4,OR(TH!N2649="1111",TH!O2649="1111")),TH!D2649,""),"")</f>
        <v/>
      </c>
      <c r="B2649" s="63" t="str">
        <f t="shared" si="297"/>
        <v/>
      </c>
      <c r="C2649" s="64"/>
      <c r="D2649" s="64"/>
      <c r="E2649" s="64"/>
      <c r="F2649" s="67"/>
      <c r="G2649" s="67"/>
      <c r="H2649" s="73"/>
      <c r="I2649" s="439"/>
      <c r="J2649" s="439"/>
      <c r="K2649" s="430"/>
      <c r="L2649" s="439"/>
      <c r="M2649" s="65"/>
      <c r="N2649" s="66"/>
      <c r="O2649" s="66"/>
      <c r="P2649" s="84" t="str">
        <f>IF(AND('331-CT'!$E$7=TH!H2649,OR(N2649="331",O2649="331")),"x","")</f>
        <v/>
      </c>
      <c r="Q2649" s="84" t="str">
        <f>IF(AND(B2649='111'!$L$11,OR($N2649=$Q$7,$O2649=$Q$7)),"x","")</f>
        <v/>
      </c>
      <c r="R2649" s="84" t="str">
        <f>IF(AND($N2649=$Q$7,$B2649&lt;'111'!$L$11),"x","")</f>
        <v/>
      </c>
      <c r="S2649" s="84" t="str">
        <f>IF(AND($O2649=$Q$7,$B2649&lt;'111'!$L$11),"x","")</f>
        <v/>
      </c>
      <c r="T2649" s="84" t="str">
        <f>IF(ISERROR(FIND('112'!$M$9,G2649,1)),"",IF((AND(FIND('112'!$M$9,G2649,1)&gt;=1,B2649='112'!$K$9,OR($N2649='112'!$I$6,$O2649='112'!$I$6))),"x",""))</f>
        <v/>
      </c>
      <c r="U2649" s="84" t="str">
        <f>IF(ISERROR(FIND('112'!$M$9,G2649,1)),"",IF((AND(LEFT(G2649,2)=LEFT('112'!$M$9,2),B2649&lt;'112'!$K$9,$N2649='112'!$I$6)),"x",""))</f>
        <v/>
      </c>
      <c r="V2649" s="84" t="str">
        <f>IF(ISERROR(FIND('112'!$M$9,G2649,1)),"",IF((AND(RIGHT(G2649,2)=RIGHT('112'!$M$9,2),B2649&lt;'112'!$K$9,$O2649='112'!$I$6)),"x",""))</f>
        <v/>
      </c>
      <c r="W2649" s="84" t="str">
        <f>IF(AND('341-CT'!$H$9=H2649,OR(LEFT(N2649,3)=$W$7,LEFT(O2649,3)=$W$7)),"x","")</f>
        <v/>
      </c>
      <c r="X2649" s="84" t="str">
        <f>IF(OR(TH!N2649=TH!$X$7,O2649=TH!$X$7),"x","")</f>
        <v/>
      </c>
      <c r="Y2649" s="84" t="str">
        <f>IF(AND(OR(N2649="131",O2649="131"),H2649='131-CT'!$H$9),"x","")</f>
        <v/>
      </c>
      <c r="Z2649" s="84"/>
      <c r="AA2649" s="84" t="str">
        <f>IF(AND(MONTH(E2649)='IN-NX'!$J$5,'IN-NX'!$D$7=D2649),"x","")</f>
        <v/>
      </c>
      <c r="AB2649" s="84" t="str">
        <f>IF(AND(OR(LEFT(TH!N2649,2)="15",LEFT(TH!O2649,2)="15"),LEFT(TH!O2649,3)&lt;&gt;"111",'152-CT'!$J$8=TH!F2649),"x","")</f>
        <v/>
      </c>
      <c r="AC2649" s="84" t="str">
        <f>IF(AND(OR(LEFT(TH!N2649,2)="15",LEFT(TH!O2649,2)="15"),TK!$E$7=TH!F2649),"x","")</f>
        <v/>
      </c>
      <c r="AD2649" s="84" t="str">
        <f>IF(AND(N2649="1521",MONTH(C2649)='BK-NL'!$M$11),"x","")</f>
        <v/>
      </c>
    </row>
    <row r="2650" spans="1:30" s="351" customFormat="1" ht="15.75" hidden="1" customHeight="1">
      <c r="A2650" s="336" t="str">
        <f>IF(B2650&lt;&gt;"",IF(AND(B2650='IN-TC'!$S$4,OR(TH!N2650="1111",TH!O2650="1111")),TH!D2650,""),"")</f>
        <v/>
      </c>
      <c r="B2650" s="63" t="str">
        <f t="shared" si="297"/>
        <v/>
      </c>
      <c r="C2650" s="64"/>
      <c r="D2650" s="64"/>
      <c r="E2650" s="64"/>
      <c r="F2650" s="67"/>
      <c r="G2650" s="67"/>
      <c r="H2650" s="73"/>
      <c r="I2650" s="439"/>
      <c r="J2650" s="439"/>
      <c r="K2650" s="430"/>
      <c r="L2650" s="439"/>
      <c r="M2650" s="65"/>
      <c r="N2650" s="66"/>
      <c r="O2650" s="66"/>
      <c r="P2650" s="84" t="str">
        <f>IF(AND('331-CT'!$E$7=TH!H2650,OR(N2650="331",O2650="331")),"x","")</f>
        <v/>
      </c>
      <c r="Q2650" s="84" t="str">
        <f>IF(AND(B2650='111'!$L$11,OR($N2650=$Q$7,$O2650=$Q$7)),"x","")</f>
        <v/>
      </c>
      <c r="R2650" s="84" t="str">
        <f>IF(AND($N2650=$Q$7,$B2650&lt;'111'!$L$11),"x","")</f>
        <v/>
      </c>
      <c r="S2650" s="84" t="str">
        <f>IF(AND($O2650=$Q$7,$B2650&lt;'111'!$L$11),"x","")</f>
        <v/>
      </c>
      <c r="T2650" s="84" t="str">
        <f>IF(ISERROR(FIND('112'!$M$9,G2650,1)),"",IF((AND(FIND('112'!$M$9,G2650,1)&gt;=1,B2650='112'!$K$9,OR($N2650='112'!$I$6,$O2650='112'!$I$6))),"x",""))</f>
        <v/>
      </c>
      <c r="U2650" s="84" t="str">
        <f>IF(ISERROR(FIND('112'!$M$9,G2650,1)),"",IF((AND(LEFT(G2650,2)=LEFT('112'!$M$9,2),B2650&lt;'112'!$K$9,$N2650='112'!$I$6)),"x",""))</f>
        <v/>
      </c>
      <c r="V2650" s="84" t="str">
        <f>IF(ISERROR(FIND('112'!$M$9,G2650,1)),"",IF((AND(RIGHT(G2650,2)=RIGHT('112'!$M$9,2),B2650&lt;'112'!$K$9,$O2650='112'!$I$6)),"x",""))</f>
        <v/>
      </c>
      <c r="W2650" s="84" t="str">
        <f>IF(AND('341-CT'!$H$9=H2650,OR(LEFT(N2650,3)=$W$7,LEFT(O2650,3)=$W$7)),"x","")</f>
        <v/>
      </c>
      <c r="X2650" s="84" t="str">
        <f>IF(OR(TH!N2650=TH!$X$7,O2650=TH!$X$7),"x","")</f>
        <v/>
      </c>
      <c r="Y2650" s="84" t="str">
        <f>IF(AND(OR(N2650="131",O2650="131"),H2650='131-CT'!$H$9),"x","")</f>
        <v/>
      </c>
      <c r="Z2650" s="84"/>
      <c r="AA2650" s="84" t="str">
        <f>IF(AND(MONTH(E2650)='IN-NX'!$J$5,'IN-NX'!$D$7=D2650),"x","")</f>
        <v/>
      </c>
      <c r="AB2650" s="84" t="str">
        <f>IF(AND(OR(LEFT(TH!N2650,2)="15",LEFT(TH!O2650,2)="15"),LEFT(TH!O2650,3)&lt;&gt;"111",'152-CT'!$J$8=TH!F2650),"x","")</f>
        <v/>
      </c>
      <c r="AC2650" s="84" t="str">
        <f>IF(AND(OR(LEFT(TH!N2650,2)="15",LEFT(TH!O2650,2)="15"),TK!$E$7=TH!F2650),"x","")</f>
        <v/>
      </c>
      <c r="AD2650" s="84" t="str">
        <f>IF(AND(N2650="1521",MONTH(C2650)='BK-NL'!$M$11),"x","")</f>
        <v/>
      </c>
    </row>
    <row r="2651" spans="1:30" s="351" customFormat="1" ht="15.75" hidden="1" customHeight="1">
      <c r="A2651" s="336" t="str">
        <f>IF(B2651&lt;&gt;"",IF(AND(B2651='IN-TC'!$S$4,OR(TH!N2651="1111",TH!O2651="1111")),TH!D2651,""),"")</f>
        <v/>
      </c>
      <c r="B2651" s="63" t="str">
        <f t="shared" si="297"/>
        <v/>
      </c>
      <c r="C2651" s="64"/>
      <c r="D2651" s="64"/>
      <c r="E2651" s="64"/>
      <c r="F2651" s="67"/>
      <c r="G2651" s="67"/>
      <c r="H2651" s="73"/>
      <c r="I2651" s="439"/>
      <c r="J2651" s="439"/>
      <c r="K2651" s="430"/>
      <c r="L2651" s="439"/>
      <c r="M2651" s="65"/>
      <c r="N2651" s="66"/>
      <c r="O2651" s="66"/>
      <c r="P2651" s="84" t="str">
        <f>IF(AND('331-CT'!$E$7=TH!H2651,OR(N2651="331",O2651="331")),"x","")</f>
        <v/>
      </c>
      <c r="Q2651" s="84" t="str">
        <f>IF(AND(B2651='111'!$L$11,OR($N2651=$Q$7,$O2651=$Q$7)),"x","")</f>
        <v/>
      </c>
      <c r="R2651" s="84" t="str">
        <f>IF(AND($N2651=$Q$7,$B2651&lt;'111'!$L$11),"x","")</f>
        <v/>
      </c>
      <c r="S2651" s="84" t="str">
        <f>IF(AND($O2651=$Q$7,$B2651&lt;'111'!$L$11),"x","")</f>
        <v/>
      </c>
      <c r="T2651" s="84" t="str">
        <f>IF(ISERROR(FIND('112'!$M$9,G2651,1)),"",IF((AND(FIND('112'!$M$9,G2651,1)&gt;=1,B2651='112'!$K$9,OR($N2651='112'!$I$6,$O2651='112'!$I$6))),"x",""))</f>
        <v/>
      </c>
      <c r="U2651" s="84" t="str">
        <f>IF(ISERROR(FIND('112'!$M$9,G2651,1)),"",IF((AND(LEFT(G2651,2)=LEFT('112'!$M$9,2),B2651&lt;'112'!$K$9,$N2651='112'!$I$6)),"x",""))</f>
        <v/>
      </c>
      <c r="V2651" s="84" t="str">
        <f>IF(ISERROR(FIND('112'!$M$9,G2651,1)),"",IF((AND(RIGHT(G2651,2)=RIGHT('112'!$M$9,2),B2651&lt;'112'!$K$9,$O2651='112'!$I$6)),"x",""))</f>
        <v/>
      </c>
      <c r="W2651" s="84" t="str">
        <f>IF(AND('341-CT'!$H$9=H2651,OR(LEFT(N2651,3)=$W$7,LEFT(O2651,3)=$W$7)),"x","")</f>
        <v/>
      </c>
      <c r="X2651" s="84" t="str">
        <f>IF(OR(TH!N2651=TH!$X$7,O2651=TH!$X$7),"x","")</f>
        <v/>
      </c>
      <c r="Y2651" s="84" t="str">
        <f>IF(AND(OR(N2651="131",O2651="131"),H2651='131-CT'!$H$9),"x","")</f>
        <v/>
      </c>
      <c r="Z2651" s="84"/>
      <c r="AA2651" s="84" t="str">
        <f>IF(AND(MONTH(E2651)='IN-NX'!$J$5,'IN-NX'!$D$7=D2651),"x","")</f>
        <v/>
      </c>
      <c r="AB2651" s="84" t="str">
        <f>IF(AND(OR(LEFT(TH!N2651,2)="15",LEFT(TH!O2651,2)="15"),LEFT(TH!O2651,3)&lt;&gt;"111",'152-CT'!$J$8=TH!F2651),"x","")</f>
        <v/>
      </c>
      <c r="AC2651" s="84" t="str">
        <f>IF(AND(OR(LEFT(TH!N2651,2)="15",LEFT(TH!O2651,2)="15"),TK!$E$7=TH!F2651),"x","")</f>
        <v/>
      </c>
      <c r="AD2651" s="84" t="str">
        <f>IF(AND(N2651="1521",MONTH(C2651)='BK-NL'!$M$11),"x","")</f>
        <v/>
      </c>
    </row>
    <row r="2652" spans="1:30" s="351" customFormat="1" ht="15.75" hidden="1" customHeight="1">
      <c r="A2652" s="336" t="str">
        <f>IF(B2652&lt;&gt;"",IF(AND(B2652='IN-TC'!$S$4,OR(TH!N2652="1111",TH!O2652="1111")),TH!D2652,""),"")</f>
        <v/>
      </c>
      <c r="B2652" s="63" t="str">
        <f t="shared" si="297"/>
        <v/>
      </c>
      <c r="C2652" s="64"/>
      <c r="D2652" s="64"/>
      <c r="E2652" s="64"/>
      <c r="F2652" s="67"/>
      <c r="G2652" s="67"/>
      <c r="H2652" s="73"/>
      <c r="I2652" s="439"/>
      <c r="J2652" s="439"/>
      <c r="K2652" s="430"/>
      <c r="L2652" s="439"/>
      <c r="M2652" s="65"/>
      <c r="N2652" s="66"/>
      <c r="O2652" s="66"/>
      <c r="P2652" s="84" t="str">
        <f>IF(AND('331-CT'!$E$7=TH!H2652,OR(N2652="331",O2652="331")),"x","")</f>
        <v/>
      </c>
      <c r="Q2652" s="84" t="str">
        <f>IF(AND(B2652='111'!$L$11,OR($N2652=$Q$7,$O2652=$Q$7)),"x","")</f>
        <v/>
      </c>
      <c r="R2652" s="84" t="str">
        <f>IF(AND($N2652=$Q$7,$B2652&lt;'111'!$L$11),"x","")</f>
        <v/>
      </c>
      <c r="S2652" s="84" t="str">
        <f>IF(AND($O2652=$Q$7,$B2652&lt;'111'!$L$11),"x","")</f>
        <v/>
      </c>
      <c r="T2652" s="84" t="str">
        <f>IF(ISERROR(FIND('112'!$M$9,G2652,1)),"",IF((AND(FIND('112'!$M$9,G2652,1)&gt;=1,B2652='112'!$K$9,OR($N2652='112'!$I$6,$O2652='112'!$I$6))),"x",""))</f>
        <v/>
      </c>
      <c r="U2652" s="84" t="str">
        <f>IF(ISERROR(FIND('112'!$M$9,G2652,1)),"",IF((AND(LEFT(G2652,2)=LEFT('112'!$M$9,2),B2652&lt;'112'!$K$9,$N2652='112'!$I$6)),"x",""))</f>
        <v/>
      </c>
      <c r="V2652" s="84" t="str">
        <f>IF(ISERROR(FIND('112'!$M$9,G2652,1)),"",IF((AND(RIGHT(G2652,2)=RIGHT('112'!$M$9,2),B2652&lt;'112'!$K$9,$O2652='112'!$I$6)),"x",""))</f>
        <v/>
      </c>
      <c r="W2652" s="84" t="str">
        <f>IF(AND('341-CT'!$H$9=H2652,OR(LEFT(N2652,3)=$W$7,LEFT(O2652,3)=$W$7)),"x","")</f>
        <v/>
      </c>
      <c r="X2652" s="84" t="str">
        <f>IF(OR(TH!N2652=TH!$X$7,O2652=TH!$X$7),"x","")</f>
        <v/>
      </c>
      <c r="Y2652" s="84" t="str">
        <f>IF(AND(OR(N2652="131",O2652="131"),H2652='131-CT'!$H$9),"x","")</f>
        <v/>
      </c>
      <c r="Z2652" s="84"/>
      <c r="AA2652" s="84" t="str">
        <f>IF(AND(MONTH(E2652)='IN-NX'!$J$5,'IN-NX'!$D$7=D2652),"x","")</f>
        <v/>
      </c>
      <c r="AB2652" s="84" t="str">
        <f>IF(AND(OR(LEFT(TH!N2652,2)="15",LEFT(TH!O2652,2)="15"),LEFT(TH!O2652,3)&lt;&gt;"111",'152-CT'!$J$8=TH!F2652),"x","")</f>
        <v/>
      </c>
      <c r="AC2652" s="84" t="str">
        <f>IF(AND(OR(LEFT(TH!N2652,2)="15",LEFT(TH!O2652,2)="15"),TK!$E$7=TH!F2652),"x","")</f>
        <v/>
      </c>
      <c r="AD2652" s="84" t="str">
        <f>IF(AND(N2652="1521",MONTH(C2652)='BK-NL'!$M$11),"x","")</f>
        <v/>
      </c>
    </row>
    <row r="2653" spans="1:30" s="351" customFormat="1" ht="15.75" hidden="1" customHeight="1">
      <c r="A2653" s="336" t="str">
        <f>IF(B2653&lt;&gt;"",IF(AND(B2653='IN-TC'!$S$4,OR(TH!N2653="1111",TH!O2653="1111")),TH!D2653,""),"")</f>
        <v/>
      </c>
      <c r="B2653" s="63" t="str">
        <f t="shared" si="297"/>
        <v/>
      </c>
      <c r="C2653" s="64"/>
      <c r="D2653" s="64"/>
      <c r="E2653" s="64"/>
      <c r="F2653" s="67"/>
      <c r="G2653" s="67"/>
      <c r="H2653" s="73"/>
      <c r="I2653" s="439"/>
      <c r="J2653" s="439"/>
      <c r="K2653" s="430"/>
      <c r="L2653" s="439"/>
      <c r="M2653" s="65"/>
      <c r="N2653" s="66"/>
      <c r="O2653" s="66"/>
      <c r="P2653" s="84" t="str">
        <f>IF(AND('331-CT'!$E$7=TH!H2653,OR(N2653="331",O2653="331")),"x","")</f>
        <v/>
      </c>
      <c r="Q2653" s="84" t="str">
        <f>IF(AND(B2653='111'!$L$11,OR($N2653=$Q$7,$O2653=$Q$7)),"x","")</f>
        <v/>
      </c>
      <c r="R2653" s="84" t="str">
        <f>IF(AND($N2653=$Q$7,$B2653&lt;'111'!$L$11),"x","")</f>
        <v/>
      </c>
      <c r="S2653" s="84" t="str">
        <f>IF(AND($O2653=$Q$7,$B2653&lt;'111'!$L$11),"x","")</f>
        <v/>
      </c>
      <c r="T2653" s="84" t="str">
        <f>IF(ISERROR(FIND('112'!$M$9,G2653,1)),"",IF((AND(FIND('112'!$M$9,G2653,1)&gt;=1,B2653='112'!$K$9,OR($N2653='112'!$I$6,$O2653='112'!$I$6))),"x",""))</f>
        <v/>
      </c>
      <c r="U2653" s="84" t="str">
        <f>IF(ISERROR(FIND('112'!$M$9,G2653,1)),"",IF((AND(LEFT(G2653,2)=LEFT('112'!$M$9,2),B2653&lt;'112'!$K$9,$N2653='112'!$I$6)),"x",""))</f>
        <v/>
      </c>
      <c r="V2653" s="84" t="str">
        <f>IF(ISERROR(FIND('112'!$M$9,G2653,1)),"",IF((AND(RIGHT(G2653,2)=RIGHT('112'!$M$9,2),B2653&lt;'112'!$K$9,$O2653='112'!$I$6)),"x",""))</f>
        <v/>
      </c>
      <c r="W2653" s="84" t="str">
        <f>IF(AND('341-CT'!$H$9=H2653,OR(LEFT(N2653,3)=$W$7,LEFT(O2653,3)=$W$7)),"x","")</f>
        <v/>
      </c>
      <c r="X2653" s="84" t="str">
        <f>IF(OR(TH!N2653=TH!$X$7,O2653=TH!$X$7),"x","")</f>
        <v/>
      </c>
      <c r="Y2653" s="84" t="str">
        <f>IF(AND(OR(N2653="131",O2653="131"),H2653='131-CT'!$H$9),"x","")</f>
        <v/>
      </c>
      <c r="Z2653" s="84"/>
      <c r="AA2653" s="84" t="str">
        <f>IF(AND(MONTH(E2653)='IN-NX'!$J$5,'IN-NX'!$D$7=D2653),"x","")</f>
        <v/>
      </c>
      <c r="AB2653" s="84" t="str">
        <f>IF(AND(OR(LEFT(TH!N2653,2)="15",LEFT(TH!O2653,2)="15"),LEFT(TH!O2653,3)&lt;&gt;"111",'152-CT'!$J$8=TH!F2653),"x","")</f>
        <v/>
      </c>
      <c r="AC2653" s="84" t="str">
        <f>IF(AND(OR(LEFT(TH!N2653,2)="15",LEFT(TH!O2653,2)="15"),TK!$E$7=TH!F2653),"x","")</f>
        <v/>
      </c>
      <c r="AD2653" s="84" t="str">
        <f>IF(AND(N2653="1521",MONTH(C2653)='BK-NL'!$M$11),"x","")</f>
        <v/>
      </c>
    </row>
    <row r="2654" spans="1:30" s="351" customFormat="1" ht="15.75" hidden="1" customHeight="1">
      <c r="A2654" s="336" t="str">
        <f>IF(B2654&lt;&gt;"",IF(AND(B2654='IN-TC'!$S$4,OR(TH!N2654="1111",TH!O2654="1111")),TH!D2654,""),"")</f>
        <v/>
      </c>
      <c r="B2654" s="63" t="str">
        <f t="shared" si="297"/>
        <v/>
      </c>
      <c r="C2654" s="64"/>
      <c r="D2654" s="64"/>
      <c r="E2654" s="64"/>
      <c r="F2654" s="67"/>
      <c r="G2654" s="67"/>
      <c r="H2654" s="73"/>
      <c r="I2654" s="439"/>
      <c r="J2654" s="439"/>
      <c r="K2654" s="430"/>
      <c r="L2654" s="439"/>
      <c r="M2654" s="65"/>
      <c r="N2654" s="66"/>
      <c r="O2654" s="66"/>
      <c r="P2654" s="84" t="str">
        <f>IF(AND('331-CT'!$E$7=TH!H2654,OR(N2654="331",O2654="331")),"x","")</f>
        <v/>
      </c>
      <c r="Q2654" s="84" t="str">
        <f>IF(AND(B2654='111'!$L$11,OR($N2654=$Q$7,$O2654=$Q$7)),"x","")</f>
        <v/>
      </c>
      <c r="R2654" s="84" t="str">
        <f>IF(AND($N2654=$Q$7,$B2654&lt;'111'!$L$11),"x","")</f>
        <v/>
      </c>
      <c r="S2654" s="84" t="str">
        <f>IF(AND($O2654=$Q$7,$B2654&lt;'111'!$L$11),"x","")</f>
        <v/>
      </c>
      <c r="T2654" s="84" t="str">
        <f>IF(ISERROR(FIND('112'!$M$9,G2654,1)),"",IF((AND(FIND('112'!$M$9,G2654,1)&gt;=1,B2654='112'!$K$9,OR($N2654='112'!$I$6,$O2654='112'!$I$6))),"x",""))</f>
        <v/>
      </c>
      <c r="U2654" s="84" t="str">
        <f>IF(ISERROR(FIND('112'!$M$9,G2654,1)),"",IF((AND(LEFT(G2654,2)=LEFT('112'!$M$9,2),B2654&lt;'112'!$K$9,$N2654='112'!$I$6)),"x",""))</f>
        <v/>
      </c>
      <c r="V2654" s="84" t="str">
        <f>IF(ISERROR(FIND('112'!$M$9,G2654,1)),"",IF((AND(RIGHT(G2654,2)=RIGHT('112'!$M$9,2),B2654&lt;'112'!$K$9,$O2654='112'!$I$6)),"x",""))</f>
        <v/>
      </c>
      <c r="W2654" s="84" t="str">
        <f>IF(AND('341-CT'!$H$9=H2654,OR(LEFT(N2654,3)=$W$7,LEFT(O2654,3)=$W$7)),"x","")</f>
        <v/>
      </c>
      <c r="X2654" s="84" t="str">
        <f>IF(OR(TH!N2654=TH!$X$7,O2654=TH!$X$7),"x","")</f>
        <v/>
      </c>
      <c r="Y2654" s="84" t="str">
        <f>IF(AND(OR(N2654="131",O2654="131"),H2654='131-CT'!$H$9),"x","")</f>
        <v/>
      </c>
      <c r="Z2654" s="84"/>
      <c r="AA2654" s="84" t="str">
        <f>IF(AND(MONTH(E2654)='IN-NX'!$J$5,'IN-NX'!$D$7=D2654),"x","")</f>
        <v/>
      </c>
      <c r="AB2654" s="84" t="str">
        <f>IF(AND(OR(LEFT(TH!N2654,2)="15",LEFT(TH!O2654,2)="15"),LEFT(TH!O2654,3)&lt;&gt;"111",'152-CT'!$J$8=TH!F2654),"x","")</f>
        <v/>
      </c>
      <c r="AC2654" s="84" t="str">
        <f>IF(AND(OR(LEFT(TH!N2654,2)="15",LEFT(TH!O2654,2)="15"),TK!$E$7=TH!F2654),"x","")</f>
        <v/>
      </c>
      <c r="AD2654" s="84" t="str">
        <f>IF(AND(N2654="1521",MONTH(C2654)='BK-NL'!$M$11),"x","")</f>
        <v/>
      </c>
    </row>
    <row r="2655" spans="1:30" s="351" customFormat="1" ht="15.75" hidden="1" customHeight="1">
      <c r="A2655" s="336" t="str">
        <f>IF(B2655&lt;&gt;"",IF(AND(B2655='IN-TC'!$S$4,OR(TH!N2655="1111",TH!O2655="1111")),TH!D2655,""),"")</f>
        <v/>
      </c>
      <c r="B2655" s="63" t="str">
        <f t="shared" si="297"/>
        <v/>
      </c>
      <c r="C2655" s="64"/>
      <c r="D2655" s="64"/>
      <c r="E2655" s="64"/>
      <c r="F2655" s="67"/>
      <c r="G2655" s="67"/>
      <c r="H2655" s="73"/>
      <c r="I2655" s="439"/>
      <c r="J2655" s="439"/>
      <c r="K2655" s="430"/>
      <c r="L2655" s="439"/>
      <c r="M2655" s="65"/>
      <c r="N2655" s="66"/>
      <c r="O2655" s="66"/>
      <c r="P2655" s="84" t="str">
        <f>IF(AND('331-CT'!$E$7=TH!H2655,OR(N2655="331",O2655="331")),"x","")</f>
        <v/>
      </c>
      <c r="Q2655" s="84" t="str">
        <f>IF(AND(B2655='111'!$L$11,OR($N2655=$Q$7,$O2655=$Q$7)),"x","")</f>
        <v/>
      </c>
      <c r="R2655" s="84" t="str">
        <f>IF(AND($N2655=$Q$7,$B2655&lt;'111'!$L$11),"x","")</f>
        <v/>
      </c>
      <c r="S2655" s="84" t="str">
        <f>IF(AND($O2655=$Q$7,$B2655&lt;'111'!$L$11),"x","")</f>
        <v/>
      </c>
      <c r="T2655" s="84" t="str">
        <f>IF(ISERROR(FIND('112'!$M$9,G2655,1)),"",IF((AND(FIND('112'!$M$9,G2655,1)&gt;=1,B2655='112'!$K$9,OR($N2655='112'!$I$6,$O2655='112'!$I$6))),"x",""))</f>
        <v/>
      </c>
      <c r="U2655" s="84" t="str">
        <f>IF(ISERROR(FIND('112'!$M$9,G2655,1)),"",IF((AND(LEFT(G2655,2)=LEFT('112'!$M$9,2),B2655&lt;'112'!$K$9,$N2655='112'!$I$6)),"x",""))</f>
        <v/>
      </c>
      <c r="V2655" s="84" t="str">
        <f>IF(ISERROR(FIND('112'!$M$9,G2655,1)),"",IF((AND(RIGHT(G2655,2)=RIGHT('112'!$M$9,2),B2655&lt;'112'!$K$9,$O2655='112'!$I$6)),"x",""))</f>
        <v/>
      </c>
      <c r="W2655" s="84" t="str">
        <f>IF(AND('341-CT'!$H$9=H2655,OR(LEFT(N2655,3)=$W$7,LEFT(O2655,3)=$W$7)),"x","")</f>
        <v/>
      </c>
      <c r="X2655" s="84" t="str">
        <f>IF(OR(TH!N2655=TH!$X$7,O2655=TH!$X$7),"x","")</f>
        <v/>
      </c>
      <c r="Y2655" s="84" t="str">
        <f>IF(AND(OR(N2655="131",O2655="131"),H2655='131-CT'!$H$9),"x","")</f>
        <v/>
      </c>
      <c r="Z2655" s="84"/>
      <c r="AA2655" s="84" t="str">
        <f>IF(AND(MONTH(E2655)='IN-NX'!$J$5,'IN-NX'!$D$7=D2655),"x","")</f>
        <v/>
      </c>
      <c r="AB2655" s="84" t="str">
        <f>IF(AND(OR(LEFT(TH!N2655,2)="15",LEFT(TH!O2655,2)="15"),LEFT(TH!O2655,3)&lt;&gt;"111",'152-CT'!$J$8=TH!F2655),"x","")</f>
        <v/>
      </c>
      <c r="AC2655" s="84" t="str">
        <f>IF(AND(OR(LEFT(TH!N2655,2)="15",LEFT(TH!O2655,2)="15"),TK!$E$7=TH!F2655),"x","")</f>
        <v/>
      </c>
      <c r="AD2655" s="84" t="str">
        <f>IF(AND(N2655="1521",MONTH(C2655)='BK-NL'!$M$11),"x","")</f>
        <v/>
      </c>
    </row>
    <row r="2656" spans="1:30" s="351" customFormat="1" ht="15.75" hidden="1" customHeight="1">
      <c r="A2656" s="336" t="str">
        <f>IF(B2656&lt;&gt;"",IF(AND(B2656='IN-TC'!$S$4,OR(TH!N2656="1111",TH!O2656="1111")),TH!D2656,""),"")</f>
        <v/>
      </c>
      <c r="B2656" s="63" t="str">
        <f t="shared" si="297"/>
        <v/>
      </c>
      <c r="C2656" s="64"/>
      <c r="D2656" s="64"/>
      <c r="E2656" s="64"/>
      <c r="F2656" s="67"/>
      <c r="G2656" s="67"/>
      <c r="H2656" s="73"/>
      <c r="I2656" s="439"/>
      <c r="J2656" s="439"/>
      <c r="K2656" s="430"/>
      <c r="L2656" s="439"/>
      <c r="M2656" s="65"/>
      <c r="N2656" s="66"/>
      <c r="O2656" s="66"/>
      <c r="P2656" s="84" t="str">
        <f>IF(AND('331-CT'!$E$7=TH!H2656,OR(N2656="331",O2656="331")),"x","")</f>
        <v/>
      </c>
      <c r="Q2656" s="84" t="str">
        <f>IF(AND(B2656='111'!$L$11,OR($N2656=$Q$7,$O2656=$Q$7)),"x","")</f>
        <v/>
      </c>
      <c r="R2656" s="84" t="str">
        <f>IF(AND($N2656=$Q$7,$B2656&lt;'111'!$L$11),"x","")</f>
        <v/>
      </c>
      <c r="S2656" s="84" t="str">
        <f>IF(AND($O2656=$Q$7,$B2656&lt;'111'!$L$11),"x","")</f>
        <v/>
      </c>
      <c r="T2656" s="84" t="str">
        <f>IF(ISERROR(FIND('112'!$M$9,G2656,1)),"",IF((AND(FIND('112'!$M$9,G2656,1)&gt;=1,B2656='112'!$K$9,OR($N2656='112'!$I$6,$O2656='112'!$I$6))),"x",""))</f>
        <v/>
      </c>
      <c r="U2656" s="84" t="str">
        <f>IF(ISERROR(FIND('112'!$M$9,G2656,1)),"",IF((AND(LEFT(G2656,2)=LEFT('112'!$M$9,2),B2656&lt;'112'!$K$9,$N2656='112'!$I$6)),"x",""))</f>
        <v/>
      </c>
      <c r="V2656" s="84" t="str">
        <f>IF(ISERROR(FIND('112'!$M$9,G2656,1)),"",IF((AND(RIGHT(G2656,2)=RIGHT('112'!$M$9,2),B2656&lt;'112'!$K$9,$O2656='112'!$I$6)),"x",""))</f>
        <v/>
      </c>
      <c r="W2656" s="84" t="str">
        <f>IF(AND('341-CT'!$H$9=H2656,OR(LEFT(N2656,3)=$W$7,LEFT(O2656,3)=$W$7)),"x","")</f>
        <v/>
      </c>
      <c r="X2656" s="84" t="str">
        <f>IF(OR(TH!N2656=TH!$X$7,O2656=TH!$X$7),"x","")</f>
        <v/>
      </c>
      <c r="Y2656" s="84" t="str">
        <f>IF(AND(OR(N2656="131",O2656="131"),H2656='131-CT'!$H$9),"x","")</f>
        <v/>
      </c>
      <c r="Z2656" s="84"/>
      <c r="AA2656" s="84" t="str">
        <f>IF(AND(MONTH(E2656)='IN-NX'!$J$5,'IN-NX'!$D$7=D2656),"x","")</f>
        <v/>
      </c>
      <c r="AB2656" s="84" t="str">
        <f>IF(AND(OR(LEFT(TH!N2656,2)="15",LEFT(TH!O2656,2)="15"),LEFT(TH!O2656,3)&lt;&gt;"111",'152-CT'!$J$8=TH!F2656),"x","")</f>
        <v/>
      </c>
      <c r="AC2656" s="84" t="str">
        <f>IF(AND(OR(LEFT(TH!N2656,2)="15",LEFT(TH!O2656,2)="15"),TK!$E$7=TH!F2656),"x","")</f>
        <v/>
      </c>
      <c r="AD2656" s="84" t="str">
        <f>IF(AND(N2656="1521",MONTH(C2656)='BK-NL'!$M$11),"x","")</f>
        <v/>
      </c>
    </row>
    <row r="2657" spans="1:30" s="351" customFormat="1" ht="15.75" hidden="1" customHeight="1">
      <c r="A2657" s="336" t="str">
        <f>IF(B2657&lt;&gt;"",IF(AND(B2657='IN-TC'!$S$4,OR(TH!N2657="1111",TH!O2657="1111")),TH!D2657,""),"")</f>
        <v/>
      </c>
      <c r="B2657" s="63" t="str">
        <f t="shared" si="297"/>
        <v/>
      </c>
      <c r="C2657" s="64"/>
      <c r="D2657" s="64"/>
      <c r="E2657" s="64"/>
      <c r="F2657" s="67"/>
      <c r="G2657" s="67"/>
      <c r="H2657" s="73"/>
      <c r="I2657" s="439"/>
      <c r="J2657" s="439"/>
      <c r="K2657" s="430"/>
      <c r="L2657" s="439"/>
      <c r="M2657" s="65"/>
      <c r="N2657" s="66"/>
      <c r="O2657" s="66"/>
      <c r="P2657" s="84" t="str">
        <f>IF(AND('331-CT'!$E$7=TH!H2657,OR(N2657="331",O2657="331")),"x","")</f>
        <v/>
      </c>
      <c r="Q2657" s="84" t="str">
        <f>IF(AND(B2657='111'!$L$11,OR($N2657=$Q$7,$O2657=$Q$7)),"x","")</f>
        <v/>
      </c>
      <c r="R2657" s="84" t="str">
        <f>IF(AND($N2657=$Q$7,$B2657&lt;'111'!$L$11),"x","")</f>
        <v/>
      </c>
      <c r="S2657" s="84" t="str">
        <f>IF(AND($O2657=$Q$7,$B2657&lt;'111'!$L$11),"x","")</f>
        <v/>
      </c>
      <c r="T2657" s="84" t="str">
        <f>IF(ISERROR(FIND('112'!$M$9,G2657,1)),"",IF((AND(FIND('112'!$M$9,G2657,1)&gt;=1,B2657='112'!$K$9,OR($N2657='112'!$I$6,$O2657='112'!$I$6))),"x",""))</f>
        <v/>
      </c>
      <c r="U2657" s="84" t="str">
        <f>IF(ISERROR(FIND('112'!$M$9,G2657,1)),"",IF((AND(LEFT(G2657,2)=LEFT('112'!$M$9,2),B2657&lt;'112'!$K$9,$N2657='112'!$I$6)),"x",""))</f>
        <v/>
      </c>
      <c r="V2657" s="84" t="str">
        <f>IF(ISERROR(FIND('112'!$M$9,G2657,1)),"",IF((AND(RIGHT(G2657,2)=RIGHT('112'!$M$9,2),B2657&lt;'112'!$K$9,$O2657='112'!$I$6)),"x",""))</f>
        <v/>
      </c>
      <c r="W2657" s="84" t="str">
        <f>IF(AND('341-CT'!$H$9=H2657,OR(LEFT(N2657,3)=$W$7,LEFT(O2657,3)=$W$7)),"x","")</f>
        <v/>
      </c>
      <c r="X2657" s="84" t="str">
        <f>IF(OR(TH!N2657=TH!$X$7,O2657=TH!$X$7),"x","")</f>
        <v/>
      </c>
      <c r="Y2657" s="84" t="str">
        <f>IF(AND(OR(N2657="131",O2657="131"),H2657='131-CT'!$H$9),"x","")</f>
        <v/>
      </c>
      <c r="Z2657" s="84"/>
      <c r="AA2657" s="84" t="str">
        <f>IF(AND(MONTH(E2657)='IN-NX'!$J$5,'IN-NX'!$D$7=D2657),"x","")</f>
        <v/>
      </c>
      <c r="AB2657" s="84" t="str">
        <f>IF(AND(OR(LEFT(TH!N2657,2)="15",LEFT(TH!O2657,2)="15"),LEFT(TH!O2657,3)&lt;&gt;"111",'152-CT'!$J$8=TH!F2657),"x","")</f>
        <v/>
      </c>
      <c r="AC2657" s="84" t="str">
        <f>IF(AND(OR(LEFT(TH!N2657,2)="15",LEFT(TH!O2657,2)="15"),TK!$E$7=TH!F2657),"x","")</f>
        <v/>
      </c>
      <c r="AD2657" s="84" t="str">
        <f>IF(AND(N2657="1521",MONTH(C2657)='BK-NL'!$M$11),"x","")</f>
        <v/>
      </c>
    </row>
    <row r="2658" spans="1:30" s="351" customFormat="1" ht="15.75" hidden="1" customHeight="1">
      <c r="A2658" s="336" t="str">
        <f>IF(B2658&lt;&gt;"",IF(AND(B2658='IN-TC'!$S$4,OR(TH!N2658="1111",TH!O2658="1111")),TH!D2658,""),"")</f>
        <v/>
      </c>
      <c r="B2658" s="63" t="str">
        <f t="shared" si="297"/>
        <v/>
      </c>
      <c r="C2658" s="64"/>
      <c r="D2658" s="64"/>
      <c r="E2658" s="64"/>
      <c r="F2658" s="67"/>
      <c r="G2658" s="67"/>
      <c r="H2658" s="73"/>
      <c r="I2658" s="439"/>
      <c r="J2658" s="439"/>
      <c r="K2658" s="430"/>
      <c r="L2658" s="439"/>
      <c r="M2658" s="65"/>
      <c r="N2658" s="66"/>
      <c r="O2658" s="66"/>
      <c r="P2658" s="84" t="str">
        <f>IF(AND('331-CT'!$E$7=TH!H2658,OR(N2658="331",O2658="331")),"x","")</f>
        <v/>
      </c>
      <c r="Q2658" s="84" t="str">
        <f>IF(AND(B2658='111'!$L$11,OR($N2658=$Q$7,$O2658=$Q$7)),"x","")</f>
        <v/>
      </c>
      <c r="R2658" s="84" t="str">
        <f>IF(AND($N2658=$Q$7,$B2658&lt;'111'!$L$11),"x","")</f>
        <v/>
      </c>
      <c r="S2658" s="84" t="str">
        <f>IF(AND($O2658=$Q$7,$B2658&lt;'111'!$L$11),"x","")</f>
        <v/>
      </c>
      <c r="T2658" s="84" t="str">
        <f>IF(ISERROR(FIND('112'!$M$9,G2658,1)),"",IF((AND(FIND('112'!$M$9,G2658,1)&gt;=1,B2658='112'!$K$9,OR($N2658='112'!$I$6,$O2658='112'!$I$6))),"x",""))</f>
        <v/>
      </c>
      <c r="U2658" s="84" t="str">
        <f>IF(ISERROR(FIND('112'!$M$9,G2658,1)),"",IF((AND(LEFT(G2658,2)=LEFT('112'!$M$9,2),B2658&lt;'112'!$K$9,$N2658='112'!$I$6)),"x",""))</f>
        <v/>
      </c>
      <c r="V2658" s="84" t="str">
        <f>IF(ISERROR(FIND('112'!$M$9,G2658,1)),"",IF((AND(RIGHT(G2658,2)=RIGHT('112'!$M$9,2),B2658&lt;'112'!$K$9,$O2658='112'!$I$6)),"x",""))</f>
        <v/>
      </c>
      <c r="W2658" s="84" t="str">
        <f>IF(AND('341-CT'!$H$9=H2658,OR(LEFT(N2658,3)=$W$7,LEFT(O2658,3)=$W$7)),"x","")</f>
        <v/>
      </c>
      <c r="X2658" s="84" t="str">
        <f>IF(OR(TH!N2658=TH!$X$7,O2658=TH!$X$7),"x","")</f>
        <v/>
      </c>
      <c r="Y2658" s="84" t="str">
        <f>IF(AND(OR(N2658="131",O2658="131"),H2658='131-CT'!$H$9),"x","")</f>
        <v/>
      </c>
      <c r="Z2658" s="84"/>
      <c r="AA2658" s="84" t="str">
        <f>IF(AND(MONTH(E2658)='IN-NX'!$J$5,'IN-NX'!$D$7=D2658),"x","")</f>
        <v/>
      </c>
      <c r="AB2658" s="84" t="str">
        <f>IF(AND(OR(LEFT(TH!N2658,2)="15",LEFT(TH!O2658,2)="15"),LEFT(TH!O2658,3)&lt;&gt;"111",'152-CT'!$J$8=TH!F2658),"x","")</f>
        <v/>
      </c>
      <c r="AC2658" s="84" t="str">
        <f>IF(AND(OR(LEFT(TH!N2658,2)="15",LEFT(TH!O2658,2)="15"),TK!$E$7=TH!F2658),"x","")</f>
        <v/>
      </c>
      <c r="AD2658" s="84" t="str">
        <f>IF(AND(N2658="1521",MONTH(C2658)='BK-NL'!$M$11),"x","")</f>
        <v/>
      </c>
    </row>
    <row r="2659" spans="1:30" s="351" customFormat="1" ht="15.75" hidden="1" customHeight="1">
      <c r="A2659" s="336" t="str">
        <f>IF(B2659&lt;&gt;"",IF(AND(B2659='IN-TC'!$S$4,OR(TH!N2659="1111",TH!O2659="1111")),TH!D2659,""),"")</f>
        <v/>
      </c>
      <c r="B2659" s="63" t="str">
        <f t="shared" si="297"/>
        <v/>
      </c>
      <c r="C2659" s="64"/>
      <c r="D2659" s="64"/>
      <c r="E2659" s="64"/>
      <c r="F2659" s="67"/>
      <c r="G2659" s="67"/>
      <c r="H2659" s="73"/>
      <c r="I2659" s="439"/>
      <c r="J2659" s="439"/>
      <c r="K2659" s="430"/>
      <c r="L2659" s="439"/>
      <c r="M2659" s="65"/>
      <c r="N2659" s="66"/>
      <c r="O2659" s="66"/>
      <c r="P2659" s="84" t="str">
        <f>IF(AND('331-CT'!$E$7=TH!H2659,OR(N2659="331",O2659="331")),"x","")</f>
        <v/>
      </c>
      <c r="Q2659" s="84" t="str">
        <f>IF(AND(B2659='111'!$L$11,OR($N2659=$Q$7,$O2659=$Q$7)),"x","")</f>
        <v/>
      </c>
      <c r="R2659" s="84" t="str">
        <f>IF(AND($N2659=$Q$7,$B2659&lt;'111'!$L$11),"x","")</f>
        <v/>
      </c>
      <c r="S2659" s="84" t="str">
        <f>IF(AND($O2659=$Q$7,$B2659&lt;'111'!$L$11),"x","")</f>
        <v/>
      </c>
      <c r="T2659" s="84" t="str">
        <f>IF(ISERROR(FIND('112'!$M$9,G2659,1)),"",IF((AND(FIND('112'!$M$9,G2659,1)&gt;=1,B2659='112'!$K$9,OR($N2659='112'!$I$6,$O2659='112'!$I$6))),"x",""))</f>
        <v/>
      </c>
      <c r="U2659" s="84" t="str">
        <f>IF(ISERROR(FIND('112'!$M$9,G2659,1)),"",IF((AND(LEFT(G2659,2)=LEFT('112'!$M$9,2),B2659&lt;'112'!$K$9,$N2659='112'!$I$6)),"x",""))</f>
        <v/>
      </c>
      <c r="V2659" s="84" t="str">
        <f>IF(ISERROR(FIND('112'!$M$9,G2659,1)),"",IF((AND(RIGHT(G2659,2)=RIGHT('112'!$M$9,2),B2659&lt;'112'!$K$9,$O2659='112'!$I$6)),"x",""))</f>
        <v/>
      </c>
      <c r="W2659" s="84" t="str">
        <f>IF(AND('341-CT'!$H$9=H2659,OR(LEFT(N2659,3)=$W$7,LEFT(O2659,3)=$W$7)),"x","")</f>
        <v/>
      </c>
      <c r="X2659" s="84" t="str">
        <f>IF(OR(TH!N2659=TH!$X$7,O2659=TH!$X$7),"x","")</f>
        <v/>
      </c>
      <c r="Y2659" s="84" t="str">
        <f>IF(AND(OR(N2659="131",O2659="131"),H2659='131-CT'!$H$9),"x","")</f>
        <v/>
      </c>
      <c r="Z2659" s="84"/>
      <c r="AA2659" s="84" t="str">
        <f>IF(AND(MONTH(E2659)='IN-NX'!$J$5,'IN-NX'!$D$7=D2659),"x","")</f>
        <v/>
      </c>
      <c r="AB2659" s="84" t="str">
        <f>IF(AND(OR(LEFT(TH!N2659,2)="15",LEFT(TH!O2659,2)="15"),LEFT(TH!O2659,3)&lt;&gt;"111",'152-CT'!$J$8=TH!F2659),"x","")</f>
        <v/>
      </c>
      <c r="AC2659" s="84" t="str">
        <f>IF(AND(OR(LEFT(TH!N2659,2)="15",LEFT(TH!O2659,2)="15"),TK!$E$7=TH!F2659),"x","")</f>
        <v/>
      </c>
      <c r="AD2659" s="84" t="str">
        <f>IF(AND(N2659="1521",MONTH(C2659)='BK-NL'!$M$11),"x","")</f>
        <v/>
      </c>
    </row>
    <row r="2660" spans="1:30" s="351" customFormat="1" ht="15.75" hidden="1" customHeight="1">
      <c r="A2660" s="336" t="str">
        <f>IF(B2660&lt;&gt;"",IF(AND(B2660='IN-TC'!$S$4,OR(TH!N2660="1111",TH!O2660="1111")),TH!D2660,""),"")</f>
        <v/>
      </c>
      <c r="B2660" s="63" t="str">
        <f t="shared" si="297"/>
        <v/>
      </c>
      <c r="C2660" s="64"/>
      <c r="D2660" s="64"/>
      <c r="E2660" s="64"/>
      <c r="F2660" s="67"/>
      <c r="G2660" s="67"/>
      <c r="H2660" s="73"/>
      <c r="I2660" s="439"/>
      <c r="J2660" s="439"/>
      <c r="K2660" s="430"/>
      <c r="L2660" s="439"/>
      <c r="M2660" s="65"/>
      <c r="N2660" s="66"/>
      <c r="O2660" s="66"/>
      <c r="P2660" s="84" t="str">
        <f>IF(AND('331-CT'!$E$7=TH!H2660,OR(N2660="331",O2660="331")),"x","")</f>
        <v/>
      </c>
      <c r="Q2660" s="84" t="str">
        <f>IF(AND(B2660='111'!$L$11,OR($N2660=$Q$7,$O2660=$Q$7)),"x","")</f>
        <v/>
      </c>
      <c r="R2660" s="84" t="str">
        <f>IF(AND($N2660=$Q$7,$B2660&lt;'111'!$L$11),"x","")</f>
        <v/>
      </c>
      <c r="S2660" s="84" t="str">
        <f>IF(AND($O2660=$Q$7,$B2660&lt;'111'!$L$11),"x","")</f>
        <v/>
      </c>
      <c r="T2660" s="84" t="str">
        <f>IF(ISERROR(FIND('112'!$M$9,G2660,1)),"",IF((AND(FIND('112'!$M$9,G2660,1)&gt;=1,B2660='112'!$K$9,OR($N2660='112'!$I$6,$O2660='112'!$I$6))),"x",""))</f>
        <v/>
      </c>
      <c r="U2660" s="84" t="str">
        <f>IF(ISERROR(FIND('112'!$M$9,G2660,1)),"",IF((AND(LEFT(G2660,2)=LEFT('112'!$M$9,2),B2660&lt;'112'!$K$9,$N2660='112'!$I$6)),"x",""))</f>
        <v/>
      </c>
      <c r="V2660" s="84" t="str">
        <f>IF(ISERROR(FIND('112'!$M$9,G2660,1)),"",IF((AND(RIGHT(G2660,2)=RIGHT('112'!$M$9,2),B2660&lt;'112'!$K$9,$O2660='112'!$I$6)),"x",""))</f>
        <v/>
      </c>
      <c r="W2660" s="84" t="str">
        <f>IF(AND('341-CT'!$H$9=H2660,OR(LEFT(N2660,3)=$W$7,LEFT(O2660,3)=$W$7)),"x","")</f>
        <v/>
      </c>
      <c r="X2660" s="84" t="str">
        <f>IF(OR(TH!N2660=TH!$X$7,O2660=TH!$X$7),"x","")</f>
        <v/>
      </c>
      <c r="Y2660" s="84" t="str">
        <f>IF(AND(OR(N2660="131",O2660="131"),H2660='131-CT'!$H$9),"x","")</f>
        <v/>
      </c>
      <c r="Z2660" s="84"/>
      <c r="AA2660" s="84" t="str">
        <f>IF(AND(MONTH(E2660)='IN-NX'!$J$5,'IN-NX'!$D$7=D2660),"x","")</f>
        <v/>
      </c>
      <c r="AB2660" s="84" t="str">
        <f>IF(AND(OR(LEFT(TH!N2660,2)="15",LEFT(TH!O2660,2)="15"),LEFT(TH!O2660,3)&lt;&gt;"111",'152-CT'!$J$8=TH!F2660),"x","")</f>
        <v/>
      </c>
      <c r="AC2660" s="84" t="str">
        <f>IF(AND(OR(LEFT(TH!N2660,2)="15",LEFT(TH!O2660,2)="15"),TK!$E$7=TH!F2660),"x","")</f>
        <v/>
      </c>
      <c r="AD2660" s="84" t="str">
        <f>IF(AND(N2660="1521",MONTH(C2660)='BK-NL'!$M$11),"x","")</f>
        <v/>
      </c>
    </row>
    <row r="2661" spans="1:30" s="351" customFormat="1" ht="15.75" hidden="1" customHeight="1">
      <c r="A2661" s="336" t="str">
        <f>IF(B2661&lt;&gt;"",IF(AND(B2661='IN-TC'!$S$4,OR(TH!N2661="1111",TH!O2661="1111")),TH!D2661,""),"")</f>
        <v/>
      </c>
      <c r="B2661" s="63" t="str">
        <f t="shared" si="297"/>
        <v/>
      </c>
      <c r="C2661" s="64"/>
      <c r="D2661" s="64"/>
      <c r="E2661" s="64"/>
      <c r="F2661" s="67"/>
      <c r="G2661" s="67"/>
      <c r="H2661" s="73"/>
      <c r="I2661" s="439"/>
      <c r="J2661" s="439"/>
      <c r="K2661" s="430"/>
      <c r="L2661" s="439"/>
      <c r="M2661" s="65"/>
      <c r="N2661" s="66"/>
      <c r="O2661" s="66"/>
      <c r="P2661" s="84" t="str">
        <f>IF(AND('331-CT'!$E$7=TH!H2661,OR(N2661="331",O2661="331")),"x","")</f>
        <v/>
      </c>
      <c r="Q2661" s="84" t="str">
        <f>IF(AND(B2661='111'!$L$11,OR($N2661=$Q$7,$O2661=$Q$7)),"x","")</f>
        <v/>
      </c>
      <c r="R2661" s="84" t="str">
        <f>IF(AND($N2661=$Q$7,$B2661&lt;'111'!$L$11),"x","")</f>
        <v/>
      </c>
      <c r="S2661" s="84" t="str">
        <f>IF(AND($O2661=$Q$7,$B2661&lt;'111'!$L$11),"x","")</f>
        <v/>
      </c>
      <c r="T2661" s="84" t="str">
        <f>IF(ISERROR(FIND('112'!$M$9,G2661,1)),"",IF((AND(FIND('112'!$M$9,G2661,1)&gt;=1,B2661='112'!$K$9,OR($N2661='112'!$I$6,$O2661='112'!$I$6))),"x",""))</f>
        <v/>
      </c>
      <c r="U2661" s="84" t="str">
        <f>IF(ISERROR(FIND('112'!$M$9,G2661,1)),"",IF((AND(LEFT(G2661,2)=LEFT('112'!$M$9,2),B2661&lt;'112'!$K$9,$N2661='112'!$I$6)),"x",""))</f>
        <v/>
      </c>
      <c r="V2661" s="84" t="str">
        <f>IF(ISERROR(FIND('112'!$M$9,G2661,1)),"",IF((AND(RIGHT(G2661,2)=RIGHT('112'!$M$9,2),B2661&lt;'112'!$K$9,$O2661='112'!$I$6)),"x",""))</f>
        <v/>
      </c>
      <c r="W2661" s="84" t="str">
        <f>IF(AND('341-CT'!$H$9=H2661,OR(LEFT(N2661,3)=$W$7,LEFT(O2661,3)=$W$7)),"x","")</f>
        <v/>
      </c>
      <c r="X2661" s="84" t="str">
        <f>IF(OR(TH!N2661=TH!$X$7,O2661=TH!$X$7),"x","")</f>
        <v/>
      </c>
      <c r="Y2661" s="84" t="str">
        <f>IF(AND(OR(N2661="131",O2661="131"),H2661='131-CT'!$H$9),"x","")</f>
        <v/>
      </c>
      <c r="Z2661" s="84"/>
      <c r="AA2661" s="84" t="str">
        <f>IF(AND(MONTH(E2661)='IN-NX'!$J$5,'IN-NX'!$D$7=D2661),"x","")</f>
        <v/>
      </c>
      <c r="AB2661" s="84" t="str">
        <f>IF(AND(OR(LEFT(TH!N2661,2)="15",LEFT(TH!O2661,2)="15"),LEFT(TH!O2661,3)&lt;&gt;"111",'152-CT'!$J$8=TH!F2661),"x","")</f>
        <v/>
      </c>
      <c r="AC2661" s="84" t="str">
        <f>IF(AND(OR(LEFT(TH!N2661,2)="15",LEFT(TH!O2661,2)="15"),TK!$E$7=TH!F2661),"x","")</f>
        <v/>
      </c>
      <c r="AD2661" s="84" t="str">
        <f>IF(AND(N2661="1521",MONTH(C2661)='BK-NL'!$M$11),"x","")</f>
        <v/>
      </c>
    </row>
    <row r="2662" spans="1:30" s="351" customFormat="1" ht="15.75" hidden="1" customHeight="1">
      <c r="A2662" s="336" t="str">
        <f>IF(B2662&lt;&gt;"",IF(AND(B2662='IN-TC'!$S$4,OR(TH!N2662="1111",TH!O2662="1111")),TH!D2662,""),"")</f>
        <v/>
      </c>
      <c r="B2662" s="63" t="str">
        <f t="shared" si="297"/>
        <v/>
      </c>
      <c r="C2662" s="64"/>
      <c r="D2662" s="64"/>
      <c r="E2662" s="64"/>
      <c r="F2662" s="67"/>
      <c r="G2662" s="67"/>
      <c r="H2662" s="73"/>
      <c r="I2662" s="439"/>
      <c r="J2662" s="439"/>
      <c r="K2662" s="430"/>
      <c r="L2662" s="439"/>
      <c r="M2662" s="65"/>
      <c r="N2662" s="66"/>
      <c r="O2662" s="66"/>
      <c r="P2662" s="84" t="str">
        <f>IF(AND('331-CT'!$E$7=TH!H2662,OR(N2662="331",O2662="331")),"x","")</f>
        <v/>
      </c>
      <c r="Q2662" s="84" t="str">
        <f>IF(AND(B2662='111'!$L$11,OR($N2662=$Q$7,$O2662=$Q$7)),"x","")</f>
        <v/>
      </c>
      <c r="R2662" s="84" t="str">
        <f>IF(AND($N2662=$Q$7,$B2662&lt;'111'!$L$11),"x","")</f>
        <v/>
      </c>
      <c r="S2662" s="84" t="str">
        <f>IF(AND($O2662=$Q$7,$B2662&lt;'111'!$L$11),"x","")</f>
        <v/>
      </c>
      <c r="T2662" s="84" t="str">
        <f>IF(ISERROR(FIND('112'!$M$9,G2662,1)),"",IF((AND(FIND('112'!$M$9,G2662,1)&gt;=1,B2662='112'!$K$9,OR($N2662='112'!$I$6,$O2662='112'!$I$6))),"x",""))</f>
        <v/>
      </c>
      <c r="U2662" s="84" t="str">
        <f>IF(ISERROR(FIND('112'!$M$9,G2662,1)),"",IF((AND(LEFT(G2662,2)=LEFT('112'!$M$9,2),B2662&lt;'112'!$K$9,$N2662='112'!$I$6)),"x",""))</f>
        <v/>
      </c>
      <c r="V2662" s="84" t="str">
        <f>IF(ISERROR(FIND('112'!$M$9,G2662,1)),"",IF((AND(RIGHT(G2662,2)=RIGHT('112'!$M$9,2),B2662&lt;'112'!$K$9,$O2662='112'!$I$6)),"x",""))</f>
        <v/>
      </c>
      <c r="W2662" s="84" t="str">
        <f>IF(AND('341-CT'!$H$9=H2662,OR(LEFT(N2662,3)=$W$7,LEFT(O2662,3)=$W$7)),"x","")</f>
        <v/>
      </c>
      <c r="X2662" s="84" t="str">
        <f>IF(OR(TH!N2662=TH!$X$7,O2662=TH!$X$7),"x","")</f>
        <v/>
      </c>
      <c r="Y2662" s="84" t="str">
        <f>IF(AND(OR(N2662="131",O2662="131"),H2662='131-CT'!$H$9),"x","")</f>
        <v/>
      </c>
      <c r="Z2662" s="84"/>
      <c r="AA2662" s="84" t="str">
        <f>IF(AND(MONTH(E2662)='IN-NX'!$J$5,'IN-NX'!$D$7=D2662),"x","")</f>
        <v/>
      </c>
      <c r="AB2662" s="84" t="str">
        <f>IF(AND(OR(LEFT(TH!N2662,2)="15",LEFT(TH!O2662,2)="15"),LEFT(TH!O2662,3)&lt;&gt;"111",'152-CT'!$J$8=TH!F2662),"x","")</f>
        <v/>
      </c>
      <c r="AC2662" s="84" t="str">
        <f>IF(AND(OR(LEFT(TH!N2662,2)="15",LEFT(TH!O2662,2)="15"),TK!$E$7=TH!F2662),"x","")</f>
        <v/>
      </c>
      <c r="AD2662" s="84" t="str">
        <f>IF(AND(N2662="1521",MONTH(C2662)='BK-NL'!$M$11),"x","")</f>
        <v/>
      </c>
    </row>
    <row r="2663" spans="1:30" s="351" customFormat="1" ht="15.75" hidden="1" customHeight="1">
      <c r="A2663" s="336" t="str">
        <f>IF(B2663&lt;&gt;"",IF(AND(B2663='IN-TC'!$S$4,OR(TH!N2663="1111",TH!O2663="1111")),TH!D2663,""),"")</f>
        <v/>
      </c>
      <c r="B2663" s="63" t="str">
        <f t="shared" si="297"/>
        <v/>
      </c>
      <c r="C2663" s="64"/>
      <c r="D2663" s="64"/>
      <c r="E2663" s="64"/>
      <c r="F2663" s="67"/>
      <c r="G2663" s="67"/>
      <c r="H2663" s="73"/>
      <c r="I2663" s="439"/>
      <c r="J2663" s="439"/>
      <c r="K2663" s="430"/>
      <c r="L2663" s="439"/>
      <c r="M2663" s="65"/>
      <c r="N2663" s="66"/>
      <c r="O2663" s="66"/>
      <c r="P2663" s="84" t="str">
        <f>IF(AND('331-CT'!$E$7=TH!H2663,OR(N2663="331",O2663="331")),"x","")</f>
        <v/>
      </c>
      <c r="Q2663" s="84" t="str">
        <f>IF(AND(B2663='111'!$L$11,OR($N2663=$Q$7,$O2663=$Q$7)),"x","")</f>
        <v/>
      </c>
      <c r="R2663" s="84" t="str">
        <f>IF(AND($N2663=$Q$7,$B2663&lt;'111'!$L$11),"x","")</f>
        <v/>
      </c>
      <c r="S2663" s="84" t="str">
        <f>IF(AND($O2663=$Q$7,$B2663&lt;'111'!$L$11),"x","")</f>
        <v/>
      </c>
      <c r="T2663" s="84" t="str">
        <f>IF(ISERROR(FIND('112'!$M$9,G2663,1)),"",IF((AND(FIND('112'!$M$9,G2663,1)&gt;=1,B2663='112'!$K$9,OR($N2663='112'!$I$6,$O2663='112'!$I$6))),"x",""))</f>
        <v/>
      </c>
      <c r="U2663" s="84" t="str">
        <f>IF(ISERROR(FIND('112'!$M$9,G2663,1)),"",IF((AND(LEFT(G2663,2)=LEFT('112'!$M$9,2),B2663&lt;'112'!$K$9,$N2663='112'!$I$6)),"x",""))</f>
        <v/>
      </c>
      <c r="V2663" s="84" t="str">
        <f>IF(ISERROR(FIND('112'!$M$9,G2663,1)),"",IF((AND(RIGHT(G2663,2)=RIGHT('112'!$M$9,2),B2663&lt;'112'!$K$9,$O2663='112'!$I$6)),"x",""))</f>
        <v/>
      </c>
      <c r="W2663" s="84" t="str">
        <f>IF(AND('341-CT'!$H$9=H2663,OR(LEFT(N2663,3)=$W$7,LEFT(O2663,3)=$W$7)),"x","")</f>
        <v/>
      </c>
      <c r="X2663" s="84" t="str">
        <f>IF(OR(TH!N2663=TH!$X$7,O2663=TH!$X$7),"x","")</f>
        <v/>
      </c>
      <c r="Y2663" s="84" t="str">
        <f>IF(AND(OR(N2663="131",O2663="131"),H2663='131-CT'!$H$9),"x","")</f>
        <v/>
      </c>
      <c r="Z2663" s="84"/>
      <c r="AA2663" s="84" t="str">
        <f>IF(AND(MONTH(E2663)='IN-NX'!$J$5,'IN-NX'!$D$7=D2663),"x","")</f>
        <v/>
      </c>
      <c r="AB2663" s="84" t="str">
        <f>IF(AND(OR(LEFT(TH!N2663,2)="15",LEFT(TH!O2663,2)="15"),LEFT(TH!O2663,3)&lt;&gt;"111",'152-CT'!$J$8=TH!F2663),"x","")</f>
        <v/>
      </c>
      <c r="AC2663" s="84" t="str">
        <f>IF(AND(OR(LEFT(TH!N2663,2)="15",LEFT(TH!O2663,2)="15"),TK!$E$7=TH!F2663),"x","")</f>
        <v/>
      </c>
      <c r="AD2663" s="84" t="str">
        <f>IF(AND(N2663="1521",MONTH(C2663)='BK-NL'!$M$11),"x","")</f>
        <v/>
      </c>
    </row>
    <row r="2664" spans="1:30" s="351" customFormat="1" ht="15.75" hidden="1" customHeight="1">
      <c r="A2664" s="336" t="str">
        <f>IF(B2664&lt;&gt;"",IF(AND(B2664='IN-TC'!$S$4,OR(TH!N2664="1111",TH!O2664="1111")),TH!D2664,""),"")</f>
        <v/>
      </c>
      <c r="B2664" s="63" t="str">
        <f t="shared" si="297"/>
        <v/>
      </c>
      <c r="C2664" s="64"/>
      <c r="D2664" s="64"/>
      <c r="E2664" s="64"/>
      <c r="F2664" s="67"/>
      <c r="G2664" s="67"/>
      <c r="H2664" s="73"/>
      <c r="I2664" s="439"/>
      <c r="J2664" s="439"/>
      <c r="K2664" s="430"/>
      <c r="L2664" s="439"/>
      <c r="M2664" s="65"/>
      <c r="N2664" s="66"/>
      <c r="O2664" s="66"/>
      <c r="P2664" s="84" t="str">
        <f>IF(AND('331-CT'!$E$7=TH!H2664,OR(N2664="331",O2664="331")),"x","")</f>
        <v/>
      </c>
      <c r="Q2664" s="84" t="str">
        <f>IF(AND(B2664='111'!$L$11,OR($N2664=$Q$7,$O2664=$Q$7)),"x","")</f>
        <v/>
      </c>
      <c r="R2664" s="84" t="str">
        <f>IF(AND($N2664=$Q$7,$B2664&lt;'111'!$L$11),"x","")</f>
        <v/>
      </c>
      <c r="S2664" s="84" t="str">
        <f>IF(AND($O2664=$Q$7,$B2664&lt;'111'!$L$11),"x","")</f>
        <v/>
      </c>
      <c r="T2664" s="84" t="str">
        <f>IF(ISERROR(FIND('112'!$M$9,G2664,1)),"",IF((AND(FIND('112'!$M$9,G2664,1)&gt;=1,B2664='112'!$K$9,OR($N2664='112'!$I$6,$O2664='112'!$I$6))),"x",""))</f>
        <v/>
      </c>
      <c r="U2664" s="84" t="str">
        <f>IF(ISERROR(FIND('112'!$M$9,G2664,1)),"",IF((AND(LEFT(G2664,2)=LEFT('112'!$M$9,2),B2664&lt;'112'!$K$9,$N2664='112'!$I$6)),"x",""))</f>
        <v/>
      </c>
      <c r="V2664" s="84" t="str">
        <f>IF(ISERROR(FIND('112'!$M$9,G2664,1)),"",IF((AND(RIGHT(G2664,2)=RIGHT('112'!$M$9,2),B2664&lt;'112'!$K$9,$O2664='112'!$I$6)),"x",""))</f>
        <v/>
      </c>
      <c r="W2664" s="84" t="str">
        <f>IF(AND('341-CT'!$H$9=H2664,OR(LEFT(N2664,3)=$W$7,LEFT(O2664,3)=$W$7)),"x","")</f>
        <v/>
      </c>
      <c r="X2664" s="84" t="str">
        <f>IF(OR(TH!N2664=TH!$X$7,O2664=TH!$X$7),"x","")</f>
        <v/>
      </c>
      <c r="Y2664" s="84" t="str">
        <f>IF(AND(OR(N2664="131",O2664="131"),H2664='131-CT'!$H$9),"x","")</f>
        <v/>
      </c>
      <c r="Z2664" s="84"/>
      <c r="AA2664" s="84" t="str">
        <f>IF(AND(MONTH(E2664)='IN-NX'!$J$5,'IN-NX'!$D$7=D2664),"x","")</f>
        <v/>
      </c>
      <c r="AB2664" s="84" t="str">
        <f>IF(AND(OR(LEFT(TH!N2664,2)="15",LEFT(TH!O2664,2)="15"),LEFT(TH!O2664,3)&lt;&gt;"111",'152-CT'!$J$8=TH!F2664),"x","")</f>
        <v/>
      </c>
      <c r="AC2664" s="84" t="str">
        <f>IF(AND(OR(LEFT(TH!N2664,2)="15",LEFT(TH!O2664,2)="15"),TK!$E$7=TH!F2664),"x","")</f>
        <v/>
      </c>
      <c r="AD2664" s="84" t="str">
        <f>IF(AND(N2664="1521",MONTH(C2664)='BK-NL'!$M$11),"x","")</f>
        <v/>
      </c>
    </row>
    <row r="2665" spans="1:30" s="351" customFormat="1" ht="15.75" hidden="1" customHeight="1">
      <c r="A2665" s="336" t="str">
        <f>IF(B2665&lt;&gt;"",IF(AND(B2665='IN-TC'!$S$4,OR(TH!N2665="1111",TH!O2665="1111")),TH!D2665,""),"")</f>
        <v/>
      </c>
      <c r="B2665" s="63" t="str">
        <f t="shared" si="297"/>
        <v/>
      </c>
      <c r="C2665" s="64"/>
      <c r="D2665" s="64"/>
      <c r="E2665" s="64"/>
      <c r="F2665" s="67"/>
      <c r="G2665" s="67"/>
      <c r="H2665" s="73"/>
      <c r="I2665" s="439"/>
      <c r="J2665" s="439"/>
      <c r="K2665" s="430"/>
      <c r="L2665" s="439"/>
      <c r="M2665" s="65"/>
      <c r="N2665" s="66"/>
      <c r="O2665" s="66"/>
      <c r="P2665" s="84" t="str">
        <f>IF(AND('331-CT'!$E$7=TH!H2665,OR(N2665="331",O2665="331")),"x","")</f>
        <v/>
      </c>
      <c r="Q2665" s="84" t="str">
        <f>IF(AND(B2665='111'!$L$11,OR($N2665=$Q$7,$O2665=$Q$7)),"x","")</f>
        <v/>
      </c>
      <c r="R2665" s="84" t="str">
        <f>IF(AND($N2665=$Q$7,$B2665&lt;'111'!$L$11),"x","")</f>
        <v/>
      </c>
      <c r="S2665" s="84" t="str">
        <f>IF(AND($O2665=$Q$7,$B2665&lt;'111'!$L$11),"x","")</f>
        <v/>
      </c>
      <c r="T2665" s="84" t="str">
        <f>IF(ISERROR(FIND('112'!$M$9,G2665,1)),"",IF((AND(FIND('112'!$M$9,G2665,1)&gt;=1,B2665='112'!$K$9,OR($N2665='112'!$I$6,$O2665='112'!$I$6))),"x",""))</f>
        <v/>
      </c>
      <c r="U2665" s="84" t="str">
        <f>IF(ISERROR(FIND('112'!$M$9,G2665,1)),"",IF((AND(LEFT(G2665,2)=LEFT('112'!$M$9,2),B2665&lt;'112'!$K$9,$N2665='112'!$I$6)),"x",""))</f>
        <v/>
      </c>
      <c r="V2665" s="84" t="str">
        <f>IF(ISERROR(FIND('112'!$M$9,G2665,1)),"",IF((AND(RIGHT(G2665,2)=RIGHT('112'!$M$9,2),B2665&lt;'112'!$K$9,$O2665='112'!$I$6)),"x",""))</f>
        <v/>
      </c>
      <c r="W2665" s="84" t="str">
        <f>IF(AND('341-CT'!$H$9=H2665,OR(LEFT(N2665,3)=$W$7,LEFT(O2665,3)=$W$7)),"x","")</f>
        <v/>
      </c>
      <c r="X2665" s="84" t="str">
        <f>IF(OR(TH!N2665=TH!$X$7,O2665=TH!$X$7),"x","")</f>
        <v/>
      </c>
      <c r="Y2665" s="84" t="str">
        <f>IF(AND(OR(N2665="131",O2665="131"),H2665='131-CT'!$H$9),"x","")</f>
        <v/>
      </c>
      <c r="Z2665" s="84"/>
      <c r="AA2665" s="84" t="str">
        <f>IF(AND(MONTH(E2665)='IN-NX'!$J$5,'IN-NX'!$D$7=D2665),"x","")</f>
        <v/>
      </c>
      <c r="AB2665" s="84" t="str">
        <f>IF(AND(OR(LEFT(TH!N2665,2)="15",LEFT(TH!O2665,2)="15"),LEFT(TH!O2665,3)&lt;&gt;"111",'152-CT'!$J$8=TH!F2665),"x","")</f>
        <v/>
      </c>
      <c r="AC2665" s="84" t="str">
        <f>IF(AND(OR(LEFT(TH!N2665,2)="15",LEFT(TH!O2665,2)="15"),TK!$E$7=TH!F2665),"x","")</f>
        <v/>
      </c>
      <c r="AD2665" s="84" t="str">
        <f>IF(AND(N2665="1521",MONTH(C2665)='BK-NL'!$M$11),"x","")</f>
        <v/>
      </c>
    </row>
    <row r="2666" spans="1:30" s="351" customFormat="1" ht="15.75" hidden="1" customHeight="1">
      <c r="A2666" s="336" t="str">
        <f>IF(B2666&lt;&gt;"",IF(AND(B2666='IN-TC'!$S$4,OR(TH!N2666="1111",TH!O2666="1111")),TH!D2666,""),"")</f>
        <v/>
      </c>
      <c r="B2666" s="63" t="str">
        <f t="shared" si="297"/>
        <v/>
      </c>
      <c r="C2666" s="64"/>
      <c r="D2666" s="64"/>
      <c r="E2666" s="64"/>
      <c r="F2666" s="67"/>
      <c r="G2666" s="67"/>
      <c r="H2666" s="73"/>
      <c r="I2666" s="439"/>
      <c r="J2666" s="439"/>
      <c r="K2666" s="430"/>
      <c r="L2666" s="439"/>
      <c r="M2666" s="65"/>
      <c r="N2666" s="66"/>
      <c r="O2666" s="66"/>
      <c r="P2666" s="84" t="str">
        <f>IF(AND('331-CT'!$E$7=TH!H2666,OR(N2666="331",O2666="331")),"x","")</f>
        <v/>
      </c>
      <c r="Q2666" s="84" t="str">
        <f>IF(AND(B2666='111'!$L$11,OR($N2666=$Q$7,$O2666=$Q$7)),"x","")</f>
        <v/>
      </c>
      <c r="R2666" s="84" t="str">
        <f>IF(AND($N2666=$Q$7,$B2666&lt;'111'!$L$11),"x","")</f>
        <v/>
      </c>
      <c r="S2666" s="84" t="str">
        <f>IF(AND($O2666=$Q$7,$B2666&lt;'111'!$L$11),"x","")</f>
        <v/>
      </c>
      <c r="T2666" s="84" t="str">
        <f>IF(ISERROR(FIND('112'!$M$9,G2666,1)),"",IF((AND(FIND('112'!$M$9,G2666,1)&gt;=1,B2666='112'!$K$9,OR($N2666='112'!$I$6,$O2666='112'!$I$6))),"x",""))</f>
        <v/>
      </c>
      <c r="U2666" s="84" t="str">
        <f>IF(ISERROR(FIND('112'!$M$9,G2666,1)),"",IF((AND(LEFT(G2666,2)=LEFT('112'!$M$9,2),B2666&lt;'112'!$K$9,$N2666='112'!$I$6)),"x",""))</f>
        <v/>
      </c>
      <c r="V2666" s="84" t="str">
        <f>IF(ISERROR(FIND('112'!$M$9,G2666,1)),"",IF((AND(RIGHT(G2666,2)=RIGHT('112'!$M$9,2),B2666&lt;'112'!$K$9,$O2666='112'!$I$6)),"x",""))</f>
        <v/>
      </c>
      <c r="W2666" s="84" t="str">
        <f>IF(AND('341-CT'!$H$9=H2666,OR(LEFT(N2666,3)=$W$7,LEFT(O2666,3)=$W$7)),"x","")</f>
        <v/>
      </c>
      <c r="X2666" s="84" t="str">
        <f>IF(OR(TH!N2666=TH!$X$7,O2666=TH!$X$7),"x","")</f>
        <v/>
      </c>
      <c r="Y2666" s="84" t="str">
        <f>IF(AND(OR(N2666="131",O2666="131"),H2666='131-CT'!$H$9),"x","")</f>
        <v/>
      </c>
      <c r="Z2666" s="84"/>
      <c r="AA2666" s="84" t="str">
        <f>IF(AND(MONTH(E2666)='IN-NX'!$J$5,'IN-NX'!$D$7=D2666),"x","")</f>
        <v/>
      </c>
      <c r="AB2666" s="84" t="str">
        <f>IF(AND(OR(LEFT(TH!N2666,2)="15",LEFT(TH!O2666,2)="15"),LEFT(TH!O2666,3)&lt;&gt;"111",'152-CT'!$J$8=TH!F2666),"x","")</f>
        <v/>
      </c>
      <c r="AC2666" s="84" t="str">
        <f>IF(AND(OR(LEFT(TH!N2666,2)="15",LEFT(TH!O2666,2)="15"),TK!$E$7=TH!F2666),"x","")</f>
        <v/>
      </c>
      <c r="AD2666" s="84" t="str">
        <f>IF(AND(N2666="1521",MONTH(C2666)='BK-NL'!$M$11),"x","")</f>
        <v/>
      </c>
    </row>
    <row r="2667" spans="1:30" s="351" customFormat="1" ht="15.75" hidden="1" customHeight="1">
      <c r="A2667" s="336" t="str">
        <f>IF(B2667&lt;&gt;"",IF(AND(B2667='IN-TC'!$S$4,OR(TH!N2667="1111",TH!O2667="1111")),TH!D2667,""),"")</f>
        <v/>
      </c>
      <c r="B2667" s="63" t="str">
        <f t="shared" si="297"/>
        <v/>
      </c>
      <c r="C2667" s="64"/>
      <c r="D2667" s="64"/>
      <c r="E2667" s="64"/>
      <c r="F2667" s="67"/>
      <c r="G2667" s="67"/>
      <c r="H2667" s="73"/>
      <c r="I2667" s="439"/>
      <c r="J2667" s="439"/>
      <c r="K2667" s="430"/>
      <c r="L2667" s="439"/>
      <c r="M2667" s="65"/>
      <c r="N2667" s="66"/>
      <c r="O2667" s="66"/>
      <c r="P2667" s="84" t="str">
        <f>IF(AND('331-CT'!$E$7=TH!H2667,OR(N2667="331",O2667="331")),"x","")</f>
        <v/>
      </c>
      <c r="Q2667" s="84" t="str">
        <f>IF(AND(B2667='111'!$L$11,OR($N2667=$Q$7,$O2667=$Q$7)),"x","")</f>
        <v/>
      </c>
      <c r="R2667" s="84" t="str">
        <f>IF(AND($N2667=$Q$7,$B2667&lt;'111'!$L$11),"x","")</f>
        <v/>
      </c>
      <c r="S2667" s="84" t="str">
        <f>IF(AND($O2667=$Q$7,$B2667&lt;'111'!$L$11),"x","")</f>
        <v/>
      </c>
      <c r="T2667" s="84" t="str">
        <f>IF(ISERROR(FIND('112'!$M$9,G2667,1)),"",IF((AND(FIND('112'!$M$9,G2667,1)&gt;=1,B2667='112'!$K$9,OR($N2667='112'!$I$6,$O2667='112'!$I$6))),"x",""))</f>
        <v/>
      </c>
      <c r="U2667" s="84" t="str">
        <f>IF(ISERROR(FIND('112'!$M$9,G2667,1)),"",IF((AND(LEFT(G2667,2)=LEFT('112'!$M$9,2),B2667&lt;'112'!$K$9,$N2667='112'!$I$6)),"x",""))</f>
        <v/>
      </c>
      <c r="V2667" s="84" t="str">
        <f>IF(ISERROR(FIND('112'!$M$9,G2667,1)),"",IF((AND(RIGHT(G2667,2)=RIGHT('112'!$M$9,2),B2667&lt;'112'!$K$9,$O2667='112'!$I$6)),"x",""))</f>
        <v/>
      </c>
      <c r="W2667" s="84" t="str">
        <f>IF(AND('341-CT'!$H$9=H2667,OR(LEFT(N2667,3)=$W$7,LEFT(O2667,3)=$W$7)),"x","")</f>
        <v/>
      </c>
      <c r="X2667" s="84" t="str">
        <f>IF(OR(TH!N2667=TH!$X$7,O2667=TH!$X$7),"x","")</f>
        <v/>
      </c>
      <c r="Y2667" s="84" t="str">
        <f>IF(AND(OR(N2667="131",O2667="131"),H2667='131-CT'!$H$9),"x","")</f>
        <v/>
      </c>
      <c r="Z2667" s="84"/>
      <c r="AA2667" s="84" t="str">
        <f>IF(AND(MONTH(E2667)='IN-NX'!$J$5,'IN-NX'!$D$7=D2667),"x","")</f>
        <v/>
      </c>
      <c r="AB2667" s="84" t="str">
        <f>IF(AND(OR(LEFT(TH!N2667,2)="15",LEFT(TH!O2667,2)="15"),LEFT(TH!O2667,3)&lt;&gt;"111",'152-CT'!$J$8=TH!F2667),"x","")</f>
        <v/>
      </c>
      <c r="AC2667" s="84" t="str">
        <f>IF(AND(OR(LEFT(TH!N2667,2)="15",LEFT(TH!O2667,2)="15"),TK!$E$7=TH!F2667),"x","")</f>
        <v/>
      </c>
      <c r="AD2667" s="84" t="str">
        <f>IF(AND(N2667="1521",MONTH(C2667)='BK-NL'!$M$11),"x","")</f>
        <v/>
      </c>
    </row>
    <row r="2668" spans="1:30" s="351" customFormat="1" ht="15.75" hidden="1" customHeight="1">
      <c r="A2668" s="336" t="str">
        <f>IF(B2668&lt;&gt;"",IF(AND(B2668='IN-TC'!$S$4,OR(TH!N2668="1111",TH!O2668="1111")),TH!D2668,""),"")</f>
        <v/>
      </c>
      <c r="B2668" s="63" t="str">
        <f t="shared" si="297"/>
        <v/>
      </c>
      <c r="C2668" s="64"/>
      <c r="D2668" s="64"/>
      <c r="E2668" s="64"/>
      <c r="F2668" s="67"/>
      <c r="G2668" s="67"/>
      <c r="H2668" s="73"/>
      <c r="I2668" s="439"/>
      <c r="J2668" s="439"/>
      <c r="K2668" s="430"/>
      <c r="L2668" s="439"/>
      <c r="M2668" s="65"/>
      <c r="N2668" s="66"/>
      <c r="O2668" s="66"/>
      <c r="P2668" s="84" t="str">
        <f>IF(AND('331-CT'!$E$7=TH!H2668,OR(N2668="331",O2668="331")),"x","")</f>
        <v/>
      </c>
      <c r="Q2668" s="84" t="str">
        <f>IF(AND(B2668='111'!$L$11,OR($N2668=$Q$7,$O2668=$Q$7)),"x","")</f>
        <v/>
      </c>
      <c r="R2668" s="84" t="str">
        <f>IF(AND($N2668=$Q$7,$B2668&lt;'111'!$L$11),"x","")</f>
        <v/>
      </c>
      <c r="S2668" s="84" t="str">
        <f>IF(AND($O2668=$Q$7,$B2668&lt;'111'!$L$11),"x","")</f>
        <v/>
      </c>
      <c r="T2668" s="84" t="str">
        <f>IF(ISERROR(FIND('112'!$M$9,G2668,1)),"",IF((AND(FIND('112'!$M$9,G2668,1)&gt;=1,B2668='112'!$K$9,OR($N2668='112'!$I$6,$O2668='112'!$I$6))),"x",""))</f>
        <v/>
      </c>
      <c r="U2668" s="84" t="str">
        <f>IF(ISERROR(FIND('112'!$M$9,G2668,1)),"",IF((AND(LEFT(G2668,2)=LEFT('112'!$M$9,2),B2668&lt;'112'!$K$9,$N2668='112'!$I$6)),"x",""))</f>
        <v/>
      </c>
      <c r="V2668" s="84" t="str">
        <f>IF(ISERROR(FIND('112'!$M$9,G2668,1)),"",IF((AND(RIGHT(G2668,2)=RIGHT('112'!$M$9,2),B2668&lt;'112'!$K$9,$O2668='112'!$I$6)),"x",""))</f>
        <v/>
      </c>
      <c r="W2668" s="84" t="str">
        <f>IF(AND('341-CT'!$H$9=H2668,OR(LEFT(N2668,3)=$W$7,LEFT(O2668,3)=$W$7)),"x","")</f>
        <v/>
      </c>
      <c r="X2668" s="84" t="str">
        <f>IF(OR(TH!N2668=TH!$X$7,O2668=TH!$X$7),"x","")</f>
        <v/>
      </c>
      <c r="Y2668" s="84" t="str">
        <f>IF(AND(OR(N2668="131",O2668="131"),H2668='131-CT'!$H$9),"x","")</f>
        <v/>
      </c>
      <c r="Z2668" s="84"/>
      <c r="AA2668" s="84" t="str">
        <f>IF(AND(MONTH(E2668)='IN-NX'!$J$5,'IN-NX'!$D$7=D2668),"x","")</f>
        <v/>
      </c>
      <c r="AB2668" s="84" t="str">
        <f>IF(AND(OR(LEFT(TH!N2668,2)="15",LEFT(TH!O2668,2)="15"),LEFT(TH!O2668,3)&lt;&gt;"111",'152-CT'!$J$8=TH!F2668),"x","")</f>
        <v/>
      </c>
      <c r="AC2668" s="84" t="str">
        <f>IF(AND(OR(LEFT(TH!N2668,2)="15",LEFT(TH!O2668,2)="15"),TK!$E$7=TH!F2668),"x","")</f>
        <v/>
      </c>
      <c r="AD2668" s="84" t="str">
        <f>IF(AND(N2668="1521",MONTH(C2668)='BK-NL'!$M$11),"x","")</f>
        <v/>
      </c>
    </row>
    <row r="2669" spans="1:30" s="351" customFormat="1" ht="15.75" hidden="1" customHeight="1">
      <c r="A2669" s="336" t="str">
        <f>IF(B2669&lt;&gt;"",IF(AND(B2669='IN-TC'!$S$4,OR(TH!N2669="1111",TH!O2669="1111")),TH!D2669,""),"")</f>
        <v/>
      </c>
      <c r="B2669" s="63" t="str">
        <f t="shared" si="297"/>
        <v/>
      </c>
      <c r="C2669" s="64"/>
      <c r="D2669" s="64"/>
      <c r="E2669" s="64"/>
      <c r="F2669" s="67"/>
      <c r="G2669" s="67"/>
      <c r="H2669" s="73"/>
      <c r="I2669" s="439"/>
      <c r="J2669" s="439"/>
      <c r="K2669" s="430"/>
      <c r="L2669" s="439"/>
      <c r="M2669" s="65"/>
      <c r="N2669" s="66"/>
      <c r="O2669" s="66"/>
      <c r="P2669" s="84" t="str">
        <f>IF(AND('331-CT'!$E$7=TH!H2669,OR(N2669="331",O2669="331")),"x","")</f>
        <v/>
      </c>
      <c r="Q2669" s="84" t="str">
        <f>IF(AND(B2669='111'!$L$11,OR($N2669=$Q$7,$O2669=$Q$7)),"x","")</f>
        <v/>
      </c>
      <c r="R2669" s="84" t="str">
        <f>IF(AND($N2669=$Q$7,$B2669&lt;'111'!$L$11),"x","")</f>
        <v/>
      </c>
      <c r="S2669" s="84" t="str">
        <f>IF(AND($O2669=$Q$7,$B2669&lt;'111'!$L$11),"x","")</f>
        <v/>
      </c>
      <c r="T2669" s="84" t="str">
        <f>IF(ISERROR(FIND('112'!$M$9,G2669,1)),"",IF((AND(FIND('112'!$M$9,G2669,1)&gt;=1,B2669='112'!$K$9,OR($N2669='112'!$I$6,$O2669='112'!$I$6))),"x",""))</f>
        <v/>
      </c>
      <c r="U2669" s="84" t="str">
        <f>IF(ISERROR(FIND('112'!$M$9,G2669,1)),"",IF((AND(LEFT(G2669,2)=LEFT('112'!$M$9,2),B2669&lt;'112'!$K$9,$N2669='112'!$I$6)),"x",""))</f>
        <v/>
      </c>
      <c r="V2669" s="84" t="str">
        <f>IF(ISERROR(FIND('112'!$M$9,G2669,1)),"",IF((AND(RIGHT(G2669,2)=RIGHT('112'!$M$9,2),B2669&lt;'112'!$K$9,$O2669='112'!$I$6)),"x",""))</f>
        <v/>
      </c>
      <c r="W2669" s="84" t="str">
        <f>IF(AND('341-CT'!$H$9=H2669,OR(LEFT(N2669,3)=$W$7,LEFT(O2669,3)=$W$7)),"x","")</f>
        <v/>
      </c>
      <c r="X2669" s="84" t="str">
        <f>IF(OR(TH!N2669=TH!$X$7,O2669=TH!$X$7),"x","")</f>
        <v/>
      </c>
      <c r="Y2669" s="84" t="str">
        <f>IF(AND(OR(N2669="131",O2669="131"),H2669='131-CT'!$H$9),"x","")</f>
        <v/>
      </c>
      <c r="Z2669" s="84"/>
      <c r="AA2669" s="84" t="str">
        <f>IF(AND(MONTH(E2669)='IN-NX'!$J$5,'IN-NX'!$D$7=D2669),"x","")</f>
        <v/>
      </c>
      <c r="AB2669" s="84" t="str">
        <f>IF(AND(OR(LEFT(TH!N2669,2)="15",LEFT(TH!O2669,2)="15"),LEFT(TH!O2669,3)&lt;&gt;"111",'152-CT'!$J$8=TH!F2669),"x","")</f>
        <v/>
      </c>
      <c r="AC2669" s="84" t="str">
        <f>IF(AND(OR(LEFT(TH!N2669,2)="15",LEFT(TH!O2669,2)="15"),TK!$E$7=TH!F2669),"x","")</f>
        <v/>
      </c>
      <c r="AD2669" s="84" t="str">
        <f>IF(AND(N2669="1521",MONTH(C2669)='BK-NL'!$M$11),"x","")</f>
        <v/>
      </c>
    </row>
    <row r="2670" spans="1:30" s="351" customFormat="1" ht="15.75" hidden="1" customHeight="1">
      <c r="A2670" s="336" t="str">
        <f>IF(B2670&lt;&gt;"",IF(AND(B2670='IN-TC'!$S$4,OR(TH!N2670="1111",TH!O2670="1111")),TH!D2670,""),"")</f>
        <v/>
      </c>
      <c r="B2670" s="63" t="str">
        <f t="shared" si="297"/>
        <v/>
      </c>
      <c r="C2670" s="64"/>
      <c r="D2670" s="64"/>
      <c r="E2670" s="64"/>
      <c r="F2670" s="67"/>
      <c r="G2670" s="67"/>
      <c r="H2670" s="73"/>
      <c r="I2670" s="439"/>
      <c r="J2670" s="439"/>
      <c r="K2670" s="430"/>
      <c r="L2670" s="439"/>
      <c r="M2670" s="65"/>
      <c r="N2670" s="66"/>
      <c r="O2670" s="66"/>
      <c r="P2670" s="84" t="str">
        <f>IF(AND('331-CT'!$E$7=TH!H2670,OR(N2670="331",O2670="331")),"x","")</f>
        <v/>
      </c>
      <c r="Q2670" s="84" t="str">
        <f>IF(AND(B2670='111'!$L$11,OR($N2670=$Q$7,$O2670=$Q$7)),"x","")</f>
        <v/>
      </c>
      <c r="R2670" s="84" t="str">
        <f>IF(AND($N2670=$Q$7,$B2670&lt;'111'!$L$11),"x","")</f>
        <v/>
      </c>
      <c r="S2670" s="84" t="str">
        <f>IF(AND($O2670=$Q$7,$B2670&lt;'111'!$L$11),"x","")</f>
        <v/>
      </c>
      <c r="T2670" s="84" t="str">
        <f>IF(ISERROR(FIND('112'!$M$9,G2670,1)),"",IF((AND(FIND('112'!$M$9,G2670,1)&gt;=1,B2670='112'!$K$9,OR($N2670='112'!$I$6,$O2670='112'!$I$6))),"x",""))</f>
        <v/>
      </c>
      <c r="U2670" s="84" t="str">
        <f>IF(ISERROR(FIND('112'!$M$9,G2670,1)),"",IF((AND(LEFT(G2670,2)=LEFT('112'!$M$9,2),B2670&lt;'112'!$K$9,$N2670='112'!$I$6)),"x",""))</f>
        <v/>
      </c>
      <c r="V2670" s="84" t="str">
        <f>IF(ISERROR(FIND('112'!$M$9,G2670,1)),"",IF((AND(RIGHT(G2670,2)=RIGHT('112'!$M$9,2),B2670&lt;'112'!$K$9,$O2670='112'!$I$6)),"x",""))</f>
        <v/>
      </c>
      <c r="W2670" s="84" t="str">
        <f>IF(AND('341-CT'!$H$9=H2670,OR(LEFT(N2670,3)=$W$7,LEFT(O2670,3)=$W$7)),"x","")</f>
        <v/>
      </c>
      <c r="X2670" s="84" t="str">
        <f>IF(OR(TH!N2670=TH!$X$7,O2670=TH!$X$7),"x","")</f>
        <v/>
      </c>
      <c r="Y2670" s="84" t="str">
        <f>IF(AND(OR(N2670="131",O2670="131"),H2670='131-CT'!$H$9),"x","")</f>
        <v/>
      </c>
      <c r="Z2670" s="84"/>
      <c r="AA2670" s="84" t="str">
        <f>IF(AND(MONTH(E2670)='IN-NX'!$J$5,'IN-NX'!$D$7=D2670),"x","")</f>
        <v/>
      </c>
      <c r="AB2670" s="84" t="str">
        <f>IF(AND(OR(LEFT(TH!N2670,2)="15",LEFT(TH!O2670,2)="15"),LEFT(TH!O2670,3)&lt;&gt;"111",'152-CT'!$J$8=TH!F2670),"x","")</f>
        <v/>
      </c>
      <c r="AC2670" s="84" t="str">
        <f>IF(AND(OR(LEFT(TH!N2670,2)="15",LEFT(TH!O2670,2)="15"),TK!$E$7=TH!F2670),"x","")</f>
        <v/>
      </c>
      <c r="AD2670" s="84" t="str">
        <f>IF(AND(N2670="1521",MONTH(C2670)='BK-NL'!$M$11),"x","")</f>
        <v/>
      </c>
    </row>
    <row r="2671" spans="1:30" s="351" customFormat="1" ht="15.75" hidden="1" customHeight="1">
      <c r="A2671" s="336" t="str">
        <f>IF(B2671&lt;&gt;"",IF(AND(B2671='IN-TC'!$S$4,OR(TH!N2671="1111",TH!O2671="1111")),TH!D2671,""),"")</f>
        <v/>
      </c>
      <c r="B2671" s="63" t="str">
        <f t="shared" si="297"/>
        <v/>
      </c>
      <c r="C2671" s="64"/>
      <c r="D2671" s="64"/>
      <c r="E2671" s="64"/>
      <c r="F2671" s="67"/>
      <c r="G2671" s="67"/>
      <c r="H2671" s="73"/>
      <c r="I2671" s="439"/>
      <c r="J2671" s="439"/>
      <c r="K2671" s="430"/>
      <c r="L2671" s="439"/>
      <c r="M2671" s="65"/>
      <c r="N2671" s="66"/>
      <c r="O2671" s="66"/>
      <c r="P2671" s="84" t="str">
        <f>IF(AND('331-CT'!$E$7=TH!H2671,OR(N2671="331",O2671="331")),"x","")</f>
        <v/>
      </c>
      <c r="Q2671" s="84" t="str">
        <f>IF(AND(B2671='111'!$L$11,OR($N2671=$Q$7,$O2671=$Q$7)),"x","")</f>
        <v/>
      </c>
      <c r="R2671" s="84" t="str">
        <f>IF(AND($N2671=$Q$7,$B2671&lt;'111'!$L$11),"x","")</f>
        <v/>
      </c>
      <c r="S2671" s="84" t="str">
        <f>IF(AND($O2671=$Q$7,$B2671&lt;'111'!$L$11),"x","")</f>
        <v/>
      </c>
      <c r="T2671" s="84" t="str">
        <f>IF(ISERROR(FIND('112'!$M$9,G2671,1)),"",IF((AND(FIND('112'!$M$9,G2671,1)&gt;=1,B2671='112'!$K$9,OR($N2671='112'!$I$6,$O2671='112'!$I$6))),"x",""))</f>
        <v/>
      </c>
      <c r="U2671" s="84" t="str">
        <f>IF(ISERROR(FIND('112'!$M$9,G2671,1)),"",IF((AND(LEFT(G2671,2)=LEFT('112'!$M$9,2),B2671&lt;'112'!$K$9,$N2671='112'!$I$6)),"x",""))</f>
        <v/>
      </c>
      <c r="V2671" s="84" t="str">
        <f>IF(ISERROR(FIND('112'!$M$9,G2671,1)),"",IF((AND(RIGHT(G2671,2)=RIGHT('112'!$M$9,2),B2671&lt;'112'!$K$9,$O2671='112'!$I$6)),"x",""))</f>
        <v/>
      </c>
      <c r="W2671" s="84" t="str">
        <f>IF(AND('341-CT'!$H$9=H2671,OR(LEFT(N2671,3)=$W$7,LEFT(O2671,3)=$W$7)),"x","")</f>
        <v/>
      </c>
      <c r="X2671" s="84" t="str">
        <f>IF(OR(TH!N2671=TH!$X$7,O2671=TH!$X$7),"x","")</f>
        <v/>
      </c>
      <c r="Y2671" s="84" t="str">
        <f>IF(AND(OR(N2671="131",O2671="131"),H2671='131-CT'!$H$9),"x","")</f>
        <v/>
      </c>
      <c r="Z2671" s="84"/>
      <c r="AA2671" s="84" t="str">
        <f>IF(AND(MONTH(E2671)='IN-NX'!$J$5,'IN-NX'!$D$7=D2671),"x","")</f>
        <v/>
      </c>
      <c r="AB2671" s="84" t="str">
        <f>IF(AND(OR(LEFT(TH!N2671,2)="15",LEFT(TH!O2671,2)="15"),LEFT(TH!O2671,3)&lt;&gt;"111",'152-CT'!$J$8=TH!F2671),"x","")</f>
        <v/>
      </c>
      <c r="AC2671" s="84" t="str">
        <f>IF(AND(OR(LEFT(TH!N2671,2)="15",LEFT(TH!O2671,2)="15"),TK!$E$7=TH!F2671),"x","")</f>
        <v/>
      </c>
      <c r="AD2671" s="84" t="str">
        <f>IF(AND(N2671="1521",MONTH(C2671)='BK-NL'!$M$11),"x","")</f>
        <v/>
      </c>
    </row>
    <row r="2672" spans="1:30" s="351" customFormat="1" ht="15.75" hidden="1" customHeight="1">
      <c r="A2672" s="336" t="str">
        <f>IF(B2672&lt;&gt;"",IF(AND(B2672='IN-TC'!$S$4,OR(TH!N2672="1111",TH!O2672="1111")),TH!D2672,""),"")</f>
        <v/>
      </c>
      <c r="B2672" s="63" t="str">
        <f t="shared" si="297"/>
        <v/>
      </c>
      <c r="C2672" s="64"/>
      <c r="D2672" s="64"/>
      <c r="E2672" s="64"/>
      <c r="F2672" s="67"/>
      <c r="G2672" s="67"/>
      <c r="H2672" s="73"/>
      <c r="I2672" s="439"/>
      <c r="J2672" s="439"/>
      <c r="K2672" s="430"/>
      <c r="L2672" s="439"/>
      <c r="M2672" s="65"/>
      <c r="N2672" s="66"/>
      <c r="O2672" s="66"/>
      <c r="P2672" s="84" t="str">
        <f>IF(AND('331-CT'!$E$7=TH!H2672,OR(N2672="331",O2672="331")),"x","")</f>
        <v/>
      </c>
      <c r="Q2672" s="84" t="str">
        <f>IF(AND(B2672='111'!$L$11,OR($N2672=$Q$7,$O2672=$Q$7)),"x","")</f>
        <v/>
      </c>
      <c r="R2672" s="84" t="str">
        <f>IF(AND($N2672=$Q$7,$B2672&lt;'111'!$L$11),"x","")</f>
        <v/>
      </c>
      <c r="S2672" s="84" t="str">
        <f>IF(AND($O2672=$Q$7,$B2672&lt;'111'!$L$11),"x","")</f>
        <v/>
      </c>
      <c r="T2672" s="84" t="str">
        <f>IF(ISERROR(FIND('112'!$M$9,G2672,1)),"",IF((AND(FIND('112'!$M$9,G2672,1)&gt;=1,B2672='112'!$K$9,OR($N2672='112'!$I$6,$O2672='112'!$I$6))),"x",""))</f>
        <v/>
      </c>
      <c r="U2672" s="84" t="str">
        <f>IF(ISERROR(FIND('112'!$M$9,G2672,1)),"",IF((AND(LEFT(G2672,2)=LEFT('112'!$M$9,2),B2672&lt;'112'!$K$9,$N2672='112'!$I$6)),"x",""))</f>
        <v/>
      </c>
      <c r="V2672" s="84" t="str">
        <f>IF(ISERROR(FIND('112'!$M$9,G2672,1)),"",IF((AND(RIGHT(G2672,2)=RIGHT('112'!$M$9,2),B2672&lt;'112'!$K$9,$O2672='112'!$I$6)),"x",""))</f>
        <v/>
      </c>
      <c r="W2672" s="84" t="str">
        <f>IF(AND('341-CT'!$H$9=H2672,OR(LEFT(N2672,3)=$W$7,LEFT(O2672,3)=$W$7)),"x","")</f>
        <v/>
      </c>
      <c r="X2672" s="84" t="str">
        <f>IF(OR(TH!N2672=TH!$X$7,O2672=TH!$X$7),"x","")</f>
        <v/>
      </c>
      <c r="Y2672" s="84" t="str">
        <f>IF(AND(OR(N2672="131",O2672="131"),H2672='131-CT'!$H$9),"x","")</f>
        <v/>
      </c>
      <c r="Z2672" s="84"/>
      <c r="AA2672" s="84" t="str">
        <f>IF(AND(MONTH(E2672)='IN-NX'!$J$5,'IN-NX'!$D$7=D2672),"x","")</f>
        <v/>
      </c>
      <c r="AB2672" s="84" t="str">
        <f>IF(AND(OR(LEFT(TH!N2672,2)="15",LEFT(TH!O2672,2)="15"),LEFT(TH!O2672,3)&lt;&gt;"111",'152-CT'!$J$8=TH!F2672),"x","")</f>
        <v/>
      </c>
      <c r="AC2672" s="84" t="str">
        <f>IF(AND(OR(LEFT(TH!N2672,2)="15",LEFT(TH!O2672,2)="15"),TK!$E$7=TH!F2672),"x","")</f>
        <v/>
      </c>
      <c r="AD2672" s="84" t="str">
        <f>IF(AND(N2672="1521",MONTH(C2672)='BK-NL'!$M$11),"x","")</f>
        <v/>
      </c>
    </row>
    <row r="2673" spans="1:30" s="351" customFormat="1" ht="15.75" hidden="1" customHeight="1">
      <c r="A2673" s="336" t="str">
        <f>IF(B2673&lt;&gt;"",IF(AND(B2673='IN-TC'!$S$4,OR(TH!N2673="1111",TH!O2673="1111")),TH!D2673,""),"")</f>
        <v/>
      </c>
      <c r="B2673" s="63" t="str">
        <f t="shared" si="297"/>
        <v/>
      </c>
      <c r="C2673" s="64"/>
      <c r="D2673" s="64"/>
      <c r="E2673" s="64"/>
      <c r="F2673" s="67"/>
      <c r="G2673" s="67"/>
      <c r="H2673" s="73"/>
      <c r="I2673" s="439"/>
      <c r="J2673" s="439"/>
      <c r="K2673" s="430"/>
      <c r="L2673" s="439"/>
      <c r="M2673" s="65"/>
      <c r="N2673" s="66"/>
      <c r="O2673" s="66"/>
      <c r="P2673" s="84" t="str">
        <f>IF(AND('331-CT'!$E$7=TH!H2673,OR(N2673="331",O2673="331")),"x","")</f>
        <v/>
      </c>
      <c r="Q2673" s="84" t="str">
        <f>IF(AND(B2673='111'!$L$11,OR($N2673=$Q$7,$O2673=$Q$7)),"x","")</f>
        <v/>
      </c>
      <c r="R2673" s="84" t="str">
        <f>IF(AND($N2673=$Q$7,$B2673&lt;'111'!$L$11),"x","")</f>
        <v/>
      </c>
      <c r="S2673" s="84" t="str">
        <f>IF(AND($O2673=$Q$7,$B2673&lt;'111'!$L$11),"x","")</f>
        <v/>
      </c>
      <c r="T2673" s="84" t="str">
        <f>IF(ISERROR(FIND('112'!$M$9,G2673,1)),"",IF((AND(FIND('112'!$M$9,G2673,1)&gt;=1,B2673='112'!$K$9,OR($N2673='112'!$I$6,$O2673='112'!$I$6))),"x",""))</f>
        <v/>
      </c>
      <c r="U2673" s="84" t="str">
        <f>IF(ISERROR(FIND('112'!$M$9,G2673,1)),"",IF((AND(LEFT(G2673,2)=LEFT('112'!$M$9,2),B2673&lt;'112'!$K$9,$N2673='112'!$I$6)),"x",""))</f>
        <v/>
      </c>
      <c r="V2673" s="84" t="str">
        <f>IF(ISERROR(FIND('112'!$M$9,G2673,1)),"",IF((AND(RIGHT(G2673,2)=RIGHT('112'!$M$9,2),B2673&lt;'112'!$K$9,$O2673='112'!$I$6)),"x",""))</f>
        <v/>
      </c>
      <c r="W2673" s="84" t="str">
        <f>IF(AND('341-CT'!$H$9=H2673,OR(LEFT(N2673,3)=$W$7,LEFT(O2673,3)=$W$7)),"x","")</f>
        <v/>
      </c>
      <c r="X2673" s="84" t="str">
        <f>IF(OR(TH!N2673=TH!$X$7,O2673=TH!$X$7),"x","")</f>
        <v/>
      </c>
      <c r="Y2673" s="84" t="str">
        <f>IF(AND(OR(N2673="131",O2673="131"),H2673='131-CT'!$H$9),"x","")</f>
        <v/>
      </c>
      <c r="Z2673" s="84"/>
      <c r="AA2673" s="84" t="str">
        <f>IF(AND(MONTH(E2673)='IN-NX'!$J$5,'IN-NX'!$D$7=D2673),"x","")</f>
        <v/>
      </c>
      <c r="AB2673" s="84" t="str">
        <f>IF(AND(OR(LEFT(TH!N2673,2)="15",LEFT(TH!O2673,2)="15"),LEFT(TH!O2673,3)&lt;&gt;"111",'152-CT'!$J$8=TH!F2673),"x","")</f>
        <v/>
      </c>
      <c r="AC2673" s="84" t="str">
        <f>IF(AND(OR(LEFT(TH!N2673,2)="15",LEFT(TH!O2673,2)="15"),TK!$E$7=TH!F2673),"x","")</f>
        <v/>
      </c>
      <c r="AD2673" s="84" t="str">
        <f>IF(AND(N2673="1521",MONTH(C2673)='BK-NL'!$M$11),"x","")</f>
        <v/>
      </c>
    </row>
    <row r="2674" spans="1:30" s="351" customFormat="1" ht="15.75" hidden="1" customHeight="1">
      <c r="A2674" s="336" t="str">
        <f>IF(B2674&lt;&gt;"",IF(AND(B2674='IN-TC'!$S$4,OR(TH!N2674="1111",TH!O2674="1111")),TH!D2674,""),"")</f>
        <v/>
      </c>
      <c r="B2674" s="63" t="str">
        <f t="shared" si="297"/>
        <v/>
      </c>
      <c r="C2674" s="64"/>
      <c r="D2674" s="64"/>
      <c r="E2674" s="64"/>
      <c r="F2674" s="67"/>
      <c r="G2674" s="67"/>
      <c r="H2674" s="73"/>
      <c r="I2674" s="439"/>
      <c r="J2674" s="439"/>
      <c r="K2674" s="430"/>
      <c r="L2674" s="439"/>
      <c r="M2674" s="65"/>
      <c r="N2674" s="66"/>
      <c r="O2674" s="66"/>
      <c r="P2674" s="84" t="str">
        <f>IF(AND('331-CT'!$E$7=TH!H2674,OR(N2674="331",O2674="331")),"x","")</f>
        <v/>
      </c>
      <c r="Q2674" s="84" t="str">
        <f>IF(AND(B2674='111'!$L$11,OR($N2674=$Q$7,$O2674=$Q$7)),"x","")</f>
        <v/>
      </c>
      <c r="R2674" s="84" t="str">
        <f>IF(AND($N2674=$Q$7,$B2674&lt;'111'!$L$11),"x","")</f>
        <v/>
      </c>
      <c r="S2674" s="84" t="str">
        <f>IF(AND($O2674=$Q$7,$B2674&lt;'111'!$L$11),"x","")</f>
        <v/>
      </c>
      <c r="T2674" s="84" t="str">
        <f>IF(ISERROR(FIND('112'!$M$9,G2674,1)),"",IF((AND(FIND('112'!$M$9,G2674,1)&gt;=1,B2674='112'!$K$9,OR($N2674='112'!$I$6,$O2674='112'!$I$6))),"x",""))</f>
        <v/>
      </c>
      <c r="U2674" s="84" t="str">
        <f>IF(ISERROR(FIND('112'!$M$9,G2674,1)),"",IF((AND(LEFT(G2674,2)=LEFT('112'!$M$9,2),B2674&lt;'112'!$K$9,$N2674='112'!$I$6)),"x",""))</f>
        <v/>
      </c>
      <c r="V2674" s="84" t="str">
        <f>IF(ISERROR(FIND('112'!$M$9,G2674,1)),"",IF((AND(RIGHT(G2674,2)=RIGHT('112'!$M$9,2),B2674&lt;'112'!$K$9,$O2674='112'!$I$6)),"x",""))</f>
        <v/>
      </c>
      <c r="W2674" s="84" t="str">
        <f>IF(AND('341-CT'!$H$9=H2674,OR(LEFT(N2674,3)=$W$7,LEFT(O2674,3)=$W$7)),"x","")</f>
        <v/>
      </c>
      <c r="X2674" s="84" t="str">
        <f>IF(OR(TH!N2674=TH!$X$7,O2674=TH!$X$7),"x","")</f>
        <v/>
      </c>
      <c r="Y2674" s="84" t="str">
        <f>IF(AND(OR(N2674="131",O2674="131"),H2674='131-CT'!$H$9),"x","")</f>
        <v/>
      </c>
      <c r="Z2674" s="84"/>
      <c r="AA2674" s="84" t="str">
        <f>IF(AND(MONTH(E2674)='IN-NX'!$J$5,'IN-NX'!$D$7=D2674),"x","")</f>
        <v/>
      </c>
      <c r="AB2674" s="84" t="str">
        <f>IF(AND(OR(LEFT(TH!N2674,2)="15",LEFT(TH!O2674,2)="15"),LEFT(TH!O2674,3)&lt;&gt;"111",'152-CT'!$J$8=TH!F2674),"x","")</f>
        <v/>
      </c>
      <c r="AC2674" s="84" t="str">
        <f>IF(AND(OR(LEFT(TH!N2674,2)="15",LEFT(TH!O2674,2)="15"),TK!$E$7=TH!F2674),"x","")</f>
        <v/>
      </c>
      <c r="AD2674" s="84" t="str">
        <f>IF(AND(N2674="1521",MONTH(C2674)='BK-NL'!$M$11),"x","")</f>
        <v/>
      </c>
    </row>
    <row r="2675" spans="1:30" s="351" customFormat="1" ht="15.75" hidden="1" customHeight="1">
      <c r="A2675" s="336" t="str">
        <f>IF(B2675&lt;&gt;"",IF(AND(B2675='IN-TC'!$S$4,OR(TH!N2675="1111",TH!O2675="1111")),TH!D2675,""),"")</f>
        <v/>
      </c>
      <c r="B2675" s="63" t="str">
        <f t="shared" si="297"/>
        <v/>
      </c>
      <c r="C2675" s="64"/>
      <c r="D2675" s="64"/>
      <c r="E2675" s="64"/>
      <c r="F2675" s="67"/>
      <c r="G2675" s="67"/>
      <c r="H2675" s="73"/>
      <c r="I2675" s="439"/>
      <c r="J2675" s="439"/>
      <c r="K2675" s="430"/>
      <c r="L2675" s="439"/>
      <c r="M2675" s="65"/>
      <c r="N2675" s="66"/>
      <c r="O2675" s="66"/>
      <c r="P2675" s="84" t="str">
        <f>IF(AND('331-CT'!$E$7=TH!H2675,OR(N2675="331",O2675="331")),"x","")</f>
        <v/>
      </c>
      <c r="Q2675" s="84" t="str">
        <f>IF(AND(B2675='111'!$L$11,OR($N2675=$Q$7,$O2675=$Q$7)),"x","")</f>
        <v/>
      </c>
      <c r="R2675" s="84" t="str">
        <f>IF(AND($N2675=$Q$7,$B2675&lt;'111'!$L$11),"x","")</f>
        <v/>
      </c>
      <c r="S2675" s="84" t="str">
        <f>IF(AND($O2675=$Q$7,$B2675&lt;'111'!$L$11),"x","")</f>
        <v/>
      </c>
      <c r="T2675" s="84" t="str">
        <f>IF(ISERROR(FIND('112'!$M$9,G2675,1)),"",IF((AND(FIND('112'!$M$9,G2675,1)&gt;=1,B2675='112'!$K$9,OR($N2675='112'!$I$6,$O2675='112'!$I$6))),"x",""))</f>
        <v/>
      </c>
      <c r="U2675" s="84" t="str">
        <f>IF(ISERROR(FIND('112'!$M$9,G2675,1)),"",IF((AND(LEFT(G2675,2)=LEFT('112'!$M$9,2),B2675&lt;'112'!$K$9,$N2675='112'!$I$6)),"x",""))</f>
        <v/>
      </c>
      <c r="V2675" s="84" t="str">
        <f>IF(ISERROR(FIND('112'!$M$9,G2675,1)),"",IF((AND(RIGHT(G2675,2)=RIGHT('112'!$M$9,2),B2675&lt;'112'!$K$9,$O2675='112'!$I$6)),"x",""))</f>
        <v/>
      </c>
      <c r="W2675" s="84" t="str">
        <f>IF(AND('341-CT'!$H$9=H2675,OR(LEFT(N2675,3)=$W$7,LEFT(O2675,3)=$W$7)),"x","")</f>
        <v/>
      </c>
      <c r="X2675" s="84" t="str">
        <f>IF(OR(TH!N2675=TH!$X$7,O2675=TH!$X$7),"x","")</f>
        <v/>
      </c>
      <c r="Y2675" s="84" t="str">
        <f>IF(AND(OR(N2675="131",O2675="131"),H2675='131-CT'!$H$9),"x","")</f>
        <v/>
      </c>
      <c r="Z2675" s="84"/>
      <c r="AA2675" s="84" t="str">
        <f>IF(AND(MONTH(E2675)='IN-NX'!$J$5,'IN-NX'!$D$7=D2675),"x","")</f>
        <v/>
      </c>
      <c r="AB2675" s="84" t="str">
        <f>IF(AND(OR(LEFT(TH!N2675,2)="15",LEFT(TH!O2675,2)="15"),LEFT(TH!O2675,3)&lt;&gt;"111",'152-CT'!$J$8=TH!F2675),"x","")</f>
        <v/>
      </c>
      <c r="AC2675" s="84" t="str">
        <f>IF(AND(OR(LEFT(TH!N2675,2)="15",LEFT(TH!O2675,2)="15"),TK!$E$7=TH!F2675),"x","")</f>
        <v/>
      </c>
      <c r="AD2675" s="84" t="str">
        <f>IF(AND(N2675="1521",MONTH(C2675)='BK-NL'!$M$11),"x","")</f>
        <v/>
      </c>
    </row>
    <row r="2676" spans="1:30" s="351" customFormat="1" ht="15.75" hidden="1" customHeight="1">
      <c r="A2676" s="336" t="str">
        <f>IF(B2676&lt;&gt;"",IF(AND(B2676='IN-TC'!$S$4,OR(TH!N2676="1111",TH!O2676="1111")),TH!D2676,""),"")</f>
        <v/>
      </c>
      <c r="B2676" s="63" t="str">
        <f t="shared" si="297"/>
        <v/>
      </c>
      <c r="C2676" s="64"/>
      <c r="D2676" s="64"/>
      <c r="E2676" s="64"/>
      <c r="F2676" s="67"/>
      <c r="G2676" s="67"/>
      <c r="H2676" s="73"/>
      <c r="I2676" s="439"/>
      <c r="J2676" s="439"/>
      <c r="K2676" s="430"/>
      <c r="L2676" s="439"/>
      <c r="M2676" s="65"/>
      <c r="N2676" s="66"/>
      <c r="O2676" s="66"/>
      <c r="P2676" s="84" t="str">
        <f>IF(AND('331-CT'!$E$7=TH!H2676,OR(N2676="331",O2676="331")),"x","")</f>
        <v/>
      </c>
      <c r="Q2676" s="84" t="str">
        <f>IF(AND(B2676='111'!$L$11,OR($N2676=$Q$7,$O2676=$Q$7)),"x","")</f>
        <v/>
      </c>
      <c r="R2676" s="84" t="str">
        <f>IF(AND($N2676=$Q$7,$B2676&lt;'111'!$L$11),"x","")</f>
        <v/>
      </c>
      <c r="S2676" s="84" t="str">
        <f>IF(AND($O2676=$Q$7,$B2676&lt;'111'!$L$11),"x","")</f>
        <v/>
      </c>
      <c r="T2676" s="84" t="str">
        <f>IF(ISERROR(FIND('112'!$M$9,G2676,1)),"",IF((AND(FIND('112'!$M$9,G2676,1)&gt;=1,B2676='112'!$K$9,OR($N2676='112'!$I$6,$O2676='112'!$I$6))),"x",""))</f>
        <v/>
      </c>
      <c r="U2676" s="84" t="str">
        <f>IF(ISERROR(FIND('112'!$M$9,G2676,1)),"",IF((AND(LEFT(G2676,2)=LEFT('112'!$M$9,2),B2676&lt;'112'!$K$9,$N2676='112'!$I$6)),"x",""))</f>
        <v/>
      </c>
      <c r="V2676" s="84" t="str">
        <f>IF(ISERROR(FIND('112'!$M$9,G2676,1)),"",IF((AND(RIGHT(G2676,2)=RIGHT('112'!$M$9,2),B2676&lt;'112'!$K$9,$O2676='112'!$I$6)),"x",""))</f>
        <v/>
      </c>
      <c r="W2676" s="84" t="str">
        <f>IF(AND('341-CT'!$H$9=H2676,OR(LEFT(N2676,3)=$W$7,LEFT(O2676,3)=$W$7)),"x","")</f>
        <v/>
      </c>
      <c r="X2676" s="84" t="str">
        <f>IF(OR(TH!N2676=TH!$X$7,O2676=TH!$X$7),"x","")</f>
        <v/>
      </c>
      <c r="Y2676" s="84" t="str">
        <f>IF(AND(OR(N2676="131",O2676="131"),H2676='131-CT'!$H$9),"x","")</f>
        <v/>
      </c>
      <c r="Z2676" s="84"/>
      <c r="AA2676" s="84" t="str">
        <f>IF(AND(MONTH(E2676)='IN-NX'!$J$5,'IN-NX'!$D$7=D2676),"x","")</f>
        <v/>
      </c>
      <c r="AB2676" s="84" t="str">
        <f>IF(AND(OR(LEFT(TH!N2676,2)="15",LEFT(TH!O2676,2)="15"),LEFT(TH!O2676,3)&lt;&gt;"111",'152-CT'!$J$8=TH!F2676),"x","")</f>
        <v/>
      </c>
      <c r="AC2676" s="84" t="str">
        <f>IF(AND(OR(LEFT(TH!N2676,2)="15",LEFT(TH!O2676,2)="15"),TK!$E$7=TH!F2676),"x","")</f>
        <v/>
      </c>
      <c r="AD2676" s="84" t="str">
        <f>IF(AND(N2676="1521",MONTH(C2676)='BK-NL'!$M$11),"x","")</f>
        <v/>
      </c>
    </row>
    <row r="2677" spans="1:30" s="351" customFormat="1" ht="15.75" hidden="1" customHeight="1">
      <c r="A2677" s="336" t="str">
        <f>IF(B2677&lt;&gt;"",IF(AND(B2677='IN-TC'!$S$4,OR(TH!N2677="1111",TH!O2677="1111")),TH!D2677,""),"")</f>
        <v/>
      </c>
      <c r="B2677" s="63" t="str">
        <f t="shared" si="297"/>
        <v/>
      </c>
      <c r="C2677" s="64"/>
      <c r="D2677" s="64"/>
      <c r="E2677" s="64"/>
      <c r="F2677" s="67"/>
      <c r="G2677" s="67"/>
      <c r="H2677" s="73"/>
      <c r="I2677" s="439"/>
      <c r="J2677" s="439"/>
      <c r="K2677" s="430"/>
      <c r="L2677" s="439"/>
      <c r="M2677" s="65"/>
      <c r="N2677" s="66"/>
      <c r="O2677" s="66"/>
      <c r="P2677" s="84" t="str">
        <f>IF(AND('331-CT'!$E$7=TH!H2677,OR(N2677="331",O2677="331")),"x","")</f>
        <v/>
      </c>
      <c r="Q2677" s="84" t="str">
        <f>IF(AND(B2677='111'!$L$11,OR($N2677=$Q$7,$O2677=$Q$7)),"x","")</f>
        <v/>
      </c>
      <c r="R2677" s="84" t="str">
        <f>IF(AND($N2677=$Q$7,$B2677&lt;'111'!$L$11),"x","")</f>
        <v/>
      </c>
      <c r="S2677" s="84" t="str">
        <f>IF(AND($O2677=$Q$7,$B2677&lt;'111'!$L$11),"x","")</f>
        <v/>
      </c>
      <c r="T2677" s="84" t="str">
        <f>IF(ISERROR(FIND('112'!$M$9,G2677,1)),"",IF((AND(FIND('112'!$M$9,G2677,1)&gt;=1,B2677='112'!$K$9,OR($N2677='112'!$I$6,$O2677='112'!$I$6))),"x",""))</f>
        <v/>
      </c>
      <c r="U2677" s="84" t="str">
        <f>IF(ISERROR(FIND('112'!$M$9,G2677,1)),"",IF((AND(LEFT(G2677,2)=LEFT('112'!$M$9,2),B2677&lt;'112'!$K$9,$N2677='112'!$I$6)),"x",""))</f>
        <v/>
      </c>
      <c r="V2677" s="84" t="str">
        <f>IF(ISERROR(FIND('112'!$M$9,G2677,1)),"",IF((AND(RIGHT(G2677,2)=RIGHT('112'!$M$9,2),B2677&lt;'112'!$K$9,$O2677='112'!$I$6)),"x",""))</f>
        <v/>
      </c>
      <c r="W2677" s="84" t="str">
        <f>IF(AND('341-CT'!$H$9=H2677,OR(LEFT(N2677,3)=$W$7,LEFT(O2677,3)=$W$7)),"x","")</f>
        <v/>
      </c>
      <c r="X2677" s="84" t="str">
        <f>IF(OR(TH!N2677=TH!$X$7,O2677=TH!$X$7),"x","")</f>
        <v/>
      </c>
      <c r="Y2677" s="84" t="str">
        <f>IF(AND(OR(N2677="131",O2677="131"),H2677='131-CT'!$H$9),"x","")</f>
        <v/>
      </c>
      <c r="Z2677" s="84"/>
      <c r="AA2677" s="84" t="str">
        <f>IF(AND(MONTH(E2677)='IN-NX'!$J$5,'IN-NX'!$D$7=D2677),"x","")</f>
        <v/>
      </c>
      <c r="AB2677" s="84" t="str">
        <f>IF(AND(OR(LEFT(TH!N2677,2)="15",LEFT(TH!O2677,2)="15"),LEFT(TH!O2677,3)&lt;&gt;"111",'152-CT'!$J$8=TH!F2677),"x","")</f>
        <v/>
      </c>
      <c r="AC2677" s="84" t="str">
        <f>IF(AND(OR(LEFT(TH!N2677,2)="15",LEFT(TH!O2677,2)="15"),TK!$E$7=TH!F2677),"x","")</f>
        <v/>
      </c>
      <c r="AD2677" s="84" t="str">
        <f>IF(AND(N2677="1521",MONTH(C2677)='BK-NL'!$M$11),"x","")</f>
        <v/>
      </c>
    </row>
    <row r="2678" spans="1:30" s="351" customFormat="1" ht="15.75" hidden="1" customHeight="1">
      <c r="A2678" s="336" t="str">
        <f>IF(B2678&lt;&gt;"",IF(AND(B2678='IN-TC'!$S$4,OR(TH!N2678="1111",TH!O2678="1111")),TH!D2678,""),"")</f>
        <v/>
      </c>
      <c r="B2678" s="63" t="str">
        <f t="shared" si="297"/>
        <v/>
      </c>
      <c r="C2678" s="64"/>
      <c r="D2678" s="64"/>
      <c r="E2678" s="64"/>
      <c r="F2678" s="67"/>
      <c r="G2678" s="67"/>
      <c r="H2678" s="73"/>
      <c r="I2678" s="439"/>
      <c r="J2678" s="439"/>
      <c r="K2678" s="430"/>
      <c r="L2678" s="439"/>
      <c r="M2678" s="65"/>
      <c r="N2678" s="66"/>
      <c r="O2678" s="66"/>
      <c r="P2678" s="84" t="str">
        <f>IF(AND('331-CT'!$E$7=TH!H2678,OR(N2678="331",O2678="331")),"x","")</f>
        <v/>
      </c>
      <c r="Q2678" s="84" t="str">
        <f>IF(AND(B2678='111'!$L$11,OR($N2678=$Q$7,$O2678=$Q$7)),"x","")</f>
        <v/>
      </c>
      <c r="R2678" s="84" t="str">
        <f>IF(AND($N2678=$Q$7,$B2678&lt;'111'!$L$11),"x","")</f>
        <v/>
      </c>
      <c r="S2678" s="84" t="str">
        <f>IF(AND($O2678=$Q$7,$B2678&lt;'111'!$L$11),"x","")</f>
        <v/>
      </c>
      <c r="T2678" s="84" t="str">
        <f>IF(ISERROR(FIND('112'!$M$9,G2678,1)),"",IF((AND(FIND('112'!$M$9,G2678,1)&gt;=1,B2678='112'!$K$9,OR($N2678='112'!$I$6,$O2678='112'!$I$6))),"x",""))</f>
        <v/>
      </c>
      <c r="U2678" s="84" t="str">
        <f>IF(ISERROR(FIND('112'!$M$9,G2678,1)),"",IF((AND(LEFT(G2678,2)=LEFT('112'!$M$9,2),B2678&lt;'112'!$K$9,$N2678='112'!$I$6)),"x",""))</f>
        <v/>
      </c>
      <c r="V2678" s="84" t="str">
        <f>IF(ISERROR(FIND('112'!$M$9,G2678,1)),"",IF((AND(RIGHT(G2678,2)=RIGHT('112'!$M$9,2),B2678&lt;'112'!$K$9,$O2678='112'!$I$6)),"x",""))</f>
        <v/>
      </c>
      <c r="W2678" s="84" t="str">
        <f>IF(AND('341-CT'!$H$9=H2678,OR(LEFT(N2678,3)=$W$7,LEFT(O2678,3)=$W$7)),"x","")</f>
        <v/>
      </c>
      <c r="X2678" s="84" t="str">
        <f>IF(OR(TH!N2678=TH!$X$7,O2678=TH!$X$7),"x","")</f>
        <v/>
      </c>
      <c r="Y2678" s="84" t="str">
        <f>IF(AND(OR(N2678="131",O2678="131"),H2678='131-CT'!$H$9),"x","")</f>
        <v/>
      </c>
      <c r="Z2678" s="84"/>
      <c r="AA2678" s="84" t="str">
        <f>IF(AND(MONTH(E2678)='IN-NX'!$J$5,'IN-NX'!$D$7=D2678),"x","")</f>
        <v/>
      </c>
      <c r="AB2678" s="84" t="str">
        <f>IF(AND(OR(LEFT(TH!N2678,2)="15",LEFT(TH!O2678,2)="15"),LEFT(TH!O2678,3)&lt;&gt;"111",'152-CT'!$J$8=TH!F2678),"x","")</f>
        <v/>
      </c>
      <c r="AC2678" s="84" t="str">
        <f>IF(AND(OR(LEFT(TH!N2678,2)="15",LEFT(TH!O2678,2)="15"),TK!$E$7=TH!F2678),"x","")</f>
        <v/>
      </c>
      <c r="AD2678" s="84" t="str">
        <f>IF(AND(N2678="1521",MONTH(C2678)='BK-NL'!$M$11),"x","")</f>
        <v/>
      </c>
    </row>
    <row r="2679" spans="1:30" s="351" customFormat="1" ht="15.75" hidden="1" customHeight="1">
      <c r="A2679" s="336" t="str">
        <f>IF(B2679&lt;&gt;"",IF(AND(B2679='IN-TC'!$S$4,OR(TH!N2679="1111",TH!O2679="1111")),TH!D2679,""),"")</f>
        <v/>
      </c>
      <c r="B2679" s="63" t="str">
        <f t="shared" si="297"/>
        <v/>
      </c>
      <c r="C2679" s="64"/>
      <c r="D2679" s="64"/>
      <c r="E2679" s="64"/>
      <c r="F2679" s="67"/>
      <c r="G2679" s="67"/>
      <c r="H2679" s="73"/>
      <c r="I2679" s="439"/>
      <c r="J2679" s="439"/>
      <c r="K2679" s="430"/>
      <c r="L2679" s="439"/>
      <c r="M2679" s="65"/>
      <c r="N2679" s="66"/>
      <c r="O2679" s="66"/>
      <c r="P2679" s="84" t="str">
        <f>IF(AND('331-CT'!$E$7=TH!H2679,OR(N2679="331",O2679="331")),"x","")</f>
        <v/>
      </c>
      <c r="Q2679" s="84" t="str">
        <f>IF(AND(B2679='111'!$L$11,OR($N2679=$Q$7,$O2679=$Q$7)),"x","")</f>
        <v/>
      </c>
      <c r="R2679" s="84" t="str">
        <f>IF(AND($N2679=$Q$7,$B2679&lt;'111'!$L$11),"x","")</f>
        <v/>
      </c>
      <c r="S2679" s="84" t="str">
        <f>IF(AND($O2679=$Q$7,$B2679&lt;'111'!$L$11),"x","")</f>
        <v/>
      </c>
      <c r="T2679" s="84" t="str">
        <f>IF(ISERROR(FIND('112'!$M$9,G2679,1)),"",IF((AND(FIND('112'!$M$9,G2679,1)&gt;=1,B2679='112'!$K$9,OR($N2679='112'!$I$6,$O2679='112'!$I$6))),"x",""))</f>
        <v/>
      </c>
      <c r="U2679" s="84" t="str">
        <f>IF(ISERROR(FIND('112'!$M$9,G2679,1)),"",IF((AND(LEFT(G2679,2)=LEFT('112'!$M$9,2),B2679&lt;'112'!$K$9,$N2679='112'!$I$6)),"x",""))</f>
        <v/>
      </c>
      <c r="V2679" s="84" t="str">
        <f>IF(ISERROR(FIND('112'!$M$9,G2679,1)),"",IF((AND(RIGHT(G2679,2)=RIGHT('112'!$M$9,2),B2679&lt;'112'!$K$9,$O2679='112'!$I$6)),"x",""))</f>
        <v/>
      </c>
      <c r="W2679" s="84" t="str">
        <f>IF(AND('341-CT'!$H$9=H2679,OR(LEFT(N2679,3)=$W$7,LEFT(O2679,3)=$W$7)),"x","")</f>
        <v/>
      </c>
      <c r="X2679" s="84" t="str">
        <f>IF(OR(TH!N2679=TH!$X$7,O2679=TH!$X$7),"x","")</f>
        <v/>
      </c>
      <c r="Y2679" s="84" t="str">
        <f>IF(AND(OR(N2679="131",O2679="131"),H2679='131-CT'!$H$9),"x","")</f>
        <v/>
      </c>
      <c r="Z2679" s="84"/>
      <c r="AA2679" s="84" t="str">
        <f>IF(AND(MONTH(E2679)='IN-NX'!$J$5,'IN-NX'!$D$7=D2679),"x","")</f>
        <v/>
      </c>
      <c r="AB2679" s="84" t="str">
        <f>IF(AND(OR(LEFT(TH!N2679,2)="15",LEFT(TH!O2679,2)="15"),LEFT(TH!O2679,3)&lt;&gt;"111",'152-CT'!$J$8=TH!F2679),"x","")</f>
        <v/>
      </c>
      <c r="AC2679" s="84" t="str">
        <f>IF(AND(OR(LEFT(TH!N2679,2)="15",LEFT(TH!O2679,2)="15"),TK!$E$7=TH!F2679),"x","")</f>
        <v/>
      </c>
      <c r="AD2679" s="84" t="str">
        <f>IF(AND(N2679="1521",MONTH(C2679)='BK-NL'!$M$11),"x","")</f>
        <v/>
      </c>
    </row>
    <row r="2680" spans="1:30" s="351" customFormat="1" ht="15.75" hidden="1" customHeight="1">
      <c r="A2680" s="336" t="str">
        <f>IF(B2680&lt;&gt;"",IF(AND(B2680='IN-TC'!$S$4,OR(TH!N2680="1111",TH!O2680="1111")),TH!D2680,""),"")</f>
        <v/>
      </c>
      <c r="B2680" s="63" t="str">
        <f t="shared" si="297"/>
        <v/>
      </c>
      <c r="C2680" s="64"/>
      <c r="D2680" s="64"/>
      <c r="E2680" s="64"/>
      <c r="F2680" s="67"/>
      <c r="G2680" s="67"/>
      <c r="H2680" s="73"/>
      <c r="I2680" s="439"/>
      <c r="J2680" s="439"/>
      <c r="K2680" s="430"/>
      <c r="L2680" s="439"/>
      <c r="M2680" s="65"/>
      <c r="N2680" s="66"/>
      <c r="O2680" s="66"/>
      <c r="P2680" s="84" t="str">
        <f>IF(AND('331-CT'!$E$7=TH!H2680,OR(N2680="331",O2680="331")),"x","")</f>
        <v/>
      </c>
      <c r="Q2680" s="84" t="str">
        <f>IF(AND(B2680='111'!$L$11,OR($N2680=$Q$7,$O2680=$Q$7)),"x","")</f>
        <v/>
      </c>
      <c r="R2680" s="84" t="str">
        <f>IF(AND($N2680=$Q$7,$B2680&lt;'111'!$L$11),"x","")</f>
        <v/>
      </c>
      <c r="S2680" s="84" t="str">
        <f>IF(AND($O2680=$Q$7,$B2680&lt;'111'!$L$11),"x","")</f>
        <v/>
      </c>
      <c r="T2680" s="84" t="str">
        <f>IF(ISERROR(FIND('112'!$M$9,G2680,1)),"",IF((AND(FIND('112'!$M$9,G2680,1)&gt;=1,B2680='112'!$K$9,OR($N2680='112'!$I$6,$O2680='112'!$I$6))),"x",""))</f>
        <v/>
      </c>
      <c r="U2680" s="84" t="str">
        <f>IF(ISERROR(FIND('112'!$M$9,G2680,1)),"",IF((AND(LEFT(G2680,2)=LEFT('112'!$M$9,2),B2680&lt;'112'!$K$9,$N2680='112'!$I$6)),"x",""))</f>
        <v/>
      </c>
      <c r="V2680" s="84" t="str">
        <f>IF(ISERROR(FIND('112'!$M$9,G2680,1)),"",IF((AND(RIGHT(G2680,2)=RIGHT('112'!$M$9,2),B2680&lt;'112'!$K$9,$O2680='112'!$I$6)),"x",""))</f>
        <v/>
      </c>
      <c r="W2680" s="84" t="str">
        <f>IF(AND('341-CT'!$H$9=H2680,OR(LEFT(N2680,3)=$W$7,LEFT(O2680,3)=$W$7)),"x","")</f>
        <v/>
      </c>
      <c r="X2680" s="84" t="str">
        <f>IF(OR(TH!N2680=TH!$X$7,O2680=TH!$X$7),"x","")</f>
        <v/>
      </c>
      <c r="Y2680" s="84" t="str">
        <f>IF(AND(OR(N2680="131",O2680="131"),H2680='131-CT'!$H$9),"x","")</f>
        <v/>
      </c>
      <c r="Z2680" s="84"/>
      <c r="AA2680" s="84" t="str">
        <f>IF(AND(MONTH(E2680)='IN-NX'!$J$5,'IN-NX'!$D$7=D2680),"x","")</f>
        <v/>
      </c>
      <c r="AB2680" s="84" t="str">
        <f>IF(AND(OR(LEFT(TH!N2680,2)="15",LEFT(TH!O2680,2)="15"),LEFT(TH!O2680,3)&lt;&gt;"111",'152-CT'!$J$8=TH!F2680),"x","")</f>
        <v/>
      </c>
      <c r="AC2680" s="84" t="str">
        <f>IF(AND(OR(LEFT(TH!N2680,2)="15",LEFT(TH!O2680,2)="15"),TK!$E$7=TH!F2680),"x","")</f>
        <v/>
      </c>
      <c r="AD2680" s="84" t="str">
        <f>IF(AND(N2680="1521",MONTH(C2680)='BK-NL'!$M$11),"x","")</f>
        <v/>
      </c>
    </row>
    <row r="2681" spans="1:30" s="351" customFormat="1" ht="15.75" hidden="1" customHeight="1">
      <c r="A2681" s="336" t="str">
        <f>IF(B2681&lt;&gt;"",IF(AND(B2681='IN-TC'!$S$4,OR(TH!N2681="1111",TH!O2681="1111")),TH!D2681,""),"")</f>
        <v/>
      </c>
      <c r="B2681" s="63" t="str">
        <f t="shared" si="297"/>
        <v/>
      </c>
      <c r="C2681" s="64"/>
      <c r="D2681" s="64"/>
      <c r="E2681" s="64"/>
      <c r="F2681" s="67"/>
      <c r="G2681" s="67"/>
      <c r="H2681" s="73"/>
      <c r="I2681" s="439"/>
      <c r="J2681" s="439"/>
      <c r="K2681" s="430"/>
      <c r="L2681" s="439"/>
      <c r="M2681" s="65"/>
      <c r="N2681" s="66"/>
      <c r="O2681" s="66"/>
      <c r="P2681" s="84" t="str">
        <f>IF(AND('331-CT'!$E$7=TH!H2681,OR(N2681="331",O2681="331")),"x","")</f>
        <v/>
      </c>
      <c r="Q2681" s="84" t="str">
        <f>IF(AND(B2681='111'!$L$11,OR($N2681=$Q$7,$O2681=$Q$7)),"x","")</f>
        <v/>
      </c>
      <c r="R2681" s="84" t="str">
        <f>IF(AND($N2681=$Q$7,$B2681&lt;'111'!$L$11),"x","")</f>
        <v/>
      </c>
      <c r="S2681" s="84" t="str">
        <f>IF(AND($O2681=$Q$7,$B2681&lt;'111'!$L$11),"x","")</f>
        <v/>
      </c>
      <c r="T2681" s="84" t="str">
        <f>IF(ISERROR(FIND('112'!$M$9,G2681,1)),"",IF((AND(FIND('112'!$M$9,G2681,1)&gt;=1,B2681='112'!$K$9,OR($N2681='112'!$I$6,$O2681='112'!$I$6))),"x",""))</f>
        <v/>
      </c>
      <c r="U2681" s="84" t="str">
        <f>IF(ISERROR(FIND('112'!$M$9,G2681,1)),"",IF((AND(LEFT(G2681,2)=LEFT('112'!$M$9,2),B2681&lt;'112'!$K$9,$N2681='112'!$I$6)),"x",""))</f>
        <v/>
      </c>
      <c r="V2681" s="84" t="str">
        <f>IF(ISERROR(FIND('112'!$M$9,G2681,1)),"",IF((AND(RIGHT(G2681,2)=RIGHT('112'!$M$9,2),B2681&lt;'112'!$K$9,$O2681='112'!$I$6)),"x",""))</f>
        <v/>
      </c>
      <c r="W2681" s="84" t="str">
        <f>IF(AND('341-CT'!$H$9=H2681,OR(LEFT(N2681,3)=$W$7,LEFT(O2681,3)=$W$7)),"x","")</f>
        <v/>
      </c>
      <c r="X2681" s="84" t="str">
        <f>IF(OR(TH!N2681=TH!$X$7,O2681=TH!$X$7),"x","")</f>
        <v/>
      </c>
      <c r="Y2681" s="84" t="str">
        <f>IF(AND(OR(N2681="131",O2681="131"),H2681='131-CT'!$H$9),"x","")</f>
        <v/>
      </c>
      <c r="Z2681" s="84"/>
      <c r="AA2681" s="84" t="str">
        <f>IF(AND(MONTH(E2681)='IN-NX'!$J$5,'IN-NX'!$D$7=D2681),"x","")</f>
        <v/>
      </c>
      <c r="AB2681" s="84" t="str">
        <f>IF(AND(OR(LEFT(TH!N2681,2)="15",LEFT(TH!O2681,2)="15"),LEFT(TH!O2681,3)&lt;&gt;"111",'152-CT'!$J$8=TH!F2681),"x","")</f>
        <v/>
      </c>
      <c r="AC2681" s="84" t="str">
        <f>IF(AND(OR(LEFT(TH!N2681,2)="15",LEFT(TH!O2681,2)="15"),TK!$E$7=TH!F2681),"x","")</f>
        <v/>
      </c>
      <c r="AD2681" s="84" t="str">
        <f>IF(AND(N2681="1521",MONTH(C2681)='BK-NL'!$M$11),"x","")</f>
        <v/>
      </c>
    </row>
    <row r="2682" spans="1:30" s="351" customFormat="1" ht="15.75" hidden="1" customHeight="1">
      <c r="A2682" s="336" t="str">
        <f>IF(B2682&lt;&gt;"",IF(AND(B2682='IN-TC'!$S$4,OR(TH!N2682="1111",TH!O2682="1111")),TH!D2682,""),"")</f>
        <v/>
      </c>
      <c r="B2682" s="63" t="str">
        <f t="shared" si="297"/>
        <v/>
      </c>
      <c r="C2682" s="64"/>
      <c r="D2682" s="64"/>
      <c r="E2682" s="64"/>
      <c r="F2682" s="67"/>
      <c r="G2682" s="67"/>
      <c r="H2682" s="73"/>
      <c r="I2682" s="439"/>
      <c r="J2682" s="439"/>
      <c r="K2682" s="430"/>
      <c r="L2682" s="439"/>
      <c r="M2682" s="65"/>
      <c r="N2682" s="66"/>
      <c r="O2682" s="66"/>
      <c r="P2682" s="84" t="str">
        <f>IF(AND('331-CT'!$E$7=TH!H2682,OR(N2682="331",O2682="331")),"x","")</f>
        <v/>
      </c>
      <c r="Q2682" s="84" t="str">
        <f>IF(AND(B2682='111'!$L$11,OR($N2682=$Q$7,$O2682=$Q$7)),"x","")</f>
        <v/>
      </c>
      <c r="R2682" s="84" t="str">
        <f>IF(AND($N2682=$Q$7,$B2682&lt;'111'!$L$11),"x","")</f>
        <v/>
      </c>
      <c r="S2682" s="84" t="str">
        <f>IF(AND($O2682=$Q$7,$B2682&lt;'111'!$L$11),"x","")</f>
        <v/>
      </c>
      <c r="T2682" s="84" t="str">
        <f>IF(ISERROR(FIND('112'!$M$9,G2682,1)),"",IF((AND(FIND('112'!$M$9,G2682,1)&gt;=1,B2682='112'!$K$9,OR($N2682='112'!$I$6,$O2682='112'!$I$6))),"x",""))</f>
        <v/>
      </c>
      <c r="U2682" s="84" t="str">
        <f>IF(ISERROR(FIND('112'!$M$9,G2682,1)),"",IF((AND(LEFT(G2682,2)=LEFT('112'!$M$9,2),B2682&lt;'112'!$K$9,$N2682='112'!$I$6)),"x",""))</f>
        <v/>
      </c>
      <c r="V2682" s="84" t="str">
        <f>IF(ISERROR(FIND('112'!$M$9,G2682,1)),"",IF((AND(RIGHT(G2682,2)=RIGHT('112'!$M$9,2),B2682&lt;'112'!$K$9,$O2682='112'!$I$6)),"x",""))</f>
        <v/>
      </c>
      <c r="W2682" s="84" t="str">
        <f>IF(AND('341-CT'!$H$9=H2682,OR(LEFT(N2682,3)=$W$7,LEFT(O2682,3)=$W$7)),"x","")</f>
        <v/>
      </c>
      <c r="X2682" s="84" t="str">
        <f>IF(OR(TH!N2682=TH!$X$7,O2682=TH!$X$7),"x","")</f>
        <v/>
      </c>
      <c r="Y2682" s="84" t="str">
        <f>IF(AND(OR(N2682="131",O2682="131"),H2682='131-CT'!$H$9),"x","")</f>
        <v/>
      </c>
      <c r="Z2682" s="84"/>
      <c r="AA2682" s="84" t="str">
        <f>IF(AND(MONTH(E2682)='IN-NX'!$J$5,'IN-NX'!$D$7=D2682),"x","")</f>
        <v/>
      </c>
      <c r="AB2682" s="84" t="str">
        <f>IF(AND(OR(LEFT(TH!N2682,2)="15",LEFT(TH!O2682,2)="15"),LEFT(TH!O2682,3)&lt;&gt;"111",'152-CT'!$J$8=TH!F2682),"x","")</f>
        <v/>
      </c>
      <c r="AC2682" s="84" t="str">
        <f>IF(AND(OR(LEFT(TH!N2682,2)="15",LEFT(TH!O2682,2)="15"),TK!$E$7=TH!F2682),"x","")</f>
        <v/>
      </c>
      <c r="AD2682" s="84" t="str">
        <f>IF(AND(N2682="1521",MONTH(C2682)='BK-NL'!$M$11),"x","")</f>
        <v/>
      </c>
    </row>
    <row r="2683" spans="1:30" s="351" customFormat="1" ht="15.75" hidden="1" customHeight="1">
      <c r="A2683" s="336" t="str">
        <f>IF(B2683&lt;&gt;"",IF(AND(B2683='IN-TC'!$S$4,OR(TH!N2683="1111",TH!O2683="1111")),TH!D2683,""),"")</f>
        <v/>
      </c>
      <c r="B2683" s="63" t="str">
        <f t="shared" si="297"/>
        <v/>
      </c>
      <c r="C2683" s="64"/>
      <c r="D2683" s="64"/>
      <c r="E2683" s="64"/>
      <c r="F2683" s="67"/>
      <c r="G2683" s="67"/>
      <c r="H2683" s="73"/>
      <c r="I2683" s="439"/>
      <c r="J2683" s="439"/>
      <c r="K2683" s="430"/>
      <c r="L2683" s="439"/>
      <c r="M2683" s="65"/>
      <c r="N2683" s="66"/>
      <c r="O2683" s="66"/>
      <c r="P2683" s="84" t="str">
        <f>IF(AND('331-CT'!$E$7=TH!H2683,OR(N2683="331",O2683="331")),"x","")</f>
        <v/>
      </c>
      <c r="Q2683" s="84" t="str">
        <f>IF(AND(B2683='111'!$L$11,OR($N2683=$Q$7,$O2683=$Q$7)),"x","")</f>
        <v/>
      </c>
      <c r="R2683" s="84" t="str">
        <f>IF(AND($N2683=$Q$7,$B2683&lt;'111'!$L$11),"x","")</f>
        <v/>
      </c>
      <c r="S2683" s="84" t="str">
        <f>IF(AND($O2683=$Q$7,$B2683&lt;'111'!$L$11),"x","")</f>
        <v/>
      </c>
      <c r="T2683" s="84" t="str">
        <f>IF(ISERROR(FIND('112'!$M$9,G2683,1)),"",IF((AND(FIND('112'!$M$9,G2683,1)&gt;=1,B2683='112'!$K$9,OR($N2683='112'!$I$6,$O2683='112'!$I$6))),"x",""))</f>
        <v/>
      </c>
      <c r="U2683" s="84" t="str">
        <f>IF(ISERROR(FIND('112'!$M$9,G2683,1)),"",IF((AND(LEFT(G2683,2)=LEFT('112'!$M$9,2),B2683&lt;'112'!$K$9,$N2683='112'!$I$6)),"x",""))</f>
        <v/>
      </c>
      <c r="V2683" s="84" t="str">
        <f>IF(ISERROR(FIND('112'!$M$9,G2683,1)),"",IF((AND(RIGHT(G2683,2)=RIGHT('112'!$M$9,2),B2683&lt;'112'!$K$9,$O2683='112'!$I$6)),"x",""))</f>
        <v/>
      </c>
      <c r="W2683" s="84" t="str">
        <f>IF(AND('341-CT'!$H$9=H2683,OR(LEFT(N2683,3)=$W$7,LEFT(O2683,3)=$W$7)),"x","")</f>
        <v/>
      </c>
      <c r="X2683" s="84" t="str">
        <f>IF(OR(TH!N2683=TH!$X$7,O2683=TH!$X$7),"x","")</f>
        <v/>
      </c>
      <c r="Y2683" s="84" t="str">
        <f>IF(AND(OR(N2683="131",O2683="131"),H2683='131-CT'!$H$9),"x","")</f>
        <v/>
      </c>
      <c r="Z2683" s="84"/>
      <c r="AA2683" s="84" t="str">
        <f>IF(AND(MONTH(E2683)='IN-NX'!$J$5,'IN-NX'!$D$7=D2683),"x","")</f>
        <v/>
      </c>
      <c r="AB2683" s="84" t="str">
        <f>IF(AND(OR(LEFT(TH!N2683,2)="15",LEFT(TH!O2683,2)="15"),LEFT(TH!O2683,3)&lt;&gt;"111",'152-CT'!$J$8=TH!F2683),"x","")</f>
        <v/>
      </c>
      <c r="AC2683" s="84" t="str">
        <f>IF(AND(OR(LEFT(TH!N2683,2)="15",LEFT(TH!O2683,2)="15"),TK!$E$7=TH!F2683),"x","")</f>
        <v/>
      </c>
      <c r="AD2683" s="84" t="str">
        <f>IF(AND(N2683="1521",MONTH(C2683)='BK-NL'!$M$11),"x","")</f>
        <v/>
      </c>
    </row>
    <row r="2684" spans="1:30" s="351" customFormat="1" ht="15.75" hidden="1" customHeight="1">
      <c r="A2684" s="336" t="str">
        <f>IF(B2684&lt;&gt;"",IF(AND(B2684='IN-TC'!$S$4,OR(TH!N2684="1111",TH!O2684="1111")),TH!D2684,""),"")</f>
        <v/>
      </c>
      <c r="B2684" s="63" t="str">
        <f t="shared" si="297"/>
        <v/>
      </c>
      <c r="C2684" s="64"/>
      <c r="D2684" s="64"/>
      <c r="E2684" s="64"/>
      <c r="F2684" s="67"/>
      <c r="G2684" s="67"/>
      <c r="H2684" s="73"/>
      <c r="I2684" s="439"/>
      <c r="J2684" s="439"/>
      <c r="K2684" s="430"/>
      <c r="L2684" s="439"/>
      <c r="M2684" s="65"/>
      <c r="N2684" s="66"/>
      <c r="O2684" s="66"/>
      <c r="P2684" s="84" t="str">
        <f>IF(AND('331-CT'!$E$7=TH!H2684,OR(N2684="331",O2684="331")),"x","")</f>
        <v/>
      </c>
      <c r="Q2684" s="84" t="str">
        <f>IF(AND(B2684='111'!$L$11,OR($N2684=$Q$7,$O2684=$Q$7)),"x","")</f>
        <v/>
      </c>
      <c r="R2684" s="84" t="str">
        <f>IF(AND($N2684=$Q$7,$B2684&lt;'111'!$L$11),"x","")</f>
        <v/>
      </c>
      <c r="S2684" s="84" t="str">
        <f>IF(AND($O2684=$Q$7,$B2684&lt;'111'!$L$11),"x","")</f>
        <v/>
      </c>
      <c r="T2684" s="84" t="str">
        <f>IF(ISERROR(FIND('112'!$M$9,G2684,1)),"",IF((AND(FIND('112'!$M$9,G2684,1)&gt;=1,B2684='112'!$K$9,OR($N2684='112'!$I$6,$O2684='112'!$I$6))),"x",""))</f>
        <v/>
      </c>
      <c r="U2684" s="84" t="str">
        <f>IF(ISERROR(FIND('112'!$M$9,G2684,1)),"",IF((AND(LEFT(G2684,2)=LEFT('112'!$M$9,2),B2684&lt;'112'!$K$9,$N2684='112'!$I$6)),"x",""))</f>
        <v/>
      </c>
      <c r="V2684" s="84" t="str">
        <f>IF(ISERROR(FIND('112'!$M$9,G2684,1)),"",IF((AND(RIGHT(G2684,2)=RIGHT('112'!$M$9,2),B2684&lt;'112'!$K$9,$O2684='112'!$I$6)),"x",""))</f>
        <v/>
      </c>
      <c r="W2684" s="84" t="str">
        <f>IF(AND('341-CT'!$H$9=H2684,OR(LEFT(N2684,3)=$W$7,LEFT(O2684,3)=$W$7)),"x","")</f>
        <v/>
      </c>
      <c r="X2684" s="84" t="str">
        <f>IF(OR(TH!N2684=TH!$X$7,O2684=TH!$X$7),"x","")</f>
        <v/>
      </c>
      <c r="Y2684" s="84" t="str">
        <f>IF(AND(OR(N2684="131",O2684="131"),H2684='131-CT'!$H$9),"x","")</f>
        <v/>
      </c>
      <c r="Z2684" s="84"/>
      <c r="AA2684" s="84" t="str">
        <f>IF(AND(MONTH(E2684)='IN-NX'!$J$5,'IN-NX'!$D$7=D2684),"x","")</f>
        <v/>
      </c>
      <c r="AB2684" s="84" t="str">
        <f>IF(AND(OR(LEFT(TH!N2684,2)="15",LEFT(TH!O2684,2)="15"),LEFT(TH!O2684,3)&lt;&gt;"111",'152-CT'!$J$8=TH!F2684),"x","")</f>
        <v/>
      </c>
      <c r="AC2684" s="84" t="str">
        <f>IF(AND(OR(LEFT(TH!N2684,2)="15",LEFT(TH!O2684,2)="15"),TK!$E$7=TH!F2684),"x","")</f>
        <v/>
      </c>
      <c r="AD2684" s="84" t="str">
        <f>IF(AND(N2684="1521",MONTH(C2684)='BK-NL'!$M$11),"x","")</f>
        <v/>
      </c>
    </row>
    <row r="2685" spans="1:30" s="351" customFormat="1" ht="15.75" hidden="1" customHeight="1">
      <c r="A2685" s="336" t="str">
        <f>IF(B2685&lt;&gt;"",IF(AND(B2685='IN-TC'!$S$4,OR(TH!N2685="1111",TH!O2685="1111")),TH!D2685,""),"")</f>
        <v/>
      </c>
      <c r="B2685" s="63" t="str">
        <f t="shared" si="297"/>
        <v/>
      </c>
      <c r="C2685" s="64"/>
      <c r="D2685" s="64"/>
      <c r="E2685" s="64"/>
      <c r="F2685" s="67"/>
      <c r="G2685" s="67"/>
      <c r="H2685" s="73"/>
      <c r="I2685" s="439"/>
      <c r="J2685" s="439"/>
      <c r="K2685" s="430"/>
      <c r="L2685" s="439"/>
      <c r="M2685" s="65"/>
      <c r="N2685" s="66"/>
      <c r="O2685" s="66"/>
      <c r="P2685" s="84" t="str">
        <f>IF(AND('331-CT'!$E$7=TH!H2685,OR(N2685="331",O2685="331")),"x","")</f>
        <v/>
      </c>
      <c r="Q2685" s="84" t="str">
        <f>IF(AND(B2685='111'!$L$11,OR($N2685=$Q$7,$O2685=$Q$7)),"x","")</f>
        <v/>
      </c>
      <c r="R2685" s="84" t="str">
        <f>IF(AND($N2685=$Q$7,$B2685&lt;'111'!$L$11),"x","")</f>
        <v/>
      </c>
      <c r="S2685" s="84" t="str">
        <f>IF(AND($O2685=$Q$7,$B2685&lt;'111'!$L$11),"x","")</f>
        <v/>
      </c>
      <c r="T2685" s="84" t="str">
        <f>IF(ISERROR(FIND('112'!$M$9,G2685,1)),"",IF((AND(FIND('112'!$M$9,G2685,1)&gt;=1,B2685='112'!$K$9,OR($N2685='112'!$I$6,$O2685='112'!$I$6))),"x",""))</f>
        <v/>
      </c>
      <c r="U2685" s="84" t="str">
        <f>IF(ISERROR(FIND('112'!$M$9,G2685,1)),"",IF((AND(LEFT(G2685,2)=LEFT('112'!$M$9,2),B2685&lt;'112'!$K$9,$N2685='112'!$I$6)),"x",""))</f>
        <v/>
      </c>
      <c r="V2685" s="84" t="str">
        <f>IF(ISERROR(FIND('112'!$M$9,G2685,1)),"",IF((AND(RIGHT(G2685,2)=RIGHT('112'!$M$9,2),B2685&lt;'112'!$K$9,$O2685='112'!$I$6)),"x",""))</f>
        <v/>
      </c>
      <c r="W2685" s="84" t="str">
        <f>IF(AND('341-CT'!$H$9=H2685,OR(LEFT(N2685,3)=$W$7,LEFT(O2685,3)=$W$7)),"x","")</f>
        <v/>
      </c>
      <c r="X2685" s="84" t="str">
        <f>IF(OR(TH!N2685=TH!$X$7,O2685=TH!$X$7),"x","")</f>
        <v/>
      </c>
      <c r="Y2685" s="84" t="str">
        <f>IF(AND(OR(N2685="131",O2685="131"),H2685='131-CT'!$H$9),"x","")</f>
        <v/>
      </c>
      <c r="Z2685" s="84"/>
      <c r="AA2685" s="84" t="str">
        <f>IF(AND(MONTH(E2685)='IN-NX'!$J$5,'IN-NX'!$D$7=D2685),"x","")</f>
        <v/>
      </c>
      <c r="AB2685" s="84" t="str">
        <f>IF(AND(OR(LEFT(TH!N2685,2)="15",LEFT(TH!O2685,2)="15"),LEFT(TH!O2685,3)&lt;&gt;"111",'152-CT'!$J$8=TH!F2685),"x","")</f>
        <v/>
      </c>
      <c r="AC2685" s="84" t="str">
        <f>IF(AND(OR(LEFT(TH!N2685,2)="15",LEFT(TH!O2685,2)="15"),TK!$E$7=TH!F2685),"x","")</f>
        <v/>
      </c>
      <c r="AD2685" s="84" t="str">
        <f>IF(AND(N2685="1521",MONTH(C2685)='BK-NL'!$M$11),"x","")</f>
        <v/>
      </c>
    </row>
    <row r="2686" spans="1:30" s="351" customFormat="1" ht="15.75" hidden="1" customHeight="1">
      <c r="A2686" s="336" t="str">
        <f>IF(B2686&lt;&gt;"",IF(AND(B2686='IN-TC'!$S$4,OR(TH!N2686="1111",TH!O2686="1111")),TH!D2686,""),"")</f>
        <v/>
      </c>
      <c r="B2686" s="63" t="str">
        <f t="shared" si="297"/>
        <v/>
      </c>
      <c r="C2686" s="64"/>
      <c r="D2686" s="64"/>
      <c r="E2686" s="64"/>
      <c r="F2686" s="67"/>
      <c r="G2686" s="67"/>
      <c r="H2686" s="73"/>
      <c r="I2686" s="439"/>
      <c r="J2686" s="439"/>
      <c r="K2686" s="430"/>
      <c r="L2686" s="439"/>
      <c r="M2686" s="65"/>
      <c r="N2686" s="66"/>
      <c r="O2686" s="66"/>
      <c r="P2686" s="84" t="str">
        <f>IF(AND('331-CT'!$E$7=TH!H2686,OR(N2686="331",O2686="331")),"x","")</f>
        <v/>
      </c>
      <c r="Q2686" s="84" t="str">
        <f>IF(AND(B2686='111'!$L$11,OR($N2686=$Q$7,$O2686=$Q$7)),"x","")</f>
        <v/>
      </c>
      <c r="R2686" s="84" t="str">
        <f>IF(AND($N2686=$Q$7,$B2686&lt;'111'!$L$11),"x","")</f>
        <v/>
      </c>
      <c r="S2686" s="84" t="str">
        <f>IF(AND($O2686=$Q$7,$B2686&lt;'111'!$L$11),"x","")</f>
        <v/>
      </c>
      <c r="T2686" s="84" t="str">
        <f>IF(ISERROR(FIND('112'!$M$9,G2686,1)),"",IF((AND(FIND('112'!$M$9,G2686,1)&gt;=1,B2686='112'!$K$9,OR($N2686='112'!$I$6,$O2686='112'!$I$6))),"x",""))</f>
        <v/>
      </c>
      <c r="U2686" s="84" t="str">
        <f>IF(ISERROR(FIND('112'!$M$9,G2686,1)),"",IF((AND(LEFT(G2686,2)=LEFT('112'!$M$9,2),B2686&lt;'112'!$K$9,$N2686='112'!$I$6)),"x",""))</f>
        <v/>
      </c>
      <c r="V2686" s="84" t="str">
        <f>IF(ISERROR(FIND('112'!$M$9,G2686,1)),"",IF((AND(RIGHT(G2686,2)=RIGHT('112'!$M$9,2),B2686&lt;'112'!$K$9,$O2686='112'!$I$6)),"x",""))</f>
        <v/>
      </c>
      <c r="W2686" s="84" t="str">
        <f>IF(AND('341-CT'!$H$9=H2686,OR(LEFT(N2686,3)=$W$7,LEFT(O2686,3)=$W$7)),"x","")</f>
        <v/>
      </c>
      <c r="X2686" s="84" t="str">
        <f>IF(OR(TH!N2686=TH!$X$7,O2686=TH!$X$7),"x","")</f>
        <v/>
      </c>
      <c r="Y2686" s="84" t="str">
        <f>IF(AND(OR(N2686="131",O2686="131"),H2686='131-CT'!$H$9),"x","")</f>
        <v/>
      </c>
      <c r="Z2686" s="84"/>
      <c r="AA2686" s="84" t="str">
        <f>IF(AND(MONTH(E2686)='IN-NX'!$J$5,'IN-NX'!$D$7=D2686),"x","")</f>
        <v/>
      </c>
      <c r="AB2686" s="84" t="str">
        <f>IF(AND(OR(LEFT(TH!N2686,2)="15",LEFT(TH!O2686,2)="15"),LEFT(TH!O2686,3)&lt;&gt;"111",'152-CT'!$J$8=TH!F2686),"x","")</f>
        <v/>
      </c>
      <c r="AC2686" s="84" t="str">
        <f>IF(AND(OR(LEFT(TH!N2686,2)="15",LEFT(TH!O2686,2)="15"),TK!$E$7=TH!F2686),"x","")</f>
        <v/>
      </c>
      <c r="AD2686" s="84" t="str">
        <f>IF(AND(N2686="1521",MONTH(C2686)='BK-NL'!$M$11),"x","")</f>
        <v/>
      </c>
    </row>
    <row r="2687" spans="1:30" s="351" customFormat="1" ht="15.75" hidden="1" customHeight="1">
      <c r="A2687" s="336" t="str">
        <f>IF(B2687&lt;&gt;"",IF(AND(B2687='IN-TC'!$S$4,OR(TH!N2687="1111",TH!O2687="1111")),TH!D2687,""),"")</f>
        <v/>
      </c>
      <c r="B2687" s="63" t="str">
        <f t="shared" si="297"/>
        <v/>
      </c>
      <c r="C2687" s="64"/>
      <c r="D2687" s="64"/>
      <c r="E2687" s="64"/>
      <c r="F2687" s="67"/>
      <c r="G2687" s="67"/>
      <c r="H2687" s="73"/>
      <c r="I2687" s="439"/>
      <c r="J2687" s="439"/>
      <c r="K2687" s="430"/>
      <c r="L2687" s="439"/>
      <c r="M2687" s="65"/>
      <c r="N2687" s="66"/>
      <c r="O2687" s="66"/>
      <c r="P2687" s="84" t="str">
        <f>IF(AND('331-CT'!$E$7=TH!H2687,OR(N2687="331",O2687="331")),"x","")</f>
        <v/>
      </c>
      <c r="Q2687" s="84" t="str">
        <f>IF(AND(B2687='111'!$L$11,OR($N2687=$Q$7,$O2687=$Q$7)),"x","")</f>
        <v/>
      </c>
      <c r="R2687" s="84" t="str">
        <f>IF(AND($N2687=$Q$7,$B2687&lt;'111'!$L$11),"x","")</f>
        <v/>
      </c>
      <c r="S2687" s="84" t="str">
        <f>IF(AND($O2687=$Q$7,$B2687&lt;'111'!$L$11),"x","")</f>
        <v/>
      </c>
      <c r="T2687" s="84" t="str">
        <f>IF(ISERROR(FIND('112'!$M$9,G2687,1)),"",IF((AND(FIND('112'!$M$9,G2687,1)&gt;=1,B2687='112'!$K$9,OR($N2687='112'!$I$6,$O2687='112'!$I$6))),"x",""))</f>
        <v/>
      </c>
      <c r="U2687" s="84" t="str">
        <f>IF(ISERROR(FIND('112'!$M$9,G2687,1)),"",IF((AND(LEFT(G2687,2)=LEFT('112'!$M$9,2),B2687&lt;'112'!$K$9,$N2687='112'!$I$6)),"x",""))</f>
        <v/>
      </c>
      <c r="V2687" s="84" t="str">
        <f>IF(ISERROR(FIND('112'!$M$9,G2687,1)),"",IF((AND(RIGHT(G2687,2)=RIGHT('112'!$M$9,2),B2687&lt;'112'!$K$9,$O2687='112'!$I$6)),"x",""))</f>
        <v/>
      </c>
      <c r="W2687" s="84" t="str">
        <f>IF(AND('341-CT'!$H$9=H2687,OR(LEFT(N2687,3)=$W$7,LEFT(O2687,3)=$W$7)),"x","")</f>
        <v/>
      </c>
      <c r="X2687" s="84" t="str">
        <f>IF(OR(TH!N2687=TH!$X$7,O2687=TH!$X$7),"x","")</f>
        <v/>
      </c>
      <c r="Y2687" s="84" t="str">
        <f>IF(AND(OR(N2687="131",O2687="131"),H2687='131-CT'!$H$9),"x","")</f>
        <v/>
      </c>
      <c r="Z2687" s="84"/>
      <c r="AA2687" s="84" t="str">
        <f>IF(AND(MONTH(E2687)='IN-NX'!$J$5,'IN-NX'!$D$7=D2687),"x","")</f>
        <v/>
      </c>
      <c r="AB2687" s="84" t="str">
        <f>IF(AND(OR(LEFT(TH!N2687,2)="15",LEFT(TH!O2687,2)="15"),LEFT(TH!O2687,3)&lt;&gt;"111",'152-CT'!$J$8=TH!F2687),"x","")</f>
        <v/>
      </c>
      <c r="AC2687" s="84" t="str">
        <f>IF(AND(OR(LEFT(TH!N2687,2)="15",LEFT(TH!O2687,2)="15"),TK!$E$7=TH!F2687),"x","")</f>
        <v/>
      </c>
      <c r="AD2687" s="84" t="str">
        <f>IF(AND(N2687="1521",MONTH(C2687)='BK-NL'!$M$11),"x","")</f>
        <v/>
      </c>
    </row>
    <row r="2688" spans="1:30" s="351" customFormat="1" ht="15.75" hidden="1" customHeight="1">
      <c r="A2688" s="336" t="str">
        <f>IF(B2688&lt;&gt;"",IF(AND(B2688='IN-TC'!$S$4,OR(TH!N2688="1111",TH!O2688="1111")),TH!D2688,""),"")</f>
        <v/>
      </c>
      <c r="B2688" s="63" t="str">
        <f t="shared" si="297"/>
        <v/>
      </c>
      <c r="C2688" s="64"/>
      <c r="D2688" s="64"/>
      <c r="E2688" s="64"/>
      <c r="F2688" s="67"/>
      <c r="G2688" s="67"/>
      <c r="H2688" s="73"/>
      <c r="I2688" s="439"/>
      <c r="J2688" s="439"/>
      <c r="K2688" s="430"/>
      <c r="L2688" s="439"/>
      <c r="M2688" s="65"/>
      <c r="N2688" s="66"/>
      <c r="O2688" s="66"/>
      <c r="P2688" s="84" t="str">
        <f>IF(AND('331-CT'!$E$7=TH!H2688,OR(N2688="331",O2688="331")),"x","")</f>
        <v/>
      </c>
      <c r="Q2688" s="84" t="str">
        <f>IF(AND(B2688='111'!$L$11,OR($N2688=$Q$7,$O2688=$Q$7)),"x","")</f>
        <v/>
      </c>
      <c r="R2688" s="84" t="str">
        <f>IF(AND($N2688=$Q$7,$B2688&lt;'111'!$L$11),"x","")</f>
        <v/>
      </c>
      <c r="S2688" s="84" t="str">
        <f>IF(AND($O2688=$Q$7,$B2688&lt;'111'!$L$11),"x","")</f>
        <v/>
      </c>
      <c r="T2688" s="84" t="str">
        <f>IF(ISERROR(FIND('112'!$M$9,G2688,1)),"",IF((AND(FIND('112'!$M$9,G2688,1)&gt;=1,B2688='112'!$K$9,OR($N2688='112'!$I$6,$O2688='112'!$I$6))),"x",""))</f>
        <v/>
      </c>
      <c r="U2688" s="84" t="str">
        <f>IF(ISERROR(FIND('112'!$M$9,G2688,1)),"",IF((AND(LEFT(G2688,2)=LEFT('112'!$M$9,2),B2688&lt;'112'!$K$9,$N2688='112'!$I$6)),"x",""))</f>
        <v/>
      </c>
      <c r="V2688" s="84" t="str">
        <f>IF(ISERROR(FIND('112'!$M$9,G2688,1)),"",IF((AND(RIGHT(G2688,2)=RIGHT('112'!$M$9,2),B2688&lt;'112'!$K$9,$O2688='112'!$I$6)),"x",""))</f>
        <v/>
      </c>
      <c r="W2688" s="84" t="str">
        <f>IF(AND('341-CT'!$H$9=H2688,OR(LEFT(N2688,3)=$W$7,LEFT(O2688,3)=$W$7)),"x","")</f>
        <v/>
      </c>
      <c r="X2688" s="84" t="str">
        <f>IF(OR(TH!N2688=TH!$X$7,O2688=TH!$X$7),"x","")</f>
        <v/>
      </c>
      <c r="Y2688" s="84" t="str">
        <f>IF(AND(OR(N2688="131",O2688="131"),H2688='131-CT'!$H$9),"x","")</f>
        <v/>
      </c>
      <c r="Z2688" s="84"/>
      <c r="AA2688" s="84" t="str">
        <f>IF(AND(MONTH(E2688)='IN-NX'!$J$5,'IN-NX'!$D$7=D2688),"x","")</f>
        <v/>
      </c>
      <c r="AB2688" s="84" t="str">
        <f>IF(AND(OR(LEFT(TH!N2688,2)="15",LEFT(TH!O2688,2)="15"),LEFT(TH!O2688,3)&lt;&gt;"111",'152-CT'!$J$8=TH!F2688),"x","")</f>
        <v/>
      </c>
      <c r="AC2688" s="84" t="str">
        <f>IF(AND(OR(LEFT(TH!N2688,2)="15",LEFT(TH!O2688,2)="15"),TK!$E$7=TH!F2688),"x","")</f>
        <v/>
      </c>
      <c r="AD2688" s="84" t="str">
        <f>IF(AND(N2688="1521",MONTH(C2688)='BK-NL'!$M$11),"x","")</f>
        <v/>
      </c>
    </row>
    <row r="2689" spans="1:30" s="351" customFormat="1" ht="15.75" hidden="1" customHeight="1">
      <c r="A2689" s="336" t="str">
        <f>IF(B2689&lt;&gt;"",IF(AND(B2689='IN-TC'!$S$4,OR(TH!N2689="1111",TH!O2689="1111")),TH!D2689,""),"")</f>
        <v/>
      </c>
      <c r="B2689" s="63" t="str">
        <f t="shared" si="297"/>
        <v/>
      </c>
      <c r="C2689" s="64"/>
      <c r="D2689" s="64"/>
      <c r="E2689" s="64"/>
      <c r="F2689" s="67"/>
      <c r="G2689" s="67"/>
      <c r="H2689" s="73"/>
      <c r="I2689" s="439"/>
      <c r="J2689" s="439"/>
      <c r="K2689" s="430"/>
      <c r="L2689" s="439"/>
      <c r="M2689" s="65"/>
      <c r="N2689" s="66"/>
      <c r="O2689" s="66"/>
      <c r="P2689" s="84" t="str">
        <f>IF(AND('331-CT'!$E$7=TH!H2689,OR(N2689="331",O2689="331")),"x","")</f>
        <v/>
      </c>
      <c r="Q2689" s="84" t="str">
        <f>IF(AND(B2689='111'!$L$11,OR($N2689=$Q$7,$O2689=$Q$7)),"x","")</f>
        <v/>
      </c>
      <c r="R2689" s="84" t="str">
        <f>IF(AND($N2689=$Q$7,$B2689&lt;'111'!$L$11),"x","")</f>
        <v/>
      </c>
      <c r="S2689" s="84" t="str">
        <f>IF(AND($O2689=$Q$7,$B2689&lt;'111'!$L$11),"x","")</f>
        <v/>
      </c>
      <c r="T2689" s="84" t="str">
        <f>IF(ISERROR(FIND('112'!$M$9,G2689,1)),"",IF((AND(FIND('112'!$M$9,G2689,1)&gt;=1,B2689='112'!$K$9,OR($N2689='112'!$I$6,$O2689='112'!$I$6))),"x",""))</f>
        <v/>
      </c>
      <c r="U2689" s="84" t="str">
        <f>IF(ISERROR(FIND('112'!$M$9,G2689,1)),"",IF((AND(LEFT(G2689,2)=LEFT('112'!$M$9,2),B2689&lt;'112'!$K$9,$N2689='112'!$I$6)),"x",""))</f>
        <v/>
      </c>
      <c r="V2689" s="84" t="str">
        <f>IF(ISERROR(FIND('112'!$M$9,G2689,1)),"",IF((AND(RIGHT(G2689,2)=RIGHT('112'!$M$9,2),B2689&lt;'112'!$K$9,$O2689='112'!$I$6)),"x",""))</f>
        <v/>
      </c>
      <c r="W2689" s="84" t="str">
        <f>IF(AND('341-CT'!$H$9=H2689,OR(LEFT(N2689,3)=$W$7,LEFT(O2689,3)=$W$7)),"x","")</f>
        <v/>
      </c>
      <c r="X2689" s="84" t="str">
        <f>IF(OR(TH!N2689=TH!$X$7,O2689=TH!$X$7),"x","")</f>
        <v/>
      </c>
      <c r="Y2689" s="84" t="str">
        <f>IF(AND(OR(N2689="131",O2689="131"),H2689='131-CT'!$H$9),"x","")</f>
        <v/>
      </c>
      <c r="Z2689" s="84"/>
      <c r="AA2689" s="84" t="str">
        <f>IF(AND(MONTH(E2689)='IN-NX'!$J$5,'IN-NX'!$D$7=D2689),"x","")</f>
        <v/>
      </c>
      <c r="AB2689" s="84" t="str">
        <f>IF(AND(OR(LEFT(TH!N2689,2)="15",LEFT(TH!O2689,2)="15"),LEFT(TH!O2689,3)&lt;&gt;"111",'152-CT'!$J$8=TH!F2689),"x","")</f>
        <v/>
      </c>
      <c r="AC2689" s="84" t="str">
        <f>IF(AND(OR(LEFT(TH!N2689,2)="15",LEFT(TH!O2689,2)="15"),TK!$E$7=TH!F2689),"x","")</f>
        <v/>
      </c>
      <c r="AD2689" s="84" t="str">
        <f>IF(AND(N2689="1521",MONTH(C2689)='BK-NL'!$M$11),"x","")</f>
        <v/>
      </c>
    </row>
    <row r="2690" spans="1:30" s="351" customFormat="1" ht="15.75" hidden="1" customHeight="1">
      <c r="A2690" s="336" t="str">
        <f>IF(B2690&lt;&gt;"",IF(AND(B2690='IN-TC'!$S$4,OR(TH!N2690="1111",TH!O2690="1111")),TH!D2690,""),"")</f>
        <v/>
      </c>
      <c r="B2690" s="63" t="str">
        <f t="shared" si="297"/>
        <v/>
      </c>
      <c r="C2690" s="64"/>
      <c r="D2690" s="64"/>
      <c r="E2690" s="64"/>
      <c r="F2690" s="67"/>
      <c r="G2690" s="67"/>
      <c r="H2690" s="73"/>
      <c r="I2690" s="439"/>
      <c r="J2690" s="439"/>
      <c r="K2690" s="430"/>
      <c r="L2690" s="439"/>
      <c r="M2690" s="65"/>
      <c r="N2690" s="66"/>
      <c r="O2690" s="66"/>
      <c r="P2690" s="84" t="str">
        <f>IF(AND('331-CT'!$E$7=TH!H2690,OR(N2690="331",O2690="331")),"x","")</f>
        <v/>
      </c>
      <c r="Q2690" s="84" t="str">
        <f>IF(AND(B2690='111'!$L$11,OR($N2690=$Q$7,$O2690=$Q$7)),"x","")</f>
        <v/>
      </c>
      <c r="R2690" s="84" t="str">
        <f>IF(AND($N2690=$Q$7,$B2690&lt;'111'!$L$11),"x","")</f>
        <v/>
      </c>
      <c r="S2690" s="84" t="str">
        <f>IF(AND($O2690=$Q$7,$B2690&lt;'111'!$L$11),"x","")</f>
        <v/>
      </c>
      <c r="T2690" s="84" t="str">
        <f>IF(ISERROR(FIND('112'!$M$9,G2690,1)),"",IF((AND(FIND('112'!$M$9,G2690,1)&gt;=1,B2690='112'!$K$9,OR($N2690='112'!$I$6,$O2690='112'!$I$6))),"x",""))</f>
        <v/>
      </c>
      <c r="U2690" s="84" t="str">
        <f>IF(ISERROR(FIND('112'!$M$9,G2690,1)),"",IF((AND(LEFT(G2690,2)=LEFT('112'!$M$9,2),B2690&lt;'112'!$K$9,$N2690='112'!$I$6)),"x",""))</f>
        <v/>
      </c>
      <c r="V2690" s="84" t="str">
        <f>IF(ISERROR(FIND('112'!$M$9,G2690,1)),"",IF((AND(RIGHT(G2690,2)=RIGHT('112'!$M$9,2),B2690&lt;'112'!$K$9,$O2690='112'!$I$6)),"x",""))</f>
        <v/>
      </c>
      <c r="W2690" s="84" t="str">
        <f>IF(AND('341-CT'!$H$9=H2690,OR(LEFT(N2690,3)=$W$7,LEFT(O2690,3)=$W$7)),"x","")</f>
        <v/>
      </c>
      <c r="X2690" s="84" t="str">
        <f>IF(OR(TH!N2690=TH!$X$7,O2690=TH!$X$7),"x","")</f>
        <v/>
      </c>
      <c r="Y2690" s="84" t="str">
        <f>IF(AND(OR(N2690="131",O2690="131"),H2690='131-CT'!$H$9),"x","")</f>
        <v/>
      </c>
      <c r="Z2690" s="84"/>
      <c r="AA2690" s="84" t="str">
        <f>IF(AND(MONTH(E2690)='IN-NX'!$J$5,'IN-NX'!$D$7=D2690),"x","")</f>
        <v/>
      </c>
      <c r="AB2690" s="84" t="str">
        <f>IF(AND(OR(LEFT(TH!N2690,2)="15",LEFT(TH!O2690,2)="15"),LEFT(TH!O2690,3)&lt;&gt;"111",'152-CT'!$J$8=TH!F2690),"x","")</f>
        <v/>
      </c>
      <c r="AC2690" s="84" t="str">
        <f>IF(AND(OR(LEFT(TH!N2690,2)="15",LEFT(TH!O2690,2)="15"),TK!$E$7=TH!F2690),"x","")</f>
        <v/>
      </c>
      <c r="AD2690" s="84" t="str">
        <f>IF(AND(N2690="1521",MONTH(C2690)='BK-NL'!$M$11),"x","")</f>
        <v/>
      </c>
    </row>
    <row r="2691" spans="1:30" s="351" customFormat="1" ht="15.75" hidden="1" customHeight="1">
      <c r="A2691" s="336" t="str">
        <f>IF(B2691&lt;&gt;"",IF(AND(B2691='IN-TC'!$S$4,OR(TH!N2691="1111",TH!O2691="1111")),TH!D2691,""),"")</f>
        <v/>
      </c>
      <c r="B2691" s="63" t="str">
        <f t="shared" si="297"/>
        <v/>
      </c>
      <c r="C2691" s="64"/>
      <c r="D2691" s="64"/>
      <c r="E2691" s="64"/>
      <c r="F2691" s="67"/>
      <c r="G2691" s="67"/>
      <c r="H2691" s="73"/>
      <c r="I2691" s="439"/>
      <c r="J2691" s="439"/>
      <c r="K2691" s="430"/>
      <c r="L2691" s="439"/>
      <c r="M2691" s="65"/>
      <c r="N2691" s="66"/>
      <c r="O2691" s="66"/>
      <c r="P2691" s="84" t="str">
        <f>IF(AND('331-CT'!$E$7=TH!H2691,OR(N2691="331",O2691="331")),"x","")</f>
        <v/>
      </c>
      <c r="Q2691" s="84" t="str">
        <f>IF(AND(B2691='111'!$L$11,OR($N2691=$Q$7,$O2691=$Q$7)),"x","")</f>
        <v/>
      </c>
      <c r="R2691" s="84" t="str">
        <f>IF(AND($N2691=$Q$7,$B2691&lt;'111'!$L$11),"x","")</f>
        <v/>
      </c>
      <c r="S2691" s="84" t="str">
        <f>IF(AND($O2691=$Q$7,$B2691&lt;'111'!$L$11),"x","")</f>
        <v/>
      </c>
      <c r="T2691" s="84" t="str">
        <f>IF(ISERROR(FIND('112'!$M$9,G2691,1)),"",IF((AND(FIND('112'!$M$9,G2691,1)&gt;=1,B2691='112'!$K$9,OR($N2691='112'!$I$6,$O2691='112'!$I$6))),"x",""))</f>
        <v/>
      </c>
      <c r="U2691" s="84" t="str">
        <f>IF(ISERROR(FIND('112'!$M$9,G2691,1)),"",IF((AND(LEFT(G2691,2)=LEFT('112'!$M$9,2),B2691&lt;'112'!$K$9,$N2691='112'!$I$6)),"x",""))</f>
        <v/>
      </c>
      <c r="V2691" s="84" t="str">
        <f>IF(ISERROR(FIND('112'!$M$9,G2691,1)),"",IF((AND(RIGHT(G2691,2)=RIGHT('112'!$M$9,2),B2691&lt;'112'!$K$9,$O2691='112'!$I$6)),"x",""))</f>
        <v/>
      </c>
      <c r="W2691" s="84" t="str">
        <f>IF(AND('341-CT'!$H$9=H2691,OR(LEFT(N2691,3)=$W$7,LEFT(O2691,3)=$W$7)),"x","")</f>
        <v/>
      </c>
      <c r="X2691" s="84" t="str">
        <f>IF(OR(TH!N2691=TH!$X$7,O2691=TH!$X$7),"x","")</f>
        <v/>
      </c>
      <c r="Y2691" s="84" t="str">
        <f>IF(AND(OR(N2691="131",O2691="131"),H2691='131-CT'!$H$9),"x","")</f>
        <v/>
      </c>
      <c r="Z2691" s="84"/>
      <c r="AA2691" s="84" t="str">
        <f>IF(AND(MONTH(E2691)='IN-NX'!$J$5,'IN-NX'!$D$7=D2691),"x","")</f>
        <v/>
      </c>
      <c r="AB2691" s="84" t="str">
        <f>IF(AND(OR(LEFT(TH!N2691,2)="15",LEFT(TH!O2691,2)="15"),LEFT(TH!O2691,3)&lt;&gt;"111",'152-CT'!$J$8=TH!F2691),"x","")</f>
        <v/>
      </c>
      <c r="AC2691" s="84" t="str">
        <f>IF(AND(OR(LEFT(TH!N2691,2)="15",LEFT(TH!O2691,2)="15"),TK!$E$7=TH!F2691),"x","")</f>
        <v/>
      </c>
      <c r="AD2691" s="84" t="str">
        <f>IF(AND(N2691="1521",MONTH(C2691)='BK-NL'!$M$11),"x","")</f>
        <v/>
      </c>
    </row>
    <row r="2692" spans="1:30" s="351" customFormat="1" ht="15.75" hidden="1" customHeight="1">
      <c r="A2692" s="336" t="str">
        <f>IF(B2692&lt;&gt;"",IF(AND(B2692='IN-TC'!$S$4,OR(TH!N2692="1111",TH!O2692="1111")),TH!D2692,""),"")</f>
        <v/>
      </c>
      <c r="B2692" s="63" t="str">
        <f t="shared" si="297"/>
        <v/>
      </c>
      <c r="C2692" s="64"/>
      <c r="D2692" s="64"/>
      <c r="E2692" s="64"/>
      <c r="F2692" s="67"/>
      <c r="G2692" s="67"/>
      <c r="H2692" s="73"/>
      <c r="I2692" s="439"/>
      <c r="J2692" s="439"/>
      <c r="K2692" s="430"/>
      <c r="L2692" s="439"/>
      <c r="M2692" s="65"/>
      <c r="N2692" s="66"/>
      <c r="O2692" s="66"/>
      <c r="P2692" s="84" t="str">
        <f>IF(AND('331-CT'!$E$7=TH!H2692,OR(N2692="331",O2692="331")),"x","")</f>
        <v/>
      </c>
      <c r="Q2692" s="84" t="str">
        <f>IF(AND(B2692='111'!$L$11,OR($N2692=$Q$7,$O2692=$Q$7)),"x","")</f>
        <v/>
      </c>
      <c r="R2692" s="84" t="str">
        <f>IF(AND($N2692=$Q$7,$B2692&lt;'111'!$L$11),"x","")</f>
        <v/>
      </c>
      <c r="S2692" s="84" t="str">
        <f>IF(AND($O2692=$Q$7,$B2692&lt;'111'!$L$11),"x","")</f>
        <v/>
      </c>
      <c r="T2692" s="84" t="str">
        <f>IF(ISERROR(FIND('112'!$M$9,G2692,1)),"",IF((AND(FIND('112'!$M$9,G2692,1)&gt;=1,B2692='112'!$K$9,OR($N2692='112'!$I$6,$O2692='112'!$I$6))),"x",""))</f>
        <v/>
      </c>
      <c r="U2692" s="84" t="str">
        <f>IF(ISERROR(FIND('112'!$M$9,G2692,1)),"",IF((AND(LEFT(G2692,2)=LEFT('112'!$M$9,2),B2692&lt;'112'!$K$9,$N2692='112'!$I$6)),"x",""))</f>
        <v/>
      </c>
      <c r="V2692" s="84" t="str">
        <f>IF(ISERROR(FIND('112'!$M$9,G2692,1)),"",IF((AND(RIGHT(G2692,2)=RIGHT('112'!$M$9,2),B2692&lt;'112'!$K$9,$O2692='112'!$I$6)),"x",""))</f>
        <v/>
      </c>
      <c r="W2692" s="84" t="str">
        <f>IF(AND('341-CT'!$H$9=H2692,OR(LEFT(N2692,3)=$W$7,LEFT(O2692,3)=$W$7)),"x","")</f>
        <v/>
      </c>
      <c r="X2692" s="84" t="str">
        <f>IF(OR(TH!N2692=TH!$X$7,O2692=TH!$X$7),"x","")</f>
        <v/>
      </c>
      <c r="Y2692" s="84" t="str">
        <f>IF(AND(OR(N2692="131",O2692="131"),H2692='131-CT'!$H$9),"x","")</f>
        <v/>
      </c>
      <c r="Z2692" s="84"/>
      <c r="AA2692" s="84" t="str">
        <f>IF(AND(MONTH(E2692)='IN-NX'!$J$5,'IN-NX'!$D$7=D2692),"x","")</f>
        <v/>
      </c>
      <c r="AB2692" s="84" t="str">
        <f>IF(AND(OR(LEFT(TH!N2692,2)="15",LEFT(TH!O2692,2)="15"),LEFT(TH!O2692,3)&lt;&gt;"111",'152-CT'!$J$8=TH!F2692),"x","")</f>
        <v/>
      </c>
      <c r="AC2692" s="84" t="str">
        <f>IF(AND(OR(LEFT(TH!N2692,2)="15",LEFT(TH!O2692,2)="15"),TK!$E$7=TH!F2692),"x","")</f>
        <v/>
      </c>
      <c r="AD2692" s="84" t="str">
        <f>IF(AND(N2692="1521",MONTH(C2692)='BK-NL'!$M$11),"x","")</f>
        <v/>
      </c>
    </row>
    <row r="2693" spans="1:30" s="351" customFormat="1" ht="15.75" hidden="1" customHeight="1">
      <c r="A2693" s="336" t="str">
        <f>IF(B2693&lt;&gt;"",IF(AND(B2693='IN-TC'!$S$4,OR(TH!N2693="1111",TH!O2693="1111")),TH!D2693,""),"")</f>
        <v/>
      </c>
      <c r="B2693" s="63" t="str">
        <f t="shared" si="297"/>
        <v/>
      </c>
      <c r="C2693" s="64"/>
      <c r="D2693" s="64"/>
      <c r="E2693" s="64"/>
      <c r="F2693" s="67"/>
      <c r="G2693" s="67"/>
      <c r="H2693" s="73"/>
      <c r="I2693" s="439"/>
      <c r="J2693" s="439"/>
      <c r="K2693" s="430"/>
      <c r="L2693" s="439"/>
      <c r="M2693" s="65"/>
      <c r="N2693" s="66"/>
      <c r="O2693" s="66"/>
      <c r="P2693" s="84" t="str">
        <f>IF(AND('331-CT'!$E$7=TH!H2693,OR(N2693="331",O2693="331")),"x","")</f>
        <v/>
      </c>
      <c r="Q2693" s="84" t="str">
        <f>IF(AND(B2693='111'!$L$11,OR($N2693=$Q$7,$O2693=$Q$7)),"x","")</f>
        <v/>
      </c>
      <c r="R2693" s="84" t="str">
        <f>IF(AND($N2693=$Q$7,$B2693&lt;'111'!$L$11),"x","")</f>
        <v/>
      </c>
      <c r="S2693" s="84" t="str">
        <f>IF(AND($O2693=$Q$7,$B2693&lt;'111'!$L$11),"x","")</f>
        <v/>
      </c>
      <c r="T2693" s="84" t="str">
        <f>IF(ISERROR(FIND('112'!$M$9,G2693,1)),"",IF((AND(FIND('112'!$M$9,G2693,1)&gt;=1,B2693='112'!$K$9,OR($N2693='112'!$I$6,$O2693='112'!$I$6))),"x",""))</f>
        <v/>
      </c>
      <c r="U2693" s="84" t="str">
        <f>IF(ISERROR(FIND('112'!$M$9,G2693,1)),"",IF((AND(LEFT(G2693,2)=LEFT('112'!$M$9,2),B2693&lt;'112'!$K$9,$N2693='112'!$I$6)),"x",""))</f>
        <v/>
      </c>
      <c r="V2693" s="84" t="str">
        <f>IF(ISERROR(FIND('112'!$M$9,G2693,1)),"",IF((AND(RIGHT(G2693,2)=RIGHT('112'!$M$9,2),B2693&lt;'112'!$K$9,$O2693='112'!$I$6)),"x",""))</f>
        <v/>
      </c>
      <c r="W2693" s="84" t="str">
        <f>IF(AND('341-CT'!$H$9=H2693,OR(LEFT(N2693,3)=$W$7,LEFT(O2693,3)=$W$7)),"x","")</f>
        <v/>
      </c>
      <c r="X2693" s="84" t="str">
        <f>IF(OR(TH!N2693=TH!$X$7,O2693=TH!$X$7),"x","")</f>
        <v/>
      </c>
      <c r="Y2693" s="84" t="str">
        <f>IF(AND(OR(N2693="131",O2693="131"),H2693='131-CT'!$H$9),"x","")</f>
        <v/>
      </c>
      <c r="Z2693" s="84"/>
      <c r="AA2693" s="84" t="str">
        <f>IF(AND(MONTH(E2693)='IN-NX'!$J$5,'IN-NX'!$D$7=D2693),"x","")</f>
        <v/>
      </c>
      <c r="AB2693" s="84" t="str">
        <f>IF(AND(OR(LEFT(TH!N2693,2)="15",LEFT(TH!O2693,2)="15"),LEFT(TH!O2693,3)&lt;&gt;"111",'152-CT'!$J$8=TH!F2693),"x","")</f>
        <v/>
      </c>
      <c r="AC2693" s="84" t="str">
        <f>IF(AND(OR(LEFT(TH!N2693,2)="15",LEFT(TH!O2693,2)="15"),TK!$E$7=TH!F2693),"x","")</f>
        <v/>
      </c>
      <c r="AD2693" s="84" t="str">
        <f>IF(AND(N2693="1521",MONTH(C2693)='BK-NL'!$M$11),"x","")</f>
        <v/>
      </c>
    </row>
    <row r="2694" spans="1:30" s="351" customFormat="1" ht="15.75" hidden="1" customHeight="1">
      <c r="A2694" s="336" t="str">
        <f>IF(B2694&lt;&gt;"",IF(AND(B2694='IN-TC'!$S$4,OR(TH!N2694="1111",TH!O2694="1111")),TH!D2694,""),"")</f>
        <v/>
      </c>
      <c r="B2694" s="63" t="str">
        <f t="shared" si="297"/>
        <v/>
      </c>
      <c r="C2694" s="64"/>
      <c r="D2694" s="64"/>
      <c r="E2694" s="64"/>
      <c r="F2694" s="67"/>
      <c r="G2694" s="67"/>
      <c r="H2694" s="73"/>
      <c r="I2694" s="439"/>
      <c r="J2694" s="439"/>
      <c r="K2694" s="430"/>
      <c r="L2694" s="439"/>
      <c r="M2694" s="65"/>
      <c r="N2694" s="66"/>
      <c r="O2694" s="66"/>
      <c r="P2694" s="84" t="str">
        <f>IF(AND('331-CT'!$E$7=TH!H2694,OR(N2694="331",O2694="331")),"x","")</f>
        <v/>
      </c>
      <c r="Q2694" s="84" t="str">
        <f>IF(AND(B2694='111'!$L$11,OR($N2694=$Q$7,$O2694=$Q$7)),"x","")</f>
        <v/>
      </c>
      <c r="R2694" s="84" t="str">
        <f>IF(AND($N2694=$Q$7,$B2694&lt;'111'!$L$11),"x","")</f>
        <v/>
      </c>
      <c r="S2694" s="84" t="str">
        <f>IF(AND($O2694=$Q$7,$B2694&lt;'111'!$L$11),"x","")</f>
        <v/>
      </c>
      <c r="T2694" s="84" t="str">
        <f>IF(ISERROR(FIND('112'!$M$9,G2694,1)),"",IF((AND(FIND('112'!$M$9,G2694,1)&gt;=1,B2694='112'!$K$9,OR($N2694='112'!$I$6,$O2694='112'!$I$6))),"x",""))</f>
        <v/>
      </c>
      <c r="U2694" s="84" t="str">
        <f>IF(ISERROR(FIND('112'!$M$9,G2694,1)),"",IF((AND(LEFT(G2694,2)=LEFT('112'!$M$9,2),B2694&lt;'112'!$K$9,$N2694='112'!$I$6)),"x",""))</f>
        <v/>
      </c>
      <c r="V2694" s="84" t="str">
        <f>IF(ISERROR(FIND('112'!$M$9,G2694,1)),"",IF((AND(RIGHT(G2694,2)=RIGHT('112'!$M$9,2),B2694&lt;'112'!$K$9,$O2694='112'!$I$6)),"x",""))</f>
        <v/>
      </c>
      <c r="W2694" s="84" t="str">
        <f>IF(AND('341-CT'!$H$9=H2694,OR(LEFT(N2694,3)=$W$7,LEFT(O2694,3)=$W$7)),"x","")</f>
        <v/>
      </c>
      <c r="X2694" s="84" t="str">
        <f>IF(OR(TH!N2694=TH!$X$7,O2694=TH!$X$7),"x","")</f>
        <v/>
      </c>
      <c r="Y2694" s="84" t="str">
        <f>IF(AND(OR(N2694="131",O2694="131"),H2694='131-CT'!$H$9),"x","")</f>
        <v/>
      </c>
      <c r="Z2694" s="84"/>
      <c r="AA2694" s="84" t="str">
        <f>IF(AND(MONTH(E2694)='IN-NX'!$J$5,'IN-NX'!$D$7=D2694),"x","")</f>
        <v/>
      </c>
      <c r="AB2694" s="84" t="str">
        <f>IF(AND(OR(LEFT(TH!N2694,2)="15",LEFT(TH!O2694,2)="15"),LEFT(TH!O2694,3)&lt;&gt;"111",'152-CT'!$J$8=TH!F2694),"x","")</f>
        <v/>
      </c>
      <c r="AC2694" s="84" t="str">
        <f>IF(AND(OR(LEFT(TH!N2694,2)="15",LEFT(TH!O2694,2)="15"),TK!$E$7=TH!F2694),"x","")</f>
        <v/>
      </c>
      <c r="AD2694" s="84" t="str">
        <f>IF(AND(N2694="1521",MONTH(C2694)='BK-NL'!$M$11),"x","")</f>
        <v/>
      </c>
    </row>
    <row r="2695" spans="1:30" s="351" customFormat="1" ht="15.75" hidden="1" customHeight="1">
      <c r="A2695" s="336" t="str">
        <f>IF(B2695&lt;&gt;"",IF(AND(B2695='IN-TC'!$S$4,OR(TH!N2695="1111",TH!O2695="1111")),TH!D2695,""),"")</f>
        <v/>
      </c>
      <c r="B2695" s="63" t="str">
        <f t="shared" si="297"/>
        <v/>
      </c>
      <c r="C2695" s="64"/>
      <c r="D2695" s="64"/>
      <c r="E2695" s="64"/>
      <c r="F2695" s="67"/>
      <c r="G2695" s="67"/>
      <c r="H2695" s="73"/>
      <c r="I2695" s="439"/>
      <c r="J2695" s="439"/>
      <c r="K2695" s="430"/>
      <c r="L2695" s="439"/>
      <c r="M2695" s="65"/>
      <c r="N2695" s="66"/>
      <c r="O2695" s="66"/>
      <c r="P2695" s="84" t="str">
        <f>IF(AND('331-CT'!$E$7=TH!H2695,OR(N2695="331",O2695="331")),"x","")</f>
        <v/>
      </c>
      <c r="Q2695" s="84" t="str">
        <f>IF(AND(B2695='111'!$L$11,OR($N2695=$Q$7,$O2695=$Q$7)),"x","")</f>
        <v/>
      </c>
      <c r="R2695" s="84" t="str">
        <f>IF(AND($N2695=$Q$7,$B2695&lt;'111'!$L$11),"x","")</f>
        <v/>
      </c>
      <c r="S2695" s="84" t="str">
        <f>IF(AND($O2695=$Q$7,$B2695&lt;'111'!$L$11),"x","")</f>
        <v/>
      </c>
      <c r="T2695" s="84" t="str">
        <f>IF(ISERROR(FIND('112'!$M$9,G2695,1)),"",IF((AND(FIND('112'!$M$9,G2695,1)&gt;=1,B2695='112'!$K$9,OR($N2695='112'!$I$6,$O2695='112'!$I$6))),"x",""))</f>
        <v/>
      </c>
      <c r="U2695" s="84" t="str">
        <f>IF(ISERROR(FIND('112'!$M$9,G2695,1)),"",IF((AND(LEFT(G2695,2)=LEFT('112'!$M$9,2),B2695&lt;'112'!$K$9,$N2695='112'!$I$6)),"x",""))</f>
        <v/>
      </c>
      <c r="V2695" s="84" t="str">
        <f>IF(ISERROR(FIND('112'!$M$9,G2695,1)),"",IF((AND(RIGHT(G2695,2)=RIGHT('112'!$M$9,2),B2695&lt;'112'!$K$9,$O2695='112'!$I$6)),"x",""))</f>
        <v/>
      </c>
      <c r="W2695" s="84" t="str">
        <f>IF(AND('341-CT'!$H$9=H2695,OR(LEFT(N2695,3)=$W$7,LEFT(O2695,3)=$W$7)),"x","")</f>
        <v/>
      </c>
      <c r="X2695" s="84" t="str">
        <f>IF(OR(TH!N2695=TH!$X$7,O2695=TH!$X$7),"x","")</f>
        <v/>
      </c>
      <c r="Y2695" s="84" t="str">
        <f>IF(AND(OR(N2695="131",O2695="131"),H2695='131-CT'!$H$9),"x","")</f>
        <v/>
      </c>
      <c r="Z2695" s="84"/>
      <c r="AA2695" s="84" t="str">
        <f>IF(AND(MONTH(E2695)='IN-NX'!$J$5,'IN-NX'!$D$7=D2695),"x","")</f>
        <v/>
      </c>
      <c r="AB2695" s="84" t="str">
        <f>IF(AND(OR(LEFT(TH!N2695,2)="15",LEFT(TH!O2695,2)="15"),LEFT(TH!O2695,3)&lt;&gt;"111",'152-CT'!$J$8=TH!F2695),"x","")</f>
        <v/>
      </c>
      <c r="AC2695" s="84" t="str">
        <f>IF(AND(OR(LEFT(TH!N2695,2)="15",LEFT(TH!O2695,2)="15"),TK!$E$7=TH!F2695),"x","")</f>
        <v/>
      </c>
      <c r="AD2695" s="84" t="str">
        <f>IF(AND(N2695="1521",MONTH(C2695)='BK-NL'!$M$11),"x","")</f>
        <v/>
      </c>
    </row>
    <row r="2696" spans="1:30" s="351" customFormat="1" ht="15.75" hidden="1" customHeight="1">
      <c r="A2696" s="336" t="str">
        <f>IF(B2696&lt;&gt;"",IF(AND(B2696='IN-TC'!$S$4,OR(TH!N2696="1111",TH!O2696="1111")),TH!D2696,""),"")</f>
        <v/>
      </c>
      <c r="B2696" s="63" t="str">
        <f t="shared" si="297"/>
        <v/>
      </c>
      <c r="C2696" s="64"/>
      <c r="D2696" s="64"/>
      <c r="E2696" s="64"/>
      <c r="F2696" s="67"/>
      <c r="G2696" s="67"/>
      <c r="H2696" s="73"/>
      <c r="I2696" s="439"/>
      <c r="J2696" s="439"/>
      <c r="K2696" s="430"/>
      <c r="L2696" s="439"/>
      <c r="M2696" s="65"/>
      <c r="N2696" s="66"/>
      <c r="O2696" s="66"/>
      <c r="P2696" s="84" t="str">
        <f>IF(AND('331-CT'!$E$7=TH!H2696,OR(N2696="331",O2696="331")),"x","")</f>
        <v/>
      </c>
      <c r="Q2696" s="84" t="str">
        <f>IF(AND(B2696='111'!$L$11,OR($N2696=$Q$7,$O2696=$Q$7)),"x","")</f>
        <v/>
      </c>
      <c r="R2696" s="84" t="str">
        <f>IF(AND($N2696=$Q$7,$B2696&lt;'111'!$L$11),"x","")</f>
        <v/>
      </c>
      <c r="S2696" s="84" t="str">
        <f>IF(AND($O2696=$Q$7,$B2696&lt;'111'!$L$11),"x","")</f>
        <v/>
      </c>
      <c r="T2696" s="84" t="str">
        <f>IF(ISERROR(FIND('112'!$M$9,G2696,1)),"",IF((AND(FIND('112'!$M$9,G2696,1)&gt;=1,B2696='112'!$K$9,OR($N2696='112'!$I$6,$O2696='112'!$I$6))),"x",""))</f>
        <v/>
      </c>
      <c r="U2696" s="84" t="str">
        <f>IF(ISERROR(FIND('112'!$M$9,G2696,1)),"",IF((AND(LEFT(G2696,2)=LEFT('112'!$M$9,2),B2696&lt;'112'!$K$9,$N2696='112'!$I$6)),"x",""))</f>
        <v/>
      </c>
      <c r="V2696" s="84" t="str">
        <f>IF(ISERROR(FIND('112'!$M$9,G2696,1)),"",IF((AND(RIGHT(G2696,2)=RIGHT('112'!$M$9,2),B2696&lt;'112'!$K$9,$O2696='112'!$I$6)),"x",""))</f>
        <v/>
      </c>
      <c r="W2696" s="84" t="str">
        <f>IF(AND('341-CT'!$H$9=H2696,OR(LEFT(N2696,3)=$W$7,LEFT(O2696,3)=$W$7)),"x","")</f>
        <v/>
      </c>
      <c r="X2696" s="84" t="str">
        <f>IF(OR(TH!N2696=TH!$X$7,O2696=TH!$X$7),"x","")</f>
        <v/>
      </c>
      <c r="Y2696" s="84" t="str">
        <f>IF(AND(OR(N2696="131",O2696="131"),H2696='131-CT'!$H$9),"x","")</f>
        <v/>
      </c>
      <c r="Z2696" s="84"/>
      <c r="AA2696" s="84" t="str">
        <f>IF(AND(MONTH(E2696)='IN-NX'!$J$5,'IN-NX'!$D$7=D2696),"x","")</f>
        <v/>
      </c>
      <c r="AB2696" s="84" t="str">
        <f>IF(AND(OR(LEFT(TH!N2696,2)="15",LEFT(TH!O2696,2)="15"),LEFT(TH!O2696,3)&lt;&gt;"111",'152-CT'!$J$8=TH!F2696),"x","")</f>
        <v/>
      </c>
      <c r="AC2696" s="84" t="str">
        <f>IF(AND(OR(LEFT(TH!N2696,2)="15",LEFT(TH!O2696,2)="15"),TK!$E$7=TH!F2696),"x","")</f>
        <v/>
      </c>
      <c r="AD2696" s="84" t="str">
        <f>IF(AND(N2696="1521",MONTH(C2696)='BK-NL'!$M$11),"x","")</f>
        <v/>
      </c>
    </row>
    <row r="2697" spans="1:30" s="351" customFormat="1" ht="15.75" hidden="1" customHeight="1">
      <c r="A2697" s="336" t="str">
        <f>IF(B2697&lt;&gt;"",IF(AND(B2697='IN-TC'!$S$4,OR(TH!N2697="1111",TH!O2697="1111")),TH!D2697,""),"")</f>
        <v/>
      </c>
      <c r="B2697" s="63" t="str">
        <f t="shared" si="297"/>
        <v/>
      </c>
      <c r="C2697" s="64"/>
      <c r="D2697" s="64"/>
      <c r="E2697" s="64"/>
      <c r="F2697" s="67"/>
      <c r="G2697" s="67"/>
      <c r="H2697" s="73"/>
      <c r="I2697" s="439"/>
      <c r="J2697" s="439"/>
      <c r="K2697" s="430"/>
      <c r="L2697" s="439"/>
      <c r="M2697" s="65"/>
      <c r="N2697" s="66"/>
      <c r="O2697" s="66"/>
      <c r="P2697" s="84" t="str">
        <f>IF(AND('331-CT'!$E$7=TH!H2697,OR(N2697="331",O2697="331")),"x","")</f>
        <v/>
      </c>
      <c r="Q2697" s="84" t="str">
        <f>IF(AND(B2697='111'!$L$11,OR($N2697=$Q$7,$O2697=$Q$7)),"x","")</f>
        <v/>
      </c>
      <c r="R2697" s="84" t="str">
        <f>IF(AND($N2697=$Q$7,$B2697&lt;'111'!$L$11),"x","")</f>
        <v/>
      </c>
      <c r="S2697" s="84" t="str">
        <f>IF(AND($O2697=$Q$7,$B2697&lt;'111'!$L$11),"x","")</f>
        <v/>
      </c>
      <c r="T2697" s="84" t="str">
        <f>IF(ISERROR(FIND('112'!$M$9,G2697,1)),"",IF((AND(FIND('112'!$M$9,G2697,1)&gt;=1,B2697='112'!$K$9,OR($N2697='112'!$I$6,$O2697='112'!$I$6))),"x",""))</f>
        <v/>
      </c>
      <c r="U2697" s="84" t="str">
        <f>IF(ISERROR(FIND('112'!$M$9,G2697,1)),"",IF((AND(LEFT(G2697,2)=LEFT('112'!$M$9,2),B2697&lt;'112'!$K$9,$N2697='112'!$I$6)),"x",""))</f>
        <v/>
      </c>
      <c r="V2697" s="84" t="str">
        <f>IF(ISERROR(FIND('112'!$M$9,G2697,1)),"",IF((AND(RIGHT(G2697,2)=RIGHT('112'!$M$9,2),B2697&lt;'112'!$K$9,$O2697='112'!$I$6)),"x",""))</f>
        <v/>
      </c>
      <c r="W2697" s="84" t="str">
        <f>IF(AND('341-CT'!$H$9=H2697,OR(LEFT(N2697,3)=$W$7,LEFT(O2697,3)=$W$7)),"x","")</f>
        <v/>
      </c>
      <c r="X2697" s="84" t="str">
        <f>IF(OR(TH!N2697=TH!$X$7,O2697=TH!$X$7),"x","")</f>
        <v/>
      </c>
      <c r="Y2697" s="84" t="str">
        <f>IF(AND(OR(N2697="131",O2697="131"),H2697='131-CT'!$H$9),"x","")</f>
        <v/>
      </c>
      <c r="Z2697" s="84"/>
      <c r="AA2697" s="84" t="str">
        <f>IF(AND(MONTH(E2697)='IN-NX'!$J$5,'IN-NX'!$D$7=D2697),"x","")</f>
        <v/>
      </c>
      <c r="AB2697" s="84" t="str">
        <f>IF(AND(OR(LEFT(TH!N2697,2)="15",LEFT(TH!O2697,2)="15"),LEFT(TH!O2697,3)&lt;&gt;"111",'152-CT'!$J$8=TH!F2697),"x","")</f>
        <v/>
      </c>
      <c r="AC2697" s="84" t="str">
        <f>IF(AND(OR(LEFT(TH!N2697,2)="15",LEFT(TH!O2697,2)="15"),TK!$E$7=TH!F2697),"x","")</f>
        <v/>
      </c>
      <c r="AD2697" s="84" t="str">
        <f>IF(AND(N2697="1521",MONTH(C2697)='BK-NL'!$M$11),"x","")</f>
        <v/>
      </c>
    </row>
    <row r="2698" spans="1:30" s="351" customFormat="1" ht="15.75" hidden="1" customHeight="1">
      <c r="A2698" s="336" t="str">
        <f>IF(B2698&lt;&gt;"",IF(AND(B2698='IN-TC'!$S$4,OR(TH!N2698="1111",TH!O2698="1111")),TH!D2698,""),"")</f>
        <v/>
      </c>
      <c r="B2698" s="63" t="str">
        <f t="shared" ref="B2698:B2729" si="298">IF(C2698&lt;&gt;"",MONTH(C2698),"")</f>
        <v/>
      </c>
      <c r="C2698" s="64"/>
      <c r="D2698" s="64"/>
      <c r="E2698" s="64"/>
      <c r="F2698" s="67"/>
      <c r="G2698" s="67"/>
      <c r="H2698" s="73"/>
      <c r="I2698" s="439"/>
      <c r="J2698" s="439"/>
      <c r="K2698" s="430"/>
      <c r="L2698" s="439"/>
      <c r="M2698" s="65"/>
      <c r="N2698" s="66"/>
      <c r="O2698" s="66"/>
      <c r="P2698" s="84" t="str">
        <f>IF(AND('331-CT'!$E$7=TH!H2698,OR(N2698="331",O2698="331")),"x","")</f>
        <v/>
      </c>
      <c r="Q2698" s="84" t="str">
        <f>IF(AND(B2698='111'!$L$11,OR($N2698=$Q$7,$O2698=$Q$7)),"x","")</f>
        <v/>
      </c>
      <c r="R2698" s="84" t="str">
        <f>IF(AND($N2698=$Q$7,$B2698&lt;'111'!$L$11),"x","")</f>
        <v/>
      </c>
      <c r="S2698" s="84" t="str">
        <f>IF(AND($O2698=$Q$7,$B2698&lt;'111'!$L$11),"x","")</f>
        <v/>
      </c>
      <c r="T2698" s="84" t="str">
        <f>IF(ISERROR(FIND('112'!$M$9,G2698,1)),"",IF((AND(FIND('112'!$M$9,G2698,1)&gt;=1,B2698='112'!$K$9,OR($N2698='112'!$I$6,$O2698='112'!$I$6))),"x",""))</f>
        <v/>
      </c>
      <c r="U2698" s="84" t="str">
        <f>IF(ISERROR(FIND('112'!$M$9,G2698,1)),"",IF((AND(LEFT(G2698,2)=LEFT('112'!$M$9,2),B2698&lt;'112'!$K$9,$N2698='112'!$I$6)),"x",""))</f>
        <v/>
      </c>
      <c r="V2698" s="84" t="str">
        <f>IF(ISERROR(FIND('112'!$M$9,G2698,1)),"",IF((AND(RIGHT(G2698,2)=RIGHT('112'!$M$9,2),B2698&lt;'112'!$K$9,$O2698='112'!$I$6)),"x",""))</f>
        <v/>
      </c>
      <c r="W2698" s="84" t="str">
        <f>IF(AND('341-CT'!$H$9=H2698,OR(LEFT(N2698,3)=$W$7,LEFT(O2698,3)=$W$7)),"x","")</f>
        <v/>
      </c>
      <c r="X2698" s="84" t="str">
        <f>IF(OR(TH!N2698=TH!$X$7,O2698=TH!$X$7),"x","")</f>
        <v/>
      </c>
      <c r="Y2698" s="84" t="str">
        <f>IF(AND(OR(N2698="131",O2698="131"),H2698='131-CT'!$H$9),"x","")</f>
        <v/>
      </c>
      <c r="Z2698" s="84"/>
      <c r="AA2698" s="84" t="str">
        <f>IF(AND(MONTH(E2698)='IN-NX'!$J$5,'IN-NX'!$D$7=D2698),"x","")</f>
        <v/>
      </c>
      <c r="AB2698" s="84" t="str">
        <f>IF(AND(OR(LEFT(TH!N2698,2)="15",LEFT(TH!O2698,2)="15"),LEFT(TH!O2698,3)&lt;&gt;"111",'152-CT'!$J$8=TH!F2698),"x","")</f>
        <v/>
      </c>
      <c r="AC2698" s="84" t="str">
        <f>IF(AND(OR(LEFT(TH!N2698,2)="15",LEFT(TH!O2698,2)="15"),TK!$E$7=TH!F2698),"x","")</f>
        <v/>
      </c>
      <c r="AD2698" s="84" t="str">
        <f>IF(AND(N2698="1521",MONTH(C2698)='BK-NL'!$M$11),"x","")</f>
        <v/>
      </c>
    </row>
    <row r="2699" spans="1:30" s="351" customFormat="1" ht="15.75" hidden="1" customHeight="1">
      <c r="A2699" s="336" t="str">
        <f>IF(B2699&lt;&gt;"",IF(AND(B2699='IN-TC'!$S$4,OR(TH!N2699="1111",TH!O2699="1111")),TH!D2699,""),"")</f>
        <v/>
      </c>
      <c r="B2699" s="63" t="str">
        <f t="shared" si="298"/>
        <v/>
      </c>
      <c r="C2699" s="64"/>
      <c r="D2699" s="64"/>
      <c r="E2699" s="64"/>
      <c r="F2699" s="67"/>
      <c r="G2699" s="67"/>
      <c r="H2699" s="73"/>
      <c r="I2699" s="439"/>
      <c r="J2699" s="439"/>
      <c r="K2699" s="430"/>
      <c r="L2699" s="439"/>
      <c r="M2699" s="65"/>
      <c r="N2699" s="66"/>
      <c r="O2699" s="66"/>
      <c r="P2699" s="84" t="str">
        <f>IF(AND('331-CT'!$E$7=TH!H2699,OR(N2699="331",O2699="331")),"x","")</f>
        <v/>
      </c>
      <c r="Q2699" s="84" t="str">
        <f>IF(AND(B2699='111'!$L$11,OR($N2699=$Q$7,$O2699=$Q$7)),"x","")</f>
        <v/>
      </c>
      <c r="R2699" s="84" t="str">
        <f>IF(AND($N2699=$Q$7,$B2699&lt;'111'!$L$11),"x","")</f>
        <v/>
      </c>
      <c r="S2699" s="84" t="str">
        <f>IF(AND($O2699=$Q$7,$B2699&lt;'111'!$L$11),"x","")</f>
        <v/>
      </c>
      <c r="T2699" s="84" t="str">
        <f>IF(ISERROR(FIND('112'!$M$9,G2699,1)),"",IF((AND(FIND('112'!$M$9,G2699,1)&gt;=1,B2699='112'!$K$9,OR($N2699='112'!$I$6,$O2699='112'!$I$6))),"x",""))</f>
        <v/>
      </c>
      <c r="U2699" s="84" t="str">
        <f>IF(ISERROR(FIND('112'!$M$9,G2699,1)),"",IF((AND(LEFT(G2699,2)=LEFT('112'!$M$9,2),B2699&lt;'112'!$K$9,$N2699='112'!$I$6)),"x",""))</f>
        <v/>
      </c>
      <c r="V2699" s="84" t="str">
        <f>IF(ISERROR(FIND('112'!$M$9,G2699,1)),"",IF((AND(RIGHT(G2699,2)=RIGHT('112'!$M$9,2),B2699&lt;'112'!$K$9,$O2699='112'!$I$6)),"x",""))</f>
        <v/>
      </c>
      <c r="W2699" s="84" t="str">
        <f>IF(AND('341-CT'!$H$9=H2699,OR(LEFT(N2699,3)=$W$7,LEFT(O2699,3)=$W$7)),"x","")</f>
        <v/>
      </c>
      <c r="X2699" s="84" t="str">
        <f>IF(OR(TH!N2699=TH!$X$7,O2699=TH!$X$7),"x","")</f>
        <v/>
      </c>
      <c r="Y2699" s="84" t="str">
        <f>IF(AND(OR(N2699="131",O2699="131"),H2699='131-CT'!$H$9),"x","")</f>
        <v/>
      </c>
      <c r="Z2699" s="84"/>
      <c r="AA2699" s="84" t="str">
        <f>IF(AND(MONTH(E2699)='IN-NX'!$J$5,'IN-NX'!$D$7=D2699),"x","")</f>
        <v/>
      </c>
      <c r="AB2699" s="84" t="str">
        <f>IF(AND(OR(LEFT(TH!N2699,2)="15",LEFT(TH!O2699,2)="15"),LEFT(TH!O2699,3)&lt;&gt;"111",'152-CT'!$J$8=TH!F2699),"x","")</f>
        <v/>
      </c>
      <c r="AC2699" s="84" t="str">
        <f>IF(AND(OR(LEFT(TH!N2699,2)="15",LEFT(TH!O2699,2)="15"),TK!$E$7=TH!F2699),"x","")</f>
        <v/>
      </c>
      <c r="AD2699" s="84" t="str">
        <f>IF(AND(N2699="1521",MONTH(C2699)='BK-NL'!$M$11),"x","")</f>
        <v/>
      </c>
    </row>
    <row r="2700" spans="1:30" s="351" customFormat="1" ht="15.75" hidden="1" customHeight="1">
      <c r="A2700" s="336" t="str">
        <f>IF(B2700&lt;&gt;"",IF(AND(B2700='IN-TC'!$S$4,OR(TH!N2700="1111",TH!O2700="1111")),TH!D2700,""),"")</f>
        <v/>
      </c>
      <c r="B2700" s="63" t="str">
        <f t="shared" si="298"/>
        <v/>
      </c>
      <c r="C2700" s="64"/>
      <c r="D2700" s="64"/>
      <c r="E2700" s="64"/>
      <c r="F2700" s="67"/>
      <c r="G2700" s="67"/>
      <c r="H2700" s="73"/>
      <c r="I2700" s="439"/>
      <c r="J2700" s="439"/>
      <c r="K2700" s="430"/>
      <c r="L2700" s="439"/>
      <c r="M2700" s="65"/>
      <c r="N2700" s="66"/>
      <c r="O2700" s="66"/>
      <c r="P2700" s="84" t="str">
        <f>IF(AND('331-CT'!$E$7=TH!H2700,OR(N2700="331",O2700="331")),"x","")</f>
        <v/>
      </c>
      <c r="Q2700" s="84" t="str">
        <f>IF(AND(B2700='111'!$L$11,OR($N2700=$Q$7,$O2700=$Q$7)),"x","")</f>
        <v/>
      </c>
      <c r="R2700" s="84" t="str">
        <f>IF(AND($N2700=$Q$7,$B2700&lt;'111'!$L$11),"x","")</f>
        <v/>
      </c>
      <c r="S2700" s="84" t="str">
        <f>IF(AND($O2700=$Q$7,$B2700&lt;'111'!$L$11),"x","")</f>
        <v/>
      </c>
      <c r="T2700" s="84" t="str">
        <f>IF(ISERROR(FIND('112'!$M$9,G2700,1)),"",IF((AND(FIND('112'!$M$9,G2700,1)&gt;=1,B2700='112'!$K$9,OR($N2700='112'!$I$6,$O2700='112'!$I$6))),"x",""))</f>
        <v/>
      </c>
      <c r="U2700" s="84" t="str">
        <f>IF(ISERROR(FIND('112'!$M$9,G2700,1)),"",IF((AND(LEFT(G2700,2)=LEFT('112'!$M$9,2),B2700&lt;'112'!$K$9,$N2700='112'!$I$6)),"x",""))</f>
        <v/>
      </c>
      <c r="V2700" s="84" t="str">
        <f>IF(ISERROR(FIND('112'!$M$9,G2700,1)),"",IF((AND(RIGHT(G2700,2)=RIGHT('112'!$M$9,2),B2700&lt;'112'!$K$9,$O2700='112'!$I$6)),"x",""))</f>
        <v/>
      </c>
      <c r="W2700" s="84" t="str">
        <f>IF(AND('341-CT'!$H$9=H2700,OR(LEFT(N2700,3)=$W$7,LEFT(O2700,3)=$W$7)),"x","")</f>
        <v/>
      </c>
      <c r="X2700" s="84" t="str">
        <f>IF(OR(TH!N2700=TH!$X$7,O2700=TH!$X$7),"x","")</f>
        <v/>
      </c>
      <c r="Y2700" s="84" t="str">
        <f>IF(AND(OR(N2700="131",O2700="131"),H2700='131-CT'!$H$9),"x","")</f>
        <v/>
      </c>
      <c r="Z2700" s="84"/>
      <c r="AA2700" s="84" t="str">
        <f>IF(AND(MONTH(E2700)='IN-NX'!$J$5,'IN-NX'!$D$7=D2700),"x","")</f>
        <v/>
      </c>
      <c r="AB2700" s="84" t="str">
        <f>IF(AND(OR(LEFT(TH!N2700,2)="15",LEFT(TH!O2700,2)="15"),LEFT(TH!O2700,3)&lt;&gt;"111",'152-CT'!$J$8=TH!F2700),"x","")</f>
        <v/>
      </c>
      <c r="AC2700" s="84" t="str">
        <f>IF(AND(OR(LEFT(TH!N2700,2)="15",LEFT(TH!O2700,2)="15"),TK!$E$7=TH!F2700),"x","")</f>
        <v/>
      </c>
      <c r="AD2700" s="84" t="str">
        <f>IF(AND(N2700="1521",MONTH(C2700)='BK-NL'!$M$11),"x","")</f>
        <v/>
      </c>
    </row>
    <row r="2701" spans="1:30" s="351" customFormat="1" ht="15.75" hidden="1" customHeight="1">
      <c r="A2701" s="336" t="str">
        <f>IF(B2701&lt;&gt;"",IF(AND(B2701='IN-TC'!$S$4,OR(TH!N2701="1111",TH!O2701="1111")),TH!D2701,""),"")</f>
        <v/>
      </c>
      <c r="B2701" s="63" t="str">
        <f t="shared" si="298"/>
        <v/>
      </c>
      <c r="C2701" s="64"/>
      <c r="D2701" s="64"/>
      <c r="E2701" s="64"/>
      <c r="F2701" s="67"/>
      <c r="G2701" s="67"/>
      <c r="H2701" s="73"/>
      <c r="I2701" s="439"/>
      <c r="J2701" s="439"/>
      <c r="K2701" s="430"/>
      <c r="L2701" s="439"/>
      <c r="M2701" s="65"/>
      <c r="N2701" s="66"/>
      <c r="O2701" s="66"/>
      <c r="P2701" s="84" t="str">
        <f>IF(AND('331-CT'!$E$7=TH!H2701,OR(N2701="331",O2701="331")),"x","")</f>
        <v/>
      </c>
      <c r="Q2701" s="84" t="str">
        <f>IF(AND(B2701='111'!$L$11,OR($N2701=$Q$7,$O2701=$Q$7)),"x","")</f>
        <v/>
      </c>
      <c r="R2701" s="84" t="str">
        <f>IF(AND($N2701=$Q$7,$B2701&lt;'111'!$L$11),"x","")</f>
        <v/>
      </c>
      <c r="S2701" s="84" t="str">
        <f>IF(AND($O2701=$Q$7,$B2701&lt;'111'!$L$11),"x","")</f>
        <v/>
      </c>
      <c r="T2701" s="84" t="str">
        <f>IF(ISERROR(FIND('112'!$M$9,G2701,1)),"",IF((AND(FIND('112'!$M$9,G2701,1)&gt;=1,B2701='112'!$K$9,OR($N2701='112'!$I$6,$O2701='112'!$I$6))),"x",""))</f>
        <v/>
      </c>
      <c r="U2701" s="84" t="str">
        <f>IF(ISERROR(FIND('112'!$M$9,G2701,1)),"",IF((AND(LEFT(G2701,2)=LEFT('112'!$M$9,2),B2701&lt;'112'!$K$9,$N2701='112'!$I$6)),"x",""))</f>
        <v/>
      </c>
      <c r="V2701" s="84" t="str">
        <f>IF(ISERROR(FIND('112'!$M$9,G2701,1)),"",IF((AND(RIGHT(G2701,2)=RIGHT('112'!$M$9,2),B2701&lt;'112'!$K$9,$O2701='112'!$I$6)),"x",""))</f>
        <v/>
      </c>
      <c r="W2701" s="84" t="str">
        <f>IF(AND('341-CT'!$H$9=H2701,OR(LEFT(N2701,3)=$W$7,LEFT(O2701,3)=$W$7)),"x","")</f>
        <v/>
      </c>
      <c r="X2701" s="84" t="str">
        <f>IF(OR(TH!N2701=TH!$X$7,O2701=TH!$X$7),"x","")</f>
        <v/>
      </c>
      <c r="Y2701" s="84" t="str">
        <f>IF(AND(OR(N2701="131",O2701="131"),H2701='131-CT'!$H$9),"x","")</f>
        <v/>
      </c>
      <c r="Z2701" s="84"/>
      <c r="AA2701" s="84" t="str">
        <f>IF(AND(MONTH(E2701)='IN-NX'!$J$5,'IN-NX'!$D$7=D2701),"x","")</f>
        <v/>
      </c>
      <c r="AB2701" s="84" t="str">
        <f>IF(AND(OR(LEFT(TH!N2701,2)="15",LEFT(TH!O2701,2)="15"),LEFT(TH!O2701,3)&lt;&gt;"111",'152-CT'!$J$8=TH!F2701),"x","")</f>
        <v/>
      </c>
      <c r="AC2701" s="84" t="str">
        <f>IF(AND(OR(LEFT(TH!N2701,2)="15",LEFT(TH!O2701,2)="15"),TK!$E$7=TH!F2701),"x","")</f>
        <v/>
      </c>
      <c r="AD2701" s="84" t="str">
        <f>IF(AND(N2701="1521",MONTH(C2701)='BK-NL'!$M$11),"x","")</f>
        <v/>
      </c>
    </row>
    <row r="2702" spans="1:30" s="351" customFormat="1" ht="15.75" hidden="1" customHeight="1">
      <c r="A2702" s="336" t="str">
        <f>IF(B2702&lt;&gt;"",IF(AND(B2702='IN-TC'!$S$4,OR(TH!N2702="1111",TH!O2702="1111")),TH!D2702,""),"")</f>
        <v/>
      </c>
      <c r="B2702" s="63" t="str">
        <f t="shared" si="298"/>
        <v/>
      </c>
      <c r="C2702" s="64"/>
      <c r="D2702" s="64"/>
      <c r="E2702" s="64"/>
      <c r="F2702" s="67"/>
      <c r="G2702" s="67"/>
      <c r="H2702" s="73"/>
      <c r="I2702" s="439"/>
      <c r="J2702" s="439"/>
      <c r="K2702" s="430"/>
      <c r="L2702" s="439"/>
      <c r="M2702" s="65"/>
      <c r="N2702" s="66"/>
      <c r="O2702" s="66"/>
      <c r="P2702" s="84" t="str">
        <f>IF(AND('331-CT'!$E$7=TH!H2702,OR(N2702="331",O2702="331")),"x","")</f>
        <v/>
      </c>
      <c r="Q2702" s="84" t="str">
        <f>IF(AND(B2702='111'!$L$11,OR($N2702=$Q$7,$O2702=$Q$7)),"x","")</f>
        <v/>
      </c>
      <c r="R2702" s="84" t="str">
        <f>IF(AND($N2702=$Q$7,$B2702&lt;'111'!$L$11),"x","")</f>
        <v/>
      </c>
      <c r="S2702" s="84" t="str">
        <f>IF(AND($O2702=$Q$7,$B2702&lt;'111'!$L$11),"x","")</f>
        <v/>
      </c>
      <c r="T2702" s="84" t="str">
        <f>IF(ISERROR(FIND('112'!$M$9,G2702,1)),"",IF((AND(FIND('112'!$M$9,G2702,1)&gt;=1,B2702='112'!$K$9,OR($N2702='112'!$I$6,$O2702='112'!$I$6))),"x",""))</f>
        <v/>
      </c>
      <c r="U2702" s="84" t="str">
        <f>IF(ISERROR(FIND('112'!$M$9,G2702,1)),"",IF((AND(LEFT(G2702,2)=LEFT('112'!$M$9,2),B2702&lt;'112'!$K$9,$N2702='112'!$I$6)),"x",""))</f>
        <v/>
      </c>
      <c r="V2702" s="84" t="str">
        <f>IF(ISERROR(FIND('112'!$M$9,G2702,1)),"",IF((AND(RIGHT(G2702,2)=RIGHT('112'!$M$9,2),B2702&lt;'112'!$K$9,$O2702='112'!$I$6)),"x",""))</f>
        <v/>
      </c>
      <c r="W2702" s="84" t="str">
        <f>IF(AND('341-CT'!$H$9=H2702,OR(LEFT(N2702,3)=$W$7,LEFT(O2702,3)=$W$7)),"x","")</f>
        <v/>
      </c>
      <c r="X2702" s="84" t="str">
        <f>IF(OR(TH!N2702=TH!$X$7,O2702=TH!$X$7),"x","")</f>
        <v/>
      </c>
      <c r="Y2702" s="84" t="str">
        <f>IF(AND(OR(N2702="131",O2702="131"),H2702='131-CT'!$H$9),"x","")</f>
        <v/>
      </c>
      <c r="Z2702" s="84"/>
      <c r="AA2702" s="84" t="str">
        <f>IF(AND(MONTH(E2702)='IN-NX'!$J$5,'IN-NX'!$D$7=D2702),"x","")</f>
        <v/>
      </c>
      <c r="AB2702" s="84" t="str">
        <f>IF(AND(OR(LEFT(TH!N2702,2)="15",LEFT(TH!O2702,2)="15"),LEFT(TH!O2702,3)&lt;&gt;"111",'152-CT'!$J$8=TH!F2702),"x","")</f>
        <v/>
      </c>
      <c r="AC2702" s="84" t="str">
        <f>IF(AND(OR(LEFT(TH!N2702,2)="15",LEFT(TH!O2702,2)="15"),TK!$E$7=TH!F2702),"x","")</f>
        <v/>
      </c>
      <c r="AD2702" s="84" t="str">
        <f>IF(AND(N2702="1521",MONTH(C2702)='BK-NL'!$M$11),"x","")</f>
        <v/>
      </c>
    </row>
    <row r="2703" spans="1:30" s="351" customFormat="1" ht="15.75" hidden="1" customHeight="1">
      <c r="A2703" s="336" t="str">
        <f>IF(B2703&lt;&gt;"",IF(AND(B2703='IN-TC'!$S$4,OR(TH!N2703="1111",TH!O2703="1111")),TH!D2703,""),"")</f>
        <v/>
      </c>
      <c r="B2703" s="63" t="str">
        <f t="shared" si="298"/>
        <v/>
      </c>
      <c r="C2703" s="64"/>
      <c r="D2703" s="64"/>
      <c r="E2703" s="64"/>
      <c r="F2703" s="67"/>
      <c r="G2703" s="67"/>
      <c r="H2703" s="73"/>
      <c r="I2703" s="439"/>
      <c r="J2703" s="439"/>
      <c r="K2703" s="430"/>
      <c r="L2703" s="439"/>
      <c r="M2703" s="65"/>
      <c r="N2703" s="66"/>
      <c r="O2703" s="66"/>
      <c r="P2703" s="84" t="str">
        <f>IF(AND('331-CT'!$E$7=TH!H2703,OR(N2703="331",O2703="331")),"x","")</f>
        <v/>
      </c>
      <c r="Q2703" s="84" t="str">
        <f>IF(AND(B2703='111'!$L$11,OR($N2703=$Q$7,$O2703=$Q$7)),"x","")</f>
        <v/>
      </c>
      <c r="R2703" s="84" t="str">
        <f>IF(AND($N2703=$Q$7,$B2703&lt;'111'!$L$11),"x","")</f>
        <v/>
      </c>
      <c r="S2703" s="84" t="str">
        <f>IF(AND($O2703=$Q$7,$B2703&lt;'111'!$L$11),"x","")</f>
        <v/>
      </c>
      <c r="T2703" s="84" t="str">
        <f>IF(ISERROR(FIND('112'!$M$9,G2703,1)),"",IF((AND(FIND('112'!$M$9,G2703,1)&gt;=1,B2703='112'!$K$9,OR($N2703='112'!$I$6,$O2703='112'!$I$6))),"x",""))</f>
        <v/>
      </c>
      <c r="U2703" s="84" t="str">
        <f>IF(ISERROR(FIND('112'!$M$9,G2703,1)),"",IF((AND(LEFT(G2703,2)=LEFT('112'!$M$9,2),B2703&lt;'112'!$K$9,$N2703='112'!$I$6)),"x",""))</f>
        <v/>
      </c>
      <c r="V2703" s="84" t="str">
        <f>IF(ISERROR(FIND('112'!$M$9,G2703,1)),"",IF((AND(RIGHT(G2703,2)=RIGHT('112'!$M$9,2),B2703&lt;'112'!$K$9,$O2703='112'!$I$6)),"x",""))</f>
        <v/>
      </c>
      <c r="W2703" s="84" t="str">
        <f>IF(AND('341-CT'!$H$9=H2703,OR(LEFT(N2703,3)=$W$7,LEFT(O2703,3)=$W$7)),"x","")</f>
        <v/>
      </c>
      <c r="X2703" s="84" t="str">
        <f>IF(OR(TH!N2703=TH!$X$7,O2703=TH!$X$7),"x","")</f>
        <v/>
      </c>
      <c r="Y2703" s="84" t="str">
        <f>IF(AND(OR(N2703="131",O2703="131"),H2703='131-CT'!$H$9),"x","")</f>
        <v/>
      </c>
      <c r="Z2703" s="84"/>
      <c r="AA2703" s="84" t="str">
        <f>IF(AND(MONTH(E2703)='IN-NX'!$J$5,'IN-NX'!$D$7=D2703),"x","")</f>
        <v/>
      </c>
      <c r="AB2703" s="84" t="str">
        <f>IF(AND(OR(LEFT(TH!N2703,2)="15",LEFT(TH!O2703,2)="15"),LEFT(TH!O2703,3)&lt;&gt;"111",'152-CT'!$J$8=TH!F2703),"x","")</f>
        <v/>
      </c>
      <c r="AC2703" s="84" t="str">
        <f>IF(AND(OR(LEFT(TH!N2703,2)="15",LEFT(TH!O2703,2)="15"),TK!$E$7=TH!F2703),"x","")</f>
        <v/>
      </c>
      <c r="AD2703" s="84" t="str">
        <f>IF(AND(N2703="1521",MONTH(C2703)='BK-NL'!$M$11),"x","")</f>
        <v/>
      </c>
    </row>
    <row r="2704" spans="1:30" s="351" customFormat="1" ht="15.75" hidden="1" customHeight="1">
      <c r="A2704" s="336" t="str">
        <f>IF(B2704&lt;&gt;"",IF(AND(B2704='IN-TC'!$S$4,OR(TH!N2704="1111",TH!O2704="1111")),TH!D2704,""),"")</f>
        <v/>
      </c>
      <c r="B2704" s="63" t="str">
        <f t="shared" si="298"/>
        <v/>
      </c>
      <c r="C2704" s="64"/>
      <c r="D2704" s="64"/>
      <c r="E2704" s="64"/>
      <c r="F2704" s="67"/>
      <c r="G2704" s="67"/>
      <c r="H2704" s="73"/>
      <c r="I2704" s="439"/>
      <c r="J2704" s="439"/>
      <c r="K2704" s="430"/>
      <c r="L2704" s="439"/>
      <c r="M2704" s="65"/>
      <c r="N2704" s="66"/>
      <c r="O2704" s="66"/>
      <c r="P2704" s="84" t="str">
        <f>IF(AND('331-CT'!$E$7=TH!H2704,OR(N2704="331",O2704="331")),"x","")</f>
        <v/>
      </c>
      <c r="Q2704" s="84" t="str">
        <f>IF(AND(B2704='111'!$L$11,OR($N2704=$Q$7,$O2704=$Q$7)),"x","")</f>
        <v/>
      </c>
      <c r="R2704" s="84" t="str">
        <f>IF(AND($N2704=$Q$7,$B2704&lt;'111'!$L$11),"x","")</f>
        <v/>
      </c>
      <c r="S2704" s="84" t="str">
        <f>IF(AND($O2704=$Q$7,$B2704&lt;'111'!$L$11),"x","")</f>
        <v/>
      </c>
      <c r="T2704" s="84" t="str">
        <f>IF(ISERROR(FIND('112'!$M$9,G2704,1)),"",IF((AND(FIND('112'!$M$9,G2704,1)&gt;=1,B2704='112'!$K$9,OR($N2704='112'!$I$6,$O2704='112'!$I$6))),"x",""))</f>
        <v/>
      </c>
      <c r="U2704" s="84" t="str">
        <f>IF(ISERROR(FIND('112'!$M$9,G2704,1)),"",IF((AND(LEFT(G2704,2)=LEFT('112'!$M$9,2),B2704&lt;'112'!$K$9,$N2704='112'!$I$6)),"x",""))</f>
        <v/>
      </c>
      <c r="V2704" s="84" t="str">
        <f>IF(ISERROR(FIND('112'!$M$9,G2704,1)),"",IF((AND(RIGHT(G2704,2)=RIGHT('112'!$M$9,2),B2704&lt;'112'!$K$9,$O2704='112'!$I$6)),"x",""))</f>
        <v/>
      </c>
      <c r="W2704" s="84" t="str">
        <f>IF(AND('341-CT'!$H$9=H2704,OR(LEFT(N2704,3)=$W$7,LEFT(O2704,3)=$W$7)),"x","")</f>
        <v/>
      </c>
      <c r="X2704" s="84" t="str">
        <f>IF(OR(TH!N2704=TH!$X$7,O2704=TH!$X$7),"x","")</f>
        <v/>
      </c>
      <c r="Y2704" s="84" t="str">
        <f>IF(AND(OR(N2704="131",O2704="131"),H2704='131-CT'!$H$9),"x","")</f>
        <v/>
      </c>
      <c r="Z2704" s="84"/>
      <c r="AA2704" s="84" t="str">
        <f>IF(AND(MONTH(E2704)='IN-NX'!$J$5,'IN-NX'!$D$7=D2704),"x","")</f>
        <v/>
      </c>
      <c r="AB2704" s="84" t="str">
        <f>IF(AND(OR(LEFT(TH!N2704,2)="15",LEFT(TH!O2704,2)="15"),LEFT(TH!O2704,3)&lt;&gt;"111",'152-CT'!$J$8=TH!F2704),"x","")</f>
        <v/>
      </c>
      <c r="AC2704" s="84" t="str">
        <f>IF(AND(OR(LEFT(TH!N2704,2)="15",LEFT(TH!O2704,2)="15"),TK!$E$7=TH!F2704),"x","")</f>
        <v/>
      </c>
      <c r="AD2704" s="84" t="str">
        <f>IF(AND(N2704="1521",MONTH(C2704)='BK-NL'!$M$11),"x","")</f>
        <v/>
      </c>
    </row>
    <row r="2705" spans="1:30" s="351" customFormat="1" ht="15.75" hidden="1" customHeight="1">
      <c r="A2705" s="336" t="str">
        <f>IF(B2705&lt;&gt;"",IF(AND(B2705='IN-TC'!$S$4,OR(TH!N2705="1111",TH!O2705="1111")),TH!D2705,""),"")</f>
        <v/>
      </c>
      <c r="B2705" s="63" t="str">
        <f t="shared" si="298"/>
        <v/>
      </c>
      <c r="C2705" s="64"/>
      <c r="D2705" s="64"/>
      <c r="E2705" s="64"/>
      <c r="F2705" s="67"/>
      <c r="G2705" s="67"/>
      <c r="H2705" s="73"/>
      <c r="I2705" s="439"/>
      <c r="J2705" s="439"/>
      <c r="K2705" s="430"/>
      <c r="L2705" s="439"/>
      <c r="M2705" s="65"/>
      <c r="N2705" s="66"/>
      <c r="O2705" s="66"/>
      <c r="P2705" s="84" t="str">
        <f>IF(AND('331-CT'!$E$7=TH!H2705,OR(N2705="331",O2705="331")),"x","")</f>
        <v/>
      </c>
      <c r="Q2705" s="84" t="str">
        <f>IF(AND(B2705='111'!$L$11,OR($N2705=$Q$7,$O2705=$Q$7)),"x","")</f>
        <v/>
      </c>
      <c r="R2705" s="84" t="str">
        <f>IF(AND($N2705=$Q$7,$B2705&lt;'111'!$L$11),"x","")</f>
        <v/>
      </c>
      <c r="S2705" s="84" t="str">
        <f>IF(AND($O2705=$Q$7,$B2705&lt;'111'!$L$11),"x","")</f>
        <v/>
      </c>
      <c r="T2705" s="84" t="str">
        <f>IF(ISERROR(FIND('112'!$M$9,G2705,1)),"",IF((AND(FIND('112'!$M$9,G2705,1)&gt;=1,B2705='112'!$K$9,OR($N2705='112'!$I$6,$O2705='112'!$I$6))),"x",""))</f>
        <v/>
      </c>
      <c r="U2705" s="84" t="str">
        <f>IF(ISERROR(FIND('112'!$M$9,G2705,1)),"",IF((AND(LEFT(G2705,2)=LEFT('112'!$M$9,2),B2705&lt;'112'!$K$9,$N2705='112'!$I$6)),"x",""))</f>
        <v/>
      </c>
      <c r="V2705" s="84" t="str">
        <f>IF(ISERROR(FIND('112'!$M$9,G2705,1)),"",IF((AND(RIGHT(G2705,2)=RIGHT('112'!$M$9,2),B2705&lt;'112'!$K$9,$O2705='112'!$I$6)),"x",""))</f>
        <v/>
      </c>
      <c r="W2705" s="84" t="str">
        <f>IF(AND('341-CT'!$H$9=H2705,OR(LEFT(N2705,3)=$W$7,LEFT(O2705,3)=$W$7)),"x","")</f>
        <v/>
      </c>
      <c r="X2705" s="84" t="str">
        <f>IF(OR(TH!N2705=TH!$X$7,O2705=TH!$X$7),"x","")</f>
        <v/>
      </c>
      <c r="Y2705" s="84" t="str">
        <f>IF(AND(OR(N2705="131",O2705="131"),H2705='131-CT'!$H$9),"x","")</f>
        <v/>
      </c>
      <c r="Z2705" s="84"/>
      <c r="AA2705" s="84" t="str">
        <f>IF(AND(MONTH(E2705)='IN-NX'!$J$5,'IN-NX'!$D$7=D2705),"x","")</f>
        <v/>
      </c>
      <c r="AB2705" s="84" t="str">
        <f>IF(AND(OR(LEFT(TH!N2705,2)="15",LEFT(TH!O2705,2)="15"),LEFT(TH!O2705,3)&lt;&gt;"111",'152-CT'!$J$8=TH!F2705),"x","")</f>
        <v/>
      </c>
      <c r="AC2705" s="84" t="str">
        <f>IF(AND(OR(LEFT(TH!N2705,2)="15",LEFT(TH!O2705,2)="15"),TK!$E$7=TH!F2705),"x","")</f>
        <v/>
      </c>
      <c r="AD2705" s="84" t="str">
        <f>IF(AND(N2705="1521",MONTH(C2705)='BK-NL'!$M$11),"x","")</f>
        <v/>
      </c>
    </row>
    <row r="2706" spans="1:30" s="351" customFormat="1" ht="15.75" hidden="1" customHeight="1">
      <c r="A2706" s="336" t="str">
        <f>IF(B2706&lt;&gt;"",IF(AND(B2706='IN-TC'!$S$4,OR(TH!N2706="1111",TH!O2706="1111")),TH!D2706,""),"")</f>
        <v/>
      </c>
      <c r="B2706" s="63" t="str">
        <f t="shared" si="298"/>
        <v/>
      </c>
      <c r="C2706" s="64"/>
      <c r="D2706" s="64"/>
      <c r="E2706" s="64"/>
      <c r="F2706" s="67"/>
      <c r="G2706" s="67"/>
      <c r="H2706" s="73"/>
      <c r="I2706" s="439"/>
      <c r="J2706" s="439"/>
      <c r="K2706" s="430"/>
      <c r="L2706" s="439"/>
      <c r="M2706" s="65"/>
      <c r="N2706" s="66"/>
      <c r="O2706" s="66"/>
      <c r="P2706" s="84" t="str">
        <f>IF(AND('331-CT'!$E$7=TH!H2706,OR(N2706="331",O2706="331")),"x","")</f>
        <v/>
      </c>
      <c r="Q2706" s="84" t="str">
        <f>IF(AND(B2706='111'!$L$11,OR($N2706=$Q$7,$O2706=$Q$7)),"x","")</f>
        <v/>
      </c>
      <c r="R2706" s="84" t="str">
        <f>IF(AND($N2706=$Q$7,$B2706&lt;'111'!$L$11),"x","")</f>
        <v/>
      </c>
      <c r="S2706" s="84" t="str">
        <f>IF(AND($O2706=$Q$7,$B2706&lt;'111'!$L$11),"x","")</f>
        <v/>
      </c>
      <c r="T2706" s="84" t="str">
        <f>IF(ISERROR(FIND('112'!$M$9,G2706,1)),"",IF((AND(FIND('112'!$M$9,G2706,1)&gt;=1,B2706='112'!$K$9,OR($N2706='112'!$I$6,$O2706='112'!$I$6))),"x",""))</f>
        <v/>
      </c>
      <c r="U2706" s="84" t="str">
        <f>IF(ISERROR(FIND('112'!$M$9,G2706,1)),"",IF((AND(LEFT(G2706,2)=LEFT('112'!$M$9,2),B2706&lt;'112'!$K$9,$N2706='112'!$I$6)),"x",""))</f>
        <v/>
      </c>
      <c r="V2706" s="84" t="str">
        <f>IF(ISERROR(FIND('112'!$M$9,G2706,1)),"",IF((AND(RIGHT(G2706,2)=RIGHT('112'!$M$9,2),B2706&lt;'112'!$K$9,$O2706='112'!$I$6)),"x",""))</f>
        <v/>
      </c>
      <c r="W2706" s="84" t="str">
        <f>IF(AND('341-CT'!$H$9=H2706,OR(LEFT(N2706,3)=$W$7,LEFT(O2706,3)=$W$7)),"x","")</f>
        <v/>
      </c>
      <c r="X2706" s="84" t="str">
        <f>IF(OR(TH!N2706=TH!$X$7,O2706=TH!$X$7),"x","")</f>
        <v/>
      </c>
      <c r="Y2706" s="84" t="str">
        <f>IF(AND(OR(N2706="131",O2706="131"),H2706='131-CT'!$H$9),"x","")</f>
        <v/>
      </c>
      <c r="Z2706" s="84"/>
      <c r="AA2706" s="84" t="str">
        <f>IF(AND(MONTH(E2706)='IN-NX'!$J$5,'IN-NX'!$D$7=D2706),"x","")</f>
        <v/>
      </c>
      <c r="AB2706" s="84" t="str">
        <f>IF(AND(OR(LEFT(TH!N2706,2)="15",LEFT(TH!O2706,2)="15"),LEFT(TH!O2706,3)&lt;&gt;"111",'152-CT'!$J$8=TH!F2706),"x","")</f>
        <v/>
      </c>
      <c r="AC2706" s="84" t="str">
        <f>IF(AND(OR(LEFT(TH!N2706,2)="15",LEFT(TH!O2706,2)="15"),TK!$E$7=TH!F2706),"x","")</f>
        <v/>
      </c>
      <c r="AD2706" s="84" t="str">
        <f>IF(AND(N2706="1521",MONTH(C2706)='BK-NL'!$M$11),"x","")</f>
        <v/>
      </c>
    </row>
    <row r="2707" spans="1:30" s="351" customFormat="1" ht="15.75" hidden="1" customHeight="1">
      <c r="A2707" s="336" t="str">
        <f>IF(B2707&lt;&gt;"",IF(AND(B2707='IN-TC'!$S$4,OR(TH!N2707="1111",TH!O2707="1111")),TH!D2707,""),"")</f>
        <v/>
      </c>
      <c r="B2707" s="63" t="str">
        <f t="shared" si="298"/>
        <v/>
      </c>
      <c r="C2707" s="64"/>
      <c r="D2707" s="64"/>
      <c r="E2707" s="64"/>
      <c r="F2707" s="67"/>
      <c r="G2707" s="67"/>
      <c r="H2707" s="73"/>
      <c r="I2707" s="439"/>
      <c r="J2707" s="439"/>
      <c r="K2707" s="430"/>
      <c r="L2707" s="439"/>
      <c r="M2707" s="65"/>
      <c r="N2707" s="66"/>
      <c r="O2707" s="66"/>
      <c r="P2707" s="84" t="str">
        <f>IF(AND('331-CT'!$E$7=TH!H2707,OR(N2707="331",O2707="331")),"x","")</f>
        <v/>
      </c>
      <c r="Q2707" s="84" t="str">
        <f>IF(AND(B2707='111'!$L$11,OR($N2707=$Q$7,$O2707=$Q$7)),"x","")</f>
        <v/>
      </c>
      <c r="R2707" s="84" t="str">
        <f>IF(AND($N2707=$Q$7,$B2707&lt;'111'!$L$11),"x","")</f>
        <v/>
      </c>
      <c r="S2707" s="84" t="str">
        <f>IF(AND($O2707=$Q$7,$B2707&lt;'111'!$L$11),"x","")</f>
        <v/>
      </c>
      <c r="T2707" s="84" t="str">
        <f>IF(ISERROR(FIND('112'!$M$9,G2707,1)),"",IF((AND(FIND('112'!$M$9,G2707,1)&gt;=1,B2707='112'!$K$9,OR($N2707='112'!$I$6,$O2707='112'!$I$6))),"x",""))</f>
        <v/>
      </c>
      <c r="U2707" s="84" t="str">
        <f>IF(ISERROR(FIND('112'!$M$9,G2707,1)),"",IF((AND(LEFT(G2707,2)=LEFT('112'!$M$9,2),B2707&lt;'112'!$K$9,$N2707='112'!$I$6)),"x",""))</f>
        <v/>
      </c>
      <c r="V2707" s="84" t="str">
        <f>IF(ISERROR(FIND('112'!$M$9,G2707,1)),"",IF((AND(RIGHT(G2707,2)=RIGHT('112'!$M$9,2),B2707&lt;'112'!$K$9,$O2707='112'!$I$6)),"x",""))</f>
        <v/>
      </c>
      <c r="W2707" s="84" t="str">
        <f>IF(AND('341-CT'!$H$9=H2707,OR(LEFT(N2707,3)=$W$7,LEFT(O2707,3)=$W$7)),"x","")</f>
        <v/>
      </c>
      <c r="X2707" s="84" t="str">
        <f>IF(OR(TH!N2707=TH!$X$7,O2707=TH!$X$7),"x","")</f>
        <v/>
      </c>
      <c r="Y2707" s="84" t="str">
        <f>IF(AND(OR(N2707="131",O2707="131"),H2707='131-CT'!$H$9),"x","")</f>
        <v/>
      </c>
      <c r="Z2707" s="84"/>
      <c r="AA2707" s="84" t="str">
        <f>IF(AND(MONTH(E2707)='IN-NX'!$J$5,'IN-NX'!$D$7=D2707),"x","")</f>
        <v/>
      </c>
      <c r="AB2707" s="84" t="str">
        <f>IF(AND(OR(LEFT(TH!N2707,2)="15",LEFT(TH!O2707,2)="15"),LEFT(TH!O2707,3)&lt;&gt;"111",'152-CT'!$J$8=TH!F2707),"x","")</f>
        <v/>
      </c>
      <c r="AC2707" s="84" t="str">
        <f>IF(AND(OR(LEFT(TH!N2707,2)="15",LEFT(TH!O2707,2)="15"),TK!$E$7=TH!F2707),"x","")</f>
        <v/>
      </c>
      <c r="AD2707" s="84" t="str">
        <f>IF(AND(N2707="1521",MONTH(C2707)='BK-NL'!$M$11),"x","")</f>
        <v/>
      </c>
    </row>
    <row r="2708" spans="1:30" s="351" customFormat="1" ht="15.75" hidden="1" customHeight="1">
      <c r="A2708" s="336" t="str">
        <f>IF(B2708&lt;&gt;"",IF(AND(B2708='IN-TC'!$S$4,OR(TH!N2708="1111",TH!O2708="1111")),TH!D2708,""),"")</f>
        <v/>
      </c>
      <c r="B2708" s="63" t="str">
        <f t="shared" si="298"/>
        <v/>
      </c>
      <c r="C2708" s="64"/>
      <c r="D2708" s="64"/>
      <c r="E2708" s="64"/>
      <c r="F2708" s="67"/>
      <c r="G2708" s="67"/>
      <c r="H2708" s="73"/>
      <c r="I2708" s="439"/>
      <c r="J2708" s="439"/>
      <c r="K2708" s="430"/>
      <c r="L2708" s="439"/>
      <c r="M2708" s="65"/>
      <c r="N2708" s="66"/>
      <c r="O2708" s="66"/>
      <c r="P2708" s="84" t="str">
        <f>IF(AND('331-CT'!$E$7=TH!H2708,OR(N2708="331",O2708="331")),"x","")</f>
        <v/>
      </c>
      <c r="Q2708" s="84" t="str">
        <f>IF(AND(B2708='111'!$L$11,OR($N2708=$Q$7,$O2708=$Q$7)),"x","")</f>
        <v/>
      </c>
      <c r="R2708" s="84" t="str">
        <f>IF(AND($N2708=$Q$7,$B2708&lt;'111'!$L$11),"x","")</f>
        <v/>
      </c>
      <c r="S2708" s="84" t="str">
        <f>IF(AND($O2708=$Q$7,$B2708&lt;'111'!$L$11),"x","")</f>
        <v/>
      </c>
      <c r="T2708" s="84" t="str">
        <f>IF(ISERROR(FIND('112'!$M$9,G2708,1)),"",IF((AND(FIND('112'!$M$9,G2708,1)&gt;=1,B2708='112'!$K$9,OR($N2708='112'!$I$6,$O2708='112'!$I$6))),"x",""))</f>
        <v/>
      </c>
      <c r="U2708" s="84" t="str">
        <f>IF(ISERROR(FIND('112'!$M$9,G2708,1)),"",IF((AND(LEFT(G2708,2)=LEFT('112'!$M$9,2),B2708&lt;'112'!$K$9,$N2708='112'!$I$6)),"x",""))</f>
        <v/>
      </c>
      <c r="V2708" s="84" t="str">
        <f>IF(ISERROR(FIND('112'!$M$9,G2708,1)),"",IF((AND(RIGHT(G2708,2)=RIGHT('112'!$M$9,2),B2708&lt;'112'!$K$9,$O2708='112'!$I$6)),"x",""))</f>
        <v/>
      </c>
      <c r="W2708" s="84" t="str">
        <f>IF(AND('341-CT'!$H$9=H2708,OR(LEFT(N2708,3)=$W$7,LEFT(O2708,3)=$W$7)),"x","")</f>
        <v/>
      </c>
      <c r="X2708" s="84" t="str">
        <f>IF(OR(TH!N2708=TH!$X$7,O2708=TH!$X$7),"x","")</f>
        <v/>
      </c>
      <c r="Y2708" s="84" t="str">
        <f>IF(AND(OR(N2708="131",O2708="131"),H2708='131-CT'!$H$9),"x","")</f>
        <v/>
      </c>
      <c r="Z2708" s="84"/>
      <c r="AA2708" s="84" t="str">
        <f>IF(AND(MONTH(E2708)='IN-NX'!$J$5,'IN-NX'!$D$7=D2708),"x","")</f>
        <v/>
      </c>
      <c r="AB2708" s="84" t="str">
        <f>IF(AND(OR(LEFT(TH!N2708,2)="15",LEFT(TH!O2708,2)="15"),LEFT(TH!O2708,3)&lt;&gt;"111",'152-CT'!$J$8=TH!F2708),"x","")</f>
        <v/>
      </c>
      <c r="AC2708" s="84" t="str">
        <f>IF(AND(OR(LEFT(TH!N2708,2)="15",LEFT(TH!O2708,2)="15"),TK!$E$7=TH!F2708),"x","")</f>
        <v/>
      </c>
      <c r="AD2708" s="84" t="str">
        <f>IF(AND(N2708="1521",MONTH(C2708)='BK-NL'!$M$11),"x","")</f>
        <v/>
      </c>
    </row>
    <row r="2709" spans="1:30" s="351" customFormat="1" ht="15.75" hidden="1" customHeight="1">
      <c r="A2709" s="336" t="str">
        <f>IF(B2709&lt;&gt;"",IF(AND(B2709='IN-TC'!$S$4,OR(TH!N2709="1111",TH!O2709="1111")),TH!D2709,""),"")</f>
        <v/>
      </c>
      <c r="B2709" s="63" t="str">
        <f t="shared" si="298"/>
        <v/>
      </c>
      <c r="C2709" s="64"/>
      <c r="D2709" s="64"/>
      <c r="E2709" s="64"/>
      <c r="F2709" s="67"/>
      <c r="G2709" s="67"/>
      <c r="H2709" s="73"/>
      <c r="I2709" s="439"/>
      <c r="J2709" s="439"/>
      <c r="K2709" s="430"/>
      <c r="L2709" s="439"/>
      <c r="M2709" s="65"/>
      <c r="N2709" s="66"/>
      <c r="O2709" s="66"/>
      <c r="P2709" s="84" t="str">
        <f>IF(AND('331-CT'!$E$7=TH!H2709,OR(N2709="331",O2709="331")),"x","")</f>
        <v/>
      </c>
      <c r="Q2709" s="84" t="str">
        <f>IF(AND(B2709='111'!$L$11,OR($N2709=$Q$7,$O2709=$Q$7)),"x","")</f>
        <v/>
      </c>
      <c r="R2709" s="84" t="str">
        <f>IF(AND($N2709=$Q$7,$B2709&lt;'111'!$L$11),"x","")</f>
        <v/>
      </c>
      <c r="S2709" s="84" t="str">
        <f>IF(AND($O2709=$Q$7,$B2709&lt;'111'!$L$11),"x","")</f>
        <v/>
      </c>
      <c r="T2709" s="84" t="str">
        <f>IF(ISERROR(FIND('112'!$M$9,G2709,1)),"",IF((AND(FIND('112'!$M$9,G2709,1)&gt;=1,B2709='112'!$K$9,OR($N2709='112'!$I$6,$O2709='112'!$I$6))),"x",""))</f>
        <v/>
      </c>
      <c r="U2709" s="84" t="str">
        <f>IF(ISERROR(FIND('112'!$M$9,G2709,1)),"",IF((AND(LEFT(G2709,2)=LEFT('112'!$M$9,2),B2709&lt;'112'!$K$9,$N2709='112'!$I$6)),"x",""))</f>
        <v/>
      </c>
      <c r="V2709" s="84" t="str">
        <f>IF(ISERROR(FIND('112'!$M$9,G2709,1)),"",IF((AND(RIGHT(G2709,2)=RIGHT('112'!$M$9,2),B2709&lt;'112'!$K$9,$O2709='112'!$I$6)),"x",""))</f>
        <v/>
      </c>
      <c r="W2709" s="84" t="str">
        <f>IF(AND('341-CT'!$H$9=H2709,OR(LEFT(N2709,3)=$W$7,LEFT(O2709,3)=$W$7)),"x","")</f>
        <v/>
      </c>
      <c r="X2709" s="84" t="str">
        <f>IF(OR(TH!N2709=TH!$X$7,O2709=TH!$X$7),"x","")</f>
        <v/>
      </c>
      <c r="Y2709" s="84" t="str">
        <f>IF(AND(OR(N2709="131",O2709="131"),H2709='131-CT'!$H$9),"x","")</f>
        <v/>
      </c>
      <c r="Z2709" s="84"/>
      <c r="AA2709" s="84" t="str">
        <f>IF(AND(MONTH(E2709)='IN-NX'!$J$5,'IN-NX'!$D$7=D2709),"x","")</f>
        <v/>
      </c>
      <c r="AB2709" s="84" t="str">
        <f>IF(AND(OR(LEFT(TH!N2709,2)="15",LEFT(TH!O2709,2)="15"),LEFT(TH!O2709,3)&lt;&gt;"111",'152-CT'!$J$8=TH!F2709),"x","")</f>
        <v/>
      </c>
      <c r="AC2709" s="84" t="str">
        <f>IF(AND(OR(LEFT(TH!N2709,2)="15",LEFT(TH!O2709,2)="15"),TK!$E$7=TH!F2709),"x","")</f>
        <v/>
      </c>
      <c r="AD2709" s="84" t="str">
        <f>IF(AND(N2709="1521",MONTH(C2709)='BK-NL'!$M$11),"x","")</f>
        <v/>
      </c>
    </row>
    <row r="2710" spans="1:30" s="351" customFormat="1" ht="15.75" hidden="1" customHeight="1">
      <c r="A2710" s="336" t="str">
        <f>IF(B2710&lt;&gt;"",IF(AND(B2710='IN-TC'!$S$4,OR(TH!N2710="1111",TH!O2710="1111")),TH!D2710,""),"")</f>
        <v/>
      </c>
      <c r="B2710" s="63" t="str">
        <f t="shared" si="298"/>
        <v/>
      </c>
      <c r="C2710" s="64"/>
      <c r="D2710" s="64"/>
      <c r="E2710" s="64"/>
      <c r="F2710" s="67"/>
      <c r="G2710" s="67"/>
      <c r="H2710" s="73"/>
      <c r="I2710" s="439"/>
      <c r="J2710" s="439"/>
      <c r="K2710" s="430"/>
      <c r="L2710" s="439"/>
      <c r="M2710" s="65"/>
      <c r="N2710" s="66"/>
      <c r="O2710" s="66"/>
      <c r="P2710" s="84" t="str">
        <f>IF(AND('331-CT'!$E$7=TH!H2710,OR(N2710="331",O2710="331")),"x","")</f>
        <v/>
      </c>
      <c r="Q2710" s="84" t="str">
        <f>IF(AND(B2710='111'!$L$11,OR($N2710=$Q$7,$O2710=$Q$7)),"x","")</f>
        <v/>
      </c>
      <c r="R2710" s="84" t="str">
        <f>IF(AND($N2710=$Q$7,$B2710&lt;'111'!$L$11),"x","")</f>
        <v/>
      </c>
      <c r="S2710" s="84" t="str">
        <f>IF(AND($O2710=$Q$7,$B2710&lt;'111'!$L$11),"x","")</f>
        <v/>
      </c>
      <c r="T2710" s="84" t="str">
        <f>IF(ISERROR(FIND('112'!$M$9,G2710,1)),"",IF((AND(FIND('112'!$M$9,G2710,1)&gt;=1,B2710='112'!$K$9,OR($N2710='112'!$I$6,$O2710='112'!$I$6))),"x",""))</f>
        <v/>
      </c>
      <c r="U2710" s="84" t="str">
        <f>IF(ISERROR(FIND('112'!$M$9,G2710,1)),"",IF((AND(LEFT(G2710,2)=LEFT('112'!$M$9,2),B2710&lt;'112'!$K$9,$N2710='112'!$I$6)),"x",""))</f>
        <v/>
      </c>
      <c r="V2710" s="84" t="str">
        <f>IF(ISERROR(FIND('112'!$M$9,G2710,1)),"",IF((AND(RIGHT(G2710,2)=RIGHT('112'!$M$9,2),B2710&lt;'112'!$K$9,$O2710='112'!$I$6)),"x",""))</f>
        <v/>
      </c>
      <c r="W2710" s="84" t="str">
        <f>IF(AND('341-CT'!$H$9=H2710,OR(LEFT(N2710,3)=$W$7,LEFT(O2710,3)=$W$7)),"x","")</f>
        <v/>
      </c>
      <c r="X2710" s="84" t="str">
        <f>IF(OR(TH!N2710=TH!$X$7,O2710=TH!$X$7),"x","")</f>
        <v/>
      </c>
      <c r="Y2710" s="84" t="str">
        <f>IF(AND(OR(N2710="131",O2710="131"),H2710='131-CT'!$H$9),"x","")</f>
        <v/>
      </c>
      <c r="Z2710" s="84"/>
      <c r="AA2710" s="84" t="str">
        <f>IF(AND(MONTH(E2710)='IN-NX'!$J$5,'IN-NX'!$D$7=D2710),"x","")</f>
        <v/>
      </c>
      <c r="AB2710" s="84" t="str">
        <f>IF(AND(OR(LEFT(TH!N2710,2)="15",LEFT(TH!O2710,2)="15"),LEFT(TH!O2710,3)&lt;&gt;"111",'152-CT'!$J$8=TH!F2710),"x","")</f>
        <v/>
      </c>
      <c r="AC2710" s="84" t="str">
        <f>IF(AND(OR(LEFT(TH!N2710,2)="15",LEFT(TH!O2710,2)="15"),TK!$E$7=TH!F2710),"x","")</f>
        <v/>
      </c>
      <c r="AD2710" s="84" t="str">
        <f>IF(AND(N2710="1521",MONTH(C2710)='BK-NL'!$M$11),"x","")</f>
        <v/>
      </c>
    </row>
    <row r="2711" spans="1:30" s="351" customFormat="1" ht="15.75" hidden="1" customHeight="1">
      <c r="A2711" s="336" t="str">
        <f>IF(B2711&lt;&gt;"",IF(AND(B2711='IN-TC'!$S$4,OR(TH!N2711="1111",TH!O2711="1111")),TH!D2711,""),"")</f>
        <v/>
      </c>
      <c r="B2711" s="63" t="str">
        <f t="shared" si="298"/>
        <v/>
      </c>
      <c r="C2711" s="64"/>
      <c r="D2711" s="64"/>
      <c r="E2711" s="64"/>
      <c r="F2711" s="67"/>
      <c r="G2711" s="67"/>
      <c r="H2711" s="73"/>
      <c r="I2711" s="439"/>
      <c r="J2711" s="439"/>
      <c r="K2711" s="430"/>
      <c r="L2711" s="439"/>
      <c r="M2711" s="65"/>
      <c r="N2711" s="66"/>
      <c r="O2711" s="66"/>
      <c r="P2711" s="84" t="str">
        <f>IF(AND('331-CT'!$E$7=TH!H2711,OR(N2711="331",O2711="331")),"x","")</f>
        <v/>
      </c>
      <c r="Q2711" s="84" t="str">
        <f>IF(AND(B2711='111'!$L$11,OR($N2711=$Q$7,$O2711=$Q$7)),"x","")</f>
        <v/>
      </c>
      <c r="R2711" s="84" t="str">
        <f>IF(AND($N2711=$Q$7,$B2711&lt;'111'!$L$11),"x","")</f>
        <v/>
      </c>
      <c r="S2711" s="84" t="str">
        <f>IF(AND($O2711=$Q$7,$B2711&lt;'111'!$L$11),"x","")</f>
        <v/>
      </c>
      <c r="T2711" s="84" t="str">
        <f>IF(ISERROR(FIND('112'!$M$9,G2711,1)),"",IF((AND(FIND('112'!$M$9,G2711,1)&gt;=1,B2711='112'!$K$9,OR($N2711='112'!$I$6,$O2711='112'!$I$6))),"x",""))</f>
        <v/>
      </c>
      <c r="U2711" s="84" t="str">
        <f>IF(ISERROR(FIND('112'!$M$9,G2711,1)),"",IF((AND(LEFT(G2711,2)=LEFT('112'!$M$9,2),B2711&lt;'112'!$K$9,$N2711='112'!$I$6)),"x",""))</f>
        <v/>
      </c>
      <c r="V2711" s="84" t="str">
        <f>IF(ISERROR(FIND('112'!$M$9,G2711,1)),"",IF((AND(RIGHT(G2711,2)=RIGHT('112'!$M$9,2),B2711&lt;'112'!$K$9,$O2711='112'!$I$6)),"x",""))</f>
        <v/>
      </c>
      <c r="W2711" s="84" t="str">
        <f>IF(AND('341-CT'!$H$9=H2711,OR(LEFT(N2711,3)=$W$7,LEFT(O2711,3)=$W$7)),"x","")</f>
        <v/>
      </c>
      <c r="X2711" s="84" t="str">
        <f>IF(OR(TH!N2711=TH!$X$7,O2711=TH!$X$7),"x","")</f>
        <v/>
      </c>
      <c r="Y2711" s="84" t="str">
        <f>IF(AND(OR(N2711="131",O2711="131"),H2711='131-CT'!$H$9),"x","")</f>
        <v/>
      </c>
      <c r="Z2711" s="84"/>
      <c r="AA2711" s="84" t="str">
        <f>IF(AND(MONTH(E2711)='IN-NX'!$J$5,'IN-NX'!$D$7=D2711),"x","")</f>
        <v/>
      </c>
      <c r="AB2711" s="84" t="str">
        <f>IF(AND(OR(LEFT(TH!N2711,2)="15",LEFT(TH!O2711,2)="15"),LEFT(TH!O2711,3)&lt;&gt;"111",'152-CT'!$J$8=TH!F2711),"x","")</f>
        <v/>
      </c>
      <c r="AC2711" s="84" t="str">
        <f>IF(AND(OR(LEFT(TH!N2711,2)="15",LEFT(TH!O2711,2)="15"),TK!$E$7=TH!F2711),"x","")</f>
        <v/>
      </c>
      <c r="AD2711" s="84" t="str">
        <f>IF(AND(N2711="1521",MONTH(C2711)='BK-NL'!$M$11),"x","")</f>
        <v/>
      </c>
    </row>
    <row r="2712" spans="1:30" s="351" customFormat="1" ht="15.75" hidden="1" customHeight="1">
      <c r="A2712" s="336" t="str">
        <f>IF(B2712&lt;&gt;"",IF(AND(B2712='IN-TC'!$S$4,OR(TH!N2712="1111",TH!O2712="1111")),TH!D2712,""),"")</f>
        <v/>
      </c>
      <c r="B2712" s="63" t="str">
        <f t="shared" si="298"/>
        <v/>
      </c>
      <c r="C2712" s="64"/>
      <c r="D2712" s="64"/>
      <c r="E2712" s="64"/>
      <c r="F2712" s="67"/>
      <c r="G2712" s="67"/>
      <c r="H2712" s="73"/>
      <c r="I2712" s="439"/>
      <c r="J2712" s="439"/>
      <c r="K2712" s="430"/>
      <c r="L2712" s="439"/>
      <c r="M2712" s="65"/>
      <c r="N2712" s="66"/>
      <c r="O2712" s="66"/>
      <c r="P2712" s="84" t="str">
        <f>IF(AND('331-CT'!$E$7=TH!H2712,OR(N2712="331",O2712="331")),"x","")</f>
        <v/>
      </c>
      <c r="Q2712" s="84" t="str">
        <f>IF(AND(B2712='111'!$L$11,OR($N2712=$Q$7,$O2712=$Q$7)),"x","")</f>
        <v/>
      </c>
      <c r="R2712" s="84" t="str">
        <f>IF(AND($N2712=$Q$7,$B2712&lt;'111'!$L$11),"x","")</f>
        <v/>
      </c>
      <c r="S2712" s="84" t="str">
        <f>IF(AND($O2712=$Q$7,$B2712&lt;'111'!$L$11),"x","")</f>
        <v/>
      </c>
      <c r="T2712" s="84" t="str">
        <f>IF(ISERROR(FIND('112'!$M$9,G2712,1)),"",IF((AND(FIND('112'!$M$9,G2712,1)&gt;=1,B2712='112'!$K$9,OR($N2712='112'!$I$6,$O2712='112'!$I$6))),"x",""))</f>
        <v/>
      </c>
      <c r="U2712" s="84" t="str">
        <f>IF(ISERROR(FIND('112'!$M$9,G2712,1)),"",IF((AND(LEFT(G2712,2)=LEFT('112'!$M$9,2),B2712&lt;'112'!$K$9,$N2712='112'!$I$6)),"x",""))</f>
        <v/>
      </c>
      <c r="V2712" s="84" t="str">
        <f>IF(ISERROR(FIND('112'!$M$9,G2712,1)),"",IF((AND(RIGHT(G2712,2)=RIGHT('112'!$M$9,2),B2712&lt;'112'!$K$9,$O2712='112'!$I$6)),"x",""))</f>
        <v/>
      </c>
      <c r="W2712" s="84" t="str">
        <f>IF(AND('341-CT'!$H$9=H2712,OR(LEFT(N2712,3)=$W$7,LEFT(O2712,3)=$W$7)),"x","")</f>
        <v/>
      </c>
      <c r="X2712" s="84" t="str">
        <f>IF(OR(TH!N2712=TH!$X$7,O2712=TH!$X$7),"x","")</f>
        <v/>
      </c>
      <c r="Y2712" s="84" t="str">
        <f>IF(AND(OR(N2712="131",O2712="131"),H2712='131-CT'!$H$9),"x","")</f>
        <v/>
      </c>
      <c r="Z2712" s="84"/>
      <c r="AA2712" s="84" t="str">
        <f>IF(AND(MONTH(E2712)='IN-NX'!$J$5,'IN-NX'!$D$7=D2712),"x","")</f>
        <v/>
      </c>
      <c r="AB2712" s="84" t="str">
        <f>IF(AND(OR(LEFT(TH!N2712,2)="15",LEFT(TH!O2712,2)="15"),LEFT(TH!O2712,3)&lt;&gt;"111",'152-CT'!$J$8=TH!F2712),"x","")</f>
        <v/>
      </c>
      <c r="AC2712" s="84" t="str">
        <f>IF(AND(OR(LEFT(TH!N2712,2)="15",LEFT(TH!O2712,2)="15"),TK!$E$7=TH!F2712),"x","")</f>
        <v/>
      </c>
      <c r="AD2712" s="84" t="str">
        <f>IF(AND(N2712="1521",MONTH(C2712)='BK-NL'!$M$11),"x","")</f>
        <v/>
      </c>
    </row>
    <row r="2713" spans="1:30" s="351" customFormat="1" ht="15.75" hidden="1" customHeight="1">
      <c r="A2713" s="336" t="str">
        <f>IF(B2713&lt;&gt;"",IF(AND(B2713='IN-TC'!$S$4,OR(TH!N2713="1111",TH!O2713="1111")),TH!D2713,""),"")</f>
        <v/>
      </c>
      <c r="B2713" s="63" t="str">
        <f t="shared" si="298"/>
        <v/>
      </c>
      <c r="C2713" s="64"/>
      <c r="D2713" s="64"/>
      <c r="E2713" s="64"/>
      <c r="F2713" s="67"/>
      <c r="G2713" s="67"/>
      <c r="H2713" s="73"/>
      <c r="I2713" s="439"/>
      <c r="J2713" s="439"/>
      <c r="K2713" s="430"/>
      <c r="L2713" s="439"/>
      <c r="M2713" s="65"/>
      <c r="N2713" s="66"/>
      <c r="O2713" s="66"/>
      <c r="P2713" s="84" t="str">
        <f>IF(AND('331-CT'!$E$7=TH!H2713,OR(N2713="331",O2713="331")),"x","")</f>
        <v/>
      </c>
      <c r="Q2713" s="84" t="str">
        <f>IF(AND(B2713='111'!$L$11,OR($N2713=$Q$7,$O2713=$Q$7)),"x","")</f>
        <v/>
      </c>
      <c r="R2713" s="84" t="str">
        <f>IF(AND($N2713=$Q$7,$B2713&lt;'111'!$L$11),"x","")</f>
        <v/>
      </c>
      <c r="S2713" s="84" t="str">
        <f>IF(AND($O2713=$Q$7,$B2713&lt;'111'!$L$11),"x","")</f>
        <v/>
      </c>
      <c r="T2713" s="84" t="str">
        <f>IF(ISERROR(FIND('112'!$M$9,G2713,1)),"",IF((AND(FIND('112'!$M$9,G2713,1)&gt;=1,B2713='112'!$K$9,OR($N2713='112'!$I$6,$O2713='112'!$I$6))),"x",""))</f>
        <v/>
      </c>
      <c r="U2713" s="84" t="str">
        <f>IF(ISERROR(FIND('112'!$M$9,G2713,1)),"",IF((AND(LEFT(G2713,2)=LEFT('112'!$M$9,2),B2713&lt;'112'!$K$9,$N2713='112'!$I$6)),"x",""))</f>
        <v/>
      </c>
      <c r="V2713" s="84" t="str">
        <f>IF(ISERROR(FIND('112'!$M$9,G2713,1)),"",IF((AND(RIGHT(G2713,2)=RIGHT('112'!$M$9,2),B2713&lt;'112'!$K$9,$O2713='112'!$I$6)),"x",""))</f>
        <v/>
      </c>
      <c r="W2713" s="84" t="str">
        <f>IF(AND('341-CT'!$H$9=H2713,OR(LEFT(N2713,3)=$W$7,LEFT(O2713,3)=$W$7)),"x","")</f>
        <v/>
      </c>
      <c r="X2713" s="84" t="str">
        <f>IF(OR(TH!N2713=TH!$X$7,O2713=TH!$X$7),"x","")</f>
        <v/>
      </c>
      <c r="Y2713" s="84" t="str">
        <f>IF(AND(OR(N2713="131",O2713="131"),H2713='131-CT'!$H$9),"x","")</f>
        <v/>
      </c>
      <c r="Z2713" s="84"/>
      <c r="AA2713" s="84" t="str">
        <f>IF(AND(MONTH(E2713)='IN-NX'!$J$5,'IN-NX'!$D$7=D2713),"x","")</f>
        <v/>
      </c>
      <c r="AB2713" s="84" t="str">
        <f>IF(AND(OR(LEFT(TH!N2713,2)="15",LEFT(TH!O2713,2)="15"),LEFT(TH!O2713,3)&lt;&gt;"111",'152-CT'!$J$8=TH!F2713),"x","")</f>
        <v/>
      </c>
      <c r="AC2713" s="84" t="str">
        <f>IF(AND(OR(LEFT(TH!N2713,2)="15",LEFT(TH!O2713,2)="15"),TK!$E$7=TH!F2713),"x","")</f>
        <v/>
      </c>
      <c r="AD2713" s="84" t="str">
        <f>IF(AND(N2713="1521",MONTH(C2713)='BK-NL'!$M$11),"x","")</f>
        <v/>
      </c>
    </row>
    <row r="2714" spans="1:30" s="351" customFormat="1" ht="15.75" hidden="1" customHeight="1">
      <c r="A2714" s="336" t="str">
        <f>IF(B2714&lt;&gt;"",IF(AND(B2714='IN-TC'!$S$4,OR(TH!N2714="1111",TH!O2714="1111")),TH!D2714,""),"")</f>
        <v/>
      </c>
      <c r="B2714" s="63" t="str">
        <f t="shared" si="298"/>
        <v/>
      </c>
      <c r="C2714" s="64"/>
      <c r="D2714" s="64"/>
      <c r="E2714" s="64"/>
      <c r="F2714" s="67"/>
      <c r="G2714" s="67"/>
      <c r="H2714" s="73"/>
      <c r="I2714" s="439"/>
      <c r="J2714" s="439"/>
      <c r="K2714" s="430"/>
      <c r="L2714" s="439"/>
      <c r="M2714" s="65"/>
      <c r="N2714" s="66"/>
      <c r="O2714" s="66"/>
      <c r="P2714" s="84" t="str">
        <f>IF(AND('331-CT'!$E$7=TH!H2714,OR(N2714="331",O2714="331")),"x","")</f>
        <v/>
      </c>
      <c r="Q2714" s="84" t="str">
        <f>IF(AND(B2714='111'!$L$11,OR($N2714=$Q$7,$O2714=$Q$7)),"x","")</f>
        <v/>
      </c>
      <c r="R2714" s="84" t="str">
        <f>IF(AND($N2714=$Q$7,$B2714&lt;'111'!$L$11),"x","")</f>
        <v/>
      </c>
      <c r="S2714" s="84" t="str">
        <f>IF(AND($O2714=$Q$7,$B2714&lt;'111'!$L$11),"x","")</f>
        <v/>
      </c>
      <c r="T2714" s="84" t="str">
        <f>IF(ISERROR(FIND('112'!$M$9,G2714,1)),"",IF((AND(FIND('112'!$M$9,G2714,1)&gt;=1,B2714='112'!$K$9,OR($N2714='112'!$I$6,$O2714='112'!$I$6))),"x",""))</f>
        <v/>
      </c>
      <c r="U2714" s="84" t="str">
        <f>IF(ISERROR(FIND('112'!$M$9,G2714,1)),"",IF((AND(LEFT(G2714,2)=LEFT('112'!$M$9,2),B2714&lt;'112'!$K$9,$N2714='112'!$I$6)),"x",""))</f>
        <v/>
      </c>
      <c r="V2714" s="84" t="str">
        <f>IF(ISERROR(FIND('112'!$M$9,G2714,1)),"",IF((AND(RIGHT(G2714,2)=RIGHT('112'!$M$9,2),B2714&lt;'112'!$K$9,$O2714='112'!$I$6)),"x",""))</f>
        <v/>
      </c>
      <c r="W2714" s="84" t="str">
        <f>IF(AND('341-CT'!$H$9=H2714,OR(LEFT(N2714,3)=$W$7,LEFT(O2714,3)=$W$7)),"x","")</f>
        <v/>
      </c>
      <c r="X2714" s="84" t="str">
        <f>IF(OR(TH!N2714=TH!$X$7,O2714=TH!$X$7),"x","")</f>
        <v/>
      </c>
      <c r="Y2714" s="84" t="str">
        <f>IF(AND(OR(N2714="131",O2714="131"),H2714='131-CT'!$H$9),"x","")</f>
        <v/>
      </c>
      <c r="Z2714" s="84"/>
      <c r="AA2714" s="84" t="str">
        <f>IF(AND(MONTH(E2714)='IN-NX'!$J$5,'IN-NX'!$D$7=D2714),"x","")</f>
        <v/>
      </c>
      <c r="AB2714" s="84" t="str">
        <f>IF(AND(OR(LEFT(TH!N2714,2)="15",LEFT(TH!O2714,2)="15"),LEFT(TH!O2714,3)&lt;&gt;"111",'152-CT'!$J$8=TH!F2714),"x","")</f>
        <v/>
      </c>
      <c r="AC2714" s="84" t="str">
        <f>IF(AND(OR(LEFT(TH!N2714,2)="15",LEFT(TH!O2714,2)="15"),TK!$E$7=TH!F2714),"x","")</f>
        <v/>
      </c>
      <c r="AD2714" s="84" t="str">
        <f>IF(AND(N2714="1521",MONTH(C2714)='BK-NL'!$M$11),"x","")</f>
        <v/>
      </c>
    </row>
    <row r="2715" spans="1:30" s="351" customFormat="1" ht="15.75" hidden="1" customHeight="1">
      <c r="A2715" s="336" t="str">
        <f>IF(B2715&lt;&gt;"",IF(AND(B2715='IN-TC'!$S$4,OR(TH!N2715="1111",TH!O2715="1111")),TH!D2715,""),"")</f>
        <v/>
      </c>
      <c r="B2715" s="63" t="str">
        <f t="shared" si="298"/>
        <v/>
      </c>
      <c r="C2715" s="64"/>
      <c r="D2715" s="64"/>
      <c r="E2715" s="64"/>
      <c r="F2715" s="67"/>
      <c r="G2715" s="67"/>
      <c r="H2715" s="73"/>
      <c r="I2715" s="439"/>
      <c r="J2715" s="439"/>
      <c r="K2715" s="430"/>
      <c r="L2715" s="439"/>
      <c r="M2715" s="65"/>
      <c r="N2715" s="66"/>
      <c r="O2715" s="66"/>
      <c r="P2715" s="84" t="str">
        <f>IF(AND('331-CT'!$E$7=TH!H2715,OR(N2715="331",O2715="331")),"x","")</f>
        <v/>
      </c>
      <c r="Q2715" s="84" t="str">
        <f>IF(AND(B2715='111'!$L$11,OR($N2715=$Q$7,$O2715=$Q$7)),"x","")</f>
        <v/>
      </c>
      <c r="R2715" s="84" t="str">
        <f>IF(AND($N2715=$Q$7,$B2715&lt;'111'!$L$11),"x","")</f>
        <v/>
      </c>
      <c r="S2715" s="84" t="str">
        <f>IF(AND($O2715=$Q$7,$B2715&lt;'111'!$L$11),"x","")</f>
        <v/>
      </c>
      <c r="T2715" s="84" t="str">
        <f>IF(ISERROR(FIND('112'!$M$9,G2715,1)),"",IF((AND(FIND('112'!$M$9,G2715,1)&gt;=1,B2715='112'!$K$9,OR($N2715='112'!$I$6,$O2715='112'!$I$6))),"x",""))</f>
        <v/>
      </c>
      <c r="U2715" s="84" t="str">
        <f>IF(ISERROR(FIND('112'!$M$9,G2715,1)),"",IF((AND(LEFT(G2715,2)=LEFT('112'!$M$9,2),B2715&lt;'112'!$K$9,$N2715='112'!$I$6)),"x",""))</f>
        <v/>
      </c>
      <c r="V2715" s="84" t="str">
        <f>IF(ISERROR(FIND('112'!$M$9,G2715,1)),"",IF((AND(RIGHT(G2715,2)=RIGHT('112'!$M$9,2),B2715&lt;'112'!$K$9,$O2715='112'!$I$6)),"x",""))</f>
        <v/>
      </c>
      <c r="W2715" s="84" t="str">
        <f>IF(AND('341-CT'!$H$9=H2715,OR(LEFT(N2715,3)=$W$7,LEFT(O2715,3)=$W$7)),"x","")</f>
        <v/>
      </c>
      <c r="X2715" s="84" t="str">
        <f>IF(OR(TH!N2715=TH!$X$7,O2715=TH!$X$7),"x","")</f>
        <v/>
      </c>
      <c r="Y2715" s="84" t="str">
        <f>IF(AND(OR(N2715="131",O2715="131"),H2715='131-CT'!$H$9),"x","")</f>
        <v/>
      </c>
      <c r="Z2715" s="84"/>
      <c r="AA2715" s="84" t="str">
        <f>IF(AND(MONTH(E2715)='IN-NX'!$J$5,'IN-NX'!$D$7=D2715),"x","")</f>
        <v/>
      </c>
      <c r="AB2715" s="84" t="str">
        <f>IF(AND(OR(LEFT(TH!N2715,2)="15",LEFT(TH!O2715,2)="15"),LEFT(TH!O2715,3)&lt;&gt;"111",'152-CT'!$J$8=TH!F2715),"x","")</f>
        <v/>
      </c>
      <c r="AC2715" s="84" t="str">
        <f>IF(AND(OR(LEFT(TH!N2715,2)="15",LEFT(TH!O2715,2)="15"),TK!$E$7=TH!F2715),"x","")</f>
        <v/>
      </c>
      <c r="AD2715" s="84" t="str">
        <f>IF(AND(N2715="1521",MONTH(C2715)='BK-NL'!$M$11),"x","")</f>
        <v/>
      </c>
    </row>
    <row r="2716" spans="1:30" s="351" customFormat="1" ht="15.75" hidden="1" customHeight="1">
      <c r="A2716" s="336" t="str">
        <f>IF(B2716&lt;&gt;"",IF(AND(B2716='IN-TC'!$S$4,OR(TH!N2716="1111",TH!O2716="1111")),TH!D2716,""),"")</f>
        <v/>
      </c>
      <c r="B2716" s="63" t="str">
        <f t="shared" si="298"/>
        <v/>
      </c>
      <c r="C2716" s="64"/>
      <c r="D2716" s="64"/>
      <c r="E2716" s="64"/>
      <c r="F2716" s="67"/>
      <c r="G2716" s="67"/>
      <c r="H2716" s="73"/>
      <c r="I2716" s="439"/>
      <c r="J2716" s="439"/>
      <c r="K2716" s="430"/>
      <c r="L2716" s="439"/>
      <c r="M2716" s="65"/>
      <c r="N2716" s="66"/>
      <c r="O2716" s="66"/>
      <c r="P2716" s="84" t="str">
        <f>IF(AND('331-CT'!$E$7=TH!H2716,OR(N2716="331",O2716="331")),"x","")</f>
        <v/>
      </c>
      <c r="Q2716" s="84" t="str">
        <f>IF(AND(B2716='111'!$L$11,OR($N2716=$Q$7,$O2716=$Q$7)),"x","")</f>
        <v/>
      </c>
      <c r="R2716" s="84" t="str">
        <f>IF(AND($N2716=$Q$7,$B2716&lt;'111'!$L$11),"x","")</f>
        <v/>
      </c>
      <c r="S2716" s="84" t="str">
        <f>IF(AND($O2716=$Q$7,$B2716&lt;'111'!$L$11),"x","")</f>
        <v/>
      </c>
      <c r="T2716" s="84" t="str">
        <f>IF(ISERROR(FIND('112'!$M$9,G2716,1)),"",IF((AND(FIND('112'!$M$9,G2716,1)&gt;=1,B2716='112'!$K$9,OR($N2716='112'!$I$6,$O2716='112'!$I$6))),"x",""))</f>
        <v/>
      </c>
      <c r="U2716" s="84" t="str">
        <f>IF(ISERROR(FIND('112'!$M$9,G2716,1)),"",IF((AND(LEFT(G2716,2)=LEFT('112'!$M$9,2),B2716&lt;'112'!$K$9,$N2716='112'!$I$6)),"x",""))</f>
        <v/>
      </c>
      <c r="V2716" s="84" t="str">
        <f>IF(ISERROR(FIND('112'!$M$9,G2716,1)),"",IF((AND(RIGHT(G2716,2)=RIGHT('112'!$M$9,2),B2716&lt;'112'!$K$9,$O2716='112'!$I$6)),"x",""))</f>
        <v/>
      </c>
      <c r="W2716" s="84" t="str">
        <f>IF(AND('341-CT'!$H$9=H2716,OR(LEFT(N2716,3)=$W$7,LEFT(O2716,3)=$W$7)),"x","")</f>
        <v/>
      </c>
      <c r="X2716" s="84" t="str">
        <f>IF(OR(TH!N2716=TH!$X$7,O2716=TH!$X$7),"x","")</f>
        <v/>
      </c>
      <c r="Y2716" s="84" t="str">
        <f>IF(AND(OR(N2716="131",O2716="131"),H2716='131-CT'!$H$9),"x","")</f>
        <v/>
      </c>
      <c r="Z2716" s="84"/>
      <c r="AA2716" s="84" t="str">
        <f>IF(AND(MONTH(E2716)='IN-NX'!$J$5,'IN-NX'!$D$7=D2716),"x","")</f>
        <v/>
      </c>
      <c r="AB2716" s="84" t="str">
        <f>IF(AND(OR(LEFT(TH!N2716,2)="15",LEFT(TH!O2716,2)="15"),LEFT(TH!O2716,3)&lt;&gt;"111",'152-CT'!$J$8=TH!F2716),"x","")</f>
        <v/>
      </c>
      <c r="AC2716" s="84" t="str">
        <f>IF(AND(OR(LEFT(TH!N2716,2)="15",LEFT(TH!O2716,2)="15"),TK!$E$7=TH!F2716),"x","")</f>
        <v/>
      </c>
      <c r="AD2716" s="84" t="str">
        <f>IF(AND(N2716="1521",MONTH(C2716)='BK-NL'!$M$11),"x","")</f>
        <v/>
      </c>
    </row>
    <row r="2717" spans="1:30" s="351" customFormat="1" ht="15.75" hidden="1" customHeight="1">
      <c r="A2717" s="336" t="str">
        <f>IF(B2717&lt;&gt;"",IF(AND(B2717='IN-TC'!$S$4,OR(TH!N2717="1111",TH!O2717="1111")),TH!D2717,""),"")</f>
        <v/>
      </c>
      <c r="B2717" s="63" t="str">
        <f t="shared" si="298"/>
        <v/>
      </c>
      <c r="C2717" s="64"/>
      <c r="D2717" s="64"/>
      <c r="E2717" s="64"/>
      <c r="F2717" s="67"/>
      <c r="G2717" s="67"/>
      <c r="H2717" s="73"/>
      <c r="I2717" s="439"/>
      <c r="J2717" s="439"/>
      <c r="K2717" s="430"/>
      <c r="L2717" s="439"/>
      <c r="M2717" s="65"/>
      <c r="N2717" s="66"/>
      <c r="O2717" s="66"/>
      <c r="P2717" s="84" t="str">
        <f>IF(AND('331-CT'!$E$7=TH!H2717,OR(N2717="331",O2717="331")),"x","")</f>
        <v/>
      </c>
      <c r="Q2717" s="84" t="str">
        <f>IF(AND(B2717='111'!$L$11,OR($N2717=$Q$7,$O2717=$Q$7)),"x","")</f>
        <v/>
      </c>
      <c r="R2717" s="84" t="str">
        <f>IF(AND($N2717=$Q$7,$B2717&lt;'111'!$L$11),"x","")</f>
        <v/>
      </c>
      <c r="S2717" s="84" t="str">
        <f>IF(AND($O2717=$Q$7,$B2717&lt;'111'!$L$11),"x","")</f>
        <v/>
      </c>
      <c r="T2717" s="84" t="str">
        <f>IF(ISERROR(FIND('112'!$M$9,G2717,1)),"",IF((AND(FIND('112'!$M$9,G2717,1)&gt;=1,B2717='112'!$K$9,OR($N2717='112'!$I$6,$O2717='112'!$I$6))),"x",""))</f>
        <v/>
      </c>
      <c r="U2717" s="84" t="str">
        <f>IF(ISERROR(FIND('112'!$M$9,G2717,1)),"",IF((AND(LEFT(G2717,2)=LEFT('112'!$M$9,2),B2717&lt;'112'!$K$9,$N2717='112'!$I$6)),"x",""))</f>
        <v/>
      </c>
      <c r="V2717" s="84" t="str">
        <f>IF(ISERROR(FIND('112'!$M$9,G2717,1)),"",IF((AND(RIGHT(G2717,2)=RIGHT('112'!$M$9,2),B2717&lt;'112'!$K$9,$O2717='112'!$I$6)),"x",""))</f>
        <v/>
      </c>
      <c r="W2717" s="84" t="str">
        <f>IF(AND('341-CT'!$H$9=H2717,OR(LEFT(N2717,3)=$W$7,LEFT(O2717,3)=$W$7)),"x","")</f>
        <v/>
      </c>
      <c r="X2717" s="84" t="str">
        <f>IF(OR(TH!N2717=TH!$X$7,O2717=TH!$X$7),"x","")</f>
        <v/>
      </c>
      <c r="Y2717" s="84" t="str">
        <f>IF(AND(OR(N2717="131",O2717="131"),H2717='131-CT'!$H$9),"x","")</f>
        <v/>
      </c>
      <c r="Z2717" s="84"/>
      <c r="AA2717" s="84" t="str">
        <f>IF(AND(MONTH(E2717)='IN-NX'!$J$5,'IN-NX'!$D$7=D2717),"x","")</f>
        <v/>
      </c>
      <c r="AB2717" s="84" t="str">
        <f>IF(AND(OR(LEFT(TH!N2717,2)="15",LEFT(TH!O2717,2)="15"),LEFT(TH!O2717,3)&lt;&gt;"111",'152-CT'!$J$8=TH!F2717),"x","")</f>
        <v/>
      </c>
      <c r="AC2717" s="84" t="str">
        <f>IF(AND(OR(LEFT(TH!N2717,2)="15",LEFT(TH!O2717,2)="15"),TK!$E$7=TH!F2717),"x","")</f>
        <v/>
      </c>
      <c r="AD2717" s="84" t="str">
        <f>IF(AND(N2717="1521",MONTH(C2717)='BK-NL'!$M$11),"x","")</f>
        <v/>
      </c>
    </row>
    <row r="2718" spans="1:30" s="351" customFormat="1" ht="15.75" hidden="1" customHeight="1">
      <c r="A2718" s="336" t="str">
        <f>IF(B2718&lt;&gt;"",IF(AND(B2718='IN-TC'!$S$4,OR(TH!N2718="1111",TH!O2718="1111")),TH!D2718,""),"")</f>
        <v/>
      </c>
      <c r="B2718" s="63" t="str">
        <f t="shared" si="298"/>
        <v/>
      </c>
      <c r="C2718" s="64"/>
      <c r="D2718" s="64"/>
      <c r="E2718" s="64"/>
      <c r="F2718" s="67"/>
      <c r="G2718" s="67"/>
      <c r="H2718" s="73"/>
      <c r="I2718" s="439"/>
      <c r="J2718" s="439"/>
      <c r="K2718" s="430"/>
      <c r="L2718" s="439"/>
      <c r="M2718" s="65"/>
      <c r="N2718" s="66"/>
      <c r="O2718" s="66"/>
      <c r="P2718" s="84" t="str">
        <f>IF(AND('331-CT'!$E$7=TH!H2718,OR(N2718="331",O2718="331")),"x","")</f>
        <v/>
      </c>
      <c r="Q2718" s="84" t="str">
        <f>IF(AND(B2718='111'!$L$11,OR($N2718=$Q$7,$O2718=$Q$7)),"x","")</f>
        <v/>
      </c>
      <c r="R2718" s="84" t="str">
        <f>IF(AND($N2718=$Q$7,$B2718&lt;'111'!$L$11),"x","")</f>
        <v/>
      </c>
      <c r="S2718" s="84" t="str">
        <f>IF(AND($O2718=$Q$7,$B2718&lt;'111'!$L$11),"x","")</f>
        <v/>
      </c>
      <c r="T2718" s="84" t="str">
        <f>IF(ISERROR(FIND('112'!$M$9,G2718,1)),"",IF((AND(FIND('112'!$M$9,G2718,1)&gt;=1,B2718='112'!$K$9,OR($N2718='112'!$I$6,$O2718='112'!$I$6))),"x",""))</f>
        <v/>
      </c>
      <c r="U2718" s="84" t="str">
        <f>IF(ISERROR(FIND('112'!$M$9,G2718,1)),"",IF((AND(LEFT(G2718,2)=LEFT('112'!$M$9,2),B2718&lt;'112'!$K$9,$N2718='112'!$I$6)),"x",""))</f>
        <v/>
      </c>
      <c r="V2718" s="84" t="str">
        <f>IF(ISERROR(FIND('112'!$M$9,G2718,1)),"",IF((AND(RIGHT(G2718,2)=RIGHT('112'!$M$9,2),B2718&lt;'112'!$K$9,$O2718='112'!$I$6)),"x",""))</f>
        <v/>
      </c>
      <c r="W2718" s="84" t="str">
        <f>IF(AND('341-CT'!$H$9=H2718,OR(LEFT(N2718,3)=$W$7,LEFT(O2718,3)=$W$7)),"x","")</f>
        <v/>
      </c>
      <c r="X2718" s="84" t="str">
        <f>IF(OR(TH!N2718=TH!$X$7,O2718=TH!$X$7),"x","")</f>
        <v/>
      </c>
      <c r="Y2718" s="84" t="str">
        <f>IF(AND(OR(N2718="131",O2718="131"),H2718='131-CT'!$H$9),"x","")</f>
        <v/>
      </c>
      <c r="Z2718" s="84"/>
      <c r="AA2718" s="84" t="str">
        <f>IF(AND(MONTH(E2718)='IN-NX'!$J$5,'IN-NX'!$D$7=D2718),"x","")</f>
        <v/>
      </c>
      <c r="AB2718" s="84" t="str">
        <f>IF(AND(OR(LEFT(TH!N2718,2)="15",LEFT(TH!O2718,2)="15"),LEFT(TH!O2718,3)&lt;&gt;"111",'152-CT'!$J$8=TH!F2718),"x","")</f>
        <v/>
      </c>
      <c r="AC2718" s="84" t="str">
        <f>IF(AND(OR(LEFT(TH!N2718,2)="15",LEFT(TH!O2718,2)="15"),TK!$E$7=TH!F2718),"x","")</f>
        <v/>
      </c>
      <c r="AD2718" s="84" t="str">
        <f>IF(AND(N2718="1521",MONTH(C2718)='BK-NL'!$M$11),"x","")</f>
        <v/>
      </c>
    </row>
    <row r="2719" spans="1:30" s="351" customFormat="1" ht="15.75" hidden="1" customHeight="1">
      <c r="A2719" s="336" t="str">
        <f>IF(B2719&lt;&gt;"",IF(AND(B2719='IN-TC'!$S$4,OR(TH!N2719="1111",TH!O2719="1111")),TH!D2719,""),"")</f>
        <v/>
      </c>
      <c r="B2719" s="63" t="str">
        <f t="shared" si="298"/>
        <v/>
      </c>
      <c r="C2719" s="64"/>
      <c r="D2719" s="64"/>
      <c r="E2719" s="64"/>
      <c r="F2719" s="67"/>
      <c r="G2719" s="67"/>
      <c r="H2719" s="73"/>
      <c r="I2719" s="439"/>
      <c r="J2719" s="439"/>
      <c r="K2719" s="430"/>
      <c r="L2719" s="439"/>
      <c r="M2719" s="65"/>
      <c r="N2719" s="66"/>
      <c r="O2719" s="66"/>
      <c r="P2719" s="84" t="str">
        <f>IF(AND('331-CT'!$E$7=TH!H2719,OR(N2719="331",O2719="331")),"x","")</f>
        <v/>
      </c>
      <c r="Q2719" s="84" t="str">
        <f>IF(AND(B2719='111'!$L$11,OR($N2719=$Q$7,$O2719=$Q$7)),"x","")</f>
        <v/>
      </c>
      <c r="R2719" s="84" t="str">
        <f>IF(AND($N2719=$Q$7,$B2719&lt;'111'!$L$11),"x","")</f>
        <v/>
      </c>
      <c r="S2719" s="84" t="str">
        <f>IF(AND($O2719=$Q$7,$B2719&lt;'111'!$L$11),"x","")</f>
        <v/>
      </c>
      <c r="T2719" s="84" t="str">
        <f>IF(ISERROR(FIND('112'!$M$9,G2719,1)),"",IF((AND(FIND('112'!$M$9,G2719,1)&gt;=1,B2719='112'!$K$9,OR($N2719='112'!$I$6,$O2719='112'!$I$6))),"x",""))</f>
        <v/>
      </c>
      <c r="U2719" s="84" t="str">
        <f>IF(ISERROR(FIND('112'!$M$9,G2719,1)),"",IF((AND(LEFT(G2719,2)=LEFT('112'!$M$9,2),B2719&lt;'112'!$K$9,$N2719='112'!$I$6)),"x",""))</f>
        <v/>
      </c>
      <c r="V2719" s="84" t="str">
        <f>IF(ISERROR(FIND('112'!$M$9,G2719,1)),"",IF((AND(RIGHT(G2719,2)=RIGHT('112'!$M$9,2),B2719&lt;'112'!$K$9,$O2719='112'!$I$6)),"x",""))</f>
        <v/>
      </c>
      <c r="W2719" s="84" t="str">
        <f>IF(AND('341-CT'!$H$9=H2719,OR(LEFT(N2719,3)=$W$7,LEFT(O2719,3)=$W$7)),"x","")</f>
        <v/>
      </c>
      <c r="X2719" s="84" t="str">
        <f>IF(OR(TH!N2719=TH!$X$7,O2719=TH!$X$7),"x","")</f>
        <v/>
      </c>
      <c r="Y2719" s="84" t="str">
        <f>IF(AND(OR(N2719="131",O2719="131"),H2719='131-CT'!$H$9),"x","")</f>
        <v/>
      </c>
      <c r="Z2719" s="84"/>
      <c r="AA2719" s="84" t="str">
        <f>IF(AND(MONTH(E2719)='IN-NX'!$J$5,'IN-NX'!$D$7=D2719),"x","")</f>
        <v/>
      </c>
      <c r="AB2719" s="84" t="str">
        <f>IF(AND(OR(LEFT(TH!N2719,2)="15",LEFT(TH!O2719,2)="15"),LEFT(TH!O2719,3)&lt;&gt;"111",'152-CT'!$J$8=TH!F2719),"x","")</f>
        <v/>
      </c>
      <c r="AC2719" s="84" t="str">
        <f>IF(AND(OR(LEFT(TH!N2719,2)="15",LEFT(TH!O2719,2)="15"),TK!$E$7=TH!F2719),"x","")</f>
        <v/>
      </c>
      <c r="AD2719" s="84" t="str">
        <f>IF(AND(N2719="1521",MONTH(C2719)='BK-NL'!$M$11),"x","")</f>
        <v/>
      </c>
    </row>
    <row r="2720" spans="1:30" s="351" customFormat="1" ht="15.75" hidden="1" customHeight="1">
      <c r="A2720" s="336" t="str">
        <f>IF(B2720&lt;&gt;"",IF(AND(B2720='IN-TC'!$S$4,OR(TH!N2720="1111",TH!O2720="1111")),TH!D2720,""),"")</f>
        <v/>
      </c>
      <c r="B2720" s="63" t="str">
        <f t="shared" si="298"/>
        <v/>
      </c>
      <c r="C2720" s="64"/>
      <c r="D2720" s="64"/>
      <c r="E2720" s="64"/>
      <c r="F2720" s="67"/>
      <c r="G2720" s="67"/>
      <c r="H2720" s="73"/>
      <c r="I2720" s="439"/>
      <c r="J2720" s="439"/>
      <c r="K2720" s="430"/>
      <c r="L2720" s="439"/>
      <c r="M2720" s="65"/>
      <c r="N2720" s="66"/>
      <c r="O2720" s="66"/>
      <c r="P2720" s="84" t="str">
        <f>IF(AND('331-CT'!$E$7=TH!H2720,OR(N2720="331",O2720="331")),"x","")</f>
        <v/>
      </c>
      <c r="Q2720" s="84" t="str">
        <f>IF(AND(B2720='111'!$L$11,OR($N2720=$Q$7,$O2720=$Q$7)),"x","")</f>
        <v/>
      </c>
      <c r="R2720" s="84" t="str">
        <f>IF(AND($N2720=$Q$7,$B2720&lt;'111'!$L$11),"x","")</f>
        <v/>
      </c>
      <c r="S2720" s="84" t="str">
        <f>IF(AND($O2720=$Q$7,$B2720&lt;'111'!$L$11),"x","")</f>
        <v/>
      </c>
      <c r="T2720" s="84" t="str">
        <f>IF(ISERROR(FIND('112'!$M$9,G2720,1)),"",IF((AND(FIND('112'!$M$9,G2720,1)&gt;=1,B2720='112'!$K$9,OR($N2720='112'!$I$6,$O2720='112'!$I$6))),"x",""))</f>
        <v/>
      </c>
      <c r="U2720" s="84" t="str">
        <f>IF(ISERROR(FIND('112'!$M$9,G2720,1)),"",IF((AND(LEFT(G2720,2)=LEFT('112'!$M$9,2),B2720&lt;'112'!$K$9,$N2720='112'!$I$6)),"x",""))</f>
        <v/>
      </c>
      <c r="V2720" s="84" t="str">
        <f>IF(ISERROR(FIND('112'!$M$9,G2720,1)),"",IF((AND(RIGHT(G2720,2)=RIGHT('112'!$M$9,2),B2720&lt;'112'!$K$9,$O2720='112'!$I$6)),"x",""))</f>
        <v/>
      </c>
      <c r="W2720" s="84" t="str">
        <f>IF(AND('341-CT'!$H$9=H2720,OR(LEFT(N2720,3)=$W$7,LEFT(O2720,3)=$W$7)),"x","")</f>
        <v/>
      </c>
      <c r="X2720" s="84" t="str">
        <f>IF(OR(TH!N2720=TH!$X$7,O2720=TH!$X$7),"x","")</f>
        <v/>
      </c>
      <c r="Y2720" s="84" t="str">
        <f>IF(AND(OR(N2720="131",O2720="131"),H2720='131-CT'!$H$9),"x","")</f>
        <v/>
      </c>
      <c r="Z2720" s="84"/>
      <c r="AA2720" s="84" t="str">
        <f>IF(AND(MONTH(E2720)='IN-NX'!$J$5,'IN-NX'!$D$7=D2720),"x","")</f>
        <v/>
      </c>
      <c r="AB2720" s="84" t="str">
        <f>IF(AND(OR(LEFT(TH!N2720,2)="15",LEFT(TH!O2720,2)="15"),LEFT(TH!O2720,3)&lt;&gt;"111",'152-CT'!$J$8=TH!F2720),"x","")</f>
        <v/>
      </c>
      <c r="AC2720" s="84" t="str">
        <f>IF(AND(OR(LEFT(TH!N2720,2)="15",LEFT(TH!O2720,2)="15"),TK!$E$7=TH!F2720),"x","")</f>
        <v/>
      </c>
      <c r="AD2720" s="84" t="str">
        <f>IF(AND(N2720="1521",MONTH(C2720)='BK-NL'!$M$11),"x","")</f>
        <v/>
      </c>
    </row>
    <row r="2721" spans="1:30" s="351" customFormat="1" ht="15.75" hidden="1" customHeight="1">
      <c r="A2721" s="336" t="str">
        <f>IF(B2721&lt;&gt;"",IF(AND(B2721='IN-TC'!$S$4,OR(TH!N2721="1111",TH!O2721="1111")),TH!D2721,""),"")</f>
        <v/>
      </c>
      <c r="B2721" s="63" t="str">
        <f t="shared" si="298"/>
        <v/>
      </c>
      <c r="C2721" s="64"/>
      <c r="D2721" s="64"/>
      <c r="E2721" s="64"/>
      <c r="F2721" s="67"/>
      <c r="G2721" s="67"/>
      <c r="H2721" s="73"/>
      <c r="I2721" s="439"/>
      <c r="J2721" s="439"/>
      <c r="K2721" s="430"/>
      <c r="L2721" s="439"/>
      <c r="M2721" s="65"/>
      <c r="N2721" s="66"/>
      <c r="O2721" s="66"/>
      <c r="P2721" s="84" t="str">
        <f>IF(AND('331-CT'!$E$7=TH!H2721,OR(N2721="331",O2721="331")),"x","")</f>
        <v/>
      </c>
      <c r="Q2721" s="84" t="str">
        <f>IF(AND(B2721='111'!$L$11,OR($N2721=$Q$7,$O2721=$Q$7)),"x","")</f>
        <v/>
      </c>
      <c r="R2721" s="84" t="str">
        <f>IF(AND($N2721=$Q$7,$B2721&lt;'111'!$L$11),"x","")</f>
        <v/>
      </c>
      <c r="S2721" s="84" t="str">
        <f>IF(AND($O2721=$Q$7,$B2721&lt;'111'!$L$11),"x","")</f>
        <v/>
      </c>
      <c r="T2721" s="84" t="str">
        <f>IF(ISERROR(FIND('112'!$M$9,G2721,1)),"",IF((AND(FIND('112'!$M$9,G2721,1)&gt;=1,B2721='112'!$K$9,OR($N2721='112'!$I$6,$O2721='112'!$I$6))),"x",""))</f>
        <v/>
      </c>
      <c r="U2721" s="84" t="str">
        <f>IF(ISERROR(FIND('112'!$M$9,G2721,1)),"",IF((AND(LEFT(G2721,2)=LEFT('112'!$M$9,2),B2721&lt;'112'!$K$9,$N2721='112'!$I$6)),"x",""))</f>
        <v/>
      </c>
      <c r="V2721" s="84" t="str">
        <f>IF(ISERROR(FIND('112'!$M$9,G2721,1)),"",IF((AND(RIGHT(G2721,2)=RIGHT('112'!$M$9,2),B2721&lt;'112'!$K$9,$O2721='112'!$I$6)),"x",""))</f>
        <v/>
      </c>
      <c r="W2721" s="84" t="str">
        <f>IF(AND('341-CT'!$H$9=H2721,OR(LEFT(N2721,3)=$W$7,LEFT(O2721,3)=$W$7)),"x","")</f>
        <v/>
      </c>
      <c r="X2721" s="84" t="str">
        <f>IF(OR(TH!N2721=TH!$X$7,O2721=TH!$X$7),"x","")</f>
        <v/>
      </c>
      <c r="Y2721" s="84" t="str">
        <f>IF(AND(OR(N2721="131",O2721="131"),H2721='131-CT'!$H$9),"x","")</f>
        <v/>
      </c>
      <c r="Z2721" s="84"/>
      <c r="AA2721" s="84" t="str">
        <f>IF(AND(MONTH(E2721)='IN-NX'!$J$5,'IN-NX'!$D$7=D2721),"x","")</f>
        <v/>
      </c>
      <c r="AB2721" s="84" t="str">
        <f>IF(AND(OR(LEFT(TH!N2721,2)="15",LEFT(TH!O2721,2)="15"),LEFT(TH!O2721,3)&lt;&gt;"111",'152-CT'!$J$8=TH!F2721),"x","")</f>
        <v/>
      </c>
      <c r="AC2721" s="84" t="str">
        <f>IF(AND(OR(LEFT(TH!N2721,2)="15",LEFT(TH!O2721,2)="15"),TK!$E$7=TH!F2721),"x","")</f>
        <v/>
      </c>
      <c r="AD2721" s="84" t="str">
        <f>IF(AND(N2721="1521",MONTH(C2721)='BK-NL'!$M$11),"x","")</f>
        <v/>
      </c>
    </row>
    <row r="2722" spans="1:30" s="351" customFormat="1" ht="15.75" hidden="1" customHeight="1">
      <c r="A2722" s="336" t="str">
        <f>IF(B2722&lt;&gt;"",IF(AND(B2722='IN-TC'!$S$4,OR(TH!N2722="1111",TH!O2722="1111")),TH!D2722,""),"")</f>
        <v/>
      </c>
      <c r="B2722" s="63" t="str">
        <f t="shared" si="298"/>
        <v/>
      </c>
      <c r="C2722" s="64"/>
      <c r="D2722" s="64"/>
      <c r="E2722" s="64"/>
      <c r="F2722" s="67"/>
      <c r="G2722" s="67"/>
      <c r="H2722" s="73"/>
      <c r="I2722" s="439"/>
      <c r="J2722" s="439"/>
      <c r="K2722" s="430"/>
      <c r="L2722" s="439"/>
      <c r="M2722" s="65"/>
      <c r="N2722" s="66"/>
      <c r="O2722" s="66"/>
      <c r="P2722" s="84" t="str">
        <f>IF(AND('331-CT'!$E$7=TH!H2722,OR(N2722="331",O2722="331")),"x","")</f>
        <v/>
      </c>
      <c r="Q2722" s="84" t="str">
        <f>IF(AND(B2722='111'!$L$11,OR($N2722=$Q$7,$O2722=$Q$7)),"x","")</f>
        <v/>
      </c>
      <c r="R2722" s="84" t="str">
        <f>IF(AND($N2722=$Q$7,$B2722&lt;'111'!$L$11),"x","")</f>
        <v/>
      </c>
      <c r="S2722" s="84" t="str">
        <f>IF(AND($O2722=$Q$7,$B2722&lt;'111'!$L$11),"x","")</f>
        <v/>
      </c>
      <c r="T2722" s="84" t="str">
        <f>IF(ISERROR(FIND('112'!$M$9,G2722,1)),"",IF((AND(FIND('112'!$M$9,G2722,1)&gt;=1,B2722='112'!$K$9,OR($N2722='112'!$I$6,$O2722='112'!$I$6))),"x",""))</f>
        <v/>
      </c>
      <c r="U2722" s="84" t="str">
        <f>IF(ISERROR(FIND('112'!$M$9,G2722,1)),"",IF((AND(LEFT(G2722,2)=LEFT('112'!$M$9,2),B2722&lt;'112'!$K$9,$N2722='112'!$I$6)),"x",""))</f>
        <v/>
      </c>
      <c r="V2722" s="84" t="str">
        <f>IF(ISERROR(FIND('112'!$M$9,G2722,1)),"",IF((AND(RIGHT(G2722,2)=RIGHT('112'!$M$9,2),B2722&lt;'112'!$K$9,$O2722='112'!$I$6)),"x",""))</f>
        <v/>
      </c>
      <c r="W2722" s="84" t="str">
        <f>IF(AND('341-CT'!$H$9=H2722,OR(LEFT(N2722,3)=$W$7,LEFT(O2722,3)=$W$7)),"x","")</f>
        <v/>
      </c>
      <c r="X2722" s="84" t="str">
        <f>IF(OR(TH!N2722=TH!$X$7,O2722=TH!$X$7),"x","")</f>
        <v/>
      </c>
      <c r="Y2722" s="84" t="str">
        <f>IF(AND(OR(N2722="131",O2722="131"),H2722='131-CT'!$H$9),"x","")</f>
        <v/>
      </c>
      <c r="Z2722" s="84"/>
      <c r="AA2722" s="84" t="str">
        <f>IF(AND(MONTH(E2722)='IN-NX'!$J$5,'IN-NX'!$D$7=D2722),"x","")</f>
        <v/>
      </c>
      <c r="AB2722" s="84" t="str">
        <f>IF(AND(OR(LEFT(TH!N2722,2)="15",LEFT(TH!O2722,2)="15"),LEFT(TH!O2722,3)&lt;&gt;"111",'152-CT'!$J$8=TH!F2722),"x","")</f>
        <v/>
      </c>
      <c r="AC2722" s="84" t="str">
        <f>IF(AND(OR(LEFT(TH!N2722,2)="15",LEFT(TH!O2722,2)="15"),TK!$E$7=TH!F2722),"x","")</f>
        <v/>
      </c>
      <c r="AD2722" s="84" t="str">
        <f>IF(AND(N2722="1521",MONTH(C2722)='BK-NL'!$M$11),"x","")</f>
        <v/>
      </c>
    </row>
    <row r="2723" spans="1:30" s="351" customFormat="1" ht="15.75" hidden="1" customHeight="1">
      <c r="A2723" s="336" t="str">
        <f>IF(B2723&lt;&gt;"",IF(AND(B2723='IN-TC'!$S$4,OR(TH!N2723="1111",TH!O2723="1111")),TH!D2723,""),"")</f>
        <v/>
      </c>
      <c r="B2723" s="63" t="str">
        <f t="shared" si="298"/>
        <v/>
      </c>
      <c r="C2723" s="64"/>
      <c r="D2723" s="64"/>
      <c r="E2723" s="64"/>
      <c r="F2723" s="67"/>
      <c r="G2723" s="67"/>
      <c r="H2723" s="73"/>
      <c r="I2723" s="439"/>
      <c r="J2723" s="439"/>
      <c r="K2723" s="430"/>
      <c r="L2723" s="439"/>
      <c r="M2723" s="65"/>
      <c r="N2723" s="66"/>
      <c r="O2723" s="66"/>
      <c r="P2723" s="84" t="str">
        <f>IF(AND('331-CT'!$E$7=TH!H2723,OR(N2723="331",O2723="331")),"x","")</f>
        <v/>
      </c>
      <c r="Q2723" s="84" t="str">
        <f>IF(AND(B2723='111'!$L$11,OR($N2723=$Q$7,$O2723=$Q$7)),"x","")</f>
        <v/>
      </c>
      <c r="R2723" s="84" t="str">
        <f>IF(AND($N2723=$Q$7,$B2723&lt;'111'!$L$11),"x","")</f>
        <v/>
      </c>
      <c r="S2723" s="84" t="str">
        <f>IF(AND($O2723=$Q$7,$B2723&lt;'111'!$L$11),"x","")</f>
        <v/>
      </c>
      <c r="T2723" s="84" t="str">
        <f>IF(ISERROR(FIND('112'!$M$9,G2723,1)),"",IF((AND(FIND('112'!$M$9,G2723,1)&gt;=1,B2723='112'!$K$9,OR($N2723='112'!$I$6,$O2723='112'!$I$6))),"x",""))</f>
        <v/>
      </c>
      <c r="U2723" s="84" t="str">
        <f>IF(ISERROR(FIND('112'!$M$9,G2723,1)),"",IF((AND(LEFT(G2723,2)=LEFT('112'!$M$9,2),B2723&lt;'112'!$K$9,$N2723='112'!$I$6)),"x",""))</f>
        <v/>
      </c>
      <c r="V2723" s="84" t="str">
        <f>IF(ISERROR(FIND('112'!$M$9,G2723,1)),"",IF((AND(RIGHT(G2723,2)=RIGHT('112'!$M$9,2),B2723&lt;'112'!$K$9,$O2723='112'!$I$6)),"x",""))</f>
        <v/>
      </c>
      <c r="W2723" s="84" t="str">
        <f>IF(AND('341-CT'!$H$9=H2723,OR(LEFT(N2723,3)=$W$7,LEFT(O2723,3)=$W$7)),"x","")</f>
        <v/>
      </c>
      <c r="X2723" s="84" t="str">
        <f>IF(OR(TH!N2723=TH!$X$7,O2723=TH!$X$7),"x","")</f>
        <v/>
      </c>
      <c r="Y2723" s="84" t="str">
        <f>IF(AND(OR(N2723="131",O2723="131"),H2723='131-CT'!$H$9),"x","")</f>
        <v/>
      </c>
      <c r="Z2723" s="84"/>
      <c r="AA2723" s="84" t="str">
        <f>IF(AND(MONTH(E2723)='IN-NX'!$J$5,'IN-NX'!$D$7=D2723),"x","")</f>
        <v/>
      </c>
      <c r="AB2723" s="84" t="str">
        <f>IF(AND(OR(LEFT(TH!N2723,2)="15",LEFT(TH!O2723,2)="15"),LEFT(TH!O2723,3)&lt;&gt;"111",'152-CT'!$J$8=TH!F2723),"x","")</f>
        <v/>
      </c>
      <c r="AC2723" s="84" t="str">
        <f>IF(AND(OR(LEFT(TH!N2723,2)="15",LEFT(TH!O2723,2)="15"),TK!$E$7=TH!F2723),"x","")</f>
        <v/>
      </c>
      <c r="AD2723" s="84" t="str">
        <f>IF(AND(N2723="1521",MONTH(C2723)='BK-NL'!$M$11),"x","")</f>
        <v/>
      </c>
    </row>
    <row r="2724" spans="1:30" s="351" customFormat="1" ht="15.75" hidden="1" customHeight="1">
      <c r="A2724" s="336" t="str">
        <f>IF(B2724&lt;&gt;"",IF(AND(B2724='IN-TC'!$S$4,OR(TH!N2724="1111",TH!O2724="1111")),TH!D2724,""),"")</f>
        <v/>
      </c>
      <c r="B2724" s="63" t="str">
        <f t="shared" si="298"/>
        <v/>
      </c>
      <c r="C2724" s="64"/>
      <c r="D2724" s="64"/>
      <c r="E2724" s="64"/>
      <c r="F2724" s="67"/>
      <c r="G2724" s="67"/>
      <c r="H2724" s="73"/>
      <c r="I2724" s="439"/>
      <c r="J2724" s="439"/>
      <c r="K2724" s="430"/>
      <c r="L2724" s="439"/>
      <c r="M2724" s="65"/>
      <c r="N2724" s="66"/>
      <c r="O2724" s="66"/>
      <c r="P2724" s="84" t="str">
        <f>IF(AND('331-CT'!$E$7=TH!H2724,OR(N2724="331",O2724="331")),"x","")</f>
        <v/>
      </c>
      <c r="Q2724" s="84" t="str">
        <f>IF(AND(B2724='111'!$L$11,OR($N2724=$Q$7,$O2724=$Q$7)),"x","")</f>
        <v/>
      </c>
      <c r="R2724" s="84" t="str">
        <f>IF(AND($N2724=$Q$7,$B2724&lt;'111'!$L$11),"x","")</f>
        <v/>
      </c>
      <c r="S2724" s="84" t="str">
        <f>IF(AND($O2724=$Q$7,$B2724&lt;'111'!$L$11),"x","")</f>
        <v/>
      </c>
      <c r="T2724" s="84" t="str">
        <f>IF(ISERROR(FIND('112'!$M$9,G2724,1)),"",IF((AND(FIND('112'!$M$9,G2724,1)&gt;=1,B2724='112'!$K$9,OR($N2724='112'!$I$6,$O2724='112'!$I$6))),"x",""))</f>
        <v/>
      </c>
      <c r="U2724" s="84" t="str">
        <f>IF(ISERROR(FIND('112'!$M$9,G2724,1)),"",IF((AND(LEFT(G2724,2)=LEFT('112'!$M$9,2),B2724&lt;'112'!$K$9,$N2724='112'!$I$6)),"x",""))</f>
        <v/>
      </c>
      <c r="V2724" s="84" t="str">
        <f>IF(ISERROR(FIND('112'!$M$9,G2724,1)),"",IF((AND(RIGHT(G2724,2)=RIGHT('112'!$M$9,2),B2724&lt;'112'!$K$9,$O2724='112'!$I$6)),"x",""))</f>
        <v/>
      </c>
      <c r="W2724" s="84" t="str">
        <f>IF(AND('341-CT'!$H$9=H2724,OR(LEFT(N2724,3)=$W$7,LEFT(O2724,3)=$W$7)),"x","")</f>
        <v/>
      </c>
      <c r="X2724" s="84" t="str">
        <f>IF(OR(TH!N2724=TH!$X$7,O2724=TH!$X$7),"x","")</f>
        <v/>
      </c>
      <c r="Y2724" s="84" t="str">
        <f>IF(AND(OR(N2724="131",O2724="131"),H2724='131-CT'!$H$9),"x","")</f>
        <v/>
      </c>
      <c r="Z2724" s="84"/>
      <c r="AA2724" s="84" t="str">
        <f>IF(AND(MONTH(E2724)='IN-NX'!$J$5,'IN-NX'!$D$7=D2724),"x","")</f>
        <v/>
      </c>
      <c r="AB2724" s="84" t="str">
        <f>IF(AND(OR(LEFT(TH!N2724,2)="15",LEFT(TH!O2724,2)="15"),LEFT(TH!O2724,3)&lt;&gt;"111",'152-CT'!$J$8=TH!F2724),"x","")</f>
        <v/>
      </c>
      <c r="AC2724" s="84" t="str">
        <f>IF(AND(OR(LEFT(TH!N2724,2)="15",LEFT(TH!O2724,2)="15"),TK!$E$7=TH!F2724),"x","")</f>
        <v/>
      </c>
      <c r="AD2724" s="84" t="str">
        <f>IF(AND(N2724="1521",MONTH(C2724)='BK-NL'!$M$11),"x","")</f>
        <v/>
      </c>
    </row>
    <row r="2725" spans="1:30" s="351" customFormat="1" ht="15.75" hidden="1" customHeight="1">
      <c r="A2725" s="336" t="str">
        <f>IF(B2725&lt;&gt;"",IF(AND(B2725='IN-TC'!$S$4,OR(TH!N2725="1111",TH!O2725="1111")),TH!D2725,""),"")</f>
        <v/>
      </c>
      <c r="B2725" s="63" t="str">
        <f t="shared" si="298"/>
        <v/>
      </c>
      <c r="C2725" s="64"/>
      <c r="D2725" s="64"/>
      <c r="E2725" s="64"/>
      <c r="F2725" s="67"/>
      <c r="G2725" s="67"/>
      <c r="H2725" s="73"/>
      <c r="I2725" s="439"/>
      <c r="J2725" s="439"/>
      <c r="K2725" s="430"/>
      <c r="L2725" s="439"/>
      <c r="M2725" s="65"/>
      <c r="N2725" s="66"/>
      <c r="O2725" s="66"/>
      <c r="P2725" s="84" t="str">
        <f>IF(AND('331-CT'!$E$7=TH!H2725,OR(N2725="331",O2725="331")),"x","")</f>
        <v/>
      </c>
      <c r="Q2725" s="84" t="str">
        <f>IF(AND(B2725='111'!$L$11,OR($N2725=$Q$7,$O2725=$Q$7)),"x","")</f>
        <v/>
      </c>
      <c r="R2725" s="84" t="str">
        <f>IF(AND($N2725=$Q$7,$B2725&lt;'111'!$L$11),"x","")</f>
        <v/>
      </c>
      <c r="S2725" s="84" t="str">
        <f>IF(AND($O2725=$Q$7,$B2725&lt;'111'!$L$11),"x","")</f>
        <v/>
      </c>
      <c r="T2725" s="84" t="str">
        <f>IF(ISERROR(FIND('112'!$M$9,G2725,1)),"",IF((AND(FIND('112'!$M$9,G2725,1)&gt;=1,B2725='112'!$K$9,OR($N2725='112'!$I$6,$O2725='112'!$I$6))),"x",""))</f>
        <v/>
      </c>
      <c r="U2725" s="84" t="str">
        <f>IF(ISERROR(FIND('112'!$M$9,G2725,1)),"",IF((AND(LEFT(G2725,2)=LEFT('112'!$M$9,2),B2725&lt;'112'!$K$9,$N2725='112'!$I$6)),"x",""))</f>
        <v/>
      </c>
      <c r="V2725" s="84" t="str">
        <f>IF(ISERROR(FIND('112'!$M$9,G2725,1)),"",IF((AND(RIGHT(G2725,2)=RIGHT('112'!$M$9,2),B2725&lt;'112'!$K$9,$O2725='112'!$I$6)),"x",""))</f>
        <v/>
      </c>
      <c r="W2725" s="84" t="str">
        <f>IF(AND('341-CT'!$H$9=H2725,OR(LEFT(N2725,3)=$W$7,LEFT(O2725,3)=$W$7)),"x","")</f>
        <v/>
      </c>
      <c r="X2725" s="84" t="str">
        <f>IF(OR(TH!N2725=TH!$X$7,O2725=TH!$X$7),"x","")</f>
        <v/>
      </c>
      <c r="Y2725" s="84" t="str">
        <f>IF(AND(OR(N2725="131",O2725="131"),H2725='131-CT'!$H$9),"x","")</f>
        <v/>
      </c>
      <c r="Z2725" s="84"/>
      <c r="AA2725" s="84" t="str">
        <f>IF(AND(MONTH(E2725)='IN-NX'!$J$5,'IN-NX'!$D$7=D2725),"x","")</f>
        <v/>
      </c>
      <c r="AB2725" s="84" t="str">
        <f>IF(AND(OR(LEFT(TH!N2725,2)="15",LEFT(TH!O2725,2)="15"),LEFT(TH!O2725,3)&lt;&gt;"111",'152-CT'!$J$8=TH!F2725),"x","")</f>
        <v/>
      </c>
      <c r="AC2725" s="84" t="str">
        <f>IF(AND(OR(LEFT(TH!N2725,2)="15",LEFT(TH!O2725,2)="15"),TK!$E$7=TH!F2725),"x","")</f>
        <v/>
      </c>
      <c r="AD2725" s="84" t="str">
        <f>IF(AND(N2725="1521",MONTH(C2725)='BK-NL'!$M$11),"x","")</f>
        <v/>
      </c>
    </row>
    <row r="2726" spans="1:30" s="351" customFormat="1" ht="15.75" hidden="1" customHeight="1">
      <c r="A2726" s="336" t="str">
        <f>IF(B2726&lt;&gt;"",IF(AND(B2726='IN-TC'!$S$4,OR(TH!N2726="1111",TH!O2726="1111")),TH!D2726,""),"")</f>
        <v/>
      </c>
      <c r="B2726" s="63" t="str">
        <f t="shared" si="298"/>
        <v/>
      </c>
      <c r="C2726" s="64"/>
      <c r="D2726" s="64"/>
      <c r="E2726" s="64"/>
      <c r="F2726" s="67"/>
      <c r="G2726" s="67"/>
      <c r="H2726" s="73"/>
      <c r="I2726" s="439"/>
      <c r="J2726" s="439"/>
      <c r="K2726" s="430"/>
      <c r="L2726" s="439"/>
      <c r="M2726" s="65"/>
      <c r="N2726" s="66"/>
      <c r="O2726" s="66"/>
      <c r="P2726" s="84" t="str">
        <f>IF(AND('331-CT'!$E$7=TH!H2726,OR(N2726="331",O2726="331")),"x","")</f>
        <v/>
      </c>
      <c r="Q2726" s="84" t="str">
        <f>IF(AND(B2726='111'!$L$11,OR($N2726=$Q$7,$O2726=$Q$7)),"x","")</f>
        <v/>
      </c>
      <c r="R2726" s="84" t="str">
        <f>IF(AND($N2726=$Q$7,$B2726&lt;'111'!$L$11),"x","")</f>
        <v/>
      </c>
      <c r="S2726" s="84" t="str">
        <f>IF(AND($O2726=$Q$7,$B2726&lt;'111'!$L$11),"x","")</f>
        <v/>
      </c>
      <c r="T2726" s="84" t="str">
        <f>IF(ISERROR(FIND('112'!$M$9,G2726,1)),"",IF((AND(FIND('112'!$M$9,G2726,1)&gt;=1,B2726='112'!$K$9,OR($N2726='112'!$I$6,$O2726='112'!$I$6))),"x",""))</f>
        <v/>
      </c>
      <c r="U2726" s="84" t="str">
        <f>IF(ISERROR(FIND('112'!$M$9,G2726,1)),"",IF((AND(LEFT(G2726,2)=LEFT('112'!$M$9,2),B2726&lt;'112'!$K$9,$N2726='112'!$I$6)),"x",""))</f>
        <v/>
      </c>
      <c r="V2726" s="84" t="str">
        <f>IF(ISERROR(FIND('112'!$M$9,G2726,1)),"",IF((AND(RIGHT(G2726,2)=RIGHT('112'!$M$9,2),B2726&lt;'112'!$K$9,$O2726='112'!$I$6)),"x",""))</f>
        <v/>
      </c>
      <c r="W2726" s="84" t="str">
        <f>IF(AND('341-CT'!$H$9=H2726,OR(LEFT(N2726,3)=$W$7,LEFT(O2726,3)=$W$7)),"x","")</f>
        <v/>
      </c>
      <c r="X2726" s="84" t="str">
        <f>IF(OR(TH!N2726=TH!$X$7,O2726=TH!$X$7),"x","")</f>
        <v/>
      </c>
      <c r="Y2726" s="84" t="str">
        <f>IF(AND(OR(N2726="131",O2726="131"),H2726='131-CT'!$H$9),"x","")</f>
        <v/>
      </c>
      <c r="Z2726" s="84"/>
      <c r="AA2726" s="84" t="str">
        <f>IF(AND(MONTH(E2726)='IN-NX'!$J$5,'IN-NX'!$D$7=D2726),"x","")</f>
        <v/>
      </c>
      <c r="AB2726" s="84" t="str">
        <f>IF(AND(OR(LEFT(TH!N2726,2)="15",LEFT(TH!O2726,2)="15"),LEFT(TH!O2726,3)&lt;&gt;"111",'152-CT'!$J$8=TH!F2726),"x","")</f>
        <v/>
      </c>
      <c r="AC2726" s="84" t="str">
        <f>IF(AND(OR(LEFT(TH!N2726,2)="15",LEFT(TH!O2726,2)="15"),TK!$E$7=TH!F2726),"x","")</f>
        <v/>
      </c>
      <c r="AD2726" s="84" t="str">
        <f>IF(AND(N2726="1521",MONTH(C2726)='BK-NL'!$M$11),"x","")</f>
        <v/>
      </c>
    </row>
    <row r="2727" spans="1:30" s="351" customFormat="1" ht="15.75" hidden="1" customHeight="1">
      <c r="A2727" s="336" t="str">
        <f>IF(B2727&lt;&gt;"",IF(AND(B2727='IN-TC'!$S$4,OR(TH!N2727="1111",TH!O2727="1111")),TH!D2727,""),"")</f>
        <v/>
      </c>
      <c r="B2727" s="63" t="str">
        <f t="shared" si="298"/>
        <v/>
      </c>
      <c r="C2727" s="64"/>
      <c r="D2727" s="64"/>
      <c r="E2727" s="64"/>
      <c r="F2727" s="67"/>
      <c r="G2727" s="67"/>
      <c r="H2727" s="73"/>
      <c r="I2727" s="439"/>
      <c r="J2727" s="439"/>
      <c r="K2727" s="430"/>
      <c r="L2727" s="439"/>
      <c r="M2727" s="65"/>
      <c r="N2727" s="66"/>
      <c r="O2727" s="66"/>
      <c r="P2727" s="84" t="str">
        <f>IF(AND('331-CT'!$E$7=TH!H2727,OR(N2727="331",O2727="331")),"x","")</f>
        <v/>
      </c>
      <c r="Q2727" s="84" t="str">
        <f>IF(AND(B2727='111'!$L$11,OR($N2727=$Q$7,$O2727=$Q$7)),"x","")</f>
        <v/>
      </c>
      <c r="R2727" s="84" t="str">
        <f>IF(AND($N2727=$Q$7,$B2727&lt;'111'!$L$11),"x","")</f>
        <v/>
      </c>
      <c r="S2727" s="84" t="str">
        <f>IF(AND($O2727=$Q$7,$B2727&lt;'111'!$L$11),"x","")</f>
        <v/>
      </c>
      <c r="T2727" s="84" t="str">
        <f>IF(ISERROR(FIND('112'!$M$9,G2727,1)),"",IF((AND(FIND('112'!$M$9,G2727,1)&gt;=1,B2727='112'!$K$9,OR($N2727='112'!$I$6,$O2727='112'!$I$6))),"x",""))</f>
        <v/>
      </c>
      <c r="U2727" s="84" t="str">
        <f>IF(ISERROR(FIND('112'!$M$9,G2727,1)),"",IF((AND(LEFT(G2727,2)=LEFT('112'!$M$9,2),B2727&lt;'112'!$K$9,$N2727='112'!$I$6)),"x",""))</f>
        <v/>
      </c>
      <c r="V2727" s="84" t="str">
        <f>IF(ISERROR(FIND('112'!$M$9,G2727,1)),"",IF((AND(RIGHT(G2727,2)=RIGHT('112'!$M$9,2),B2727&lt;'112'!$K$9,$O2727='112'!$I$6)),"x",""))</f>
        <v/>
      </c>
      <c r="W2727" s="84" t="str">
        <f>IF(AND('341-CT'!$H$9=H2727,OR(LEFT(N2727,3)=$W$7,LEFT(O2727,3)=$W$7)),"x","")</f>
        <v/>
      </c>
      <c r="X2727" s="84" t="str">
        <f>IF(OR(TH!N2727=TH!$X$7,O2727=TH!$X$7),"x","")</f>
        <v/>
      </c>
      <c r="Y2727" s="84" t="str">
        <f>IF(AND(OR(N2727="131",O2727="131"),H2727='131-CT'!$H$9),"x","")</f>
        <v/>
      </c>
      <c r="Z2727" s="84"/>
      <c r="AA2727" s="84" t="str">
        <f>IF(AND(MONTH(E2727)='IN-NX'!$J$5,'IN-NX'!$D$7=D2727),"x","")</f>
        <v/>
      </c>
      <c r="AB2727" s="84" t="str">
        <f>IF(AND(OR(LEFT(TH!N2727,2)="15",LEFT(TH!O2727,2)="15"),LEFT(TH!O2727,3)&lt;&gt;"111",'152-CT'!$J$8=TH!F2727),"x","")</f>
        <v/>
      </c>
      <c r="AC2727" s="84" t="str">
        <f>IF(AND(OR(LEFT(TH!N2727,2)="15",LEFT(TH!O2727,2)="15"),TK!$E$7=TH!F2727),"x","")</f>
        <v/>
      </c>
      <c r="AD2727" s="84" t="str">
        <f>IF(AND(N2727="1521",MONTH(C2727)='BK-NL'!$M$11),"x","")</f>
        <v/>
      </c>
    </row>
    <row r="2728" spans="1:30" s="351" customFormat="1" ht="15.75" hidden="1" customHeight="1">
      <c r="A2728" s="336" t="str">
        <f>IF(B2728&lt;&gt;"",IF(AND(B2728='IN-TC'!$S$4,OR(TH!N2728="1111",TH!O2728="1111")),TH!D2728,""),"")</f>
        <v/>
      </c>
      <c r="B2728" s="63" t="str">
        <f t="shared" si="298"/>
        <v/>
      </c>
      <c r="C2728" s="64"/>
      <c r="D2728" s="64"/>
      <c r="E2728" s="64"/>
      <c r="F2728" s="67"/>
      <c r="G2728" s="67"/>
      <c r="H2728" s="73"/>
      <c r="I2728" s="439"/>
      <c r="J2728" s="439"/>
      <c r="K2728" s="430"/>
      <c r="L2728" s="439"/>
      <c r="M2728" s="65"/>
      <c r="N2728" s="66"/>
      <c r="O2728" s="66"/>
      <c r="P2728" s="84" t="str">
        <f>IF(AND('331-CT'!$E$7=TH!H2728,OR(N2728="331",O2728="331")),"x","")</f>
        <v/>
      </c>
      <c r="Q2728" s="84" t="str">
        <f>IF(AND(B2728='111'!$L$11,OR($N2728=$Q$7,$O2728=$Q$7)),"x","")</f>
        <v/>
      </c>
      <c r="R2728" s="84" t="str">
        <f>IF(AND($N2728=$Q$7,$B2728&lt;'111'!$L$11),"x","")</f>
        <v/>
      </c>
      <c r="S2728" s="84" t="str">
        <f>IF(AND($O2728=$Q$7,$B2728&lt;'111'!$L$11),"x","")</f>
        <v/>
      </c>
      <c r="T2728" s="84" t="str">
        <f>IF(ISERROR(FIND('112'!$M$9,G2728,1)),"",IF((AND(FIND('112'!$M$9,G2728,1)&gt;=1,B2728='112'!$K$9,OR($N2728='112'!$I$6,$O2728='112'!$I$6))),"x",""))</f>
        <v/>
      </c>
      <c r="U2728" s="84" t="str">
        <f>IF(ISERROR(FIND('112'!$M$9,G2728,1)),"",IF((AND(LEFT(G2728,2)=LEFT('112'!$M$9,2),B2728&lt;'112'!$K$9,$N2728='112'!$I$6)),"x",""))</f>
        <v/>
      </c>
      <c r="V2728" s="84" t="str">
        <f>IF(ISERROR(FIND('112'!$M$9,G2728,1)),"",IF((AND(RIGHT(G2728,2)=RIGHT('112'!$M$9,2),B2728&lt;'112'!$K$9,$O2728='112'!$I$6)),"x",""))</f>
        <v/>
      </c>
      <c r="W2728" s="84" t="str">
        <f>IF(AND('341-CT'!$H$9=H2728,OR(LEFT(N2728,3)=$W$7,LEFT(O2728,3)=$W$7)),"x","")</f>
        <v/>
      </c>
      <c r="X2728" s="84" t="str">
        <f>IF(OR(TH!N2728=TH!$X$7,O2728=TH!$X$7),"x","")</f>
        <v/>
      </c>
      <c r="Y2728" s="84" t="str">
        <f>IF(AND(OR(N2728="131",O2728="131"),H2728='131-CT'!$H$9),"x","")</f>
        <v/>
      </c>
      <c r="Z2728" s="84"/>
      <c r="AA2728" s="84" t="str">
        <f>IF(AND(MONTH(E2728)='IN-NX'!$J$5,'IN-NX'!$D$7=D2728),"x","")</f>
        <v/>
      </c>
      <c r="AB2728" s="84" t="str">
        <f>IF(AND(OR(LEFT(TH!N2728,2)="15",LEFT(TH!O2728,2)="15"),LEFT(TH!O2728,3)&lt;&gt;"111",'152-CT'!$J$8=TH!F2728),"x","")</f>
        <v/>
      </c>
      <c r="AC2728" s="84" t="str">
        <f>IF(AND(OR(LEFT(TH!N2728,2)="15",LEFT(TH!O2728,2)="15"),TK!$E$7=TH!F2728),"x","")</f>
        <v/>
      </c>
      <c r="AD2728" s="84" t="str">
        <f>IF(AND(N2728="1521",MONTH(C2728)='BK-NL'!$M$11),"x","")</f>
        <v/>
      </c>
    </row>
    <row r="2729" spans="1:30" s="351" customFormat="1" ht="15.75" hidden="1" customHeight="1">
      <c r="A2729" s="336" t="str">
        <f>IF(B2729&lt;&gt;"",IF(AND(B2729='IN-TC'!$S$4,OR(TH!N2729="1111",TH!O2729="1111")),TH!D2729,""),"")</f>
        <v/>
      </c>
      <c r="B2729" s="63" t="str">
        <f t="shared" si="298"/>
        <v/>
      </c>
      <c r="C2729" s="64"/>
      <c r="D2729" s="64"/>
      <c r="E2729" s="64"/>
      <c r="F2729" s="67"/>
      <c r="G2729" s="67"/>
      <c r="H2729" s="73"/>
      <c r="I2729" s="439"/>
      <c r="J2729" s="439"/>
      <c r="K2729" s="430"/>
      <c r="L2729" s="439"/>
      <c r="M2729" s="65"/>
      <c r="N2729" s="66"/>
      <c r="O2729" s="66"/>
      <c r="P2729" s="84" t="str">
        <f>IF(AND('331-CT'!$E$7=TH!H2729,OR(N2729="331",O2729="331")),"x","")</f>
        <v/>
      </c>
      <c r="Q2729" s="84" t="str">
        <f>IF(AND(B2729='111'!$L$11,OR($N2729=$Q$7,$O2729=$Q$7)),"x","")</f>
        <v/>
      </c>
      <c r="R2729" s="84" t="str">
        <f>IF(AND($N2729=$Q$7,$B2729&lt;'111'!$L$11),"x","")</f>
        <v/>
      </c>
      <c r="S2729" s="84" t="str">
        <f>IF(AND($O2729=$Q$7,$B2729&lt;'111'!$L$11),"x","")</f>
        <v/>
      </c>
      <c r="T2729" s="84" t="str">
        <f>IF(ISERROR(FIND('112'!$M$9,G2729,1)),"",IF((AND(FIND('112'!$M$9,G2729,1)&gt;=1,B2729='112'!$K$9,OR($N2729='112'!$I$6,$O2729='112'!$I$6))),"x",""))</f>
        <v/>
      </c>
      <c r="U2729" s="84" t="str">
        <f>IF(ISERROR(FIND('112'!$M$9,G2729,1)),"",IF((AND(LEFT(G2729,2)=LEFT('112'!$M$9,2),B2729&lt;'112'!$K$9,$N2729='112'!$I$6)),"x",""))</f>
        <v/>
      </c>
      <c r="V2729" s="84" t="str">
        <f>IF(ISERROR(FIND('112'!$M$9,G2729,1)),"",IF((AND(RIGHT(G2729,2)=RIGHT('112'!$M$9,2),B2729&lt;'112'!$K$9,$O2729='112'!$I$6)),"x",""))</f>
        <v/>
      </c>
      <c r="W2729" s="84" t="str">
        <f>IF(AND('341-CT'!$H$9=H2729,OR(LEFT(N2729,3)=$W$7,LEFT(O2729,3)=$W$7)),"x","")</f>
        <v/>
      </c>
      <c r="X2729" s="84" t="str">
        <f>IF(OR(TH!N2729=TH!$X$7,O2729=TH!$X$7),"x","")</f>
        <v/>
      </c>
      <c r="Y2729" s="84" t="str">
        <f>IF(AND(OR(N2729="131",O2729="131"),H2729='131-CT'!$H$9),"x","")</f>
        <v/>
      </c>
      <c r="Z2729" s="84"/>
      <c r="AA2729" s="84" t="str">
        <f>IF(AND(MONTH(E2729)='IN-NX'!$J$5,'IN-NX'!$D$7=D2729),"x","")</f>
        <v/>
      </c>
      <c r="AB2729" s="84" t="str">
        <f>IF(AND(OR(LEFT(TH!N2729,2)="15",LEFT(TH!O2729,2)="15"),LEFT(TH!O2729,3)&lt;&gt;"111",'152-CT'!$J$8=TH!F2729),"x","")</f>
        <v/>
      </c>
      <c r="AC2729" s="84" t="str">
        <f>IF(AND(OR(LEFT(TH!N2729,2)="15",LEFT(TH!O2729,2)="15"),TK!$E$7=TH!F2729),"x","")</f>
        <v/>
      </c>
      <c r="AD2729" s="84" t="str">
        <f>IF(AND(N2729="1521",MONTH(C2729)='BK-NL'!$M$11),"x","")</f>
        <v/>
      </c>
    </row>
    <row r="2730" spans="1:30" s="351" customFormat="1" ht="15.75" hidden="1" customHeight="1">
      <c r="A2730" s="336" t="str">
        <f>IF(B2730&lt;&gt;"",IF(AND(B2730='IN-TC'!$S$4,OR(TH!N2730="1111",TH!O2730="1111")),TH!D2730,""),"")</f>
        <v/>
      </c>
      <c r="B2730" s="63" t="str">
        <f t="shared" ref="B2730:B2761" si="299">IF(C2730&lt;&gt;"",MONTH(C2730),"")</f>
        <v/>
      </c>
      <c r="C2730" s="64"/>
      <c r="D2730" s="64"/>
      <c r="E2730" s="64"/>
      <c r="F2730" s="67"/>
      <c r="G2730" s="67"/>
      <c r="H2730" s="73"/>
      <c r="I2730" s="439"/>
      <c r="J2730" s="439"/>
      <c r="K2730" s="430"/>
      <c r="L2730" s="439"/>
      <c r="M2730" s="65"/>
      <c r="N2730" s="66"/>
      <c r="O2730" s="66"/>
      <c r="P2730" s="84" t="str">
        <f>IF(AND('331-CT'!$E$7=TH!H2730,OR(N2730="331",O2730="331")),"x","")</f>
        <v/>
      </c>
      <c r="Q2730" s="84" t="str">
        <f>IF(AND(B2730='111'!$L$11,OR($N2730=$Q$7,$O2730=$Q$7)),"x","")</f>
        <v/>
      </c>
      <c r="R2730" s="84" t="str">
        <f>IF(AND($N2730=$Q$7,$B2730&lt;'111'!$L$11),"x","")</f>
        <v/>
      </c>
      <c r="S2730" s="84" t="str">
        <f>IF(AND($O2730=$Q$7,$B2730&lt;'111'!$L$11),"x","")</f>
        <v/>
      </c>
      <c r="T2730" s="84" t="str">
        <f>IF(ISERROR(FIND('112'!$M$9,G2730,1)),"",IF((AND(FIND('112'!$M$9,G2730,1)&gt;=1,B2730='112'!$K$9,OR($N2730='112'!$I$6,$O2730='112'!$I$6))),"x",""))</f>
        <v/>
      </c>
      <c r="U2730" s="84" t="str">
        <f>IF(ISERROR(FIND('112'!$M$9,G2730,1)),"",IF((AND(LEFT(G2730,2)=LEFT('112'!$M$9,2),B2730&lt;'112'!$K$9,$N2730='112'!$I$6)),"x",""))</f>
        <v/>
      </c>
      <c r="V2730" s="84" t="str">
        <f>IF(ISERROR(FIND('112'!$M$9,G2730,1)),"",IF((AND(RIGHT(G2730,2)=RIGHT('112'!$M$9,2),B2730&lt;'112'!$K$9,$O2730='112'!$I$6)),"x",""))</f>
        <v/>
      </c>
      <c r="W2730" s="84" t="str">
        <f>IF(AND('341-CT'!$H$9=H2730,OR(LEFT(N2730,3)=$W$7,LEFT(O2730,3)=$W$7)),"x","")</f>
        <v/>
      </c>
      <c r="X2730" s="84" t="str">
        <f>IF(OR(TH!N2730=TH!$X$7,O2730=TH!$X$7),"x","")</f>
        <v/>
      </c>
      <c r="Y2730" s="84" t="str">
        <f>IF(AND(OR(N2730="131",O2730="131"),H2730='131-CT'!$H$9),"x","")</f>
        <v/>
      </c>
      <c r="Z2730" s="84"/>
      <c r="AA2730" s="84" t="str">
        <f>IF(AND(MONTH(E2730)='IN-NX'!$J$5,'IN-NX'!$D$7=D2730),"x","")</f>
        <v/>
      </c>
      <c r="AB2730" s="84" t="str">
        <f>IF(AND(OR(LEFT(TH!N2730,2)="15",LEFT(TH!O2730,2)="15"),LEFT(TH!O2730,3)&lt;&gt;"111",'152-CT'!$J$8=TH!F2730),"x","")</f>
        <v/>
      </c>
      <c r="AC2730" s="84" t="str">
        <f>IF(AND(OR(LEFT(TH!N2730,2)="15",LEFT(TH!O2730,2)="15"),TK!$E$7=TH!F2730),"x","")</f>
        <v/>
      </c>
      <c r="AD2730" s="84" t="str">
        <f>IF(AND(N2730="1521",MONTH(C2730)='BK-NL'!$M$11),"x","")</f>
        <v/>
      </c>
    </row>
    <row r="2731" spans="1:30" s="351" customFormat="1" ht="15.75" hidden="1" customHeight="1">
      <c r="A2731" s="336" t="str">
        <f>IF(B2731&lt;&gt;"",IF(AND(B2731='IN-TC'!$S$4,OR(TH!N2731="1111",TH!O2731="1111")),TH!D2731,""),"")</f>
        <v/>
      </c>
      <c r="B2731" s="63" t="str">
        <f t="shared" si="299"/>
        <v/>
      </c>
      <c r="C2731" s="64"/>
      <c r="D2731" s="64"/>
      <c r="E2731" s="64"/>
      <c r="F2731" s="67"/>
      <c r="G2731" s="67"/>
      <c r="H2731" s="73"/>
      <c r="I2731" s="439"/>
      <c r="J2731" s="439"/>
      <c r="K2731" s="430"/>
      <c r="L2731" s="439"/>
      <c r="M2731" s="65"/>
      <c r="N2731" s="66"/>
      <c r="O2731" s="66"/>
      <c r="P2731" s="84" t="str">
        <f>IF(AND('331-CT'!$E$7=TH!H2731,OR(N2731="331",O2731="331")),"x","")</f>
        <v/>
      </c>
      <c r="Q2731" s="84" t="str">
        <f>IF(AND(B2731='111'!$L$11,OR($N2731=$Q$7,$O2731=$Q$7)),"x","")</f>
        <v/>
      </c>
      <c r="R2731" s="84" t="str">
        <f>IF(AND($N2731=$Q$7,$B2731&lt;'111'!$L$11),"x","")</f>
        <v/>
      </c>
      <c r="S2731" s="84" t="str">
        <f>IF(AND($O2731=$Q$7,$B2731&lt;'111'!$L$11),"x","")</f>
        <v/>
      </c>
      <c r="T2731" s="84" t="str">
        <f>IF(ISERROR(FIND('112'!$M$9,G2731,1)),"",IF((AND(FIND('112'!$M$9,G2731,1)&gt;=1,B2731='112'!$K$9,OR($N2731='112'!$I$6,$O2731='112'!$I$6))),"x",""))</f>
        <v/>
      </c>
      <c r="U2731" s="84" t="str">
        <f>IF(ISERROR(FIND('112'!$M$9,G2731,1)),"",IF((AND(LEFT(G2731,2)=LEFT('112'!$M$9,2),B2731&lt;'112'!$K$9,$N2731='112'!$I$6)),"x",""))</f>
        <v/>
      </c>
      <c r="V2731" s="84" t="str">
        <f>IF(ISERROR(FIND('112'!$M$9,G2731,1)),"",IF((AND(RIGHT(G2731,2)=RIGHT('112'!$M$9,2),B2731&lt;'112'!$K$9,$O2731='112'!$I$6)),"x",""))</f>
        <v/>
      </c>
      <c r="W2731" s="84" t="str">
        <f>IF(AND('341-CT'!$H$9=H2731,OR(LEFT(N2731,3)=$W$7,LEFT(O2731,3)=$W$7)),"x","")</f>
        <v/>
      </c>
      <c r="X2731" s="84" t="str">
        <f>IF(OR(TH!N2731=TH!$X$7,O2731=TH!$X$7),"x","")</f>
        <v/>
      </c>
      <c r="Y2731" s="84" t="str">
        <f>IF(AND(OR(N2731="131",O2731="131"),H2731='131-CT'!$H$9),"x","")</f>
        <v/>
      </c>
      <c r="Z2731" s="84"/>
      <c r="AA2731" s="84" t="str">
        <f>IF(AND(MONTH(E2731)='IN-NX'!$J$5,'IN-NX'!$D$7=D2731),"x","")</f>
        <v/>
      </c>
      <c r="AB2731" s="84" t="str">
        <f>IF(AND(OR(LEFT(TH!N2731,2)="15",LEFT(TH!O2731,2)="15"),LEFT(TH!O2731,3)&lt;&gt;"111",'152-CT'!$J$8=TH!F2731),"x","")</f>
        <v/>
      </c>
      <c r="AC2731" s="84" t="str">
        <f>IF(AND(OR(LEFT(TH!N2731,2)="15",LEFT(TH!O2731,2)="15"),TK!$E$7=TH!F2731),"x","")</f>
        <v/>
      </c>
      <c r="AD2731" s="84" t="str">
        <f>IF(AND(N2731="1521",MONTH(C2731)='BK-NL'!$M$11),"x","")</f>
        <v/>
      </c>
    </row>
    <row r="2732" spans="1:30" s="351" customFormat="1" ht="15.75" hidden="1" customHeight="1">
      <c r="A2732" s="336" t="str">
        <f>IF(B2732&lt;&gt;"",IF(AND(B2732='IN-TC'!$S$4,OR(TH!N2732="1111",TH!O2732="1111")),TH!D2732,""),"")</f>
        <v/>
      </c>
      <c r="B2732" s="63" t="str">
        <f t="shared" si="299"/>
        <v/>
      </c>
      <c r="C2732" s="64"/>
      <c r="D2732" s="64"/>
      <c r="E2732" s="64"/>
      <c r="F2732" s="67"/>
      <c r="G2732" s="67"/>
      <c r="H2732" s="73"/>
      <c r="I2732" s="439"/>
      <c r="J2732" s="439"/>
      <c r="K2732" s="430"/>
      <c r="L2732" s="439"/>
      <c r="M2732" s="65"/>
      <c r="N2732" s="66"/>
      <c r="O2732" s="66"/>
      <c r="P2732" s="84" t="str">
        <f>IF(AND('331-CT'!$E$7=TH!H2732,OR(N2732="331",O2732="331")),"x","")</f>
        <v/>
      </c>
      <c r="Q2732" s="84" t="str">
        <f>IF(AND(B2732='111'!$L$11,OR($N2732=$Q$7,$O2732=$Q$7)),"x","")</f>
        <v/>
      </c>
      <c r="R2732" s="84" t="str">
        <f>IF(AND($N2732=$Q$7,$B2732&lt;'111'!$L$11),"x","")</f>
        <v/>
      </c>
      <c r="S2732" s="84" t="str">
        <f>IF(AND($O2732=$Q$7,$B2732&lt;'111'!$L$11),"x","")</f>
        <v/>
      </c>
      <c r="T2732" s="84" t="str">
        <f>IF(ISERROR(FIND('112'!$M$9,G2732,1)),"",IF((AND(FIND('112'!$M$9,G2732,1)&gt;=1,B2732='112'!$K$9,OR($N2732='112'!$I$6,$O2732='112'!$I$6))),"x",""))</f>
        <v/>
      </c>
      <c r="U2732" s="84" t="str">
        <f>IF(ISERROR(FIND('112'!$M$9,G2732,1)),"",IF((AND(LEFT(G2732,2)=LEFT('112'!$M$9,2),B2732&lt;'112'!$K$9,$N2732='112'!$I$6)),"x",""))</f>
        <v/>
      </c>
      <c r="V2732" s="84" t="str">
        <f>IF(ISERROR(FIND('112'!$M$9,G2732,1)),"",IF((AND(RIGHT(G2732,2)=RIGHT('112'!$M$9,2),B2732&lt;'112'!$K$9,$O2732='112'!$I$6)),"x",""))</f>
        <v/>
      </c>
      <c r="W2732" s="84" t="str">
        <f>IF(AND('341-CT'!$H$9=H2732,OR(LEFT(N2732,3)=$W$7,LEFT(O2732,3)=$W$7)),"x","")</f>
        <v/>
      </c>
      <c r="X2732" s="84" t="str">
        <f>IF(OR(TH!N2732=TH!$X$7,O2732=TH!$X$7),"x","")</f>
        <v/>
      </c>
      <c r="Y2732" s="84" t="str">
        <f>IF(AND(OR(N2732="131",O2732="131"),H2732='131-CT'!$H$9),"x","")</f>
        <v/>
      </c>
      <c r="Z2732" s="84"/>
      <c r="AA2732" s="84" t="str">
        <f>IF(AND(MONTH(E2732)='IN-NX'!$J$5,'IN-NX'!$D$7=D2732),"x","")</f>
        <v/>
      </c>
      <c r="AB2732" s="84" t="str">
        <f>IF(AND(OR(LEFT(TH!N2732,2)="15",LEFT(TH!O2732,2)="15"),LEFT(TH!O2732,3)&lt;&gt;"111",'152-CT'!$J$8=TH!F2732),"x","")</f>
        <v/>
      </c>
      <c r="AC2732" s="84" t="str">
        <f>IF(AND(OR(LEFT(TH!N2732,2)="15",LEFT(TH!O2732,2)="15"),TK!$E$7=TH!F2732),"x","")</f>
        <v/>
      </c>
      <c r="AD2732" s="84" t="str">
        <f>IF(AND(N2732="1521",MONTH(C2732)='BK-NL'!$M$11),"x","")</f>
        <v/>
      </c>
    </row>
    <row r="2733" spans="1:30" s="351" customFormat="1" ht="15.75" hidden="1" customHeight="1">
      <c r="A2733" s="336" t="str">
        <f>IF(B2733&lt;&gt;"",IF(AND(B2733='IN-TC'!$S$4,OR(TH!N2733="1111",TH!O2733="1111")),TH!D2733,""),"")</f>
        <v/>
      </c>
      <c r="B2733" s="63" t="str">
        <f t="shared" si="299"/>
        <v/>
      </c>
      <c r="C2733" s="64"/>
      <c r="D2733" s="64"/>
      <c r="E2733" s="64"/>
      <c r="F2733" s="67"/>
      <c r="G2733" s="67"/>
      <c r="H2733" s="73"/>
      <c r="I2733" s="439"/>
      <c r="J2733" s="439"/>
      <c r="K2733" s="430"/>
      <c r="L2733" s="439"/>
      <c r="M2733" s="65"/>
      <c r="N2733" s="66"/>
      <c r="O2733" s="66"/>
      <c r="P2733" s="84" t="str">
        <f>IF(AND('331-CT'!$E$7=TH!H2733,OR(N2733="331",O2733="331")),"x","")</f>
        <v/>
      </c>
      <c r="Q2733" s="84" t="str">
        <f>IF(AND(B2733='111'!$L$11,OR($N2733=$Q$7,$O2733=$Q$7)),"x","")</f>
        <v/>
      </c>
      <c r="R2733" s="84" t="str">
        <f>IF(AND($N2733=$Q$7,$B2733&lt;'111'!$L$11),"x","")</f>
        <v/>
      </c>
      <c r="S2733" s="84" t="str">
        <f>IF(AND($O2733=$Q$7,$B2733&lt;'111'!$L$11),"x","")</f>
        <v/>
      </c>
      <c r="T2733" s="84" t="str">
        <f>IF(ISERROR(FIND('112'!$M$9,G2733,1)),"",IF((AND(FIND('112'!$M$9,G2733,1)&gt;=1,B2733='112'!$K$9,OR($N2733='112'!$I$6,$O2733='112'!$I$6))),"x",""))</f>
        <v/>
      </c>
      <c r="U2733" s="84" t="str">
        <f>IF(ISERROR(FIND('112'!$M$9,G2733,1)),"",IF((AND(LEFT(G2733,2)=LEFT('112'!$M$9,2),B2733&lt;'112'!$K$9,$N2733='112'!$I$6)),"x",""))</f>
        <v/>
      </c>
      <c r="V2733" s="84" t="str">
        <f>IF(ISERROR(FIND('112'!$M$9,G2733,1)),"",IF((AND(RIGHT(G2733,2)=RIGHT('112'!$M$9,2),B2733&lt;'112'!$K$9,$O2733='112'!$I$6)),"x",""))</f>
        <v/>
      </c>
      <c r="W2733" s="84" t="str">
        <f>IF(AND('341-CT'!$H$9=H2733,OR(LEFT(N2733,3)=$W$7,LEFT(O2733,3)=$W$7)),"x","")</f>
        <v/>
      </c>
      <c r="X2733" s="84" t="str">
        <f>IF(OR(TH!N2733=TH!$X$7,O2733=TH!$X$7),"x","")</f>
        <v/>
      </c>
      <c r="Y2733" s="84" t="str">
        <f>IF(AND(OR(N2733="131",O2733="131"),H2733='131-CT'!$H$9),"x","")</f>
        <v/>
      </c>
      <c r="Z2733" s="84"/>
      <c r="AA2733" s="84" t="str">
        <f>IF(AND(MONTH(E2733)='IN-NX'!$J$5,'IN-NX'!$D$7=D2733),"x","")</f>
        <v/>
      </c>
      <c r="AB2733" s="84" t="str">
        <f>IF(AND(OR(LEFT(TH!N2733,2)="15",LEFT(TH!O2733,2)="15"),LEFT(TH!O2733,3)&lt;&gt;"111",'152-CT'!$J$8=TH!F2733),"x","")</f>
        <v/>
      </c>
      <c r="AC2733" s="84" t="str">
        <f>IF(AND(OR(LEFT(TH!N2733,2)="15",LEFT(TH!O2733,2)="15"),TK!$E$7=TH!F2733),"x","")</f>
        <v/>
      </c>
      <c r="AD2733" s="84" t="str">
        <f>IF(AND(N2733="1521",MONTH(C2733)='BK-NL'!$M$11),"x","")</f>
        <v/>
      </c>
    </row>
    <row r="2734" spans="1:30" s="351" customFormat="1" ht="15.75" hidden="1" customHeight="1">
      <c r="A2734" s="336" t="str">
        <f>IF(B2734&lt;&gt;"",IF(AND(B2734='IN-TC'!$S$4,OR(TH!N2734="1111",TH!O2734="1111")),TH!D2734,""),"")</f>
        <v/>
      </c>
      <c r="B2734" s="63" t="str">
        <f t="shared" si="299"/>
        <v/>
      </c>
      <c r="C2734" s="64"/>
      <c r="D2734" s="64"/>
      <c r="E2734" s="64"/>
      <c r="F2734" s="67"/>
      <c r="G2734" s="67"/>
      <c r="H2734" s="73"/>
      <c r="I2734" s="439"/>
      <c r="J2734" s="439"/>
      <c r="K2734" s="430"/>
      <c r="L2734" s="439"/>
      <c r="M2734" s="65"/>
      <c r="N2734" s="66"/>
      <c r="O2734" s="66"/>
      <c r="P2734" s="84" t="str">
        <f>IF(AND('331-CT'!$E$7=TH!H2734,OR(N2734="331",O2734="331")),"x","")</f>
        <v/>
      </c>
      <c r="Q2734" s="84" t="str">
        <f>IF(AND(B2734='111'!$L$11,OR($N2734=$Q$7,$O2734=$Q$7)),"x","")</f>
        <v/>
      </c>
      <c r="R2734" s="84" t="str">
        <f>IF(AND($N2734=$Q$7,$B2734&lt;'111'!$L$11),"x","")</f>
        <v/>
      </c>
      <c r="S2734" s="84" t="str">
        <f>IF(AND($O2734=$Q$7,$B2734&lt;'111'!$L$11),"x","")</f>
        <v/>
      </c>
      <c r="T2734" s="84" t="str">
        <f>IF(ISERROR(FIND('112'!$M$9,G2734,1)),"",IF((AND(FIND('112'!$M$9,G2734,1)&gt;=1,B2734='112'!$K$9,OR($N2734='112'!$I$6,$O2734='112'!$I$6))),"x",""))</f>
        <v/>
      </c>
      <c r="U2734" s="84" t="str">
        <f>IF(ISERROR(FIND('112'!$M$9,G2734,1)),"",IF((AND(LEFT(G2734,2)=LEFT('112'!$M$9,2),B2734&lt;'112'!$K$9,$N2734='112'!$I$6)),"x",""))</f>
        <v/>
      </c>
      <c r="V2734" s="84" t="str">
        <f>IF(ISERROR(FIND('112'!$M$9,G2734,1)),"",IF((AND(RIGHT(G2734,2)=RIGHT('112'!$M$9,2),B2734&lt;'112'!$K$9,$O2734='112'!$I$6)),"x",""))</f>
        <v/>
      </c>
      <c r="W2734" s="84" t="str">
        <f>IF(AND('341-CT'!$H$9=H2734,OR(LEFT(N2734,3)=$W$7,LEFT(O2734,3)=$W$7)),"x","")</f>
        <v/>
      </c>
      <c r="X2734" s="84" t="str">
        <f>IF(OR(TH!N2734=TH!$X$7,O2734=TH!$X$7),"x","")</f>
        <v/>
      </c>
      <c r="Y2734" s="84" t="str">
        <f>IF(AND(OR(N2734="131",O2734="131"),H2734='131-CT'!$H$9),"x","")</f>
        <v/>
      </c>
      <c r="Z2734" s="84"/>
      <c r="AA2734" s="84" t="str">
        <f>IF(AND(MONTH(E2734)='IN-NX'!$J$5,'IN-NX'!$D$7=D2734),"x","")</f>
        <v/>
      </c>
      <c r="AB2734" s="84" t="str">
        <f>IF(AND(OR(LEFT(TH!N2734,2)="15",LEFT(TH!O2734,2)="15"),LEFT(TH!O2734,3)&lt;&gt;"111",'152-CT'!$J$8=TH!F2734),"x","")</f>
        <v/>
      </c>
      <c r="AC2734" s="84" t="str">
        <f>IF(AND(OR(LEFT(TH!N2734,2)="15",LEFT(TH!O2734,2)="15"),TK!$E$7=TH!F2734),"x","")</f>
        <v/>
      </c>
      <c r="AD2734" s="84" t="str">
        <f>IF(AND(N2734="1521",MONTH(C2734)='BK-NL'!$M$11),"x","")</f>
        <v/>
      </c>
    </row>
    <row r="2735" spans="1:30" s="351" customFormat="1" ht="15.75" hidden="1" customHeight="1">
      <c r="A2735" s="336" t="str">
        <f>IF(B2735&lt;&gt;"",IF(AND(B2735='IN-TC'!$S$4,OR(TH!N2735="1111",TH!O2735="1111")),TH!D2735,""),"")</f>
        <v/>
      </c>
      <c r="B2735" s="63" t="str">
        <f t="shared" si="299"/>
        <v/>
      </c>
      <c r="C2735" s="64"/>
      <c r="D2735" s="64"/>
      <c r="E2735" s="64"/>
      <c r="F2735" s="67"/>
      <c r="G2735" s="67"/>
      <c r="H2735" s="73"/>
      <c r="I2735" s="439"/>
      <c r="J2735" s="439"/>
      <c r="K2735" s="430"/>
      <c r="L2735" s="439"/>
      <c r="M2735" s="65"/>
      <c r="N2735" s="66"/>
      <c r="O2735" s="66"/>
      <c r="P2735" s="84" t="str">
        <f>IF(AND('331-CT'!$E$7=TH!H2735,OR(N2735="331",O2735="331")),"x","")</f>
        <v/>
      </c>
      <c r="Q2735" s="84" t="str">
        <f>IF(AND(B2735='111'!$L$11,OR($N2735=$Q$7,$O2735=$Q$7)),"x","")</f>
        <v/>
      </c>
      <c r="R2735" s="84" t="str">
        <f>IF(AND($N2735=$Q$7,$B2735&lt;'111'!$L$11),"x","")</f>
        <v/>
      </c>
      <c r="S2735" s="84" t="str">
        <f>IF(AND($O2735=$Q$7,$B2735&lt;'111'!$L$11),"x","")</f>
        <v/>
      </c>
      <c r="T2735" s="84" t="str">
        <f>IF(ISERROR(FIND('112'!$M$9,G2735,1)),"",IF((AND(FIND('112'!$M$9,G2735,1)&gt;=1,B2735='112'!$K$9,OR($N2735='112'!$I$6,$O2735='112'!$I$6))),"x",""))</f>
        <v/>
      </c>
      <c r="U2735" s="84" t="str">
        <f>IF(ISERROR(FIND('112'!$M$9,G2735,1)),"",IF((AND(LEFT(G2735,2)=LEFT('112'!$M$9,2),B2735&lt;'112'!$K$9,$N2735='112'!$I$6)),"x",""))</f>
        <v/>
      </c>
      <c r="V2735" s="84" t="str">
        <f>IF(ISERROR(FIND('112'!$M$9,G2735,1)),"",IF((AND(RIGHT(G2735,2)=RIGHT('112'!$M$9,2),B2735&lt;'112'!$K$9,$O2735='112'!$I$6)),"x",""))</f>
        <v/>
      </c>
      <c r="W2735" s="84" t="str">
        <f>IF(AND('341-CT'!$H$9=H2735,OR(LEFT(N2735,3)=$W$7,LEFT(O2735,3)=$W$7)),"x","")</f>
        <v/>
      </c>
      <c r="X2735" s="84" t="str">
        <f>IF(OR(TH!N2735=TH!$X$7,O2735=TH!$X$7),"x","")</f>
        <v/>
      </c>
      <c r="Y2735" s="84" t="str">
        <f>IF(AND(OR(N2735="131",O2735="131"),H2735='131-CT'!$H$9),"x","")</f>
        <v/>
      </c>
      <c r="Z2735" s="84"/>
      <c r="AA2735" s="84" t="str">
        <f>IF(AND(MONTH(E2735)='IN-NX'!$J$5,'IN-NX'!$D$7=D2735),"x","")</f>
        <v/>
      </c>
      <c r="AB2735" s="84" t="str">
        <f>IF(AND(OR(LEFT(TH!N2735,2)="15",LEFT(TH!O2735,2)="15"),LEFT(TH!O2735,3)&lt;&gt;"111",'152-CT'!$J$8=TH!F2735),"x","")</f>
        <v/>
      </c>
      <c r="AC2735" s="84" t="str">
        <f>IF(AND(OR(LEFT(TH!N2735,2)="15",LEFT(TH!O2735,2)="15"),TK!$E$7=TH!F2735),"x","")</f>
        <v/>
      </c>
      <c r="AD2735" s="84" t="str">
        <f>IF(AND(N2735="1521",MONTH(C2735)='BK-NL'!$M$11),"x","")</f>
        <v/>
      </c>
    </row>
    <row r="2736" spans="1:30" s="351" customFormat="1" ht="15.75" hidden="1" customHeight="1">
      <c r="A2736" s="336" t="str">
        <f>IF(B2736&lt;&gt;"",IF(AND(B2736='IN-TC'!$S$4,OR(TH!N2736="1111",TH!O2736="1111")),TH!D2736,""),"")</f>
        <v/>
      </c>
      <c r="B2736" s="63" t="str">
        <f t="shared" si="299"/>
        <v/>
      </c>
      <c r="C2736" s="64"/>
      <c r="D2736" s="64"/>
      <c r="E2736" s="64"/>
      <c r="F2736" s="67"/>
      <c r="G2736" s="67"/>
      <c r="H2736" s="73"/>
      <c r="I2736" s="439"/>
      <c r="J2736" s="439"/>
      <c r="K2736" s="430"/>
      <c r="L2736" s="439"/>
      <c r="M2736" s="65"/>
      <c r="N2736" s="66"/>
      <c r="O2736" s="66"/>
      <c r="P2736" s="84" t="str">
        <f>IF(AND('331-CT'!$E$7=TH!H2736,OR(N2736="331",O2736="331")),"x","")</f>
        <v/>
      </c>
      <c r="Q2736" s="84" t="str">
        <f>IF(AND(B2736='111'!$L$11,OR($N2736=$Q$7,$O2736=$Q$7)),"x","")</f>
        <v/>
      </c>
      <c r="R2736" s="84" t="str">
        <f>IF(AND($N2736=$Q$7,$B2736&lt;'111'!$L$11),"x","")</f>
        <v/>
      </c>
      <c r="S2736" s="84" t="str">
        <f>IF(AND($O2736=$Q$7,$B2736&lt;'111'!$L$11),"x","")</f>
        <v/>
      </c>
      <c r="T2736" s="84" t="str">
        <f>IF(ISERROR(FIND('112'!$M$9,G2736,1)),"",IF((AND(FIND('112'!$M$9,G2736,1)&gt;=1,B2736='112'!$K$9,OR($N2736='112'!$I$6,$O2736='112'!$I$6))),"x",""))</f>
        <v/>
      </c>
      <c r="U2736" s="84" t="str">
        <f>IF(ISERROR(FIND('112'!$M$9,G2736,1)),"",IF((AND(LEFT(G2736,2)=LEFT('112'!$M$9,2),B2736&lt;'112'!$K$9,$N2736='112'!$I$6)),"x",""))</f>
        <v/>
      </c>
      <c r="V2736" s="84" t="str">
        <f>IF(ISERROR(FIND('112'!$M$9,G2736,1)),"",IF((AND(RIGHT(G2736,2)=RIGHT('112'!$M$9,2),B2736&lt;'112'!$K$9,$O2736='112'!$I$6)),"x",""))</f>
        <v/>
      </c>
      <c r="W2736" s="84" t="str">
        <f>IF(AND('341-CT'!$H$9=H2736,OR(LEFT(N2736,3)=$W$7,LEFT(O2736,3)=$W$7)),"x","")</f>
        <v/>
      </c>
      <c r="X2736" s="84" t="str">
        <f>IF(OR(TH!N2736=TH!$X$7,O2736=TH!$X$7),"x","")</f>
        <v/>
      </c>
      <c r="Y2736" s="84" t="str">
        <f>IF(AND(OR(N2736="131",O2736="131"),H2736='131-CT'!$H$9),"x","")</f>
        <v/>
      </c>
      <c r="Z2736" s="84"/>
      <c r="AA2736" s="84" t="str">
        <f>IF(AND(MONTH(E2736)='IN-NX'!$J$5,'IN-NX'!$D$7=D2736),"x","")</f>
        <v/>
      </c>
      <c r="AB2736" s="84" t="str">
        <f>IF(AND(OR(LEFT(TH!N2736,2)="15",LEFT(TH!O2736,2)="15"),LEFT(TH!O2736,3)&lt;&gt;"111",'152-CT'!$J$8=TH!F2736),"x","")</f>
        <v/>
      </c>
      <c r="AC2736" s="84" t="str">
        <f>IF(AND(OR(LEFT(TH!N2736,2)="15",LEFT(TH!O2736,2)="15"),TK!$E$7=TH!F2736),"x","")</f>
        <v/>
      </c>
      <c r="AD2736" s="84" t="str">
        <f>IF(AND(N2736="1521",MONTH(C2736)='BK-NL'!$M$11),"x","")</f>
        <v/>
      </c>
    </row>
    <row r="2737" spans="1:30" s="351" customFormat="1" ht="15.75" hidden="1" customHeight="1">
      <c r="A2737" s="336" t="str">
        <f>IF(B2737&lt;&gt;"",IF(AND(B2737='IN-TC'!$S$4,OR(TH!N2737="1111",TH!O2737="1111")),TH!D2737,""),"")</f>
        <v/>
      </c>
      <c r="B2737" s="63" t="str">
        <f t="shared" si="299"/>
        <v/>
      </c>
      <c r="C2737" s="64"/>
      <c r="D2737" s="64"/>
      <c r="E2737" s="64"/>
      <c r="F2737" s="67"/>
      <c r="G2737" s="67"/>
      <c r="H2737" s="73"/>
      <c r="I2737" s="439"/>
      <c r="J2737" s="439"/>
      <c r="K2737" s="430"/>
      <c r="L2737" s="439"/>
      <c r="M2737" s="65"/>
      <c r="N2737" s="66"/>
      <c r="O2737" s="66"/>
      <c r="P2737" s="84" t="str">
        <f>IF(AND('331-CT'!$E$7=TH!H2737,OR(N2737="331",O2737="331")),"x","")</f>
        <v/>
      </c>
      <c r="Q2737" s="84" t="str">
        <f>IF(AND(B2737='111'!$L$11,OR($N2737=$Q$7,$O2737=$Q$7)),"x","")</f>
        <v/>
      </c>
      <c r="R2737" s="84" t="str">
        <f>IF(AND($N2737=$Q$7,$B2737&lt;'111'!$L$11),"x","")</f>
        <v/>
      </c>
      <c r="S2737" s="84" t="str">
        <f>IF(AND($O2737=$Q$7,$B2737&lt;'111'!$L$11),"x","")</f>
        <v/>
      </c>
      <c r="T2737" s="84" t="str">
        <f>IF(ISERROR(FIND('112'!$M$9,G2737,1)),"",IF((AND(FIND('112'!$M$9,G2737,1)&gt;=1,B2737='112'!$K$9,OR($N2737='112'!$I$6,$O2737='112'!$I$6))),"x",""))</f>
        <v/>
      </c>
      <c r="U2737" s="84" t="str">
        <f>IF(ISERROR(FIND('112'!$M$9,G2737,1)),"",IF((AND(LEFT(G2737,2)=LEFT('112'!$M$9,2),B2737&lt;'112'!$K$9,$N2737='112'!$I$6)),"x",""))</f>
        <v/>
      </c>
      <c r="V2737" s="84" t="str">
        <f>IF(ISERROR(FIND('112'!$M$9,G2737,1)),"",IF((AND(RIGHT(G2737,2)=RIGHT('112'!$M$9,2),B2737&lt;'112'!$K$9,$O2737='112'!$I$6)),"x",""))</f>
        <v/>
      </c>
      <c r="W2737" s="84" t="str">
        <f>IF(AND('341-CT'!$H$9=H2737,OR(LEFT(N2737,3)=$W$7,LEFT(O2737,3)=$W$7)),"x","")</f>
        <v/>
      </c>
      <c r="X2737" s="84" t="str">
        <f>IF(OR(TH!N2737=TH!$X$7,O2737=TH!$X$7),"x","")</f>
        <v/>
      </c>
      <c r="Y2737" s="84" t="str">
        <f>IF(AND(OR(N2737="131",O2737="131"),H2737='131-CT'!$H$9),"x","")</f>
        <v/>
      </c>
      <c r="Z2737" s="84"/>
      <c r="AA2737" s="84" t="str">
        <f>IF(AND(MONTH(E2737)='IN-NX'!$J$5,'IN-NX'!$D$7=D2737),"x","")</f>
        <v/>
      </c>
      <c r="AB2737" s="84" t="str">
        <f>IF(AND(OR(LEFT(TH!N2737,2)="15",LEFT(TH!O2737,2)="15"),LEFT(TH!O2737,3)&lt;&gt;"111",'152-CT'!$J$8=TH!F2737),"x","")</f>
        <v/>
      </c>
      <c r="AC2737" s="84" t="str">
        <f>IF(AND(OR(LEFT(TH!N2737,2)="15",LEFT(TH!O2737,2)="15"),TK!$E$7=TH!F2737),"x","")</f>
        <v/>
      </c>
      <c r="AD2737" s="84" t="str">
        <f>IF(AND(N2737="1521",MONTH(C2737)='BK-NL'!$M$11),"x","")</f>
        <v/>
      </c>
    </row>
    <row r="2738" spans="1:30" s="351" customFormat="1" ht="15.75" hidden="1" customHeight="1">
      <c r="A2738" s="336" t="str">
        <f>IF(B2738&lt;&gt;"",IF(AND(B2738='IN-TC'!$S$4,OR(TH!N2738="1111",TH!O2738="1111")),TH!D2738,""),"")</f>
        <v/>
      </c>
      <c r="B2738" s="63" t="str">
        <f t="shared" si="299"/>
        <v/>
      </c>
      <c r="C2738" s="64"/>
      <c r="D2738" s="64"/>
      <c r="E2738" s="64"/>
      <c r="F2738" s="67"/>
      <c r="G2738" s="67"/>
      <c r="H2738" s="73"/>
      <c r="I2738" s="439"/>
      <c r="J2738" s="439"/>
      <c r="K2738" s="430"/>
      <c r="L2738" s="439"/>
      <c r="M2738" s="65"/>
      <c r="N2738" s="66"/>
      <c r="O2738" s="66"/>
      <c r="P2738" s="84" t="str">
        <f>IF(AND('331-CT'!$E$7=TH!H2738,OR(N2738="331",O2738="331")),"x","")</f>
        <v/>
      </c>
      <c r="Q2738" s="84" t="str">
        <f>IF(AND(B2738='111'!$L$11,OR($N2738=$Q$7,$O2738=$Q$7)),"x","")</f>
        <v/>
      </c>
      <c r="R2738" s="84" t="str">
        <f>IF(AND($N2738=$Q$7,$B2738&lt;'111'!$L$11),"x","")</f>
        <v/>
      </c>
      <c r="S2738" s="84" t="str">
        <f>IF(AND($O2738=$Q$7,$B2738&lt;'111'!$L$11),"x","")</f>
        <v/>
      </c>
      <c r="T2738" s="84" t="str">
        <f>IF(ISERROR(FIND('112'!$M$9,G2738,1)),"",IF((AND(FIND('112'!$M$9,G2738,1)&gt;=1,B2738='112'!$K$9,OR($N2738='112'!$I$6,$O2738='112'!$I$6))),"x",""))</f>
        <v/>
      </c>
      <c r="U2738" s="84" t="str">
        <f>IF(ISERROR(FIND('112'!$M$9,G2738,1)),"",IF((AND(LEFT(G2738,2)=LEFT('112'!$M$9,2),B2738&lt;'112'!$K$9,$N2738='112'!$I$6)),"x",""))</f>
        <v/>
      </c>
      <c r="V2738" s="84" t="str">
        <f>IF(ISERROR(FIND('112'!$M$9,G2738,1)),"",IF((AND(RIGHT(G2738,2)=RIGHT('112'!$M$9,2),B2738&lt;'112'!$K$9,$O2738='112'!$I$6)),"x",""))</f>
        <v/>
      </c>
      <c r="W2738" s="84" t="str">
        <f>IF(AND('341-CT'!$H$9=H2738,OR(LEFT(N2738,3)=$W$7,LEFT(O2738,3)=$W$7)),"x","")</f>
        <v/>
      </c>
      <c r="X2738" s="84" t="str">
        <f>IF(OR(TH!N2738=TH!$X$7,O2738=TH!$X$7),"x","")</f>
        <v/>
      </c>
      <c r="Y2738" s="84" t="str">
        <f>IF(AND(OR(N2738="131",O2738="131"),H2738='131-CT'!$H$9),"x","")</f>
        <v/>
      </c>
      <c r="Z2738" s="84"/>
      <c r="AA2738" s="84" t="str">
        <f>IF(AND(MONTH(E2738)='IN-NX'!$J$5,'IN-NX'!$D$7=D2738),"x","")</f>
        <v/>
      </c>
      <c r="AB2738" s="84" t="str">
        <f>IF(AND(OR(LEFT(TH!N2738,2)="15",LEFT(TH!O2738,2)="15"),LEFT(TH!O2738,3)&lt;&gt;"111",'152-CT'!$J$8=TH!F2738),"x","")</f>
        <v/>
      </c>
      <c r="AC2738" s="84" t="str">
        <f>IF(AND(OR(LEFT(TH!N2738,2)="15",LEFT(TH!O2738,2)="15"),TK!$E$7=TH!F2738),"x","")</f>
        <v/>
      </c>
      <c r="AD2738" s="84" t="str">
        <f>IF(AND(N2738="1521",MONTH(C2738)='BK-NL'!$M$11),"x","")</f>
        <v/>
      </c>
    </row>
    <row r="2739" spans="1:30" s="351" customFormat="1" ht="15.75" hidden="1" customHeight="1">
      <c r="A2739" s="336" t="str">
        <f>IF(B2739&lt;&gt;"",IF(AND(B2739='IN-TC'!$S$4,OR(TH!N2739="1111",TH!O2739="1111")),TH!D2739,""),"")</f>
        <v/>
      </c>
      <c r="B2739" s="63" t="str">
        <f t="shared" si="299"/>
        <v/>
      </c>
      <c r="C2739" s="64"/>
      <c r="D2739" s="64"/>
      <c r="E2739" s="64"/>
      <c r="F2739" s="67"/>
      <c r="G2739" s="67"/>
      <c r="H2739" s="73"/>
      <c r="I2739" s="439"/>
      <c r="J2739" s="439"/>
      <c r="K2739" s="430"/>
      <c r="L2739" s="439"/>
      <c r="M2739" s="65"/>
      <c r="N2739" s="66"/>
      <c r="O2739" s="66"/>
      <c r="P2739" s="84" t="str">
        <f>IF(AND('331-CT'!$E$7=TH!H2739,OR(N2739="331",O2739="331")),"x","")</f>
        <v/>
      </c>
      <c r="Q2739" s="84" t="str">
        <f>IF(AND(B2739='111'!$L$11,OR($N2739=$Q$7,$O2739=$Q$7)),"x","")</f>
        <v/>
      </c>
      <c r="R2739" s="84" t="str">
        <f>IF(AND($N2739=$Q$7,$B2739&lt;'111'!$L$11),"x","")</f>
        <v/>
      </c>
      <c r="S2739" s="84" t="str">
        <f>IF(AND($O2739=$Q$7,$B2739&lt;'111'!$L$11),"x","")</f>
        <v/>
      </c>
      <c r="T2739" s="84" t="str">
        <f>IF(ISERROR(FIND('112'!$M$9,G2739,1)),"",IF((AND(FIND('112'!$M$9,G2739,1)&gt;=1,B2739='112'!$K$9,OR($N2739='112'!$I$6,$O2739='112'!$I$6))),"x",""))</f>
        <v/>
      </c>
      <c r="U2739" s="84" t="str">
        <f>IF(ISERROR(FIND('112'!$M$9,G2739,1)),"",IF((AND(LEFT(G2739,2)=LEFT('112'!$M$9,2),B2739&lt;'112'!$K$9,$N2739='112'!$I$6)),"x",""))</f>
        <v/>
      </c>
      <c r="V2739" s="84" t="str">
        <f>IF(ISERROR(FIND('112'!$M$9,G2739,1)),"",IF((AND(RIGHT(G2739,2)=RIGHT('112'!$M$9,2),B2739&lt;'112'!$K$9,$O2739='112'!$I$6)),"x",""))</f>
        <v/>
      </c>
      <c r="W2739" s="84" t="str">
        <f>IF(AND('341-CT'!$H$9=H2739,OR(LEFT(N2739,3)=$W$7,LEFT(O2739,3)=$W$7)),"x","")</f>
        <v/>
      </c>
      <c r="X2739" s="84" t="str">
        <f>IF(OR(TH!N2739=TH!$X$7,O2739=TH!$X$7),"x","")</f>
        <v/>
      </c>
      <c r="Y2739" s="84" t="str">
        <f>IF(AND(OR(N2739="131",O2739="131"),H2739='131-CT'!$H$9),"x","")</f>
        <v/>
      </c>
      <c r="Z2739" s="84"/>
      <c r="AA2739" s="84" t="str">
        <f>IF(AND(MONTH(E2739)='IN-NX'!$J$5,'IN-NX'!$D$7=D2739),"x","")</f>
        <v/>
      </c>
      <c r="AB2739" s="84" t="str">
        <f>IF(AND(OR(LEFT(TH!N2739,2)="15",LEFT(TH!O2739,2)="15"),LEFT(TH!O2739,3)&lt;&gt;"111",'152-CT'!$J$8=TH!F2739),"x","")</f>
        <v/>
      </c>
      <c r="AC2739" s="84" t="str">
        <f>IF(AND(OR(LEFT(TH!N2739,2)="15",LEFT(TH!O2739,2)="15"),TK!$E$7=TH!F2739),"x","")</f>
        <v/>
      </c>
      <c r="AD2739" s="84" t="str">
        <f>IF(AND(N2739="1521",MONTH(C2739)='BK-NL'!$M$11),"x","")</f>
        <v/>
      </c>
    </row>
    <row r="2740" spans="1:30" s="351" customFormat="1" ht="15.75" hidden="1" customHeight="1">
      <c r="A2740" s="336" t="str">
        <f>IF(B2740&lt;&gt;"",IF(AND(B2740='IN-TC'!$S$4,OR(TH!N2740="1111",TH!O2740="1111")),TH!D2740,""),"")</f>
        <v/>
      </c>
      <c r="B2740" s="63" t="str">
        <f t="shared" si="299"/>
        <v/>
      </c>
      <c r="C2740" s="64"/>
      <c r="D2740" s="64"/>
      <c r="E2740" s="64"/>
      <c r="F2740" s="67"/>
      <c r="G2740" s="67"/>
      <c r="H2740" s="73"/>
      <c r="I2740" s="439"/>
      <c r="J2740" s="439"/>
      <c r="K2740" s="430"/>
      <c r="L2740" s="439"/>
      <c r="M2740" s="65"/>
      <c r="N2740" s="66"/>
      <c r="O2740" s="66"/>
      <c r="P2740" s="84" t="str">
        <f>IF(AND('331-CT'!$E$7=TH!H2740,OR(N2740="331",O2740="331")),"x","")</f>
        <v/>
      </c>
      <c r="Q2740" s="84" t="str">
        <f>IF(AND(B2740='111'!$L$11,OR($N2740=$Q$7,$O2740=$Q$7)),"x","")</f>
        <v/>
      </c>
      <c r="R2740" s="84" t="str">
        <f>IF(AND($N2740=$Q$7,$B2740&lt;'111'!$L$11),"x","")</f>
        <v/>
      </c>
      <c r="S2740" s="84" t="str">
        <f>IF(AND($O2740=$Q$7,$B2740&lt;'111'!$L$11),"x","")</f>
        <v/>
      </c>
      <c r="T2740" s="84" t="str">
        <f>IF(ISERROR(FIND('112'!$M$9,G2740,1)),"",IF((AND(FIND('112'!$M$9,G2740,1)&gt;=1,B2740='112'!$K$9,OR($N2740='112'!$I$6,$O2740='112'!$I$6))),"x",""))</f>
        <v/>
      </c>
      <c r="U2740" s="84" t="str">
        <f>IF(ISERROR(FIND('112'!$M$9,G2740,1)),"",IF((AND(LEFT(G2740,2)=LEFT('112'!$M$9,2),B2740&lt;'112'!$K$9,$N2740='112'!$I$6)),"x",""))</f>
        <v/>
      </c>
      <c r="V2740" s="84" t="str">
        <f>IF(ISERROR(FIND('112'!$M$9,G2740,1)),"",IF((AND(RIGHT(G2740,2)=RIGHT('112'!$M$9,2),B2740&lt;'112'!$K$9,$O2740='112'!$I$6)),"x",""))</f>
        <v/>
      </c>
      <c r="W2740" s="84" t="str">
        <f>IF(AND('341-CT'!$H$9=H2740,OR(LEFT(N2740,3)=$W$7,LEFT(O2740,3)=$W$7)),"x","")</f>
        <v/>
      </c>
      <c r="X2740" s="84" t="str">
        <f>IF(OR(TH!N2740=TH!$X$7,O2740=TH!$X$7),"x","")</f>
        <v/>
      </c>
      <c r="Y2740" s="84" t="str">
        <f>IF(AND(OR(N2740="131",O2740="131"),H2740='131-CT'!$H$9),"x","")</f>
        <v/>
      </c>
      <c r="Z2740" s="84"/>
      <c r="AA2740" s="84" t="str">
        <f>IF(AND(MONTH(E2740)='IN-NX'!$J$5,'IN-NX'!$D$7=D2740),"x","")</f>
        <v/>
      </c>
      <c r="AB2740" s="84" t="str">
        <f>IF(AND(OR(LEFT(TH!N2740,2)="15",LEFT(TH!O2740,2)="15"),LEFT(TH!O2740,3)&lt;&gt;"111",'152-CT'!$J$8=TH!F2740),"x","")</f>
        <v/>
      </c>
      <c r="AC2740" s="84" t="str">
        <f>IF(AND(OR(LEFT(TH!N2740,2)="15",LEFT(TH!O2740,2)="15"),TK!$E$7=TH!F2740),"x","")</f>
        <v/>
      </c>
      <c r="AD2740" s="84" t="str">
        <f>IF(AND(N2740="1521",MONTH(C2740)='BK-NL'!$M$11),"x","")</f>
        <v/>
      </c>
    </row>
    <row r="2741" spans="1:30" s="351" customFormat="1" ht="15.75" hidden="1" customHeight="1">
      <c r="A2741" s="336" t="str">
        <f>IF(B2741&lt;&gt;"",IF(AND(B2741='IN-TC'!$S$4,OR(TH!N2741="1111",TH!O2741="1111")),TH!D2741,""),"")</f>
        <v/>
      </c>
      <c r="B2741" s="63" t="str">
        <f t="shared" si="299"/>
        <v/>
      </c>
      <c r="C2741" s="64"/>
      <c r="D2741" s="64"/>
      <c r="E2741" s="64"/>
      <c r="F2741" s="67"/>
      <c r="G2741" s="67"/>
      <c r="H2741" s="73"/>
      <c r="I2741" s="439"/>
      <c r="J2741" s="439"/>
      <c r="K2741" s="430"/>
      <c r="L2741" s="439"/>
      <c r="M2741" s="65"/>
      <c r="N2741" s="66"/>
      <c r="O2741" s="66"/>
      <c r="P2741" s="84" t="str">
        <f>IF(AND('331-CT'!$E$7=TH!H2741,OR(N2741="331",O2741="331")),"x","")</f>
        <v/>
      </c>
      <c r="Q2741" s="84" t="str">
        <f>IF(AND(B2741='111'!$L$11,OR($N2741=$Q$7,$O2741=$Q$7)),"x","")</f>
        <v/>
      </c>
      <c r="R2741" s="84" t="str">
        <f>IF(AND($N2741=$Q$7,$B2741&lt;'111'!$L$11),"x","")</f>
        <v/>
      </c>
      <c r="S2741" s="84" t="str">
        <f>IF(AND($O2741=$Q$7,$B2741&lt;'111'!$L$11),"x","")</f>
        <v/>
      </c>
      <c r="T2741" s="84" t="str">
        <f>IF(ISERROR(FIND('112'!$M$9,G2741,1)),"",IF((AND(FIND('112'!$M$9,G2741,1)&gt;=1,B2741='112'!$K$9,OR($N2741='112'!$I$6,$O2741='112'!$I$6))),"x",""))</f>
        <v/>
      </c>
      <c r="U2741" s="84" t="str">
        <f>IF(ISERROR(FIND('112'!$M$9,G2741,1)),"",IF((AND(LEFT(G2741,2)=LEFT('112'!$M$9,2),B2741&lt;'112'!$K$9,$N2741='112'!$I$6)),"x",""))</f>
        <v/>
      </c>
      <c r="V2741" s="84" t="str">
        <f>IF(ISERROR(FIND('112'!$M$9,G2741,1)),"",IF((AND(RIGHT(G2741,2)=RIGHT('112'!$M$9,2),B2741&lt;'112'!$K$9,$O2741='112'!$I$6)),"x",""))</f>
        <v/>
      </c>
      <c r="W2741" s="84" t="str">
        <f>IF(AND('341-CT'!$H$9=H2741,OR(LEFT(N2741,3)=$W$7,LEFT(O2741,3)=$W$7)),"x","")</f>
        <v/>
      </c>
      <c r="X2741" s="84" t="str">
        <f>IF(OR(TH!N2741=TH!$X$7,O2741=TH!$X$7),"x","")</f>
        <v/>
      </c>
      <c r="Y2741" s="84" t="str">
        <f>IF(AND(OR(N2741="131",O2741="131"),H2741='131-CT'!$H$9),"x","")</f>
        <v/>
      </c>
      <c r="Z2741" s="84"/>
      <c r="AA2741" s="84" t="str">
        <f>IF(AND(MONTH(E2741)='IN-NX'!$J$5,'IN-NX'!$D$7=D2741),"x","")</f>
        <v/>
      </c>
      <c r="AB2741" s="84" t="str">
        <f>IF(AND(OR(LEFT(TH!N2741,2)="15",LEFT(TH!O2741,2)="15"),LEFT(TH!O2741,3)&lt;&gt;"111",'152-CT'!$J$8=TH!F2741),"x","")</f>
        <v/>
      </c>
      <c r="AC2741" s="84" t="str">
        <f>IF(AND(OR(LEFT(TH!N2741,2)="15",LEFT(TH!O2741,2)="15"),TK!$E$7=TH!F2741),"x","")</f>
        <v/>
      </c>
      <c r="AD2741" s="84" t="str">
        <f>IF(AND(N2741="1521",MONTH(C2741)='BK-NL'!$M$11),"x","")</f>
        <v/>
      </c>
    </row>
    <row r="2742" spans="1:30" s="351" customFormat="1" ht="15.75" hidden="1" customHeight="1">
      <c r="A2742" s="336" t="str">
        <f>IF(B2742&lt;&gt;"",IF(AND(B2742='IN-TC'!$S$4,OR(TH!N2742="1111",TH!O2742="1111")),TH!D2742,""),"")</f>
        <v/>
      </c>
      <c r="B2742" s="63" t="str">
        <f t="shared" si="299"/>
        <v/>
      </c>
      <c r="C2742" s="64"/>
      <c r="D2742" s="64"/>
      <c r="E2742" s="64"/>
      <c r="F2742" s="67"/>
      <c r="G2742" s="67"/>
      <c r="H2742" s="73"/>
      <c r="I2742" s="439"/>
      <c r="J2742" s="439"/>
      <c r="K2742" s="430"/>
      <c r="L2742" s="439"/>
      <c r="M2742" s="65"/>
      <c r="N2742" s="66"/>
      <c r="O2742" s="66"/>
      <c r="P2742" s="84" t="str">
        <f>IF(AND('331-CT'!$E$7=TH!H2742,OR(N2742="331",O2742="331")),"x","")</f>
        <v/>
      </c>
      <c r="Q2742" s="84" t="str">
        <f>IF(AND(B2742='111'!$L$11,OR($N2742=$Q$7,$O2742=$Q$7)),"x","")</f>
        <v/>
      </c>
      <c r="R2742" s="84" t="str">
        <f>IF(AND($N2742=$Q$7,$B2742&lt;'111'!$L$11),"x","")</f>
        <v/>
      </c>
      <c r="S2742" s="84" t="str">
        <f>IF(AND($O2742=$Q$7,$B2742&lt;'111'!$L$11),"x","")</f>
        <v/>
      </c>
      <c r="T2742" s="84" t="str">
        <f>IF(ISERROR(FIND('112'!$M$9,G2742,1)),"",IF((AND(FIND('112'!$M$9,G2742,1)&gt;=1,B2742='112'!$K$9,OR($N2742='112'!$I$6,$O2742='112'!$I$6))),"x",""))</f>
        <v/>
      </c>
      <c r="U2742" s="84" t="str">
        <f>IF(ISERROR(FIND('112'!$M$9,G2742,1)),"",IF((AND(LEFT(G2742,2)=LEFT('112'!$M$9,2),B2742&lt;'112'!$K$9,$N2742='112'!$I$6)),"x",""))</f>
        <v/>
      </c>
      <c r="V2742" s="84" t="str">
        <f>IF(ISERROR(FIND('112'!$M$9,G2742,1)),"",IF((AND(RIGHT(G2742,2)=RIGHT('112'!$M$9,2),B2742&lt;'112'!$K$9,$O2742='112'!$I$6)),"x",""))</f>
        <v/>
      </c>
      <c r="W2742" s="84" t="str">
        <f>IF(AND('341-CT'!$H$9=H2742,OR(LEFT(N2742,3)=$W$7,LEFT(O2742,3)=$W$7)),"x","")</f>
        <v/>
      </c>
      <c r="X2742" s="84" t="str">
        <f>IF(OR(TH!N2742=TH!$X$7,O2742=TH!$X$7),"x","")</f>
        <v/>
      </c>
      <c r="Y2742" s="84" t="str">
        <f>IF(AND(OR(N2742="131",O2742="131"),H2742='131-CT'!$H$9),"x","")</f>
        <v/>
      </c>
      <c r="Z2742" s="84"/>
      <c r="AA2742" s="84" t="str">
        <f>IF(AND(MONTH(E2742)='IN-NX'!$J$5,'IN-NX'!$D$7=D2742),"x","")</f>
        <v/>
      </c>
      <c r="AB2742" s="84" t="str">
        <f>IF(AND(OR(LEFT(TH!N2742,2)="15",LEFT(TH!O2742,2)="15"),LEFT(TH!O2742,3)&lt;&gt;"111",'152-CT'!$J$8=TH!F2742),"x","")</f>
        <v/>
      </c>
      <c r="AC2742" s="84" t="str">
        <f>IF(AND(OR(LEFT(TH!N2742,2)="15",LEFT(TH!O2742,2)="15"),TK!$E$7=TH!F2742),"x","")</f>
        <v/>
      </c>
      <c r="AD2742" s="84" t="str">
        <f>IF(AND(N2742="1521",MONTH(C2742)='BK-NL'!$M$11),"x","")</f>
        <v/>
      </c>
    </row>
    <row r="2743" spans="1:30" s="351" customFormat="1" ht="15.75" hidden="1" customHeight="1">
      <c r="A2743" s="336" t="str">
        <f>IF(B2743&lt;&gt;"",IF(AND(B2743='IN-TC'!$S$4,OR(TH!N2743="1111",TH!O2743="1111")),TH!D2743,""),"")</f>
        <v/>
      </c>
      <c r="B2743" s="63" t="str">
        <f t="shared" si="299"/>
        <v/>
      </c>
      <c r="C2743" s="64"/>
      <c r="D2743" s="64"/>
      <c r="E2743" s="64"/>
      <c r="F2743" s="67"/>
      <c r="G2743" s="67"/>
      <c r="H2743" s="73"/>
      <c r="I2743" s="439"/>
      <c r="J2743" s="439"/>
      <c r="K2743" s="430"/>
      <c r="L2743" s="439"/>
      <c r="M2743" s="65"/>
      <c r="N2743" s="66"/>
      <c r="O2743" s="66"/>
      <c r="P2743" s="84" t="str">
        <f>IF(AND('331-CT'!$E$7=TH!H2743,OR(N2743="331",O2743="331")),"x","")</f>
        <v/>
      </c>
      <c r="Q2743" s="84" t="str">
        <f>IF(AND(B2743='111'!$L$11,OR($N2743=$Q$7,$O2743=$Q$7)),"x","")</f>
        <v/>
      </c>
      <c r="R2743" s="84" t="str">
        <f>IF(AND($N2743=$Q$7,$B2743&lt;'111'!$L$11),"x","")</f>
        <v/>
      </c>
      <c r="S2743" s="84" t="str">
        <f>IF(AND($O2743=$Q$7,$B2743&lt;'111'!$L$11),"x","")</f>
        <v/>
      </c>
      <c r="T2743" s="84" t="str">
        <f>IF(ISERROR(FIND('112'!$M$9,G2743,1)),"",IF((AND(FIND('112'!$M$9,G2743,1)&gt;=1,B2743='112'!$K$9,OR($N2743='112'!$I$6,$O2743='112'!$I$6))),"x",""))</f>
        <v/>
      </c>
      <c r="U2743" s="84" t="str">
        <f>IF(ISERROR(FIND('112'!$M$9,G2743,1)),"",IF((AND(LEFT(G2743,2)=LEFT('112'!$M$9,2),B2743&lt;'112'!$K$9,$N2743='112'!$I$6)),"x",""))</f>
        <v/>
      </c>
      <c r="V2743" s="84" t="str">
        <f>IF(ISERROR(FIND('112'!$M$9,G2743,1)),"",IF((AND(RIGHT(G2743,2)=RIGHT('112'!$M$9,2),B2743&lt;'112'!$K$9,$O2743='112'!$I$6)),"x",""))</f>
        <v/>
      </c>
      <c r="W2743" s="84" t="str">
        <f>IF(AND('341-CT'!$H$9=H2743,OR(LEFT(N2743,3)=$W$7,LEFT(O2743,3)=$W$7)),"x","")</f>
        <v/>
      </c>
      <c r="X2743" s="84" t="str">
        <f>IF(OR(TH!N2743=TH!$X$7,O2743=TH!$X$7),"x","")</f>
        <v/>
      </c>
      <c r="Y2743" s="84" t="str">
        <f>IF(AND(OR(N2743="131",O2743="131"),H2743='131-CT'!$H$9),"x","")</f>
        <v/>
      </c>
      <c r="Z2743" s="84"/>
      <c r="AA2743" s="84" t="str">
        <f>IF(AND(MONTH(E2743)='IN-NX'!$J$5,'IN-NX'!$D$7=D2743),"x","")</f>
        <v/>
      </c>
      <c r="AB2743" s="84" t="str">
        <f>IF(AND(OR(LEFT(TH!N2743,2)="15",LEFT(TH!O2743,2)="15"),LEFT(TH!O2743,3)&lt;&gt;"111",'152-CT'!$J$8=TH!F2743),"x","")</f>
        <v/>
      </c>
      <c r="AC2743" s="84" t="str">
        <f>IF(AND(OR(LEFT(TH!N2743,2)="15",LEFT(TH!O2743,2)="15"),TK!$E$7=TH!F2743),"x","")</f>
        <v/>
      </c>
      <c r="AD2743" s="84" t="str">
        <f>IF(AND(N2743="1521",MONTH(C2743)='BK-NL'!$M$11),"x","")</f>
        <v/>
      </c>
    </row>
    <row r="2744" spans="1:30" s="351" customFormat="1" ht="15.75" hidden="1" customHeight="1">
      <c r="A2744" s="336" t="str">
        <f>IF(B2744&lt;&gt;"",IF(AND(B2744='IN-TC'!$S$4,OR(TH!N2744="1111",TH!O2744="1111")),TH!D2744,""),"")</f>
        <v/>
      </c>
      <c r="B2744" s="63" t="str">
        <f t="shared" si="299"/>
        <v/>
      </c>
      <c r="C2744" s="64"/>
      <c r="D2744" s="64"/>
      <c r="E2744" s="64"/>
      <c r="F2744" s="67"/>
      <c r="G2744" s="67"/>
      <c r="H2744" s="73"/>
      <c r="I2744" s="439"/>
      <c r="J2744" s="439"/>
      <c r="K2744" s="430"/>
      <c r="L2744" s="439"/>
      <c r="M2744" s="65"/>
      <c r="N2744" s="66"/>
      <c r="O2744" s="66"/>
      <c r="P2744" s="84" t="str">
        <f>IF(AND('331-CT'!$E$7=TH!H2744,OR(N2744="331",O2744="331")),"x","")</f>
        <v/>
      </c>
      <c r="Q2744" s="84" t="str">
        <f>IF(AND(B2744='111'!$L$11,OR($N2744=$Q$7,$O2744=$Q$7)),"x","")</f>
        <v/>
      </c>
      <c r="R2744" s="84" t="str">
        <f>IF(AND($N2744=$Q$7,$B2744&lt;'111'!$L$11),"x","")</f>
        <v/>
      </c>
      <c r="S2744" s="84" t="str">
        <f>IF(AND($O2744=$Q$7,$B2744&lt;'111'!$L$11),"x","")</f>
        <v/>
      </c>
      <c r="T2744" s="84" t="str">
        <f>IF(ISERROR(FIND('112'!$M$9,G2744,1)),"",IF((AND(FIND('112'!$M$9,G2744,1)&gt;=1,B2744='112'!$K$9,OR($N2744='112'!$I$6,$O2744='112'!$I$6))),"x",""))</f>
        <v/>
      </c>
      <c r="U2744" s="84" t="str">
        <f>IF(ISERROR(FIND('112'!$M$9,G2744,1)),"",IF((AND(LEFT(G2744,2)=LEFT('112'!$M$9,2),B2744&lt;'112'!$K$9,$N2744='112'!$I$6)),"x",""))</f>
        <v/>
      </c>
      <c r="V2744" s="84" t="str">
        <f>IF(ISERROR(FIND('112'!$M$9,G2744,1)),"",IF((AND(RIGHT(G2744,2)=RIGHT('112'!$M$9,2),B2744&lt;'112'!$K$9,$O2744='112'!$I$6)),"x",""))</f>
        <v/>
      </c>
      <c r="W2744" s="84" t="str">
        <f>IF(AND('341-CT'!$H$9=H2744,OR(LEFT(N2744,3)=$W$7,LEFT(O2744,3)=$W$7)),"x","")</f>
        <v/>
      </c>
      <c r="X2744" s="84" t="str">
        <f>IF(OR(TH!N2744=TH!$X$7,O2744=TH!$X$7),"x","")</f>
        <v/>
      </c>
      <c r="Y2744" s="84" t="str">
        <f>IF(AND(OR(N2744="131",O2744="131"),H2744='131-CT'!$H$9),"x","")</f>
        <v/>
      </c>
      <c r="Z2744" s="84"/>
      <c r="AA2744" s="84" t="str">
        <f>IF(AND(MONTH(E2744)='IN-NX'!$J$5,'IN-NX'!$D$7=D2744),"x","")</f>
        <v/>
      </c>
      <c r="AB2744" s="84" t="str">
        <f>IF(AND(OR(LEFT(TH!N2744,2)="15",LEFT(TH!O2744,2)="15"),LEFT(TH!O2744,3)&lt;&gt;"111",'152-CT'!$J$8=TH!F2744),"x","")</f>
        <v/>
      </c>
      <c r="AC2744" s="84" t="str">
        <f>IF(AND(OR(LEFT(TH!N2744,2)="15",LEFT(TH!O2744,2)="15"),TK!$E$7=TH!F2744),"x","")</f>
        <v/>
      </c>
      <c r="AD2744" s="84" t="str">
        <f>IF(AND(N2744="1521",MONTH(C2744)='BK-NL'!$M$11),"x","")</f>
        <v/>
      </c>
    </row>
    <row r="2745" spans="1:30" s="351" customFormat="1" ht="15.75" hidden="1" customHeight="1">
      <c r="A2745" s="336" t="str">
        <f>IF(B2745&lt;&gt;"",IF(AND(B2745='IN-TC'!$S$4,OR(TH!N2745="1111",TH!O2745="1111")),TH!D2745,""),"")</f>
        <v/>
      </c>
      <c r="B2745" s="63" t="str">
        <f t="shared" si="299"/>
        <v/>
      </c>
      <c r="C2745" s="64"/>
      <c r="D2745" s="64"/>
      <c r="E2745" s="64"/>
      <c r="F2745" s="67"/>
      <c r="G2745" s="67"/>
      <c r="H2745" s="73"/>
      <c r="I2745" s="439"/>
      <c r="J2745" s="439"/>
      <c r="K2745" s="430"/>
      <c r="L2745" s="439"/>
      <c r="M2745" s="65"/>
      <c r="N2745" s="66"/>
      <c r="O2745" s="66"/>
      <c r="P2745" s="84" t="str">
        <f>IF(AND('331-CT'!$E$7=TH!H2745,OR(N2745="331",O2745="331")),"x","")</f>
        <v/>
      </c>
      <c r="Q2745" s="84" t="str">
        <f>IF(AND(B2745='111'!$L$11,OR($N2745=$Q$7,$O2745=$Q$7)),"x","")</f>
        <v/>
      </c>
      <c r="R2745" s="84" t="str">
        <f>IF(AND($N2745=$Q$7,$B2745&lt;'111'!$L$11),"x","")</f>
        <v/>
      </c>
      <c r="S2745" s="84" t="str">
        <f>IF(AND($O2745=$Q$7,$B2745&lt;'111'!$L$11),"x","")</f>
        <v/>
      </c>
      <c r="T2745" s="84" t="str">
        <f>IF(ISERROR(FIND('112'!$M$9,G2745,1)),"",IF((AND(FIND('112'!$M$9,G2745,1)&gt;=1,B2745='112'!$K$9,OR($N2745='112'!$I$6,$O2745='112'!$I$6))),"x",""))</f>
        <v/>
      </c>
      <c r="U2745" s="84" t="str">
        <f>IF(ISERROR(FIND('112'!$M$9,G2745,1)),"",IF((AND(LEFT(G2745,2)=LEFT('112'!$M$9,2),B2745&lt;'112'!$K$9,$N2745='112'!$I$6)),"x",""))</f>
        <v/>
      </c>
      <c r="V2745" s="84" t="str">
        <f>IF(ISERROR(FIND('112'!$M$9,G2745,1)),"",IF((AND(RIGHT(G2745,2)=RIGHT('112'!$M$9,2),B2745&lt;'112'!$K$9,$O2745='112'!$I$6)),"x",""))</f>
        <v/>
      </c>
      <c r="W2745" s="84" t="str">
        <f>IF(AND('341-CT'!$H$9=H2745,OR(LEFT(N2745,3)=$W$7,LEFT(O2745,3)=$W$7)),"x","")</f>
        <v/>
      </c>
      <c r="X2745" s="84" t="str">
        <f>IF(OR(TH!N2745=TH!$X$7,O2745=TH!$X$7),"x","")</f>
        <v/>
      </c>
      <c r="Y2745" s="84" t="str">
        <f>IF(AND(OR(N2745="131",O2745="131"),H2745='131-CT'!$H$9),"x","")</f>
        <v/>
      </c>
      <c r="Z2745" s="84"/>
      <c r="AA2745" s="84" t="str">
        <f>IF(AND(MONTH(E2745)='IN-NX'!$J$5,'IN-NX'!$D$7=D2745),"x","")</f>
        <v/>
      </c>
      <c r="AB2745" s="84" t="str">
        <f>IF(AND(OR(LEFT(TH!N2745,2)="15",LEFT(TH!O2745,2)="15"),LEFT(TH!O2745,3)&lt;&gt;"111",'152-CT'!$J$8=TH!F2745),"x","")</f>
        <v/>
      </c>
      <c r="AC2745" s="84" t="str">
        <f>IF(AND(OR(LEFT(TH!N2745,2)="15",LEFT(TH!O2745,2)="15"),TK!$E$7=TH!F2745),"x","")</f>
        <v/>
      </c>
      <c r="AD2745" s="84" t="str">
        <f>IF(AND(N2745="1521",MONTH(C2745)='BK-NL'!$M$11),"x","")</f>
        <v/>
      </c>
    </row>
    <row r="2746" spans="1:30" s="351" customFormat="1" ht="15.75" hidden="1" customHeight="1">
      <c r="A2746" s="336" t="str">
        <f>IF(B2746&lt;&gt;"",IF(AND(B2746='IN-TC'!$S$4,OR(TH!N2746="1111",TH!O2746="1111")),TH!D2746,""),"")</f>
        <v/>
      </c>
      <c r="B2746" s="63" t="str">
        <f t="shared" si="299"/>
        <v/>
      </c>
      <c r="C2746" s="64"/>
      <c r="D2746" s="64"/>
      <c r="E2746" s="64"/>
      <c r="F2746" s="67"/>
      <c r="G2746" s="67"/>
      <c r="H2746" s="73"/>
      <c r="I2746" s="439"/>
      <c r="J2746" s="439"/>
      <c r="K2746" s="430"/>
      <c r="L2746" s="439"/>
      <c r="M2746" s="65"/>
      <c r="N2746" s="66"/>
      <c r="O2746" s="66"/>
      <c r="P2746" s="84" t="str">
        <f>IF(AND('331-CT'!$E$7=TH!H2746,OR(N2746="331",O2746="331")),"x","")</f>
        <v/>
      </c>
      <c r="Q2746" s="84" t="str">
        <f>IF(AND(B2746='111'!$L$11,OR($N2746=$Q$7,$O2746=$Q$7)),"x","")</f>
        <v/>
      </c>
      <c r="R2746" s="84" t="str">
        <f>IF(AND($N2746=$Q$7,$B2746&lt;'111'!$L$11),"x","")</f>
        <v/>
      </c>
      <c r="S2746" s="84" t="str">
        <f>IF(AND($O2746=$Q$7,$B2746&lt;'111'!$L$11),"x","")</f>
        <v/>
      </c>
      <c r="T2746" s="84" t="str">
        <f>IF(ISERROR(FIND('112'!$M$9,G2746,1)),"",IF((AND(FIND('112'!$M$9,G2746,1)&gt;=1,B2746='112'!$K$9,OR($N2746='112'!$I$6,$O2746='112'!$I$6))),"x",""))</f>
        <v/>
      </c>
      <c r="U2746" s="84" t="str">
        <f>IF(ISERROR(FIND('112'!$M$9,G2746,1)),"",IF((AND(LEFT(G2746,2)=LEFT('112'!$M$9,2),B2746&lt;'112'!$K$9,$N2746='112'!$I$6)),"x",""))</f>
        <v/>
      </c>
      <c r="V2746" s="84" t="str">
        <f>IF(ISERROR(FIND('112'!$M$9,G2746,1)),"",IF((AND(RIGHT(G2746,2)=RIGHT('112'!$M$9,2),B2746&lt;'112'!$K$9,$O2746='112'!$I$6)),"x",""))</f>
        <v/>
      </c>
      <c r="W2746" s="84" t="str">
        <f>IF(AND('341-CT'!$H$9=H2746,OR(LEFT(N2746,3)=$W$7,LEFT(O2746,3)=$W$7)),"x","")</f>
        <v/>
      </c>
      <c r="X2746" s="84" t="str">
        <f>IF(OR(TH!N2746=TH!$X$7,O2746=TH!$X$7),"x","")</f>
        <v/>
      </c>
      <c r="Y2746" s="84" t="str">
        <f>IF(AND(OR(N2746="131",O2746="131"),H2746='131-CT'!$H$9),"x","")</f>
        <v/>
      </c>
      <c r="Z2746" s="84"/>
      <c r="AA2746" s="84" t="str">
        <f>IF(AND(MONTH(E2746)='IN-NX'!$J$5,'IN-NX'!$D$7=D2746),"x","")</f>
        <v/>
      </c>
      <c r="AB2746" s="84" t="str">
        <f>IF(AND(OR(LEFT(TH!N2746,2)="15",LEFT(TH!O2746,2)="15"),LEFT(TH!O2746,3)&lt;&gt;"111",'152-CT'!$J$8=TH!F2746),"x","")</f>
        <v/>
      </c>
      <c r="AC2746" s="84" t="str">
        <f>IF(AND(OR(LEFT(TH!N2746,2)="15",LEFT(TH!O2746,2)="15"),TK!$E$7=TH!F2746),"x","")</f>
        <v/>
      </c>
      <c r="AD2746" s="84" t="str">
        <f>IF(AND(N2746="1521",MONTH(C2746)='BK-NL'!$M$11),"x","")</f>
        <v/>
      </c>
    </row>
    <row r="2747" spans="1:30" s="351" customFormat="1" ht="15.75" hidden="1" customHeight="1">
      <c r="A2747" s="336" t="str">
        <f>IF(B2747&lt;&gt;"",IF(AND(B2747='IN-TC'!$S$4,OR(TH!N2747="1111",TH!O2747="1111")),TH!D2747,""),"")</f>
        <v/>
      </c>
      <c r="B2747" s="63" t="str">
        <f t="shared" si="299"/>
        <v/>
      </c>
      <c r="C2747" s="64"/>
      <c r="D2747" s="64"/>
      <c r="E2747" s="64"/>
      <c r="F2747" s="67"/>
      <c r="G2747" s="67"/>
      <c r="H2747" s="73"/>
      <c r="I2747" s="439"/>
      <c r="J2747" s="439"/>
      <c r="K2747" s="430"/>
      <c r="L2747" s="439"/>
      <c r="M2747" s="65"/>
      <c r="N2747" s="66"/>
      <c r="O2747" s="66"/>
      <c r="P2747" s="84" t="str">
        <f>IF(AND('331-CT'!$E$7=TH!H2747,OR(N2747="331",O2747="331")),"x","")</f>
        <v/>
      </c>
      <c r="Q2747" s="84" t="str">
        <f>IF(AND(B2747='111'!$L$11,OR($N2747=$Q$7,$O2747=$Q$7)),"x","")</f>
        <v/>
      </c>
      <c r="R2747" s="84" t="str">
        <f>IF(AND($N2747=$Q$7,$B2747&lt;'111'!$L$11),"x","")</f>
        <v/>
      </c>
      <c r="S2747" s="84" t="str">
        <f>IF(AND($O2747=$Q$7,$B2747&lt;'111'!$L$11),"x","")</f>
        <v/>
      </c>
      <c r="T2747" s="84" t="str">
        <f>IF(ISERROR(FIND('112'!$M$9,G2747,1)),"",IF((AND(FIND('112'!$M$9,G2747,1)&gt;=1,B2747='112'!$K$9,OR($N2747='112'!$I$6,$O2747='112'!$I$6))),"x",""))</f>
        <v/>
      </c>
      <c r="U2747" s="84" t="str">
        <f>IF(ISERROR(FIND('112'!$M$9,G2747,1)),"",IF((AND(LEFT(G2747,2)=LEFT('112'!$M$9,2),B2747&lt;'112'!$K$9,$N2747='112'!$I$6)),"x",""))</f>
        <v/>
      </c>
      <c r="V2747" s="84" t="str">
        <f>IF(ISERROR(FIND('112'!$M$9,G2747,1)),"",IF((AND(RIGHT(G2747,2)=RIGHT('112'!$M$9,2),B2747&lt;'112'!$K$9,$O2747='112'!$I$6)),"x",""))</f>
        <v/>
      </c>
      <c r="W2747" s="84" t="str">
        <f>IF(AND('341-CT'!$H$9=H2747,OR(LEFT(N2747,3)=$W$7,LEFT(O2747,3)=$W$7)),"x","")</f>
        <v/>
      </c>
      <c r="X2747" s="84" t="str">
        <f>IF(OR(TH!N2747=TH!$X$7,O2747=TH!$X$7),"x","")</f>
        <v/>
      </c>
      <c r="Y2747" s="84" t="str">
        <f>IF(AND(OR(N2747="131",O2747="131"),H2747='131-CT'!$H$9),"x","")</f>
        <v/>
      </c>
      <c r="Z2747" s="84"/>
      <c r="AA2747" s="84" t="str">
        <f>IF(AND(MONTH(E2747)='IN-NX'!$J$5,'IN-NX'!$D$7=D2747),"x","")</f>
        <v/>
      </c>
      <c r="AB2747" s="84" t="str">
        <f>IF(AND(OR(LEFT(TH!N2747,2)="15",LEFT(TH!O2747,2)="15"),LEFT(TH!O2747,3)&lt;&gt;"111",'152-CT'!$J$8=TH!F2747),"x","")</f>
        <v/>
      </c>
      <c r="AC2747" s="84" t="str">
        <f>IF(AND(OR(LEFT(TH!N2747,2)="15",LEFT(TH!O2747,2)="15"),TK!$E$7=TH!F2747),"x","")</f>
        <v/>
      </c>
      <c r="AD2747" s="84" t="str">
        <f>IF(AND(N2747="1521",MONTH(C2747)='BK-NL'!$M$11),"x","")</f>
        <v/>
      </c>
    </row>
    <row r="2748" spans="1:30" s="351" customFormat="1" ht="15.75" hidden="1" customHeight="1">
      <c r="A2748" s="336" t="str">
        <f>IF(B2748&lt;&gt;"",IF(AND(B2748='IN-TC'!$S$4,OR(TH!N2748="1111",TH!O2748="1111")),TH!D2748,""),"")</f>
        <v/>
      </c>
      <c r="B2748" s="63" t="str">
        <f t="shared" si="299"/>
        <v/>
      </c>
      <c r="C2748" s="64"/>
      <c r="D2748" s="64"/>
      <c r="E2748" s="64"/>
      <c r="F2748" s="67"/>
      <c r="G2748" s="67"/>
      <c r="H2748" s="73"/>
      <c r="I2748" s="439"/>
      <c r="J2748" s="439"/>
      <c r="K2748" s="430"/>
      <c r="L2748" s="439"/>
      <c r="M2748" s="65"/>
      <c r="N2748" s="66"/>
      <c r="O2748" s="66"/>
      <c r="P2748" s="84" t="str">
        <f>IF(AND('331-CT'!$E$7=TH!H2748,OR(N2748="331",O2748="331")),"x","")</f>
        <v/>
      </c>
      <c r="Q2748" s="84" t="str">
        <f>IF(AND(B2748='111'!$L$11,OR($N2748=$Q$7,$O2748=$Q$7)),"x","")</f>
        <v/>
      </c>
      <c r="R2748" s="84" t="str">
        <f>IF(AND($N2748=$Q$7,$B2748&lt;'111'!$L$11),"x","")</f>
        <v/>
      </c>
      <c r="S2748" s="84" t="str">
        <f>IF(AND($O2748=$Q$7,$B2748&lt;'111'!$L$11),"x","")</f>
        <v/>
      </c>
      <c r="T2748" s="84" t="str">
        <f>IF(ISERROR(FIND('112'!$M$9,G2748,1)),"",IF((AND(FIND('112'!$M$9,G2748,1)&gt;=1,B2748='112'!$K$9,OR($N2748='112'!$I$6,$O2748='112'!$I$6))),"x",""))</f>
        <v/>
      </c>
      <c r="U2748" s="84" t="str">
        <f>IF(ISERROR(FIND('112'!$M$9,G2748,1)),"",IF((AND(LEFT(G2748,2)=LEFT('112'!$M$9,2),B2748&lt;'112'!$K$9,$N2748='112'!$I$6)),"x",""))</f>
        <v/>
      </c>
      <c r="V2748" s="84" t="str">
        <f>IF(ISERROR(FIND('112'!$M$9,G2748,1)),"",IF((AND(RIGHT(G2748,2)=RIGHT('112'!$M$9,2),B2748&lt;'112'!$K$9,$O2748='112'!$I$6)),"x",""))</f>
        <v/>
      </c>
      <c r="W2748" s="84" t="str">
        <f>IF(AND('341-CT'!$H$9=H2748,OR(LEFT(N2748,3)=$W$7,LEFT(O2748,3)=$W$7)),"x","")</f>
        <v/>
      </c>
      <c r="X2748" s="84" t="str">
        <f>IF(OR(TH!N2748=TH!$X$7,O2748=TH!$X$7),"x","")</f>
        <v/>
      </c>
      <c r="Y2748" s="84" t="str">
        <f>IF(AND(OR(N2748="131",O2748="131"),H2748='131-CT'!$H$9),"x","")</f>
        <v/>
      </c>
      <c r="Z2748" s="84"/>
      <c r="AA2748" s="84" t="str">
        <f>IF(AND(MONTH(E2748)='IN-NX'!$J$5,'IN-NX'!$D$7=D2748),"x","")</f>
        <v/>
      </c>
      <c r="AB2748" s="84" t="str">
        <f>IF(AND(OR(LEFT(TH!N2748,2)="15",LEFT(TH!O2748,2)="15"),LEFT(TH!O2748,3)&lt;&gt;"111",'152-CT'!$J$8=TH!F2748),"x","")</f>
        <v/>
      </c>
      <c r="AC2748" s="84" t="str">
        <f>IF(AND(OR(LEFT(TH!N2748,2)="15",LEFT(TH!O2748,2)="15"),TK!$E$7=TH!F2748),"x","")</f>
        <v/>
      </c>
      <c r="AD2748" s="84" t="str">
        <f>IF(AND(N2748="1521",MONTH(C2748)='BK-NL'!$M$11),"x","")</f>
        <v/>
      </c>
    </row>
    <row r="2749" spans="1:30" s="351" customFormat="1" ht="15.75" hidden="1" customHeight="1">
      <c r="A2749" s="336" t="str">
        <f>IF(B2749&lt;&gt;"",IF(AND(B2749='IN-TC'!$S$4,OR(TH!N2749="1111",TH!O2749="1111")),TH!D2749,""),"")</f>
        <v/>
      </c>
      <c r="B2749" s="63" t="str">
        <f t="shared" si="299"/>
        <v/>
      </c>
      <c r="C2749" s="64"/>
      <c r="D2749" s="64"/>
      <c r="E2749" s="64"/>
      <c r="F2749" s="67"/>
      <c r="G2749" s="67"/>
      <c r="H2749" s="73"/>
      <c r="I2749" s="439"/>
      <c r="J2749" s="439"/>
      <c r="K2749" s="430"/>
      <c r="L2749" s="439"/>
      <c r="M2749" s="65"/>
      <c r="N2749" s="66"/>
      <c r="O2749" s="66"/>
      <c r="P2749" s="84" t="str">
        <f>IF(AND('331-CT'!$E$7=TH!H2749,OR(N2749="331",O2749="331")),"x","")</f>
        <v/>
      </c>
      <c r="Q2749" s="84" t="str">
        <f>IF(AND(B2749='111'!$L$11,OR($N2749=$Q$7,$O2749=$Q$7)),"x","")</f>
        <v/>
      </c>
      <c r="R2749" s="84" t="str">
        <f>IF(AND($N2749=$Q$7,$B2749&lt;'111'!$L$11),"x","")</f>
        <v/>
      </c>
      <c r="S2749" s="84" t="str">
        <f>IF(AND($O2749=$Q$7,$B2749&lt;'111'!$L$11),"x","")</f>
        <v/>
      </c>
      <c r="T2749" s="84" t="str">
        <f>IF(ISERROR(FIND('112'!$M$9,G2749,1)),"",IF((AND(FIND('112'!$M$9,G2749,1)&gt;=1,B2749='112'!$K$9,OR($N2749='112'!$I$6,$O2749='112'!$I$6))),"x",""))</f>
        <v/>
      </c>
      <c r="U2749" s="84" t="str">
        <f>IF(ISERROR(FIND('112'!$M$9,G2749,1)),"",IF((AND(LEFT(G2749,2)=LEFT('112'!$M$9,2),B2749&lt;'112'!$K$9,$N2749='112'!$I$6)),"x",""))</f>
        <v/>
      </c>
      <c r="V2749" s="84" t="str">
        <f>IF(ISERROR(FIND('112'!$M$9,G2749,1)),"",IF((AND(RIGHT(G2749,2)=RIGHT('112'!$M$9,2),B2749&lt;'112'!$K$9,$O2749='112'!$I$6)),"x",""))</f>
        <v/>
      </c>
      <c r="W2749" s="84" t="str">
        <f>IF(AND('341-CT'!$H$9=H2749,OR(LEFT(N2749,3)=$W$7,LEFT(O2749,3)=$W$7)),"x","")</f>
        <v/>
      </c>
      <c r="X2749" s="84" t="str">
        <f>IF(OR(TH!N2749=TH!$X$7,O2749=TH!$X$7),"x","")</f>
        <v/>
      </c>
      <c r="Y2749" s="84" t="str">
        <f>IF(AND(OR(N2749="131",O2749="131"),H2749='131-CT'!$H$9),"x","")</f>
        <v/>
      </c>
      <c r="Z2749" s="84"/>
      <c r="AA2749" s="84" t="str">
        <f>IF(AND(MONTH(E2749)='IN-NX'!$J$5,'IN-NX'!$D$7=D2749),"x","")</f>
        <v/>
      </c>
      <c r="AB2749" s="84" t="str">
        <f>IF(AND(OR(LEFT(TH!N2749,2)="15",LEFT(TH!O2749,2)="15"),LEFT(TH!O2749,3)&lt;&gt;"111",'152-CT'!$J$8=TH!F2749),"x","")</f>
        <v/>
      </c>
      <c r="AC2749" s="84" t="str">
        <f>IF(AND(OR(LEFT(TH!N2749,2)="15",LEFT(TH!O2749,2)="15"),TK!$E$7=TH!F2749),"x","")</f>
        <v/>
      </c>
      <c r="AD2749" s="84" t="str">
        <f>IF(AND(N2749="1521",MONTH(C2749)='BK-NL'!$M$11),"x","")</f>
        <v/>
      </c>
    </row>
    <row r="2750" spans="1:30" s="351" customFormat="1" ht="15.75" hidden="1" customHeight="1">
      <c r="A2750" s="336" t="str">
        <f>IF(B2750&lt;&gt;"",IF(AND(B2750='IN-TC'!$S$4,OR(TH!N2750="1111",TH!O2750="1111")),TH!D2750,""),"")</f>
        <v/>
      </c>
      <c r="B2750" s="63" t="str">
        <f t="shared" si="299"/>
        <v/>
      </c>
      <c r="C2750" s="64"/>
      <c r="D2750" s="64"/>
      <c r="E2750" s="64"/>
      <c r="F2750" s="67"/>
      <c r="G2750" s="67"/>
      <c r="H2750" s="73"/>
      <c r="I2750" s="439"/>
      <c r="J2750" s="439"/>
      <c r="K2750" s="430"/>
      <c r="L2750" s="439"/>
      <c r="M2750" s="65"/>
      <c r="N2750" s="66"/>
      <c r="O2750" s="66"/>
      <c r="P2750" s="84" t="str">
        <f>IF(AND('331-CT'!$E$7=TH!H2750,OR(N2750="331",O2750="331")),"x","")</f>
        <v/>
      </c>
      <c r="Q2750" s="84" t="str">
        <f>IF(AND(B2750='111'!$L$11,OR($N2750=$Q$7,$O2750=$Q$7)),"x","")</f>
        <v/>
      </c>
      <c r="R2750" s="84" t="str">
        <f>IF(AND($N2750=$Q$7,$B2750&lt;'111'!$L$11),"x","")</f>
        <v/>
      </c>
      <c r="S2750" s="84" t="str">
        <f>IF(AND($O2750=$Q$7,$B2750&lt;'111'!$L$11),"x","")</f>
        <v/>
      </c>
      <c r="T2750" s="84" t="str">
        <f>IF(ISERROR(FIND('112'!$M$9,G2750,1)),"",IF((AND(FIND('112'!$M$9,G2750,1)&gt;=1,B2750='112'!$K$9,OR($N2750='112'!$I$6,$O2750='112'!$I$6))),"x",""))</f>
        <v/>
      </c>
      <c r="U2750" s="84" t="str">
        <f>IF(ISERROR(FIND('112'!$M$9,G2750,1)),"",IF((AND(LEFT(G2750,2)=LEFT('112'!$M$9,2),B2750&lt;'112'!$K$9,$N2750='112'!$I$6)),"x",""))</f>
        <v/>
      </c>
      <c r="V2750" s="84" t="str">
        <f>IF(ISERROR(FIND('112'!$M$9,G2750,1)),"",IF((AND(RIGHT(G2750,2)=RIGHT('112'!$M$9,2),B2750&lt;'112'!$K$9,$O2750='112'!$I$6)),"x",""))</f>
        <v/>
      </c>
      <c r="W2750" s="84" t="str">
        <f>IF(AND('341-CT'!$H$9=H2750,OR(LEFT(N2750,3)=$W$7,LEFT(O2750,3)=$W$7)),"x","")</f>
        <v/>
      </c>
      <c r="X2750" s="84" t="str">
        <f>IF(OR(TH!N2750=TH!$X$7,O2750=TH!$X$7),"x","")</f>
        <v/>
      </c>
      <c r="Y2750" s="84" t="str">
        <f>IF(AND(OR(N2750="131",O2750="131"),H2750='131-CT'!$H$9),"x","")</f>
        <v/>
      </c>
      <c r="Z2750" s="84"/>
      <c r="AA2750" s="84" t="str">
        <f>IF(AND(MONTH(E2750)='IN-NX'!$J$5,'IN-NX'!$D$7=D2750),"x","")</f>
        <v/>
      </c>
      <c r="AB2750" s="84" t="str">
        <f>IF(AND(OR(LEFT(TH!N2750,2)="15",LEFT(TH!O2750,2)="15"),LEFT(TH!O2750,3)&lt;&gt;"111",'152-CT'!$J$8=TH!F2750),"x","")</f>
        <v/>
      </c>
      <c r="AC2750" s="84" t="str">
        <f>IF(AND(OR(LEFT(TH!N2750,2)="15",LEFT(TH!O2750,2)="15"),TK!$E$7=TH!F2750),"x","")</f>
        <v/>
      </c>
      <c r="AD2750" s="84" t="str">
        <f>IF(AND(N2750="1521",MONTH(C2750)='BK-NL'!$M$11),"x","")</f>
        <v/>
      </c>
    </row>
    <row r="2751" spans="1:30" s="351" customFormat="1" ht="15.75" hidden="1" customHeight="1">
      <c r="A2751" s="336" t="str">
        <f>IF(B2751&lt;&gt;"",IF(AND(B2751='IN-TC'!$S$4,OR(TH!N2751="1111",TH!O2751="1111")),TH!D2751,""),"")</f>
        <v/>
      </c>
      <c r="B2751" s="63" t="str">
        <f t="shared" si="299"/>
        <v/>
      </c>
      <c r="C2751" s="64"/>
      <c r="D2751" s="64"/>
      <c r="E2751" s="64"/>
      <c r="F2751" s="67"/>
      <c r="G2751" s="67"/>
      <c r="H2751" s="73"/>
      <c r="I2751" s="439"/>
      <c r="J2751" s="439"/>
      <c r="K2751" s="430"/>
      <c r="L2751" s="439"/>
      <c r="M2751" s="65"/>
      <c r="N2751" s="66"/>
      <c r="O2751" s="66"/>
      <c r="P2751" s="84" t="str">
        <f>IF(AND('331-CT'!$E$7=TH!H2751,OR(N2751="331",O2751="331")),"x","")</f>
        <v/>
      </c>
      <c r="Q2751" s="84" t="str">
        <f>IF(AND(B2751='111'!$L$11,OR($N2751=$Q$7,$O2751=$Q$7)),"x","")</f>
        <v/>
      </c>
      <c r="R2751" s="84" t="str">
        <f>IF(AND($N2751=$Q$7,$B2751&lt;'111'!$L$11),"x","")</f>
        <v/>
      </c>
      <c r="S2751" s="84" t="str">
        <f>IF(AND($O2751=$Q$7,$B2751&lt;'111'!$L$11),"x","")</f>
        <v/>
      </c>
      <c r="T2751" s="84" t="str">
        <f>IF(ISERROR(FIND('112'!$M$9,G2751,1)),"",IF((AND(FIND('112'!$M$9,G2751,1)&gt;=1,B2751='112'!$K$9,OR($N2751='112'!$I$6,$O2751='112'!$I$6))),"x",""))</f>
        <v/>
      </c>
      <c r="U2751" s="84" t="str">
        <f>IF(ISERROR(FIND('112'!$M$9,G2751,1)),"",IF((AND(LEFT(G2751,2)=LEFT('112'!$M$9,2),B2751&lt;'112'!$K$9,$N2751='112'!$I$6)),"x",""))</f>
        <v/>
      </c>
      <c r="V2751" s="84" t="str">
        <f>IF(ISERROR(FIND('112'!$M$9,G2751,1)),"",IF((AND(RIGHT(G2751,2)=RIGHT('112'!$M$9,2),B2751&lt;'112'!$K$9,$O2751='112'!$I$6)),"x",""))</f>
        <v/>
      </c>
      <c r="W2751" s="84" t="str">
        <f>IF(AND('341-CT'!$H$9=H2751,OR(LEFT(N2751,3)=$W$7,LEFT(O2751,3)=$W$7)),"x","")</f>
        <v/>
      </c>
      <c r="X2751" s="84" t="str">
        <f>IF(OR(TH!N2751=TH!$X$7,O2751=TH!$X$7),"x","")</f>
        <v/>
      </c>
      <c r="Y2751" s="84" t="str">
        <f>IF(AND(OR(N2751="131",O2751="131"),H2751='131-CT'!$H$9),"x","")</f>
        <v/>
      </c>
      <c r="Z2751" s="84"/>
      <c r="AA2751" s="84" t="str">
        <f>IF(AND(MONTH(E2751)='IN-NX'!$J$5,'IN-NX'!$D$7=D2751),"x","")</f>
        <v/>
      </c>
      <c r="AB2751" s="84" t="str">
        <f>IF(AND(OR(LEFT(TH!N2751,2)="15",LEFT(TH!O2751,2)="15"),LEFT(TH!O2751,3)&lt;&gt;"111",'152-CT'!$J$8=TH!F2751),"x","")</f>
        <v/>
      </c>
      <c r="AC2751" s="84" t="str">
        <f>IF(AND(OR(LEFT(TH!N2751,2)="15",LEFT(TH!O2751,2)="15"),TK!$E$7=TH!F2751),"x","")</f>
        <v/>
      </c>
      <c r="AD2751" s="84" t="str">
        <f>IF(AND(N2751="1521",MONTH(C2751)='BK-NL'!$M$11),"x","")</f>
        <v/>
      </c>
    </row>
    <row r="2752" spans="1:30" s="351" customFormat="1" ht="15.75" hidden="1" customHeight="1">
      <c r="A2752" s="336" t="str">
        <f>IF(B2752&lt;&gt;"",IF(AND(B2752='IN-TC'!$S$4,OR(TH!N2752="1111",TH!O2752="1111")),TH!D2752,""),"")</f>
        <v/>
      </c>
      <c r="B2752" s="63" t="str">
        <f t="shared" si="299"/>
        <v/>
      </c>
      <c r="C2752" s="64"/>
      <c r="D2752" s="64"/>
      <c r="E2752" s="64"/>
      <c r="F2752" s="67"/>
      <c r="G2752" s="67"/>
      <c r="H2752" s="73"/>
      <c r="I2752" s="439"/>
      <c r="J2752" s="439"/>
      <c r="K2752" s="430"/>
      <c r="L2752" s="439"/>
      <c r="M2752" s="65"/>
      <c r="N2752" s="66"/>
      <c r="O2752" s="66"/>
      <c r="P2752" s="84" t="str">
        <f>IF(AND('331-CT'!$E$7=TH!H2752,OR(N2752="331",O2752="331")),"x","")</f>
        <v/>
      </c>
      <c r="Q2752" s="84" t="str">
        <f>IF(AND(B2752='111'!$L$11,OR($N2752=$Q$7,$O2752=$Q$7)),"x","")</f>
        <v/>
      </c>
      <c r="R2752" s="84" t="str">
        <f>IF(AND($N2752=$Q$7,$B2752&lt;'111'!$L$11),"x","")</f>
        <v/>
      </c>
      <c r="S2752" s="84" t="str">
        <f>IF(AND($O2752=$Q$7,$B2752&lt;'111'!$L$11),"x","")</f>
        <v/>
      </c>
      <c r="T2752" s="84" t="str">
        <f>IF(ISERROR(FIND('112'!$M$9,G2752,1)),"",IF((AND(FIND('112'!$M$9,G2752,1)&gt;=1,B2752='112'!$K$9,OR($N2752='112'!$I$6,$O2752='112'!$I$6))),"x",""))</f>
        <v/>
      </c>
      <c r="U2752" s="84" t="str">
        <f>IF(ISERROR(FIND('112'!$M$9,G2752,1)),"",IF((AND(LEFT(G2752,2)=LEFT('112'!$M$9,2),B2752&lt;'112'!$K$9,$N2752='112'!$I$6)),"x",""))</f>
        <v/>
      </c>
      <c r="V2752" s="84" t="str">
        <f>IF(ISERROR(FIND('112'!$M$9,G2752,1)),"",IF((AND(RIGHT(G2752,2)=RIGHT('112'!$M$9,2),B2752&lt;'112'!$K$9,$O2752='112'!$I$6)),"x",""))</f>
        <v/>
      </c>
      <c r="W2752" s="84" t="str">
        <f>IF(AND('341-CT'!$H$9=H2752,OR(LEFT(N2752,3)=$W$7,LEFT(O2752,3)=$W$7)),"x","")</f>
        <v/>
      </c>
      <c r="X2752" s="84" t="str">
        <f>IF(OR(TH!N2752=TH!$X$7,O2752=TH!$X$7),"x","")</f>
        <v/>
      </c>
      <c r="Y2752" s="84" t="str">
        <f>IF(AND(OR(N2752="131",O2752="131"),H2752='131-CT'!$H$9),"x","")</f>
        <v/>
      </c>
      <c r="Z2752" s="84"/>
      <c r="AA2752" s="84" t="str">
        <f>IF(AND(MONTH(E2752)='IN-NX'!$J$5,'IN-NX'!$D$7=D2752),"x","")</f>
        <v/>
      </c>
      <c r="AB2752" s="84" t="str">
        <f>IF(AND(OR(LEFT(TH!N2752,2)="15",LEFT(TH!O2752,2)="15"),LEFT(TH!O2752,3)&lt;&gt;"111",'152-CT'!$J$8=TH!F2752),"x","")</f>
        <v/>
      </c>
      <c r="AC2752" s="84" t="str">
        <f>IF(AND(OR(LEFT(TH!N2752,2)="15",LEFT(TH!O2752,2)="15"),TK!$E$7=TH!F2752),"x","")</f>
        <v/>
      </c>
      <c r="AD2752" s="84" t="str">
        <f>IF(AND(N2752="1521",MONTH(C2752)='BK-NL'!$M$11),"x","")</f>
        <v/>
      </c>
    </row>
    <row r="2753" spans="1:30" s="351" customFormat="1" ht="15.75" hidden="1" customHeight="1">
      <c r="A2753" s="336" t="str">
        <f>IF(B2753&lt;&gt;"",IF(AND(B2753='IN-TC'!$S$4,OR(TH!N2753="1111",TH!O2753="1111")),TH!D2753,""),"")</f>
        <v/>
      </c>
      <c r="B2753" s="63" t="str">
        <f t="shared" si="299"/>
        <v/>
      </c>
      <c r="C2753" s="64"/>
      <c r="D2753" s="64"/>
      <c r="E2753" s="64"/>
      <c r="F2753" s="67"/>
      <c r="G2753" s="67"/>
      <c r="H2753" s="73"/>
      <c r="I2753" s="439"/>
      <c r="J2753" s="439"/>
      <c r="K2753" s="430"/>
      <c r="L2753" s="439"/>
      <c r="M2753" s="65"/>
      <c r="N2753" s="66"/>
      <c r="O2753" s="66"/>
      <c r="P2753" s="84" t="str">
        <f>IF(AND('331-CT'!$E$7=TH!H2753,OR(N2753="331",O2753="331")),"x","")</f>
        <v/>
      </c>
      <c r="Q2753" s="84" t="str">
        <f>IF(AND(B2753='111'!$L$11,OR($N2753=$Q$7,$O2753=$Q$7)),"x","")</f>
        <v/>
      </c>
      <c r="R2753" s="84" t="str">
        <f>IF(AND($N2753=$Q$7,$B2753&lt;'111'!$L$11),"x","")</f>
        <v/>
      </c>
      <c r="S2753" s="84" t="str">
        <f>IF(AND($O2753=$Q$7,$B2753&lt;'111'!$L$11),"x","")</f>
        <v/>
      </c>
      <c r="T2753" s="84" t="str">
        <f>IF(ISERROR(FIND('112'!$M$9,G2753,1)),"",IF((AND(FIND('112'!$M$9,G2753,1)&gt;=1,B2753='112'!$K$9,OR($N2753='112'!$I$6,$O2753='112'!$I$6))),"x",""))</f>
        <v/>
      </c>
      <c r="U2753" s="84" t="str">
        <f>IF(ISERROR(FIND('112'!$M$9,G2753,1)),"",IF((AND(LEFT(G2753,2)=LEFT('112'!$M$9,2),B2753&lt;'112'!$K$9,$N2753='112'!$I$6)),"x",""))</f>
        <v/>
      </c>
      <c r="V2753" s="84" t="str">
        <f>IF(ISERROR(FIND('112'!$M$9,G2753,1)),"",IF((AND(RIGHT(G2753,2)=RIGHT('112'!$M$9,2),B2753&lt;'112'!$K$9,$O2753='112'!$I$6)),"x",""))</f>
        <v/>
      </c>
      <c r="W2753" s="84" t="str">
        <f>IF(AND('341-CT'!$H$9=H2753,OR(LEFT(N2753,3)=$W$7,LEFT(O2753,3)=$W$7)),"x","")</f>
        <v/>
      </c>
      <c r="X2753" s="84" t="str">
        <f>IF(OR(TH!N2753=TH!$X$7,O2753=TH!$X$7),"x","")</f>
        <v/>
      </c>
      <c r="Y2753" s="84" t="str">
        <f>IF(AND(OR(N2753="131",O2753="131"),H2753='131-CT'!$H$9),"x","")</f>
        <v/>
      </c>
      <c r="Z2753" s="84"/>
      <c r="AA2753" s="84" t="str">
        <f>IF(AND(MONTH(E2753)='IN-NX'!$J$5,'IN-NX'!$D$7=D2753),"x","")</f>
        <v/>
      </c>
      <c r="AB2753" s="84" t="str">
        <f>IF(AND(OR(LEFT(TH!N2753,2)="15",LEFT(TH!O2753,2)="15"),LEFT(TH!O2753,3)&lt;&gt;"111",'152-CT'!$J$8=TH!F2753),"x","")</f>
        <v/>
      </c>
      <c r="AC2753" s="84" t="str">
        <f>IF(AND(OR(LEFT(TH!N2753,2)="15",LEFT(TH!O2753,2)="15"),TK!$E$7=TH!F2753),"x","")</f>
        <v/>
      </c>
      <c r="AD2753" s="84" t="str">
        <f>IF(AND(N2753="1521",MONTH(C2753)='BK-NL'!$M$11),"x","")</f>
        <v/>
      </c>
    </row>
    <row r="2754" spans="1:30" s="351" customFormat="1" ht="15.75" hidden="1" customHeight="1">
      <c r="A2754" s="336" t="str">
        <f>IF(B2754&lt;&gt;"",IF(AND(B2754='IN-TC'!$S$4,OR(TH!N2754="1111",TH!O2754="1111")),TH!D2754,""),"")</f>
        <v/>
      </c>
      <c r="B2754" s="63" t="str">
        <f t="shared" si="299"/>
        <v/>
      </c>
      <c r="C2754" s="64"/>
      <c r="D2754" s="64"/>
      <c r="E2754" s="64"/>
      <c r="F2754" s="67"/>
      <c r="G2754" s="67"/>
      <c r="H2754" s="73"/>
      <c r="I2754" s="439"/>
      <c r="J2754" s="439"/>
      <c r="K2754" s="430"/>
      <c r="L2754" s="439"/>
      <c r="M2754" s="65"/>
      <c r="N2754" s="66"/>
      <c r="O2754" s="66"/>
      <c r="P2754" s="84" t="str">
        <f>IF(AND('331-CT'!$E$7=TH!H2754,OR(N2754="331",O2754="331")),"x","")</f>
        <v/>
      </c>
      <c r="Q2754" s="84" t="str">
        <f>IF(AND(B2754='111'!$L$11,OR($N2754=$Q$7,$O2754=$Q$7)),"x","")</f>
        <v/>
      </c>
      <c r="R2754" s="84" t="str">
        <f>IF(AND($N2754=$Q$7,$B2754&lt;'111'!$L$11),"x","")</f>
        <v/>
      </c>
      <c r="S2754" s="84" t="str">
        <f>IF(AND($O2754=$Q$7,$B2754&lt;'111'!$L$11),"x","")</f>
        <v/>
      </c>
      <c r="T2754" s="84" t="str">
        <f>IF(ISERROR(FIND('112'!$M$9,G2754,1)),"",IF((AND(FIND('112'!$M$9,G2754,1)&gt;=1,B2754='112'!$K$9,OR($N2754='112'!$I$6,$O2754='112'!$I$6))),"x",""))</f>
        <v/>
      </c>
      <c r="U2754" s="84" t="str">
        <f>IF(ISERROR(FIND('112'!$M$9,G2754,1)),"",IF((AND(LEFT(G2754,2)=LEFT('112'!$M$9,2),B2754&lt;'112'!$K$9,$N2754='112'!$I$6)),"x",""))</f>
        <v/>
      </c>
      <c r="V2754" s="84" t="str">
        <f>IF(ISERROR(FIND('112'!$M$9,G2754,1)),"",IF((AND(RIGHT(G2754,2)=RIGHT('112'!$M$9,2),B2754&lt;'112'!$K$9,$O2754='112'!$I$6)),"x",""))</f>
        <v/>
      </c>
      <c r="W2754" s="84" t="str">
        <f>IF(AND('341-CT'!$H$9=H2754,OR(LEFT(N2754,3)=$W$7,LEFT(O2754,3)=$W$7)),"x","")</f>
        <v/>
      </c>
      <c r="X2754" s="84" t="str">
        <f>IF(OR(TH!N2754=TH!$X$7,O2754=TH!$X$7),"x","")</f>
        <v/>
      </c>
      <c r="Y2754" s="84" t="str">
        <f>IF(AND(OR(N2754="131",O2754="131"),H2754='131-CT'!$H$9),"x","")</f>
        <v/>
      </c>
      <c r="Z2754" s="84"/>
      <c r="AA2754" s="84" t="str">
        <f>IF(AND(MONTH(E2754)='IN-NX'!$J$5,'IN-NX'!$D$7=D2754),"x","")</f>
        <v/>
      </c>
      <c r="AB2754" s="84" t="str">
        <f>IF(AND(OR(LEFT(TH!N2754,2)="15",LEFT(TH!O2754,2)="15"),LEFT(TH!O2754,3)&lt;&gt;"111",'152-CT'!$J$8=TH!F2754),"x","")</f>
        <v/>
      </c>
      <c r="AC2754" s="84" t="str">
        <f>IF(AND(OR(LEFT(TH!N2754,2)="15",LEFT(TH!O2754,2)="15"),TK!$E$7=TH!F2754),"x","")</f>
        <v/>
      </c>
      <c r="AD2754" s="84" t="str">
        <f>IF(AND(N2754="1521",MONTH(C2754)='BK-NL'!$M$11),"x","")</f>
        <v/>
      </c>
    </row>
    <row r="2755" spans="1:30" s="351" customFormat="1" ht="15.75" hidden="1" customHeight="1">
      <c r="A2755" s="336" t="str">
        <f>IF(B2755&lt;&gt;"",IF(AND(B2755='IN-TC'!$S$4,OR(TH!N2755="1111",TH!O2755="1111")),TH!D2755,""),"")</f>
        <v/>
      </c>
      <c r="B2755" s="63" t="str">
        <f t="shared" si="299"/>
        <v/>
      </c>
      <c r="C2755" s="64"/>
      <c r="D2755" s="64"/>
      <c r="E2755" s="64"/>
      <c r="F2755" s="67"/>
      <c r="G2755" s="67"/>
      <c r="H2755" s="73"/>
      <c r="I2755" s="439"/>
      <c r="J2755" s="439"/>
      <c r="K2755" s="430"/>
      <c r="L2755" s="439"/>
      <c r="M2755" s="65"/>
      <c r="N2755" s="66"/>
      <c r="O2755" s="66"/>
      <c r="P2755" s="84" t="str">
        <f>IF(AND('331-CT'!$E$7=TH!H2755,OR(N2755="331",O2755="331")),"x","")</f>
        <v/>
      </c>
      <c r="Q2755" s="84" t="str">
        <f>IF(AND(B2755='111'!$L$11,OR($N2755=$Q$7,$O2755=$Q$7)),"x","")</f>
        <v/>
      </c>
      <c r="R2755" s="84" t="str">
        <f>IF(AND($N2755=$Q$7,$B2755&lt;'111'!$L$11),"x","")</f>
        <v/>
      </c>
      <c r="S2755" s="84" t="str">
        <f>IF(AND($O2755=$Q$7,$B2755&lt;'111'!$L$11),"x","")</f>
        <v/>
      </c>
      <c r="T2755" s="84" t="str">
        <f>IF(ISERROR(FIND('112'!$M$9,G2755,1)),"",IF((AND(FIND('112'!$M$9,G2755,1)&gt;=1,B2755='112'!$K$9,OR($N2755='112'!$I$6,$O2755='112'!$I$6))),"x",""))</f>
        <v/>
      </c>
      <c r="U2755" s="84" t="str">
        <f>IF(ISERROR(FIND('112'!$M$9,G2755,1)),"",IF((AND(LEFT(G2755,2)=LEFT('112'!$M$9,2),B2755&lt;'112'!$K$9,$N2755='112'!$I$6)),"x",""))</f>
        <v/>
      </c>
      <c r="V2755" s="84" t="str">
        <f>IF(ISERROR(FIND('112'!$M$9,G2755,1)),"",IF((AND(RIGHT(G2755,2)=RIGHT('112'!$M$9,2),B2755&lt;'112'!$K$9,$O2755='112'!$I$6)),"x",""))</f>
        <v/>
      </c>
      <c r="W2755" s="84" t="str">
        <f>IF(AND('341-CT'!$H$9=H2755,OR(LEFT(N2755,3)=$W$7,LEFT(O2755,3)=$W$7)),"x","")</f>
        <v/>
      </c>
      <c r="X2755" s="84" t="str">
        <f>IF(OR(TH!N2755=TH!$X$7,O2755=TH!$X$7),"x","")</f>
        <v/>
      </c>
      <c r="Y2755" s="84" t="str">
        <f>IF(AND(OR(N2755="131",O2755="131"),H2755='131-CT'!$H$9),"x","")</f>
        <v/>
      </c>
      <c r="Z2755" s="84"/>
      <c r="AA2755" s="84" t="str">
        <f>IF(AND(MONTH(E2755)='IN-NX'!$J$5,'IN-NX'!$D$7=D2755),"x","")</f>
        <v/>
      </c>
      <c r="AB2755" s="84" t="str">
        <f>IF(AND(OR(LEFT(TH!N2755,2)="15",LEFT(TH!O2755,2)="15"),LEFT(TH!O2755,3)&lt;&gt;"111",'152-CT'!$J$8=TH!F2755),"x","")</f>
        <v/>
      </c>
      <c r="AC2755" s="84" t="str">
        <f>IF(AND(OR(LEFT(TH!N2755,2)="15",LEFT(TH!O2755,2)="15"),TK!$E$7=TH!F2755),"x","")</f>
        <v/>
      </c>
      <c r="AD2755" s="84" t="str">
        <f>IF(AND(N2755="1521",MONTH(C2755)='BK-NL'!$M$11),"x","")</f>
        <v/>
      </c>
    </row>
    <row r="2756" spans="1:30" s="351" customFormat="1" ht="15.75" hidden="1" customHeight="1">
      <c r="A2756" s="336" t="str">
        <f>IF(B2756&lt;&gt;"",IF(AND(B2756='IN-TC'!$S$4,OR(TH!N2756="1111",TH!O2756="1111")),TH!D2756,""),"")</f>
        <v/>
      </c>
      <c r="B2756" s="63" t="str">
        <f t="shared" si="299"/>
        <v/>
      </c>
      <c r="C2756" s="64"/>
      <c r="D2756" s="64"/>
      <c r="E2756" s="64"/>
      <c r="F2756" s="67"/>
      <c r="G2756" s="67"/>
      <c r="H2756" s="73"/>
      <c r="I2756" s="439"/>
      <c r="J2756" s="439"/>
      <c r="K2756" s="430"/>
      <c r="L2756" s="439"/>
      <c r="M2756" s="65"/>
      <c r="N2756" s="66"/>
      <c r="O2756" s="66"/>
      <c r="P2756" s="84" t="str">
        <f>IF(AND('331-CT'!$E$7=TH!H2756,OR(N2756="331",O2756="331")),"x","")</f>
        <v/>
      </c>
      <c r="Q2756" s="84" t="str">
        <f>IF(AND(B2756='111'!$L$11,OR($N2756=$Q$7,$O2756=$Q$7)),"x","")</f>
        <v/>
      </c>
      <c r="R2756" s="84" t="str">
        <f>IF(AND($N2756=$Q$7,$B2756&lt;'111'!$L$11),"x","")</f>
        <v/>
      </c>
      <c r="S2756" s="84" t="str">
        <f>IF(AND($O2756=$Q$7,$B2756&lt;'111'!$L$11),"x","")</f>
        <v/>
      </c>
      <c r="T2756" s="84" t="str">
        <f>IF(ISERROR(FIND('112'!$M$9,G2756,1)),"",IF((AND(FIND('112'!$M$9,G2756,1)&gt;=1,B2756='112'!$K$9,OR($N2756='112'!$I$6,$O2756='112'!$I$6))),"x",""))</f>
        <v/>
      </c>
      <c r="U2756" s="84" t="str">
        <f>IF(ISERROR(FIND('112'!$M$9,G2756,1)),"",IF((AND(LEFT(G2756,2)=LEFT('112'!$M$9,2),B2756&lt;'112'!$K$9,$N2756='112'!$I$6)),"x",""))</f>
        <v/>
      </c>
      <c r="V2756" s="84" t="str">
        <f>IF(ISERROR(FIND('112'!$M$9,G2756,1)),"",IF((AND(RIGHT(G2756,2)=RIGHT('112'!$M$9,2),B2756&lt;'112'!$K$9,$O2756='112'!$I$6)),"x",""))</f>
        <v/>
      </c>
      <c r="W2756" s="84" t="str">
        <f>IF(AND('341-CT'!$H$9=H2756,OR(LEFT(N2756,3)=$W$7,LEFT(O2756,3)=$W$7)),"x","")</f>
        <v/>
      </c>
      <c r="X2756" s="84" t="str">
        <f>IF(OR(TH!N2756=TH!$X$7,O2756=TH!$X$7),"x","")</f>
        <v/>
      </c>
      <c r="Y2756" s="84" t="str">
        <f>IF(AND(OR(N2756="131",O2756="131"),H2756='131-CT'!$H$9),"x","")</f>
        <v/>
      </c>
      <c r="Z2756" s="84"/>
      <c r="AA2756" s="84" t="str">
        <f>IF(AND(MONTH(E2756)='IN-NX'!$J$5,'IN-NX'!$D$7=D2756),"x","")</f>
        <v/>
      </c>
      <c r="AB2756" s="84" t="str">
        <f>IF(AND(OR(LEFT(TH!N2756,2)="15",LEFT(TH!O2756,2)="15"),LEFT(TH!O2756,3)&lt;&gt;"111",'152-CT'!$J$8=TH!F2756),"x","")</f>
        <v/>
      </c>
      <c r="AC2756" s="84" t="str">
        <f>IF(AND(OR(LEFT(TH!N2756,2)="15",LEFT(TH!O2756,2)="15"),TK!$E$7=TH!F2756),"x","")</f>
        <v/>
      </c>
      <c r="AD2756" s="84" t="str">
        <f>IF(AND(N2756="1521",MONTH(C2756)='BK-NL'!$M$11),"x","")</f>
        <v/>
      </c>
    </row>
    <row r="2757" spans="1:30" s="351" customFormat="1" ht="15.75" hidden="1" customHeight="1">
      <c r="A2757" s="336" t="str">
        <f>IF(B2757&lt;&gt;"",IF(AND(B2757='IN-TC'!$S$4,OR(TH!N2757="1111",TH!O2757="1111")),TH!D2757,""),"")</f>
        <v/>
      </c>
      <c r="B2757" s="63" t="str">
        <f t="shared" si="299"/>
        <v/>
      </c>
      <c r="C2757" s="64"/>
      <c r="D2757" s="64"/>
      <c r="E2757" s="64"/>
      <c r="F2757" s="67"/>
      <c r="G2757" s="67"/>
      <c r="H2757" s="73"/>
      <c r="I2757" s="439"/>
      <c r="J2757" s="439"/>
      <c r="K2757" s="430"/>
      <c r="L2757" s="439"/>
      <c r="M2757" s="65"/>
      <c r="N2757" s="66"/>
      <c r="O2757" s="66"/>
      <c r="P2757" s="84" t="str">
        <f>IF(AND('331-CT'!$E$7=TH!H2757,OR(N2757="331",O2757="331")),"x","")</f>
        <v/>
      </c>
      <c r="Q2757" s="84" t="str">
        <f>IF(AND(B2757='111'!$L$11,OR($N2757=$Q$7,$O2757=$Q$7)),"x","")</f>
        <v/>
      </c>
      <c r="R2757" s="84" t="str">
        <f>IF(AND($N2757=$Q$7,$B2757&lt;'111'!$L$11),"x","")</f>
        <v/>
      </c>
      <c r="S2757" s="84" t="str">
        <f>IF(AND($O2757=$Q$7,$B2757&lt;'111'!$L$11),"x","")</f>
        <v/>
      </c>
      <c r="T2757" s="84" t="str">
        <f>IF(ISERROR(FIND('112'!$M$9,G2757,1)),"",IF((AND(FIND('112'!$M$9,G2757,1)&gt;=1,B2757='112'!$K$9,OR($N2757='112'!$I$6,$O2757='112'!$I$6))),"x",""))</f>
        <v/>
      </c>
      <c r="U2757" s="84" t="str">
        <f>IF(ISERROR(FIND('112'!$M$9,G2757,1)),"",IF((AND(LEFT(G2757,2)=LEFT('112'!$M$9,2),B2757&lt;'112'!$K$9,$N2757='112'!$I$6)),"x",""))</f>
        <v/>
      </c>
      <c r="V2757" s="84" t="str">
        <f>IF(ISERROR(FIND('112'!$M$9,G2757,1)),"",IF((AND(RIGHT(G2757,2)=RIGHT('112'!$M$9,2),B2757&lt;'112'!$K$9,$O2757='112'!$I$6)),"x",""))</f>
        <v/>
      </c>
      <c r="W2757" s="84" t="str">
        <f>IF(AND('341-CT'!$H$9=H2757,OR(LEFT(N2757,3)=$W$7,LEFT(O2757,3)=$W$7)),"x","")</f>
        <v/>
      </c>
      <c r="X2757" s="84" t="str">
        <f>IF(OR(TH!N2757=TH!$X$7,O2757=TH!$X$7),"x","")</f>
        <v/>
      </c>
      <c r="Y2757" s="84" t="str">
        <f>IF(AND(OR(N2757="131",O2757="131"),H2757='131-CT'!$H$9),"x","")</f>
        <v/>
      </c>
      <c r="Z2757" s="84"/>
      <c r="AA2757" s="84" t="str">
        <f>IF(AND(MONTH(E2757)='IN-NX'!$J$5,'IN-NX'!$D$7=D2757),"x","")</f>
        <v/>
      </c>
      <c r="AB2757" s="84" t="str">
        <f>IF(AND(OR(LEFT(TH!N2757,2)="15",LEFT(TH!O2757,2)="15"),LEFT(TH!O2757,3)&lt;&gt;"111",'152-CT'!$J$8=TH!F2757),"x","")</f>
        <v/>
      </c>
      <c r="AC2757" s="84" t="str">
        <f>IF(AND(OR(LEFT(TH!N2757,2)="15",LEFT(TH!O2757,2)="15"),TK!$E$7=TH!F2757),"x","")</f>
        <v/>
      </c>
      <c r="AD2757" s="84" t="str">
        <f>IF(AND(N2757="1521",MONTH(C2757)='BK-NL'!$M$11),"x","")</f>
        <v/>
      </c>
    </row>
    <row r="2758" spans="1:30" s="351" customFormat="1" ht="15.75" hidden="1" customHeight="1">
      <c r="A2758" s="336" t="str">
        <f>IF(B2758&lt;&gt;"",IF(AND(B2758='IN-TC'!$S$4,OR(TH!N2758="1111",TH!O2758="1111")),TH!D2758,""),"")</f>
        <v/>
      </c>
      <c r="B2758" s="63" t="str">
        <f t="shared" si="299"/>
        <v/>
      </c>
      <c r="C2758" s="64"/>
      <c r="D2758" s="64"/>
      <c r="E2758" s="64"/>
      <c r="F2758" s="67"/>
      <c r="G2758" s="67"/>
      <c r="H2758" s="73"/>
      <c r="I2758" s="439"/>
      <c r="J2758" s="439"/>
      <c r="K2758" s="430"/>
      <c r="L2758" s="439"/>
      <c r="M2758" s="65"/>
      <c r="N2758" s="66"/>
      <c r="O2758" s="66"/>
      <c r="P2758" s="84" t="str">
        <f>IF(AND('331-CT'!$E$7=TH!H2758,OR(N2758="331",O2758="331")),"x","")</f>
        <v/>
      </c>
      <c r="Q2758" s="84" t="str">
        <f>IF(AND(B2758='111'!$L$11,OR($N2758=$Q$7,$O2758=$Q$7)),"x","")</f>
        <v/>
      </c>
      <c r="R2758" s="84" t="str">
        <f>IF(AND($N2758=$Q$7,$B2758&lt;'111'!$L$11),"x","")</f>
        <v/>
      </c>
      <c r="S2758" s="84" t="str">
        <f>IF(AND($O2758=$Q$7,$B2758&lt;'111'!$L$11),"x","")</f>
        <v/>
      </c>
      <c r="T2758" s="84" t="str">
        <f>IF(ISERROR(FIND('112'!$M$9,G2758,1)),"",IF((AND(FIND('112'!$M$9,G2758,1)&gt;=1,B2758='112'!$K$9,OR($N2758='112'!$I$6,$O2758='112'!$I$6))),"x",""))</f>
        <v/>
      </c>
      <c r="U2758" s="84" t="str">
        <f>IF(ISERROR(FIND('112'!$M$9,G2758,1)),"",IF((AND(LEFT(G2758,2)=LEFT('112'!$M$9,2),B2758&lt;'112'!$K$9,$N2758='112'!$I$6)),"x",""))</f>
        <v/>
      </c>
      <c r="V2758" s="84" t="str">
        <f>IF(ISERROR(FIND('112'!$M$9,G2758,1)),"",IF((AND(RIGHT(G2758,2)=RIGHT('112'!$M$9,2),B2758&lt;'112'!$K$9,$O2758='112'!$I$6)),"x",""))</f>
        <v/>
      </c>
      <c r="W2758" s="84" t="str">
        <f>IF(AND('341-CT'!$H$9=H2758,OR(LEFT(N2758,3)=$W$7,LEFT(O2758,3)=$W$7)),"x","")</f>
        <v/>
      </c>
      <c r="X2758" s="84" t="str">
        <f>IF(OR(TH!N2758=TH!$X$7,O2758=TH!$X$7),"x","")</f>
        <v/>
      </c>
      <c r="Y2758" s="84" t="str">
        <f>IF(AND(OR(N2758="131",O2758="131"),H2758='131-CT'!$H$9),"x","")</f>
        <v/>
      </c>
      <c r="Z2758" s="84"/>
      <c r="AA2758" s="84" t="str">
        <f>IF(AND(MONTH(E2758)='IN-NX'!$J$5,'IN-NX'!$D$7=D2758),"x","")</f>
        <v/>
      </c>
      <c r="AB2758" s="84" t="str">
        <f>IF(AND(OR(LEFT(TH!N2758,2)="15",LEFT(TH!O2758,2)="15"),LEFT(TH!O2758,3)&lt;&gt;"111",'152-CT'!$J$8=TH!F2758),"x","")</f>
        <v/>
      </c>
      <c r="AC2758" s="84" t="str">
        <f>IF(AND(OR(LEFT(TH!N2758,2)="15",LEFT(TH!O2758,2)="15"),TK!$E$7=TH!F2758),"x","")</f>
        <v/>
      </c>
      <c r="AD2758" s="84" t="str">
        <f>IF(AND(N2758="1521",MONTH(C2758)='BK-NL'!$M$11),"x","")</f>
        <v/>
      </c>
    </row>
    <row r="2759" spans="1:30" s="351" customFormat="1" ht="15.75" hidden="1" customHeight="1">
      <c r="A2759" s="336" t="str">
        <f>IF(B2759&lt;&gt;"",IF(AND(B2759='IN-TC'!$S$4,OR(TH!N2759="1111",TH!O2759="1111")),TH!D2759,""),"")</f>
        <v/>
      </c>
      <c r="B2759" s="63" t="str">
        <f t="shared" si="299"/>
        <v/>
      </c>
      <c r="C2759" s="64"/>
      <c r="D2759" s="64"/>
      <c r="E2759" s="64"/>
      <c r="F2759" s="67"/>
      <c r="G2759" s="67"/>
      <c r="H2759" s="73"/>
      <c r="I2759" s="439"/>
      <c r="J2759" s="439"/>
      <c r="K2759" s="430"/>
      <c r="L2759" s="439"/>
      <c r="M2759" s="65"/>
      <c r="N2759" s="66"/>
      <c r="O2759" s="66"/>
      <c r="P2759" s="84" t="str">
        <f>IF(AND('331-CT'!$E$7=TH!H2759,OR(N2759="331",O2759="331")),"x","")</f>
        <v/>
      </c>
      <c r="Q2759" s="84" t="str">
        <f>IF(AND(B2759='111'!$L$11,OR($N2759=$Q$7,$O2759=$Q$7)),"x","")</f>
        <v/>
      </c>
      <c r="R2759" s="84" t="str">
        <f>IF(AND($N2759=$Q$7,$B2759&lt;'111'!$L$11),"x","")</f>
        <v/>
      </c>
      <c r="S2759" s="84" t="str">
        <f>IF(AND($O2759=$Q$7,$B2759&lt;'111'!$L$11),"x","")</f>
        <v/>
      </c>
      <c r="T2759" s="84" t="str">
        <f>IF(ISERROR(FIND('112'!$M$9,G2759,1)),"",IF((AND(FIND('112'!$M$9,G2759,1)&gt;=1,B2759='112'!$K$9,OR($N2759='112'!$I$6,$O2759='112'!$I$6))),"x",""))</f>
        <v/>
      </c>
      <c r="U2759" s="84" t="str">
        <f>IF(ISERROR(FIND('112'!$M$9,G2759,1)),"",IF((AND(LEFT(G2759,2)=LEFT('112'!$M$9,2),B2759&lt;'112'!$K$9,$N2759='112'!$I$6)),"x",""))</f>
        <v/>
      </c>
      <c r="V2759" s="84" t="str">
        <f>IF(ISERROR(FIND('112'!$M$9,G2759,1)),"",IF((AND(RIGHT(G2759,2)=RIGHT('112'!$M$9,2),B2759&lt;'112'!$K$9,$O2759='112'!$I$6)),"x",""))</f>
        <v/>
      </c>
      <c r="W2759" s="84" t="str">
        <f>IF(AND('341-CT'!$H$9=H2759,OR(LEFT(N2759,3)=$W$7,LEFT(O2759,3)=$W$7)),"x","")</f>
        <v/>
      </c>
      <c r="X2759" s="84" t="str">
        <f>IF(OR(TH!N2759=TH!$X$7,O2759=TH!$X$7),"x","")</f>
        <v/>
      </c>
      <c r="Y2759" s="84" t="str">
        <f>IF(AND(OR(N2759="131",O2759="131"),H2759='131-CT'!$H$9),"x","")</f>
        <v/>
      </c>
      <c r="Z2759" s="84"/>
      <c r="AA2759" s="84" t="str">
        <f>IF(AND(MONTH(E2759)='IN-NX'!$J$5,'IN-NX'!$D$7=D2759),"x","")</f>
        <v/>
      </c>
      <c r="AB2759" s="84" t="str">
        <f>IF(AND(OR(LEFT(TH!N2759,2)="15",LEFT(TH!O2759,2)="15"),LEFT(TH!O2759,3)&lt;&gt;"111",'152-CT'!$J$8=TH!F2759),"x","")</f>
        <v/>
      </c>
      <c r="AC2759" s="84" t="str">
        <f>IF(AND(OR(LEFT(TH!N2759,2)="15",LEFT(TH!O2759,2)="15"),TK!$E$7=TH!F2759),"x","")</f>
        <v/>
      </c>
      <c r="AD2759" s="84" t="str">
        <f>IF(AND(N2759="1521",MONTH(C2759)='BK-NL'!$M$11),"x","")</f>
        <v/>
      </c>
    </row>
    <row r="2760" spans="1:30" s="351" customFormat="1" ht="15.75" hidden="1" customHeight="1">
      <c r="A2760" s="336" t="str">
        <f>IF(B2760&lt;&gt;"",IF(AND(B2760='IN-TC'!$S$4,OR(TH!N2760="1111",TH!O2760="1111")),TH!D2760,""),"")</f>
        <v/>
      </c>
      <c r="B2760" s="63" t="str">
        <f t="shared" si="299"/>
        <v/>
      </c>
      <c r="C2760" s="64"/>
      <c r="D2760" s="64"/>
      <c r="E2760" s="64"/>
      <c r="F2760" s="67"/>
      <c r="G2760" s="67"/>
      <c r="H2760" s="73"/>
      <c r="I2760" s="439"/>
      <c r="J2760" s="439"/>
      <c r="K2760" s="430"/>
      <c r="L2760" s="439"/>
      <c r="M2760" s="65"/>
      <c r="N2760" s="66"/>
      <c r="O2760" s="66"/>
      <c r="P2760" s="84" t="str">
        <f>IF(AND('331-CT'!$E$7=TH!H2760,OR(N2760="331",O2760="331")),"x","")</f>
        <v/>
      </c>
      <c r="Q2760" s="84" t="str">
        <f>IF(AND(B2760='111'!$L$11,OR($N2760=$Q$7,$O2760=$Q$7)),"x","")</f>
        <v/>
      </c>
      <c r="R2760" s="84" t="str">
        <f>IF(AND($N2760=$Q$7,$B2760&lt;'111'!$L$11),"x","")</f>
        <v/>
      </c>
      <c r="S2760" s="84" t="str">
        <f>IF(AND($O2760=$Q$7,$B2760&lt;'111'!$L$11),"x","")</f>
        <v/>
      </c>
      <c r="T2760" s="84" t="str">
        <f>IF(ISERROR(FIND('112'!$M$9,G2760,1)),"",IF((AND(FIND('112'!$M$9,G2760,1)&gt;=1,B2760='112'!$K$9,OR($N2760='112'!$I$6,$O2760='112'!$I$6))),"x",""))</f>
        <v/>
      </c>
      <c r="U2760" s="84" t="str">
        <f>IF(ISERROR(FIND('112'!$M$9,G2760,1)),"",IF((AND(LEFT(G2760,2)=LEFT('112'!$M$9,2),B2760&lt;'112'!$K$9,$N2760='112'!$I$6)),"x",""))</f>
        <v/>
      </c>
      <c r="V2760" s="84" t="str">
        <f>IF(ISERROR(FIND('112'!$M$9,G2760,1)),"",IF((AND(RIGHT(G2760,2)=RIGHT('112'!$M$9,2),B2760&lt;'112'!$K$9,$O2760='112'!$I$6)),"x",""))</f>
        <v/>
      </c>
      <c r="W2760" s="84" t="str">
        <f>IF(AND('341-CT'!$H$9=H2760,OR(LEFT(N2760,3)=$W$7,LEFT(O2760,3)=$W$7)),"x","")</f>
        <v/>
      </c>
      <c r="X2760" s="84" t="str">
        <f>IF(OR(TH!N2760=TH!$X$7,O2760=TH!$X$7),"x","")</f>
        <v/>
      </c>
      <c r="Y2760" s="84" t="str">
        <f>IF(AND(OR(N2760="131",O2760="131"),H2760='131-CT'!$H$9),"x","")</f>
        <v/>
      </c>
      <c r="Z2760" s="84"/>
      <c r="AA2760" s="84" t="str">
        <f>IF(AND(MONTH(E2760)='IN-NX'!$J$5,'IN-NX'!$D$7=D2760),"x","")</f>
        <v/>
      </c>
      <c r="AB2760" s="84" t="str">
        <f>IF(AND(OR(LEFT(TH!N2760,2)="15",LEFT(TH!O2760,2)="15"),LEFT(TH!O2760,3)&lt;&gt;"111",'152-CT'!$J$8=TH!F2760),"x","")</f>
        <v/>
      </c>
      <c r="AC2760" s="84" t="str">
        <f>IF(AND(OR(LEFT(TH!N2760,2)="15",LEFT(TH!O2760,2)="15"),TK!$E$7=TH!F2760),"x","")</f>
        <v/>
      </c>
      <c r="AD2760" s="84" t="str">
        <f>IF(AND(N2760="1521",MONTH(C2760)='BK-NL'!$M$11),"x","")</f>
        <v/>
      </c>
    </row>
    <row r="2761" spans="1:30" s="351" customFormat="1" ht="15.75" hidden="1" customHeight="1">
      <c r="A2761" s="336" t="str">
        <f>IF(B2761&lt;&gt;"",IF(AND(B2761='IN-TC'!$S$4,OR(TH!N2761="1111",TH!O2761="1111")),TH!D2761,""),"")</f>
        <v/>
      </c>
      <c r="B2761" s="63" t="str">
        <f t="shared" si="299"/>
        <v/>
      </c>
      <c r="C2761" s="64"/>
      <c r="D2761" s="64"/>
      <c r="E2761" s="64"/>
      <c r="F2761" s="67"/>
      <c r="G2761" s="67"/>
      <c r="H2761" s="73"/>
      <c r="I2761" s="439"/>
      <c r="J2761" s="439"/>
      <c r="K2761" s="430"/>
      <c r="L2761" s="439"/>
      <c r="M2761" s="65"/>
      <c r="N2761" s="66"/>
      <c r="O2761" s="66"/>
      <c r="P2761" s="84" t="str">
        <f>IF(AND('331-CT'!$E$7=TH!H2761,OR(N2761="331",O2761="331")),"x","")</f>
        <v/>
      </c>
      <c r="Q2761" s="84" t="str">
        <f>IF(AND(B2761='111'!$L$11,OR($N2761=$Q$7,$O2761=$Q$7)),"x","")</f>
        <v/>
      </c>
      <c r="R2761" s="84" t="str">
        <f>IF(AND($N2761=$Q$7,$B2761&lt;'111'!$L$11),"x","")</f>
        <v/>
      </c>
      <c r="S2761" s="84" t="str">
        <f>IF(AND($O2761=$Q$7,$B2761&lt;'111'!$L$11),"x","")</f>
        <v/>
      </c>
      <c r="T2761" s="84" t="str">
        <f>IF(ISERROR(FIND('112'!$M$9,G2761,1)),"",IF((AND(FIND('112'!$M$9,G2761,1)&gt;=1,B2761='112'!$K$9,OR($N2761='112'!$I$6,$O2761='112'!$I$6))),"x",""))</f>
        <v/>
      </c>
      <c r="U2761" s="84" t="str">
        <f>IF(ISERROR(FIND('112'!$M$9,G2761,1)),"",IF((AND(LEFT(G2761,2)=LEFT('112'!$M$9,2),B2761&lt;'112'!$K$9,$N2761='112'!$I$6)),"x",""))</f>
        <v/>
      </c>
      <c r="V2761" s="84" t="str">
        <f>IF(ISERROR(FIND('112'!$M$9,G2761,1)),"",IF((AND(RIGHT(G2761,2)=RIGHT('112'!$M$9,2),B2761&lt;'112'!$K$9,$O2761='112'!$I$6)),"x",""))</f>
        <v/>
      </c>
      <c r="W2761" s="84" t="str">
        <f>IF(AND('341-CT'!$H$9=H2761,OR(LEFT(N2761,3)=$W$7,LEFT(O2761,3)=$W$7)),"x","")</f>
        <v/>
      </c>
      <c r="X2761" s="84" t="str">
        <f>IF(OR(TH!N2761=TH!$X$7,O2761=TH!$X$7),"x","")</f>
        <v/>
      </c>
      <c r="Y2761" s="84" t="str">
        <f>IF(AND(OR(N2761="131",O2761="131"),H2761='131-CT'!$H$9),"x","")</f>
        <v/>
      </c>
      <c r="Z2761" s="84"/>
      <c r="AA2761" s="84" t="str">
        <f>IF(AND(MONTH(E2761)='IN-NX'!$J$5,'IN-NX'!$D$7=D2761),"x","")</f>
        <v/>
      </c>
      <c r="AB2761" s="84" t="str">
        <f>IF(AND(OR(LEFT(TH!N2761,2)="15",LEFT(TH!O2761,2)="15"),LEFT(TH!O2761,3)&lt;&gt;"111",'152-CT'!$J$8=TH!F2761),"x","")</f>
        <v/>
      </c>
      <c r="AC2761" s="84" t="str">
        <f>IF(AND(OR(LEFT(TH!N2761,2)="15",LEFT(TH!O2761,2)="15"),TK!$E$7=TH!F2761),"x","")</f>
        <v/>
      </c>
      <c r="AD2761" s="84" t="str">
        <f>IF(AND(N2761="1521",MONTH(C2761)='BK-NL'!$M$11),"x","")</f>
        <v/>
      </c>
    </row>
    <row r="2762" spans="1:30" s="351" customFormat="1" ht="15.75" hidden="1" customHeight="1">
      <c r="A2762" s="336" t="str">
        <f>IF(B2762&lt;&gt;"",IF(AND(B2762='IN-TC'!$S$4,OR(TH!N2762="1111",TH!O2762="1111")),TH!D2762,""),"")</f>
        <v/>
      </c>
      <c r="B2762" s="63" t="str">
        <f t="shared" ref="B2762:B2825" si="300">IF(C2762&lt;&gt;"",MONTH(C2762),"")</f>
        <v/>
      </c>
      <c r="C2762" s="64"/>
      <c r="D2762" s="64"/>
      <c r="E2762" s="64"/>
      <c r="F2762" s="67"/>
      <c r="G2762" s="67"/>
      <c r="H2762" s="73"/>
      <c r="I2762" s="439"/>
      <c r="J2762" s="439"/>
      <c r="K2762" s="430"/>
      <c r="L2762" s="439"/>
      <c r="M2762" s="65"/>
      <c r="N2762" s="66"/>
      <c r="O2762" s="66"/>
      <c r="P2762" s="84" t="str">
        <f>IF(AND('331-CT'!$E$7=TH!H2762,OR(N2762="331",O2762="331")),"x","")</f>
        <v/>
      </c>
      <c r="Q2762" s="84" t="str">
        <f>IF(AND(B2762='111'!$L$11,OR($N2762=$Q$7,$O2762=$Q$7)),"x","")</f>
        <v/>
      </c>
      <c r="R2762" s="84" t="str">
        <f>IF(AND($N2762=$Q$7,$B2762&lt;'111'!$L$11),"x","")</f>
        <v/>
      </c>
      <c r="S2762" s="84" t="str">
        <f>IF(AND($O2762=$Q$7,$B2762&lt;'111'!$L$11),"x","")</f>
        <v/>
      </c>
      <c r="T2762" s="84" t="str">
        <f>IF(ISERROR(FIND('112'!$M$9,G2762,1)),"",IF((AND(FIND('112'!$M$9,G2762,1)&gt;=1,B2762='112'!$K$9,OR($N2762='112'!$I$6,$O2762='112'!$I$6))),"x",""))</f>
        <v/>
      </c>
      <c r="U2762" s="84" t="str">
        <f>IF(ISERROR(FIND('112'!$M$9,G2762,1)),"",IF((AND(LEFT(G2762,2)=LEFT('112'!$M$9,2),B2762&lt;'112'!$K$9,$N2762='112'!$I$6)),"x",""))</f>
        <v/>
      </c>
      <c r="V2762" s="84" t="str">
        <f>IF(ISERROR(FIND('112'!$M$9,G2762,1)),"",IF((AND(RIGHT(G2762,2)=RIGHT('112'!$M$9,2),B2762&lt;'112'!$K$9,$O2762='112'!$I$6)),"x",""))</f>
        <v/>
      </c>
      <c r="W2762" s="84" t="str">
        <f>IF(AND('341-CT'!$H$9=H2762,OR(LEFT(N2762,3)=$W$7,LEFT(O2762,3)=$W$7)),"x","")</f>
        <v/>
      </c>
      <c r="X2762" s="84" t="str">
        <f>IF(OR(TH!N2762=TH!$X$7,O2762=TH!$X$7),"x","")</f>
        <v/>
      </c>
      <c r="Y2762" s="84" t="str">
        <f>IF(AND(OR(N2762="131",O2762="131"),H2762='131-CT'!$H$9),"x","")</f>
        <v/>
      </c>
      <c r="Z2762" s="84"/>
      <c r="AA2762" s="84" t="str">
        <f>IF(AND(MONTH(E2762)='IN-NX'!$J$5,'IN-NX'!$D$7=D2762),"x","")</f>
        <v/>
      </c>
      <c r="AB2762" s="84" t="str">
        <f>IF(AND(OR(LEFT(TH!N2762,2)="15",LEFT(TH!O2762,2)="15"),LEFT(TH!O2762,3)&lt;&gt;"111",'152-CT'!$J$8=TH!F2762),"x","")</f>
        <v/>
      </c>
      <c r="AC2762" s="84" t="str">
        <f>IF(AND(OR(LEFT(TH!N2762,2)="15",LEFT(TH!O2762,2)="15"),TK!$E$7=TH!F2762),"x","")</f>
        <v/>
      </c>
      <c r="AD2762" s="84" t="str">
        <f>IF(AND(N2762="1521",MONTH(C2762)='BK-NL'!$M$11),"x","")</f>
        <v/>
      </c>
    </row>
    <row r="2763" spans="1:30" s="351" customFormat="1" ht="15.75" hidden="1" customHeight="1">
      <c r="A2763" s="336" t="str">
        <f>IF(B2763&lt;&gt;"",IF(AND(B2763='IN-TC'!$S$4,OR(TH!N2763="1111",TH!O2763="1111")),TH!D2763,""),"")</f>
        <v/>
      </c>
      <c r="B2763" s="63" t="str">
        <f t="shared" si="300"/>
        <v/>
      </c>
      <c r="C2763" s="64"/>
      <c r="D2763" s="64"/>
      <c r="E2763" s="64"/>
      <c r="F2763" s="67"/>
      <c r="G2763" s="67"/>
      <c r="H2763" s="73"/>
      <c r="I2763" s="439"/>
      <c r="J2763" s="439"/>
      <c r="K2763" s="430"/>
      <c r="L2763" s="439"/>
      <c r="M2763" s="65"/>
      <c r="N2763" s="66"/>
      <c r="O2763" s="66"/>
      <c r="P2763" s="84" t="str">
        <f>IF(AND('331-CT'!$E$7=TH!H2763,OR(N2763="331",O2763="331")),"x","")</f>
        <v/>
      </c>
      <c r="Q2763" s="84" t="str">
        <f>IF(AND(B2763='111'!$L$11,OR($N2763=$Q$7,$O2763=$Q$7)),"x","")</f>
        <v/>
      </c>
      <c r="R2763" s="84" t="str">
        <f>IF(AND($N2763=$Q$7,$B2763&lt;'111'!$L$11),"x","")</f>
        <v/>
      </c>
      <c r="S2763" s="84" t="str">
        <f>IF(AND($O2763=$Q$7,$B2763&lt;'111'!$L$11),"x","")</f>
        <v/>
      </c>
      <c r="T2763" s="84" t="str">
        <f>IF(ISERROR(FIND('112'!$M$9,G2763,1)),"",IF((AND(FIND('112'!$M$9,G2763,1)&gt;=1,B2763='112'!$K$9,OR($N2763='112'!$I$6,$O2763='112'!$I$6))),"x",""))</f>
        <v/>
      </c>
      <c r="U2763" s="84" t="str">
        <f>IF(ISERROR(FIND('112'!$M$9,G2763,1)),"",IF((AND(LEFT(G2763,2)=LEFT('112'!$M$9,2),B2763&lt;'112'!$K$9,$N2763='112'!$I$6)),"x",""))</f>
        <v/>
      </c>
      <c r="V2763" s="84" t="str">
        <f>IF(ISERROR(FIND('112'!$M$9,G2763,1)),"",IF((AND(RIGHT(G2763,2)=RIGHT('112'!$M$9,2),B2763&lt;'112'!$K$9,$O2763='112'!$I$6)),"x",""))</f>
        <v/>
      </c>
      <c r="W2763" s="84" t="str">
        <f>IF(AND('341-CT'!$H$9=H2763,OR(LEFT(N2763,3)=$W$7,LEFT(O2763,3)=$W$7)),"x","")</f>
        <v/>
      </c>
      <c r="X2763" s="84" t="str">
        <f>IF(OR(TH!N2763=TH!$X$7,O2763=TH!$X$7),"x","")</f>
        <v/>
      </c>
      <c r="Y2763" s="84" t="str">
        <f>IF(AND(OR(N2763="131",O2763="131"),H2763='131-CT'!$H$9),"x","")</f>
        <v/>
      </c>
      <c r="Z2763" s="84"/>
      <c r="AA2763" s="84" t="str">
        <f>IF(AND(MONTH(E2763)='IN-NX'!$J$5,'IN-NX'!$D$7=D2763),"x","")</f>
        <v/>
      </c>
      <c r="AB2763" s="84" t="str">
        <f>IF(AND(OR(LEFT(TH!N2763,2)="15",LEFT(TH!O2763,2)="15"),LEFT(TH!O2763,3)&lt;&gt;"111",'152-CT'!$J$8=TH!F2763),"x","")</f>
        <v/>
      </c>
      <c r="AC2763" s="84" t="str">
        <f>IF(AND(OR(LEFT(TH!N2763,2)="15",LEFT(TH!O2763,2)="15"),TK!$E$7=TH!F2763),"x","")</f>
        <v/>
      </c>
      <c r="AD2763" s="84" t="str">
        <f>IF(AND(N2763="1521",MONTH(C2763)='BK-NL'!$M$11),"x","")</f>
        <v/>
      </c>
    </row>
    <row r="2764" spans="1:30" s="351" customFormat="1" ht="15.75" hidden="1" customHeight="1">
      <c r="A2764" s="336" t="str">
        <f>IF(B2764&lt;&gt;"",IF(AND(B2764='IN-TC'!$S$4,OR(TH!N2764="1111",TH!O2764="1111")),TH!D2764,""),"")</f>
        <v/>
      </c>
      <c r="B2764" s="63" t="str">
        <f t="shared" si="300"/>
        <v/>
      </c>
      <c r="C2764" s="64"/>
      <c r="D2764" s="64"/>
      <c r="E2764" s="64"/>
      <c r="F2764" s="67"/>
      <c r="G2764" s="67"/>
      <c r="H2764" s="73"/>
      <c r="I2764" s="439"/>
      <c r="J2764" s="439"/>
      <c r="K2764" s="430"/>
      <c r="L2764" s="439"/>
      <c r="M2764" s="65"/>
      <c r="N2764" s="66"/>
      <c r="O2764" s="66"/>
      <c r="P2764" s="84" t="str">
        <f>IF(AND('331-CT'!$E$7=TH!H2764,OR(N2764="331",O2764="331")),"x","")</f>
        <v/>
      </c>
      <c r="Q2764" s="84" t="str">
        <f>IF(AND(B2764='111'!$L$11,OR($N2764=$Q$7,$O2764=$Q$7)),"x","")</f>
        <v/>
      </c>
      <c r="R2764" s="84" t="str">
        <f>IF(AND($N2764=$Q$7,$B2764&lt;'111'!$L$11),"x","")</f>
        <v/>
      </c>
      <c r="S2764" s="84" t="str">
        <f>IF(AND($O2764=$Q$7,$B2764&lt;'111'!$L$11),"x","")</f>
        <v/>
      </c>
      <c r="T2764" s="84" t="str">
        <f>IF(ISERROR(FIND('112'!$M$9,G2764,1)),"",IF((AND(FIND('112'!$M$9,G2764,1)&gt;=1,B2764='112'!$K$9,OR($N2764='112'!$I$6,$O2764='112'!$I$6))),"x",""))</f>
        <v/>
      </c>
      <c r="U2764" s="84" t="str">
        <f>IF(ISERROR(FIND('112'!$M$9,G2764,1)),"",IF((AND(LEFT(G2764,2)=LEFT('112'!$M$9,2),B2764&lt;'112'!$K$9,$N2764='112'!$I$6)),"x",""))</f>
        <v/>
      </c>
      <c r="V2764" s="84" t="str">
        <f>IF(ISERROR(FIND('112'!$M$9,G2764,1)),"",IF((AND(RIGHT(G2764,2)=RIGHT('112'!$M$9,2),B2764&lt;'112'!$K$9,$O2764='112'!$I$6)),"x",""))</f>
        <v/>
      </c>
      <c r="W2764" s="84" t="str">
        <f>IF(AND('341-CT'!$H$9=H2764,OR(LEFT(N2764,3)=$W$7,LEFT(O2764,3)=$W$7)),"x","")</f>
        <v/>
      </c>
      <c r="X2764" s="84" t="str">
        <f>IF(OR(TH!N2764=TH!$X$7,O2764=TH!$X$7),"x","")</f>
        <v/>
      </c>
      <c r="Y2764" s="84" t="str">
        <f>IF(AND(OR(N2764="131",O2764="131"),H2764='131-CT'!$H$9),"x","")</f>
        <v/>
      </c>
      <c r="Z2764" s="84"/>
      <c r="AA2764" s="84" t="str">
        <f>IF(AND(MONTH(E2764)='IN-NX'!$J$5,'IN-NX'!$D$7=D2764),"x","")</f>
        <v/>
      </c>
      <c r="AB2764" s="84" t="str">
        <f>IF(AND(OR(LEFT(TH!N2764,2)="15",LEFT(TH!O2764,2)="15"),LEFT(TH!O2764,3)&lt;&gt;"111",'152-CT'!$J$8=TH!F2764),"x","")</f>
        <v/>
      </c>
      <c r="AC2764" s="84" t="str">
        <f>IF(AND(OR(LEFT(TH!N2764,2)="15",LEFT(TH!O2764,2)="15"),TK!$E$7=TH!F2764),"x","")</f>
        <v/>
      </c>
      <c r="AD2764" s="84" t="str">
        <f>IF(AND(N2764="1521",MONTH(C2764)='BK-NL'!$M$11),"x","")</f>
        <v/>
      </c>
    </row>
    <row r="2765" spans="1:30" s="351" customFormat="1" ht="15.75" hidden="1" customHeight="1">
      <c r="A2765" s="336" t="str">
        <f>IF(B2765&lt;&gt;"",IF(AND(B2765='IN-TC'!$S$4,OR(TH!N2765="1111",TH!O2765="1111")),TH!D2765,""),"")</f>
        <v/>
      </c>
      <c r="B2765" s="63" t="str">
        <f t="shared" si="300"/>
        <v/>
      </c>
      <c r="C2765" s="64"/>
      <c r="D2765" s="64"/>
      <c r="E2765" s="64"/>
      <c r="F2765" s="67"/>
      <c r="G2765" s="67"/>
      <c r="H2765" s="73"/>
      <c r="I2765" s="439"/>
      <c r="J2765" s="439"/>
      <c r="K2765" s="430"/>
      <c r="L2765" s="439"/>
      <c r="M2765" s="65"/>
      <c r="N2765" s="66"/>
      <c r="O2765" s="66"/>
      <c r="P2765" s="84" t="str">
        <f>IF(AND('331-CT'!$E$7=TH!H2765,OR(N2765="331",O2765="331")),"x","")</f>
        <v/>
      </c>
      <c r="Q2765" s="84" t="str">
        <f>IF(AND(B2765='111'!$L$11,OR($N2765=$Q$7,$O2765=$Q$7)),"x","")</f>
        <v/>
      </c>
      <c r="R2765" s="84" t="str">
        <f>IF(AND($N2765=$Q$7,$B2765&lt;'111'!$L$11),"x","")</f>
        <v/>
      </c>
      <c r="S2765" s="84" t="str">
        <f>IF(AND($O2765=$Q$7,$B2765&lt;'111'!$L$11),"x","")</f>
        <v/>
      </c>
      <c r="T2765" s="84" t="str">
        <f>IF(ISERROR(FIND('112'!$M$9,G2765,1)),"",IF((AND(FIND('112'!$M$9,G2765,1)&gt;=1,B2765='112'!$K$9,OR($N2765='112'!$I$6,$O2765='112'!$I$6))),"x",""))</f>
        <v/>
      </c>
      <c r="U2765" s="84" t="str">
        <f>IF(ISERROR(FIND('112'!$M$9,G2765,1)),"",IF((AND(LEFT(G2765,2)=LEFT('112'!$M$9,2),B2765&lt;'112'!$K$9,$N2765='112'!$I$6)),"x",""))</f>
        <v/>
      </c>
      <c r="V2765" s="84" t="str">
        <f>IF(ISERROR(FIND('112'!$M$9,G2765,1)),"",IF((AND(RIGHT(G2765,2)=RIGHT('112'!$M$9,2),B2765&lt;'112'!$K$9,$O2765='112'!$I$6)),"x",""))</f>
        <v/>
      </c>
      <c r="W2765" s="84" t="str">
        <f>IF(AND('341-CT'!$H$9=H2765,OR(LEFT(N2765,3)=$W$7,LEFT(O2765,3)=$W$7)),"x","")</f>
        <v/>
      </c>
      <c r="X2765" s="84" t="str">
        <f>IF(OR(TH!N2765=TH!$X$7,O2765=TH!$X$7),"x","")</f>
        <v/>
      </c>
      <c r="Y2765" s="84" t="str">
        <f>IF(AND(OR(N2765="131",O2765="131"),H2765='131-CT'!$H$9),"x","")</f>
        <v/>
      </c>
      <c r="Z2765" s="84"/>
      <c r="AA2765" s="84" t="str">
        <f>IF(AND(MONTH(E2765)='IN-NX'!$J$5,'IN-NX'!$D$7=D2765),"x","")</f>
        <v/>
      </c>
      <c r="AB2765" s="84" t="str">
        <f>IF(AND(OR(LEFT(TH!N2765,2)="15",LEFT(TH!O2765,2)="15"),LEFT(TH!O2765,3)&lt;&gt;"111",'152-CT'!$J$8=TH!F2765),"x","")</f>
        <v/>
      </c>
      <c r="AC2765" s="84" t="str">
        <f>IF(AND(OR(LEFT(TH!N2765,2)="15",LEFT(TH!O2765,2)="15"),TK!$E$7=TH!F2765),"x","")</f>
        <v/>
      </c>
      <c r="AD2765" s="84" t="str">
        <f>IF(AND(N2765="1521",MONTH(C2765)='BK-NL'!$M$11),"x","")</f>
        <v/>
      </c>
    </row>
    <row r="2766" spans="1:30" s="351" customFormat="1" ht="15.75" hidden="1" customHeight="1">
      <c r="A2766" s="336" t="str">
        <f>IF(B2766&lt;&gt;"",IF(AND(B2766='IN-TC'!$S$4,OR(TH!N2766="1111",TH!O2766="1111")),TH!D2766,""),"")</f>
        <v/>
      </c>
      <c r="B2766" s="63" t="str">
        <f t="shared" si="300"/>
        <v/>
      </c>
      <c r="C2766" s="64"/>
      <c r="D2766" s="64"/>
      <c r="E2766" s="64"/>
      <c r="F2766" s="67"/>
      <c r="G2766" s="67"/>
      <c r="H2766" s="73"/>
      <c r="I2766" s="439"/>
      <c r="J2766" s="439"/>
      <c r="K2766" s="430"/>
      <c r="L2766" s="439"/>
      <c r="M2766" s="65"/>
      <c r="N2766" s="66"/>
      <c r="O2766" s="66"/>
      <c r="P2766" s="84" t="str">
        <f>IF(AND('331-CT'!$E$7=TH!H2766,OR(N2766="331",O2766="331")),"x","")</f>
        <v/>
      </c>
      <c r="Q2766" s="84" t="str">
        <f>IF(AND(B2766='111'!$L$11,OR($N2766=$Q$7,$O2766=$Q$7)),"x","")</f>
        <v/>
      </c>
      <c r="R2766" s="84" t="str">
        <f>IF(AND($N2766=$Q$7,$B2766&lt;'111'!$L$11),"x","")</f>
        <v/>
      </c>
      <c r="S2766" s="84" t="str">
        <f>IF(AND($O2766=$Q$7,$B2766&lt;'111'!$L$11),"x","")</f>
        <v/>
      </c>
      <c r="T2766" s="84" t="str">
        <f>IF(ISERROR(FIND('112'!$M$9,G2766,1)),"",IF((AND(FIND('112'!$M$9,G2766,1)&gt;=1,B2766='112'!$K$9,OR($N2766='112'!$I$6,$O2766='112'!$I$6))),"x",""))</f>
        <v/>
      </c>
      <c r="U2766" s="84" t="str">
        <f>IF(ISERROR(FIND('112'!$M$9,G2766,1)),"",IF((AND(LEFT(G2766,2)=LEFT('112'!$M$9,2),B2766&lt;'112'!$K$9,$N2766='112'!$I$6)),"x",""))</f>
        <v/>
      </c>
      <c r="V2766" s="84" t="str">
        <f>IF(ISERROR(FIND('112'!$M$9,G2766,1)),"",IF((AND(RIGHT(G2766,2)=RIGHT('112'!$M$9,2),B2766&lt;'112'!$K$9,$O2766='112'!$I$6)),"x",""))</f>
        <v/>
      </c>
      <c r="W2766" s="84" t="str">
        <f>IF(AND('341-CT'!$H$9=H2766,OR(LEFT(N2766,3)=$W$7,LEFT(O2766,3)=$W$7)),"x","")</f>
        <v/>
      </c>
      <c r="X2766" s="84" t="str">
        <f>IF(OR(TH!N2766=TH!$X$7,O2766=TH!$X$7),"x","")</f>
        <v/>
      </c>
      <c r="Y2766" s="84" t="str">
        <f>IF(AND(OR(N2766="131",O2766="131"),H2766='131-CT'!$H$9),"x","")</f>
        <v/>
      </c>
      <c r="Z2766" s="84"/>
      <c r="AA2766" s="84" t="str">
        <f>IF(AND(MONTH(E2766)='IN-NX'!$J$5,'IN-NX'!$D$7=D2766),"x","")</f>
        <v/>
      </c>
      <c r="AB2766" s="84" t="str">
        <f>IF(AND(OR(LEFT(TH!N2766,2)="15",LEFT(TH!O2766,2)="15"),LEFT(TH!O2766,3)&lt;&gt;"111",'152-CT'!$J$8=TH!F2766),"x","")</f>
        <v/>
      </c>
      <c r="AC2766" s="84" t="str">
        <f>IF(AND(OR(LEFT(TH!N2766,2)="15",LEFT(TH!O2766,2)="15"),TK!$E$7=TH!F2766),"x","")</f>
        <v/>
      </c>
      <c r="AD2766" s="84" t="str">
        <f>IF(AND(N2766="1521",MONTH(C2766)='BK-NL'!$M$11),"x","")</f>
        <v/>
      </c>
    </row>
    <row r="2767" spans="1:30" s="351" customFormat="1" ht="15.75" hidden="1" customHeight="1">
      <c r="A2767" s="336" t="str">
        <f>IF(B2767&lt;&gt;"",IF(AND(B2767='IN-TC'!$S$4,OR(TH!N2767="1111",TH!O2767="1111")),TH!D2767,""),"")</f>
        <v/>
      </c>
      <c r="B2767" s="63" t="str">
        <f t="shared" si="300"/>
        <v/>
      </c>
      <c r="C2767" s="64"/>
      <c r="D2767" s="64"/>
      <c r="E2767" s="64"/>
      <c r="F2767" s="67"/>
      <c r="G2767" s="67"/>
      <c r="H2767" s="73"/>
      <c r="I2767" s="439"/>
      <c r="J2767" s="439"/>
      <c r="K2767" s="430"/>
      <c r="L2767" s="439"/>
      <c r="M2767" s="65"/>
      <c r="N2767" s="66"/>
      <c r="O2767" s="66"/>
      <c r="P2767" s="84" t="str">
        <f>IF(AND('331-CT'!$E$7=TH!H2767,OR(N2767="331",O2767="331")),"x","")</f>
        <v/>
      </c>
      <c r="Q2767" s="84" t="str">
        <f>IF(AND(B2767='111'!$L$11,OR($N2767=$Q$7,$O2767=$Q$7)),"x","")</f>
        <v/>
      </c>
      <c r="R2767" s="84" t="str">
        <f>IF(AND($N2767=$Q$7,$B2767&lt;'111'!$L$11),"x","")</f>
        <v/>
      </c>
      <c r="S2767" s="84" t="str">
        <f>IF(AND($O2767=$Q$7,$B2767&lt;'111'!$L$11),"x","")</f>
        <v/>
      </c>
      <c r="T2767" s="84" t="str">
        <f>IF(ISERROR(FIND('112'!$M$9,G2767,1)),"",IF((AND(FIND('112'!$M$9,G2767,1)&gt;=1,B2767='112'!$K$9,OR($N2767='112'!$I$6,$O2767='112'!$I$6))),"x",""))</f>
        <v/>
      </c>
      <c r="U2767" s="84" t="str">
        <f>IF(ISERROR(FIND('112'!$M$9,G2767,1)),"",IF((AND(LEFT(G2767,2)=LEFT('112'!$M$9,2),B2767&lt;'112'!$K$9,$N2767='112'!$I$6)),"x",""))</f>
        <v/>
      </c>
      <c r="V2767" s="84" t="str">
        <f>IF(ISERROR(FIND('112'!$M$9,G2767,1)),"",IF((AND(RIGHT(G2767,2)=RIGHT('112'!$M$9,2),B2767&lt;'112'!$K$9,$O2767='112'!$I$6)),"x",""))</f>
        <v/>
      </c>
      <c r="W2767" s="84" t="str">
        <f>IF(AND('341-CT'!$H$9=H2767,OR(LEFT(N2767,3)=$W$7,LEFT(O2767,3)=$W$7)),"x","")</f>
        <v/>
      </c>
      <c r="X2767" s="84" t="str">
        <f>IF(OR(TH!N2767=TH!$X$7,O2767=TH!$X$7),"x","")</f>
        <v/>
      </c>
      <c r="Y2767" s="84" t="str">
        <f>IF(AND(OR(N2767="131",O2767="131"),H2767='131-CT'!$H$9),"x","")</f>
        <v/>
      </c>
      <c r="Z2767" s="84"/>
      <c r="AA2767" s="84" t="str">
        <f>IF(AND(MONTH(E2767)='IN-NX'!$J$5,'IN-NX'!$D$7=D2767),"x","")</f>
        <v/>
      </c>
      <c r="AB2767" s="84" t="str">
        <f>IF(AND(OR(LEFT(TH!N2767,2)="15",LEFT(TH!O2767,2)="15"),LEFT(TH!O2767,3)&lt;&gt;"111",'152-CT'!$J$8=TH!F2767),"x","")</f>
        <v/>
      </c>
      <c r="AC2767" s="84" t="str">
        <f>IF(AND(OR(LEFT(TH!N2767,2)="15",LEFT(TH!O2767,2)="15"),TK!$E$7=TH!F2767),"x","")</f>
        <v/>
      </c>
      <c r="AD2767" s="84" t="str">
        <f>IF(AND(N2767="1521",MONTH(C2767)='BK-NL'!$M$11),"x","")</f>
        <v/>
      </c>
    </row>
    <row r="2768" spans="1:30" s="351" customFormat="1" ht="15.75" hidden="1" customHeight="1">
      <c r="A2768" s="336" t="str">
        <f>IF(B2768&lt;&gt;"",IF(AND(B2768='IN-TC'!$S$4,OR(TH!N2768="1111",TH!O2768="1111")),TH!D2768,""),"")</f>
        <v/>
      </c>
      <c r="B2768" s="63" t="str">
        <f t="shared" si="300"/>
        <v/>
      </c>
      <c r="C2768" s="64"/>
      <c r="D2768" s="64"/>
      <c r="E2768" s="64"/>
      <c r="F2768" s="67"/>
      <c r="G2768" s="67"/>
      <c r="H2768" s="73"/>
      <c r="I2768" s="439"/>
      <c r="J2768" s="439"/>
      <c r="K2768" s="430"/>
      <c r="L2768" s="439"/>
      <c r="M2768" s="65"/>
      <c r="N2768" s="66"/>
      <c r="O2768" s="66"/>
      <c r="P2768" s="84" t="str">
        <f>IF(AND('331-CT'!$E$7=TH!H2768,OR(N2768="331",O2768="331")),"x","")</f>
        <v/>
      </c>
      <c r="Q2768" s="84" t="str">
        <f>IF(AND(B2768='111'!$L$11,OR($N2768=$Q$7,$O2768=$Q$7)),"x","")</f>
        <v/>
      </c>
      <c r="R2768" s="84" t="str">
        <f>IF(AND($N2768=$Q$7,$B2768&lt;'111'!$L$11),"x","")</f>
        <v/>
      </c>
      <c r="S2768" s="84" t="str">
        <f>IF(AND($O2768=$Q$7,$B2768&lt;'111'!$L$11),"x","")</f>
        <v/>
      </c>
      <c r="T2768" s="84" t="str">
        <f>IF(ISERROR(FIND('112'!$M$9,G2768,1)),"",IF((AND(FIND('112'!$M$9,G2768,1)&gt;=1,B2768='112'!$K$9,OR($N2768='112'!$I$6,$O2768='112'!$I$6))),"x",""))</f>
        <v/>
      </c>
      <c r="U2768" s="84" t="str">
        <f>IF(ISERROR(FIND('112'!$M$9,G2768,1)),"",IF((AND(LEFT(G2768,2)=LEFT('112'!$M$9,2),B2768&lt;'112'!$K$9,$N2768='112'!$I$6)),"x",""))</f>
        <v/>
      </c>
      <c r="V2768" s="84" t="str">
        <f>IF(ISERROR(FIND('112'!$M$9,G2768,1)),"",IF((AND(RIGHT(G2768,2)=RIGHT('112'!$M$9,2),B2768&lt;'112'!$K$9,$O2768='112'!$I$6)),"x",""))</f>
        <v/>
      </c>
      <c r="W2768" s="84" t="str">
        <f>IF(AND('341-CT'!$H$9=H2768,OR(LEFT(N2768,3)=$W$7,LEFT(O2768,3)=$W$7)),"x","")</f>
        <v/>
      </c>
      <c r="X2768" s="84" t="str">
        <f>IF(OR(TH!N2768=TH!$X$7,O2768=TH!$X$7),"x","")</f>
        <v/>
      </c>
      <c r="Y2768" s="84" t="str">
        <f>IF(AND(OR(N2768="131",O2768="131"),H2768='131-CT'!$H$9),"x","")</f>
        <v/>
      </c>
      <c r="Z2768" s="84"/>
      <c r="AA2768" s="84" t="str">
        <f>IF(AND(MONTH(E2768)='IN-NX'!$J$5,'IN-NX'!$D$7=D2768),"x","")</f>
        <v/>
      </c>
      <c r="AB2768" s="84" t="str">
        <f>IF(AND(OR(LEFT(TH!N2768,2)="15",LEFT(TH!O2768,2)="15"),LEFT(TH!O2768,3)&lt;&gt;"111",'152-CT'!$J$8=TH!F2768),"x","")</f>
        <v/>
      </c>
      <c r="AC2768" s="84" t="str">
        <f>IF(AND(OR(LEFT(TH!N2768,2)="15",LEFT(TH!O2768,2)="15"),TK!$E$7=TH!F2768),"x","")</f>
        <v/>
      </c>
      <c r="AD2768" s="84" t="str">
        <f>IF(AND(N2768="1521",MONTH(C2768)='BK-NL'!$M$11),"x","")</f>
        <v/>
      </c>
    </row>
    <row r="2769" spans="1:30" s="351" customFormat="1" ht="15.75" hidden="1" customHeight="1">
      <c r="A2769" s="336" t="str">
        <f>IF(B2769&lt;&gt;"",IF(AND(B2769='IN-TC'!$S$4,OR(TH!N2769="1111",TH!O2769="1111")),TH!D2769,""),"")</f>
        <v/>
      </c>
      <c r="B2769" s="63" t="str">
        <f t="shared" si="300"/>
        <v/>
      </c>
      <c r="C2769" s="64"/>
      <c r="D2769" s="64"/>
      <c r="E2769" s="64"/>
      <c r="F2769" s="67"/>
      <c r="G2769" s="67"/>
      <c r="H2769" s="73"/>
      <c r="I2769" s="439"/>
      <c r="J2769" s="439"/>
      <c r="K2769" s="430"/>
      <c r="L2769" s="439"/>
      <c r="M2769" s="65"/>
      <c r="N2769" s="66"/>
      <c r="O2769" s="66"/>
      <c r="P2769" s="84" t="str">
        <f>IF(AND('331-CT'!$E$7=TH!H2769,OR(N2769="331",O2769="331")),"x","")</f>
        <v/>
      </c>
      <c r="Q2769" s="84" t="str">
        <f>IF(AND(B2769='111'!$L$11,OR($N2769=$Q$7,$O2769=$Q$7)),"x","")</f>
        <v/>
      </c>
      <c r="R2769" s="84" t="str">
        <f>IF(AND($N2769=$Q$7,$B2769&lt;'111'!$L$11),"x","")</f>
        <v/>
      </c>
      <c r="S2769" s="84" t="str">
        <f>IF(AND($O2769=$Q$7,$B2769&lt;'111'!$L$11),"x","")</f>
        <v/>
      </c>
      <c r="T2769" s="84" t="str">
        <f>IF(ISERROR(FIND('112'!$M$9,G2769,1)),"",IF((AND(FIND('112'!$M$9,G2769,1)&gt;=1,B2769='112'!$K$9,OR($N2769='112'!$I$6,$O2769='112'!$I$6))),"x",""))</f>
        <v/>
      </c>
      <c r="U2769" s="84" t="str">
        <f>IF(ISERROR(FIND('112'!$M$9,G2769,1)),"",IF((AND(LEFT(G2769,2)=LEFT('112'!$M$9,2),B2769&lt;'112'!$K$9,$N2769='112'!$I$6)),"x",""))</f>
        <v/>
      </c>
      <c r="V2769" s="84" t="str">
        <f>IF(ISERROR(FIND('112'!$M$9,G2769,1)),"",IF((AND(RIGHT(G2769,2)=RIGHT('112'!$M$9,2),B2769&lt;'112'!$K$9,$O2769='112'!$I$6)),"x",""))</f>
        <v/>
      </c>
      <c r="W2769" s="84" t="str">
        <f>IF(AND('341-CT'!$H$9=H2769,OR(LEFT(N2769,3)=$W$7,LEFT(O2769,3)=$W$7)),"x","")</f>
        <v/>
      </c>
      <c r="X2769" s="84" t="str">
        <f>IF(OR(TH!N2769=TH!$X$7,O2769=TH!$X$7),"x","")</f>
        <v/>
      </c>
      <c r="Y2769" s="84" t="str">
        <f>IF(AND(OR(N2769="131",O2769="131"),H2769='131-CT'!$H$9),"x","")</f>
        <v/>
      </c>
      <c r="Z2769" s="84"/>
      <c r="AA2769" s="84" t="str">
        <f>IF(AND(MONTH(E2769)='IN-NX'!$J$5,'IN-NX'!$D$7=D2769),"x","")</f>
        <v/>
      </c>
      <c r="AB2769" s="84" t="str">
        <f>IF(AND(OR(LEFT(TH!N2769,2)="15",LEFT(TH!O2769,2)="15"),LEFT(TH!O2769,3)&lt;&gt;"111",'152-CT'!$J$8=TH!F2769),"x","")</f>
        <v/>
      </c>
      <c r="AC2769" s="84" t="str">
        <f>IF(AND(OR(LEFT(TH!N2769,2)="15",LEFT(TH!O2769,2)="15"),TK!$E$7=TH!F2769),"x","")</f>
        <v/>
      </c>
      <c r="AD2769" s="84" t="str">
        <f>IF(AND(N2769="1521",MONTH(C2769)='BK-NL'!$M$11),"x","")</f>
        <v/>
      </c>
    </row>
    <row r="2770" spans="1:30" s="351" customFormat="1" ht="15.75" hidden="1" customHeight="1">
      <c r="A2770" s="336" t="str">
        <f>IF(B2770&lt;&gt;"",IF(AND(B2770='IN-TC'!$S$4,OR(TH!N2770="1111",TH!O2770="1111")),TH!D2770,""),"")</f>
        <v/>
      </c>
      <c r="B2770" s="63" t="str">
        <f t="shared" si="300"/>
        <v/>
      </c>
      <c r="C2770" s="64"/>
      <c r="D2770" s="64"/>
      <c r="E2770" s="64"/>
      <c r="F2770" s="67"/>
      <c r="G2770" s="67"/>
      <c r="H2770" s="73"/>
      <c r="I2770" s="439"/>
      <c r="J2770" s="439"/>
      <c r="K2770" s="430"/>
      <c r="L2770" s="439"/>
      <c r="M2770" s="65"/>
      <c r="N2770" s="66"/>
      <c r="O2770" s="66"/>
      <c r="P2770" s="84" t="str">
        <f>IF(AND('331-CT'!$E$7=TH!H2770,OR(N2770="331",O2770="331")),"x","")</f>
        <v/>
      </c>
      <c r="Q2770" s="84" t="str">
        <f>IF(AND(B2770='111'!$L$11,OR($N2770=$Q$7,$O2770=$Q$7)),"x","")</f>
        <v/>
      </c>
      <c r="R2770" s="84" t="str">
        <f>IF(AND($N2770=$Q$7,$B2770&lt;'111'!$L$11),"x","")</f>
        <v/>
      </c>
      <c r="S2770" s="84" t="str">
        <f>IF(AND($O2770=$Q$7,$B2770&lt;'111'!$L$11),"x","")</f>
        <v/>
      </c>
      <c r="T2770" s="84" t="str">
        <f>IF(ISERROR(FIND('112'!$M$9,G2770,1)),"",IF((AND(FIND('112'!$M$9,G2770,1)&gt;=1,B2770='112'!$K$9,OR($N2770='112'!$I$6,$O2770='112'!$I$6))),"x",""))</f>
        <v/>
      </c>
      <c r="U2770" s="84" t="str">
        <f>IF(ISERROR(FIND('112'!$M$9,G2770,1)),"",IF((AND(LEFT(G2770,2)=LEFT('112'!$M$9,2),B2770&lt;'112'!$K$9,$N2770='112'!$I$6)),"x",""))</f>
        <v/>
      </c>
      <c r="V2770" s="84" t="str">
        <f>IF(ISERROR(FIND('112'!$M$9,G2770,1)),"",IF((AND(RIGHT(G2770,2)=RIGHT('112'!$M$9,2),B2770&lt;'112'!$K$9,$O2770='112'!$I$6)),"x",""))</f>
        <v/>
      </c>
      <c r="W2770" s="84" t="str">
        <f>IF(AND('341-CT'!$H$9=H2770,OR(LEFT(N2770,3)=$W$7,LEFT(O2770,3)=$W$7)),"x","")</f>
        <v/>
      </c>
      <c r="X2770" s="84" t="str">
        <f>IF(OR(TH!N2770=TH!$X$7,O2770=TH!$X$7),"x","")</f>
        <v/>
      </c>
      <c r="Y2770" s="84" t="str">
        <f>IF(AND(OR(N2770="131",O2770="131"),H2770='131-CT'!$H$9),"x","")</f>
        <v/>
      </c>
      <c r="Z2770" s="84"/>
      <c r="AA2770" s="84" t="str">
        <f>IF(AND(MONTH(E2770)='IN-NX'!$J$5,'IN-NX'!$D$7=D2770),"x","")</f>
        <v/>
      </c>
      <c r="AB2770" s="84" t="str">
        <f>IF(AND(OR(LEFT(TH!N2770,2)="15",LEFT(TH!O2770,2)="15"),LEFT(TH!O2770,3)&lt;&gt;"111",'152-CT'!$J$8=TH!F2770),"x","")</f>
        <v/>
      </c>
      <c r="AC2770" s="84" t="str">
        <f>IF(AND(OR(LEFT(TH!N2770,2)="15",LEFT(TH!O2770,2)="15"),TK!$E$7=TH!F2770),"x","")</f>
        <v/>
      </c>
      <c r="AD2770" s="84" t="str">
        <f>IF(AND(N2770="1521",MONTH(C2770)='BK-NL'!$M$11),"x","")</f>
        <v/>
      </c>
    </row>
    <row r="2771" spans="1:30" s="351" customFormat="1" ht="15.75" hidden="1" customHeight="1">
      <c r="A2771" s="336" t="str">
        <f>IF(B2771&lt;&gt;"",IF(AND(B2771='IN-TC'!$S$4,OR(TH!N2771="1111",TH!O2771="1111")),TH!D2771,""),"")</f>
        <v/>
      </c>
      <c r="B2771" s="63" t="str">
        <f t="shared" si="300"/>
        <v/>
      </c>
      <c r="C2771" s="64"/>
      <c r="D2771" s="64"/>
      <c r="E2771" s="64"/>
      <c r="F2771" s="67"/>
      <c r="G2771" s="67"/>
      <c r="H2771" s="73"/>
      <c r="I2771" s="439"/>
      <c r="J2771" s="439"/>
      <c r="K2771" s="430"/>
      <c r="L2771" s="439"/>
      <c r="M2771" s="65"/>
      <c r="N2771" s="66"/>
      <c r="O2771" s="66"/>
      <c r="P2771" s="84" t="str">
        <f>IF(AND('331-CT'!$E$7=TH!H2771,OR(N2771="331",O2771="331")),"x","")</f>
        <v/>
      </c>
      <c r="Q2771" s="84" t="str">
        <f>IF(AND(B2771='111'!$L$11,OR($N2771=$Q$7,$O2771=$Q$7)),"x","")</f>
        <v/>
      </c>
      <c r="R2771" s="84" t="str">
        <f>IF(AND($N2771=$Q$7,$B2771&lt;'111'!$L$11),"x","")</f>
        <v/>
      </c>
      <c r="S2771" s="84" t="str">
        <f>IF(AND($O2771=$Q$7,$B2771&lt;'111'!$L$11),"x","")</f>
        <v/>
      </c>
      <c r="T2771" s="84" t="str">
        <f>IF(ISERROR(FIND('112'!$M$9,G2771,1)),"",IF((AND(FIND('112'!$M$9,G2771,1)&gt;=1,B2771='112'!$K$9,OR($N2771='112'!$I$6,$O2771='112'!$I$6))),"x",""))</f>
        <v/>
      </c>
      <c r="U2771" s="84" t="str">
        <f>IF(ISERROR(FIND('112'!$M$9,G2771,1)),"",IF((AND(LEFT(G2771,2)=LEFT('112'!$M$9,2),B2771&lt;'112'!$K$9,$N2771='112'!$I$6)),"x",""))</f>
        <v/>
      </c>
      <c r="V2771" s="84" t="str">
        <f>IF(ISERROR(FIND('112'!$M$9,G2771,1)),"",IF((AND(RIGHT(G2771,2)=RIGHT('112'!$M$9,2),B2771&lt;'112'!$K$9,$O2771='112'!$I$6)),"x",""))</f>
        <v/>
      </c>
      <c r="W2771" s="84" t="str">
        <f>IF(AND('341-CT'!$H$9=H2771,OR(LEFT(N2771,3)=$W$7,LEFT(O2771,3)=$W$7)),"x","")</f>
        <v/>
      </c>
      <c r="X2771" s="84" t="str">
        <f>IF(OR(TH!N2771=TH!$X$7,O2771=TH!$X$7),"x","")</f>
        <v/>
      </c>
      <c r="Y2771" s="84" t="str">
        <f>IF(AND(OR(N2771="131",O2771="131"),H2771='131-CT'!$H$9),"x","")</f>
        <v/>
      </c>
      <c r="Z2771" s="84"/>
      <c r="AA2771" s="84" t="str">
        <f>IF(AND(MONTH(E2771)='IN-NX'!$J$5,'IN-NX'!$D$7=D2771),"x","")</f>
        <v/>
      </c>
      <c r="AB2771" s="84" t="str">
        <f>IF(AND(OR(LEFT(TH!N2771,2)="15",LEFT(TH!O2771,2)="15"),LEFT(TH!O2771,3)&lt;&gt;"111",'152-CT'!$J$8=TH!F2771),"x","")</f>
        <v/>
      </c>
      <c r="AC2771" s="84" t="str">
        <f>IF(AND(OR(LEFT(TH!N2771,2)="15",LEFT(TH!O2771,2)="15"),TK!$E$7=TH!F2771),"x","")</f>
        <v/>
      </c>
      <c r="AD2771" s="84" t="str">
        <f>IF(AND(N2771="1521",MONTH(C2771)='BK-NL'!$M$11),"x","")</f>
        <v/>
      </c>
    </row>
    <row r="2772" spans="1:30" s="351" customFormat="1" ht="15.75" hidden="1" customHeight="1">
      <c r="A2772" s="336" t="str">
        <f>IF(B2772&lt;&gt;"",IF(AND(B2772='IN-TC'!$S$4,OR(TH!N2772="1111",TH!O2772="1111")),TH!D2772,""),"")</f>
        <v/>
      </c>
      <c r="B2772" s="63" t="str">
        <f t="shared" si="300"/>
        <v/>
      </c>
      <c r="C2772" s="64"/>
      <c r="D2772" s="64"/>
      <c r="E2772" s="64"/>
      <c r="F2772" s="67"/>
      <c r="G2772" s="67"/>
      <c r="H2772" s="73"/>
      <c r="I2772" s="439"/>
      <c r="J2772" s="439"/>
      <c r="K2772" s="430"/>
      <c r="L2772" s="439"/>
      <c r="M2772" s="65"/>
      <c r="N2772" s="66"/>
      <c r="O2772" s="66"/>
      <c r="P2772" s="84" t="str">
        <f>IF(AND('331-CT'!$E$7=TH!H2772,OR(N2772="331",O2772="331")),"x","")</f>
        <v/>
      </c>
      <c r="Q2772" s="84" t="str">
        <f>IF(AND(B2772='111'!$L$11,OR($N2772=$Q$7,$O2772=$Q$7)),"x","")</f>
        <v/>
      </c>
      <c r="R2772" s="84" t="str">
        <f>IF(AND($N2772=$Q$7,$B2772&lt;'111'!$L$11),"x","")</f>
        <v/>
      </c>
      <c r="S2772" s="84" t="str">
        <f>IF(AND($O2772=$Q$7,$B2772&lt;'111'!$L$11),"x","")</f>
        <v/>
      </c>
      <c r="T2772" s="84" t="str">
        <f>IF(ISERROR(FIND('112'!$M$9,G2772,1)),"",IF((AND(FIND('112'!$M$9,G2772,1)&gt;=1,B2772='112'!$K$9,OR($N2772='112'!$I$6,$O2772='112'!$I$6))),"x",""))</f>
        <v/>
      </c>
      <c r="U2772" s="84" t="str">
        <f>IF(ISERROR(FIND('112'!$M$9,G2772,1)),"",IF((AND(LEFT(G2772,2)=LEFT('112'!$M$9,2),B2772&lt;'112'!$K$9,$N2772='112'!$I$6)),"x",""))</f>
        <v/>
      </c>
      <c r="V2772" s="84" t="str">
        <f>IF(ISERROR(FIND('112'!$M$9,G2772,1)),"",IF((AND(RIGHT(G2772,2)=RIGHT('112'!$M$9,2),B2772&lt;'112'!$K$9,$O2772='112'!$I$6)),"x",""))</f>
        <v/>
      </c>
      <c r="W2772" s="84" t="str">
        <f>IF(AND('341-CT'!$H$9=H2772,OR(LEFT(N2772,3)=$W$7,LEFT(O2772,3)=$W$7)),"x","")</f>
        <v/>
      </c>
      <c r="X2772" s="84" t="str">
        <f>IF(OR(TH!N2772=TH!$X$7,O2772=TH!$X$7),"x","")</f>
        <v/>
      </c>
      <c r="Y2772" s="84" t="str">
        <f>IF(AND(OR(N2772="131",O2772="131"),H2772='131-CT'!$H$9),"x","")</f>
        <v/>
      </c>
      <c r="Z2772" s="84"/>
      <c r="AA2772" s="84" t="str">
        <f>IF(AND(MONTH(E2772)='IN-NX'!$J$5,'IN-NX'!$D$7=D2772),"x","")</f>
        <v/>
      </c>
      <c r="AB2772" s="84" t="str">
        <f>IF(AND(OR(LEFT(TH!N2772,2)="15",LEFT(TH!O2772,2)="15"),LEFT(TH!O2772,3)&lt;&gt;"111",'152-CT'!$J$8=TH!F2772),"x","")</f>
        <v/>
      </c>
      <c r="AC2772" s="84" t="str">
        <f>IF(AND(OR(LEFT(TH!N2772,2)="15",LEFT(TH!O2772,2)="15"),TK!$E$7=TH!F2772),"x","")</f>
        <v/>
      </c>
      <c r="AD2772" s="84" t="str">
        <f>IF(AND(N2772="1521",MONTH(C2772)='BK-NL'!$M$11),"x","")</f>
        <v/>
      </c>
    </row>
    <row r="2773" spans="1:30" s="351" customFormat="1" ht="15.75" hidden="1" customHeight="1">
      <c r="A2773" s="336" t="str">
        <f>IF(B2773&lt;&gt;"",IF(AND(B2773='IN-TC'!$S$4,OR(TH!N2773="1111",TH!O2773="1111")),TH!D2773,""),"")</f>
        <v/>
      </c>
      <c r="B2773" s="63" t="str">
        <f t="shared" si="300"/>
        <v/>
      </c>
      <c r="C2773" s="64"/>
      <c r="D2773" s="64"/>
      <c r="E2773" s="64"/>
      <c r="F2773" s="67"/>
      <c r="G2773" s="67"/>
      <c r="H2773" s="73"/>
      <c r="I2773" s="439"/>
      <c r="J2773" s="439"/>
      <c r="K2773" s="430"/>
      <c r="L2773" s="439"/>
      <c r="M2773" s="65"/>
      <c r="N2773" s="66"/>
      <c r="O2773" s="66"/>
      <c r="P2773" s="84" t="str">
        <f>IF(AND('331-CT'!$E$7=TH!H2773,OR(N2773="331",O2773="331")),"x","")</f>
        <v/>
      </c>
      <c r="Q2773" s="84" t="str">
        <f>IF(AND(B2773='111'!$L$11,OR($N2773=$Q$7,$O2773=$Q$7)),"x","")</f>
        <v/>
      </c>
      <c r="R2773" s="84" t="str">
        <f>IF(AND($N2773=$Q$7,$B2773&lt;'111'!$L$11),"x","")</f>
        <v/>
      </c>
      <c r="S2773" s="84" t="str">
        <f>IF(AND($O2773=$Q$7,$B2773&lt;'111'!$L$11),"x","")</f>
        <v/>
      </c>
      <c r="T2773" s="84" t="str">
        <f>IF(ISERROR(FIND('112'!$M$9,G2773,1)),"",IF((AND(FIND('112'!$M$9,G2773,1)&gt;=1,B2773='112'!$K$9,OR($N2773='112'!$I$6,$O2773='112'!$I$6))),"x",""))</f>
        <v/>
      </c>
      <c r="U2773" s="84" t="str">
        <f>IF(ISERROR(FIND('112'!$M$9,G2773,1)),"",IF((AND(LEFT(G2773,2)=LEFT('112'!$M$9,2),B2773&lt;'112'!$K$9,$N2773='112'!$I$6)),"x",""))</f>
        <v/>
      </c>
      <c r="V2773" s="84" t="str">
        <f>IF(ISERROR(FIND('112'!$M$9,G2773,1)),"",IF((AND(RIGHT(G2773,2)=RIGHT('112'!$M$9,2),B2773&lt;'112'!$K$9,$O2773='112'!$I$6)),"x",""))</f>
        <v/>
      </c>
      <c r="W2773" s="84" t="str">
        <f>IF(AND('341-CT'!$H$9=H2773,OR(LEFT(N2773,3)=$W$7,LEFT(O2773,3)=$W$7)),"x","")</f>
        <v/>
      </c>
      <c r="X2773" s="84" t="str">
        <f>IF(OR(TH!N2773=TH!$X$7,O2773=TH!$X$7),"x","")</f>
        <v/>
      </c>
      <c r="Y2773" s="84" t="str">
        <f>IF(AND(OR(N2773="131",O2773="131"),H2773='131-CT'!$H$9),"x","")</f>
        <v/>
      </c>
      <c r="Z2773" s="84"/>
      <c r="AA2773" s="84" t="str">
        <f>IF(AND(MONTH(E2773)='IN-NX'!$J$5,'IN-NX'!$D$7=D2773),"x","")</f>
        <v/>
      </c>
      <c r="AB2773" s="84" t="str">
        <f>IF(AND(OR(LEFT(TH!N2773,2)="15",LEFT(TH!O2773,2)="15"),LEFT(TH!O2773,3)&lt;&gt;"111",'152-CT'!$J$8=TH!F2773),"x","")</f>
        <v/>
      </c>
      <c r="AC2773" s="84" t="str">
        <f>IF(AND(OR(LEFT(TH!N2773,2)="15",LEFT(TH!O2773,2)="15"),TK!$E$7=TH!F2773),"x","")</f>
        <v/>
      </c>
      <c r="AD2773" s="84" t="str">
        <f>IF(AND(N2773="1521",MONTH(C2773)='BK-NL'!$M$11),"x","")</f>
        <v/>
      </c>
    </row>
    <row r="2774" spans="1:30" s="351" customFormat="1" ht="15.75" hidden="1" customHeight="1">
      <c r="A2774" s="336" t="str">
        <f>IF(B2774&lt;&gt;"",IF(AND(B2774='IN-TC'!$S$4,OR(TH!N2774="1111",TH!O2774="1111")),TH!D2774,""),"")</f>
        <v/>
      </c>
      <c r="B2774" s="63" t="str">
        <f t="shared" si="300"/>
        <v/>
      </c>
      <c r="C2774" s="64"/>
      <c r="D2774" s="64"/>
      <c r="E2774" s="64"/>
      <c r="F2774" s="67"/>
      <c r="G2774" s="67"/>
      <c r="H2774" s="73"/>
      <c r="I2774" s="439"/>
      <c r="J2774" s="439"/>
      <c r="K2774" s="430"/>
      <c r="L2774" s="439"/>
      <c r="M2774" s="65"/>
      <c r="N2774" s="66"/>
      <c r="O2774" s="66"/>
      <c r="P2774" s="84" t="str">
        <f>IF(AND('331-CT'!$E$7=TH!H2774,OR(N2774="331",O2774="331")),"x","")</f>
        <v/>
      </c>
      <c r="Q2774" s="84" t="str">
        <f>IF(AND(B2774='111'!$L$11,OR($N2774=$Q$7,$O2774=$Q$7)),"x","")</f>
        <v/>
      </c>
      <c r="R2774" s="84" t="str">
        <f>IF(AND($N2774=$Q$7,$B2774&lt;'111'!$L$11),"x","")</f>
        <v/>
      </c>
      <c r="S2774" s="84" t="str">
        <f>IF(AND($O2774=$Q$7,$B2774&lt;'111'!$L$11),"x","")</f>
        <v/>
      </c>
      <c r="T2774" s="84" t="str">
        <f>IF(ISERROR(FIND('112'!$M$9,G2774,1)),"",IF((AND(FIND('112'!$M$9,G2774,1)&gt;=1,B2774='112'!$K$9,OR($N2774='112'!$I$6,$O2774='112'!$I$6))),"x",""))</f>
        <v/>
      </c>
      <c r="U2774" s="84" t="str">
        <f>IF(ISERROR(FIND('112'!$M$9,G2774,1)),"",IF((AND(LEFT(G2774,2)=LEFT('112'!$M$9,2),B2774&lt;'112'!$K$9,$N2774='112'!$I$6)),"x",""))</f>
        <v/>
      </c>
      <c r="V2774" s="84" t="str">
        <f>IF(ISERROR(FIND('112'!$M$9,G2774,1)),"",IF((AND(RIGHT(G2774,2)=RIGHT('112'!$M$9,2),B2774&lt;'112'!$K$9,$O2774='112'!$I$6)),"x",""))</f>
        <v/>
      </c>
      <c r="W2774" s="84" t="str">
        <f>IF(AND('341-CT'!$H$9=H2774,OR(LEFT(N2774,3)=$W$7,LEFT(O2774,3)=$W$7)),"x","")</f>
        <v/>
      </c>
      <c r="X2774" s="84" t="str">
        <f>IF(OR(TH!N2774=TH!$X$7,O2774=TH!$X$7),"x","")</f>
        <v/>
      </c>
      <c r="Y2774" s="84" t="str">
        <f>IF(AND(OR(N2774="131",O2774="131"),H2774='131-CT'!$H$9),"x","")</f>
        <v/>
      </c>
      <c r="Z2774" s="84"/>
      <c r="AA2774" s="84" t="str">
        <f>IF(AND(MONTH(E2774)='IN-NX'!$J$5,'IN-NX'!$D$7=D2774),"x","")</f>
        <v/>
      </c>
      <c r="AB2774" s="84" t="str">
        <f>IF(AND(OR(LEFT(TH!N2774,2)="15",LEFT(TH!O2774,2)="15"),LEFT(TH!O2774,3)&lt;&gt;"111",'152-CT'!$J$8=TH!F2774),"x","")</f>
        <v/>
      </c>
      <c r="AC2774" s="84" t="str">
        <f>IF(AND(OR(LEFT(TH!N2774,2)="15",LEFT(TH!O2774,2)="15"),TK!$E$7=TH!F2774),"x","")</f>
        <v/>
      </c>
      <c r="AD2774" s="84" t="str">
        <f>IF(AND(N2774="1521",MONTH(C2774)='BK-NL'!$M$11),"x","")</f>
        <v/>
      </c>
    </row>
    <row r="2775" spans="1:30" s="351" customFormat="1" ht="15.75" hidden="1" customHeight="1">
      <c r="A2775" s="336" t="str">
        <f>IF(B2775&lt;&gt;"",IF(AND(B2775='IN-TC'!$S$4,OR(TH!N2775="1111",TH!O2775="1111")),TH!D2775,""),"")</f>
        <v/>
      </c>
      <c r="B2775" s="63" t="str">
        <f t="shared" si="300"/>
        <v/>
      </c>
      <c r="C2775" s="64"/>
      <c r="D2775" s="64"/>
      <c r="E2775" s="64"/>
      <c r="F2775" s="67"/>
      <c r="G2775" s="67"/>
      <c r="H2775" s="73"/>
      <c r="I2775" s="439"/>
      <c r="J2775" s="439"/>
      <c r="K2775" s="430"/>
      <c r="L2775" s="439"/>
      <c r="M2775" s="65"/>
      <c r="N2775" s="66"/>
      <c r="O2775" s="66"/>
      <c r="P2775" s="84" t="str">
        <f>IF(AND('331-CT'!$E$7=TH!H2775,OR(N2775="331",O2775="331")),"x","")</f>
        <v/>
      </c>
      <c r="Q2775" s="84" t="str">
        <f>IF(AND(B2775='111'!$L$11,OR($N2775=$Q$7,$O2775=$Q$7)),"x","")</f>
        <v/>
      </c>
      <c r="R2775" s="84" t="str">
        <f>IF(AND($N2775=$Q$7,$B2775&lt;'111'!$L$11),"x","")</f>
        <v/>
      </c>
      <c r="S2775" s="84" t="str">
        <f>IF(AND($O2775=$Q$7,$B2775&lt;'111'!$L$11),"x","")</f>
        <v/>
      </c>
      <c r="T2775" s="84" t="str">
        <f>IF(ISERROR(FIND('112'!$M$9,G2775,1)),"",IF((AND(FIND('112'!$M$9,G2775,1)&gt;=1,B2775='112'!$K$9,OR($N2775='112'!$I$6,$O2775='112'!$I$6))),"x",""))</f>
        <v/>
      </c>
      <c r="U2775" s="84" t="str">
        <f>IF(ISERROR(FIND('112'!$M$9,G2775,1)),"",IF((AND(LEFT(G2775,2)=LEFT('112'!$M$9,2),B2775&lt;'112'!$K$9,$N2775='112'!$I$6)),"x",""))</f>
        <v/>
      </c>
      <c r="V2775" s="84" t="str">
        <f>IF(ISERROR(FIND('112'!$M$9,G2775,1)),"",IF((AND(RIGHT(G2775,2)=RIGHT('112'!$M$9,2),B2775&lt;'112'!$K$9,$O2775='112'!$I$6)),"x",""))</f>
        <v/>
      </c>
      <c r="W2775" s="84" t="str">
        <f>IF(AND('341-CT'!$H$9=H2775,OR(LEFT(N2775,3)=$W$7,LEFT(O2775,3)=$W$7)),"x","")</f>
        <v/>
      </c>
      <c r="X2775" s="84" t="str">
        <f>IF(OR(TH!N2775=TH!$X$7,O2775=TH!$X$7),"x","")</f>
        <v/>
      </c>
      <c r="Y2775" s="84" t="str">
        <f>IF(AND(OR(N2775="131",O2775="131"),H2775='131-CT'!$H$9),"x","")</f>
        <v/>
      </c>
      <c r="Z2775" s="84"/>
      <c r="AA2775" s="84" t="str">
        <f>IF(AND(MONTH(E2775)='IN-NX'!$J$5,'IN-NX'!$D$7=D2775),"x","")</f>
        <v/>
      </c>
      <c r="AB2775" s="84" t="str">
        <f>IF(AND(OR(LEFT(TH!N2775,2)="15",LEFT(TH!O2775,2)="15"),LEFT(TH!O2775,3)&lt;&gt;"111",'152-CT'!$J$8=TH!F2775),"x","")</f>
        <v/>
      </c>
      <c r="AC2775" s="84" t="str">
        <f>IF(AND(OR(LEFT(TH!N2775,2)="15",LEFT(TH!O2775,2)="15"),TK!$E$7=TH!F2775),"x","")</f>
        <v/>
      </c>
      <c r="AD2775" s="84" t="str">
        <f>IF(AND(N2775="1521",MONTH(C2775)='BK-NL'!$M$11),"x","")</f>
        <v/>
      </c>
    </row>
    <row r="2776" spans="1:30" s="351" customFormat="1" ht="15.75" hidden="1" customHeight="1">
      <c r="A2776" s="336" t="str">
        <f>IF(B2776&lt;&gt;"",IF(AND(B2776='IN-TC'!$S$4,OR(TH!N2776="1111",TH!O2776="1111")),TH!D2776,""),"")</f>
        <v/>
      </c>
      <c r="B2776" s="63" t="str">
        <f t="shared" si="300"/>
        <v/>
      </c>
      <c r="C2776" s="64"/>
      <c r="D2776" s="64"/>
      <c r="E2776" s="64"/>
      <c r="F2776" s="67"/>
      <c r="G2776" s="67"/>
      <c r="H2776" s="73"/>
      <c r="I2776" s="439"/>
      <c r="J2776" s="439"/>
      <c r="K2776" s="430"/>
      <c r="L2776" s="439"/>
      <c r="M2776" s="65"/>
      <c r="N2776" s="66"/>
      <c r="O2776" s="66"/>
      <c r="P2776" s="84" t="str">
        <f>IF(AND('331-CT'!$E$7=TH!H2776,OR(N2776="331",O2776="331")),"x","")</f>
        <v/>
      </c>
      <c r="Q2776" s="84" t="str">
        <f>IF(AND(B2776='111'!$L$11,OR($N2776=$Q$7,$O2776=$Q$7)),"x","")</f>
        <v/>
      </c>
      <c r="R2776" s="84" t="str">
        <f>IF(AND($N2776=$Q$7,$B2776&lt;'111'!$L$11),"x","")</f>
        <v/>
      </c>
      <c r="S2776" s="84" t="str">
        <f>IF(AND($O2776=$Q$7,$B2776&lt;'111'!$L$11),"x","")</f>
        <v/>
      </c>
      <c r="T2776" s="84" t="str">
        <f>IF(ISERROR(FIND('112'!$M$9,G2776,1)),"",IF((AND(FIND('112'!$M$9,G2776,1)&gt;=1,B2776='112'!$K$9,OR($N2776='112'!$I$6,$O2776='112'!$I$6))),"x",""))</f>
        <v/>
      </c>
      <c r="U2776" s="84" t="str">
        <f>IF(ISERROR(FIND('112'!$M$9,G2776,1)),"",IF((AND(LEFT(G2776,2)=LEFT('112'!$M$9,2),B2776&lt;'112'!$K$9,$N2776='112'!$I$6)),"x",""))</f>
        <v/>
      </c>
      <c r="V2776" s="84" t="str">
        <f>IF(ISERROR(FIND('112'!$M$9,G2776,1)),"",IF((AND(RIGHT(G2776,2)=RIGHT('112'!$M$9,2),B2776&lt;'112'!$K$9,$O2776='112'!$I$6)),"x",""))</f>
        <v/>
      </c>
      <c r="W2776" s="84" t="str">
        <f>IF(AND('341-CT'!$H$9=H2776,OR(LEFT(N2776,3)=$W$7,LEFT(O2776,3)=$W$7)),"x","")</f>
        <v/>
      </c>
      <c r="X2776" s="84" t="str">
        <f>IF(OR(TH!N2776=TH!$X$7,O2776=TH!$X$7),"x","")</f>
        <v/>
      </c>
      <c r="Y2776" s="84" t="str">
        <f>IF(AND(OR(N2776="131",O2776="131"),H2776='131-CT'!$H$9),"x","")</f>
        <v/>
      </c>
      <c r="Z2776" s="84"/>
      <c r="AA2776" s="84" t="str">
        <f>IF(AND(MONTH(E2776)='IN-NX'!$J$5,'IN-NX'!$D$7=D2776),"x","")</f>
        <v/>
      </c>
      <c r="AB2776" s="84" t="str">
        <f>IF(AND(OR(LEFT(TH!N2776,2)="15",LEFT(TH!O2776,2)="15"),LEFT(TH!O2776,3)&lt;&gt;"111",'152-CT'!$J$8=TH!F2776),"x","")</f>
        <v/>
      </c>
      <c r="AC2776" s="84" t="str">
        <f>IF(AND(OR(LEFT(TH!N2776,2)="15",LEFT(TH!O2776,2)="15"),TK!$E$7=TH!F2776),"x","")</f>
        <v/>
      </c>
      <c r="AD2776" s="84" t="str">
        <f>IF(AND(N2776="1521",MONTH(C2776)='BK-NL'!$M$11),"x","")</f>
        <v/>
      </c>
    </row>
    <row r="2777" spans="1:30" s="351" customFormat="1" ht="15.75" hidden="1" customHeight="1">
      <c r="A2777" s="336" t="str">
        <f>IF(B2777&lt;&gt;"",IF(AND(B2777='IN-TC'!$S$4,OR(TH!N2777="1111",TH!O2777="1111")),TH!D2777,""),"")</f>
        <v/>
      </c>
      <c r="B2777" s="63" t="str">
        <f t="shared" si="300"/>
        <v/>
      </c>
      <c r="C2777" s="64"/>
      <c r="D2777" s="64"/>
      <c r="E2777" s="64"/>
      <c r="F2777" s="67"/>
      <c r="G2777" s="67"/>
      <c r="H2777" s="73"/>
      <c r="I2777" s="439"/>
      <c r="J2777" s="439"/>
      <c r="K2777" s="430"/>
      <c r="L2777" s="439"/>
      <c r="M2777" s="65"/>
      <c r="N2777" s="66"/>
      <c r="O2777" s="66"/>
      <c r="P2777" s="84" t="str">
        <f>IF(AND('331-CT'!$E$7=TH!H2777,OR(N2777="331",O2777="331")),"x","")</f>
        <v/>
      </c>
      <c r="Q2777" s="84" t="str">
        <f>IF(AND(B2777='111'!$L$11,OR($N2777=$Q$7,$O2777=$Q$7)),"x","")</f>
        <v/>
      </c>
      <c r="R2777" s="84" t="str">
        <f>IF(AND($N2777=$Q$7,$B2777&lt;'111'!$L$11),"x","")</f>
        <v/>
      </c>
      <c r="S2777" s="84" t="str">
        <f>IF(AND($O2777=$Q$7,$B2777&lt;'111'!$L$11),"x","")</f>
        <v/>
      </c>
      <c r="T2777" s="84" t="str">
        <f>IF(ISERROR(FIND('112'!$M$9,G2777,1)),"",IF((AND(FIND('112'!$M$9,G2777,1)&gt;=1,B2777='112'!$K$9,OR($N2777='112'!$I$6,$O2777='112'!$I$6))),"x",""))</f>
        <v/>
      </c>
      <c r="U2777" s="84" t="str">
        <f>IF(ISERROR(FIND('112'!$M$9,G2777,1)),"",IF((AND(LEFT(G2777,2)=LEFT('112'!$M$9,2),B2777&lt;'112'!$K$9,$N2777='112'!$I$6)),"x",""))</f>
        <v/>
      </c>
      <c r="V2777" s="84" t="str">
        <f>IF(ISERROR(FIND('112'!$M$9,G2777,1)),"",IF((AND(RIGHT(G2777,2)=RIGHT('112'!$M$9,2),B2777&lt;'112'!$K$9,$O2777='112'!$I$6)),"x",""))</f>
        <v/>
      </c>
      <c r="W2777" s="84" t="str">
        <f>IF(AND('341-CT'!$H$9=H2777,OR(LEFT(N2777,3)=$W$7,LEFT(O2777,3)=$W$7)),"x","")</f>
        <v/>
      </c>
      <c r="X2777" s="84" t="str">
        <f>IF(OR(TH!N2777=TH!$X$7,O2777=TH!$X$7),"x","")</f>
        <v/>
      </c>
      <c r="Y2777" s="84" t="str">
        <f>IF(AND(OR(N2777="131",O2777="131"),H2777='131-CT'!$H$9),"x","")</f>
        <v/>
      </c>
      <c r="Z2777" s="84"/>
      <c r="AA2777" s="84" t="str">
        <f>IF(AND(MONTH(E2777)='IN-NX'!$J$5,'IN-NX'!$D$7=D2777),"x","")</f>
        <v/>
      </c>
      <c r="AB2777" s="84" t="str">
        <f>IF(AND(OR(LEFT(TH!N2777,2)="15",LEFT(TH!O2777,2)="15"),LEFT(TH!O2777,3)&lt;&gt;"111",'152-CT'!$J$8=TH!F2777),"x","")</f>
        <v/>
      </c>
      <c r="AC2777" s="84" t="str">
        <f>IF(AND(OR(LEFT(TH!N2777,2)="15",LEFT(TH!O2777,2)="15"),TK!$E$7=TH!F2777),"x","")</f>
        <v/>
      </c>
      <c r="AD2777" s="84" t="str">
        <f>IF(AND(N2777="1521",MONTH(C2777)='BK-NL'!$M$11),"x","")</f>
        <v/>
      </c>
    </row>
    <row r="2778" spans="1:30" s="351" customFormat="1" ht="15.75" hidden="1" customHeight="1">
      <c r="A2778" s="336" t="str">
        <f>IF(B2778&lt;&gt;"",IF(AND(B2778='IN-TC'!$S$4,OR(TH!N2778="1111",TH!O2778="1111")),TH!D2778,""),"")</f>
        <v/>
      </c>
      <c r="B2778" s="63" t="str">
        <f t="shared" si="300"/>
        <v/>
      </c>
      <c r="C2778" s="64"/>
      <c r="D2778" s="64"/>
      <c r="E2778" s="64"/>
      <c r="F2778" s="67"/>
      <c r="G2778" s="67"/>
      <c r="H2778" s="73"/>
      <c r="I2778" s="439"/>
      <c r="J2778" s="439"/>
      <c r="K2778" s="430"/>
      <c r="L2778" s="439"/>
      <c r="M2778" s="65"/>
      <c r="N2778" s="66"/>
      <c r="O2778" s="66"/>
      <c r="P2778" s="84" t="str">
        <f>IF(AND('331-CT'!$E$7=TH!H2778,OR(N2778="331",O2778="331")),"x","")</f>
        <v/>
      </c>
      <c r="Q2778" s="84" t="str">
        <f>IF(AND(B2778='111'!$L$11,OR($N2778=$Q$7,$O2778=$Q$7)),"x","")</f>
        <v/>
      </c>
      <c r="R2778" s="84" t="str">
        <f>IF(AND($N2778=$Q$7,$B2778&lt;'111'!$L$11),"x","")</f>
        <v/>
      </c>
      <c r="S2778" s="84" t="str">
        <f>IF(AND($O2778=$Q$7,$B2778&lt;'111'!$L$11),"x","")</f>
        <v/>
      </c>
      <c r="T2778" s="84" t="str">
        <f>IF(ISERROR(FIND('112'!$M$9,G2778,1)),"",IF((AND(FIND('112'!$M$9,G2778,1)&gt;=1,B2778='112'!$K$9,OR($N2778='112'!$I$6,$O2778='112'!$I$6))),"x",""))</f>
        <v/>
      </c>
      <c r="U2778" s="84" t="str">
        <f>IF(ISERROR(FIND('112'!$M$9,G2778,1)),"",IF((AND(LEFT(G2778,2)=LEFT('112'!$M$9,2),B2778&lt;'112'!$K$9,$N2778='112'!$I$6)),"x",""))</f>
        <v/>
      </c>
      <c r="V2778" s="84" t="str">
        <f>IF(ISERROR(FIND('112'!$M$9,G2778,1)),"",IF((AND(RIGHT(G2778,2)=RIGHT('112'!$M$9,2),B2778&lt;'112'!$K$9,$O2778='112'!$I$6)),"x",""))</f>
        <v/>
      </c>
      <c r="W2778" s="84" t="str">
        <f>IF(AND('341-CT'!$H$9=H2778,OR(LEFT(N2778,3)=$W$7,LEFT(O2778,3)=$W$7)),"x","")</f>
        <v/>
      </c>
      <c r="X2778" s="84" t="str">
        <f>IF(OR(TH!N2778=TH!$X$7,O2778=TH!$X$7),"x","")</f>
        <v/>
      </c>
      <c r="Y2778" s="84" t="str">
        <f>IF(AND(OR(N2778="131",O2778="131"),H2778='131-CT'!$H$9),"x","")</f>
        <v/>
      </c>
      <c r="Z2778" s="84"/>
      <c r="AA2778" s="84" t="str">
        <f>IF(AND(MONTH(E2778)='IN-NX'!$J$5,'IN-NX'!$D$7=D2778),"x","")</f>
        <v/>
      </c>
      <c r="AB2778" s="84" t="str">
        <f>IF(AND(OR(LEFT(TH!N2778,2)="15",LEFT(TH!O2778,2)="15"),LEFT(TH!O2778,3)&lt;&gt;"111",'152-CT'!$J$8=TH!F2778),"x","")</f>
        <v/>
      </c>
      <c r="AC2778" s="84" t="str">
        <f>IF(AND(OR(LEFT(TH!N2778,2)="15",LEFT(TH!O2778,2)="15"),TK!$E$7=TH!F2778),"x","")</f>
        <v/>
      </c>
      <c r="AD2778" s="84" t="str">
        <f>IF(AND(N2778="1521",MONTH(C2778)='BK-NL'!$M$11),"x","")</f>
        <v/>
      </c>
    </row>
    <row r="2779" spans="1:30" s="351" customFormat="1" ht="15.75" hidden="1" customHeight="1">
      <c r="A2779" s="336" t="str">
        <f>IF(B2779&lt;&gt;"",IF(AND(B2779='IN-TC'!$S$4,OR(TH!N2779="1111",TH!O2779="1111")),TH!D2779,""),"")</f>
        <v/>
      </c>
      <c r="B2779" s="63" t="str">
        <f t="shared" si="300"/>
        <v/>
      </c>
      <c r="C2779" s="64"/>
      <c r="D2779" s="64"/>
      <c r="E2779" s="64"/>
      <c r="F2779" s="67"/>
      <c r="G2779" s="67"/>
      <c r="H2779" s="73"/>
      <c r="I2779" s="439"/>
      <c r="J2779" s="439"/>
      <c r="K2779" s="430"/>
      <c r="L2779" s="439"/>
      <c r="M2779" s="65"/>
      <c r="N2779" s="66"/>
      <c r="O2779" s="66"/>
      <c r="P2779" s="84" t="str">
        <f>IF(AND('331-CT'!$E$7=TH!H2779,OR(N2779="331",O2779="331")),"x","")</f>
        <v/>
      </c>
      <c r="Q2779" s="84" t="str">
        <f>IF(AND(B2779='111'!$L$11,OR($N2779=$Q$7,$O2779=$Q$7)),"x","")</f>
        <v/>
      </c>
      <c r="R2779" s="84" t="str">
        <f>IF(AND($N2779=$Q$7,$B2779&lt;'111'!$L$11),"x","")</f>
        <v/>
      </c>
      <c r="S2779" s="84" t="str">
        <f>IF(AND($O2779=$Q$7,$B2779&lt;'111'!$L$11),"x","")</f>
        <v/>
      </c>
      <c r="T2779" s="84" t="str">
        <f>IF(ISERROR(FIND('112'!$M$9,G2779,1)),"",IF((AND(FIND('112'!$M$9,G2779,1)&gt;=1,B2779='112'!$K$9,OR($N2779='112'!$I$6,$O2779='112'!$I$6))),"x",""))</f>
        <v/>
      </c>
      <c r="U2779" s="84" t="str">
        <f>IF(ISERROR(FIND('112'!$M$9,G2779,1)),"",IF((AND(LEFT(G2779,2)=LEFT('112'!$M$9,2),B2779&lt;'112'!$K$9,$N2779='112'!$I$6)),"x",""))</f>
        <v/>
      </c>
      <c r="V2779" s="84" t="str">
        <f>IF(ISERROR(FIND('112'!$M$9,G2779,1)),"",IF((AND(RIGHT(G2779,2)=RIGHT('112'!$M$9,2),B2779&lt;'112'!$K$9,$O2779='112'!$I$6)),"x",""))</f>
        <v/>
      </c>
      <c r="W2779" s="84" t="str">
        <f>IF(AND('341-CT'!$H$9=H2779,OR(LEFT(N2779,3)=$W$7,LEFT(O2779,3)=$W$7)),"x","")</f>
        <v/>
      </c>
      <c r="X2779" s="84" t="str">
        <f>IF(OR(TH!N2779=TH!$X$7,O2779=TH!$X$7),"x","")</f>
        <v/>
      </c>
      <c r="Y2779" s="84" t="str">
        <f>IF(AND(OR(N2779="131",O2779="131"),H2779='131-CT'!$H$9),"x","")</f>
        <v/>
      </c>
      <c r="Z2779" s="84"/>
      <c r="AA2779" s="84" t="str">
        <f>IF(AND(MONTH(E2779)='IN-NX'!$J$5,'IN-NX'!$D$7=D2779),"x","")</f>
        <v/>
      </c>
      <c r="AB2779" s="84" t="str">
        <f>IF(AND(OR(LEFT(TH!N2779,2)="15",LEFT(TH!O2779,2)="15"),LEFT(TH!O2779,3)&lt;&gt;"111",'152-CT'!$J$8=TH!F2779),"x","")</f>
        <v/>
      </c>
      <c r="AC2779" s="84" t="str">
        <f>IF(AND(OR(LEFT(TH!N2779,2)="15",LEFT(TH!O2779,2)="15"),TK!$E$7=TH!F2779),"x","")</f>
        <v/>
      </c>
      <c r="AD2779" s="84" t="str">
        <f>IF(AND(N2779="1521",MONTH(C2779)='BK-NL'!$M$11),"x","")</f>
        <v/>
      </c>
    </row>
    <row r="2780" spans="1:30" s="351" customFormat="1" ht="15.75" hidden="1" customHeight="1">
      <c r="A2780" s="336" t="str">
        <f>IF(B2780&lt;&gt;"",IF(AND(B2780='IN-TC'!$S$4,OR(TH!N2780="1111",TH!O2780="1111")),TH!D2780,""),"")</f>
        <v/>
      </c>
      <c r="B2780" s="63" t="str">
        <f t="shared" si="300"/>
        <v/>
      </c>
      <c r="C2780" s="64"/>
      <c r="D2780" s="64"/>
      <c r="E2780" s="64"/>
      <c r="F2780" s="67"/>
      <c r="G2780" s="67"/>
      <c r="H2780" s="73"/>
      <c r="I2780" s="439"/>
      <c r="J2780" s="439"/>
      <c r="K2780" s="430"/>
      <c r="L2780" s="439"/>
      <c r="M2780" s="65"/>
      <c r="N2780" s="66"/>
      <c r="O2780" s="66"/>
      <c r="P2780" s="84" t="str">
        <f>IF(AND('331-CT'!$E$7=TH!H2780,OR(N2780="331",O2780="331")),"x","")</f>
        <v/>
      </c>
      <c r="Q2780" s="84" t="str">
        <f>IF(AND(B2780='111'!$L$11,OR($N2780=$Q$7,$O2780=$Q$7)),"x","")</f>
        <v/>
      </c>
      <c r="R2780" s="84" t="str">
        <f>IF(AND($N2780=$Q$7,$B2780&lt;'111'!$L$11),"x","")</f>
        <v/>
      </c>
      <c r="S2780" s="84" t="str">
        <f>IF(AND($O2780=$Q$7,$B2780&lt;'111'!$L$11),"x","")</f>
        <v/>
      </c>
      <c r="T2780" s="84" t="str">
        <f>IF(ISERROR(FIND('112'!$M$9,G2780,1)),"",IF((AND(FIND('112'!$M$9,G2780,1)&gt;=1,B2780='112'!$K$9,OR($N2780='112'!$I$6,$O2780='112'!$I$6))),"x",""))</f>
        <v/>
      </c>
      <c r="U2780" s="84" t="str">
        <f>IF(ISERROR(FIND('112'!$M$9,G2780,1)),"",IF((AND(LEFT(G2780,2)=LEFT('112'!$M$9,2),B2780&lt;'112'!$K$9,$N2780='112'!$I$6)),"x",""))</f>
        <v/>
      </c>
      <c r="V2780" s="84" t="str">
        <f>IF(ISERROR(FIND('112'!$M$9,G2780,1)),"",IF((AND(RIGHT(G2780,2)=RIGHT('112'!$M$9,2),B2780&lt;'112'!$K$9,$O2780='112'!$I$6)),"x",""))</f>
        <v/>
      </c>
      <c r="W2780" s="84" t="str">
        <f>IF(AND('341-CT'!$H$9=H2780,OR(LEFT(N2780,3)=$W$7,LEFT(O2780,3)=$W$7)),"x","")</f>
        <v/>
      </c>
      <c r="X2780" s="84" t="str">
        <f>IF(OR(TH!N2780=TH!$X$7,O2780=TH!$X$7),"x","")</f>
        <v/>
      </c>
      <c r="Y2780" s="84" t="str">
        <f>IF(AND(OR(N2780="131",O2780="131"),H2780='131-CT'!$H$9),"x","")</f>
        <v/>
      </c>
      <c r="Z2780" s="84"/>
      <c r="AA2780" s="84" t="str">
        <f>IF(AND(MONTH(E2780)='IN-NX'!$J$5,'IN-NX'!$D$7=D2780),"x","")</f>
        <v/>
      </c>
      <c r="AB2780" s="84" t="str">
        <f>IF(AND(OR(LEFT(TH!N2780,2)="15",LEFT(TH!O2780,2)="15"),LEFT(TH!O2780,3)&lt;&gt;"111",'152-CT'!$J$8=TH!F2780),"x","")</f>
        <v/>
      </c>
      <c r="AC2780" s="84" t="str">
        <f>IF(AND(OR(LEFT(TH!N2780,2)="15",LEFT(TH!O2780,2)="15"),TK!$E$7=TH!F2780),"x","")</f>
        <v/>
      </c>
      <c r="AD2780" s="84" t="str">
        <f>IF(AND(N2780="1521",MONTH(C2780)='BK-NL'!$M$11),"x","")</f>
        <v/>
      </c>
    </row>
    <row r="2781" spans="1:30" s="351" customFormat="1" ht="15.75" hidden="1" customHeight="1">
      <c r="A2781" s="336" t="str">
        <f>IF(B2781&lt;&gt;"",IF(AND(B2781='IN-TC'!$S$4,OR(TH!N2781="1111",TH!O2781="1111")),TH!D2781,""),"")</f>
        <v/>
      </c>
      <c r="B2781" s="63" t="str">
        <f t="shared" si="300"/>
        <v/>
      </c>
      <c r="C2781" s="64"/>
      <c r="D2781" s="64"/>
      <c r="E2781" s="64"/>
      <c r="F2781" s="67"/>
      <c r="G2781" s="67"/>
      <c r="H2781" s="73"/>
      <c r="I2781" s="439"/>
      <c r="J2781" s="439"/>
      <c r="K2781" s="430"/>
      <c r="L2781" s="439"/>
      <c r="M2781" s="65"/>
      <c r="N2781" s="66"/>
      <c r="O2781" s="66"/>
      <c r="P2781" s="84" t="str">
        <f>IF(AND('331-CT'!$E$7=TH!H2781,OR(N2781="331",O2781="331")),"x","")</f>
        <v/>
      </c>
      <c r="Q2781" s="84" t="str">
        <f>IF(AND(B2781='111'!$L$11,OR($N2781=$Q$7,$O2781=$Q$7)),"x","")</f>
        <v/>
      </c>
      <c r="R2781" s="84" t="str">
        <f>IF(AND($N2781=$Q$7,$B2781&lt;'111'!$L$11),"x","")</f>
        <v/>
      </c>
      <c r="S2781" s="84" t="str">
        <f>IF(AND($O2781=$Q$7,$B2781&lt;'111'!$L$11),"x","")</f>
        <v/>
      </c>
      <c r="T2781" s="84" t="str">
        <f>IF(ISERROR(FIND('112'!$M$9,G2781,1)),"",IF((AND(FIND('112'!$M$9,G2781,1)&gt;=1,B2781='112'!$K$9,OR($N2781='112'!$I$6,$O2781='112'!$I$6))),"x",""))</f>
        <v/>
      </c>
      <c r="U2781" s="84" t="str">
        <f>IF(ISERROR(FIND('112'!$M$9,G2781,1)),"",IF((AND(LEFT(G2781,2)=LEFT('112'!$M$9,2),B2781&lt;'112'!$K$9,$N2781='112'!$I$6)),"x",""))</f>
        <v/>
      </c>
      <c r="V2781" s="84" t="str">
        <f>IF(ISERROR(FIND('112'!$M$9,G2781,1)),"",IF((AND(RIGHT(G2781,2)=RIGHT('112'!$M$9,2),B2781&lt;'112'!$K$9,$O2781='112'!$I$6)),"x",""))</f>
        <v/>
      </c>
      <c r="W2781" s="84" t="str">
        <f>IF(AND('341-CT'!$H$9=H2781,OR(LEFT(N2781,3)=$W$7,LEFT(O2781,3)=$W$7)),"x","")</f>
        <v/>
      </c>
      <c r="X2781" s="84" t="str">
        <f>IF(OR(TH!N2781=TH!$X$7,O2781=TH!$X$7),"x","")</f>
        <v/>
      </c>
      <c r="Y2781" s="84" t="str">
        <f>IF(AND(OR(N2781="131",O2781="131"),H2781='131-CT'!$H$9),"x","")</f>
        <v/>
      </c>
      <c r="Z2781" s="84"/>
      <c r="AA2781" s="84" t="str">
        <f>IF(AND(MONTH(E2781)='IN-NX'!$J$5,'IN-NX'!$D$7=D2781),"x","")</f>
        <v/>
      </c>
      <c r="AB2781" s="84" t="str">
        <f>IF(AND(OR(LEFT(TH!N2781,2)="15",LEFT(TH!O2781,2)="15"),LEFT(TH!O2781,3)&lt;&gt;"111",'152-CT'!$J$8=TH!F2781),"x","")</f>
        <v/>
      </c>
      <c r="AC2781" s="84" t="str">
        <f>IF(AND(OR(LEFT(TH!N2781,2)="15",LEFT(TH!O2781,2)="15"),TK!$E$7=TH!F2781),"x","")</f>
        <v/>
      </c>
      <c r="AD2781" s="84" t="str">
        <f>IF(AND(N2781="1521",MONTH(C2781)='BK-NL'!$M$11),"x","")</f>
        <v/>
      </c>
    </row>
    <row r="2782" spans="1:30" s="351" customFormat="1" ht="15.75" hidden="1" customHeight="1">
      <c r="A2782" s="336" t="str">
        <f>IF(B2782&lt;&gt;"",IF(AND(B2782='IN-TC'!$S$4,OR(TH!N2782="1111",TH!O2782="1111")),TH!D2782,""),"")</f>
        <v/>
      </c>
      <c r="B2782" s="63" t="str">
        <f t="shared" si="300"/>
        <v/>
      </c>
      <c r="C2782" s="64"/>
      <c r="D2782" s="64"/>
      <c r="E2782" s="64"/>
      <c r="F2782" s="67"/>
      <c r="G2782" s="67"/>
      <c r="H2782" s="73"/>
      <c r="I2782" s="439"/>
      <c r="J2782" s="439"/>
      <c r="K2782" s="430"/>
      <c r="L2782" s="439"/>
      <c r="M2782" s="65"/>
      <c r="N2782" s="66"/>
      <c r="O2782" s="66"/>
      <c r="P2782" s="84" t="str">
        <f>IF(AND('331-CT'!$E$7=TH!H2782,OR(N2782="331",O2782="331")),"x","")</f>
        <v/>
      </c>
      <c r="Q2782" s="84" t="str">
        <f>IF(AND(B2782='111'!$L$11,OR($N2782=$Q$7,$O2782=$Q$7)),"x","")</f>
        <v/>
      </c>
      <c r="R2782" s="84" t="str">
        <f>IF(AND($N2782=$Q$7,$B2782&lt;'111'!$L$11),"x","")</f>
        <v/>
      </c>
      <c r="S2782" s="84" t="str">
        <f>IF(AND($O2782=$Q$7,$B2782&lt;'111'!$L$11),"x","")</f>
        <v/>
      </c>
      <c r="T2782" s="84" t="str">
        <f>IF(ISERROR(FIND('112'!$M$9,G2782,1)),"",IF((AND(FIND('112'!$M$9,G2782,1)&gt;=1,B2782='112'!$K$9,OR($N2782='112'!$I$6,$O2782='112'!$I$6))),"x",""))</f>
        <v/>
      </c>
      <c r="U2782" s="84" t="str">
        <f>IF(ISERROR(FIND('112'!$M$9,G2782,1)),"",IF((AND(LEFT(G2782,2)=LEFT('112'!$M$9,2),B2782&lt;'112'!$K$9,$N2782='112'!$I$6)),"x",""))</f>
        <v/>
      </c>
      <c r="V2782" s="84" t="str">
        <f>IF(ISERROR(FIND('112'!$M$9,G2782,1)),"",IF((AND(RIGHT(G2782,2)=RIGHT('112'!$M$9,2),B2782&lt;'112'!$K$9,$O2782='112'!$I$6)),"x",""))</f>
        <v/>
      </c>
      <c r="W2782" s="84" t="str">
        <f>IF(AND('341-CT'!$H$9=H2782,OR(LEFT(N2782,3)=$W$7,LEFT(O2782,3)=$W$7)),"x","")</f>
        <v/>
      </c>
      <c r="X2782" s="84" t="str">
        <f>IF(OR(TH!N2782=TH!$X$7,O2782=TH!$X$7),"x","")</f>
        <v/>
      </c>
      <c r="Y2782" s="84" t="str">
        <f>IF(AND(OR(N2782="131",O2782="131"),H2782='131-CT'!$H$9),"x","")</f>
        <v/>
      </c>
      <c r="Z2782" s="84"/>
      <c r="AA2782" s="84" t="str">
        <f>IF(AND(MONTH(E2782)='IN-NX'!$J$5,'IN-NX'!$D$7=D2782),"x","")</f>
        <v/>
      </c>
      <c r="AB2782" s="84" t="str">
        <f>IF(AND(OR(LEFT(TH!N2782,2)="15",LEFT(TH!O2782,2)="15"),LEFT(TH!O2782,3)&lt;&gt;"111",'152-CT'!$J$8=TH!F2782),"x","")</f>
        <v/>
      </c>
      <c r="AC2782" s="84" t="str">
        <f>IF(AND(OR(LEFT(TH!N2782,2)="15",LEFT(TH!O2782,2)="15"),TK!$E$7=TH!F2782),"x","")</f>
        <v/>
      </c>
      <c r="AD2782" s="84" t="str">
        <f>IF(AND(N2782="1521",MONTH(C2782)='BK-NL'!$M$11),"x","")</f>
        <v/>
      </c>
    </row>
    <row r="2783" spans="1:30" s="351" customFormat="1" ht="15.75" hidden="1" customHeight="1">
      <c r="A2783" s="336" t="str">
        <f>IF(B2783&lt;&gt;"",IF(AND(B2783='IN-TC'!$S$4,OR(TH!N2783="1111",TH!O2783="1111")),TH!D2783,""),"")</f>
        <v/>
      </c>
      <c r="B2783" s="63" t="str">
        <f t="shared" si="300"/>
        <v/>
      </c>
      <c r="C2783" s="64"/>
      <c r="D2783" s="64"/>
      <c r="E2783" s="64"/>
      <c r="F2783" s="67"/>
      <c r="G2783" s="67"/>
      <c r="H2783" s="73"/>
      <c r="I2783" s="439"/>
      <c r="J2783" s="439"/>
      <c r="K2783" s="430"/>
      <c r="L2783" s="439"/>
      <c r="M2783" s="65"/>
      <c r="N2783" s="66"/>
      <c r="O2783" s="66"/>
      <c r="P2783" s="84" t="str">
        <f>IF(AND('331-CT'!$E$7=TH!H2783,OR(N2783="331",O2783="331")),"x","")</f>
        <v/>
      </c>
      <c r="Q2783" s="84" t="str">
        <f>IF(AND(B2783='111'!$L$11,OR($N2783=$Q$7,$O2783=$Q$7)),"x","")</f>
        <v/>
      </c>
      <c r="R2783" s="84" t="str">
        <f>IF(AND($N2783=$Q$7,$B2783&lt;'111'!$L$11),"x","")</f>
        <v/>
      </c>
      <c r="S2783" s="84" t="str">
        <f>IF(AND($O2783=$Q$7,$B2783&lt;'111'!$L$11),"x","")</f>
        <v/>
      </c>
      <c r="T2783" s="84" t="str">
        <f>IF(ISERROR(FIND('112'!$M$9,G2783,1)),"",IF((AND(FIND('112'!$M$9,G2783,1)&gt;=1,B2783='112'!$K$9,OR($N2783='112'!$I$6,$O2783='112'!$I$6))),"x",""))</f>
        <v/>
      </c>
      <c r="U2783" s="84" t="str">
        <f>IF(ISERROR(FIND('112'!$M$9,G2783,1)),"",IF((AND(LEFT(G2783,2)=LEFT('112'!$M$9,2),B2783&lt;'112'!$K$9,$N2783='112'!$I$6)),"x",""))</f>
        <v/>
      </c>
      <c r="V2783" s="84" t="str">
        <f>IF(ISERROR(FIND('112'!$M$9,G2783,1)),"",IF((AND(RIGHT(G2783,2)=RIGHT('112'!$M$9,2),B2783&lt;'112'!$K$9,$O2783='112'!$I$6)),"x",""))</f>
        <v/>
      </c>
      <c r="W2783" s="84" t="str">
        <f>IF(AND('341-CT'!$H$9=H2783,OR(LEFT(N2783,3)=$W$7,LEFT(O2783,3)=$W$7)),"x","")</f>
        <v/>
      </c>
      <c r="X2783" s="84" t="str">
        <f>IF(OR(TH!N2783=TH!$X$7,O2783=TH!$X$7),"x","")</f>
        <v/>
      </c>
      <c r="Y2783" s="84" t="str">
        <f>IF(AND(OR(N2783="131",O2783="131"),H2783='131-CT'!$H$9),"x","")</f>
        <v/>
      </c>
      <c r="Z2783" s="84"/>
      <c r="AA2783" s="84" t="str">
        <f>IF(AND(MONTH(E2783)='IN-NX'!$J$5,'IN-NX'!$D$7=D2783),"x","")</f>
        <v/>
      </c>
      <c r="AB2783" s="84" t="str">
        <f>IF(AND(OR(LEFT(TH!N2783,2)="15",LEFT(TH!O2783,2)="15"),LEFT(TH!O2783,3)&lt;&gt;"111",'152-CT'!$J$8=TH!F2783),"x","")</f>
        <v/>
      </c>
      <c r="AC2783" s="84" t="str">
        <f>IF(AND(OR(LEFT(TH!N2783,2)="15",LEFT(TH!O2783,2)="15"),TK!$E$7=TH!F2783),"x","")</f>
        <v/>
      </c>
      <c r="AD2783" s="84" t="str">
        <f>IF(AND(N2783="1521",MONTH(C2783)='BK-NL'!$M$11),"x","")</f>
        <v/>
      </c>
    </row>
    <row r="2784" spans="1:30" s="351" customFormat="1" ht="15.75" hidden="1" customHeight="1">
      <c r="A2784" s="336" t="str">
        <f>IF(B2784&lt;&gt;"",IF(AND(B2784='IN-TC'!$S$4,OR(TH!N2784="1111",TH!O2784="1111")),TH!D2784,""),"")</f>
        <v/>
      </c>
      <c r="B2784" s="63" t="str">
        <f t="shared" si="300"/>
        <v/>
      </c>
      <c r="C2784" s="64"/>
      <c r="D2784" s="64"/>
      <c r="E2784" s="64"/>
      <c r="F2784" s="67"/>
      <c r="G2784" s="67"/>
      <c r="H2784" s="73"/>
      <c r="I2784" s="439"/>
      <c r="J2784" s="439"/>
      <c r="K2784" s="430"/>
      <c r="L2784" s="439"/>
      <c r="M2784" s="65"/>
      <c r="N2784" s="66"/>
      <c r="O2784" s="66"/>
      <c r="P2784" s="84" t="str">
        <f>IF(AND('331-CT'!$E$7=TH!H2784,OR(N2784="331",O2784="331")),"x","")</f>
        <v/>
      </c>
      <c r="Q2784" s="84" t="str">
        <f>IF(AND(B2784='111'!$L$11,OR($N2784=$Q$7,$O2784=$Q$7)),"x","")</f>
        <v/>
      </c>
      <c r="R2784" s="84" t="str">
        <f>IF(AND($N2784=$Q$7,$B2784&lt;'111'!$L$11),"x","")</f>
        <v/>
      </c>
      <c r="S2784" s="84" t="str">
        <f>IF(AND($O2784=$Q$7,$B2784&lt;'111'!$L$11),"x","")</f>
        <v/>
      </c>
      <c r="T2784" s="84" t="str">
        <f>IF(ISERROR(FIND('112'!$M$9,G2784,1)),"",IF((AND(FIND('112'!$M$9,G2784,1)&gt;=1,B2784='112'!$K$9,OR($N2784='112'!$I$6,$O2784='112'!$I$6))),"x",""))</f>
        <v/>
      </c>
      <c r="U2784" s="84" t="str">
        <f>IF(ISERROR(FIND('112'!$M$9,G2784,1)),"",IF((AND(LEFT(G2784,2)=LEFT('112'!$M$9,2),B2784&lt;'112'!$K$9,$N2784='112'!$I$6)),"x",""))</f>
        <v/>
      </c>
      <c r="V2784" s="84" t="str">
        <f>IF(ISERROR(FIND('112'!$M$9,G2784,1)),"",IF((AND(RIGHT(G2784,2)=RIGHT('112'!$M$9,2),B2784&lt;'112'!$K$9,$O2784='112'!$I$6)),"x",""))</f>
        <v/>
      </c>
      <c r="W2784" s="84" t="str">
        <f>IF(AND('341-CT'!$H$9=H2784,OR(LEFT(N2784,3)=$W$7,LEFT(O2784,3)=$W$7)),"x","")</f>
        <v/>
      </c>
      <c r="X2784" s="84" t="str">
        <f>IF(OR(TH!N2784=TH!$X$7,O2784=TH!$X$7),"x","")</f>
        <v/>
      </c>
      <c r="Y2784" s="84" t="str">
        <f>IF(AND(OR(N2784="131",O2784="131"),H2784='131-CT'!$H$9),"x","")</f>
        <v/>
      </c>
      <c r="Z2784" s="84"/>
      <c r="AA2784" s="84" t="str">
        <f>IF(AND(MONTH(E2784)='IN-NX'!$J$5,'IN-NX'!$D$7=D2784),"x","")</f>
        <v/>
      </c>
      <c r="AB2784" s="84" t="str">
        <f>IF(AND(OR(LEFT(TH!N2784,2)="15",LEFT(TH!O2784,2)="15"),LEFT(TH!O2784,3)&lt;&gt;"111",'152-CT'!$J$8=TH!F2784),"x","")</f>
        <v/>
      </c>
      <c r="AC2784" s="84" t="str">
        <f>IF(AND(OR(LEFT(TH!N2784,2)="15",LEFT(TH!O2784,2)="15"),TK!$E$7=TH!F2784),"x","")</f>
        <v/>
      </c>
      <c r="AD2784" s="84" t="str">
        <f>IF(AND(N2784="1521",MONTH(C2784)='BK-NL'!$M$11),"x","")</f>
        <v/>
      </c>
    </row>
    <row r="2785" spans="1:30" s="351" customFormat="1" ht="15.75" hidden="1" customHeight="1">
      <c r="A2785" s="336" t="str">
        <f>IF(B2785&lt;&gt;"",IF(AND(B2785='IN-TC'!$S$4,OR(TH!N2785="1111",TH!O2785="1111")),TH!D2785,""),"")</f>
        <v/>
      </c>
      <c r="B2785" s="63" t="str">
        <f t="shared" si="300"/>
        <v/>
      </c>
      <c r="C2785" s="64"/>
      <c r="D2785" s="64"/>
      <c r="E2785" s="64"/>
      <c r="F2785" s="67"/>
      <c r="G2785" s="67"/>
      <c r="H2785" s="73"/>
      <c r="I2785" s="439"/>
      <c r="J2785" s="439"/>
      <c r="K2785" s="430"/>
      <c r="L2785" s="439"/>
      <c r="M2785" s="65"/>
      <c r="N2785" s="66"/>
      <c r="O2785" s="66"/>
      <c r="P2785" s="84" t="str">
        <f>IF(AND('331-CT'!$E$7=TH!H2785,OR(N2785="331",O2785="331")),"x","")</f>
        <v/>
      </c>
      <c r="Q2785" s="84" t="str">
        <f>IF(AND(B2785='111'!$L$11,OR($N2785=$Q$7,$O2785=$Q$7)),"x","")</f>
        <v/>
      </c>
      <c r="R2785" s="84" t="str">
        <f>IF(AND($N2785=$Q$7,$B2785&lt;'111'!$L$11),"x","")</f>
        <v/>
      </c>
      <c r="S2785" s="84" t="str">
        <f>IF(AND($O2785=$Q$7,$B2785&lt;'111'!$L$11),"x","")</f>
        <v/>
      </c>
      <c r="T2785" s="84" t="str">
        <f>IF(ISERROR(FIND('112'!$M$9,G2785,1)),"",IF((AND(FIND('112'!$M$9,G2785,1)&gt;=1,B2785='112'!$K$9,OR($N2785='112'!$I$6,$O2785='112'!$I$6))),"x",""))</f>
        <v/>
      </c>
      <c r="U2785" s="84" t="str">
        <f>IF(ISERROR(FIND('112'!$M$9,G2785,1)),"",IF((AND(LEFT(G2785,2)=LEFT('112'!$M$9,2),B2785&lt;'112'!$K$9,$N2785='112'!$I$6)),"x",""))</f>
        <v/>
      </c>
      <c r="V2785" s="84" t="str">
        <f>IF(ISERROR(FIND('112'!$M$9,G2785,1)),"",IF((AND(RIGHT(G2785,2)=RIGHT('112'!$M$9,2),B2785&lt;'112'!$K$9,$O2785='112'!$I$6)),"x",""))</f>
        <v/>
      </c>
      <c r="W2785" s="84" t="str">
        <f>IF(AND('341-CT'!$H$9=H2785,OR(LEFT(N2785,3)=$W$7,LEFT(O2785,3)=$W$7)),"x","")</f>
        <v/>
      </c>
      <c r="X2785" s="84" t="str">
        <f>IF(OR(TH!N2785=TH!$X$7,O2785=TH!$X$7),"x","")</f>
        <v/>
      </c>
      <c r="Y2785" s="84" t="str">
        <f>IF(AND(OR(N2785="131",O2785="131"),H2785='131-CT'!$H$9),"x","")</f>
        <v/>
      </c>
      <c r="Z2785" s="84"/>
      <c r="AA2785" s="84" t="str">
        <f>IF(AND(MONTH(E2785)='IN-NX'!$J$5,'IN-NX'!$D$7=D2785),"x","")</f>
        <v/>
      </c>
      <c r="AB2785" s="84" t="str">
        <f>IF(AND(OR(LEFT(TH!N2785,2)="15",LEFT(TH!O2785,2)="15"),LEFT(TH!O2785,3)&lt;&gt;"111",'152-CT'!$J$8=TH!F2785),"x","")</f>
        <v/>
      </c>
      <c r="AC2785" s="84" t="str">
        <f>IF(AND(OR(LEFT(TH!N2785,2)="15",LEFT(TH!O2785,2)="15"),TK!$E$7=TH!F2785),"x","")</f>
        <v/>
      </c>
      <c r="AD2785" s="84" t="str">
        <f>IF(AND(N2785="1521",MONTH(C2785)='BK-NL'!$M$11),"x","")</f>
        <v/>
      </c>
    </row>
    <row r="2786" spans="1:30" s="351" customFormat="1" ht="15.75" hidden="1" customHeight="1">
      <c r="A2786" s="336" t="str">
        <f>IF(B2786&lt;&gt;"",IF(AND(B2786='IN-TC'!$S$4,OR(TH!N2786="1111",TH!O2786="1111")),TH!D2786,""),"")</f>
        <v/>
      </c>
      <c r="B2786" s="63" t="str">
        <f t="shared" si="300"/>
        <v/>
      </c>
      <c r="C2786" s="64"/>
      <c r="D2786" s="64"/>
      <c r="E2786" s="64"/>
      <c r="F2786" s="67"/>
      <c r="G2786" s="67"/>
      <c r="H2786" s="73"/>
      <c r="I2786" s="439"/>
      <c r="J2786" s="439"/>
      <c r="K2786" s="430"/>
      <c r="L2786" s="439"/>
      <c r="M2786" s="65"/>
      <c r="N2786" s="66"/>
      <c r="O2786" s="66"/>
      <c r="P2786" s="84" t="str">
        <f>IF(AND('331-CT'!$E$7=TH!H2786,OR(N2786="331",O2786="331")),"x","")</f>
        <v/>
      </c>
      <c r="Q2786" s="84" t="str">
        <f>IF(AND(B2786='111'!$L$11,OR($N2786=$Q$7,$O2786=$Q$7)),"x","")</f>
        <v/>
      </c>
      <c r="R2786" s="84" t="str">
        <f>IF(AND($N2786=$Q$7,$B2786&lt;'111'!$L$11),"x","")</f>
        <v/>
      </c>
      <c r="S2786" s="84" t="str">
        <f>IF(AND($O2786=$Q$7,$B2786&lt;'111'!$L$11),"x","")</f>
        <v/>
      </c>
      <c r="T2786" s="84" t="str">
        <f>IF(ISERROR(FIND('112'!$M$9,G2786,1)),"",IF((AND(FIND('112'!$M$9,G2786,1)&gt;=1,B2786='112'!$K$9,OR($N2786='112'!$I$6,$O2786='112'!$I$6))),"x",""))</f>
        <v/>
      </c>
      <c r="U2786" s="84" t="str">
        <f>IF(ISERROR(FIND('112'!$M$9,G2786,1)),"",IF((AND(LEFT(G2786,2)=LEFT('112'!$M$9,2),B2786&lt;'112'!$K$9,$N2786='112'!$I$6)),"x",""))</f>
        <v/>
      </c>
      <c r="V2786" s="84" t="str">
        <f>IF(ISERROR(FIND('112'!$M$9,G2786,1)),"",IF((AND(RIGHT(G2786,2)=RIGHT('112'!$M$9,2),B2786&lt;'112'!$K$9,$O2786='112'!$I$6)),"x",""))</f>
        <v/>
      </c>
      <c r="W2786" s="84" t="str">
        <f>IF(AND('341-CT'!$H$9=H2786,OR(LEFT(N2786,3)=$W$7,LEFT(O2786,3)=$W$7)),"x","")</f>
        <v/>
      </c>
      <c r="X2786" s="84" t="str">
        <f>IF(OR(TH!N2786=TH!$X$7,O2786=TH!$X$7),"x","")</f>
        <v/>
      </c>
      <c r="Y2786" s="84" t="str">
        <f>IF(AND(OR(N2786="131",O2786="131"),H2786='131-CT'!$H$9),"x","")</f>
        <v/>
      </c>
      <c r="Z2786" s="84"/>
      <c r="AA2786" s="84" t="str">
        <f>IF(AND(MONTH(E2786)='IN-NX'!$J$5,'IN-NX'!$D$7=D2786),"x","")</f>
        <v/>
      </c>
      <c r="AB2786" s="84" t="str">
        <f>IF(AND(OR(LEFT(TH!N2786,2)="15",LEFT(TH!O2786,2)="15"),LEFT(TH!O2786,3)&lt;&gt;"111",'152-CT'!$J$8=TH!F2786),"x","")</f>
        <v/>
      </c>
      <c r="AC2786" s="84" t="str">
        <f>IF(AND(OR(LEFT(TH!N2786,2)="15",LEFT(TH!O2786,2)="15"),TK!$E$7=TH!F2786),"x","")</f>
        <v/>
      </c>
      <c r="AD2786" s="84" t="str">
        <f>IF(AND(N2786="1521",MONTH(C2786)='BK-NL'!$M$11),"x","")</f>
        <v/>
      </c>
    </row>
    <row r="2787" spans="1:30" s="351" customFormat="1" ht="15.75" hidden="1" customHeight="1">
      <c r="A2787" s="336" t="str">
        <f>IF(B2787&lt;&gt;"",IF(AND(B2787='IN-TC'!$S$4,OR(TH!N2787="1111",TH!O2787="1111")),TH!D2787,""),"")</f>
        <v/>
      </c>
      <c r="B2787" s="63" t="str">
        <f t="shared" si="300"/>
        <v/>
      </c>
      <c r="C2787" s="64"/>
      <c r="D2787" s="64"/>
      <c r="E2787" s="64"/>
      <c r="F2787" s="67"/>
      <c r="G2787" s="67"/>
      <c r="H2787" s="73"/>
      <c r="I2787" s="439"/>
      <c r="J2787" s="439"/>
      <c r="K2787" s="430"/>
      <c r="L2787" s="439"/>
      <c r="M2787" s="65"/>
      <c r="N2787" s="66"/>
      <c r="O2787" s="66"/>
      <c r="P2787" s="84" t="str">
        <f>IF(AND('331-CT'!$E$7=TH!H2787,OR(N2787="331",O2787="331")),"x","")</f>
        <v/>
      </c>
      <c r="Q2787" s="84" t="str">
        <f>IF(AND(B2787='111'!$L$11,OR($N2787=$Q$7,$O2787=$Q$7)),"x","")</f>
        <v/>
      </c>
      <c r="R2787" s="84" t="str">
        <f>IF(AND($N2787=$Q$7,$B2787&lt;'111'!$L$11),"x","")</f>
        <v/>
      </c>
      <c r="S2787" s="84" t="str">
        <f>IF(AND($O2787=$Q$7,$B2787&lt;'111'!$L$11),"x","")</f>
        <v/>
      </c>
      <c r="T2787" s="84" t="str">
        <f>IF(ISERROR(FIND('112'!$M$9,G2787,1)),"",IF((AND(FIND('112'!$M$9,G2787,1)&gt;=1,B2787='112'!$K$9,OR($N2787='112'!$I$6,$O2787='112'!$I$6))),"x",""))</f>
        <v/>
      </c>
      <c r="U2787" s="84" t="str">
        <f>IF(ISERROR(FIND('112'!$M$9,G2787,1)),"",IF((AND(LEFT(G2787,2)=LEFT('112'!$M$9,2),B2787&lt;'112'!$K$9,$N2787='112'!$I$6)),"x",""))</f>
        <v/>
      </c>
      <c r="V2787" s="84" t="str">
        <f>IF(ISERROR(FIND('112'!$M$9,G2787,1)),"",IF((AND(RIGHT(G2787,2)=RIGHT('112'!$M$9,2),B2787&lt;'112'!$K$9,$O2787='112'!$I$6)),"x",""))</f>
        <v/>
      </c>
      <c r="W2787" s="84" t="str">
        <f>IF(AND('341-CT'!$H$9=H2787,OR(LEFT(N2787,3)=$W$7,LEFT(O2787,3)=$W$7)),"x","")</f>
        <v/>
      </c>
      <c r="X2787" s="84" t="str">
        <f>IF(OR(TH!N2787=TH!$X$7,O2787=TH!$X$7),"x","")</f>
        <v/>
      </c>
      <c r="Y2787" s="84" t="str">
        <f>IF(AND(OR(N2787="131",O2787="131"),H2787='131-CT'!$H$9),"x","")</f>
        <v/>
      </c>
      <c r="Z2787" s="84"/>
      <c r="AA2787" s="84" t="str">
        <f>IF(AND(MONTH(E2787)='IN-NX'!$J$5,'IN-NX'!$D$7=D2787),"x","")</f>
        <v/>
      </c>
      <c r="AB2787" s="84" t="str">
        <f>IF(AND(OR(LEFT(TH!N2787,2)="15",LEFT(TH!O2787,2)="15"),LEFT(TH!O2787,3)&lt;&gt;"111",'152-CT'!$J$8=TH!F2787),"x","")</f>
        <v/>
      </c>
      <c r="AC2787" s="84" t="str">
        <f>IF(AND(OR(LEFT(TH!N2787,2)="15",LEFT(TH!O2787,2)="15"),TK!$E$7=TH!F2787),"x","")</f>
        <v/>
      </c>
      <c r="AD2787" s="84" t="str">
        <f>IF(AND(N2787="1521",MONTH(C2787)='BK-NL'!$M$11),"x","")</f>
        <v/>
      </c>
    </row>
    <row r="2788" spans="1:30" s="351" customFormat="1" ht="15.75" hidden="1" customHeight="1">
      <c r="A2788" s="336" t="str">
        <f>IF(B2788&lt;&gt;"",IF(AND(B2788='IN-TC'!$S$4,OR(TH!N2788="1111",TH!O2788="1111")),TH!D2788,""),"")</f>
        <v/>
      </c>
      <c r="B2788" s="63" t="str">
        <f t="shared" si="300"/>
        <v/>
      </c>
      <c r="C2788" s="64"/>
      <c r="D2788" s="64"/>
      <c r="E2788" s="64"/>
      <c r="F2788" s="67"/>
      <c r="G2788" s="67"/>
      <c r="H2788" s="73"/>
      <c r="I2788" s="439"/>
      <c r="J2788" s="439"/>
      <c r="K2788" s="430"/>
      <c r="L2788" s="439"/>
      <c r="M2788" s="65"/>
      <c r="N2788" s="66"/>
      <c r="O2788" s="66"/>
      <c r="P2788" s="84" t="str">
        <f>IF(AND('331-CT'!$E$7=TH!H2788,OR(N2788="331",O2788="331")),"x","")</f>
        <v/>
      </c>
      <c r="Q2788" s="84" t="str">
        <f>IF(AND(B2788='111'!$L$11,OR($N2788=$Q$7,$O2788=$Q$7)),"x","")</f>
        <v/>
      </c>
      <c r="R2788" s="84" t="str">
        <f>IF(AND($N2788=$Q$7,$B2788&lt;'111'!$L$11),"x","")</f>
        <v/>
      </c>
      <c r="S2788" s="84" t="str">
        <f>IF(AND($O2788=$Q$7,$B2788&lt;'111'!$L$11),"x","")</f>
        <v/>
      </c>
      <c r="T2788" s="84" t="str">
        <f>IF(ISERROR(FIND('112'!$M$9,G2788,1)),"",IF((AND(FIND('112'!$M$9,G2788,1)&gt;=1,B2788='112'!$K$9,OR($N2788='112'!$I$6,$O2788='112'!$I$6))),"x",""))</f>
        <v/>
      </c>
      <c r="U2788" s="84" t="str">
        <f>IF(ISERROR(FIND('112'!$M$9,G2788,1)),"",IF((AND(LEFT(G2788,2)=LEFT('112'!$M$9,2),B2788&lt;'112'!$K$9,$N2788='112'!$I$6)),"x",""))</f>
        <v/>
      </c>
      <c r="V2788" s="84" t="str">
        <f>IF(ISERROR(FIND('112'!$M$9,G2788,1)),"",IF((AND(RIGHT(G2788,2)=RIGHT('112'!$M$9,2),B2788&lt;'112'!$K$9,$O2788='112'!$I$6)),"x",""))</f>
        <v/>
      </c>
      <c r="W2788" s="84" t="str">
        <f>IF(AND('341-CT'!$H$9=H2788,OR(LEFT(N2788,3)=$W$7,LEFT(O2788,3)=$W$7)),"x","")</f>
        <v/>
      </c>
      <c r="X2788" s="84" t="str">
        <f>IF(OR(TH!N2788=TH!$X$7,O2788=TH!$X$7),"x","")</f>
        <v/>
      </c>
      <c r="Y2788" s="84" t="str">
        <f>IF(AND(OR(N2788="131",O2788="131"),H2788='131-CT'!$H$9),"x","")</f>
        <v/>
      </c>
      <c r="Z2788" s="84"/>
      <c r="AA2788" s="84" t="str">
        <f>IF(AND(MONTH(E2788)='IN-NX'!$J$5,'IN-NX'!$D$7=D2788),"x","")</f>
        <v/>
      </c>
      <c r="AB2788" s="84" t="str">
        <f>IF(AND(OR(LEFT(TH!N2788,2)="15",LEFT(TH!O2788,2)="15"),LEFT(TH!O2788,3)&lt;&gt;"111",'152-CT'!$J$8=TH!F2788),"x","")</f>
        <v/>
      </c>
      <c r="AC2788" s="84" t="str">
        <f>IF(AND(OR(LEFT(TH!N2788,2)="15",LEFT(TH!O2788,2)="15"),TK!$E$7=TH!F2788),"x","")</f>
        <v/>
      </c>
      <c r="AD2788" s="84" t="str">
        <f>IF(AND(N2788="1521",MONTH(C2788)='BK-NL'!$M$11),"x","")</f>
        <v/>
      </c>
    </row>
    <row r="2789" spans="1:30" s="351" customFormat="1" ht="15.75" hidden="1" customHeight="1">
      <c r="A2789" s="336" t="str">
        <f>IF(B2789&lt;&gt;"",IF(AND(B2789='IN-TC'!$S$4,OR(TH!N2789="1111",TH!O2789="1111")),TH!D2789,""),"")</f>
        <v/>
      </c>
      <c r="B2789" s="63" t="str">
        <f t="shared" si="300"/>
        <v/>
      </c>
      <c r="C2789" s="64"/>
      <c r="D2789" s="64"/>
      <c r="E2789" s="64"/>
      <c r="F2789" s="67"/>
      <c r="G2789" s="67"/>
      <c r="H2789" s="73"/>
      <c r="I2789" s="439"/>
      <c r="J2789" s="439"/>
      <c r="K2789" s="430"/>
      <c r="L2789" s="439"/>
      <c r="M2789" s="65"/>
      <c r="N2789" s="66"/>
      <c r="O2789" s="66"/>
      <c r="P2789" s="84" t="str">
        <f>IF(AND('331-CT'!$E$7=TH!H2789,OR(N2789="331",O2789="331")),"x","")</f>
        <v/>
      </c>
      <c r="Q2789" s="84" t="str">
        <f>IF(AND(B2789='111'!$L$11,OR($N2789=$Q$7,$O2789=$Q$7)),"x","")</f>
        <v/>
      </c>
      <c r="R2789" s="84" t="str">
        <f>IF(AND($N2789=$Q$7,$B2789&lt;'111'!$L$11),"x","")</f>
        <v/>
      </c>
      <c r="S2789" s="84" t="str">
        <f>IF(AND($O2789=$Q$7,$B2789&lt;'111'!$L$11),"x","")</f>
        <v/>
      </c>
      <c r="T2789" s="84" t="str">
        <f>IF(ISERROR(FIND('112'!$M$9,G2789,1)),"",IF((AND(FIND('112'!$M$9,G2789,1)&gt;=1,B2789='112'!$K$9,OR($N2789='112'!$I$6,$O2789='112'!$I$6))),"x",""))</f>
        <v/>
      </c>
      <c r="U2789" s="84" t="str">
        <f>IF(ISERROR(FIND('112'!$M$9,G2789,1)),"",IF((AND(LEFT(G2789,2)=LEFT('112'!$M$9,2),B2789&lt;'112'!$K$9,$N2789='112'!$I$6)),"x",""))</f>
        <v/>
      </c>
      <c r="V2789" s="84" t="str">
        <f>IF(ISERROR(FIND('112'!$M$9,G2789,1)),"",IF((AND(RIGHT(G2789,2)=RIGHT('112'!$M$9,2),B2789&lt;'112'!$K$9,$O2789='112'!$I$6)),"x",""))</f>
        <v/>
      </c>
      <c r="W2789" s="84" t="str">
        <f>IF(AND('341-CT'!$H$9=H2789,OR(LEFT(N2789,3)=$W$7,LEFT(O2789,3)=$W$7)),"x","")</f>
        <v/>
      </c>
      <c r="X2789" s="84" t="str">
        <f>IF(OR(TH!N2789=TH!$X$7,O2789=TH!$X$7),"x","")</f>
        <v/>
      </c>
      <c r="Y2789" s="84" t="str">
        <f>IF(AND(OR(N2789="131",O2789="131"),H2789='131-CT'!$H$9),"x","")</f>
        <v/>
      </c>
      <c r="Z2789" s="84"/>
      <c r="AA2789" s="84" t="str">
        <f>IF(AND(MONTH(E2789)='IN-NX'!$J$5,'IN-NX'!$D$7=D2789),"x","")</f>
        <v/>
      </c>
      <c r="AB2789" s="84" t="str">
        <f>IF(AND(OR(LEFT(TH!N2789,2)="15",LEFT(TH!O2789,2)="15"),LEFT(TH!O2789,3)&lt;&gt;"111",'152-CT'!$J$8=TH!F2789),"x","")</f>
        <v/>
      </c>
      <c r="AC2789" s="84" t="str">
        <f>IF(AND(OR(LEFT(TH!N2789,2)="15",LEFT(TH!O2789,2)="15"),TK!$E$7=TH!F2789),"x","")</f>
        <v/>
      </c>
      <c r="AD2789" s="84" t="str">
        <f>IF(AND(N2789="1521",MONTH(C2789)='BK-NL'!$M$11),"x","")</f>
        <v/>
      </c>
    </row>
    <row r="2790" spans="1:30" s="351" customFormat="1" ht="15.75" hidden="1" customHeight="1">
      <c r="A2790" s="336" t="str">
        <f>IF(B2790&lt;&gt;"",IF(AND(B2790='IN-TC'!$S$4,OR(TH!N2790="1111",TH!O2790="1111")),TH!D2790,""),"")</f>
        <v/>
      </c>
      <c r="B2790" s="63" t="str">
        <f t="shared" si="300"/>
        <v/>
      </c>
      <c r="C2790" s="64"/>
      <c r="D2790" s="64"/>
      <c r="E2790" s="64"/>
      <c r="F2790" s="67"/>
      <c r="G2790" s="67"/>
      <c r="H2790" s="73"/>
      <c r="I2790" s="439"/>
      <c r="J2790" s="439"/>
      <c r="K2790" s="430"/>
      <c r="L2790" s="439"/>
      <c r="M2790" s="65"/>
      <c r="N2790" s="66"/>
      <c r="O2790" s="66"/>
      <c r="P2790" s="84" t="str">
        <f>IF(AND('331-CT'!$E$7=TH!H2790,OR(N2790="331",O2790="331")),"x","")</f>
        <v/>
      </c>
      <c r="Q2790" s="84" t="str">
        <f>IF(AND(B2790='111'!$L$11,OR($N2790=$Q$7,$O2790=$Q$7)),"x","")</f>
        <v/>
      </c>
      <c r="R2790" s="84" t="str">
        <f>IF(AND($N2790=$Q$7,$B2790&lt;'111'!$L$11),"x","")</f>
        <v/>
      </c>
      <c r="S2790" s="84" t="str">
        <f>IF(AND($O2790=$Q$7,$B2790&lt;'111'!$L$11),"x","")</f>
        <v/>
      </c>
      <c r="T2790" s="84" t="str">
        <f>IF(ISERROR(FIND('112'!$M$9,G2790,1)),"",IF((AND(FIND('112'!$M$9,G2790,1)&gt;=1,B2790='112'!$K$9,OR($N2790='112'!$I$6,$O2790='112'!$I$6))),"x",""))</f>
        <v/>
      </c>
      <c r="U2790" s="84" t="str">
        <f>IF(ISERROR(FIND('112'!$M$9,G2790,1)),"",IF((AND(LEFT(G2790,2)=LEFT('112'!$M$9,2),B2790&lt;'112'!$K$9,$N2790='112'!$I$6)),"x",""))</f>
        <v/>
      </c>
      <c r="V2790" s="84" t="str">
        <f>IF(ISERROR(FIND('112'!$M$9,G2790,1)),"",IF((AND(RIGHT(G2790,2)=RIGHT('112'!$M$9,2),B2790&lt;'112'!$K$9,$O2790='112'!$I$6)),"x",""))</f>
        <v/>
      </c>
      <c r="W2790" s="84" t="str">
        <f>IF(AND('341-CT'!$H$9=H2790,OR(LEFT(N2790,3)=$W$7,LEFT(O2790,3)=$W$7)),"x","")</f>
        <v/>
      </c>
      <c r="X2790" s="84" t="str">
        <f>IF(OR(TH!N2790=TH!$X$7,O2790=TH!$X$7),"x","")</f>
        <v/>
      </c>
      <c r="Y2790" s="84" t="str">
        <f>IF(AND(OR(N2790="131",O2790="131"),H2790='131-CT'!$H$9),"x","")</f>
        <v/>
      </c>
      <c r="Z2790" s="84"/>
      <c r="AA2790" s="84" t="str">
        <f>IF(AND(MONTH(E2790)='IN-NX'!$J$5,'IN-NX'!$D$7=D2790),"x","")</f>
        <v/>
      </c>
      <c r="AB2790" s="84" t="str">
        <f>IF(AND(OR(LEFT(TH!N2790,2)="15",LEFT(TH!O2790,2)="15"),LEFT(TH!O2790,3)&lt;&gt;"111",'152-CT'!$J$8=TH!F2790),"x","")</f>
        <v/>
      </c>
      <c r="AC2790" s="84" t="str">
        <f>IF(AND(OR(LEFT(TH!N2790,2)="15",LEFT(TH!O2790,2)="15"),TK!$E$7=TH!F2790),"x","")</f>
        <v/>
      </c>
      <c r="AD2790" s="84" t="str">
        <f>IF(AND(N2790="1521",MONTH(C2790)='BK-NL'!$M$11),"x","")</f>
        <v/>
      </c>
    </row>
    <row r="2791" spans="1:30" s="351" customFormat="1" ht="15.75" hidden="1" customHeight="1">
      <c r="A2791" s="336" t="str">
        <f>IF(B2791&lt;&gt;"",IF(AND(B2791='IN-TC'!$S$4,OR(TH!N2791="1111",TH!O2791="1111")),TH!D2791,""),"")</f>
        <v/>
      </c>
      <c r="B2791" s="63" t="str">
        <f t="shared" si="300"/>
        <v/>
      </c>
      <c r="C2791" s="64"/>
      <c r="D2791" s="64"/>
      <c r="E2791" s="64"/>
      <c r="F2791" s="67"/>
      <c r="G2791" s="67"/>
      <c r="H2791" s="73"/>
      <c r="I2791" s="439"/>
      <c r="J2791" s="439"/>
      <c r="K2791" s="430"/>
      <c r="L2791" s="439"/>
      <c r="M2791" s="65"/>
      <c r="N2791" s="66"/>
      <c r="O2791" s="66"/>
      <c r="P2791" s="84" t="str">
        <f>IF(AND('331-CT'!$E$7=TH!H2791,OR(N2791="331",O2791="331")),"x","")</f>
        <v/>
      </c>
      <c r="Q2791" s="84" t="str">
        <f>IF(AND(B2791='111'!$L$11,OR($N2791=$Q$7,$O2791=$Q$7)),"x","")</f>
        <v/>
      </c>
      <c r="R2791" s="84" t="str">
        <f>IF(AND($N2791=$Q$7,$B2791&lt;'111'!$L$11),"x","")</f>
        <v/>
      </c>
      <c r="S2791" s="84" t="str">
        <f>IF(AND($O2791=$Q$7,$B2791&lt;'111'!$L$11),"x","")</f>
        <v/>
      </c>
      <c r="T2791" s="84" t="str">
        <f>IF(ISERROR(FIND('112'!$M$9,G2791,1)),"",IF((AND(FIND('112'!$M$9,G2791,1)&gt;=1,B2791='112'!$K$9,OR($N2791='112'!$I$6,$O2791='112'!$I$6))),"x",""))</f>
        <v/>
      </c>
      <c r="U2791" s="84" t="str">
        <f>IF(ISERROR(FIND('112'!$M$9,G2791,1)),"",IF((AND(LEFT(G2791,2)=LEFT('112'!$M$9,2),B2791&lt;'112'!$K$9,$N2791='112'!$I$6)),"x",""))</f>
        <v/>
      </c>
      <c r="V2791" s="84" t="str">
        <f>IF(ISERROR(FIND('112'!$M$9,G2791,1)),"",IF((AND(RIGHT(G2791,2)=RIGHT('112'!$M$9,2),B2791&lt;'112'!$K$9,$O2791='112'!$I$6)),"x",""))</f>
        <v/>
      </c>
      <c r="W2791" s="84" t="str">
        <f>IF(AND('341-CT'!$H$9=H2791,OR(LEFT(N2791,3)=$W$7,LEFT(O2791,3)=$W$7)),"x","")</f>
        <v/>
      </c>
      <c r="X2791" s="84" t="str">
        <f>IF(OR(TH!N2791=TH!$X$7,O2791=TH!$X$7),"x","")</f>
        <v/>
      </c>
      <c r="Y2791" s="84" t="str">
        <f>IF(AND(OR(N2791="131",O2791="131"),H2791='131-CT'!$H$9),"x","")</f>
        <v/>
      </c>
      <c r="Z2791" s="84"/>
      <c r="AA2791" s="84" t="str">
        <f>IF(AND(MONTH(E2791)='IN-NX'!$J$5,'IN-NX'!$D$7=D2791),"x","")</f>
        <v/>
      </c>
      <c r="AB2791" s="84" t="str">
        <f>IF(AND(OR(LEFT(TH!N2791,2)="15",LEFT(TH!O2791,2)="15"),LEFT(TH!O2791,3)&lt;&gt;"111",'152-CT'!$J$8=TH!F2791),"x","")</f>
        <v/>
      </c>
      <c r="AC2791" s="84" t="str">
        <f>IF(AND(OR(LEFT(TH!N2791,2)="15",LEFT(TH!O2791,2)="15"),TK!$E$7=TH!F2791),"x","")</f>
        <v/>
      </c>
      <c r="AD2791" s="84" t="str">
        <f>IF(AND(N2791="1521",MONTH(C2791)='BK-NL'!$M$11),"x","")</f>
        <v/>
      </c>
    </row>
    <row r="2792" spans="1:30" s="351" customFormat="1" ht="15.75" hidden="1" customHeight="1">
      <c r="A2792" s="336" t="str">
        <f>IF(B2792&lt;&gt;"",IF(AND(B2792='IN-TC'!$S$4,OR(TH!N2792="1111",TH!O2792="1111")),TH!D2792,""),"")</f>
        <v/>
      </c>
      <c r="B2792" s="63" t="str">
        <f t="shared" si="300"/>
        <v/>
      </c>
      <c r="C2792" s="64"/>
      <c r="D2792" s="64"/>
      <c r="E2792" s="64"/>
      <c r="F2792" s="67"/>
      <c r="G2792" s="67"/>
      <c r="H2792" s="73"/>
      <c r="I2792" s="439"/>
      <c r="J2792" s="439"/>
      <c r="K2792" s="430"/>
      <c r="L2792" s="439"/>
      <c r="M2792" s="65"/>
      <c r="N2792" s="66"/>
      <c r="O2792" s="66"/>
      <c r="P2792" s="84" t="str">
        <f>IF(AND('331-CT'!$E$7=TH!H2792,OR(N2792="331",O2792="331")),"x","")</f>
        <v/>
      </c>
      <c r="Q2792" s="84" t="str">
        <f>IF(AND(B2792='111'!$L$11,OR($N2792=$Q$7,$O2792=$Q$7)),"x","")</f>
        <v/>
      </c>
      <c r="R2792" s="84" t="str">
        <f>IF(AND($N2792=$Q$7,$B2792&lt;'111'!$L$11),"x","")</f>
        <v/>
      </c>
      <c r="S2792" s="84" t="str">
        <f>IF(AND($O2792=$Q$7,$B2792&lt;'111'!$L$11),"x","")</f>
        <v/>
      </c>
      <c r="T2792" s="84" t="str">
        <f>IF(ISERROR(FIND('112'!$M$9,G2792,1)),"",IF((AND(FIND('112'!$M$9,G2792,1)&gt;=1,B2792='112'!$K$9,OR($N2792='112'!$I$6,$O2792='112'!$I$6))),"x",""))</f>
        <v/>
      </c>
      <c r="U2792" s="84" t="str">
        <f>IF(ISERROR(FIND('112'!$M$9,G2792,1)),"",IF((AND(LEFT(G2792,2)=LEFT('112'!$M$9,2),B2792&lt;'112'!$K$9,$N2792='112'!$I$6)),"x",""))</f>
        <v/>
      </c>
      <c r="V2792" s="84" t="str">
        <f>IF(ISERROR(FIND('112'!$M$9,G2792,1)),"",IF((AND(RIGHT(G2792,2)=RIGHT('112'!$M$9,2),B2792&lt;'112'!$K$9,$O2792='112'!$I$6)),"x",""))</f>
        <v/>
      </c>
      <c r="W2792" s="84" t="str">
        <f>IF(AND('341-CT'!$H$9=H2792,OR(LEFT(N2792,3)=$W$7,LEFT(O2792,3)=$W$7)),"x","")</f>
        <v/>
      </c>
      <c r="X2792" s="84" t="str">
        <f>IF(OR(TH!N2792=TH!$X$7,O2792=TH!$X$7),"x","")</f>
        <v/>
      </c>
      <c r="Y2792" s="84" t="str">
        <f>IF(AND(OR(N2792="131",O2792="131"),H2792='131-CT'!$H$9),"x","")</f>
        <v/>
      </c>
      <c r="Z2792" s="84"/>
      <c r="AA2792" s="84" t="str">
        <f>IF(AND(MONTH(E2792)='IN-NX'!$J$5,'IN-NX'!$D$7=D2792),"x","")</f>
        <v/>
      </c>
      <c r="AB2792" s="84" t="str">
        <f>IF(AND(OR(LEFT(TH!N2792,2)="15",LEFT(TH!O2792,2)="15"),LEFT(TH!O2792,3)&lt;&gt;"111",'152-CT'!$J$8=TH!F2792),"x","")</f>
        <v/>
      </c>
      <c r="AC2792" s="84" t="str">
        <f>IF(AND(OR(LEFT(TH!N2792,2)="15",LEFT(TH!O2792,2)="15"),TK!$E$7=TH!F2792),"x","")</f>
        <v/>
      </c>
      <c r="AD2792" s="84" t="str">
        <f>IF(AND(N2792="1521",MONTH(C2792)='BK-NL'!$M$11),"x","")</f>
        <v/>
      </c>
    </row>
    <row r="2793" spans="1:30" s="351" customFormat="1" ht="15.75" hidden="1" customHeight="1">
      <c r="A2793" s="336" t="str">
        <f>IF(B2793&lt;&gt;"",IF(AND(B2793='IN-TC'!$S$4,OR(TH!N2793="1111",TH!O2793="1111")),TH!D2793,""),"")</f>
        <v/>
      </c>
      <c r="B2793" s="63" t="str">
        <f t="shared" si="300"/>
        <v/>
      </c>
      <c r="C2793" s="64"/>
      <c r="D2793" s="64"/>
      <c r="E2793" s="64"/>
      <c r="F2793" s="67"/>
      <c r="G2793" s="67"/>
      <c r="H2793" s="73"/>
      <c r="I2793" s="439"/>
      <c r="J2793" s="439"/>
      <c r="K2793" s="430"/>
      <c r="L2793" s="439"/>
      <c r="M2793" s="65"/>
      <c r="N2793" s="66"/>
      <c r="O2793" s="66"/>
      <c r="P2793" s="84" t="str">
        <f>IF(AND('331-CT'!$E$7=TH!H2793,OR(N2793="331",O2793="331")),"x","")</f>
        <v/>
      </c>
      <c r="Q2793" s="84" t="str">
        <f>IF(AND(B2793='111'!$L$11,OR($N2793=$Q$7,$O2793=$Q$7)),"x","")</f>
        <v/>
      </c>
      <c r="R2793" s="84" t="str">
        <f>IF(AND($N2793=$Q$7,$B2793&lt;'111'!$L$11),"x","")</f>
        <v/>
      </c>
      <c r="S2793" s="84" t="str">
        <f>IF(AND($O2793=$Q$7,$B2793&lt;'111'!$L$11),"x","")</f>
        <v/>
      </c>
      <c r="T2793" s="84" t="str">
        <f>IF(ISERROR(FIND('112'!$M$9,G2793,1)),"",IF((AND(FIND('112'!$M$9,G2793,1)&gt;=1,B2793='112'!$K$9,OR($N2793='112'!$I$6,$O2793='112'!$I$6))),"x",""))</f>
        <v/>
      </c>
      <c r="U2793" s="84" t="str">
        <f>IF(ISERROR(FIND('112'!$M$9,G2793,1)),"",IF((AND(LEFT(G2793,2)=LEFT('112'!$M$9,2),B2793&lt;'112'!$K$9,$N2793='112'!$I$6)),"x",""))</f>
        <v/>
      </c>
      <c r="V2793" s="84" t="str">
        <f>IF(ISERROR(FIND('112'!$M$9,G2793,1)),"",IF((AND(RIGHT(G2793,2)=RIGHT('112'!$M$9,2),B2793&lt;'112'!$K$9,$O2793='112'!$I$6)),"x",""))</f>
        <v/>
      </c>
      <c r="W2793" s="84" t="str">
        <f>IF(AND('341-CT'!$H$9=H2793,OR(LEFT(N2793,3)=$W$7,LEFT(O2793,3)=$W$7)),"x","")</f>
        <v/>
      </c>
      <c r="X2793" s="84" t="str">
        <f>IF(OR(TH!N2793=TH!$X$7,O2793=TH!$X$7),"x","")</f>
        <v/>
      </c>
      <c r="Y2793" s="84" t="str">
        <f>IF(AND(OR(N2793="131",O2793="131"),H2793='131-CT'!$H$9),"x","")</f>
        <v/>
      </c>
      <c r="Z2793" s="84"/>
      <c r="AA2793" s="84" t="str">
        <f>IF(AND(MONTH(E2793)='IN-NX'!$J$5,'IN-NX'!$D$7=D2793),"x","")</f>
        <v/>
      </c>
      <c r="AB2793" s="84" t="str">
        <f>IF(AND(OR(LEFT(TH!N2793,2)="15",LEFT(TH!O2793,2)="15"),LEFT(TH!O2793,3)&lt;&gt;"111",'152-CT'!$J$8=TH!F2793),"x","")</f>
        <v/>
      </c>
      <c r="AC2793" s="84" t="str">
        <f>IF(AND(OR(LEFT(TH!N2793,2)="15",LEFT(TH!O2793,2)="15"),TK!$E$7=TH!F2793),"x","")</f>
        <v/>
      </c>
      <c r="AD2793" s="84" t="str">
        <f>IF(AND(N2793="1521",MONTH(C2793)='BK-NL'!$M$11),"x","")</f>
        <v/>
      </c>
    </row>
    <row r="2794" spans="1:30" s="351" customFormat="1" ht="15.75" hidden="1" customHeight="1">
      <c r="A2794" s="336" t="str">
        <f>IF(B2794&lt;&gt;"",IF(AND(B2794='IN-TC'!$S$4,OR(TH!N2794="1111",TH!O2794="1111")),TH!D2794,""),"")</f>
        <v/>
      </c>
      <c r="B2794" s="63" t="str">
        <f t="shared" si="300"/>
        <v/>
      </c>
      <c r="C2794" s="64"/>
      <c r="D2794" s="64"/>
      <c r="E2794" s="64"/>
      <c r="F2794" s="67"/>
      <c r="G2794" s="67"/>
      <c r="H2794" s="73"/>
      <c r="I2794" s="439"/>
      <c r="J2794" s="439"/>
      <c r="K2794" s="430"/>
      <c r="L2794" s="439"/>
      <c r="M2794" s="65"/>
      <c r="N2794" s="66"/>
      <c r="O2794" s="66"/>
      <c r="P2794" s="84" t="str">
        <f>IF(AND('331-CT'!$E$7=TH!H2794,OR(N2794="331",O2794="331")),"x","")</f>
        <v/>
      </c>
      <c r="Q2794" s="84" t="str">
        <f>IF(AND(B2794='111'!$L$11,OR($N2794=$Q$7,$O2794=$Q$7)),"x","")</f>
        <v/>
      </c>
      <c r="R2794" s="84" t="str">
        <f>IF(AND($N2794=$Q$7,$B2794&lt;'111'!$L$11),"x","")</f>
        <v/>
      </c>
      <c r="S2794" s="84" t="str">
        <f>IF(AND($O2794=$Q$7,$B2794&lt;'111'!$L$11),"x","")</f>
        <v/>
      </c>
      <c r="T2794" s="84" t="str">
        <f>IF(ISERROR(FIND('112'!$M$9,G2794,1)),"",IF((AND(FIND('112'!$M$9,G2794,1)&gt;=1,B2794='112'!$K$9,OR($N2794='112'!$I$6,$O2794='112'!$I$6))),"x",""))</f>
        <v/>
      </c>
      <c r="U2794" s="84" t="str">
        <f>IF(ISERROR(FIND('112'!$M$9,G2794,1)),"",IF((AND(LEFT(G2794,2)=LEFT('112'!$M$9,2),B2794&lt;'112'!$K$9,$N2794='112'!$I$6)),"x",""))</f>
        <v/>
      </c>
      <c r="V2794" s="84" t="str">
        <f>IF(ISERROR(FIND('112'!$M$9,G2794,1)),"",IF((AND(RIGHT(G2794,2)=RIGHT('112'!$M$9,2),B2794&lt;'112'!$K$9,$O2794='112'!$I$6)),"x",""))</f>
        <v/>
      </c>
      <c r="W2794" s="84" t="str">
        <f>IF(AND('341-CT'!$H$9=H2794,OR(LEFT(N2794,3)=$W$7,LEFT(O2794,3)=$W$7)),"x","")</f>
        <v/>
      </c>
      <c r="X2794" s="84" t="str">
        <f>IF(OR(TH!N2794=TH!$X$7,O2794=TH!$X$7),"x","")</f>
        <v/>
      </c>
      <c r="Y2794" s="84" t="str">
        <f>IF(AND(OR(N2794="131",O2794="131"),H2794='131-CT'!$H$9),"x","")</f>
        <v/>
      </c>
      <c r="Z2794" s="84"/>
      <c r="AA2794" s="84" t="str">
        <f>IF(AND(MONTH(E2794)='IN-NX'!$J$5,'IN-NX'!$D$7=D2794),"x","")</f>
        <v/>
      </c>
      <c r="AB2794" s="84" t="str">
        <f>IF(AND(OR(LEFT(TH!N2794,2)="15",LEFT(TH!O2794,2)="15"),LEFT(TH!O2794,3)&lt;&gt;"111",'152-CT'!$J$8=TH!F2794),"x","")</f>
        <v/>
      </c>
      <c r="AC2794" s="84" t="str">
        <f>IF(AND(OR(LEFT(TH!N2794,2)="15",LEFT(TH!O2794,2)="15"),TK!$E$7=TH!F2794),"x","")</f>
        <v/>
      </c>
      <c r="AD2794" s="84" t="str">
        <f>IF(AND(N2794="1521",MONTH(C2794)='BK-NL'!$M$11),"x","")</f>
        <v/>
      </c>
    </row>
    <row r="2795" spans="1:30" s="351" customFormat="1" ht="15.75" hidden="1" customHeight="1">
      <c r="A2795" s="336" t="str">
        <f>IF(B2795&lt;&gt;"",IF(AND(B2795='IN-TC'!$S$4,OR(TH!N2795="1111",TH!O2795="1111")),TH!D2795,""),"")</f>
        <v/>
      </c>
      <c r="B2795" s="63" t="str">
        <f t="shared" si="300"/>
        <v/>
      </c>
      <c r="C2795" s="64"/>
      <c r="D2795" s="64"/>
      <c r="E2795" s="64"/>
      <c r="F2795" s="67"/>
      <c r="G2795" s="67"/>
      <c r="H2795" s="73"/>
      <c r="I2795" s="439"/>
      <c r="J2795" s="439"/>
      <c r="K2795" s="430"/>
      <c r="L2795" s="439"/>
      <c r="M2795" s="65"/>
      <c r="N2795" s="66"/>
      <c r="O2795" s="66"/>
      <c r="P2795" s="84" t="str">
        <f>IF(AND('331-CT'!$E$7=TH!H2795,OR(N2795="331",O2795="331")),"x","")</f>
        <v/>
      </c>
      <c r="Q2795" s="84" t="str">
        <f>IF(AND(B2795='111'!$L$11,OR($N2795=$Q$7,$O2795=$Q$7)),"x","")</f>
        <v/>
      </c>
      <c r="R2795" s="84" t="str">
        <f>IF(AND($N2795=$Q$7,$B2795&lt;'111'!$L$11),"x","")</f>
        <v/>
      </c>
      <c r="S2795" s="84" t="str">
        <f>IF(AND($O2795=$Q$7,$B2795&lt;'111'!$L$11),"x","")</f>
        <v/>
      </c>
      <c r="T2795" s="84" t="str">
        <f>IF(ISERROR(FIND('112'!$M$9,G2795,1)),"",IF((AND(FIND('112'!$M$9,G2795,1)&gt;=1,B2795='112'!$K$9,OR($N2795='112'!$I$6,$O2795='112'!$I$6))),"x",""))</f>
        <v/>
      </c>
      <c r="U2795" s="84" t="str">
        <f>IF(ISERROR(FIND('112'!$M$9,G2795,1)),"",IF((AND(LEFT(G2795,2)=LEFT('112'!$M$9,2),B2795&lt;'112'!$K$9,$N2795='112'!$I$6)),"x",""))</f>
        <v/>
      </c>
      <c r="V2795" s="84" t="str">
        <f>IF(ISERROR(FIND('112'!$M$9,G2795,1)),"",IF((AND(RIGHT(G2795,2)=RIGHT('112'!$M$9,2),B2795&lt;'112'!$K$9,$O2795='112'!$I$6)),"x",""))</f>
        <v/>
      </c>
      <c r="W2795" s="84" t="str">
        <f>IF(AND('341-CT'!$H$9=H2795,OR(LEFT(N2795,3)=$W$7,LEFT(O2795,3)=$W$7)),"x","")</f>
        <v/>
      </c>
      <c r="X2795" s="84" t="str">
        <f>IF(OR(TH!N2795=TH!$X$7,O2795=TH!$X$7),"x","")</f>
        <v/>
      </c>
      <c r="Y2795" s="84" t="str">
        <f>IF(AND(OR(N2795="131",O2795="131"),H2795='131-CT'!$H$9),"x","")</f>
        <v/>
      </c>
      <c r="Z2795" s="84"/>
      <c r="AA2795" s="84" t="str">
        <f>IF(AND(MONTH(E2795)='IN-NX'!$J$5,'IN-NX'!$D$7=D2795),"x","")</f>
        <v/>
      </c>
      <c r="AB2795" s="84" t="str">
        <f>IF(AND(OR(LEFT(TH!N2795,2)="15",LEFT(TH!O2795,2)="15"),LEFT(TH!O2795,3)&lt;&gt;"111",'152-CT'!$J$8=TH!F2795),"x","")</f>
        <v/>
      </c>
      <c r="AC2795" s="84" t="str">
        <f>IF(AND(OR(LEFT(TH!N2795,2)="15",LEFT(TH!O2795,2)="15"),TK!$E$7=TH!F2795),"x","")</f>
        <v/>
      </c>
      <c r="AD2795" s="84" t="str">
        <f>IF(AND(N2795="1521",MONTH(C2795)='BK-NL'!$M$11),"x","")</f>
        <v/>
      </c>
    </row>
    <row r="2796" spans="1:30" s="351" customFormat="1" ht="15.75" hidden="1" customHeight="1">
      <c r="A2796" s="336" t="str">
        <f>IF(B2796&lt;&gt;"",IF(AND(B2796='IN-TC'!$S$4,OR(TH!N2796="1111",TH!O2796="1111")),TH!D2796,""),"")</f>
        <v/>
      </c>
      <c r="B2796" s="63" t="str">
        <f t="shared" si="300"/>
        <v/>
      </c>
      <c r="C2796" s="64"/>
      <c r="D2796" s="64"/>
      <c r="E2796" s="64"/>
      <c r="F2796" s="67"/>
      <c r="G2796" s="67"/>
      <c r="H2796" s="73"/>
      <c r="I2796" s="439"/>
      <c r="J2796" s="439"/>
      <c r="K2796" s="430"/>
      <c r="L2796" s="439"/>
      <c r="M2796" s="65"/>
      <c r="N2796" s="66"/>
      <c r="O2796" s="66"/>
      <c r="P2796" s="84" t="str">
        <f>IF(AND('331-CT'!$E$7=TH!H2796,OR(N2796="331",O2796="331")),"x","")</f>
        <v/>
      </c>
      <c r="Q2796" s="84" t="str">
        <f>IF(AND(B2796='111'!$L$11,OR($N2796=$Q$7,$O2796=$Q$7)),"x","")</f>
        <v/>
      </c>
      <c r="R2796" s="84" t="str">
        <f>IF(AND($N2796=$Q$7,$B2796&lt;'111'!$L$11),"x","")</f>
        <v/>
      </c>
      <c r="S2796" s="84" t="str">
        <f>IF(AND($O2796=$Q$7,$B2796&lt;'111'!$L$11),"x","")</f>
        <v/>
      </c>
      <c r="T2796" s="84" t="str">
        <f>IF(ISERROR(FIND('112'!$M$9,G2796,1)),"",IF((AND(FIND('112'!$M$9,G2796,1)&gt;=1,B2796='112'!$K$9,OR($N2796='112'!$I$6,$O2796='112'!$I$6))),"x",""))</f>
        <v/>
      </c>
      <c r="U2796" s="84" t="str">
        <f>IF(ISERROR(FIND('112'!$M$9,G2796,1)),"",IF((AND(LEFT(G2796,2)=LEFT('112'!$M$9,2),B2796&lt;'112'!$K$9,$N2796='112'!$I$6)),"x",""))</f>
        <v/>
      </c>
      <c r="V2796" s="84" t="str">
        <f>IF(ISERROR(FIND('112'!$M$9,G2796,1)),"",IF((AND(RIGHT(G2796,2)=RIGHT('112'!$M$9,2),B2796&lt;'112'!$K$9,$O2796='112'!$I$6)),"x",""))</f>
        <v/>
      </c>
      <c r="W2796" s="84" t="str">
        <f>IF(AND('341-CT'!$H$9=H2796,OR(LEFT(N2796,3)=$W$7,LEFT(O2796,3)=$W$7)),"x","")</f>
        <v/>
      </c>
      <c r="X2796" s="84" t="str">
        <f>IF(OR(TH!N2796=TH!$X$7,O2796=TH!$X$7),"x","")</f>
        <v/>
      </c>
      <c r="Y2796" s="84" t="str">
        <f>IF(AND(OR(N2796="131",O2796="131"),H2796='131-CT'!$H$9),"x","")</f>
        <v/>
      </c>
      <c r="Z2796" s="84"/>
      <c r="AA2796" s="84" t="str">
        <f>IF(AND(MONTH(E2796)='IN-NX'!$J$5,'IN-NX'!$D$7=D2796),"x","")</f>
        <v/>
      </c>
      <c r="AB2796" s="84" t="str">
        <f>IF(AND(OR(LEFT(TH!N2796,2)="15",LEFT(TH!O2796,2)="15"),LEFT(TH!O2796,3)&lt;&gt;"111",'152-CT'!$J$8=TH!F2796),"x","")</f>
        <v/>
      </c>
      <c r="AC2796" s="84" t="str">
        <f>IF(AND(OR(LEFT(TH!N2796,2)="15",LEFT(TH!O2796,2)="15"),TK!$E$7=TH!F2796),"x","")</f>
        <v/>
      </c>
      <c r="AD2796" s="84" t="str">
        <f>IF(AND(N2796="1521",MONTH(C2796)='BK-NL'!$M$11),"x","")</f>
        <v/>
      </c>
    </row>
    <row r="2797" spans="1:30" s="351" customFormat="1" ht="15.75" hidden="1" customHeight="1">
      <c r="A2797" s="336" t="str">
        <f>IF(B2797&lt;&gt;"",IF(AND(B2797='IN-TC'!$S$4,OR(TH!N2797="1111",TH!O2797="1111")),TH!D2797,""),"")</f>
        <v/>
      </c>
      <c r="B2797" s="63" t="str">
        <f t="shared" si="300"/>
        <v/>
      </c>
      <c r="C2797" s="64"/>
      <c r="D2797" s="64"/>
      <c r="E2797" s="64"/>
      <c r="F2797" s="67"/>
      <c r="G2797" s="67"/>
      <c r="H2797" s="73"/>
      <c r="I2797" s="439"/>
      <c r="J2797" s="439"/>
      <c r="K2797" s="430"/>
      <c r="L2797" s="439"/>
      <c r="M2797" s="65"/>
      <c r="N2797" s="66"/>
      <c r="O2797" s="66"/>
      <c r="P2797" s="84" t="str">
        <f>IF(AND('331-CT'!$E$7=TH!H2797,OR(N2797="331",O2797="331")),"x","")</f>
        <v/>
      </c>
      <c r="Q2797" s="84" t="str">
        <f>IF(AND(B2797='111'!$L$11,OR($N2797=$Q$7,$O2797=$Q$7)),"x","")</f>
        <v/>
      </c>
      <c r="R2797" s="84" t="str">
        <f>IF(AND($N2797=$Q$7,$B2797&lt;'111'!$L$11),"x","")</f>
        <v/>
      </c>
      <c r="S2797" s="84" t="str">
        <f>IF(AND($O2797=$Q$7,$B2797&lt;'111'!$L$11),"x","")</f>
        <v/>
      </c>
      <c r="T2797" s="84" t="str">
        <f>IF(ISERROR(FIND('112'!$M$9,G2797,1)),"",IF((AND(FIND('112'!$M$9,G2797,1)&gt;=1,B2797='112'!$K$9,OR($N2797='112'!$I$6,$O2797='112'!$I$6))),"x",""))</f>
        <v/>
      </c>
      <c r="U2797" s="84" t="str">
        <f>IF(ISERROR(FIND('112'!$M$9,G2797,1)),"",IF((AND(LEFT(G2797,2)=LEFT('112'!$M$9,2),B2797&lt;'112'!$K$9,$N2797='112'!$I$6)),"x",""))</f>
        <v/>
      </c>
      <c r="V2797" s="84" t="str">
        <f>IF(ISERROR(FIND('112'!$M$9,G2797,1)),"",IF((AND(RIGHT(G2797,2)=RIGHT('112'!$M$9,2),B2797&lt;'112'!$K$9,$O2797='112'!$I$6)),"x",""))</f>
        <v/>
      </c>
      <c r="W2797" s="84" t="str">
        <f>IF(AND('341-CT'!$H$9=H2797,OR(LEFT(N2797,3)=$W$7,LEFT(O2797,3)=$W$7)),"x","")</f>
        <v/>
      </c>
      <c r="X2797" s="84" t="str">
        <f>IF(OR(TH!N2797=TH!$X$7,O2797=TH!$X$7),"x","")</f>
        <v/>
      </c>
      <c r="Y2797" s="84" t="str">
        <f>IF(AND(OR(N2797="131",O2797="131"),H2797='131-CT'!$H$9),"x","")</f>
        <v/>
      </c>
      <c r="Z2797" s="84"/>
      <c r="AA2797" s="84" t="str">
        <f>IF(AND(MONTH(E2797)='IN-NX'!$J$5,'IN-NX'!$D$7=D2797),"x","")</f>
        <v/>
      </c>
      <c r="AB2797" s="84" t="str">
        <f>IF(AND(OR(LEFT(TH!N2797,2)="15",LEFT(TH!O2797,2)="15"),LEFT(TH!O2797,3)&lt;&gt;"111",'152-CT'!$J$8=TH!F2797),"x","")</f>
        <v/>
      </c>
      <c r="AC2797" s="84" t="str">
        <f>IF(AND(OR(LEFT(TH!N2797,2)="15",LEFT(TH!O2797,2)="15"),TK!$E$7=TH!F2797),"x","")</f>
        <v/>
      </c>
      <c r="AD2797" s="84" t="str">
        <f>IF(AND(N2797="1521",MONTH(C2797)='BK-NL'!$M$11),"x","")</f>
        <v/>
      </c>
    </row>
    <row r="2798" spans="1:30" s="351" customFormat="1" ht="15.75" hidden="1" customHeight="1">
      <c r="A2798" s="336" t="str">
        <f>IF(B2798&lt;&gt;"",IF(AND(B2798='IN-TC'!$S$4,OR(TH!N2798="1111",TH!O2798="1111")),TH!D2798,""),"")</f>
        <v/>
      </c>
      <c r="B2798" s="63" t="str">
        <f t="shared" si="300"/>
        <v/>
      </c>
      <c r="C2798" s="64"/>
      <c r="D2798" s="64"/>
      <c r="E2798" s="64"/>
      <c r="F2798" s="67"/>
      <c r="G2798" s="67"/>
      <c r="H2798" s="73"/>
      <c r="I2798" s="439"/>
      <c r="J2798" s="439"/>
      <c r="K2798" s="430"/>
      <c r="L2798" s="439"/>
      <c r="M2798" s="65"/>
      <c r="N2798" s="66"/>
      <c r="O2798" s="66"/>
      <c r="P2798" s="84" t="str">
        <f>IF(AND('331-CT'!$E$7=TH!H2798,OR(N2798="331",O2798="331")),"x","")</f>
        <v/>
      </c>
      <c r="Q2798" s="84" t="str">
        <f>IF(AND(B2798='111'!$L$11,OR($N2798=$Q$7,$O2798=$Q$7)),"x","")</f>
        <v/>
      </c>
      <c r="R2798" s="84" t="str">
        <f>IF(AND($N2798=$Q$7,$B2798&lt;'111'!$L$11),"x","")</f>
        <v/>
      </c>
      <c r="S2798" s="84" t="str">
        <f>IF(AND($O2798=$Q$7,$B2798&lt;'111'!$L$11),"x","")</f>
        <v/>
      </c>
      <c r="T2798" s="84" t="str">
        <f>IF(ISERROR(FIND('112'!$M$9,G2798,1)),"",IF((AND(FIND('112'!$M$9,G2798,1)&gt;=1,B2798='112'!$K$9,OR($N2798='112'!$I$6,$O2798='112'!$I$6))),"x",""))</f>
        <v/>
      </c>
      <c r="U2798" s="84" t="str">
        <f>IF(ISERROR(FIND('112'!$M$9,G2798,1)),"",IF((AND(LEFT(G2798,2)=LEFT('112'!$M$9,2),B2798&lt;'112'!$K$9,$N2798='112'!$I$6)),"x",""))</f>
        <v/>
      </c>
      <c r="V2798" s="84" t="str">
        <f>IF(ISERROR(FIND('112'!$M$9,G2798,1)),"",IF((AND(RIGHT(G2798,2)=RIGHT('112'!$M$9,2),B2798&lt;'112'!$K$9,$O2798='112'!$I$6)),"x",""))</f>
        <v/>
      </c>
      <c r="W2798" s="84" t="str">
        <f>IF(AND('341-CT'!$H$9=H2798,OR(LEFT(N2798,3)=$W$7,LEFT(O2798,3)=$W$7)),"x","")</f>
        <v/>
      </c>
      <c r="X2798" s="84" t="str">
        <f>IF(OR(TH!N2798=TH!$X$7,O2798=TH!$X$7),"x","")</f>
        <v/>
      </c>
      <c r="Y2798" s="84" t="str">
        <f>IF(AND(OR(N2798="131",O2798="131"),H2798='131-CT'!$H$9),"x","")</f>
        <v/>
      </c>
      <c r="Z2798" s="84"/>
      <c r="AA2798" s="84" t="str">
        <f>IF(AND(MONTH(E2798)='IN-NX'!$J$5,'IN-NX'!$D$7=D2798),"x","")</f>
        <v/>
      </c>
      <c r="AB2798" s="84" t="str">
        <f>IF(AND(OR(LEFT(TH!N2798,2)="15",LEFT(TH!O2798,2)="15"),LEFT(TH!O2798,3)&lt;&gt;"111",'152-CT'!$J$8=TH!F2798),"x","")</f>
        <v/>
      </c>
      <c r="AC2798" s="84" t="str">
        <f>IF(AND(OR(LEFT(TH!N2798,2)="15",LEFT(TH!O2798,2)="15"),TK!$E$7=TH!F2798),"x","")</f>
        <v/>
      </c>
      <c r="AD2798" s="84" t="str">
        <f>IF(AND(N2798="1521",MONTH(C2798)='BK-NL'!$M$11),"x","")</f>
        <v/>
      </c>
    </row>
    <row r="2799" spans="1:30" s="351" customFormat="1" ht="15.75" hidden="1" customHeight="1">
      <c r="A2799" s="336" t="str">
        <f>IF(B2799&lt;&gt;"",IF(AND(B2799='IN-TC'!$S$4,OR(TH!N2799="1111",TH!O2799="1111")),TH!D2799,""),"")</f>
        <v/>
      </c>
      <c r="B2799" s="63" t="str">
        <f t="shared" si="300"/>
        <v/>
      </c>
      <c r="C2799" s="64"/>
      <c r="D2799" s="64"/>
      <c r="E2799" s="64"/>
      <c r="F2799" s="67"/>
      <c r="G2799" s="67"/>
      <c r="H2799" s="73"/>
      <c r="I2799" s="439"/>
      <c r="J2799" s="439"/>
      <c r="K2799" s="430"/>
      <c r="L2799" s="439"/>
      <c r="M2799" s="65"/>
      <c r="N2799" s="66"/>
      <c r="O2799" s="66"/>
      <c r="P2799" s="84" t="str">
        <f>IF(AND('331-CT'!$E$7=TH!H2799,OR(N2799="331",O2799="331")),"x","")</f>
        <v/>
      </c>
      <c r="Q2799" s="84" t="str">
        <f>IF(AND(B2799='111'!$L$11,OR($N2799=$Q$7,$O2799=$Q$7)),"x","")</f>
        <v/>
      </c>
      <c r="R2799" s="84" t="str">
        <f>IF(AND($N2799=$Q$7,$B2799&lt;'111'!$L$11),"x","")</f>
        <v/>
      </c>
      <c r="S2799" s="84" t="str">
        <f>IF(AND($O2799=$Q$7,$B2799&lt;'111'!$L$11),"x","")</f>
        <v/>
      </c>
      <c r="T2799" s="84" t="str">
        <f>IF(ISERROR(FIND('112'!$M$9,G2799,1)),"",IF((AND(FIND('112'!$M$9,G2799,1)&gt;=1,B2799='112'!$K$9,OR($N2799='112'!$I$6,$O2799='112'!$I$6))),"x",""))</f>
        <v/>
      </c>
      <c r="U2799" s="84" t="str">
        <f>IF(ISERROR(FIND('112'!$M$9,G2799,1)),"",IF((AND(LEFT(G2799,2)=LEFT('112'!$M$9,2),B2799&lt;'112'!$K$9,$N2799='112'!$I$6)),"x",""))</f>
        <v/>
      </c>
      <c r="V2799" s="84" t="str">
        <f>IF(ISERROR(FIND('112'!$M$9,G2799,1)),"",IF((AND(RIGHT(G2799,2)=RIGHT('112'!$M$9,2),B2799&lt;'112'!$K$9,$O2799='112'!$I$6)),"x",""))</f>
        <v/>
      </c>
      <c r="W2799" s="84" t="str">
        <f>IF(AND('341-CT'!$H$9=H2799,OR(LEFT(N2799,3)=$W$7,LEFT(O2799,3)=$W$7)),"x","")</f>
        <v/>
      </c>
      <c r="X2799" s="84" t="str">
        <f>IF(OR(TH!N2799=TH!$X$7,O2799=TH!$X$7),"x","")</f>
        <v/>
      </c>
      <c r="Y2799" s="84" t="str">
        <f>IF(AND(OR(N2799="131",O2799="131"),H2799='131-CT'!$H$9),"x","")</f>
        <v/>
      </c>
      <c r="Z2799" s="84"/>
      <c r="AA2799" s="84" t="str">
        <f>IF(AND(MONTH(E2799)='IN-NX'!$J$5,'IN-NX'!$D$7=D2799),"x","")</f>
        <v/>
      </c>
      <c r="AB2799" s="84" t="str">
        <f>IF(AND(OR(LEFT(TH!N2799,2)="15",LEFT(TH!O2799,2)="15"),LEFT(TH!O2799,3)&lt;&gt;"111",'152-CT'!$J$8=TH!F2799),"x","")</f>
        <v/>
      </c>
      <c r="AC2799" s="84" t="str">
        <f>IF(AND(OR(LEFT(TH!N2799,2)="15",LEFT(TH!O2799,2)="15"),TK!$E$7=TH!F2799),"x","")</f>
        <v/>
      </c>
      <c r="AD2799" s="84" t="str">
        <f>IF(AND(N2799="1521",MONTH(C2799)='BK-NL'!$M$11),"x","")</f>
        <v/>
      </c>
    </row>
    <row r="2800" spans="1:30" s="351" customFormat="1" ht="15.75" hidden="1" customHeight="1">
      <c r="A2800" s="336" t="str">
        <f>IF(B2800&lt;&gt;"",IF(AND(B2800='IN-TC'!$S$4,OR(TH!N2800="1111",TH!O2800="1111")),TH!D2800,""),"")</f>
        <v/>
      </c>
      <c r="B2800" s="63" t="str">
        <f t="shared" si="300"/>
        <v/>
      </c>
      <c r="C2800" s="64"/>
      <c r="D2800" s="64"/>
      <c r="E2800" s="64"/>
      <c r="F2800" s="67"/>
      <c r="G2800" s="67"/>
      <c r="H2800" s="73"/>
      <c r="I2800" s="439"/>
      <c r="J2800" s="439"/>
      <c r="K2800" s="430"/>
      <c r="L2800" s="439"/>
      <c r="M2800" s="65"/>
      <c r="N2800" s="66"/>
      <c r="O2800" s="66"/>
      <c r="P2800" s="84" t="str">
        <f>IF(AND('331-CT'!$E$7=TH!H2800,OR(N2800="331",O2800="331")),"x","")</f>
        <v/>
      </c>
      <c r="Q2800" s="84" t="str">
        <f>IF(AND(B2800='111'!$L$11,OR($N2800=$Q$7,$O2800=$Q$7)),"x","")</f>
        <v/>
      </c>
      <c r="R2800" s="84" t="str">
        <f>IF(AND($N2800=$Q$7,$B2800&lt;'111'!$L$11),"x","")</f>
        <v/>
      </c>
      <c r="S2800" s="84" t="str">
        <f>IF(AND($O2800=$Q$7,$B2800&lt;'111'!$L$11),"x","")</f>
        <v/>
      </c>
      <c r="T2800" s="84" t="str">
        <f>IF(ISERROR(FIND('112'!$M$9,G2800,1)),"",IF((AND(FIND('112'!$M$9,G2800,1)&gt;=1,B2800='112'!$K$9,OR($N2800='112'!$I$6,$O2800='112'!$I$6))),"x",""))</f>
        <v/>
      </c>
      <c r="U2800" s="84" t="str">
        <f>IF(ISERROR(FIND('112'!$M$9,G2800,1)),"",IF((AND(LEFT(G2800,2)=LEFT('112'!$M$9,2),B2800&lt;'112'!$K$9,$N2800='112'!$I$6)),"x",""))</f>
        <v/>
      </c>
      <c r="V2800" s="84" t="str">
        <f>IF(ISERROR(FIND('112'!$M$9,G2800,1)),"",IF((AND(RIGHT(G2800,2)=RIGHT('112'!$M$9,2),B2800&lt;'112'!$K$9,$O2800='112'!$I$6)),"x",""))</f>
        <v/>
      </c>
      <c r="W2800" s="84" t="str">
        <f>IF(AND('341-CT'!$H$9=H2800,OR(LEFT(N2800,3)=$W$7,LEFT(O2800,3)=$W$7)),"x","")</f>
        <v/>
      </c>
      <c r="X2800" s="84" t="str">
        <f>IF(OR(TH!N2800=TH!$X$7,O2800=TH!$X$7),"x","")</f>
        <v/>
      </c>
      <c r="Y2800" s="84" t="str">
        <f>IF(AND(OR(N2800="131",O2800="131"),H2800='131-CT'!$H$9),"x","")</f>
        <v/>
      </c>
      <c r="Z2800" s="84"/>
      <c r="AA2800" s="84" t="str">
        <f>IF(AND(MONTH(E2800)='IN-NX'!$J$5,'IN-NX'!$D$7=D2800),"x","")</f>
        <v/>
      </c>
      <c r="AB2800" s="84" t="str">
        <f>IF(AND(OR(LEFT(TH!N2800,2)="15",LEFT(TH!O2800,2)="15"),LEFT(TH!O2800,3)&lt;&gt;"111",'152-CT'!$J$8=TH!F2800),"x","")</f>
        <v/>
      </c>
      <c r="AC2800" s="84" t="str">
        <f>IF(AND(OR(LEFT(TH!N2800,2)="15",LEFT(TH!O2800,2)="15"),TK!$E$7=TH!F2800),"x","")</f>
        <v/>
      </c>
      <c r="AD2800" s="84" t="str">
        <f>IF(AND(N2800="1521",MONTH(C2800)='BK-NL'!$M$11),"x","")</f>
        <v/>
      </c>
    </row>
    <row r="2801" spans="1:30" s="351" customFormat="1" ht="15.75" hidden="1" customHeight="1">
      <c r="A2801" s="336" t="str">
        <f>IF(B2801&lt;&gt;"",IF(AND(B2801='IN-TC'!$S$4,OR(TH!N2801="1111",TH!O2801="1111")),TH!D2801,""),"")</f>
        <v/>
      </c>
      <c r="B2801" s="63" t="str">
        <f t="shared" si="300"/>
        <v/>
      </c>
      <c r="C2801" s="64"/>
      <c r="D2801" s="64"/>
      <c r="E2801" s="64"/>
      <c r="F2801" s="67"/>
      <c r="G2801" s="67"/>
      <c r="H2801" s="73"/>
      <c r="I2801" s="439"/>
      <c r="J2801" s="439"/>
      <c r="K2801" s="430"/>
      <c r="L2801" s="439"/>
      <c r="M2801" s="65"/>
      <c r="N2801" s="66"/>
      <c r="O2801" s="66"/>
      <c r="P2801" s="84" t="str">
        <f>IF(AND('331-CT'!$E$7=TH!H2801,OR(N2801="331",O2801="331")),"x","")</f>
        <v/>
      </c>
      <c r="Q2801" s="84" t="str">
        <f>IF(AND(B2801='111'!$L$11,OR($N2801=$Q$7,$O2801=$Q$7)),"x","")</f>
        <v/>
      </c>
      <c r="R2801" s="84" t="str">
        <f>IF(AND($N2801=$Q$7,$B2801&lt;'111'!$L$11),"x","")</f>
        <v/>
      </c>
      <c r="S2801" s="84" t="str">
        <f>IF(AND($O2801=$Q$7,$B2801&lt;'111'!$L$11),"x","")</f>
        <v/>
      </c>
      <c r="T2801" s="84" t="str">
        <f>IF(ISERROR(FIND('112'!$M$9,G2801,1)),"",IF((AND(FIND('112'!$M$9,G2801,1)&gt;=1,B2801='112'!$K$9,OR($N2801='112'!$I$6,$O2801='112'!$I$6))),"x",""))</f>
        <v/>
      </c>
      <c r="U2801" s="84" t="str">
        <f>IF(ISERROR(FIND('112'!$M$9,G2801,1)),"",IF((AND(LEFT(G2801,2)=LEFT('112'!$M$9,2),B2801&lt;'112'!$K$9,$N2801='112'!$I$6)),"x",""))</f>
        <v/>
      </c>
      <c r="V2801" s="84" t="str">
        <f>IF(ISERROR(FIND('112'!$M$9,G2801,1)),"",IF((AND(RIGHT(G2801,2)=RIGHT('112'!$M$9,2),B2801&lt;'112'!$K$9,$O2801='112'!$I$6)),"x",""))</f>
        <v/>
      </c>
      <c r="W2801" s="84" t="str">
        <f>IF(AND('341-CT'!$H$9=H2801,OR(LEFT(N2801,3)=$W$7,LEFT(O2801,3)=$W$7)),"x","")</f>
        <v/>
      </c>
      <c r="X2801" s="84" t="str">
        <f>IF(OR(TH!N2801=TH!$X$7,O2801=TH!$X$7),"x","")</f>
        <v/>
      </c>
      <c r="Y2801" s="84" t="str">
        <f>IF(AND(OR(N2801="131",O2801="131"),H2801='131-CT'!$H$9),"x","")</f>
        <v/>
      </c>
      <c r="Z2801" s="84"/>
      <c r="AA2801" s="84" t="str">
        <f>IF(AND(MONTH(E2801)='IN-NX'!$J$5,'IN-NX'!$D$7=D2801),"x","")</f>
        <v/>
      </c>
      <c r="AB2801" s="84" t="str">
        <f>IF(AND(OR(LEFT(TH!N2801,2)="15",LEFT(TH!O2801,2)="15"),LEFT(TH!O2801,3)&lt;&gt;"111",'152-CT'!$J$8=TH!F2801),"x","")</f>
        <v/>
      </c>
      <c r="AC2801" s="84" t="str">
        <f>IF(AND(OR(LEFT(TH!N2801,2)="15",LEFT(TH!O2801,2)="15"),TK!$E$7=TH!F2801),"x","")</f>
        <v/>
      </c>
      <c r="AD2801" s="84" t="str">
        <f>IF(AND(N2801="1521",MONTH(C2801)='BK-NL'!$M$11),"x","")</f>
        <v/>
      </c>
    </row>
    <row r="2802" spans="1:30" s="351" customFormat="1" ht="15.75" hidden="1" customHeight="1">
      <c r="A2802" s="336" t="str">
        <f>IF(B2802&lt;&gt;"",IF(AND(B2802='IN-TC'!$S$4,OR(TH!N2802="1111",TH!O2802="1111")),TH!D2802,""),"")</f>
        <v/>
      </c>
      <c r="B2802" s="63" t="str">
        <f t="shared" si="300"/>
        <v/>
      </c>
      <c r="C2802" s="64"/>
      <c r="D2802" s="64"/>
      <c r="E2802" s="64"/>
      <c r="F2802" s="67"/>
      <c r="G2802" s="67"/>
      <c r="H2802" s="73"/>
      <c r="I2802" s="439"/>
      <c r="J2802" s="439"/>
      <c r="K2802" s="430"/>
      <c r="L2802" s="439"/>
      <c r="M2802" s="65"/>
      <c r="N2802" s="66"/>
      <c r="O2802" s="66"/>
      <c r="P2802" s="84" t="str">
        <f>IF(AND('331-CT'!$E$7=TH!H2802,OR(N2802="331",O2802="331")),"x","")</f>
        <v/>
      </c>
      <c r="Q2802" s="84" t="str">
        <f>IF(AND(B2802='111'!$L$11,OR($N2802=$Q$7,$O2802=$Q$7)),"x","")</f>
        <v/>
      </c>
      <c r="R2802" s="84" t="str">
        <f>IF(AND($N2802=$Q$7,$B2802&lt;'111'!$L$11),"x","")</f>
        <v/>
      </c>
      <c r="S2802" s="84" t="str">
        <f>IF(AND($O2802=$Q$7,$B2802&lt;'111'!$L$11),"x","")</f>
        <v/>
      </c>
      <c r="T2802" s="84" t="str">
        <f>IF(ISERROR(FIND('112'!$M$9,G2802,1)),"",IF((AND(FIND('112'!$M$9,G2802,1)&gt;=1,B2802='112'!$K$9,OR($N2802='112'!$I$6,$O2802='112'!$I$6))),"x",""))</f>
        <v/>
      </c>
      <c r="U2802" s="84" t="str">
        <f>IF(ISERROR(FIND('112'!$M$9,G2802,1)),"",IF((AND(LEFT(G2802,2)=LEFT('112'!$M$9,2),B2802&lt;'112'!$K$9,$N2802='112'!$I$6)),"x",""))</f>
        <v/>
      </c>
      <c r="V2802" s="84" t="str">
        <f>IF(ISERROR(FIND('112'!$M$9,G2802,1)),"",IF((AND(RIGHT(G2802,2)=RIGHT('112'!$M$9,2),B2802&lt;'112'!$K$9,$O2802='112'!$I$6)),"x",""))</f>
        <v/>
      </c>
      <c r="W2802" s="84" t="str">
        <f>IF(AND('341-CT'!$H$9=H2802,OR(LEFT(N2802,3)=$W$7,LEFT(O2802,3)=$W$7)),"x","")</f>
        <v/>
      </c>
      <c r="X2802" s="84" t="str">
        <f>IF(OR(TH!N2802=TH!$X$7,O2802=TH!$X$7),"x","")</f>
        <v/>
      </c>
      <c r="Y2802" s="84" t="str">
        <f>IF(AND(OR(N2802="131",O2802="131"),H2802='131-CT'!$H$9),"x","")</f>
        <v/>
      </c>
      <c r="Z2802" s="84"/>
      <c r="AA2802" s="84" t="str">
        <f>IF(AND(MONTH(E2802)='IN-NX'!$J$5,'IN-NX'!$D$7=D2802),"x","")</f>
        <v/>
      </c>
      <c r="AB2802" s="84" t="str">
        <f>IF(AND(OR(LEFT(TH!N2802,2)="15",LEFT(TH!O2802,2)="15"),LEFT(TH!O2802,3)&lt;&gt;"111",'152-CT'!$J$8=TH!F2802),"x","")</f>
        <v/>
      </c>
      <c r="AC2802" s="84" t="str">
        <f>IF(AND(OR(LEFT(TH!N2802,2)="15",LEFT(TH!O2802,2)="15"),TK!$E$7=TH!F2802),"x","")</f>
        <v/>
      </c>
      <c r="AD2802" s="84" t="str">
        <f>IF(AND(N2802="1521",MONTH(C2802)='BK-NL'!$M$11),"x","")</f>
        <v/>
      </c>
    </row>
    <row r="2803" spans="1:30" s="351" customFormat="1" ht="15.75" hidden="1" customHeight="1">
      <c r="A2803" s="336" t="str">
        <f>IF(B2803&lt;&gt;"",IF(AND(B2803='IN-TC'!$S$4,OR(TH!N2803="1111",TH!O2803="1111")),TH!D2803,""),"")</f>
        <v/>
      </c>
      <c r="B2803" s="63" t="str">
        <f t="shared" si="300"/>
        <v/>
      </c>
      <c r="C2803" s="64"/>
      <c r="D2803" s="64"/>
      <c r="E2803" s="64"/>
      <c r="F2803" s="67"/>
      <c r="G2803" s="67"/>
      <c r="H2803" s="73"/>
      <c r="I2803" s="439"/>
      <c r="J2803" s="439"/>
      <c r="K2803" s="430"/>
      <c r="L2803" s="439"/>
      <c r="M2803" s="65"/>
      <c r="N2803" s="66"/>
      <c r="O2803" s="66"/>
      <c r="P2803" s="84" t="str">
        <f>IF(AND('331-CT'!$E$7=TH!H2803,OR(N2803="331",O2803="331")),"x","")</f>
        <v/>
      </c>
      <c r="Q2803" s="84" t="str">
        <f>IF(AND(B2803='111'!$L$11,OR($N2803=$Q$7,$O2803=$Q$7)),"x","")</f>
        <v/>
      </c>
      <c r="R2803" s="84" t="str">
        <f>IF(AND($N2803=$Q$7,$B2803&lt;'111'!$L$11),"x","")</f>
        <v/>
      </c>
      <c r="S2803" s="84" t="str">
        <f>IF(AND($O2803=$Q$7,$B2803&lt;'111'!$L$11),"x","")</f>
        <v/>
      </c>
      <c r="T2803" s="84" t="str">
        <f>IF(ISERROR(FIND('112'!$M$9,G2803,1)),"",IF((AND(FIND('112'!$M$9,G2803,1)&gt;=1,B2803='112'!$K$9,OR($N2803='112'!$I$6,$O2803='112'!$I$6))),"x",""))</f>
        <v/>
      </c>
      <c r="U2803" s="84" t="str">
        <f>IF(ISERROR(FIND('112'!$M$9,G2803,1)),"",IF((AND(LEFT(G2803,2)=LEFT('112'!$M$9,2),B2803&lt;'112'!$K$9,$N2803='112'!$I$6)),"x",""))</f>
        <v/>
      </c>
      <c r="V2803" s="84" t="str">
        <f>IF(ISERROR(FIND('112'!$M$9,G2803,1)),"",IF((AND(RIGHT(G2803,2)=RIGHT('112'!$M$9,2),B2803&lt;'112'!$K$9,$O2803='112'!$I$6)),"x",""))</f>
        <v/>
      </c>
      <c r="W2803" s="84" t="str">
        <f>IF(AND('341-CT'!$H$9=H2803,OR(LEFT(N2803,3)=$W$7,LEFT(O2803,3)=$W$7)),"x","")</f>
        <v/>
      </c>
      <c r="X2803" s="84" t="str">
        <f>IF(OR(TH!N2803=TH!$X$7,O2803=TH!$X$7),"x","")</f>
        <v/>
      </c>
      <c r="Y2803" s="84" t="str">
        <f>IF(AND(OR(N2803="131",O2803="131"),H2803='131-CT'!$H$9),"x","")</f>
        <v/>
      </c>
      <c r="Z2803" s="84"/>
      <c r="AA2803" s="84" t="str">
        <f>IF(AND(MONTH(E2803)='IN-NX'!$J$5,'IN-NX'!$D$7=D2803),"x","")</f>
        <v/>
      </c>
      <c r="AB2803" s="84" t="str">
        <f>IF(AND(OR(LEFT(TH!N2803,2)="15",LEFT(TH!O2803,2)="15"),LEFT(TH!O2803,3)&lt;&gt;"111",'152-CT'!$J$8=TH!F2803),"x","")</f>
        <v/>
      </c>
      <c r="AC2803" s="84" t="str">
        <f>IF(AND(OR(LEFT(TH!N2803,2)="15",LEFT(TH!O2803,2)="15"),TK!$E$7=TH!F2803),"x","")</f>
        <v/>
      </c>
      <c r="AD2803" s="84" t="str">
        <f>IF(AND(N2803="1521",MONTH(C2803)='BK-NL'!$M$11),"x","")</f>
        <v/>
      </c>
    </row>
    <row r="2804" spans="1:30" s="351" customFormat="1" ht="15.75" hidden="1" customHeight="1">
      <c r="A2804" s="336" t="str">
        <f>IF(B2804&lt;&gt;"",IF(AND(B2804='IN-TC'!$S$4,OR(TH!N2804="1111",TH!O2804="1111")),TH!D2804,""),"")</f>
        <v/>
      </c>
      <c r="B2804" s="63" t="str">
        <f t="shared" si="300"/>
        <v/>
      </c>
      <c r="C2804" s="64"/>
      <c r="D2804" s="64"/>
      <c r="E2804" s="64"/>
      <c r="F2804" s="67"/>
      <c r="G2804" s="67"/>
      <c r="H2804" s="73"/>
      <c r="I2804" s="439"/>
      <c r="J2804" s="439"/>
      <c r="K2804" s="430"/>
      <c r="L2804" s="439"/>
      <c r="M2804" s="65"/>
      <c r="N2804" s="66"/>
      <c r="O2804" s="66"/>
      <c r="P2804" s="84" t="str">
        <f>IF(AND('331-CT'!$E$7=TH!H2804,OR(N2804="331",O2804="331")),"x","")</f>
        <v/>
      </c>
      <c r="Q2804" s="84" t="str">
        <f>IF(AND(B2804='111'!$L$11,OR($N2804=$Q$7,$O2804=$Q$7)),"x","")</f>
        <v/>
      </c>
      <c r="R2804" s="84" t="str">
        <f>IF(AND($N2804=$Q$7,$B2804&lt;'111'!$L$11),"x","")</f>
        <v/>
      </c>
      <c r="S2804" s="84" t="str">
        <f>IF(AND($O2804=$Q$7,$B2804&lt;'111'!$L$11),"x","")</f>
        <v/>
      </c>
      <c r="T2804" s="84" t="str">
        <f>IF(ISERROR(FIND('112'!$M$9,G2804,1)),"",IF((AND(FIND('112'!$M$9,G2804,1)&gt;=1,B2804='112'!$K$9,OR($N2804='112'!$I$6,$O2804='112'!$I$6))),"x",""))</f>
        <v/>
      </c>
      <c r="U2804" s="84" t="str">
        <f>IF(ISERROR(FIND('112'!$M$9,G2804,1)),"",IF((AND(LEFT(G2804,2)=LEFT('112'!$M$9,2),B2804&lt;'112'!$K$9,$N2804='112'!$I$6)),"x",""))</f>
        <v/>
      </c>
      <c r="V2804" s="84" t="str">
        <f>IF(ISERROR(FIND('112'!$M$9,G2804,1)),"",IF((AND(RIGHT(G2804,2)=RIGHT('112'!$M$9,2),B2804&lt;'112'!$K$9,$O2804='112'!$I$6)),"x",""))</f>
        <v/>
      </c>
      <c r="W2804" s="84" t="str">
        <f>IF(AND('341-CT'!$H$9=H2804,OR(LEFT(N2804,3)=$W$7,LEFT(O2804,3)=$W$7)),"x","")</f>
        <v/>
      </c>
      <c r="X2804" s="84" t="str">
        <f>IF(OR(TH!N2804=TH!$X$7,O2804=TH!$X$7),"x","")</f>
        <v/>
      </c>
      <c r="Y2804" s="84" t="str">
        <f>IF(AND(OR(N2804="131",O2804="131"),H2804='131-CT'!$H$9),"x","")</f>
        <v/>
      </c>
      <c r="Z2804" s="84"/>
      <c r="AA2804" s="84" t="str">
        <f>IF(AND(MONTH(E2804)='IN-NX'!$J$5,'IN-NX'!$D$7=D2804),"x","")</f>
        <v/>
      </c>
      <c r="AB2804" s="84" t="str">
        <f>IF(AND(OR(LEFT(TH!N2804,2)="15",LEFT(TH!O2804,2)="15"),LEFT(TH!O2804,3)&lt;&gt;"111",'152-CT'!$J$8=TH!F2804),"x","")</f>
        <v/>
      </c>
      <c r="AC2804" s="84" t="str">
        <f>IF(AND(OR(LEFT(TH!N2804,2)="15",LEFT(TH!O2804,2)="15"),TK!$E$7=TH!F2804),"x","")</f>
        <v/>
      </c>
      <c r="AD2804" s="84" t="str">
        <f>IF(AND(N2804="1521",MONTH(C2804)='BK-NL'!$M$11),"x","")</f>
        <v/>
      </c>
    </row>
    <row r="2805" spans="1:30" s="351" customFormat="1" ht="15.75" hidden="1" customHeight="1">
      <c r="A2805" s="336" t="str">
        <f>IF(B2805&lt;&gt;"",IF(AND(B2805='IN-TC'!$S$4,OR(TH!N2805="1111",TH!O2805="1111")),TH!D2805,""),"")</f>
        <v/>
      </c>
      <c r="B2805" s="63" t="str">
        <f t="shared" si="300"/>
        <v/>
      </c>
      <c r="C2805" s="64"/>
      <c r="D2805" s="64"/>
      <c r="E2805" s="64"/>
      <c r="F2805" s="67"/>
      <c r="G2805" s="67"/>
      <c r="H2805" s="73"/>
      <c r="I2805" s="439"/>
      <c r="J2805" s="439"/>
      <c r="K2805" s="430"/>
      <c r="L2805" s="439"/>
      <c r="M2805" s="65"/>
      <c r="N2805" s="66"/>
      <c r="O2805" s="66"/>
      <c r="P2805" s="84" t="str">
        <f>IF(AND('331-CT'!$E$7=TH!H2805,OR(N2805="331",O2805="331")),"x","")</f>
        <v/>
      </c>
      <c r="Q2805" s="84" t="str">
        <f>IF(AND(B2805='111'!$L$11,OR($N2805=$Q$7,$O2805=$Q$7)),"x","")</f>
        <v/>
      </c>
      <c r="R2805" s="84" t="str">
        <f>IF(AND($N2805=$Q$7,$B2805&lt;'111'!$L$11),"x","")</f>
        <v/>
      </c>
      <c r="S2805" s="84" t="str">
        <f>IF(AND($O2805=$Q$7,$B2805&lt;'111'!$L$11),"x","")</f>
        <v/>
      </c>
      <c r="T2805" s="84" t="str">
        <f>IF(ISERROR(FIND('112'!$M$9,G2805,1)),"",IF((AND(FIND('112'!$M$9,G2805,1)&gt;=1,B2805='112'!$K$9,OR($N2805='112'!$I$6,$O2805='112'!$I$6))),"x",""))</f>
        <v/>
      </c>
      <c r="U2805" s="84" t="str">
        <f>IF(ISERROR(FIND('112'!$M$9,G2805,1)),"",IF((AND(LEFT(G2805,2)=LEFT('112'!$M$9,2),B2805&lt;'112'!$K$9,$N2805='112'!$I$6)),"x",""))</f>
        <v/>
      </c>
      <c r="V2805" s="84" t="str">
        <f>IF(ISERROR(FIND('112'!$M$9,G2805,1)),"",IF((AND(RIGHT(G2805,2)=RIGHT('112'!$M$9,2),B2805&lt;'112'!$K$9,$O2805='112'!$I$6)),"x",""))</f>
        <v/>
      </c>
      <c r="W2805" s="84" t="str">
        <f>IF(AND('341-CT'!$H$9=H2805,OR(LEFT(N2805,3)=$W$7,LEFT(O2805,3)=$W$7)),"x","")</f>
        <v/>
      </c>
      <c r="X2805" s="84" t="str">
        <f>IF(OR(TH!N2805=TH!$X$7,O2805=TH!$X$7),"x","")</f>
        <v/>
      </c>
      <c r="Y2805" s="84" t="str">
        <f>IF(AND(OR(N2805="131",O2805="131"),H2805='131-CT'!$H$9),"x","")</f>
        <v/>
      </c>
      <c r="Z2805" s="84"/>
      <c r="AA2805" s="84" t="str">
        <f>IF(AND(MONTH(E2805)='IN-NX'!$J$5,'IN-NX'!$D$7=D2805),"x","")</f>
        <v/>
      </c>
      <c r="AB2805" s="84" t="str">
        <f>IF(AND(OR(LEFT(TH!N2805,2)="15",LEFT(TH!O2805,2)="15"),LEFT(TH!O2805,3)&lt;&gt;"111",'152-CT'!$J$8=TH!F2805),"x","")</f>
        <v/>
      </c>
      <c r="AC2805" s="84" t="str">
        <f>IF(AND(OR(LEFT(TH!N2805,2)="15",LEFT(TH!O2805,2)="15"),TK!$E$7=TH!F2805),"x","")</f>
        <v/>
      </c>
      <c r="AD2805" s="84" t="str">
        <f>IF(AND(N2805="1521",MONTH(C2805)='BK-NL'!$M$11),"x","")</f>
        <v/>
      </c>
    </row>
    <row r="2806" spans="1:30" s="351" customFormat="1" ht="15.75" hidden="1" customHeight="1">
      <c r="A2806" s="336" t="str">
        <f>IF(B2806&lt;&gt;"",IF(AND(B2806='IN-TC'!$S$4,OR(TH!N2806="1111",TH!O2806="1111")),TH!D2806,""),"")</f>
        <v/>
      </c>
      <c r="B2806" s="63" t="str">
        <f t="shared" si="300"/>
        <v/>
      </c>
      <c r="C2806" s="64"/>
      <c r="D2806" s="64"/>
      <c r="E2806" s="64"/>
      <c r="F2806" s="67"/>
      <c r="G2806" s="67"/>
      <c r="H2806" s="73"/>
      <c r="I2806" s="439"/>
      <c r="J2806" s="439"/>
      <c r="K2806" s="430"/>
      <c r="L2806" s="439"/>
      <c r="M2806" s="65"/>
      <c r="N2806" s="66"/>
      <c r="O2806" s="66"/>
      <c r="P2806" s="84" t="str">
        <f>IF(AND('331-CT'!$E$7=TH!H2806,OR(N2806="331",O2806="331")),"x","")</f>
        <v/>
      </c>
      <c r="Q2806" s="84" t="str">
        <f>IF(AND(B2806='111'!$L$11,OR($N2806=$Q$7,$O2806=$Q$7)),"x","")</f>
        <v/>
      </c>
      <c r="R2806" s="84" t="str">
        <f>IF(AND($N2806=$Q$7,$B2806&lt;'111'!$L$11),"x","")</f>
        <v/>
      </c>
      <c r="S2806" s="84" t="str">
        <f>IF(AND($O2806=$Q$7,$B2806&lt;'111'!$L$11),"x","")</f>
        <v/>
      </c>
      <c r="T2806" s="84" t="str">
        <f>IF(ISERROR(FIND('112'!$M$9,G2806,1)),"",IF((AND(FIND('112'!$M$9,G2806,1)&gt;=1,B2806='112'!$K$9,OR($N2806='112'!$I$6,$O2806='112'!$I$6))),"x",""))</f>
        <v/>
      </c>
      <c r="U2806" s="84" t="str">
        <f>IF(ISERROR(FIND('112'!$M$9,G2806,1)),"",IF((AND(LEFT(G2806,2)=LEFT('112'!$M$9,2),B2806&lt;'112'!$K$9,$N2806='112'!$I$6)),"x",""))</f>
        <v/>
      </c>
      <c r="V2806" s="84" t="str">
        <f>IF(ISERROR(FIND('112'!$M$9,G2806,1)),"",IF((AND(RIGHT(G2806,2)=RIGHT('112'!$M$9,2),B2806&lt;'112'!$K$9,$O2806='112'!$I$6)),"x",""))</f>
        <v/>
      </c>
      <c r="W2806" s="84" t="str">
        <f>IF(AND('341-CT'!$H$9=H2806,OR(LEFT(N2806,3)=$W$7,LEFT(O2806,3)=$W$7)),"x","")</f>
        <v/>
      </c>
      <c r="X2806" s="84" t="str">
        <f>IF(OR(TH!N2806=TH!$X$7,O2806=TH!$X$7),"x","")</f>
        <v/>
      </c>
      <c r="Y2806" s="84" t="str">
        <f>IF(AND(OR(N2806="131",O2806="131"),H2806='131-CT'!$H$9),"x","")</f>
        <v/>
      </c>
      <c r="Z2806" s="84"/>
      <c r="AA2806" s="84" t="str">
        <f>IF(AND(MONTH(E2806)='IN-NX'!$J$5,'IN-NX'!$D$7=D2806),"x","")</f>
        <v/>
      </c>
      <c r="AB2806" s="84" t="str">
        <f>IF(AND(OR(LEFT(TH!N2806,2)="15",LEFT(TH!O2806,2)="15"),LEFT(TH!O2806,3)&lt;&gt;"111",'152-CT'!$J$8=TH!F2806),"x","")</f>
        <v/>
      </c>
      <c r="AC2806" s="84" t="str">
        <f>IF(AND(OR(LEFT(TH!N2806,2)="15",LEFT(TH!O2806,2)="15"),TK!$E$7=TH!F2806),"x","")</f>
        <v/>
      </c>
      <c r="AD2806" s="84" t="str">
        <f>IF(AND(N2806="1521",MONTH(C2806)='BK-NL'!$M$11),"x","")</f>
        <v/>
      </c>
    </row>
    <row r="2807" spans="1:30" s="351" customFormat="1" ht="15.75" hidden="1" customHeight="1">
      <c r="A2807" s="336" t="str">
        <f>IF(B2807&lt;&gt;"",IF(AND(B2807='IN-TC'!$S$4,OR(TH!N2807="1111",TH!O2807="1111")),TH!D2807,""),"")</f>
        <v/>
      </c>
      <c r="B2807" s="63" t="str">
        <f t="shared" si="300"/>
        <v/>
      </c>
      <c r="C2807" s="64"/>
      <c r="D2807" s="64"/>
      <c r="E2807" s="64"/>
      <c r="F2807" s="67"/>
      <c r="G2807" s="67"/>
      <c r="H2807" s="73"/>
      <c r="I2807" s="439"/>
      <c r="J2807" s="439"/>
      <c r="K2807" s="430"/>
      <c r="L2807" s="439"/>
      <c r="M2807" s="65"/>
      <c r="N2807" s="66"/>
      <c r="O2807" s="66"/>
      <c r="P2807" s="84" t="str">
        <f>IF(AND('331-CT'!$E$7=TH!H2807,OR(N2807="331",O2807="331")),"x","")</f>
        <v/>
      </c>
      <c r="Q2807" s="84" t="str">
        <f>IF(AND(B2807='111'!$L$11,OR($N2807=$Q$7,$O2807=$Q$7)),"x","")</f>
        <v/>
      </c>
      <c r="R2807" s="84" t="str">
        <f>IF(AND($N2807=$Q$7,$B2807&lt;'111'!$L$11),"x","")</f>
        <v/>
      </c>
      <c r="S2807" s="84" t="str">
        <f>IF(AND($O2807=$Q$7,$B2807&lt;'111'!$L$11),"x","")</f>
        <v/>
      </c>
      <c r="T2807" s="84" t="str">
        <f>IF(ISERROR(FIND('112'!$M$9,G2807,1)),"",IF((AND(FIND('112'!$M$9,G2807,1)&gt;=1,B2807='112'!$K$9,OR($N2807='112'!$I$6,$O2807='112'!$I$6))),"x",""))</f>
        <v/>
      </c>
      <c r="U2807" s="84" t="str">
        <f>IF(ISERROR(FIND('112'!$M$9,G2807,1)),"",IF((AND(LEFT(G2807,2)=LEFT('112'!$M$9,2),B2807&lt;'112'!$K$9,$N2807='112'!$I$6)),"x",""))</f>
        <v/>
      </c>
      <c r="V2807" s="84" t="str">
        <f>IF(ISERROR(FIND('112'!$M$9,G2807,1)),"",IF((AND(RIGHT(G2807,2)=RIGHT('112'!$M$9,2),B2807&lt;'112'!$K$9,$O2807='112'!$I$6)),"x",""))</f>
        <v/>
      </c>
      <c r="W2807" s="84" t="str">
        <f>IF(AND('341-CT'!$H$9=H2807,OR(LEFT(N2807,3)=$W$7,LEFT(O2807,3)=$W$7)),"x","")</f>
        <v/>
      </c>
      <c r="X2807" s="84" t="str">
        <f>IF(OR(TH!N2807=TH!$X$7,O2807=TH!$X$7),"x","")</f>
        <v/>
      </c>
      <c r="Y2807" s="84" t="str">
        <f>IF(AND(OR(N2807="131",O2807="131"),H2807='131-CT'!$H$9),"x","")</f>
        <v/>
      </c>
      <c r="Z2807" s="84"/>
      <c r="AA2807" s="84" t="str">
        <f>IF(AND(MONTH(E2807)='IN-NX'!$J$5,'IN-NX'!$D$7=D2807),"x","")</f>
        <v/>
      </c>
      <c r="AB2807" s="84" t="str">
        <f>IF(AND(OR(LEFT(TH!N2807,2)="15",LEFT(TH!O2807,2)="15"),LEFT(TH!O2807,3)&lt;&gt;"111",'152-CT'!$J$8=TH!F2807),"x","")</f>
        <v/>
      </c>
      <c r="AC2807" s="84" t="str">
        <f>IF(AND(OR(LEFT(TH!N2807,2)="15",LEFT(TH!O2807,2)="15"),TK!$E$7=TH!F2807),"x","")</f>
        <v/>
      </c>
      <c r="AD2807" s="84" t="str">
        <f>IF(AND(N2807="1521",MONTH(C2807)='BK-NL'!$M$11),"x","")</f>
        <v/>
      </c>
    </row>
    <row r="2808" spans="1:30" s="351" customFormat="1" ht="15.75" hidden="1" customHeight="1">
      <c r="A2808" s="336" t="str">
        <f>IF(B2808&lt;&gt;"",IF(AND(B2808='IN-TC'!$S$4,OR(TH!N2808="1111",TH!O2808="1111")),TH!D2808,""),"")</f>
        <v/>
      </c>
      <c r="B2808" s="63" t="str">
        <f t="shared" si="300"/>
        <v/>
      </c>
      <c r="C2808" s="64"/>
      <c r="D2808" s="64"/>
      <c r="E2808" s="64"/>
      <c r="F2808" s="67"/>
      <c r="G2808" s="67"/>
      <c r="H2808" s="73"/>
      <c r="I2808" s="439"/>
      <c r="J2808" s="439"/>
      <c r="K2808" s="430"/>
      <c r="L2808" s="439"/>
      <c r="M2808" s="65"/>
      <c r="N2808" s="66"/>
      <c r="O2808" s="66"/>
      <c r="P2808" s="84" t="str">
        <f>IF(AND('331-CT'!$E$7=TH!H2808,OR(N2808="331",O2808="331")),"x","")</f>
        <v/>
      </c>
      <c r="Q2808" s="84" t="str">
        <f>IF(AND(B2808='111'!$L$11,OR($N2808=$Q$7,$O2808=$Q$7)),"x","")</f>
        <v/>
      </c>
      <c r="R2808" s="84" t="str">
        <f>IF(AND($N2808=$Q$7,$B2808&lt;'111'!$L$11),"x","")</f>
        <v/>
      </c>
      <c r="S2808" s="84" t="str">
        <f>IF(AND($O2808=$Q$7,$B2808&lt;'111'!$L$11),"x","")</f>
        <v/>
      </c>
      <c r="T2808" s="84" t="str">
        <f>IF(ISERROR(FIND('112'!$M$9,G2808,1)),"",IF((AND(FIND('112'!$M$9,G2808,1)&gt;=1,B2808='112'!$K$9,OR($N2808='112'!$I$6,$O2808='112'!$I$6))),"x",""))</f>
        <v/>
      </c>
      <c r="U2808" s="84" t="str">
        <f>IF(ISERROR(FIND('112'!$M$9,G2808,1)),"",IF((AND(LEFT(G2808,2)=LEFT('112'!$M$9,2),B2808&lt;'112'!$K$9,$N2808='112'!$I$6)),"x",""))</f>
        <v/>
      </c>
      <c r="V2808" s="84" t="str">
        <f>IF(ISERROR(FIND('112'!$M$9,G2808,1)),"",IF((AND(RIGHT(G2808,2)=RIGHT('112'!$M$9,2),B2808&lt;'112'!$K$9,$O2808='112'!$I$6)),"x",""))</f>
        <v/>
      </c>
      <c r="W2808" s="84" t="str">
        <f>IF(AND('341-CT'!$H$9=H2808,OR(LEFT(N2808,3)=$W$7,LEFT(O2808,3)=$W$7)),"x","")</f>
        <v/>
      </c>
      <c r="X2808" s="84" t="str">
        <f>IF(OR(TH!N2808=TH!$X$7,O2808=TH!$X$7),"x","")</f>
        <v/>
      </c>
      <c r="Y2808" s="84" t="str">
        <f>IF(AND(OR(N2808="131",O2808="131"),H2808='131-CT'!$H$9),"x","")</f>
        <v/>
      </c>
      <c r="Z2808" s="84"/>
      <c r="AA2808" s="84" t="str">
        <f>IF(AND(MONTH(E2808)='IN-NX'!$J$5,'IN-NX'!$D$7=D2808),"x","")</f>
        <v/>
      </c>
      <c r="AB2808" s="84" t="str">
        <f>IF(AND(OR(LEFT(TH!N2808,2)="15",LEFT(TH!O2808,2)="15"),LEFT(TH!O2808,3)&lt;&gt;"111",'152-CT'!$J$8=TH!F2808),"x","")</f>
        <v/>
      </c>
      <c r="AC2808" s="84" t="str">
        <f>IF(AND(OR(LEFT(TH!N2808,2)="15",LEFT(TH!O2808,2)="15"),TK!$E$7=TH!F2808),"x","")</f>
        <v/>
      </c>
      <c r="AD2808" s="84" t="str">
        <f>IF(AND(N2808="1521",MONTH(C2808)='BK-NL'!$M$11),"x","")</f>
        <v/>
      </c>
    </row>
    <row r="2809" spans="1:30" s="351" customFormat="1" ht="15.75" hidden="1" customHeight="1">
      <c r="A2809" s="336" t="str">
        <f>IF(B2809&lt;&gt;"",IF(AND(B2809='IN-TC'!$S$4,OR(TH!N2809="1111",TH!O2809="1111")),TH!D2809,""),"")</f>
        <v/>
      </c>
      <c r="B2809" s="63" t="str">
        <f t="shared" si="300"/>
        <v/>
      </c>
      <c r="C2809" s="64"/>
      <c r="D2809" s="64"/>
      <c r="E2809" s="64"/>
      <c r="F2809" s="67"/>
      <c r="G2809" s="67"/>
      <c r="H2809" s="73"/>
      <c r="I2809" s="439"/>
      <c r="J2809" s="439"/>
      <c r="K2809" s="430"/>
      <c r="L2809" s="439"/>
      <c r="M2809" s="65"/>
      <c r="N2809" s="66"/>
      <c r="O2809" s="66"/>
      <c r="P2809" s="84" t="str">
        <f>IF(AND('331-CT'!$E$7=TH!H2809,OR(N2809="331",O2809="331")),"x","")</f>
        <v/>
      </c>
      <c r="Q2809" s="84" t="str">
        <f>IF(AND(B2809='111'!$L$11,OR($N2809=$Q$7,$O2809=$Q$7)),"x","")</f>
        <v/>
      </c>
      <c r="R2809" s="84" t="str">
        <f>IF(AND($N2809=$Q$7,$B2809&lt;'111'!$L$11),"x","")</f>
        <v/>
      </c>
      <c r="S2809" s="84" t="str">
        <f>IF(AND($O2809=$Q$7,$B2809&lt;'111'!$L$11),"x","")</f>
        <v/>
      </c>
      <c r="T2809" s="84" t="str">
        <f>IF(ISERROR(FIND('112'!$M$9,G2809,1)),"",IF((AND(FIND('112'!$M$9,G2809,1)&gt;=1,B2809='112'!$K$9,OR($N2809='112'!$I$6,$O2809='112'!$I$6))),"x",""))</f>
        <v/>
      </c>
      <c r="U2809" s="84" t="str">
        <f>IF(ISERROR(FIND('112'!$M$9,G2809,1)),"",IF((AND(LEFT(G2809,2)=LEFT('112'!$M$9,2),B2809&lt;'112'!$K$9,$N2809='112'!$I$6)),"x",""))</f>
        <v/>
      </c>
      <c r="V2809" s="84" t="str">
        <f>IF(ISERROR(FIND('112'!$M$9,G2809,1)),"",IF((AND(RIGHT(G2809,2)=RIGHT('112'!$M$9,2),B2809&lt;'112'!$K$9,$O2809='112'!$I$6)),"x",""))</f>
        <v/>
      </c>
      <c r="W2809" s="84" t="str">
        <f>IF(AND('341-CT'!$H$9=H2809,OR(LEFT(N2809,3)=$W$7,LEFT(O2809,3)=$W$7)),"x","")</f>
        <v/>
      </c>
      <c r="X2809" s="84" t="str">
        <f>IF(OR(TH!N2809=TH!$X$7,O2809=TH!$X$7),"x","")</f>
        <v/>
      </c>
      <c r="Y2809" s="84" t="str">
        <f>IF(AND(OR(N2809="131",O2809="131"),H2809='131-CT'!$H$9),"x","")</f>
        <v/>
      </c>
      <c r="Z2809" s="84"/>
      <c r="AA2809" s="84" t="str">
        <f>IF(AND(MONTH(E2809)='IN-NX'!$J$5,'IN-NX'!$D$7=D2809),"x","")</f>
        <v/>
      </c>
      <c r="AB2809" s="84" t="str">
        <f>IF(AND(OR(LEFT(TH!N2809,2)="15",LEFT(TH!O2809,2)="15"),LEFT(TH!O2809,3)&lt;&gt;"111",'152-CT'!$J$8=TH!F2809),"x","")</f>
        <v/>
      </c>
      <c r="AC2809" s="84" t="str">
        <f>IF(AND(OR(LEFT(TH!N2809,2)="15",LEFT(TH!O2809,2)="15"),TK!$E$7=TH!F2809),"x","")</f>
        <v/>
      </c>
      <c r="AD2809" s="84" t="str">
        <f>IF(AND(N2809="1521",MONTH(C2809)='BK-NL'!$M$11),"x","")</f>
        <v/>
      </c>
    </row>
    <row r="2810" spans="1:30" s="351" customFormat="1" ht="15.75" hidden="1" customHeight="1">
      <c r="A2810" s="336" t="str">
        <f>IF(B2810&lt;&gt;"",IF(AND(B2810='IN-TC'!$S$4,OR(TH!N2810="1111",TH!O2810="1111")),TH!D2810,""),"")</f>
        <v/>
      </c>
      <c r="B2810" s="63" t="str">
        <f t="shared" si="300"/>
        <v/>
      </c>
      <c r="C2810" s="64"/>
      <c r="D2810" s="64"/>
      <c r="E2810" s="64"/>
      <c r="F2810" s="67"/>
      <c r="G2810" s="67"/>
      <c r="H2810" s="73"/>
      <c r="I2810" s="439"/>
      <c r="J2810" s="439"/>
      <c r="K2810" s="430"/>
      <c r="L2810" s="439"/>
      <c r="M2810" s="65"/>
      <c r="N2810" s="66"/>
      <c r="O2810" s="66"/>
      <c r="P2810" s="84" t="str">
        <f>IF(AND('331-CT'!$E$7=TH!H2810,OR(N2810="331",O2810="331")),"x","")</f>
        <v/>
      </c>
      <c r="Q2810" s="84" t="str">
        <f>IF(AND(B2810='111'!$L$11,OR($N2810=$Q$7,$O2810=$Q$7)),"x","")</f>
        <v/>
      </c>
      <c r="R2810" s="84" t="str">
        <f>IF(AND($N2810=$Q$7,$B2810&lt;'111'!$L$11),"x","")</f>
        <v/>
      </c>
      <c r="S2810" s="84" t="str">
        <f>IF(AND($O2810=$Q$7,$B2810&lt;'111'!$L$11),"x","")</f>
        <v/>
      </c>
      <c r="T2810" s="84" t="str">
        <f>IF(ISERROR(FIND('112'!$M$9,G2810,1)),"",IF((AND(FIND('112'!$M$9,G2810,1)&gt;=1,B2810='112'!$K$9,OR($N2810='112'!$I$6,$O2810='112'!$I$6))),"x",""))</f>
        <v/>
      </c>
      <c r="U2810" s="84" t="str">
        <f>IF(ISERROR(FIND('112'!$M$9,G2810,1)),"",IF((AND(LEFT(G2810,2)=LEFT('112'!$M$9,2),B2810&lt;'112'!$K$9,$N2810='112'!$I$6)),"x",""))</f>
        <v/>
      </c>
      <c r="V2810" s="84" t="str">
        <f>IF(ISERROR(FIND('112'!$M$9,G2810,1)),"",IF((AND(RIGHT(G2810,2)=RIGHT('112'!$M$9,2),B2810&lt;'112'!$K$9,$O2810='112'!$I$6)),"x",""))</f>
        <v/>
      </c>
      <c r="W2810" s="84" t="str">
        <f>IF(AND('341-CT'!$H$9=H2810,OR(LEFT(N2810,3)=$W$7,LEFT(O2810,3)=$W$7)),"x","")</f>
        <v/>
      </c>
      <c r="X2810" s="84" t="str">
        <f>IF(OR(TH!N2810=TH!$X$7,O2810=TH!$X$7),"x","")</f>
        <v/>
      </c>
      <c r="Y2810" s="84" t="str">
        <f>IF(AND(OR(N2810="131",O2810="131"),H2810='131-CT'!$H$9),"x","")</f>
        <v/>
      </c>
      <c r="Z2810" s="84"/>
      <c r="AA2810" s="84" t="str">
        <f>IF(AND(MONTH(E2810)='IN-NX'!$J$5,'IN-NX'!$D$7=D2810),"x","")</f>
        <v/>
      </c>
      <c r="AB2810" s="84" t="str">
        <f>IF(AND(OR(LEFT(TH!N2810,2)="15",LEFT(TH!O2810,2)="15"),LEFT(TH!O2810,3)&lt;&gt;"111",'152-CT'!$J$8=TH!F2810),"x","")</f>
        <v/>
      </c>
      <c r="AC2810" s="84" t="str">
        <f>IF(AND(OR(LEFT(TH!N2810,2)="15",LEFT(TH!O2810,2)="15"),TK!$E$7=TH!F2810),"x","")</f>
        <v/>
      </c>
      <c r="AD2810" s="84" t="str">
        <f>IF(AND(N2810="1521",MONTH(C2810)='BK-NL'!$M$11),"x","")</f>
        <v/>
      </c>
    </row>
    <row r="2811" spans="1:30" s="351" customFormat="1" ht="15.75" hidden="1" customHeight="1">
      <c r="A2811" s="336" t="str">
        <f>IF(B2811&lt;&gt;"",IF(AND(B2811='IN-TC'!$S$4,OR(TH!N2811="1111",TH!O2811="1111")),TH!D2811,""),"")</f>
        <v/>
      </c>
      <c r="B2811" s="63" t="str">
        <f t="shared" si="300"/>
        <v/>
      </c>
      <c r="C2811" s="64"/>
      <c r="D2811" s="64"/>
      <c r="E2811" s="64"/>
      <c r="F2811" s="67"/>
      <c r="G2811" s="67"/>
      <c r="H2811" s="73"/>
      <c r="I2811" s="439"/>
      <c r="J2811" s="439"/>
      <c r="K2811" s="430"/>
      <c r="L2811" s="439"/>
      <c r="M2811" s="65"/>
      <c r="N2811" s="66"/>
      <c r="O2811" s="66"/>
      <c r="P2811" s="84" t="str">
        <f>IF(AND('331-CT'!$E$7=TH!H2811,OR(N2811="331",O2811="331")),"x","")</f>
        <v/>
      </c>
      <c r="Q2811" s="84" t="str">
        <f>IF(AND(B2811='111'!$L$11,OR($N2811=$Q$7,$O2811=$Q$7)),"x","")</f>
        <v/>
      </c>
      <c r="R2811" s="84" t="str">
        <f>IF(AND($N2811=$Q$7,$B2811&lt;'111'!$L$11),"x","")</f>
        <v/>
      </c>
      <c r="S2811" s="84" t="str">
        <f>IF(AND($O2811=$Q$7,$B2811&lt;'111'!$L$11),"x","")</f>
        <v/>
      </c>
      <c r="T2811" s="84" t="str">
        <f>IF(ISERROR(FIND('112'!$M$9,G2811,1)),"",IF((AND(FIND('112'!$M$9,G2811,1)&gt;=1,B2811='112'!$K$9,OR($N2811='112'!$I$6,$O2811='112'!$I$6))),"x",""))</f>
        <v/>
      </c>
      <c r="U2811" s="84" t="str">
        <f>IF(ISERROR(FIND('112'!$M$9,G2811,1)),"",IF((AND(LEFT(G2811,2)=LEFT('112'!$M$9,2),B2811&lt;'112'!$K$9,$N2811='112'!$I$6)),"x",""))</f>
        <v/>
      </c>
      <c r="V2811" s="84" t="str">
        <f>IF(ISERROR(FIND('112'!$M$9,G2811,1)),"",IF((AND(RIGHT(G2811,2)=RIGHT('112'!$M$9,2),B2811&lt;'112'!$K$9,$O2811='112'!$I$6)),"x",""))</f>
        <v/>
      </c>
      <c r="W2811" s="84" t="str">
        <f>IF(AND('341-CT'!$H$9=H2811,OR(LEFT(N2811,3)=$W$7,LEFT(O2811,3)=$W$7)),"x","")</f>
        <v/>
      </c>
      <c r="X2811" s="84" t="str">
        <f>IF(OR(TH!N2811=TH!$X$7,O2811=TH!$X$7),"x","")</f>
        <v/>
      </c>
      <c r="Y2811" s="84" t="str">
        <f>IF(AND(OR(N2811="131",O2811="131"),H2811='131-CT'!$H$9),"x","")</f>
        <v/>
      </c>
      <c r="Z2811" s="84"/>
      <c r="AA2811" s="84" t="str">
        <f>IF(AND(MONTH(E2811)='IN-NX'!$J$5,'IN-NX'!$D$7=D2811),"x","")</f>
        <v/>
      </c>
      <c r="AB2811" s="84" t="str">
        <f>IF(AND(OR(LEFT(TH!N2811,2)="15",LEFT(TH!O2811,2)="15"),LEFT(TH!O2811,3)&lt;&gt;"111",'152-CT'!$J$8=TH!F2811),"x","")</f>
        <v/>
      </c>
      <c r="AC2811" s="84" t="str">
        <f>IF(AND(OR(LEFT(TH!N2811,2)="15",LEFT(TH!O2811,2)="15"),TK!$E$7=TH!F2811),"x","")</f>
        <v/>
      </c>
      <c r="AD2811" s="84" t="str">
        <f>IF(AND(N2811="1521",MONTH(C2811)='BK-NL'!$M$11),"x","")</f>
        <v/>
      </c>
    </row>
    <row r="2812" spans="1:30" s="351" customFormat="1" ht="15.75" hidden="1" customHeight="1">
      <c r="A2812" s="336" t="str">
        <f>IF(B2812&lt;&gt;"",IF(AND(B2812='IN-TC'!$S$4,OR(TH!N2812="1111",TH!O2812="1111")),TH!D2812,""),"")</f>
        <v/>
      </c>
      <c r="B2812" s="63" t="str">
        <f t="shared" si="300"/>
        <v/>
      </c>
      <c r="C2812" s="64"/>
      <c r="D2812" s="64"/>
      <c r="E2812" s="64"/>
      <c r="F2812" s="67"/>
      <c r="G2812" s="67"/>
      <c r="H2812" s="73"/>
      <c r="I2812" s="439"/>
      <c r="J2812" s="439"/>
      <c r="K2812" s="430"/>
      <c r="L2812" s="439"/>
      <c r="M2812" s="65"/>
      <c r="N2812" s="66"/>
      <c r="O2812" s="66"/>
      <c r="P2812" s="84" t="str">
        <f>IF(AND('331-CT'!$E$7=TH!H2812,OR(N2812="331",O2812="331")),"x","")</f>
        <v/>
      </c>
      <c r="Q2812" s="84" t="str">
        <f>IF(AND(B2812='111'!$L$11,OR($N2812=$Q$7,$O2812=$Q$7)),"x","")</f>
        <v/>
      </c>
      <c r="R2812" s="84" t="str">
        <f>IF(AND($N2812=$Q$7,$B2812&lt;'111'!$L$11),"x","")</f>
        <v/>
      </c>
      <c r="S2812" s="84" t="str">
        <f>IF(AND($O2812=$Q$7,$B2812&lt;'111'!$L$11),"x","")</f>
        <v/>
      </c>
      <c r="T2812" s="84" t="str">
        <f>IF(ISERROR(FIND('112'!$M$9,G2812,1)),"",IF((AND(FIND('112'!$M$9,G2812,1)&gt;=1,B2812='112'!$K$9,OR($N2812='112'!$I$6,$O2812='112'!$I$6))),"x",""))</f>
        <v/>
      </c>
      <c r="U2812" s="84" t="str">
        <f>IF(ISERROR(FIND('112'!$M$9,G2812,1)),"",IF((AND(LEFT(G2812,2)=LEFT('112'!$M$9,2),B2812&lt;'112'!$K$9,$N2812='112'!$I$6)),"x",""))</f>
        <v/>
      </c>
      <c r="V2812" s="84" t="str">
        <f>IF(ISERROR(FIND('112'!$M$9,G2812,1)),"",IF((AND(RIGHT(G2812,2)=RIGHT('112'!$M$9,2),B2812&lt;'112'!$K$9,$O2812='112'!$I$6)),"x",""))</f>
        <v/>
      </c>
      <c r="W2812" s="84" t="str">
        <f>IF(AND('341-CT'!$H$9=H2812,OR(LEFT(N2812,3)=$W$7,LEFT(O2812,3)=$W$7)),"x","")</f>
        <v/>
      </c>
      <c r="X2812" s="84" t="str">
        <f>IF(OR(TH!N2812=TH!$X$7,O2812=TH!$X$7),"x","")</f>
        <v/>
      </c>
      <c r="Y2812" s="84" t="str">
        <f>IF(AND(OR(N2812="131",O2812="131"),H2812='131-CT'!$H$9),"x","")</f>
        <v/>
      </c>
      <c r="Z2812" s="84"/>
      <c r="AA2812" s="84" t="str">
        <f>IF(AND(MONTH(E2812)='IN-NX'!$J$5,'IN-NX'!$D$7=D2812),"x","")</f>
        <v/>
      </c>
      <c r="AB2812" s="84" t="str">
        <f>IF(AND(OR(LEFT(TH!N2812,2)="15",LEFT(TH!O2812,2)="15"),LEFT(TH!O2812,3)&lt;&gt;"111",'152-CT'!$J$8=TH!F2812),"x","")</f>
        <v/>
      </c>
      <c r="AC2812" s="84" t="str">
        <f>IF(AND(OR(LEFT(TH!N2812,2)="15",LEFT(TH!O2812,2)="15"),TK!$E$7=TH!F2812),"x","")</f>
        <v/>
      </c>
      <c r="AD2812" s="84" t="str">
        <f>IF(AND(N2812="1521",MONTH(C2812)='BK-NL'!$M$11),"x","")</f>
        <v/>
      </c>
    </row>
    <row r="2813" spans="1:30" s="351" customFormat="1" ht="15.75" hidden="1" customHeight="1">
      <c r="A2813" s="336" t="str">
        <f>IF(B2813&lt;&gt;"",IF(AND(B2813='IN-TC'!$S$4,OR(TH!N2813="1111",TH!O2813="1111")),TH!D2813,""),"")</f>
        <v/>
      </c>
      <c r="B2813" s="63" t="str">
        <f t="shared" si="300"/>
        <v/>
      </c>
      <c r="C2813" s="64"/>
      <c r="D2813" s="64"/>
      <c r="E2813" s="64"/>
      <c r="F2813" s="67"/>
      <c r="G2813" s="67"/>
      <c r="H2813" s="73"/>
      <c r="I2813" s="439"/>
      <c r="J2813" s="439"/>
      <c r="K2813" s="430"/>
      <c r="L2813" s="439"/>
      <c r="M2813" s="65"/>
      <c r="N2813" s="66"/>
      <c r="O2813" s="66"/>
      <c r="P2813" s="84" t="str">
        <f>IF(AND('331-CT'!$E$7=TH!H2813,OR(N2813="331",O2813="331")),"x","")</f>
        <v/>
      </c>
      <c r="Q2813" s="84" t="str">
        <f>IF(AND(B2813='111'!$L$11,OR($N2813=$Q$7,$O2813=$Q$7)),"x","")</f>
        <v/>
      </c>
      <c r="R2813" s="84" t="str">
        <f>IF(AND($N2813=$Q$7,$B2813&lt;'111'!$L$11),"x","")</f>
        <v/>
      </c>
      <c r="S2813" s="84" t="str">
        <f>IF(AND($O2813=$Q$7,$B2813&lt;'111'!$L$11),"x","")</f>
        <v/>
      </c>
      <c r="T2813" s="84" t="str">
        <f>IF(ISERROR(FIND('112'!$M$9,G2813,1)),"",IF((AND(FIND('112'!$M$9,G2813,1)&gt;=1,B2813='112'!$K$9,OR($N2813='112'!$I$6,$O2813='112'!$I$6))),"x",""))</f>
        <v/>
      </c>
      <c r="U2813" s="84" t="str">
        <f>IF(ISERROR(FIND('112'!$M$9,G2813,1)),"",IF((AND(LEFT(G2813,2)=LEFT('112'!$M$9,2),B2813&lt;'112'!$K$9,$N2813='112'!$I$6)),"x",""))</f>
        <v/>
      </c>
      <c r="V2813" s="84" t="str">
        <f>IF(ISERROR(FIND('112'!$M$9,G2813,1)),"",IF((AND(RIGHT(G2813,2)=RIGHT('112'!$M$9,2),B2813&lt;'112'!$K$9,$O2813='112'!$I$6)),"x",""))</f>
        <v/>
      </c>
      <c r="W2813" s="84" t="str">
        <f>IF(AND('341-CT'!$H$9=H2813,OR(LEFT(N2813,3)=$W$7,LEFT(O2813,3)=$W$7)),"x","")</f>
        <v/>
      </c>
      <c r="X2813" s="84" t="str">
        <f>IF(OR(TH!N2813=TH!$X$7,O2813=TH!$X$7),"x","")</f>
        <v/>
      </c>
      <c r="Y2813" s="84" t="str">
        <f>IF(AND(OR(N2813="131",O2813="131"),H2813='131-CT'!$H$9),"x","")</f>
        <v/>
      </c>
      <c r="Z2813" s="84"/>
      <c r="AA2813" s="84" t="str">
        <f>IF(AND(MONTH(E2813)='IN-NX'!$J$5,'IN-NX'!$D$7=D2813),"x","")</f>
        <v/>
      </c>
      <c r="AB2813" s="84" t="str">
        <f>IF(AND(OR(LEFT(TH!N2813,2)="15",LEFT(TH!O2813,2)="15"),LEFT(TH!O2813,3)&lt;&gt;"111",'152-CT'!$J$8=TH!F2813),"x","")</f>
        <v/>
      </c>
      <c r="AC2813" s="84" t="str">
        <f>IF(AND(OR(LEFT(TH!N2813,2)="15",LEFT(TH!O2813,2)="15"),TK!$E$7=TH!F2813),"x","")</f>
        <v/>
      </c>
      <c r="AD2813" s="84" t="str">
        <f>IF(AND(N2813="1521",MONTH(C2813)='BK-NL'!$M$11),"x","")</f>
        <v/>
      </c>
    </row>
    <row r="2814" spans="1:30" s="351" customFormat="1" ht="15.75" hidden="1" customHeight="1">
      <c r="A2814" s="336" t="str">
        <f>IF(B2814&lt;&gt;"",IF(AND(B2814='IN-TC'!$S$4,OR(TH!N2814="1111",TH!O2814="1111")),TH!D2814,""),"")</f>
        <v/>
      </c>
      <c r="B2814" s="63" t="str">
        <f t="shared" si="300"/>
        <v/>
      </c>
      <c r="C2814" s="64"/>
      <c r="D2814" s="64"/>
      <c r="E2814" s="64"/>
      <c r="F2814" s="67"/>
      <c r="G2814" s="67"/>
      <c r="H2814" s="73"/>
      <c r="I2814" s="439"/>
      <c r="J2814" s="439"/>
      <c r="K2814" s="430"/>
      <c r="L2814" s="439"/>
      <c r="M2814" s="65"/>
      <c r="N2814" s="66"/>
      <c r="O2814" s="66"/>
      <c r="P2814" s="84" t="str">
        <f>IF(AND('331-CT'!$E$7=TH!H2814,OR(N2814="331",O2814="331")),"x","")</f>
        <v/>
      </c>
      <c r="Q2814" s="84" t="str">
        <f>IF(AND(B2814='111'!$L$11,OR($N2814=$Q$7,$O2814=$Q$7)),"x","")</f>
        <v/>
      </c>
      <c r="R2814" s="84" t="str">
        <f>IF(AND($N2814=$Q$7,$B2814&lt;'111'!$L$11),"x","")</f>
        <v/>
      </c>
      <c r="S2814" s="84" t="str">
        <f>IF(AND($O2814=$Q$7,$B2814&lt;'111'!$L$11),"x","")</f>
        <v/>
      </c>
      <c r="T2814" s="84" t="str">
        <f>IF(ISERROR(FIND('112'!$M$9,G2814,1)),"",IF((AND(FIND('112'!$M$9,G2814,1)&gt;=1,B2814='112'!$K$9,OR($N2814='112'!$I$6,$O2814='112'!$I$6))),"x",""))</f>
        <v/>
      </c>
      <c r="U2814" s="84" t="str">
        <f>IF(ISERROR(FIND('112'!$M$9,G2814,1)),"",IF((AND(LEFT(G2814,2)=LEFT('112'!$M$9,2),B2814&lt;'112'!$K$9,$N2814='112'!$I$6)),"x",""))</f>
        <v/>
      </c>
      <c r="V2814" s="84" t="str">
        <f>IF(ISERROR(FIND('112'!$M$9,G2814,1)),"",IF((AND(RIGHT(G2814,2)=RIGHT('112'!$M$9,2),B2814&lt;'112'!$K$9,$O2814='112'!$I$6)),"x",""))</f>
        <v/>
      </c>
      <c r="W2814" s="84" t="str">
        <f>IF(AND('341-CT'!$H$9=H2814,OR(LEFT(N2814,3)=$W$7,LEFT(O2814,3)=$W$7)),"x","")</f>
        <v/>
      </c>
      <c r="X2814" s="84" t="str">
        <f>IF(OR(TH!N2814=TH!$X$7,O2814=TH!$X$7),"x","")</f>
        <v/>
      </c>
      <c r="Y2814" s="84" t="str">
        <f>IF(AND(OR(N2814="131",O2814="131"),H2814='131-CT'!$H$9),"x","")</f>
        <v/>
      </c>
      <c r="Z2814" s="84"/>
      <c r="AA2814" s="84" t="str">
        <f>IF(AND(MONTH(E2814)='IN-NX'!$J$5,'IN-NX'!$D$7=D2814),"x","")</f>
        <v/>
      </c>
      <c r="AB2814" s="84" t="str">
        <f>IF(AND(OR(LEFT(TH!N2814,2)="15",LEFT(TH!O2814,2)="15"),LEFT(TH!O2814,3)&lt;&gt;"111",'152-CT'!$J$8=TH!F2814),"x","")</f>
        <v/>
      </c>
      <c r="AC2814" s="84" t="str">
        <f>IF(AND(OR(LEFT(TH!N2814,2)="15",LEFT(TH!O2814,2)="15"),TK!$E$7=TH!F2814),"x","")</f>
        <v/>
      </c>
      <c r="AD2814" s="84" t="str">
        <f>IF(AND(N2814="1521",MONTH(C2814)='BK-NL'!$M$11),"x","")</f>
        <v/>
      </c>
    </row>
    <row r="2815" spans="1:30" s="351" customFormat="1" ht="15.75" hidden="1" customHeight="1">
      <c r="A2815" s="336" t="str">
        <f>IF(B2815&lt;&gt;"",IF(AND(B2815='IN-TC'!$S$4,OR(TH!N2815="1111",TH!O2815="1111")),TH!D2815,""),"")</f>
        <v/>
      </c>
      <c r="B2815" s="63" t="str">
        <f t="shared" si="300"/>
        <v/>
      </c>
      <c r="C2815" s="64"/>
      <c r="D2815" s="64"/>
      <c r="E2815" s="64"/>
      <c r="F2815" s="67"/>
      <c r="G2815" s="67"/>
      <c r="H2815" s="73"/>
      <c r="I2815" s="439"/>
      <c r="J2815" s="439"/>
      <c r="K2815" s="430"/>
      <c r="L2815" s="439"/>
      <c r="M2815" s="65"/>
      <c r="N2815" s="66"/>
      <c r="O2815" s="66"/>
      <c r="P2815" s="84" t="str">
        <f>IF(AND('331-CT'!$E$7=TH!H2815,OR(N2815="331",O2815="331")),"x","")</f>
        <v/>
      </c>
      <c r="Q2815" s="84" t="str">
        <f>IF(AND(B2815='111'!$L$11,OR($N2815=$Q$7,$O2815=$Q$7)),"x","")</f>
        <v/>
      </c>
      <c r="R2815" s="84" t="str">
        <f>IF(AND($N2815=$Q$7,$B2815&lt;'111'!$L$11),"x","")</f>
        <v/>
      </c>
      <c r="S2815" s="84" t="str">
        <f>IF(AND($O2815=$Q$7,$B2815&lt;'111'!$L$11),"x","")</f>
        <v/>
      </c>
      <c r="T2815" s="84" t="str">
        <f>IF(ISERROR(FIND('112'!$M$9,G2815,1)),"",IF((AND(FIND('112'!$M$9,G2815,1)&gt;=1,B2815='112'!$K$9,OR($N2815='112'!$I$6,$O2815='112'!$I$6))),"x",""))</f>
        <v/>
      </c>
      <c r="U2815" s="84" t="str">
        <f>IF(ISERROR(FIND('112'!$M$9,G2815,1)),"",IF((AND(LEFT(G2815,2)=LEFT('112'!$M$9,2),B2815&lt;'112'!$K$9,$N2815='112'!$I$6)),"x",""))</f>
        <v/>
      </c>
      <c r="V2815" s="84" t="str">
        <f>IF(ISERROR(FIND('112'!$M$9,G2815,1)),"",IF((AND(RIGHT(G2815,2)=RIGHT('112'!$M$9,2),B2815&lt;'112'!$K$9,$O2815='112'!$I$6)),"x",""))</f>
        <v/>
      </c>
      <c r="W2815" s="84" t="str">
        <f>IF(AND('341-CT'!$H$9=H2815,OR(LEFT(N2815,3)=$W$7,LEFT(O2815,3)=$W$7)),"x","")</f>
        <v/>
      </c>
      <c r="X2815" s="84" t="str">
        <f>IF(OR(TH!N2815=TH!$X$7,O2815=TH!$X$7),"x","")</f>
        <v/>
      </c>
      <c r="Y2815" s="84" t="str">
        <f>IF(AND(OR(N2815="131",O2815="131"),H2815='131-CT'!$H$9),"x","")</f>
        <v/>
      </c>
      <c r="Z2815" s="84"/>
      <c r="AA2815" s="84" t="str">
        <f>IF(AND(MONTH(E2815)='IN-NX'!$J$5,'IN-NX'!$D$7=D2815),"x","")</f>
        <v/>
      </c>
      <c r="AB2815" s="84" t="str">
        <f>IF(AND(OR(LEFT(TH!N2815,2)="15",LEFT(TH!O2815,2)="15"),LEFT(TH!O2815,3)&lt;&gt;"111",'152-CT'!$J$8=TH!F2815),"x","")</f>
        <v/>
      </c>
      <c r="AC2815" s="84" t="str">
        <f>IF(AND(OR(LEFT(TH!N2815,2)="15",LEFT(TH!O2815,2)="15"),TK!$E$7=TH!F2815),"x","")</f>
        <v/>
      </c>
      <c r="AD2815" s="84" t="str">
        <f>IF(AND(N2815="1521",MONTH(C2815)='BK-NL'!$M$11),"x","")</f>
        <v/>
      </c>
    </row>
    <row r="2816" spans="1:30" s="351" customFormat="1" ht="15.75" hidden="1" customHeight="1">
      <c r="A2816" s="336" t="str">
        <f>IF(B2816&lt;&gt;"",IF(AND(B2816='IN-TC'!$S$4,OR(TH!N2816="1111",TH!O2816="1111")),TH!D2816,""),"")</f>
        <v/>
      </c>
      <c r="B2816" s="63" t="str">
        <f t="shared" si="300"/>
        <v/>
      </c>
      <c r="C2816" s="64"/>
      <c r="D2816" s="64"/>
      <c r="E2816" s="64"/>
      <c r="F2816" s="67"/>
      <c r="G2816" s="67"/>
      <c r="H2816" s="73"/>
      <c r="I2816" s="439"/>
      <c r="J2816" s="439"/>
      <c r="K2816" s="430"/>
      <c r="L2816" s="439"/>
      <c r="M2816" s="65"/>
      <c r="N2816" s="66"/>
      <c r="O2816" s="66"/>
      <c r="P2816" s="84" t="str">
        <f>IF(AND('331-CT'!$E$7=TH!H2816,OR(N2816="331",O2816="331")),"x","")</f>
        <v/>
      </c>
      <c r="Q2816" s="84" t="str">
        <f>IF(AND(B2816='111'!$L$11,OR($N2816=$Q$7,$O2816=$Q$7)),"x","")</f>
        <v/>
      </c>
      <c r="R2816" s="84" t="str">
        <f>IF(AND($N2816=$Q$7,$B2816&lt;'111'!$L$11),"x","")</f>
        <v/>
      </c>
      <c r="S2816" s="84" t="str">
        <f>IF(AND($O2816=$Q$7,$B2816&lt;'111'!$L$11),"x","")</f>
        <v/>
      </c>
      <c r="T2816" s="84" t="str">
        <f>IF(ISERROR(FIND('112'!$M$9,G2816,1)),"",IF((AND(FIND('112'!$M$9,G2816,1)&gt;=1,B2816='112'!$K$9,OR($N2816='112'!$I$6,$O2816='112'!$I$6))),"x",""))</f>
        <v/>
      </c>
      <c r="U2816" s="84" t="str">
        <f>IF(ISERROR(FIND('112'!$M$9,G2816,1)),"",IF((AND(LEFT(G2816,2)=LEFT('112'!$M$9,2),B2816&lt;'112'!$K$9,$N2816='112'!$I$6)),"x",""))</f>
        <v/>
      </c>
      <c r="V2816" s="84" t="str">
        <f>IF(ISERROR(FIND('112'!$M$9,G2816,1)),"",IF((AND(RIGHT(G2816,2)=RIGHT('112'!$M$9,2),B2816&lt;'112'!$K$9,$O2816='112'!$I$6)),"x",""))</f>
        <v/>
      </c>
      <c r="W2816" s="84" t="str">
        <f>IF(AND('341-CT'!$H$9=H2816,OR(LEFT(N2816,3)=$W$7,LEFT(O2816,3)=$W$7)),"x","")</f>
        <v/>
      </c>
      <c r="X2816" s="84" t="str">
        <f>IF(OR(TH!N2816=TH!$X$7,O2816=TH!$X$7),"x","")</f>
        <v/>
      </c>
      <c r="Y2816" s="84" t="str">
        <f>IF(AND(OR(N2816="131",O2816="131"),H2816='131-CT'!$H$9),"x","")</f>
        <v/>
      </c>
      <c r="Z2816" s="84"/>
      <c r="AA2816" s="84" t="str">
        <f>IF(AND(MONTH(E2816)='IN-NX'!$J$5,'IN-NX'!$D$7=D2816),"x","")</f>
        <v/>
      </c>
      <c r="AB2816" s="84" t="str">
        <f>IF(AND(OR(LEFT(TH!N2816,2)="15",LEFT(TH!O2816,2)="15"),LEFT(TH!O2816,3)&lt;&gt;"111",'152-CT'!$J$8=TH!F2816),"x","")</f>
        <v/>
      </c>
      <c r="AC2816" s="84" t="str">
        <f>IF(AND(OR(LEFT(TH!N2816,2)="15",LEFT(TH!O2816,2)="15"),TK!$E$7=TH!F2816),"x","")</f>
        <v/>
      </c>
      <c r="AD2816" s="84" t="str">
        <f>IF(AND(N2816="1521",MONTH(C2816)='BK-NL'!$M$11),"x","")</f>
        <v/>
      </c>
    </row>
    <row r="2817" spans="1:30" s="351" customFormat="1" ht="15.75" hidden="1" customHeight="1">
      <c r="A2817" s="336" t="str">
        <f>IF(B2817&lt;&gt;"",IF(AND(B2817='IN-TC'!$S$4,OR(TH!N2817="1111",TH!O2817="1111")),TH!D2817,""),"")</f>
        <v/>
      </c>
      <c r="B2817" s="63" t="str">
        <f t="shared" si="300"/>
        <v/>
      </c>
      <c r="C2817" s="64"/>
      <c r="D2817" s="64"/>
      <c r="E2817" s="64"/>
      <c r="F2817" s="67"/>
      <c r="G2817" s="67"/>
      <c r="H2817" s="73"/>
      <c r="I2817" s="439"/>
      <c r="J2817" s="439"/>
      <c r="K2817" s="430"/>
      <c r="L2817" s="439"/>
      <c r="M2817" s="65"/>
      <c r="N2817" s="66"/>
      <c r="O2817" s="66"/>
      <c r="P2817" s="84" t="str">
        <f>IF(AND('331-CT'!$E$7=TH!H2817,OR(N2817="331",O2817="331")),"x","")</f>
        <v/>
      </c>
      <c r="Q2817" s="84" t="str">
        <f>IF(AND(B2817='111'!$L$11,OR($N2817=$Q$7,$O2817=$Q$7)),"x","")</f>
        <v/>
      </c>
      <c r="R2817" s="84" t="str">
        <f>IF(AND($N2817=$Q$7,$B2817&lt;'111'!$L$11),"x","")</f>
        <v/>
      </c>
      <c r="S2817" s="84" t="str">
        <f>IF(AND($O2817=$Q$7,$B2817&lt;'111'!$L$11),"x","")</f>
        <v/>
      </c>
      <c r="T2817" s="84" t="str">
        <f>IF(ISERROR(FIND('112'!$M$9,G2817,1)),"",IF((AND(FIND('112'!$M$9,G2817,1)&gt;=1,B2817='112'!$K$9,OR($N2817='112'!$I$6,$O2817='112'!$I$6))),"x",""))</f>
        <v/>
      </c>
      <c r="U2817" s="84" t="str">
        <f>IF(ISERROR(FIND('112'!$M$9,G2817,1)),"",IF((AND(LEFT(G2817,2)=LEFT('112'!$M$9,2),B2817&lt;'112'!$K$9,$N2817='112'!$I$6)),"x",""))</f>
        <v/>
      </c>
      <c r="V2817" s="84" t="str">
        <f>IF(ISERROR(FIND('112'!$M$9,G2817,1)),"",IF((AND(RIGHT(G2817,2)=RIGHT('112'!$M$9,2),B2817&lt;'112'!$K$9,$O2817='112'!$I$6)),"x",""))</f>
        <v/>
      </c>
      <c r="W2817" s="84" t="str">
        <f>IF(AND('341-CT'!$H$9=H2817,OR(LEFT(N2817,3)=$W$7,LEFT(O2817,3)=$W$7)),"x","")</f>
        <v/>
      </c>
      <c r="X2817" s="84" t="str">
        <f>IF(OR(TH!N2817=TH!$X$7,O2817=TH!$X$7),"x","")</f>
        <v/>
      </c>
      <c r="Y2817" s="84" t="str">
        <f>IF(AND(OR(N2817="131",O2817="131"),H2817='131-CT'!$H$9),"x","")</f>
        <v/>
      </c>
      <c r="Z2817" s="84"/>
      <c r="AA2817" s="84" t="str">
        <f>IF(AND(MONTH(E2817)='IN-NX'!$J$5,'IN-NX'!$D$7=D2817),"x","")</f>
        <v/>
      </c>
      <c r="AB2817" s="84" t="str">
        <f>IF(AND(OR(LEFT(TH!N2817,2)="15",LEFT(TH!O2817,2)="15"),LEFT(TH!O2817,3)&lt;&gt;"111",'152-CT'!$J$8=TH!F2817),"x","")</f>
        <v/>
      </c>
      <c r="AC2817" s="84" t="str">
        <f>IF(AND(OR(LEFT(TH!N2817,2)="15",LEFT(TH!O2817,2)="15"),TK!$E$7=TH!F2817),"x","")</f>
        <v/>
      </c>
      <c r="AD2817" s="84" t="str">
        <f>IF(AND(N2817="1521",MONTH(C2817)='BK-NL'!$M$11),"x","")</f>
        <v/>
      </c>
    </row>
    <row r="2818" spans="1:30" s="351" customFormat="1" ht="15.75" hidden="1" customHeight="1">
      <c r="A2818" s="336" t="str">
        <f>IF(B2818&lt;&gt;"",IF(AND(B2818='IN-TC'!$S$4,OR(TH!N2818="1111",TH!O2818="1111")),TH!D2818,""),"")</f>
        <v/>
      </c>
      <c r="B2818" s="63" t="str">
        <f t="shared" si="300"/>
        <v/>
      </c>
      <c r="C2818" s="64"/>
      <c r="D2818" s="64"/>
      <c r="E2818" s="64"/>
      <c r="F2818" s="67"/>
      <c r="G2818" s="67"/>
      <c r="H2818" s="73"/>
      <c r="I2818" s="439"/>
      <c r="J2818" s="439"/>
      <c r="K2818" s="430"/>
      <c r="L2818" s="439"/>
      <c r="M2818" s="65"/>
      <c r="N2818" s="66"/>
      <c r="O2818" s="66"/>
      <c r="P2818" s="84" t="str">
        <f>IF(AND('331-CT'!$E$7=TH!H2818,OR(N2818="331",O2818="331")),"x","")</f>
        <v/>
      </c>
      <c r="Q2818" s="84" t="str">
        <f>IF(AND(B2818='111'!$L$11,OR($N2818=$Q$7,$O2818=$Q$7)),"x","")</f>
        <v/>
      </c>
      <c r="R2818" s="84" t="str">
        <f>IF(AND($N2818=$Q$7,$B2818&lt;'111'!$L$11),"x","")</f>
        <v/>
      </c>
      <c r="S2818" s="84" t="str">
        <f>IF(AND($O2818=$Q$7,$B2818&lt;'111'!$L$11),"x","")</f>
        <v/>
      </c>
      <c r="T2818" s="84" t="str">
        <f>IF(ISERROR(FIND('112'!$M$9,G2818,1)),"",IF((AND(FIND('112'!$M$9,G2818,1)&gt;=1,B2818='112'!$K$9,OR($N2818='112'!$I$6,$O2818='112'!$I$6))),"x",""))</f>
        <v/>
      </c>
      <c r="U2818" s="84" t="str">
        <f>IF(ISERROR(FIND('112'!$M$9,G2818,1)),"",IF((AND(LEFT(G2818,2)=LEFT('112'!$M$9,2),B2818&lt;'112'!$K$9,$N2818='112'!$I$6)),"x",""))</f>
        <v/>
      </c>
      <c r="V2818" s="84" t="str">
        <f>IF(ISERROR(FIND('112'!$M$9,G2818,1)),"",IF((AND(RIGHT(G2818,2)=RIGHT('112'!$M$9,2),B2818&lt;'112'!$K$9,$O2818='112'!$I$6)),"x",""))</f>
        <v/>
      </c>
      <c r="W2818" s="84" t="str">
        <f>IF(AND('341-CT'!$H$9=H2818,OR(LEFT(N2818,3)=$W$7,LEFT(O2818,3)=$W$7)),"x","")</f>
        <v/>
      </c>
      <c r="X2818" s="84" t="str">
        <f>IF(OR(TH!N2818=TH!$X$7,O2818=TH!$X$7),"x","")</f>
        <v/>
      </c>
      <c r="Y2818" s="84" t="str">
        <f>IF(AND(OR(N2818="131",O2818="131"),H2818='131-CT'!$H$9),"x","")</f>
        <v/>
      </c>
      <c r="Z2818" s="84"/>
      <c r="AA2818" s="84" t="str">
        <f>IF(AND(MONTH(E2818)='IN-NX'!$J$5,'IN-NX'!$D$7=D2818),"x","")</f>
        <v/>
      </c>
      <c r="AB2818" s="84" t="str">
        <f>IF(AND(OR(LEFT(TH!N2818,2)="15",LEFT(TH!O2818,2)="15"),LEFT(TH!O2818,3)&lt;&gt;"111",'152-CT'!$J$8=TH!F2818),"x","")</f>
        <v/>
      </c>
      <c r="AC2818" s="84" t="str">
        <f>IF(AND(OR(LEFT(TH!N2818,2)="15",LEFT(TH!O2818,2)="15"),TK!$E$7=TH!F2818),"x","")</f>
        <v/>
      </c>
      <c r="AD2818" s="84" t="str">
        <f>IF(AND(N2818="1521",MONTH(C2818)='BK-NL'!$M$11),"x","")</f>
        <v/>
      </c>
    </row>
    <row r="2819" spans="1:30" s="351" customFormat="1" ht="15.75" hidden="1" customHeight="1">
      <c r="A2819" s="336" t="str">
        <f>IF(B2819&lt;&gt;"",IF(AND(B2819='IN-TC'!$S$4,OR(TH!N2819="1111",TH!O2819="1111")),TH!D2819,""),"")</f>
        <v/>
      </c>
      <c r="B2819" s="63" t="str">
        <f t="shared" si="300"/>
        <v/>
      </c>
      <c r="C2819" s="64"/>
      <c r="D2819" s="64"/>
      <c r="E2819" s="64"/>
      <c r="F2819" s="67"/>
      <c r="G2819" s="67"/>
      <c r="H2819" s="73"/>
      <c r="I2819" s="439"/>
      <c r="J2819" s="439"/>
      <c r="K2819" s="430"/>
      <c r="L2819" s="439"/>
      <c r="M2819" s="65"/>
      <c r="N2819" s="66"/>
      <c r="O2819" s="66"/>
      <c r="P2819" s="84" t="str">
        <f>IF(AND('331-CT'!$E$7=TH!H2819,OR(N2819="331",O2819="331")),"x","")</f>
        <v/>
      </c>
      <c r="Q2819" s="84" t="str">
        <f>IF(AND(B2819='111'!$L$11,OR($N2819=$Q$7,$O2819=$Q$7)),"x","")</f>
        <v/>
      </c>
      <c r="R2819" s="84" t="str">
        <f>IF(AND($N2819=$Q$7,$B2819&lt;'111'!$L$11),"x","")</f>
        <v/>
      </c>
      <c r="S2819" s="84" t="str">
        <f>IF(AND($O2819=$Q$7,$B2819&lt;'111'!$L$11),"x","")</f>
        <v/>
      </c>
      <c r="T2819" s="84" t="str">
        <f>IF(ISERROR(FIND('112'!$M$9,G2819,1)),"",IF((AND(FIND('112'!$M$9,G2819,1)&gt;=1,B2819='112'!$K$9,OR($N2819='112'!$I$6,$O2819='112'!$I$6))),"x",""))</f>
        <v/>
      </c>
      <c r="U2819" s="84" t="str">
        <f>IF(ISERROR(FIND('112'!$M$9,G2819,1)),"",IF((AND(LEFT(G2819,2)=LEFT('112'!$M$9,2),B2819&lt;'112'!$K$9,$N2819='112'!$I$6)),"x",""))</f>
        <v/>
      </c>
      <c r="V2819" s="84" t="str">
        <f>IF(ISERROR(FIND('112'!$M$9,G2819,1)),"",IF((AND(RIGHT(G2819,2)=RIGHT('112'!$M$9,2),B2819&lt;'112'!$K$9,$O2819='112'!$I$6)),"x",""))</f>
        <v/>
      </c>
      <c r="W2819" s="84" t="str">
        <f>IF(AND('341-CT'!$H$9=H2819,OR(LEFT(N2819,3)=$W$7,LEFT(O2819,3)=$W$7)),"x","")</f>
        <v/>
      </c>
      <c r="X2819" s="84" t="str">
        <f>IF(OR(TH!N2819=TH!$X$7,O2819=TH!$X$7),"x","")</f>
        <v/>
      </c>
      <c r="Y2819" s="84" t="str">
        <f>IF(AND(OR(N2819="131",O2819="131"),H2819='131-CT'!$H$9),"x","")</f>
        <v/>
      </c>
      <c r="Z2819" s="84"/>
      <c r="AA2819" s="84" t="str">
        <f>IF(AND(MONTH(E2819)='IN-NX'!$J$5,'IN-NX'!$D$7=D2819),"x","")</f>
        <v/>
      </c>
      <c r="AB2819" s="84" t="str">
        <f>IF(AND(OR(LEFT(TH!N2819,2)="15",LEFT(TH!O2819,2)="15"),LEFT(TH!O2819,3)&lt;&gt;"111",'152-CT'!$J$8=TH!F2819),"x","")</f>
        <v/>
      </c>
      <c r="AC2819" s="84" t="str">
        <f>IF(AND(OR(LEFT(TH!N2819,2)="15",LEFT(TH!O2819,2)="15"),TK!$E$7=TH!F2819),"x","")</f>
        <v/>
      </c>
      <c r="AD2819" s="84" t="str">
        <f>IF(AND(N2819="1521",MONTH(C2819)='BK-NL'!$M$11),"x","")</f>
        <v/>
      </c>
    </row>
    <row r="2820" spans="1:30" s="351" customFormat="1" ht="15.75" hidden="1" customHeight="1">
      <c r="A2820" s="336" t="str">
        <f>IF(B2820&lt;&gt;"",IF(AND(B2820='IN-TC'!$S$4,OR(TH!N2820="1111",TH!O2820="1111")),TH!D2820,""),"")</f>
        <v/>
      </c>
      <c r="B2820" s="63" t="str">
        <f t="shared" si="300"/>
        <v/>
      </c>
      <c r="C2820" s="64"/>
      <c r="D2820" s="64"/>
      <c r="E2820" s="64"/>
      <c r="F2820" s="67"/>
      <c r="G2820" s="67"/>
      <c r="H2820" s="73"/>
      <c r="I2820" s="439"/>
      <c r="J2820" s="439"/>
      <c r="K2820" s="430"/>
      <c r="L2820" s="439"/>
      <c r="M2820" s="65"/>
      <c r="N2820" s="66"/>
      <c r="O2820" s="66"/>
      <c r="P2820" s="84" t="str">
        <f>IF(AND('331-CT'!$E$7=TH!H2820,OR(N2820="331",O2820="331")),"x","")</f>
        <v/>
      </c>
      <c r="Q2820" s="84" t="str">
        <f>IF(AND(B2820='111'!$L$11,OR($N2820=$Q$7,$O2820=$Q$7)),"x","")</f>
        <v/>
      </c>
      <c r="R2820" s="84" t="str">
        <f>IF(AND($N2820=$Q$7,$B2820&lt;'111'!$L$11),"x","")</f>
        <v/>
      </c>
      <c r="S2820" s="84" t="str">
        <f>IF(AND($O2820=$Q$7,$B2820&lt;'111'!$L$11),"x","")</f>
        <v/>
      </c>
      <c r="T2820" s="84" t="str">
        <f>IF(ISERROR(FIND('112'!$M$9,G2820,1)),"",IF((AND(FIND('112'!$M$9,G2820,1)&gt;=1,B2820='112'!$K$9,OR($N2820='112'!$I$6,$O2820='112'!$I$6))),"x",""))</f>
        <v/>
      </c>
      <c r="U2820" s="84" t="str">
        <f>IF(ISERROR(FIND('112'!$M$9,G2820,1)),"",IF((AND(LEFT(G2820,2)=LEFT('112'!$M$9,2),B2820&lt;'112'!$K$9,$N2820='112'!$I$6)),"x",""))</f>
        <v/>
      </c>
      <c r="V2820" s="84" t="str">
        <f>IF(ISERROR(FIND('112'!$M$9,G2820,1)),"",IF((AND(RIGHT(G2820,2)=RIGHT('112'!$M$9,2),B2820&lt;'112'!$K$9,$O2820='112'!$I$6)),"x",""))</f>
        <v/>
      </c>
      <c r="W2820" s="84" t="str">
        <f>IF(AND('341-CT'!$H$9=H2820,OR(LEFT(N2820,3)=$W$7,LEFT(O2820,3)=$W$7)),"x","")</f>
        <v/>
      </c>
      <c r="X2820" s="84" t="str">
        <f>IF(OR(TH!N2820=TH!$X$7,O2820=TH!$X$7),"x","")</f>
        <v/>
      </c>
      <c r="Y2820" s="84" t="str">
        <f>IF(AND(OR(N2820="131",O2820="131"),H2820='131-CT'!$H$9),"x","")</f>
        <v/>
      </c>
      <c r="Z2820" s="84"/>
      <c r="AA2820" s="84" t="str">
        <f>IF(AND(MONTH(E2820)='IN-NX'!$J$5,'IN-NX'!$D$7=D2820),"x","")</f>
        <v/>
      </c>
      <c r="AB2820" s="84" t="str">
        <f>IF(AND(OR(LEFT(TH!N2820,2)="15",LEFT(TH!O2820,2)="15"),LEFT(TH!O2820,3)&lt;&gt;"111",'152-CT'!$J$8=TH!F2820),"x","")</f>
        <v/>
      </c>
      <c r="AC2820" s="84" t="str">
        <f>IF(AND(OR(LEFT(TH!N2820,2)="15",LEFT(TH!O2820,2)="15"),TK!$E$7=TH!F2820),"x","")</f>
        <v/>
      </c>
      <c r="AD2820" s="84" t="str">
        <f>IF(AND(N2820="1521",MONTH(C2820)='BK-NL'!$M$11),"x","")</f>
        <v/>
      </c>
    </row>
    <row r="2821" spans="1:30" s="351" customFormat="1" ht="15.75" hidden="1" customHeight="1">
      <c r="A2821" s="336" t="str">
        <f>IF(B2821&lt;&gt;"",IF(AND(B2821='IN-TC'!$S$4,OR(TH!N2821="1111",TH!O2821="1111")),TH!D2821,""),"")</f>
        <v/>
      </c>
      <c r="B2821" s="63" t="str">
        <f t="shared" si="300"/>
        <v/>
      </c>
      <c r="C2821" s="64"/>
      <c r="D2821" s="64"/>
      <c r="E2821" s="64"/>
      <c r="F2821" s="67"/>
      <c r="G2821" s="67"/>
      <c r="H2821" s="73"/>
      <c r="I2821" s="439"/>
      <c r="J2821" s="439"/>
      <c r="K2821" s="430"/>
      <c r="L2821" s="439"/>
      <c r="M2821" s="65"/>
      <c r="N2821" s="66"/>
      <c r="O2821" s="66"/>
      <c r="P2821" s="84" t="str">
        <f>IF(AND('331-CT'!$E$7=TH!H2821,OR(N2821="331",O2821="331")),"x","")</f>
        <v/>
      </c>
      <c r="Q2821" s="84" t="str">
        <f>IF(AND(B2821='111'!$L$11,OR($N2821=$Q$7,$O2821=$Q$7)),"x","")</f>
        <v/>
      </c>
      <c r="R2821" s="84" t="str">
        <f>IF(AND($N2821=$Q$7,$B2821&lt;'111'!$L$11),"x","")</f>
        <v/>
      </c>
      <c r="S2821" s="84" t="str">
        <f>IF(AND($O2821=$Q$7,$B2821&lt;'111'!$L$11),"x","")</f>
        <v/>
      </c>
      <c r="T2821" s="84" t="str">
        <f>IF(ISERROR(FIND('112'!$M$9,G2821,1)),"",IF((AND(FIND('112'!$M$9,G2821,1)&gt;=1,B2821='112'!$K$9,OR($N2821='112'!$I$6,$O2821='112'!$I$6))),"x",""))</f>
        <v/>
      </c>
      <c r="U2821" s="84" t="str">
        <f>IF(ISERROR(FIND('112'!$M$9,G2821,1)),"",IF((AND(LEFT(G2821,2)=LEFT('112'!$M$9,2),B2821&lt;'112'!$K$9,$N2821='112'!$I$6)),"x",""))</f>
        <v/>
      </c>
      <c r="V2821" s="84" t="str">
        <f>IF(ISERROR(FIND('112'!$M$9,G2821,1)),"",IF((AND(RIGHT(G2821,2)=RIGHT('112'!$M$9,2),B2821&lt;'112'!$K$9,$O2821='112'!$I$6)),"x",""))</f>
        <v/>
      </c>
      <c r="W2821" s="84" t="str">
        <f>IF(AND('341-CT'!$H$9=H2821,OR(LEFT(N2821,3)=$W$7,LEFT(O2821,3)=$W$7)),"x","")</f>
        <v/>
      </c>
      <c r="X2821" s="84" t="str">
        <f>IF(OR(TH!N2821=TH!$X$7,O2821=TH!$X$7),"x","")</f>
        <v/>
      </c>
      <c r="Y2821" s="84" t="str">
        <f>IF(AND(OR(N2821="131",O2821="131"),H2821='131-CT'!$H$9),"x","")</f>
        <v/>
      </c>
      <c r="Z2821" s="84"/>
      <c r="AA2821" s="84" t="str">
        <f>IF(AND(MONTH(E2821)='IN-NX'!$J$5,'IN-NX'!$D$7=D2821),"x","")</f>
        <v/>
      </c>
      <c r="AB2821" s="84" t="str">
        <f>IF(AND(OR(LEFT(TH!N2821,2)="15",LEFT(TH!O2821,2)="15"),LEFT(TH!O2821,3)&lt;&gt;"111",'152-CT'!$J$8=TH!F2821),"x","")</f>
        <v/>
      </c>
      <c r="AC2821" s="84" t="str">
        <f>IF(AND(OR(LEFT(TH!N2821,2)="15",LEFT(TH!O2821,2)="15"),TK!$E$7=TH!F2821),"x","")</f>
        <v/>
      </c>
      <c r="AD2821" s="84" t="str">
        <f>IF(AND(N2821="1521",MONTH(C2821)='BK-NL'!$M$11),"x","")</f>
        <v/>
      </c>
    </row>
    <row r="2822" spans="1:30" s="351" customFormat="1" ht="15.75" hidden="1" customHeight="1">
      <c r="A2822" s="336" t="str">
        <f>IF(B2822&lt;&gt;"",IF(AND(B2822='IN-TC'!$S$4,OR(TH!N2822="1111",TH!O2822="1111")),TH!D2822,""),"")</f>
        <v/>
      </c>
      <c r="B2822" s="63" t="str">
        <f t="shared" si="300"/>
        <v/>
      </c>
      <c r="C2822" s="64"/>
      <c r="D2822" s="64"/>
      <c r="E2822" s="64"/>
      <c r="F2822" s="67"/>
      <c r="G2822" s="67"/>
      <c r="H2822" s="73"/>
      <c r="I2822" s="439"/>
      <c r="J2822" s="439"/>
      <c r="K2822" s="430"/>
      <c r="L2822" s="439"/>
      <c r="M2822" s="65"/>
      <c r="N2822" s="66"/>
      <c r="O2822" s="66"/>
      <c r="P2822" s="84" t="str">
        <f>IF(AND('331-CT'!$E$7=TH!H2822,OR(N2822="331",O2822="331")),"x","")</f>
        <v/>
      </c>
      <c r="Q2822" s="84" t="str">
        <f>IF(AND(B2822='111'!$L$11,OR($N2822=$Q$7,$O2822=$Q$7)),"x","")</f>
        <v/>
      </c>
      <c r="R2822" s="84" t="str">
        <f>IF(AND($N2822=$Q$7,$B2822&lt;'111'!$L$11),"x","")</f>
        <v/>
      </c>
      <c r="S2822" s="84" t="str">
        <f>IF(AND($O2822=$Q$7,$B2822&lt;'111'!$L$11),"x","")</f>
        <v/>
      </c>
      <c r="T2822" s="84" t="str">
        <f>IF(ISERROR(FIND('112'!$M$9,G2822,1)),"",IF((AND(FIND('112'!$M$9,G2822,1)&gt;=1,B2822='112'!$K$9,OR($N2822='112'!$I$6,$O2822='112'!$I$6))),"x",""))</f>
        <v/>
      </c>
      <c r="U2822" s="84" t="str">
        <f>IF(ISERROR(FIND('112'!$M$9,G2822,1)),"",IF((AND(LEFT(G2822,2)=LEFT('112'!$M$9,2),B2822&lt;'112'!$K$9,$N2822='112'!$I$6)),"x",""))</f>
        <v/>
      </c>
      <c r="V2822" s="84" t="str">
        <f>IF(ISERROR(FIND('112'!$M$9,G2822,1)),"",IF((AND(RIGHT(G2822,2)=RIGHT('112'!$M$9,2),B2822&lt;'112'!$K$9,$O2822='112'!$I$6)),"x",""))</f>
        <v/>
      </c>
      <c r="W2822" s="84" t="str">
        <f>IF(AND('341-CT'!$H$9=H2822,OR(LEFT(N2822,3)=$W$7,LEFT(O2822,3)=$W$7)),"x","")</f>
        <v/>
      </c>
      <c r="X2822" s="84" t="str">
        <f>IF(OR(TH!N2822=TH!$X$7,O2822=TH!$X$7),"x","")</f>
        <v/>
      </c>
      <c r="Y2822" s="84" t="str">
        <f>IF(AND(OR(N2822="131",O2822="131"),H2822='131-CT'!$H$9),"x","")</f>
        <v/>
      </c>
      <c r="Z2822" s="84"/>
      <c r="AA2822" s="84" t="str">
        <f>IF(AND(MONTH(E2822)='IN-NX'!$J$5,'IN-NX'!$D$7=D2822),"x","")</f>
        <v/>
      </c>
      <c r="AB2822" s="84" t="str">
        <f>IF(AND(OR(LEFT(TH!N2822,2)="15",LEFT(TH!O2822,2)="15"),LEFT(TH!O2822,3)&lt;&gt;"111",'152-CT'!$J$8=TH!F2822),"x","")</f>
        <v/>
      </c>
      <c r="AC2822" s="84" t="str">
        <f>IF(AND(OR(LEFT(TH!N2822,2)="15",LEFT(TH!O2822,2)="15"),TK!$E$7=TH!F2822),"x","")</f>
        <v/>
      </c>
      <c r="AD2822" s="84" t="str">
        <f>IF(AND(N2822="1521",MONTH(C2822)='BK-NL'!$M$11),"x","")</f>
        <v/>
      </c>
    </row>
    <row r="2823" spans="1:30" s="351" customFormat="1" ht="15.75" hidden="1" customHeight="1">
      <c r="A2823" s="336" t="str">
        <f>IF(B2823&lt;&gt;"",IF(AND(B2823='IN-TC'!$S$4,OR(TH!N2823="1111",TH!O2823="1111")),TH!D2823,""),"")</f>
        <v/>
      </c>
      <c r="B2823" s="63" t="str">
        <f t="shared" si="300"/>
        <v/>
      </c>
      <c r="C2823" s="64"/>
      <c r="D2823" s="64"/>
      <c r="E2823" s="64"/>
      <c r="F2823" s="67"/>
      <c r="G2823" s="67"/>
      <c r="H2823" s="73"/>
      <c r="I2823" s="439"/>
      <c r="J2823" s="439"/>
      <c r="K2823" s="430"/>
      <c r="L2823" s="439"/>
      <c r="M2823" s="65"/>
      <c r="N2823" s="66"/>
      <c r="O2823" s="66"/>
      <c r="P2823" s="84" t="str">
        <f>IF(AND('331-CT'!$E$7=TH!H2823,OR(N2823="331",O2823="331")),"x","")</f>
        <v/>
      </c>
      <c r="Q2823" s="84" t="str">
        <f>IF(AND(B2823='111'!$L$11,OR($N2823=$Q$7,$O2823=$Q$7)),"x","")</f>
        <v/>
      </c>
      <c r="R2823" s="84" t="str">
        <f>IF(AND($N2823=$Q$7,$B2823&lt;'111'!$L$11),"x","")</f>
        <v/>
      </c>
      <c r="S2823" s="84" t="str">
        <f>IF(AND($O2823=$Q$7,$B2823&lt;'111'!$L$11),"x","")</f>
        <v/>
      </c>
      <c r="T2823" s="84" t="str">
        <f>IF(ISERROR(FIND('112'!$M$9,G2823,1)),"",IF((AND(FIND('112'!$M$9,G2823,1)&gt;=1,B2823='112'!$K$9,OR($N2823='112'!$I$6,$O2823='112'!$I$6))),"x",""))</f>
        <v/>
      </c>
      <c r="U2823" s="84" t="str">
        <f>IF(ISERROR(FIND('112'!$M$9,G2823,1)),"",IF((AND(LEFT(G2823,2)=LEFT('112'!$M$9,2),B2823&lt;'112'!$K$9,$N2823='112'!$I$6)),"x",""))</f>
        <v/>
      </c>
      <c r="V2823" s="84" t="str">
        <f>IF(ISERROR(FIND('112'!$M$9,G2823,1)),"",IF((AND(RIGHT(G2823,2)=RIGHT('112'!$M$9,2),B2823&lt;'112'!$K$9,$O2823='112'!$I$6)),"x",""))</f>
        <v/>
      </c>
      <c r="W2823" s="84" t="str">
        <f>IF(AND('341-CT'!$H$9=H2823,OR(LEFT(N2823,3)=$W$7,LEFT(O2823,3)=$W$7)),"x","")</f>
        <v/>
      </c>
      <c r="X2823" s="84" t="str">
        <f>IF(OR(TH!N2823=TH!$X$7,O2823=TH!$X$7),"x","")</f>
        <v/>
      </c>
      <c r="Y2823" s="84" t="str">
        <f>IF(AND(OR(N2823="131",O2823="131"),H2823='131-CT'!$H$9),"x","")</f>
        <v/>
      </c>
      <c r="Z2823" s="84"/>
      <c r="AA2823" s="84" t="str">
        <f>IF(AND(MONTH(E2823)='IN-NX'!$J$5,'IN-NX'!$D$7=D2823),"x","")</f>
        <v/>
      </c>
      <c r="AB2823" s="84" t="str">
        <f>IF(AND(OR(LEFT(TH!N2823,2)="15",LEFT(TH!O2823,2)="15"),LEFT(TH!O2823,3)&lt;&gt;"111",'152-CT'!$J$8=TH!F2823),"x","")</f>
        <v/>
      </c>
      <c r="AC2823" s="84" t="str">
        <f>IF(AND(OR(LEFT(TH!N2823,2)="15",LEFT(TH!O2823,2)="15"),TK!$E$7=TH!F2823),"x","")</f>
        <v/>
      </c>
      <c r="AD2823" s="84" t="str">
        <f>IF(AND(N2823="1521",MONTH(C2823)='BK-NL'!$M$11),"x","")</f>
        <v/>
      </c>
    </row>
    <row r="2824" spans="1:30" s="351" customFormat="1" ht="15.75" hidden="1" customHeight="1">
      <c r="A2824" s="336" t="str">
        <f>IF(B2824&lt;&gt;"",IF(AND(B2824='IN-TC'!$S$4,OR(TH!N2824="1111",TH!O2824="1111")),TH!D2824,""),"")</f>
        <v/>
      </c>
      <c r="B2824" s="63" t="str">
        <f t="shared" si="300"/>
        <v/>
      </c>
      <c r="C2824" s="64"/>
      <c r="D2824" s="64"/>
      <c r="E2824" s="64"/>
      <c r="F2824" s="67"/>
      <c r="G2824" s="67"/>
      <c r="H2824" s="73"/>
      <c r="I2824" s="439"/>
      <c r="J2824" s="439"/>
      <c r="K2824" s="430"/>
      <c r="L2824" s="439"/>
      <c r="M2824" s="65"/>
      <c r="N2824" s="66"/>
      <c r="O2824" s="66"/>
      <c r="P2824" s="84" t="str">
        <f>IF(AND('331-CT'!$E$7=TH!H2824,OR(N2824="331",O2824="331")),"x","")</f>
        <v/>
      </c>
      <c r="Q2824" s="84" t="str">
        <f>IF(AND(B2824='111'!$L$11,OR($N2824=$Q$7,$O2824=$Q$7)),"x","")</f>
        <v/>
      </c>
      <c r="R2824" s="84" t="str">
        <f>IF(AND($N2824=$Q$7,$B2824&lt;'111'!$L$11),"x","")</f>
        <v/>
      </c>
      <c r="S2824" s="84" t="str">
        <f>IF(AND($O2824=$Q$7,$B2824&lt;'111'!$L$11),"x","")</f>
        <v/>
      </c>
      <c r="T2824" s="84" t="str">
        <f>IF(ISERROR(FIND('112'!$M$9,G2824,1)),"",IF((AND(FIND('112'!$M$9,G2824,1)&gt;=1,B2824='112'!$K$9,OR($N2824='112'!$I$6,$O2824='112'!$I$6))),"x",""))</f>
        <v/>
      </c>
      <c r="U2824" s="84" t="str">
        <f>IF(ISERROR(FIND('112'!$M$9,G2824,1)),"",IF((AND(LEFT(G2824,2)=LEFT('112'!$M$9,2),B2824&lt;'112'!$K$9,$N2824='112'!$I$6)),"x",""))</f>
        <v/>
      </c>
      <c r="V2824" s="84" t="str">
        <f>IF(ISERROR(FIND('112'!$M$9,G2824,1)),"",IF((AND(RIGHT(G2824,2)=RIGHT('112'!$M$9,2),B2824&lt;'112'!$K$9,$O2824='112'!$I$6)),"x",""))</f>
        <v/>
      </c>
      <c r="W2824" s="84" t="str">
        <f>IF(AND('341-CT'!$H$9=H2824,OR(LEFT(N2824,3)=$W$7,LEFT(O2824,3)=$W$7)),"x","")</f>
        <v/>
      </c>
      <c r="X2824" s="84" t="str">
        <f>IF(OR(TH!N2824=TH!$X$7,O2824=TH!$X$7),"x","")</f>
        <v/>
      </c>
      <c r="Y2824" s="84" t="str">
        <f>IF(AND(OR(N2824="131",O2824="131"),H2824='131-CT'!$H$9),"x","")</f>
        <v/>
      </c>
      <c r="Z2824" s="84"/>
      <c r="AA2824" s="84" t="str">
        <f>IF(AND(MONTH(E2824)='IN-NX'!$J$5,'IN-NX'!$D$7=D2824),"x","")</f>
        <v/>
      </c>
      <c r="AB2824" s="84" t="str">
        <f>IF(AND(OR(LEFT(TH!N2824,2)="15",LEFT(TH!O2824,2)="15"),LEFT(TH!O2824,3)&lt;&gt;"111",'152-CT'!$J$8=TH!F2824),"x","")</f>
        <v/>
      </c>
      <c r="AC2824" s="84" t="str">
        <f>IF(AND(OR(LEFT(TH!N2824,2)="15",LEFT(TH!O2824,2)="15"),TK!$E$7=TH!F2824),"x","")</f>
        <v/>
      </c>
      <c r="AD2824" s="84" t="str">
        <f>IF(AND(N2824="1521",MONTH(C2824)='BK-NL'!$M$11),"x","")</f>
        <v/>
      </c>
    </row>
    <row r="2825" spans="1:30" s="351" customFormat="1" ht="15.75" hidden="1" customHeight="1">
      <c r="A2825" s="336" t="str">
        <f>IF(B2825&lt;&gt;"",IF(AND(B2825='IN-TC'!$S$4,OR(TH!N2825="1111",TH!O2825="1111")),TH!D2825,""),"")</f>
        <v/>
      </c>
      <c r="B2825" s="63" t="str">
        <f t="shared" si="300"/>
        <v/>
      </c>
      <c r="C2825" s="64"/>
      <c r="D2825" s="64"/>
      <c r="E2825" s="64"/>
      <c r="F2825" s="67"/>
      <c r="G2825" s="67"/>
      <c r="H2825" s="73"/>
      <c r="I2825" s="439"/>
      <c r="J2825" s="439"/>
      <c r="K2825" s="430"/>
      <c r="L2825" s="439"/>
      <c r="M2825" s="65"/>
      <c r="N2825" s="66"/>
      <c r="O2825" s="66"/>
      <c r="P2825" s="84" t="str">
        <f>IF(AND('331-CT'!$E$7=TH!H2825,OR(N2825="331",O2825="331")),"x","")</f>
        <v/>
      </c>
      <c r="Q2825" s="84" t="str">
        <f>IF(AND(B2825='111'!$L$11,OR($N2825=$Q$7,$O2825=$Q$7)),"x","")</f>
        <v/>
      </c>
      <c r="R2825" s="84" t="str">
        <f>IF(AND($N2825=$Q$7,$B2825&lt;'111'!$L$11),"x","")</f>
        <v/>
      </c>
      <c r="S2825" s="84" t="str">
        <f>IF(AND($O2825=$Q$7,$B2825&lt;'111'!$L$11),"x","")</f>
        <v/>
      </c>
      <c r="T2825" s="84" t="str">
        <f>IF(ISERROR(FIND('112'!$M$9,G2825,1)),"",IF((AND(FIND('112'!$M$9,G2825,1)&gt;=1,B2825='112'!$K$9,OR($N2825='112'!$I$6,$O2825='112'!$I$6))),"x",""))</f>
        <v/>
      </c>
      <c r="U2825" s="84" t="str">
        <f>IF(ISERROR(FIND('112'!$M$9,G2825,1)),"",IF((AND(LEFT(G2825,2)=LEFT('112'!$M$9,2),B2825&lt;'112'!$K$9,$N2825='112'!$I$6)),"x",""))</f>
        <v/>
      </c>
      <c r="V2825" s="84" t="str">
        <f>IF(ISERROR(FIND('112'!$M$9,G2825,1)),"",IF((AND(RIGHT(G2825,2)=RIGHT('112'!$M$9,2),B2825&lt;'112'!$K$9,$O2825='112'!$I$6)),"x",""))</f>
        <v/>
      </c>
      <c r="W2825" s="84" t="str">
        <f>IF(AND('341-CT'!$H$9=H2825,OR(LEFT(N2825,3)=$W$7,LEFT(O2825,3)=$W$7)),"x","")</f>
        <v/>
      </c>
      <c r="X2825" s="84" t="str">
        <f>IF(OR(TH!N2825=TH!$X$7,O2825=TH!$X$7),"x","")</f>
        <v/>
      </c>
      <c r="Y2825" s="84" t="str">
        <f>IF(AND(OR(N2825="131",O2825="131"),H2825='131-CT'!$H$9),"x","")</f>
        <v/>
      </c>
      <c r="Z2825" s="84"/>
      <c r="AA2825" s="84" t="str">
        <f>IF(AND(MONTH(E2825)='IN-NX'!$J$5,'IN-NX'!$D$7=D2825),"x","")</f>
        <v/>
      </c>
      <c r="AB2825" s="84" t="str">
        <f>IF(AND(OR(LEFT(TH!N2825,2)="15",LEFT(TH!O2825,2)="15"),LEFT(TH!O2825,3)&lt;&gt;"111",'152-CT'!$J$8=TH!F2825),"x","")</f>
        <v/>
      </c>
      <c r="AC2825" s="84" t="str">
        <f>IF(AND(OR(LEFT(TH!N2825,2)="15",LEFT(TH!O2825,2)="15"),TK!$E$7=TH!F2825),"x","")</f>
        <v/>
      </c>
      <c r="AD2825" s="84" t="str">
        <f>IF(AND(N2825="1521",MONTH(C2825)='BK-NL'!$M$11),"x","")</f>
        <v/>
      </c>
    </row>
    <row r="2826" spans="1:30" s="351" customFormat="1" ht="15.75" hidden="1" customHeight="1">
      <c r="A2826" s="336" t="str">
        <f>IF(B2826&lt;&gt;"",IF(AND(B2826='IN-TC'!$S$4,OR(TH!N2826="1111",TH!O2826="1111")),TH!D2826,""),"")</f>
        <v/>
      </c>
      <c r="B2826" s="63" t="str">
        <f>IF(C2826&lt;&gt;"",MONTH(C2826),"")</f>
        <v/>
      </c>
      <c r="C2826" s="64"/>
      <c r="D2826" s="64"/>
      <c r="E2826" s="64"/>
      <c r="F2826" s="67"/>
      <c r="G2826" s="67"/>
      <c r="H2826" s="73"/>
      <c r="I2826" s="439"/>
      <c r="J2826" s="439"/>
      <c r="K2826" s="430"/>
      <c r="L2826" s="439"/>
      <c r="M2826" s="65"/>
      <c r="N2826" s="66"/>
      <c r="O2826" s="66"/>
      <c r="P2826" s="84" t="str">
        <f>IF(AND('331-CT'!$E$7=TH!H2826,OR(N2826="331",O2826="331")),"x","")</f>
        <v/>
      </c>
      <c r="Q2826" s="84" t="str">
        <f>IF(AND(B2826='111'!$L$11,OR($N2826=$Q$7,$O2826=$Q$7)),"x","")</f>
        <v/>
      </c>
      <c r="R2826" s="84" t="str">
        <f>IF(AND($N2826=$Q$7,$B2826&lt;'111'!$L$11),"x","")</f>
        <v/>
      </c>
      <c r="S2826" s="84" t="str">
        <f>IF(AND($O2826=$Q$7,$B2826&lt;'111'!$L$11),"x","")</f>
        <v/>
      </c>
      <c r="T2826" s="84" t="str">
        <f>IF(ISERROR(FIND('112'!$M$9,G2826,1)),"",IF((AND(FIND('112'!$M$9,G2826,1)&gt;=1,B2826='112'!$K$9,OR($N2826='112'!$I$6,$O2826='112'!$I$6))),"x",""))</f>
        <v/>
      </c>
      <c r="U2826" s="84" t="str">
        <f>IF(ISERROR(FIND('112'!$M$9,G2826,1)),"",IF((AND(LEFT(G2826,2)=LEFT('112'!$M$9,2),B2826&lt;'112'!$K$9,$N2826='112'!$I$6)),"x",""))</f>
        <v/>
      </c>
      <c r="V2826" s="84" t="str">
        <f>IF(ISERROR(FIND('112'!$M$9,G2826,1)),"",IF((AND(RIGHT(G2826,2)=RIGHT('112'!$M$9,2),B2826&lt;'112'!$K$9,$O2826='112'!$I$6)),"x",""))</f>
        <v/>
      </c>
      <c r="W2826" s="84" t="str">
        <f>IF(AND('341-CT'!$H$9=H2826,OR(LEFT(N2826,3)=$W$7,LEFT(O2826,3)=$W$7)),"x","")</f>
        <v/>
      </c>
      <c r="X2826" s="84" t="str">
        <f>IF(OR(TH!N2826=TH!$X$7,O2826=TH!$X$7),"x","")</f>
        <v/>
      </c>
      <c r="Y2826" s="84" t="str">
        <f>IF(AND(OR(N2826="131",O2826="131"),H2826='131-CT'!$H$9),"x","")</f>
        <v/>
      </c>
      <c r="Z2826" s="84"/>
      <c r="AA2826" s="84" t="str">
        <f>IF(AND(MONTH(E2826)='IN-NX'!$J$5,'IN-NX'!$D$7=D2826),"x","")</f>
        <v/>
      </c>
      <c r="AB2826" s="84" t="str">
        <f>IF(AND(OR(LEFT(TH!N2826,2)="15",LEFT(TH!O2826,2)="15"),LEFT(TH!O2826,3)&lt;&gt;"111",'152-CT'!$J$8=TH!F2826),"x","")</f>
        <v/>
      </c>
      <c r="AC2826" s="84" t="str">
        <f>IF(AND(OR(LEFT(TH!N2826,2)="15",LEFT(TH!O2826,2)="15"),TK!$E$7=TH!F2826),"x","")</f>
        <v/>
      </c>
      <c r="AD2826" s="84" t="str">
        <f>IF(AND(N2826="1521",MONTH(C2826)='BK-NL'!$M$11),"x","")</f>
        <v/>
      </c>
    </row>
    <row r="2827" spans="1:30" s="351" customFormat="1" ht="15.75" hidden="1" customHeight="1">
      <c r="A2827" s="336" t="str">
        <f>IF(B2827&lt;&gt;"",IF(AND(B2827='IN-TC'!$S$4,OR(TH!N2827="1111",TH!O2827="1111")),TH!D2827,""),"")</f>
        <v/>
      </c>
      <c r="B2827" s="63" t="str">
        <f>IF(C2827&lt;&gt;"",MONTH(C2827),"")</f>
        <v/>
      </c>
      <c r="C2827" s="64"/>
      <c r="D2827" s="64"/>
      <c r="E2827" s="64"/>
      <c r="F2827" s="67"/>
      <c r="G2827" s="67"/>
      <c r="H2827" s="73"/>
      <c r="I2827" s="439"/>
      <c r="J2827" s="439"/>
      <c r="K2827" s="430"/>
      <c r="L2827" s="439"/>
      <c r="M2827" s="65"/>
      <c r="N2827" s="66"/>
      <c r="O2827" s="66"/>
      <c r="P2827" s="84" t="str">
        <f>IF(AND('331-CT'!$E$7=TH!H2827,OR(N2827="331",O2827="331")),"x","")</f>
        <v/>
      </c>
      <c r="Q2827" s="84" t="str">
        <f>IF(AND(B2827='111'!$L$11,OR($N2827=$Q$7,$O2827=$Q$7)),"x","")</f>
        <v/>
      </c>
      <c r="R2827" s="84" t="str">
        <f>IF(AND($N2827=$Q$7,$B2827&lt;'111'!$L$11),"x","")</f>
        <v/>
      </c>
      <c r="S2827" s="84" t="str">
        <f>IF(AND($O2827=$Q$7,$B2827&lt;'111'!$L$11),"x","")</f>
        <v/>
      </c>
      <c r="T2827" s="84" t="str">
        <f>IF(ISERROR(FIND('112'!$M$9,G2827,1)),"",IF((AND(FIND('112'!$M$9,G2827,1)&gt;=1,B2827='112'!$K$9,OR($N2827='112'!$I$6,$O2827='112'!$I$6))),"x",""))</f>
        <v/>
      </c>
      <c r="U2827" s="84" t="str">
        <f>IF(ISERROR(FIND('112'!$M$9,G2827,1)),"",IF((AND(LEFT(G2827,2)=LEFT('112'!$M$9,2),B2827&lt;'112'!$K$9,$N2827='112'!$I$6)),"x",""))</f>
        <v/>
      </c>
      <c r="V2827" s="84" t="str">
        <f>IF(ISERROR(FIND('112'!$M$9,G2827,1)),"",IF((AND(RIGHT(G2827,2)=RIGHT('112'!$M$9,2),B2827&lt;'112'!$K$9,$O2827='112'!$I$6)),"x",""))</f>
        <v/>
      </c>
      <c r="W2827" s="84" t="str">
        <f>IF(AND('341-CT'!$H$9=H2827,OR(LEFT(N2827,3)=$W$7,LEFT(O2827,3)=$W$7)),"x","")</f>
        <v/>
      </c>
      <c r="X2827" s="84" t="str">
        <f>IF(OR(TH!N2827=TH!$X$7,O2827=TH!$X$7),"x","")</f>
        <v/>
      </c>
      <c r="Y2827" s="84" t="str">
        <f>IF(AND(OR(N2827="131",O2827="131"),H2827='131-CT'!$H$9),"x","")</f>
        <v/>
      </c>
      <c r="Z2827" s="84"/>
      <c r="AA2827" s="84" t="str">
        <f>IF(AND(MONTH(E2827)='IN-NX'!$J$5,'IN-NX'!$D$7=D2827),"x","")</f>
        <v/>
      </c>
      <c r="AB2827" s="84" t="str">
        <f>IF(AND(OR(LEFT(TH!N2827,2)="15",LEFT(TH!O2827,2)="15"),LEFT(TH!O2827,3)&lt;&gt;"111",'152-CT'!$J$8=TH!F2827),"x","")</f>
        <v/>
      </c>
      <c r="AC2827" s="84" t="str">
        <f>IF(AND(OR(LEFT(TH!N2827,2)="15",LEFT(TH!O2827,2)="15"),TK!$E$7=TH!F2827),"x","")</f>
        <v/>
      </c>
      <c r="AD2827" s="84" t="str">
        <f>IF(AND(N2827="1521",MONTH(C2827)='BK-NL'!$M$11),"x","")</f>
        <v/>
      </c>
    </row>
    <row r="2828" spans="1:30" s="351" customFormat="1" ht="15.75" hidden="1" customHeight="1">
      <c r="A2828" s="336" t="str">
        <f>IF(B2828&lt;&gt;"",IF(AND(B2828='IN-TC'!$S$4,OR(TH!N2828="1111",TH!O2828="1111")),TH!D2828,""),"")</f>
        <v/>
      </c>
      <c r="B2828" s="63" t="str">
        <f>IF(C2828&lt;&gt;"",MONTH(C2828),"")</f>
        <v/>
      </c>
      <c r="C2828" s="64"/>
      <c r="D2828" s="64"/>
      <c r="E2828" s="64"/>
      <c r="F2828" s="67"/>
      <c r="G2828" s="67"/>
      <c r="H2828" s="73"/>
      <c r="I2828" s="439"/>
      <c r="J2828" s="439"/>
      <c r="K2828" s="430"/>
      <c r="L2828" s="439"/>
      <c r="M2828" s="65"/>
      <c r="N2828" s="66"/>
      <c r="O2828" s="66"/>
      <c r="P2828" s="84" t="str">
        <f>IF(AND('331-CT'!$E$7=TH!H2828,OR(N2828="331",O2828="331")),"x","")</f>
        <v/>
      </c>
      <c r="Q2828" s="84" t="str">
        <f>IF(AND(B2828='111'!$L$11,OR($N2828=$Q$7,$O2828=$Q$7)),"x","")</f>
        <v/>
      </c>
      <c r="R2828" s="84" t="str">
        <f>IF(AND($N2828=$Q$7,$B2828&lt;'111'!$L$11),"x","")</f>
        <v/>
      </c>
      <c r="S2828" s="84" t="str">
        <f>IF(AND($O2828=$Q$7,$B2828&lt;'111'!$L$11),"x","")</f>
        <v/>
      </c>
      <c r="T2828" s="84" t="str">
        <f>IF(ISERROR(FIND('112'!$M$9,G2828,1)),"",IF((AND(FIND('112'!$M$9,G2828,1)&gt;=1,B2828='112'!$K$9,OR($N2828='112'!$I$6,$O2828='112'!$I$6))),"x",""))</f>
        <v/>
      </c>
      <c r="U2828" s="84" t="str">
        <f>IF(ISERROR(FIND('112'!$M$9,G2828,1)),"",IF((AND(LEFT(G2828,2)=LEFT('112'!$M$9,2),B2828&lt;'112'!$K$9,$N2828='112'!$I$6)),"x",""))</f>
        <v/>
      </c>
      <c r="V2828" s="84" t="str">
        <f>IF(ISERROR(FIND('112'!$M$9,G2828,1)),"",IF((AND(RIGHT(G2828,2)=RIGHT('112'!$M$9,2),B2828&lt;'112'!$K$9,$O2828='112'!$I$6)),"x",""))</f>
        <v/>
      </c>
      <c r="W2828" s="84" t="str">
        <f>IF(AND('341-CT'!$H$9=H2828,OR(LEFT(N2828,3)=$W$7,LEFT(O2828,3)=$W$7)),"x","")</f>
        <v/>
      </c>
      <c r="X2828" s="84" t="str">
        <f>IF(OR(TH!N2828=TH!$X$7,O2828=TH!$X$7),"x","")</f>
        <v/>
      </c>
      <c r="Y2828" s="84" t="str">
        <f>IF(AND(OR(N2828="131",O2828="131"),H2828='131-CT'!$H$9),"x","")</f>
        <v/>
      </c>
      <c r="Z2828" s="84"/>
      <c r="AA2828" s="84" t="str">
        <f>IF(AND(MONTH(E2828)='IN-NX'!$J$5,'IN-NX'!$D$7=D2828),"x","")</f>
        <v/>
      </c>
      <c r="AB2828" s="84" t="str">
        <f>IF(AND(OR(LEFT(TH!N2828,2)="15",LEFT(TH!O2828,2)="15"),LEFT(TH!O2828,3)&lt;&gt;"111",'152-CT'!$J$8=TH!F2828),"x","")</f>
        <v/>
      </c>
      <c r="AC2828" s="84" t="str">
        <f>IF(AND(OR(LEFT(TH!N2828,2)="15",LEFT(TH!O2828,2)="15"),TK!$E$7=TH!F2828),"x","")</f>
        <v/>
      </c>
      <c r="AD2828" s="84" t="str">
        <f>IF(AND(N2828="1521",MONTH(C2828)='BK-NL'!$M$11),"x","")</f>
        <v/>
      </c>
    </row>
    <row r="2829" spans="1:30" s="351" customFormat="1" ht="15.75" hidden="1" customHeight="1">
      <c r="A2829" s="336" t="str">
        <f>IF(B2829&lt;&gt;"",IF(AND(B2829='IN-TC'!$S$4,OR(TH!N2829="1111",TH!O2829="1111")),TH!D2829,""),"")</f>
        <v/>
      </c>
      <c r="B2829" s="63" t="str">
        <f>IF(C2829&lt;&gt;"",MONTH(C2829),"")</f>
        <v/>
      </c>
      <c r="C2829" s="64"/>
      <c r="D2829" s="64"/>
      <c r="E2829" s="64"/>
      <c r="F2829" s="67"/>
      <c r="G2829" s="67"/>
      <c r="H2829" s="73"/>
      <c r="I2829" s="439"/>
      <c r="J2829" s="439"/>
      <c r="K2829" s="430"/>
      <c r="L2829" s="439"/>
      <c r="M2829" s="65"/>
      <c r="N2829" s="66"/>
      <c r="O2829" s="66"/>
      <c r="P2829" s="84" t="str">
        <f>IF(AND('331-CT'!$E$7=TH!H2829,OR(N2829="331",O2829="331")),"x","")</f>
        <v/>
      </c>
      <c r="Q2829" s="84" t="str">
        <f>IF(AND(B2829='111'!$L$11,OR($N2829=$Q$7,$O2829=$Q$7)),"x","")</f>
        <v/>
      </c>
      <c r="R2829" s="84" t="str">
        <f>IF(AND($N2829=$Q$7,$B2829&lt;'111'!$L$11),"x","")</f>
        <v/>
      </c>
      <c r="S2829" s="84" t="str">
        <f>IF(AND($O2829=$Q$7,$B2829&lt;'111'!$L$11),"x","")</f>
        <v/>
      </c>
      <c r="T2829" s="84" t="str">
        <f>IF(ISERROR(FIND('112'!$M$9,G2829,1)),"",IF((AND(FIND('112'!$M$9,G2829,1)&gt;=1,B2829='112'!$K$9,OR($N2829='112'!$I$6,$O2829='112'!$I$6))),"x",""))</f>
        <v/>
      </c>
      <c r="U2829" s="84" t="str">
        <f>IF(ISERROR(FIND('112'!$M$9,G2829,1)),"",IF((AND(LEFT(G2829,2)=LEFT('112'!$M$9,2),B2829&lt;'112'!$K$9,$N2829='112'!$I$6)),"x",""))</f>
        <v/>
      </c>
      <c r="V2829" s="84" t="str">
        <f>IF(ISERROR(FIND('112'!$M$9,G2829,1)),"",IF((AND(RIGHT(G2829,2)=RIGHT('112'!$M$9,2),B2829&lt;'112'!$K$9,$O2829='112'!$I$6)),"x",""))</f>
        <v/>
      </c>
      <c r="W2829" s="84" t="str">
        <f>IF(AND('341-CT'!$H$9=H2829,OR(LEFT(N2829,3)=$W$7,LEFT(O2829,3)=$W$7)),"x","")</f>
        <v/>
      </c>
      <c r="X2829" s="84" t="str">
        <f>IF(OR(TH!N2829=TH!$X$7,O2829=TH!$X$7),"x","")</f>
        <v/>
      </c>
      <c r="Y2829" s="84" t="str">
        <f>IF(AND(OR(N2829="131",O2829="131"),H2829='131-CT'!$H$9),"x","")</f>
        <v/>
      </c>
      <c r="Z2829" s="84"/>
      <c r="AA2829" s="84" t="str">
        <f>IF(AND(MONTH(E2829)='IN-NX'!$J$5,'IN-NX'!$D$7=D2829),"x","")</f>
        <v/>
      </c>
      <c r="AB2829" s="84" t="str">
        <f>IF(AND(OR(LEFT(TH!N2829,2)="15",LEFT(TH!O2829,2)="15"),LEFT(TH!O2829,3)&lt;&gt;"111",'152-CT'!$J$8=TH!F2829),"x","")</f>
        <v/>
      </c>
      <c r="AC2829" s="84" t="str">
        <f>IF(AND(OR(LEFT(TH!N2829,2)="15",LEFT(TH!O2829,2)="15"),TK!$E$7=TH!F2829),"x","")</f>
        <v/>
      </c>
      <c r="AD2829" s="84" t="str">
        <f>IF(AND(N2829="1521",MONTH(C2829)='BK-NL'!$M$11),"x","")</f>
        <v/>
      </c>
    </row>
    <row r="2830" spans="1:30" s="351" customFormat="1" ht="15.75" hidden="1" customHeight="1">
      <c r="A2830" s="336" t="str">
        <f>IF(B2830&lt;&gt;"",IF(AND(B2830='IN-TC'!$S$4,OR(TH!N2830="1111",TH!O2830="1111")),TH!D2830,""),"")</f>
        <v/>
      </c>
      <c r="B2830" s="63" t="str">
        <f>IF(C2830&lt;&gt;"",MONTH(C2830),"")</f>
        <v/>
      </c>
      <c r="C2830" s="64"/>
      <c r="D2830" s="64"/>
      <c r="E2830" s="64"/>
      <c r="F2830" s="67"/>
      <c r="G2830" s="67"/>
      <c r="H2830" s="73"/>
      <c r="I2830" s="439"/>
      <c r="J2830" s="439"/>
      <c r="K2830" s="430"/>
      <c r="L2830" s="439"/>
      <c r="M2830" s="65"/>
      <c r="N2830" s="66"/>
      <c r="O2830" s="66"/>
      <c r="P2830" s="84" t="str">
        <f>IF(AND('331-CT'!$E$7=TH!H2830,OR(N2830="331",O2830="331")),"x","")</f>
        <v/>
      </c>
      <c r="Q2830" s="84" t="str">
        <f>IF(AND(B2830='111'!$L$11,OR($N2830=$Q$7,$O2830=$Q$7)),"x","")</f>
        <v/>
      </c>
      <c r="R2830" s="84" t="str">
        <f>IF(AND($N2830=$Q$7,$B2830&lt;'111'!$L$11),"x","")</f>
        <v/>
      </c>
      <c r="S2830" s="84" t="str">
        <f>IF(AND($O2830=$Q$7,$B2830&lt;'111'!$L$11),"x","")</f>
        <v/>
      </c>
      <c r="T2830" s="84" t="str">
        <f>IF(ISERROR(FIND('112'!$M$9,G2830,1)),"",IF((AND(FIND('112'!$M$9,G2830,1)&gt;=1,B2830='112'!$K$9,OR($N2830='112'!$I$6,$O2830='112'!$I$6))),"x",""))</f>
        <v/>
      </c>
      <c r="U2830" s="84" t="str">
        <f>IF(ISERROR(FIND('112'!$M$9,G2830,1)),"",IF((AND(LEFT(G2830,2)=LEFT('112'!$M$9,2),B2830&lt;'112'!$K$9,$N2830='112'!$I$6)),"x",""))</f>
        <v/>
      </c>
      <c r="V2830" s="84" t="str">
        <f>IF(ISERROR(FIND('112'!$M$9,G2830,1)),"",IF((AND(RIGHT(G2830,2)=RIGHT('112'!$M$9,2),B2830&lt;'112'!$K$9,$O2830='112'!$I$6)),"x",""))</f>
        <v/>
      </c>
      <c r="W2830" s="84" t="str">
        <f>IF(AND('341-CT'!$H$9=H2830,OR(LEFT(N2830,3)=$W$7,LEFT(O2830,3)=$W$7)),"x","")</f>
        <v/>
      </c>
      <c r="X2830" s="84" t="str">
        <f>IF(OR(TH!N2830=TH!$X$7,O2830=TH!$X$7),"x","")</f>
        <v/>
      </c>
      <c r="Y2830" s="84" t="str">
        <f>IF(AND(OR(N2830="131",O2830="131"),H2830='131-CT'!$H$9),"x","")</f>
        <v/>
      </c>
      <c r="Z2830" s="84"/>
      <c r="AA2830" s="84" t="str">
        <f>IF(AND(MONTH(E2830)='IN-NX'!$J$5,'IN-NX'!$D$7=D2830),"x","")</f>
        <v/>
      </c>
      <c r="AB2830" s="84" t="str">
        <f>IF(AND(OR(LEFT(TH!N2830,2)="15",LEFT(TH!O2830,2)="15"),LEFT(TH!O2830,3)&lt;&gt;"111",'152-CT'!$J$8=TH!F2830),"x","")</f>
        <v/>
      </c>
      <c r="AC2830" s="84" t="str">
        <f>IF(AND(OR(LEFT(TH!N2830,2)="15",LEFT(TH!O2830,2)="15"),TK!$E$7=TH!F2830),"x","")</f>
        <v/>
      </c>
      <c r="AD2830" s="84" t="str">
        <f>IF(AND(N2830="1521",MONTH(C2830)='BK-NL'!$M$11),"x","")</f>
        <v/>
      </c>
    </row>
    <row r="2831" spans="1:30" s="351" customFormat="1" ht="15.75" customHeight="1">
      <c r="A2831" s="1216"/>
      <c r="B2831" s="1217"/>
      <c r="C2831" s="1218"/>
      <c r="D2831" s="1218"/>
      <c r="E2831" s="1218"/>
      <c r="F2831" s="1219"/>
      <c r="G2831" s="1219"/>
      <c r="H2831" s="1220"/>
      <c r="I2831" s="1221"/>
      <c r="J2831" s="1221"/>
      <c r="K2831" s="1222"/>
      <c r="L2831" s="1221"/>
      <c r="M2831" s="1223"/>
      <c r="N2831" s="1224"/>
      <c r="O2831" s="1224"/>
      <c r="P2831" s="1225"/>
      <c r="Q2831" s="1225"/>
      <c r="R2831" s="1225"/>
      <c r="S2831" s="1225"/>
      <c r="T2831" s="1225"/>
      <c r="U2831" s="1225"/>
      <c r="V2831" s="1225"/>
      <c r="W2831" s="1225"/>
      <c r="X2831" s="1225"/>
      <c r="Y2831" s="1225"/>
      <c r="Z2831" s="1225"/>
      <c r="AA2831" s="1225"/>
      <c r="AB2831" s="1225"/>
      <c r="AC2831" s="1225"/>
      <c r="AD2831" s="1225"/>
    </row>
    <row r="2832" spans="1:30" s="351" customFormat="1" ht="15.75" customHeight="1">
      <c r="A2832" s="1216"/>
      <c r="B2832" s="1217"/>
      <c r="C2832" s="1218"/>
      <c r="D2832" s="1218"/>
      <c r="E2832" s="1218"/>
      <c r="F2832" s="1219"/>
      <c r="G2832" s="1219"/>
      <c r="H2832" s="1220"/>
      <c r="I2832" s="1221"/>
      <c r="J2832" s="1221"/>
      <c r="K2832" s="1222"/>
      <c r="L2832" s="1221"/>
      <c r="M2832" s="1223"/>
      <c r="N2832" s="1224"/>
      <c r="O2832" s="1224"/>
      <c r="P2832" s="1225"/>
      <c r="Q2832" s="1225"/>
      <c r="R2832" s="1225"/>
      <c r="S2832" s="1225"/>
      <c r="T2832" s="1225"/>
      <c r="U2832" s="1225"/>
      <c r="V2832" s="1225"/>
      <c r="W2832" s="1225"/>
      <c r="X2832" s="1225"/>
      <c r="Y2832" s="1225"/>
      <c r="Z2832" s="1225"/>
      <c r="AA2832" s="1225"/>
      <c r="AB2832" s="1225"/>
      <c r="AC2832" s="1225"/>
      <c r="AD2832" s="1225"/>
    </row>
    <row r="2833" spans="6:31" ht="18.75" customHeight="1">
      <c r="M2833" s="1226">
        <f>SUBTOTAL(9,$M$10:$M$2830)</f>
        <v>338888588</v>
      </c>
      <c r="N2833" s="1226"/>
      <c r="O2833" s="1226"/>
      <c r="P2833" s="1226">
        <f t="shared" ref="P2833:AD2833" si="301">SUBTOTAL(9,$M$10:$M$2830)</f>
        <v>338888588</v>
      </c>
      <c r="Q2833" s="1226">
        <f t="shared" si="301"/>
        <v>338888588</v>
      </c>
      <c r="R2833" s="1226">
        <f t="shared" si="301"/>
        <v>338888588</v>
      </c>
      <c r="S2833" s="1226">
        <f t="shared" si="301"/>
        <v>338888588</v>
      </c>
      <c r="T2833" s="1226">
        <f t="shared" si="301"/>
        <v>338888588</v>
      </c>
      <c r="U2833" s="1226">
        <f t="shared" si="301"/>
        <v>338888588</v>
      </c>
      <c r="V2833" s="1226">
        <f t="shared" si="301"/>
        <v>338888588</v>
      </c>
      <c r="W2833" s="1226">
        <f t="shared" si="301"/>
        <v>338888588</v>
      </c>
      <c r="X2833" s="1226">
        <f t="shared" si="301"/>
        <v>338888588</v>
      </c>
      <c r="Y2833" s="1226">
        <f t="shared" si="301"/>
        <v>338888588</v>
      </c>
      <c r="Z2833" s="1226">
        <f t="shared" si="301"/>
        <v>338888588</v>
      </c>
      <c r="AA2833" s="1226">
        <f t="shared" si="301"/>
        <v>338888588</v>
      </c>
      <c r="AB2833" s="1226">
        <f t="shared" si="301"/>
        <v>338888588</v>
      </c>
      <c r="AC2833" s="1226">
        <f t="shared" si="301"/>
        <v>338888588</v>
      </c>
      <c r="AD2833" s="1226">
        <f t="shared" si="301"/>
        <v>338888588</v>
      </c>
      <c r="AE2833" s="1226"/>
    </row>
    <row r="2834" spans="6:31">
      <c r="M2834" s="1212"/>
    </row>
    <row r="2835" spans="6:31">
      <c r="M2835" s="1212"/>
    </row>
    <row r="2836" spans="6:31">
      <c r="M2836" s="1212"/>
    </row>
    <row r="2837" spans="6:31">
      <c r="J2837" s="1191"/>
      <c r="M2837" s="1212"/>
    </row>
    <row r="2838" spans="6:31">
      <c r="M2838" s="1212"/>
    </row>
    <row r="2839" spans="6:31">
      <c r="M2839" s="1212"/>
    </row>
    <row r="2840" spans="6:31">
      <c r="M2840" s="1212"/>
    </row>
    <row r="2841" spans="6:31">
      <c r="H2841" s="1194"/>
      <c r="M2841" s="1212"/>
    </row>
    <row r="2842" spans="6:31">
      <c r="G2842" s="1196"/>
      <c r="H2842" s="1194"/>
      <c r="M2842" s="1212"/>
    </row>
    <row r="2843" spans="6:31">
      <c r="G2843" s="1196"/>
      <c r="H2843" s="1194"/>
      <c r="M2843" s="1212"/>
    </row>
    <row r="2844" spans="6:31">
      <c r="G2844" s="1196"/>
      <c r="H2844" s="1194"/>
      <c r="M2844" s="1212"/>
    </row>
    <row r="2845" spans="6:31">
      <c r="G2845" s="1196"/>
      <c r="H2845" s="1194"/>
      <c r="M2845" s="1212"/>
    </row>
    <row r="2846" spans="6:31">
      <c r="G2846" s="1196"/>
      <c r="H2846" s="1194"/>
      <c r="M2846" s="1212"/>
    </row>
    <row r="2847" spans="6:31">
      <c r="G2847" s="1196"/>
      <c r="H2847" s="1194"/>
      <c r="M2847" s="1212"/>
    </row>
    <row r="2848" spans="6:31">
      <c r="F2848" s="1197"/>
      <c r="G2848" s="1195"/>
      <c r="H2848" s="1193"/>
      <c r="M2848" s="1212"/>
    </row>
    <row r="2849" spans="6:13">
      <c r="F2849" s="1197"/>
      <c r="G2849" s="1195"/>
      <c r="H2849" s="1193"/>
    </row>
    <row r="2850" spans="6:13">
      <c r="F2850" s="1197"/>
      <c r="G2850" s="1195"/>
      <c r="H2850" s="1193"/>
    </row>
    <row r="2851" spans="6:13">
      <c r="F2851" s="1197"/>
      <c r="G2851" s="1195"/>
      <c r="H2851" s="1193"/>
    </row>
    <row r="2852" spans="6:13">
      <c r="H2852" s="1194"/>
    </row>
    <row r="2853" spans="6:13">
      <c r="H2853" s="1194"/>
    </row>
    <row r="2854" spans="6:13">
      <c r="H2854" s="1194"/>
    </row>
    <row r="2855" spans="6:13">
      <c r="H2855" s="1194"/>
    </row>
    <row r="2858" spans="6:13">
      <c r="M2858" s="1212"/>
    </row>
    <row r="2859" spans="6:13">
      <c r="M2859" s="1212"/>
    </row>
    <row r="2860" spans="6:13">
      <c r="M2860" s="1212"/>
    </row>
    <row r="2861" spans="6:13">
      <c r="M2861" s="1212"/>
    </row>
    <row r="2862" spans="6:13">
      <c r="M2862" s="1212"/>
    </row>
    <row r="2863" spans="6:13">
      <c r="M2863" s="1212"/>
    </row>
    <row r="2864" spans="6:13">
      <c r="M2864" s="1212"/>
    </row>
    <row r="2865" spans="13:13">
      <c r="M2865" s="1212"/>
    </row>
    <row r="2869" spans="13:13">
      <c r="M2869" s="1212"/>
    </row>
    <row r="2870" spans="13:13">
      <c r="M2870" s="1212"/>
    </row>
    <row r="2871" spans="13:13">
      <c r="M2871" s="1212"/>
    </row>
    <row r="2872" spans="13:13">
      <c r="M2872" s="1212"/>
    </row>
    <row r="2873" spans="13:13">
      <c r="M2873" s="1212"/>
    </row>
    <row r="2874" spans="13:13">
      <c r="M2874" s="1212"/>
    </row>
  </sheetData>
  <autoFilter ref="A9:AF2830">
    <filterColumn colId="1"/>
    <filterColumn colId="13">
      <filters>
        <filter val="1522"/>
        <filter val="154"/>
        <filter val="641"/>
        <filter val="642"/>
      </filters>
    </filterColumn>
    <filterColumn colId="31">
      <filters>
        <filter val="8"/>
      </filters>
    </filterColumn>
  </autoFilter>
  <sortState ref="A2133:AF2160">
    <sortCondition ref="E2133:E2160"/>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5" customWidth="1"/>
    <col min="2" max="2" width="8.5703125" style="255" customWidth="1"/>
    <col min="3" max="3" width="7.42578125" style="255" customWidth="1"/>
    <col min="4" max="4" width="9" style="255" customWidth="1"/>
    <col min="5" max="5" width="40" style="255" customWidth="1"/>
    <col min="6" max="6" width="14.140625" style="255" customWidth="1"/>
    <col min="7" max="8" width="5.85546875" style="256" customWidth="1"/>
    <col min="9" max="9" width="4.85546875" style="255" customWidth="1"/>
    <col min="10" max="10" width="13" style="255" customWidth="1"/>
    <col min="11" max="11" width="12" style="255" customWidth="1"/>
    <col min="12" max="12" width="13.28515625" style="255" customWidth="1"/>
    <col min="13" max="13" width="13.5703125" style="255" customWidth="1"/>
    <col min="14" max="14" width="13.28515625" style="255" customWidth="1"/>
    <col min="15" max="15" width="13.5703125" style="255" customWidth="1"/>
    <col min="16" max="16" width="11.7109375" style="255" customWidth="1"/>
    <col min="17" max="17" width="6.140625" style="255" customWidth="1"/>
    <col min="18" max="18" width="8.140625" style="255" customWidth="1"/>
    <col min="19" max="19" width="7.28515625" style="255" customWidth="1"/>
    <col min="20" max="20" width="12.7109375" style="255" customWidth="1"/>
    <col min="21" max="21" width="7.140625" style="255" customWidth="1"/>
    <col min="22" max="22" width="13.85546875" style="255" customWidth="1"/>
    <col min="23" max="23" width="5.85546875" style="255" customWidth="1"/>
    <col min="24" max="24" width="7.140625" style="255" customWidth="1"/>
    <col min="25" max="25" width="6" style="255" customWidth="1"/>
    <col min="26" max="26" width="11.28515625" style="255" customWidth="1"/>
    <col min="27" max="28" width="11.5703125" style="255" customWidth="1"/>
    <col min="29" max="29" width="12" style="255" customWidth="1"/>
    <col min="30" max="30" width="6.5703125" style="255" customWidth="1"/>
    <col min="31" max="31" width="15.7109375" style="255" customWidth="1"/>
    <col min="32" max="32" width="13" style="255" customWidth="1"/>
    <col min="33" max="33" width="6.42578125" style="255" customWidth="1"/>
    <col min="34" max="34" width="6.28515625" style="255" customWidth="1"/>
    <col min="35" max="36" width="12.5703125" style="255" customWidth="1"/>
    <col min="37" max="37" width="6.28515625" style="255" customWidth="1"/>
    <col min="38" max="38" width="14.42578125" style="255" customWidth="1"/>
    <col min="39" max="39" width="7" style="255" customWidth="1"/>
    <col min="40" max="40" width="12.5703125" style="255" customWidth="1"/>
    <col min="41" max="41" width="6.140625" style="255" customWidth="1"/>
    <col min="42" max="42" width="5.28515625" style="255" customWidth="1"/>
    <col min="43" max="43" width="12.5703125" style="255" customWidth="1"/>
    <col min="44" max="44" width="4.85546875" style="255" customWidth="1"/>
    <col min="45" max="45" width="12.5703125" style="255" customWidth="1"/>
    <col min="46" max="46" width="10.140625" style="255" customWidth="1"/>
    <col min="47" max="47" width="11.85546875" style="255" customWidth="1"/>
    <col min="48" max="48" width="9.140625" style="255" customWidth="1"/>
    <col min="49" max="49" width="10.7109375" style="255" customWidth="1"/>
    <col min="50" max="53" width="7.28515625" style="255" customWidth="1"/>
    <col min="54" max="71" width="9.140625" style="255"/>
    <col min="72" max="72" width="5.5703125" style="255" customWidth="1"/>
    <col min="73" max="73" width="12.5703125" style="255" customWidth="1"/>
    <col min="74" max="74" width="5.5703125" style="255" customWidth="1"/>
    <col min="75" max="75" width="12.5703125" style="255" customWidth="1"/>
    <col min="76" max="76" width="6.42578125" style="255" customWidth="1"/>
    <col min="77" max="77" width="13" style="255" customWidth="1"/>
    <col min="78" max="103" width="9.140625" style="255"/>
    <col min="104" max="105" width="12.85546875" style="255" customWidth="1"/>
    <col min="106" max="16384" width="9.140625" style="255"/>
  </cols>
  <sheetData>
    <row r="1" spans="1:105" ht="12.75" customHeight="1">
      <c r="A1" s="251"/>
      <c r="B1" s="252" t="s">
        <v>121</v>
      </c>
      <c r="C1" s="253"/>
      <c r="D1" s="253"/>
      <c r="E1" s="254"/>
      <c r="I1" s="253"/>
      <c r="M1" s="1256" t="s">
        <v>190</v>
      </c>
      <c r="N1" s="1256"/>
      <c r="O1" s="1256"/>
      <c r="P1" s="1256"/>
      <c r="Q1" s="1256"/>
      <c r="R1" s="1256"/>
      <c r="S1" s="1256"/>
      <c r="X1" s="253"/>
      <c r="Y1" s="253"/>
      <c r="Z1" s="254"/>
      <c r="AA1" s="254"/>
      <c r="AB1" s="254"/>
      <c r="AC1" s="254"/>
      <c r="AD1" s="254"/>
      <c r="AE1" s="254"/>
      <c r="AF1" s="254"/>
      <c r="AG1" s="254"/>
      <c r="AH1" s="254"/>
      <c r="AI1" s="254"/>
      <c r="AJ1" s="254"/>
      <c r="AK1" s="254"/>
      <c r="AL1" s="254"/>
      <c r="AM1" s="254"/>
      <c r="AN1" s="254"/>
      <c r="AO1" s="254"/>
      <c r="AP1" s="254"/>
      <c r="AQ1" s="254"/>
      <c r="AR1" s="254"/>
      <c r="AS1" s="254"/>
      <c r="AT1" s="253"/>
      <c r="AU1" s="253"/>
      <c r="AV1" s="253"/>
      <c r="AW1" s="253"/>
      <c r="AX1" s="253"/>
      <c r="AY1" s="253"/>
      <c r="AZ1" s="253"/>
      <c r="BA1" s="253"/>
    </row>
    <row r="2" spans="1:105" ht="12.75" customHeight="1">
      <c r="A2" s="251"/>
      <c r="B2" s="252" t="s">
        <v>179</v>
      </c>
      <c r="C2" s="253"/>
      <c r="D2" s="253"/>
      <c r="E2" s="253"/>
      <c r="I2" s="257"/>
      <c r="M2" s="1257" t="s">
        <v>144</v>
      </c>
      <c r="N2" s="1257"/>
      <c r="O2" s="1257"/>
      <c r="P2" s="1257"/>
      <c r="Q2" s="1257"/>
      <c r="R2" s="1257"/>
      <c r="S2" s="1257"/>
      <c r="X2" s="257"/>
      <c r="Y2" s="257"/>
      <c r="Z2" s="258"/>
      <c r="AA2" s="258"/>
      <c r="AB2" s="258"/>
      <c r="AC2" s="258"/>
      <c r="AD2" s="258"/>
      <c r="AE2" s="258"/>
      <c r="AF2" s="258"/>
      <c r="AG2" s="258"/>
      <c r="AH2" s="258"/>
      <c r="AI2" s="258"/>
      <c r="AJ2" s="258"/>
      <c r="AK2" s="258"/>
      <c r="AL2" s="258"/>
      <c r="AM2" s="258"/>
      <c r="AN2" s="258"/>
      <c r="AO2" s="258"/>
      <c r="AP2" s="258"/>
      <c r="AQ2" s="258"/>
      <c r="AR2" s="258"/>
      <c r="AS2" s="258"/>
      <c r="AT2" s="257"/>
      <c r="AU2" s="257"/>
      <c r="AV2" s="257"/>
      <c r="AW2" s="257"/>
      <c r="AX2" s="257"/>
      <c r="AY2" s="257"/>
      <c r="AZ2" s="257"/>
      <c r="BA2" s="257"/>
    </row>
    <row r="3" spans="1:105" ht="10.5" customHeight="1">
      <c r="A3" s="253"/>
      <c r="B3" s="253"/>
      <c r="C3" s="253"/>
      <c r="D3" s="253"/>
      <c r="E3" s="253"/>
      <c r="F3" s="257"/>
      <c r="G3" s="259"/>
      <c r="H3" s="259"/>
      <c r="I3" s="257"/>
      <c r="M3" s="1257"/>
      <c r="N3" s="1257"/>
      <c r="O3" s="1257"/>
      <c r="P3" s="1257"/>
      <c r="Q3" s="1257"/>
      <c r="R3" s="1257"/>
      <c r="S3" s="1257"/>
      <c r="X3" s="257"/>
      <c r="Y3" s="257"/>
      <c r="Z3" s="258"/>
      <c r="AA3" s="258"/>
      <c r="AB3" s="258"/>
      <c r="AC3" s="258"/>
      <c r="AD3" s="258"/>
      <c r="AE3" s="258"/>
      <c r="AF3" s="258"/>
      <c r="AG3" s="258"/>
      <c r="AH3" s="258"/>
      <c r="AI3" s="258"/>
      <c r="AJ3" s="258"/>
      <c r="AK3" s="258"/>
      <c r="AL3" s="258"/>
      <c r="AM3" s="258"/>
      <c r="AN3" s="258"/>
      <c r="AO3" s="258"/>
      <c r="AP3" s="258"/>
      <c r="AQ3" s="258"/>
      <c r="AR3" s="258"/>
      <c r="AS3" s="258"/>
      <c r="AT3" s="257"/>
      <c r="AU3" s="257"/>
      <c r="AV3" s="257"/>
      <c r="AW3" s="257"/>
      <c r="AX3" s="257"/>
      <c r="AY3" s="257"/>
      <c r="AZ3" s="257"/>
      <c r="BA3" s="257"/>
    </row>
    <row r="4" spans="1:105" ht="19.5" customHeight="1">
      <c r="B4" s="1258" t="s">
        <v>112</v>
      </c>
      <c r="C4" s="1258"/>
      <c r="D4" s="1258"/>
      <c r="E4" s="1258"/>
      <c r="F4" s="1258"/>
      <c r="G4" s="1258"/>
      <c r="H4" s="1258"/>
      <c r="I4" s="1258"/>
      <c r="J4" s="1258"/>
      <c r="K4" s="1258"/>
      <c r="L4" s="1258"/>
      <c r="M4" s="1258"/>
      <c r="N4" s="1258"/>
      <c r="O4" s="1258"/>
      <c r="P4" s="1258"/>
      <c r="Q4" s="1258"/>
      <c r="R4" s="1258"/>
      <c r="S4" s="260"/>
      <c r="T4" s="260"/>
      <c r="U4" s="260"/>
      <c r="V4" s="260"/>
      <c r="W4" s="260"/>
      <c r="X4" s="261"/>
      <c r="Y4" s="261"/>
      <c r="Z4" s="260"/>
      <c r="AA4" s="260"/>
      <c r="AB4" s="260"/>
      <c r="AC4" s="260"/>
      <c r="AD4" s="260"/>
      <c r="AE4" s="260"/>
      <c r="AF4" s="260"/>
      <c r="AG4" s="260"/>
      <c r="AH4" s="260"/>
      <c r="AI4" s="260"/>
      <c r="AJ4" s="260"/>
      <c r="AK4" s="260"/>
      <c r="AL4" s="260"/>
      <c r="AM4" s="260"/>
      <c r="AN4" s="260"/>
      <c r="AO4" s="260"/>
      <c r="AP4" s="260"/>
      <c r="AQ4" s="260"/>
      <c r="AR4" s="260"/>
      <c r="AS4" s="260"/>
      <c r="AT4" s="262"/>
      <c r="AU4" s="262"/>
      <c r="AV4" s="262"/>
      <c r="AW4" s="262"/>
      <c r="AX4" s="262"/>
      <c r="AY4" s="262"/>
      <c r="AZ4" s="262"/>
      <c r="BA4" s="262"/>
    </row>
    <row r="5" spans="1:105" ht="15">
      <c r="B5" s="1259" t="s">
        <v>191</v>
      </c>
      <c r="C5" s="1259"/>
      <c r="D5" s="1259"/>
      <c r="E5" s="1259"/>
      <c r="F5" s="1259"/>
      <c r="G5" s="1259"/>
      <c r="H5" s="1259"/>
      <c r="I5" s="1259"/>
      <c r="J5" s="1259"/>
      <c r="K5" s="1259"/>
      <c r="L5" s="1259"/>
      <c r="M5" s="1259"/>
      <c r="N5" s="1259"/>
      <c r="O5" s="1259"/>
      <c r="P5" s="1259"/>
      <c r="Q5" s="1259"/>
      <c r="R5" s="1259"/>
      <c r="S5" s="263"/>
      <c r="T5" s="263"/>
      <c r="U5" s="263"/>
      <c r="V5" s="263"/>
      <c r="W5" s="263"/>
      <c r="X5" s="264"/>
      <c r="Y5" s="264"/>
      <c r="Z5" s="263"/>
      <c r="AA5" s="263"/>
      <c r="AB5" s="263"/>
      <c r="AC5" s="263"/>
      <c r="AD5" s="263"/>
      <c r="AE5" s="263"/>
      <c r="AF5" s="263"/>
      <c r="AG5" s="263"/>
      <c r="AH5" s="263"/>
      <c r="AI5" s="263"/>
      <c r="AJ5" s="263"/>
      <c r="AK5" s="263"/>
      <c r="AL5" s="263"/>
      <c r="AM5" s="263"/>
      <c r="AN5" s="263"/>
      <c r="AO5" s="263"/>
      <c r="AP5" s="263"/>
      <c r="AQ5" s="263"/>
      <c r="AR5" s="263"/>
      <c r="AS5" s="263"/>
    </row>
    <row r="6" spans="1:105">
      <c r="P6" s="255" t="s">
        <v>148</v>
      </c>
    </row>
    <row r="7" spans="1:105" ht="13.5" customHeight="1">
      <c r="A7" s="1260" t="s">
        <v>37</v>
      </c>
      <c r="B7" s="1254" t="s">
        <v>22</v>
      </c>
      <c r="C7" s="1262" t="s">
        <v>1</v>
      </c>
      <c r="D7" s="1263"/>
      <c r="E7" s="1254" t="s">
        <v>0</v>
      </c>
      <c r="F7" s="1254" t="s">
        <v>113</v>
      </c>
      <c r="G7" s="1264" t="s">
        <v>114</v>
      </c>
      <c r="H7" s="1264"/>
      <c r="I7" s="1255" t="s">
        <v>37</v>
      </c>
      <c r="J7" s="1254" t="s">
        <v>192</v>
      </c>
      <c r="K7" s="1254"/>
      <c r="L7" s="1254" t="s">
        <v>193</v>
      </c>
      <c r="M7" s="1254"/>
      <c r="N7" s="1254" t="s">
        <v>268</v>
      </c>
      <c r="O7" s="1254"/>
      <c r="P7" s="1254" t="s">
        <v>970</v>
      </c>
      <c r="Q7" s="1254"/>
      <c r="R7" s="1254" t="s">
        <v>194</v>
      </c>
      <c r="S7" s="1254"/>
      <c r="T7" s="1254" t="s">
        <v>195</v>
      </c>
      <c r="U7" s="1254"/>
      <c r="V7" s="1254" t="s">
        <v>971</v>
      </c>
      <c r="W7" s="1254"/>
      <c r="X7" s="1254" t="s">
        <v>972</v>
      </c>
      <c r="Y7" s="1254"/>
      <c r="Z7" s="1254" t="s">
        <v>973</v>
      </c>
      <c r="AA7" s="1254"/>
      <c r="AB7" s="1254" t="s">
        <v>974</v>
      </c>
      <c r="AC7" s="1254"/>
      <c r="AD7" s="1254" t="s">
        <v>975</v>
      </c>
      <c r="AE7" s="1254"/>
      <c r="AF7" s="1254" t="s">
        <v>976</v>
      </c>
      <c r="AG7" s="1254"/>
      <c r="AH7" s="1254" t="s">
        <v>977</v>
      </c>
      <c r="AI7" s="1254"/>
      <c r="AJ7" s="1254" t="s">
        <v>978</v>
      </c>
      <c r="AK7" s="1254"/>
      <c r="AL7" s="1254" t="s">
        <v>979</v>
      </c>
      <c r="AM7" s="1254"/>
      <c r="AN7" s="1254" t="s">
        <v>980</v>
      </c>
      <c r="AO7" s="1254"/>
      <c r="AP7" s="1254" t="s">
        <v>981</v>
      </c>
      <c r="AQ7" s="1254"/>
      <c r="AR7" s="1254" t="s">
        <v>982</v>
      </c>
      <c r="AS7" s="1254"/>
      <c r="AT7" s="1254" t="s">
        <v>196</v>
      </c>
      <c r="AU7" s="1254"/>
      <c r="AV7" s="1254" t="s">
        <v>197</v>
      </c>
      <c r="AW7" s="1254"/>
      <c r="AX7" s="1254" t="s">
        <v>983</v>
      </c>
      <c r="AY7" s="1254"/>
      <c r="AZ7" s="1254" t="s">
        <v>984</v>
      </c>
      <c r="BA7" s="1254"/>
      <c r="BB7" s="1254" t="s">
        <v>985</v>
      </c>
      <c r="BC7" s="1254"/>
      <c r="BD7" s="1254" t="s">
        <v>198</v>
      </c>
      <c r="BE7" s="1254"/>
      <c r="BF7" s="1254" t="s">
        <v>986</v>
      </c>
      <c r="BG7" s="1254"/>
      <c r="BH7" s="1254" t="s">
        <v>199</v>
      </c>
      <c r="BI7" s="1254"/>
      <c r="BJ7" s="1254" t="s">
        <v>987</v>
      </c>
      <c r="BK7" s="1254"/>
      <c r="BL7" s="1254" t="s">
        <v>988</v>
      </c>
      <c r="BM7" s="1254"/>
      <c r="BN7" s="1254" t="s">
        <v>989</v>
      </c>
      <c r="BO7" s="1254"/>
      <c r="BP7" s="1254" t="s">
        <v>990</v>
      </c>
      <c r="BQ7" s="1254"/>
      <c r="BR7" s="1254" t="s">
        <v>200</v>
      </c>
      <c r="BS7" s="1254"/>
      <c r="BT7" s="1254" t="s">
        <v>201</v>
      </c>
      <c r="BU7" s="1254"/>
      <c r="BV7" s="1254" t="s">
        <v>263</v>
      </c>
      <c r="BW7" s="1254"/>
      <c r="BX7" s="1254" t="s">
        <v>202</v>
      </c>
      <c r="BY7" s="1254"/>
      <c r="BZ7" s="1254" t="s">
        <v>203</v>
      </c>
      <c r="CA7" s="1254"/>
      <c r="CB7" s="1254" t="s">
        <v>204</v>
      </c>
      <c r="CC7" s="1254"/>
      <c r="CD7" s="1254" t="s">
        <v>991</v>
      </c>
      <c r="CE7" s="1254"/>
      <c r="CF7" s="1254" t="s">
        <v>992</v>
      </c>
      <c r="CG7" s="1254"/>
      <c r="CH7" s="1254" t="s">
        <v>205</v>
      </c>
      <c r="CI7" s="1254"/>
      <c r="CJ7" s="1254" t="s">
        <v>993</v>
      </c>
      <c r="CK7" s="1254"/>
      <c r="CL7" s="1254" t="s">
        <v>994</v>
      </c>
      <c r="CM7" s="1254"/>
      <c r="CN7" s="1254" t="s">
        <v>206</v>
      </c>
      <c r="CO7" s="1254"/>
      <c r="CP7" s="1254" t="s">
        <v>995</v>
      </c>
      <c r="CQ7" s="1254"/>
      <c r="CR7" s="1254" t="s">
        <v>207</v>
      </c>
      <c r="CS7" s="1254"/>
      <c r="CT7" s="1254" t="s">
        <v>208</v>
      </c>
      <c r="CU7" s="1254"/>
      <c r="CV7" s="1254" t="s">
        <v>209</v>
      </c>
      <c r="CW7" s="1254"/>
      <c r="CX7" s="1254" t="s">
        <v>210</v>
      </c>
      <c r="CY7" s="1254"/>
      <c r="CZ7" s="1254" t="s">
        <v>211</v>
      </c>
      <c r="DA7" s="1254"/>
    </row>
    <row r="8" spans="1:105" ht="22.5" customHeight="1">
      <c r="A8" s="1261"/>
      <c r="B8" s="1254"/>
      <c r="C8" s="951" t="s">
        <v>17</v>
      </c>
      <c r="D8" s="950" t="s">
        <v>34</v>
      </c>
      <c r="E8" s="1254"/>
      <c r="F8" s="1254"/>
      <c r="G8" s="952" t="s">
        <v>24</v>
      </c>
      <c r="H8" s="952" t="s">
        <v>25</v>
      </c>
      <c r="I8" s="1255"/>
      <c r="J8" s="950" t="s">
        <v>24</v>
      </c>
      <c r="K8" s="950" t="s">
        <v>25</v>
      </c>
      <c r="L8" s="950" t="s">
        <v>24</v>
      </c>
      <c r="M8" s="950" t="s">
        <v>25</v>
      </c>
      <c r="N8" s="950" t="s">
        <v>24</v>
      </c>
      <c r="O8" s="950" t="s">
        <v>25</v>
      </c>
      <c r="P8" s="950" t="s">
        <v>24</v>
      </c>
      <c r="Q8" s="950" t="s">
        <v>25</v>
      </c>
      <c r="R8" s="950" t="s">
        <v>24</v>
      </c>
      <c r="S8" s="950" t="s">
        <v>25</v>
      </c>
      <c r="T8" s="950" t="s">
        <v>24</v>
      </c>
      <c r="U8" s="950" t="s">
        <v>25</v>
      </c>
      <c r="V8" s="950" t="s">
        <v>24</v>
      </c>
      <c r="W8" s="950" t="s">
        <v>25</v>
      </c>
      <c r="X8" s="950" t="s">
        <v>24</v>
      </c>
      <c r="Y8" s="950" t="s">
        <v>25</v>
      </c>
      <c r="Z8" s="950" t="s">
        <v>24</v>
      </c>
      <c r="AA8" s="950" t="s">
        <v>25</v>
      </c>
      <c r="AB8" s="950" t="s">
        <v>24</v>
      </c>
      <c r="AC8" s="950" t="s">
        <v>25</v>
      </c>
      <c r="AD8" s="950" t="s">
        <v>24</v>
      </c>
      <c r="AE8" s="950" t="s">
        <v>25</v>
      </c>
      <c r="AF8" s="950" t="s">
        <v>24</v>
      </c>
      <c r="AG8" s="950" t="s">
        <v>25</v>
      </c>
      <c r="AH8" s="950" t="s">
        <v>24</v>
      </c>
      <c r="AI8" s="950" t="s">
        <v>25</v>
      </c>
      <c r="AJ8" s="950" t="s">
        <v>24</v>
      </c>
      <c r="AK8" s="950" t="s">
        <v>25</v>
      </c>
      <c r="AL8" s="950" t="s">
        <v>24</v>
      </c>
      <c r="AM8" s="950" t="s">
        <v>25</v>
      </c>
      <c r="AN8" s="950" t="s">
        <v>24</v>
      </c>
      <c r="AO8" s="950" t="s">
        <v>25</v>
      </c>
      <c r="AP8" s="950" t="s">
        <v>24</v>
      </c>
      <c r="AQ8" s="950" t="s">
        <v>25</v>
      </c>
      <c r="AR8" s="950" t="s">
        <v>24</v>
      </c>
      <c r="AS8" s="950" t="s">
        <v>25</v>
      </c>
      <c r="AT8" s="950" t="s">
        <v>24</v>
      </c>
      <c r="AU8" s="950" t="s">
        <v>25</v>
      </c>
      <c r="AV8" s="950" t="s">
        <v>24</v>
      </c>
      <c r="AW8" s="950" t="s">
        <v>25</v>
      </c>
      <c r="AX8" s="950" t="s">
        <v>24</v>
      </c>
      <c r="AY8" s="950" t="s">
        <v>25</v>
      </c>
      <c r="AZ8" s="950" t="s">
        <v>24</v>
      </c>
      <c r="BA8" s="950" t="s">
        <v>25</v>
      </c>
      <c r="BB8" s="950" t="s">
        <v>24</v>
      </c>
      <c r="BC8" s="950" t="s">
        <v>25</v>
      </c>
      <c r="BD8" s="950" t="s">
        <v>24</v>
      </c>
      <c r="BE8" s="950" t="s">
        <v>25</v>
      </c>
      <c r="BF8" s="950" t="s">
        <v>24</v>
      </c>
      <c r="BG8" s="950" t="s">
        <v>25</v>
      </c>
      <c r="BH8" s="950" t="s">
        <v>24</v>
      </c>
      <c r="BI8" s="950" t="s">
        <v>25</v>
      </c>
      <c r="BJ8" s="950" t="s">
        <v>24</v>
      </c>
      <c r="BK8" s="950" t="s">
        <v>25</v>
      </c>
      <c r="BL8" s="950" t="s">
        <v>24</v>
      </c>
      <c r="BM8" s="950" t="s">
        <v>25</v>
      </c>
      <c r="BN8" s="950" t="s">
        <v>24</v>
      </c>
      <c r="BO8" s="950" t="s">
        <v>25</v>
      </c>
      <c r="BP8" s="950" t="s">
        <v>24</v>
      </c>
      <c r="BQ8" s="950" t="s">
        <v>25</v>
      </c>
      <c r="BR8" s="950" t="s">
        <v>24</v>
      </c>
      <c r="BS8" s="950" t="s">
        <v>25</v>
      </c>
      <c r="BT8" s="950" t="s">
        <v>24</v>
      </c>
      <c r="BU8" s="950" t="s">
        <v>25</v>
      </c>
      <c r="BV8" s="950" t="s">
        <v>24</v>
      </c>
      <c r="BW8" s="950" t="s">
        <v>25</v>
      </c>
      <c r="BX8" s="950" t="s">
        <v>24</v>
      </c>
      <c r="BY8" s="950" t="s">
        <v>25</v>
      </c>
      <c r="BZ8" s="950" t="s">
        <v>24</v>
      </c>
      <c r="CA8" s="950" t="s">
        <v>25</v>
      </c>
      <c r="CB8" s="950" t="s">
        <v>24</v>
      </c>
      <c r="CC8" s="950" t="s">
        <v>25</v>
      </c>
      <c r="CD8" s="950" t="s">
        <v>24</v>
      </c>
      <c r="CE8" s="950" t="s">
        <v>25</v>
      </c>
      <c r="CF8" s="950" t="s">
        <v>24</v>
      </c>
      <c r="CG8" s="950" t="s">
        <v>25</v>
      </c>
      <c r="CH8" s="950" t="s">
        <v>24</v>
      </c>
      <c r="CI8" s="950" t="s">
        <v>25</v>
      </c>
      <c r="CJ8" s="950" t="s">
        <v>24</v>
      </c>
      <c r="CK8" s="950" t="s">
        <v>25</v>
      </c>
      <c r="CL8" s="950" t="s">
        <v>24</v>
      </c>
      <c r="CM8" s="950" t="s">
        <v>25</v>
      </c>
      <c r="CN8" s="950" t="s">
        <v>24</v>
      </c>
      <c r="CO8" s="950" t="s">
        <v>25</v>
      </c>
      <c r="CP8" s="950" t="s">
        <v>24</v>
      </c>
      <c r="CQ8" s="950" t="s">
        <v>25</v>
      </c>
      <c r="CR8" s="950" t="s">
        <v>24</v>
      </c>
      <c r="CS8" s="950" t="s">
        <v>25</v>
      </c>
      <c r="CT8" s="950" t="s">
        <v>24</v>
      </c>
      <c r="CU8" s="950" t="s">
        <v>25</v>
      </c>
      <c r="CV8" s="950" t="s">
        <v>24</v>
      </c>
      <c r="CW8" s="950" t="s">
        <v>25</v>
      </c>
      <c r="CX8" s="950" t="s">
        <v>24</v>
      </c>
      <c r="CY8" s="950" t="s">
        <v>25</v>
      </c>
      <c r="CZ8" s="950" t="s">
        <v>24</v>
      </c>
      <c r="DA8" s="950" t="s">
        <v>25</v>
      </c>
    </row>
    <row r="9" spans="1:105" s="266" customFormat="1" ht="8.25" customHeight="1">
      <c r="A9" s="265">
        <v>1</v>
      </c>
      <c r="B9" s="265">
        <v>2</v>
      </c>
      <c r="C9" s="265">
        <v>3</v>
      </c>
      <c r="D9" s="265">
        <v>4</v>
      </c>
      <c r="E9" s="265">
        <v>5</v>
      </c>
      <c r="F9" s="265">
        <v>6</v>
      </c>
      <c r="G9" s="265">
        <v>7</v>
      </c>
      <c r="H9" s="265">
        <v>8</v>
      </c>
      <c r="I9" s="265">
        <v>9</v>
      </c>
      <c r="J9" s="265">
        <v>10</v>
      </c>
      <c r="K9" s="265">
        <v>11</v>
      </c>
      <c r="L9" s="265">
        <v>12</v>
      </c>
      <c r="M9" s="265">
        <v>13</v>
      </c>
      <c r="N9" s="265">
        <v>14</v>
      </c>
      <c r="O9" s="265">
        <v>15</v>
      </c>
      <c r="P9" s="265">
        <v>16</v>
      </c>
      <c r="Q9" s="265">
        <v>17</v>
      </c>
      <c r="R9" s="265">
        <v>18</v>
      </c>
      <c r="S9" s="265">
        <v>19</v>
      </c>
      <c r="T9" s="265">
        <v>20</v>
      </c>
      <c r="U9" s="265">
        <v>21</v>
      </c>
      <c r="V9" s="265">
        <v>22</v>
      </c>
      <c r="W9" s="265">
        <v>23</v>
      </c>
      <c r="X9" s="265">
        <v>24</v>
      </c>
      <c r="Y9" s="265">
        <v>25</v>
      </c>
      <c r="Z9" s="265">
        <v>26</v>
      </c>
      <c r="AA9" s="265">
        <v>27</v>
      </c>
      <c r="AB9" s="265">
        <v>28</v>
      </c>
      <c r="AC9" s="265">
        <v>29</v>
      </c>
      <c r="AD9" s="265">
        <v>30</v>
      </c>
      <c r="AE9" s="265">
        <v>31</v>
      </c>
      <c r="AF9" s="265">
        <v>32</v>
      </c>
      <c r="AG9" s="265">
        <v>33</v>
      </c>
      <c r="AH9" s="265">
        <v>34</v>
      </c>
      <c r="AI9" s="265">
        <v>35</v>
      </c>
      <c r="AJ9" s="265">
        <v>36</v>
      </c>
      <c r="AK9" s="265">
        <v>37</v>
      </c>
      <c r="AL9" s="265">
        <v>38</v>
      </c>
      <c r="AM9" s="265">
        <v>39</v>
      </c>
      <c r="AN9" s="265">
        <v>40</v>
      </c>
      <c r="AO9" s="265">
        <v>41</v>
      </c>
      <c r="AP9" s="265">
        <v>42</v>
      </c>
      <c r="AQ9" s="265">
        <v>43</v>
      </c>
      <c r="AR9" s="265">
        <v>44</v>
      </c>
      <c r="AS9" s="265">
        <v>45</v>
      </c>
      <c r="AT9" s="265">
        <v>46</v>
      </c>
      <c r="AU9" s="265">
        <v>47</v>
      </c>
      <c r="AV9" s="265">
        <v>48</v>
      </c>
      <c r="AW9" s="265">
        <v>49</v>
      </c>
      <c r="AX9" s="265">
        <v>50</v>
      </c>
      <c r="AY9" s="265">
        <v>51</v>
      </c>
      <c r="AZ9" s="265">
        <v>52</v>
      </c>
      <c r="BA9" s="265">
        <v>53</v>
      </c>
      <c r="BB9" s="265">
        <v>54</v>
      </c>
      <c r="BC9" s="265">
        <v>55</v>
      </c>
      <c r="BD9" s="265">
        <v>56</v>
      </c>
      <c r="BE9" s="265">
        <v>57</v>
      </c>
      <c r="BF9" s="265">
        <v>58</v>
      </c>
      <c r="BG9" s="265">
        <v>59</v>
      </c>
      <c r="BH9" s="265">
        <v>60</v>
      </c>
      <c r="BI9" s="265">
        <v>61</v>
      </c>
      <c r="BJ9" s="265">
        <v>62</v>
      </c>
      <c r="BK9" s="265">
        <v>63</v>
      </c>
      <c r="BL9" s="265">
        <v>64</v>
      </c>
      <c r="BM9" s="265">
        <v>65</v>
      </c>
      <c r="BN9" s="265">
        <v>66</v>
      </c>
      <c r="BO9" s="265">
        <v>67</v>
      </c>
      <c r="BP9" s="265">
        <v>68</v>
      </c>
      <c r="BQ9" s="265">
        <v>69</v>
      </c>
      <c r="BR9" s="265">
        <v>70</v>
      </c>
      <c r="BS9" s="265">
        <v>71</v>
      </c>
      <c r="BT9" s="265">
        <v>72</v>
      </c>
      <c r="BU9" s="265">
        <v>73</v>
      </c>
      <c r="BV9" s="265">
        <v>72</v>
      </c>
      <c r="BW9" s="265">
        <v>73</v>
      </c>
      <c r="BX9" s="265">
        <v>74</v>
      </c>
      <c r="BY9" s="265">
        <v>75</v>
      </c>
      <c r="BZ9" s="265">
        <v>76</v>
      </c>
      <c r="CA9" s="265">
        <v>77</v>
      </c>
      <c r="CB9" s="265">
        <v>78</v>
      </c>
      <c r="CC9" s="265">
        <v>79</v>
      </c>
      <c r="CD9" s="265">
        <v>80</v>
      </c>
      <c r="CE9" s="265">
        <v>81</v>
      </c>
      <c r="CF9" s="265">
        <v>82</v>
      </c>
      <c r="CG9" s="265">
        <v>83</v>
      </c>
      <c r="CH9" s="265">
        <v>84</v>
      </c>
      <c r="CI9" s="265">
        <v>85</v>
      </c>
      <c r="CJ9" s="265">
        <v>86</v>
      </c>
      <c r="CK9" s="265">
        <v>87</v>
      </c>
      <c r="CL9" s="265">
        <v>88</v>
      </c>
      <c r="CM9" s="265">
        <v>89</v>
      </c>
      <c r="CN9" s="265">
        <v>90</v>
      </c>
      <c r="CO9" s="265">
        <v>91</v>
      </c>
      <c r="CP9" s="265">
        <v>92</v>
      </c>
      <c r="CQ9" s="265">
        <v>93</v>
      </c>
      <c r="CR9" s="265">
        <v>94</v>
      </c>
      <c r="CS9" s="265">
        <v>95</v>
      </c>
      <c r="CT9" s="265">
        <v>96</v>
      </c>
      <c r="CU9" s="265">
        <v>97</v>
      </c>
      <c r="CV9" s="265">
        <v>98</v>
      </c>
      <c r="CW9" s="265">
        <v>99</v>
      </c>
      <c r="CX9" s="265">
        <v>100</v>
      </c>
      <c r="CY9" s="265">
        <v>101</v>
      </c>
      <c r="CZ9" s="265">
        <v>102</v>
      </c>
      <c r="DA9" s="265">
        <v>103</v>
      </c>
    </row>
    <row r="10" spans="1:105" s="274" customFormat="1" ht="12.75" customHeight="1">
      <c r="A10" s="63" t="str">
        <f t="array" ref="A10">IF(C10&lt;&gt;0,SUM(($C10:C$16&lt;&gt;0)*1),"")</f>
        <v/>
      </c>
      <c r="B10" s="267"/>
      <c r="C10" s="268"/>
      <c r="D10" s="267"/>
      <c r="E10" s="269" t="s">
        <v>212</v>
      </c>
      <c r="F10" s="270"/>
      <c r="G10" s="271"/>
      <c r="H10" s="271"/>
      <c r="I10" s="272"/>
      <c r="J10" s="273">
        <f>CDPS!C10</f>
        <v>3705039095</v>
      </c>
      <c r="K10" s="273">
        <f>CDPS!D10</f>
        <v>0</v>
      </c>
      <c r="L10" s="273">
        <f>CDPS!C12</f>
        <v>19829295</v>
      </c>
      <c r="M10" s="273">
        <f>CDPS!D12</f>
        <v>0</v>
      </c>
      <c r="N10" s="273">
        <f>CDPS!C13</f>
        <v>2236796790</v>
      </c>
      <c r="O10" s="273">
        <f>CDPS!D13</f>
        <v>0</v>
      </c>
      <c r="P10" s="273">
        <f>CDPS!C15</f>
        <v>3343381600</v>
      </c>
      <c r="Q10" s="273">
        <f>CDPS!D15</f>
        <v>0</v>
      </c>
      <c r="R10" s="273">
        <f>CDPS!C16</f>
        <v>162420936</v>
      </c>
      <c r="S10" s="273">
        <f>CDPS!D16</f>
        <v>0</v>
      </c>
      <c r="T10" s="273">
        <f>CDPS!C18</f>
        <v>1500000000</v>
      </c>
      <c r="U10" s="273">
        <f>CDPS!D18</f>
        <v>0</v>
      </c>
      <c r="V10" s="273">
        <f>CDPS!C20</f>
        <v>0</v>
      </c>
      <c r="W10" s="273">
        <f>CDPS!D20</f>
        <v>0</v>
      </c>
      <c r="X10" s="273">
        <f>CDPS!C21</f>
        <v>2772400000</v>
      </c>
      <c r="Y10" s="273">
        <f>CDPS!D21</f>
        <v>0</v>
      </c>
      <c r="Z10" s="273">
        <f>CDPS!C22</f>
        <v>526519887</v>
      </c>
      <c r="AA10" s="273">
        <f>CDPS!D22</f>
        <v>0</v>
      </c>
      <c r="AB10" s="273">
        <f>CDPS!C24</f>
        <v>0</v>
      </c>
      <c r="AC10" s="273">
        <f>CDPS!D24</f>
        <v>0</v>
      </c>
      <c r="AD10" s="273">
        <f>CDPS!C25</f>
        <v>0</v>
      </c>
      <c r="AE10" s="273">
        <f>CDPS!D25</f>
        <v>0</v>
      </c>
      <c r="AF10" s="273">
        <f>CDPS!C26</f>
        <v>9386323824</v>
      </c>
      <c r="AG10" s="273">
        <f>CDPS!D26</f>
        <v>0</v>
      </c>
      <c r="AH10" s="273">
        <f>CDPS!C27</f>
        <v>7490743648</v>
      </c>
      <c r="AI10" s="273">
        <f>CDPS!D27</f>
        <v>0</v>
      </c>
      <c r="AJ10" s="273">
        <f>CDPS!C28</f>
        <v>3807898863</v>
      </c>
      <c r="AK10" s="273">
        <f>CDPS!D28</f>
        <v>0</v>
      </c>
      <c r="AL10" s="273">
        <f>CDPS!C29</f>
        <v>3790918485</v>
      </c>
      <c r="AM10" s="273">
        <f>CDPS!D29</f>
        <v>0</v>
      </c>
      <c r="AN10" s="273">
        <f>CDPS!C31</f>
        <v>5405781300</v>
      </c>
      <c r="AO10" s="273">
        <f>CDPS!D31</f>
        <v>0</v>
      </c>
      <c r="AP10" s="273">
        <f>CDPS!C33</f>
        <v>0</v>
      </c>
      <c r="AQ10" s="273">
        <f>CDPS!D33</f>
        <v>9132359256</v>
      </c>
      <c r="AR10" s="273">
        <f>CDPS!C34</f>
        <v>0</v>
      </c>
      <c r="AS10" s="273">
        <f>CDPS!D34</f>
        <v>600642360</v>
      </c>
      <c r="AT10" s="273">
        <f>CDPS!C36</f>
        <v>0</v>
      </c>
      <c r="AU10" s="273">
        <f>CDPS!D36</f>
        <v>0</v>
      </c>
      <c r="AV10" s="273">
        <f>CDPS!C38</f>
        <v>0</v>
      </c>
      <c r="AW10" s="273">
        <f>CDPS!D38</f>
        <v>476953252</v>
      </c>
      <c r="AX10" s="273"/>
      <c r="AY10" s="273"/>
      <c r="AZ10" s="273"/>
      <c r="BA10" s="273"/>
      <c r="BB10" s="273"/>
      <c r="BC10" s="273"/>
      <c r="BD10" s="273">
        <f>CDPS!C42</f>
        <v>0</v>
      </c>
      <c r="BE10" s="273">
        <f>CDPS!D42</f>
        <v>3313435</v>
      </c>
      <c r="BF10" s="273">
        <f>CDPS!C43</f>
        <v>3389804</v>
      </c>
      <c r="BG10" s="273">
        <f>CDPS!D43</f>
        <v>0</v>
      </c>
      <c r="BH10" s="273">
        <f>CDPS!C44</f>
        <v>0</v>
      </c>
      <c r="BI10" s="273">
        <f>CDPS!D44</f>
        <v>0</v>
      </c>
      <c r="BJ10" s="273">
        <f>CDPS!C47</f>
        <v>0</v>
      </c>
      <c r="BK10" s="273">
        <f>CDPS!D47</f>
        <v>0</v>
      </c>
      <c r="BL10" s="273">
        <f>CDPS!C49</f>
        <v>0</v>
      </c>
      <c r="BM10" s="273">
        <f>CDPS!D49</f>
        <v>40272309</v>
      </c>
      <c r="BN10" s="273">
        <f>CDPS!C50</f>
        <v>0</v>
      </c>
      <c r="BO10" s="273">
        <f>CDPS!D50</f>
        <v>6403142</v>
      </c>
      <c r="BP10" s="273">
        <f>CDPS!C51</f>
        <v>0</v>
      </c>
      <c r="BQ10" s="273">
        <f>CDPS!D51</f>
        <v>2761373</v>
      </c>
      <c r="BR10" s="273">
        <f>CDPS!C52</f>
        <v>0</v>
      </c>
      <c r="BS10" s="273">
        <f>CDPS!D52</f>
        <v>0</v>
      </c>
      <c r="BT10" s="273">
        <f>CDPS!C54</f>
        <v>0</v>
      </c>
      <c r="BU10" s="273">
        <f>CDPS!D54</f>
        <v>2169121879</v>
      </c>
      <c r="BV10" s="273">
        <f>CDPS!C55</f>
        <v>0</v>
      </c>
      <c r="BW10" s="273">
        <f>CDPS!D55</f>
        <v>21202920500</v>
      </c>
      <c r="BX10" s="273">
        <f>CDPS!C57</f>
        <v>0</v>
      </c>
      <c r="BY10" s="273">
        <f>CDPS!D57</f>
        <v>10000000000</v>
      </c>
      <c r="BZ10" s="273">
        <f>CDPS!C59</f>
        <v>0</v>
      </c>
      <c r="CA10" s="273">
        <f>CDPS!D59</f>
        <v>486535137</v>
      </c>
      <c r="CB10" s="273">
        <f>CDPS!C60</f>
        <v>0</v>
      </c>
      <c r="CC10" s="273">
        <f>CDPS!D60</f>
        <v>30160884.000000477</v>
      </c>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row>
    <row r="11" spans="1:105" s="274" customFormat="1" ht="12.75" customHeight="1">
      <c r="A11" s="63">
        <f t="array" aca="1" ref="A11" ca="1">IF(C11&lt;&gt;0,SUM(($C$11:C11&lt;&gt;0)*1),"")</f>
        <v>1</v>
      </c>
      <c r="B11" s="275" t="str">
        <f ca="1">IF(ROWS($1:1)&gt;COUNT(Dong6),"",OFFSET(TH!C$1,SMALL(Dong6,ROWS($1:1)),))</f>
        <v/>
      </c>
      <c r="C11" s="275" t="str">
        <f ca="1">IF(ROWS($1:1)&gt;COUNT(Dong6),"",OFFSET(TH!D$1,SMALL(Dong6,ROWS($1:1)),))</f>
        <v/>
      </c>
      <c r="D11" s="275" t="str">
        <f ca="1">IF(ROWS($1:1)&gt;COUNT(Dong6),"",OFFSET(TH!E$1,SMALL(Dong6,ROWS($1:1)),))</f>
        <v/>
      </c>
      <c r="E11" s="325" t="str">
        <f ca="1">IF(ROWS($1:1)&gt;COUNT(Dong6),"",OFFSET(TH!F$1,SMALL(Dong6,ROWS($1:1)),))</f>
        <v/>
      </c>
      <c r="F11" s="326" t="str">
        <f ca="1">IF(ROWS($1:1)&gt;COUNT(Dong6),"",OFFSET(TH!M$1,SMALL(Dong6,ROWS($1:1)),))</f>
        <v/>
      </c>
      <c r="G11" s="327" t="str">
        <f ca="1">IF(ROWS($1:1)&gt;COUNT(Dong6),"",OFFSET(TH!N$1,SMALL(Dong6,ROWS($1:1)),))</f>
        <v/>
      </c>
      <c r="H11" s="327" t="str">
        <f ca="1">IF(ROWS($1:1)&gt;COUNT(Dong6),"",OFFSET(TH!O$1,SMALL(Dong6,ROWS($1:1)),))</f>
        <v/>
      </c>
      <c r="I11" s="63">
        <f t="shared" ref="I11:I34" ca="1" si="0">A11</f>
        <v>1</v>
      </c>
      <c r="J11" s="277">
        <f ca="1">IF($G11="1111",$F11,0)</f>
        <v>0</v>
      </c>
      <c r="K11" s="277">
        <f ca="1">IF($H11="1111",$F11,0)</f>
        <v>0</v>
      </c>
      <c r="L11" s="277">
        <f t="shared" ref="L11:L51" ca="1" si="1">IF($G11="1121",$F11,0)</f>
        <v>0</v>
      </c>
      <c r="M11" s="277">
        <f t="shared" ref="M11:M51" ca="1" si="2">IF($H11="1121",$F11,0)</f>
        <v>0</v>
      </c>
      <c r="N11" s="277">
        <f t="shared" ref="N11:N51" ca="1" si="3">IF($G11="1122",$F11,0)</f>
        <v>0</v>
      </c>
      <c r="O11" s="277">
        <f t="shared" ref="O11:O51" ca="1" si="4">IF($H11="1122",$F11,0)</f>
        <v>0</v>
      </c>
      <c r="P11" s="277">
        <f t="shared" ref="P11:P51" ca="1" si="5">IF($G11="131",$F11,0)</f>
        <v>0</v>
      </c>
      <c r="Q11" s="277">
        <f t="shared" ref="Q11:Q51" ca="1" si="6">IF($H11="131",$F11,0)</f>
        <v>0</v>
      </c>
      <c r="R11" s="277">
        <f t="shared" ref="R11:R51" ca="1" si="7">IF($G11="1331",$F11,0)</f>
        <v>0</v>
      </c>
      <c r="S11" s="277">
        <f t="shared" ref="S11:S51" ca="1" si="8">IF($H11="1331",$F11,0)</f>
        <v>0</v>
      </c>
      <c r="T11" s="277">
        <f t="shared" ref="T11:T51" ca="1" si="9">IF($G11="1388",$F11,0)</f>
        <v>0</v>
      </c>
      <c r="U11" s="277">
        <f t="shared" ref="U11:U51" ca="1" si="10">IF($H11="1388",$F11,0)</f>
        <v>0</v>
      </c>
      <c r="V11" s="277">
        <f t="shared" ref="V11:V51" ca="1" si="11">IF($G11="141",$F11,0)</f>
        <v>0</v>
      </c>
      <c r="W11" s="277">
        <f t="shared" ref="W11:W51" ca="1" si="12">IF($H11="141",$F11,0)</f>
        <v>0</v>
      </c>
      <c r="X11" s="277">
        <f t="shared" ref="X11:X51" ca="1" si="13">IF($G11="1521",$F11,0)</f>
        <v>0</v>
      </c>
      <c r="Y11" s="277">
        <f t="shared" ref="Y11:Y51" ca="1" si="14">IF($H11="1521",$F11,0)</f>
        <v>0</v>
      </c>
      <c r="Z11" s="277">
        <f t="shared" ref="Z11:Z51" ca="1" si="15">IF($G11="1522",$F11,0)</f>
        <v>0</v>
      </c>
      <c r="AA11" s="277">
        <f t="shared" ref="AA11:AA51" ca="1" si="16">IF($H11="1522",$F11,0)</f>
        <v>0</v>
      </c>
      <c r="AB11" s="277">
        <f ca="1">IF($G11="153",$F11,0)</f>
        <v>0</v>
      </c>
      <c r="AC11" s="277">
        <f ca="1">IF($H11="153",$F11,0)</f>
        <v>0</v>
      </c>
      <c r="AD11" s="277">
        <f t="shared" ref="AD11:AD51" ca="1" si="17">IF($G11="154",$F11,0)</f>
        <v>0</v>
      </c>
      <c r="AE11" s="277">
        <f t="shared" ref="AE11:AE51" ca="1" si="18">IF($H11="154",$F11,0)</f>
        <v>0</v>
      </c>
      <c r="AF11" s="277">
        <f t="shared" ref="AF11:AF51" ca="1" si="19">IF($G11="155",$F11,0)</f>
        <v>0</v>
      </c>
      <c r="AG11" s="277">
        <f t="shared" ref="AG11:AG51" ca="1" si="20">IF($H11="155",$F11,0)</f>
        <v>0</v>
      </c>
      <c r="AH11" s="277">
        <f ca="1">IF($G11="2111",$F11,0)</f>
        <v>0</v>
      </c>
      <c r="AI11" s="277">
        <f ca="1">IF($H11="2111",$F11,0)</f>
        <v>0</v>
      </c>
      <c r="AJ11" s="277">
        <f ca="1">IF($G11="2112",$F11,0)</f>
        <v>0</v>
      </c>
      <c r="AK11" s="277">
        <f ca="1">IF($H11="2112",$F11,0)</f>
        <v>0</v>
      </c>
      <c r="AL11" s="277">
        <f ca="1">IF($G11="2113",$F11,0)</f>
        <v>0</v>
      </c>
      <c r="AM11" s="277">
        <f ca="1">IF($H11="2113",$F11,0)</f>
        <v>0</v>
      </c>
      <c r="AN11" s="277">
        <f ca="1">IF($G11="2131",$F11,0)</f>
        <v>0</v>
      </c>
      <c r="AO11" s="277">
        <f ca="1">IF($H11="2131",$F11,0)</f>
        <v>0</v>
      </c>
      <c r="AP11" s="277">
        <f t="shared" ref="AP11:AP51" ca="1" si="21">IF($G11="2141",$F11,0)</f>
        <v>0</v>
      </c>
      <c r="AQ11" s="277">
        <f t="shared" ref="AQ11:AQ51" ca="1" si="22">IF($H11="2141",$F11,0)</f>
        <v>0</v>
      </c>
      <c r="AR11" s="277">
        <f t="shared" ref="AR11:AR51" ca="1" si="23">IF($G11="2143",$F11,0)</f>
        <v>0</v>
      </c>
      <c r="AS11" s="277">
        <f t="shared" ref="AS11:AS51" ca="1" si="24">IF($H11="2143",$F11,0)</f>
        <v>0</v>
      </c>
      <c r="AT11" s="277">
        <f ca="1">IF($G11="2412",$F11,0)</f>
        <v>0</v>
      </c>
      <c r="AU11" s="277">
        <f ca="1">IF($H11="2412",$F11,0)</f>
        <v>0</v>
      </c>
      <c r="AV11" s="277">
        <f t="shared" ref="AV11:AV51" ca="1" si="25">IF($G11="331",$F11,0)</f>
        <v>0</v>
      </c>
      <c r="AW11" s="277">
        <f t="shared" ref="AW11:AW51" ca="1" si="26">IF($H11="331",$F11,0)</f>
        <v>0</v>
      </c>
      <c r="AX11" s="277">
        <f t="shared" ref="AX11:AX51" ca="1" si="27">IF($G11="33311",$F11,0)</f>
        <v>0</v>
      </c>
      <c r="AY11" s="277">
        <f t="shared" ref="AY11:AY51" ca="1" si="28">IF($H11="33311",$F11,0)</f>
        <v>0</v>
      </c>
      <c r="AZ11" s="277">
        <f t="shared" ref="AZ11:AZ51" ca="1" si="29">IF($G11="33312",$F11,0)</f>
        <v>0</v>
      </c>
      <c r="BA11" s="277">
        <f t="shared" ref="BA11:BA51" ca="1" si="30">IF($H11="33312",$F11,0)</f>
        <v>0</v>
      </c>
      <c r="BB11" s="277">
        <f t="shared" ref="BB11:BB51" ca="1" si="31">IF($G11="3333",$F11,0)</f>
        <v>0</v>
      </c>
      <c r="BC11" s="277">
        <f t="shared" ref="BC11:BC51" ca="1" si="32">IF($H11="3333",$F11,0)</f>
        <v>0</v>
      </c>
      <c r="BD11" s="277">
        <f t="shared" ref="BD11:BD51" ca="1" si="33">IF($G11="3334",$F11,0)</f>
        <v>0</v>
      </c>
      <c r="BE11" s="277">
        <f t="shared" ref="BE11:BE51" ca="1" si="34">IF($H11="3334",$F11,0)</f>
        <v>0</v>
      </c>
      <c r="BF11" s="277">
        <f t="shared" ref="BF11:BF51" ca="1" si="35">IF($G11="3335",$F11,0)</f>
        <v>0</v>
      </c>
      <c r="BG11" s="277">
        <f t="shared" ref="BG11:BG51" ca="1" si="36">IF($H11="3335",$F11,0)</f>
        <v>0</v>
      </c>
      <c r="BH11" s="277">
        <f ca="1">IF($G11="33382",$F11,0)</f>
        <v>0</v>
      </c>
      <c r="BI11" s="277">
        <f ca="1">IF($H11="33382",$F11,0)</f>
        <v>0</v>
      </c>
      <c r="BJ11" s="277">
        <f t="shared" ref="BJ11:BJ51" ca="1" si="37">IF($G11="3341",$F11,0)</f>
        <v>0</v>
      </c>
      <c r="BK11" s="277">
        <f t="shared" ref="BK11:BK51" ca="1" si="38">IF($H11="3341",$F11,0)</f>
        <v>0</v>
      </c>
      <c r="BL11" s="277">
        <f t="shared" ref="BL11:BL51" ca="1" si="39">IF($G11="3383",$F11,0)</f>
        <v>0</v>
      </c>
      <c r="BM11" s="277">
        <f t="shared" ref="BM11:BM51" ca="1" si="40">IF($H11="3383",$F11,0)</f>
        <v>0</v>
      </c>
      <c r="BN11" s="277">
        <f t="shared" ref="BN11:BN51" ca="1" si="41">IF($G11="3384",$F11,0)</f>
        <v>0</v>
      </c>
      <c r="BO11" s="277">
        <f t="shared" ref="BO11:BO51" ca="1" si="42">IF($H11="3384",$F11,0)</f>
        <v>0</v>
      </c>
      <c r="BP11" s="277">
        <f ca="1">IF($G11="3386",$F11,0)</f>
        <v>0</v>
      </c>
      <c r="BQ11" s="277">
        <f ca="1">IF($H11="3386",$F11,0)</f>
        <v>0</v>
      </c>
      <c r="BR11" s="277">
        <f t="shared" ref="BR11:BR51" ca="1" si="43">IF($G11="3388",$F11,0)</f>
        <v>0</v>
      </c>
      <c r="BS11" s="277">
        <f t="shared" ref="BS11:BS51" ca="1" si="44">IF($H11="3388",$F11,0)</f>
        <v>0</v>
      </c>
      <c r="BT11" s="277">
        <f ca="1">IF($G11="3411",$F11,0)</f>
        <v>0</v>
      </c>
      <c r="BU11" s="277">
        <f ca="1">IF($H11="3411",$F11,0)</f>
        <v>0</v>
      </c>
      <c r="BV11" s="277">
        <f ca="1">IF($G11="3412",$F11,0)</f>
        <v>0</v>
      </c>
      <c r="BW11" s="277">
        <f ca="1">IF($H11="3412",$F11,0)</f>
        <v>0</v>
      </c>
      <c r="BX11" s="277">
        <f t="shared" ref="BX11:BX51" ca="1" si="45">IF($G11="4111",$F11,0)</f>
        <v>0</v>
      </c>
      <c r="BY11" s="277">
        <f t="shared" ref="BY11:BY51" ca="1" si="46">IF($H11="4111",$F11,0)</f>
        <v>0</v>
      </c>
      <c r="BZ11" s="277">
        <f t="shared" ref="BZ11:BZ51" ca="1" si="47">IF($G11="4211",$F11,0)</f>
        <v>0</v>
      </c>
      <c r="CA11" s="277">
        <f t="shared" ref="CA11:CA51" ca="1" si="48">IF($H11="4211",$F11,0)</f>
        <v>0</v>
      </c>
      <c r="CB11" s="277">
        <f t="shared" ref="CB11:CB51" ca="1" si="49">IF($G11="4212",$F11,0)</f>
        <v>0</v>
      </c>
      <c r="CC11" s="277">
        <f t="shared" ref="CC11:CC51" ca="1" si="50">IF($H11="4212",$F11,0)</f>
        <v>0</v>
      </c>
      <c r="CD11" s="277">
        <f ca="1">IF($G11="5112N",$F11,0)</f>
        <v>0</v>
      </c>
      <c r="CE11" s="277">
        <f ca="1">IF($H11="5112N",$F11,0)</f>
        <v>0</v>
      </c>
      <c r="CF11" s="277">
        <f ca="1">IF($G11="5112X",$F11,0)</f>
        <v>0</v>
      </c>
      <c r="CG11" s="277">
        <f ca="1">IF($H11="5112X",$F11,0)</f>
        <v>0</v>
      </c>
      <c r="CH11" s="277">
        <f t="shared" ref="CH11:CH51" ca="1" si="51">IF($G11="515",$F11,0)</f>
        <v>0</v>
      </c>
      <c r="CI11" s="277">
        <f t="shared" ref="CI11:CI51" ca="1" si="52">IF($H11="515",$F11,0)</f>
        <v>0</v>
      </c>
      <c r="CJ11" s="277">
        <f ca="1">IF($G11="5213",$F11,0)</f>
        <v>0</v>
      </c>
      <c r="CK11" s="277">
        <f ca="1">IF($H11="5213",$F11,0)</f>
        <v>0</v>
      </c>
      <c r="CL11" s="277">
        <f t="shared" ref="CL11:CL51" ca="1" si="53">IF($G11="632",$F11,0)</f>
        <v>0</v>
      </c>
      <c r="CM11" s="277">
        <f t="shared" ref="CM11:CM51" ca="1" si="54">IF($H11="632",$F11,0)</f>
        <v>0</v>
      </c>
      <c r="CN11" s="277">
        <f t="shared" ref="CN11:CN51" ca="1" si="55">IF($G11="635",$F11,0)</f>
        <v>0</v>
      </c>
      <c r="CO11" s="277">
        <f t="shared" ref="CO11:CO51" ca="1" si="56">IF($H11="635",$F11,0)</f>
        <v>0</v>
      </c>
      <c r="CP11" s="277">
        <f ca="1">IF($G11="641",$F11,0)</f>
        <v>0</v>
      </c>
      <c r="CQ11" s="277">
        <f ca="1">IF($H11="641",$F11,0)</f>
        <v>0</v>
      </c>
      <c r="CR11" s="277">
        <f ca="1">IF($G11="642",$F11,0)</f>
        <v>0</v>
      </c>
      <c r="CS11" s="277">
        <f ca="1">IF($H11="642",$F11,0)</f>
        <v>0</v>
      </c>
      <c r="CT11" s="277">
        <f t="shared" ref="CT11:CT51" ca="1" si="57">IF($G11="711",$F11,0)</f>
        <v>0</v>
      </c>
      <c r="CU11" s="277">
        <f t="shared" ref="CU11:CU51" ca="1" si="58">IF($H11="711",$F11,0)</f>
        <v>0</v>
      </c>
      <c r="CV11" s="277">
        <f t="shared" ref="CV11:CV51" ca="1" si="59">IF($G11="811",$F11,0)</f>
        <v>0</v>
      </c>
      <c r="CW11" s="277">
        <f t="shared" ref="CW11:CW51" ca="1" si="60">IF($H11="811",$F11,0)</f>
        <v>0</v>
      </c>
      <c r="CX11" s="277">
        <f ca="1">IF($G11="821",$F11,0)</f>
        <v>0</v>
      </c>
      <c r="CY11" s="277">
        <f ca="1">IF($H11="821",$F11,0)</f>
        <v>0</v>
      </c>
      <c r="CZ11" s="277">
        <f ca="1">IF($G11="911",$F11,0)</f>
        <v>0</v>
      </c>
      <c r="DA11" s="277">
        <f ca="1">IF($H11="911",$F11,0)</f>
        <v>0</v>
      </c>
    </row>
    <row r="12" spans="1:105" s="274" customFormat="1" ht="15" customHeight="1">
      <c r="A12" s="63">
        <f t="array" aca="1" ref="A12" ca="1">IF(C12&lt;&gt;0,SUM(($C$11:C12&lt;&gt;0)*1),"")</f>
        <v>2</v>
      </c>
      <c r="B12" s="275" t="str">
        <f ca="1">IF(ROWS($1:2)&gt;COUNT(Dong6),"",OFFSET(TH!C$1,SMALL(Dong6,ROWS($1:2)),))</f>
        <v/>
      </c>
      <c r="C12" s="275" t="str">
        <f ca="1">IF(ROWS($1:2)&gt;COUNT(Dong6),"",OFFSET(TH!D$1,SMALL(Dong6,ROWS($1:2)),))</f>
        <v/>
      </c>
      <c r="D12" s="275" t="str">
        <f ca="1">IF(ROWS($1:2)&gt;COUNT(Dong6),"",OFFSET(TH!E$1,SMALL(Dong6,ROWS($1:2)),))</f>
        <v/>
      </c>
      <c r="E12" s="325" t="str">
        <f ca="1">IF(ROWS($1:2)&gt;COUNT(Dong6),"",OFFSET(TH!F$1,SMALL(Dong6,ROWS($1:2)),))</f>
        <v/>
      </c>
      <c r="F12" s="326" t="str">
        <f ca="1">IF(ROWS($1:2)&gt;COUNT(Dong6),"",OFFSET(TH!M$1,SMALL(Dong6,ROWS($1:2)),))</f>
        <v/>
      </c>
      <c r="G12" s="327" t="str">
        <f ca="1">IF(ROWS($1:2)&gt;COUNT(Dong6),"",OFFSET(TH!N$1,SMALL(Dong6,ROWS($1:2)),))</f>
        <v/>
      </c>
      <c r="H12" s="327" t="str">
        <f ca="1">IF(ROWS($1:2)&gt;COUNT(Dong6),"",OFFSET(TH!O$1,SMALL(Dong6,ROWS($1:2)),))</f>
        <v/>
      </c>
      <c r="I12" s="63">
        <f t="shared" ca="1" si="0"/>
        <v>2</v>
      </c>
      <c r="J12" s="277">
        <f t="shared" ref="J12:J51" ca="1" si="61">IF($G12="1111",$F12,0)</f>
        <v>0</v>
      </c>
      <c r="K12" s="277">
        <f t="shared" ref="K12:K51" ca="1" si="62">IF($H12="1111",$F12,0)</f>
        <v>0</v>
      </c>
      <c r="L12" s="277">
        <f t="shared" ca="1" si="1"/>
        <v>0</v>
      </c>
      <c r="M12" s="277">
        <f t="shared" ca="1" si="2"/>
        <v>0</v>
      </c>
      <c r="N12" s="277">
        <f t="shared" ca="1" si="3"/>
        <v>0</v>
      </c>
      <c r="O12" s="277">
        <f t="shared" ca="1" si="4"/>
        <v>0</v>
      </c>
      <c r="P12" s="277">
        <f t="shared" ca="1" si="5"/>
        <v>0</v>
      </c>
      <c r="Q12" s="277">
        <f t="shared" ca="1" si="6"/>
        <v>0</v>
      </c>
      <c r="R12" s="277">
        <f t="shared" ca="1" si="7"/>
        <v>0</v>
      </c>
      <c r="S12" s="277">
        <f t="shared" ca="1" si="8"/>
        <v>0</v>
      </c>
      <c r="T12" s="277">
        <f t="shared" ca="1" si="9"/>
        <v>0</v>
      </c>
      <c r="U12" s="277">
        <f t="shared" ca="1" si="10"/>
        <v>0</v>
      </c>
      <c r="V12" s="277">
        <f t="shared" ca="1" si="11"/>
        <v>0</v>
      </c>
      <c r="W12" s="277">
        <f t="shared" ca="1" si="12"/>
        <v>0</v>
      </c>
      <c r="X12" s="277">
        <f t="shared" ca="1" si="13"/>
        <v>0</v>
      </c>
      <c r="Y12" s="277">
        <f t="shared" ca="1" si="14"/>
        <v>0</v>
      </c>
      <c r="Z12" s="277">
        <f t="shared" ca="1" si="15"/>
        <v>0</v>
      </c>
      <c r="AA12" s="277">
        <f t="shared" ca="1" si="16"/>
        <v>0</v>
      </c>
      <c r="AB12" s="277">
        <f t="shared" ref="AB12:AB51" ca="1" si="63">IF($G12="153",$F12,0)</f>
        <v>0</v>
      </c>
      <c r="AC12" s="277">
        <f t="shared" ref="AC12:AC51" ca="1" si="64">IF($H12="153",$F12,0)</f>
        <v>0</v>
      </c>
      <c r="AD12" s="277">
        <f t="shared" ca="1" si="17"/>
        <v>0</v>
      </c>
      <c r="AE12" s="277">
        <f t="shared" ca="1" si="18"/>
        <v>0</v>
      </c>
      <c r="AF12" s="277">
        <f t="shared" ca="1" si="19"/>
        <v>0</v>
      </c>
      <c r="AG12" s="277">
        <f t="shared" ca="1" si="20"/>
        <v>0</v>
      </c>
      <c r="AH12" s="277">
        <f t="shared" ref="AH12:AH51" ca="1" si="65">IF($G12="2111",$F12,0)</f>
        <v>0</v>
      </c>
      <c r="AI12" s="277">
        <f t="shared" ref="AI12:AI51" ca="1" si="66">IF($H12="2111",$F12,0)</f>
        <v>0</v>
      </c>
      <c r="AJ12" s="277">
        <f t="shared" ref="AJ12:AJ51" ca="1" si="67">IF($G12="2112",$F12,0)</f>
        <v>0</v>
      </c>
      <c r="AK12" s="277">
        <f t="shared" ref="AK12:AK51" ca="1" si="68">IF($H12="2112",$F12,0)</f>
        <v>0</v>
      </c>
      <c r="AL12" s="277">
        <f t="shared" ref="AL12:AL51" ca="1" si="69">IF($G12="2113",$F12,0)</f>
        <v>0</v>
      </c>
      <c r="AM12" s="277">
        <f t="shared" ref="AM12:AM51" ca="1" si="70">IF($H12="2113",$F12,0)</f>
        <v>0</v>
      </c>
      <c r="AN12" s="277">
        <f t="shared" ref="AN12:AN51" ca="1" si="71">IF($G12="2131",$F12,0)</f>
        <v>0</v>
      </c>
      <c r="AO12" s="277">
        <f t="shared" ref="AO12:AO51" ca="1" si="72">IF($H12="2131",$F12,0)</f>
        <v>0</v>
      </c>
      <c r="AP12" s="277">
        <f t="shared" ca="1" si="21"/>
        <v>0</v>
      </c>
      <c r="AQ12" s="277">
        <f t="shared" ca="1" si="22"/>
        <v>0</v>
      </c>
      <c r="AR12" s="277">
        <f t="shared" ca="1" si="23"/>
        <v>0</v>
      </c>
      <c r="AS12" s="277">
        <f t="shared" ca="1" si="24"/>
        <v>0</v>
      </c>
      <c r="AT12" s="277">
        <f t="shared" ref="AT12:AT38" ca="1" si="73">IF($G12="2412",$F12,0)</f>
        <v>0</v>
      </c>
      <c r="AU12" s="277">
        <f t="shared" ref="AU12:AU38" ca="1" si="74">IF($H12="2412",$F12,0)</f>
        <v>0</v>
      </c>
      <c r="AV12" s="277">
        <f t="shared" ca="1" si="25"/>
        <v>0</v>
      </c>
      <c r="AW12" s="277">
        <f t="shared" ca="1" si="26"/>
        <v>0</v>
      </c>
      <c r="AX12" s="277">
        <f t="shared" ca="1" si="27"/>
        <v>0</v>
      </c>
      <c r="AY12" s="277">
        <f t="shared" ca="1" si="28"/>
        <v>0</v>
      </c>
      <c r="AZ12" s="277">
        <f t="shared" ca="1" si="29"/>
        <v>0</v>
      </c>
      <c r="BA12" s="277">
        <f t="shared" ca="1" si="30"/>
        <v>0</v>
      </c>
      <c r="BB12" s="277">
        <f t="shared" ca="1" si="31"/>
        <v>0</v>
      </c>
      <c r="BC12" s="277">
        <f t="shared" ca="1" si="32"/>
        <v>0</v>
      </c>
      <c r="BD12" s="277">
        <f t="shared" ca="1" si="33"/>
        <v>0</v>
      </c>
      <c r="BE12" s="277">
        <f t="shared" ca="1" si="34"/>
        <v>0</v>
      </c>
      <c r="BF12" s="277">
        <f t="shared" ca="1" si="35"/>
        <v>0</v>
      </c>
      <c r="BG12" s="277">
        <f t="shared" ca="1" si="36"/>
        <v>0</v>
      </c>
      <c r="BH12" s="277">
        <f t="shared" ref="BH12:BH51" ca="1" si="75">IF($G12="33382",$F12,0)</f>
        <v>0</v>
      </c>
      <c r="BI12" s="277">
        <f t="shared" ref="BI12:BI51" ca="1" si="76">IF($H12="33382",$F12,0)</f>
        <v>0</v>
      </c>
      <c r="BJ12" s="277">
        <f t="shared" ca="1" si="37"/>
        <v>0</v>
      </c>
      <c r="BK12" s="277">
        <f t="shared" ca="1" si="38"/>
        <v>0</v>
      </c>
      <c r="BL12" s="277">
        <f t="shared" ca="1" si="39"/>
        <v>0</v>
      </c>
      <c r="BM12" s="277">
        <f t="shared" ca="1" si="40"/>
        <v>0</v>
      </c>
      <c r="BN12" s="277">
        <f t="shared" ca="1" si="41"/>
        <v>0</v>
      </c>
      <c r="BO12" s="277">
        <f t="shared" ca="1" si="42"/>
        <v>0</v>
      </c>
      <c r="BP12" s="277">
        <f t="shared" ref="BP12:BP51" ca="1" si="77">IF($G12="3386",$F12,0)</f>
        <v>0</v>
      </c>
      <c r="BQ12" s="277">
        <f t="shared" ref="BQ12:BQ51" ca="1" si="78">IF($H12="3386",$F12,0)</f>
        <v>0</v>
      </c>
      <c r="BR12" s="277">
        <f t="shared" ca="1" si="43"/>
        <v>0</v>
      </c>
      <c r="BS12" s="277">
        <f t="shared" ca="1" si="44"/>
        <v>0</v>
      </c>
      <c r="BT12" s="277">
        <f t="shared" ref="BT12:BT51" ca="1" si="79">IF($G12="3411",$F12,0)</f>
        <v>0</v>
      </c>
      <c r="BU12" s="277">
        <f t="shared" ref="BU12:BU51" ca="1" si="80">IF($H12="3411",$F12,0)</f>
        <v>0</v>
      </c>
      <c r="BV12" s="277">
        <f t="shared" ref="BV12:BV38" ca="1" si="81">IF($G12="3412",$F12,0)</f>
        <v>0</v>
      </c>
      <c r="BW12" s="277">
        <f t="shared" ref="BW12:BW38" ca="1" si="82">IF($H12="3412",$F12,0)</f>
        <v>0</v>
      </c>
      <c r="BX12" s="277">
        <f t="shared" ca="1" si="45"/>
        <v>0</v>
      </c>
      <c r="BY12" s="277">
        <f t="shared" ca="1" si="46"/>
        <v>0</v>
      </c>
      <c r="BZ12" s="277">
        <f t="shared" ca="1" si="47"/>
        <v>0</v>
      </c>
      <c r="CA12" s="277">
        <f t="shared" ca="1" si="48"/>
        <v>0</v>
      </c>
      <c r="CB12" s="277">
        <f t="shared" ca="1" si="49"/>
        <v>0</v>
      </c>
      <c r="CC12" s="277">
        <f t="shared" ca="1" si="50"/>
        <v>0</v>
      </c>
      <c r="CD12" s="277">
        <f t="shared" ref="CD12:CD51" ca="1" si="83">IF($G12="5112N",$F12,0)</f>
        <v>0</v>
      </c>
      <c r="CE12" s="277">
        <f t="shared" ref="CE12:CE51" ca="1" si="84">IF($H12="5112N",$F12,0)</f>
        <v>0</v>
      </c>
      <c r="CF12" s="277">
        <f t="shared" ref="CF12:CF51" ca="1" si="85">IF($G12="5112X",$F12,0)</f>
        <v>0</v>
      </c>
      <c r="CG12" s="277">
        <f t="shared" ref="CG12:CG51" ca="1" si="86">IF($H12="5112X",$F12,0)</f>
        <v>0</v>
      </c>
      <c r="CH12" s="277">
        <f t="shared" ca="1" si="51"/>
        <v>0</v>
      </c>
      <c r="CI12" s="277">
        <f t="shared" ca="1" si="52"/>
        <v>0</v>
      </c>
      <c r="CJ12" s="277">
        <f t="shared" ref="CJ12:CJ51" ca="1" si="87">IF($G12="5213",$F12,0)</f>
        <v>0</v>
      </c>
      <c r="CK12" s="277">
        <f t="shared" ref="CK12:CK51" ca="1" si="88">IF($H12="5213",$F12,0)</f>
        <v>0</v>
      </c>
      <c r="CL12" s="277">
        <f t="shared" ca="1" si="53"/>
        <v>0</v>
      </c>
      <c r="CM12" s="277">
        <f t="shared" ca="1" si="54"/>
        <v>0</v>
      </c>
      <c r="CN12" s="277">
        <f t="shared" ca="1" si="55"/>
        <v>0</v>
      </c>
      <c r="CO12" s="277">
        <f t="shared" ca="1" si="56"/>
        <v>0</v>
      </c>
      <c r="CP12" s="277">
        <f t="shared" ref="CP12:CP51" ca="1" si="89">IF($G12="641",$F12,0)</f>
        <v>0</v>
      </c>
      <c r="CQ12" s="277">
        <f t="shared" ref="CQ12:CQ51" ca="1" si="90">IF($H12="641",$F12,0)</f>
        <v>0</v>
      </c>
      <c r="CR12" s="277">
        <f t="shared" ref="CR12:CR51" ca="1" si="91">IF($G12="642",$F12,0)</f>
        <v>0</v>
      </c>
      <c r="CS12" s="277">
        <f t="shared" ref="CS12:CS51" ca="1" si="92">IF($H12="642",$F12,0)</f>
        <v>0</v>
      </c>
      <c r="CT12" s="277">
        <f t="shared" ca="1" si="57"/>
        <v>0</v>
      </c>
      <c r="CU12" s="277">
        <f t="shared" ca="1" si="58"/>
        <v>0</v>
      </c>
      <c r="CV12" s="277">
        <f t="shared" ca="1" si="59"/>
        <v>0</v>
      </c>
      <c r="CW12" s="277">
        <f t="shared" ca="1" si="60"/>
        <v>0</v>
      </c>
      <c r="CX12" s="277">
        <f t="shared" ref="CX12:CX51" ca="1" si="93">IF($G12="821",$F12,0)</f>
        <v>0</v>
      </c>
      <c r="CY12" s="277">
        <f t="shared" ref="CY12:CY51" ca="1" si="94">IF($H12="821",$F12,0)</f>
        <v>0</v>
      </c>
      <c r="CZ12" s="277">
        <f t="shared" ref="CZ12:CZ51" ca="1" si="95">IF($G12="911",$F12,0)</f>
        <v>0</v>
      </c>
      <c r="DA12" s="277">
        <f t="shared" ref="DA12:DA51" ca="1" si="96">IF($H12="911",$F12,0)</f>
        <v>0</v>
      </c>
    </row>
    <row r="13" spans="1:105" s="274" customFormat="1" ht="15" customHeight="1">
      <c r="A13" s="63">
        <f t="array" aca="1" ref="A13" ca="1">IF(C13&lt;&gt;0,SUM(($C$11:C13&lt;&gt;0)*1),"")</f>
        <v>3</v>
      </c>
      <c r="B13" s="275" t="str">
        <f ca="1">IF(ROWS($1:3)&gt;COUNT(Dong6),"",OFFSET(TH!C$1,SMALL(Dong6,ROWS($1:3)),))</f>
        <v/>
      </c>
      <c r="C13" s="275" t="str">
        <f ca="1">IF(ROWS($1:3)&gt;COUNT(Dong6),"",OFFSET(TH!D$1,SMALL(Dong6,ROWS($1:3)),))</f>
        <v/>
      </c>
      <c r="D13" s="275" t="str">
        <f ca="1">IF(ROWS($1:3)&gt;COUNT(Dong6),"",OFFSET(TH!E$1,SMALL(Dong6,ROWS($1:3)),))</f>
        <v/>
      </c>
      <c r="E13" s="325" t="str">
        <f ca="1">IF(ROWS($1:3)&gt;COUNT(Dong6),"",OFFSET(TH!F$1,SMALL(Dong6,ROWS($1:3)),))</f>
        <v/>
      </c>
      <c r="F13" s="326" t="str">
        <f ca="1">IF(ROWS($1:3)&gt;COUNT(Dong6),"",OFFSET(TH!M$1,SMALL(Dong6,ROWS($1:3)),))</f>
        <v/>
      </c>
      <c r="G13" s="327" t="str">
        <f ca="1">IF(ROWS($1:3)&gt;COUNT(Dong6),"",OFFSET(TH!N$1,SMALL(Dong6,ROWS($1:3)),))</f>
        <v/>
      </c>
      <c r="H13" s="327" t="str">
        <f ca="1">IF(ROWS($1:3)&gt;COUNT(Dong6),"",OFFSET(TH!O$1,SMALL(Dong6,ROWS($1:3)),))</f>
        <v/>
      </c>
      <c r="I13" s="63">
        <f t="shared" ca="1" si="0"/>
        <v>3</v>
      </c>
      <c r="J13" s="277">
        <f t="shared" ca="1" si="61"/>
        <v>0</v>
      </c>
      <c r="K13" s="277">
        <f t="shared" ca="1" si="62"/>
        <v>0</v>
      </c>
      <c r="L13" s="277">
        <f t="shared" ca="1" si="1"/>
        <v>0</v>
      </c>
      <c r="M13" s="277">
        <f t="shared" ca="1" si="2"/>
        <v>0</v>
      </c>
      <c r="N13" s="277">
        <f t="shared" ca="1" si="3"/>
        <v>0</v>
      </c>
      <c r="O13" s="277">
        <f t="shared" ca="1" si="4"/>
        <v>0</v>
      </c>
      <c r="P13" s="277">
        <f t="shared" ca="1" si="5"/>
        <v>0</v>
      </c>
      <c r="Q13" s="277">
        <f t="shared" ca="1" si="6"/>
        <v>0</v>
      </c>
      <c r="R13" s="277">
        <f t="shared" ca="1" si="7"/>
        <v>0</v>
      </c>
      <c r="S13" s="277">
        <f t="shared" ca="1" si="8"/>
        <v>0</v>
      </c>
      <c r="T13" s="277">
        <f t="shared" ca="1" si="9"/>
        <v>0</v>
      </c>
      <c r="U13" s="277">
        <f t="shared" ca="1" si="10"/>
        <v>0</v>
      </c>
      <c r="V13" s="277">
        <f t="shared" ca="1" si="11"/>
        <v>0</v>
      </c>
      <c r="W13" s="277">
        <f t="shared" ca="1" si="12"/>
        <v>0</v>
      </c>
      <c r="X13" s="277">
        <f t="shared" ca="1" si="13"/>
        <v>0</v>
      </c>
      <c r="Y13" s="277">
        <f t="shared" ca="1" si="14"/>
        <v>0</v>
      </c>
      <c r="Z13" s="277">
        <f t="shared" ca="1" si="15"/>
        <v>0</v>
      </c>
      <c r="AA13" s="277">
        <f t="shared" ca="1" si="16"/>
        <v>0</v>
      </c>
      <c r="AB13" s="277">
        <f t="shared" ca="1" si="63"/>
        <v>0</v>
      </c>
      <c r="AC13" s="277">
        <f t="shared" ca="1" si="64"/>
        <v>0</v>
      </c>
      <c r="AD13" s="277">
        <f t="shared" ca="1" si="17"/>
        <v>0</v>
      </c>
      <c r="AE13" s="277">
        <f t="shared" ca="1" si="18"/>
        <v>0</v>
      </c>
      <c r="AF13" s="277">
        <f t="shared" ca="1" si="19"/>
        <v>0</v>
      </c>
      <c r="AG13" s="277">
        <f t="shared" ca="1" si="20"/>
        <v>0</v>
      </c>
      <c r="AH13" s="277">
        <f t="shared" ca="1" si="65"/>
        <v>0</v>
      </c>
      <c r="AI13" s="277">
        <f t="shared" ca="1" si="66"/>
        <v>0</v>
      </c>
      <c r="AJ13" s="277">
        <f t="shared" ca="1" si="67"/>
        <v>0</v>
      </c>
      <c r="AK13" s="277">
        <f t="shared" ca="1" si="68"/>
        <v>0</v>
      </c>
      <c r="AL13" s="277">
        <f t="shared" ca="1" si="69"/>
        <v>0</v>
      </c>
      <c r="AM13" s="277">
        <f t="shared" ca="1" si="70"/>
        <v>0</v>
      </c>
      <c r="AN13" s="277">
        <f t="shared" ca="1" si="71"/>
        <v>0</v>
      </c>
      <c r="AO13" s="277">
        <f t="shared" ca="1" si="72"/>
        <v>0</v>
      </c>
      <c r="AP13" s="277">
        <f t="shared" ca="1" si="21"/>
        <v>0</v>
      </c>
      <c r="AQ13" s="277">
        <f t="shared" ca="1" si="22"/>
        <v>0</v>
      </c>
      <c r="AR13" s="277">
        <f t="shared" ca="1" si="23"/>
        <v>0</v>
      </c>
      <c r="AS13" s="277">
        <f t="shared" ca="1" si="24"/>
        <v>0</v>
      </c>
      <c r="AT13" s="277">
        <f t="shared" ca="1" si="73"/>
        <v>0</v>
      </c>
      <c r="AU13" s="277">
        <f t="shared" ca="1" si="74"/>
        <v>0</v>
      </c>
      <c r="AV13" s="277">
        <f t="shared" ca="1" si="25"/>
        <v>0</v>
      </c>
      <c r="AW13" s="277">
        <f t="shared" ca="1" si="26"/>
        <v>0</v>
      </c>
      <c r="AX13" s="277">
        <f t="shared" ca="1" si="27"/>
        <v>0</v>
      </c>
      <c r="AY13" s="277">
        <f t="shared" ca="1" si="28"/>
        <v>0</v>
      </c>
      <c r="AZ13" s="277">
        <f t="shared" ca="1" si="29"/>
        <v>0</v>
      </c>
      <c r="BA13" s="277">
        <f t="shared" ca="1" si="30"/>
        <v>0</v>
      </c>
      <c r="BB13" s="277">
        <f t="shared" ca="1" si="31"/>
        <v>0</v>
      </c>
      <c r="BC13" s="277">
        <f t="shared" ca="1" si="32"/>
        <v>0</v>
      </c>
      <c r="BD13" s="277">
        <f t="shared" ca="1" si="33"/>
        <v>0</v>
      </c>
      <c r="BE13" s="277">
        <f t="shared" ca="1" si="34"/>
        <v>0</v>
      </c>
      <c r="BF13" s="277">
        <f t="shared" ca="1" si="35"/>
        <v>0</v>
      </c>
      <c r="BG13" s="277">
        <f t="shared" ca="1" si="36"/>
        <v>0</v>
      </c>
      <c r="BH13" s="277">
        <f t="shared" ca="1" si="75"/>
        <v>0</v>
      </c>
      <c r="BI13" s="277">
        <f t="shared" ca="1" si="76"/>
        <v>0</v>
      </c>
      <c r="BJ13" s="277">
        <f t="shared" ca="1" si="37"/>
        <v>0</v>
      </c>
      <c r="BK13" s="277">
        <f t="shared" ca="1" si="38"/>
        <v>0</v>
      </c>
      <c r="BL13" s="277">
        <f t="shared" ca="1" si="39"/>
        <v>0</v>
      </c>
      <c r="BM13" s="277">
        <f t="shared" ca="1" si="40"/>
        <v>0</v>
      </c>
      <c r="BN13" s="277">
        <f t="shared" ca="1" si="41"/>
        <v>0</v>
      </c>
      <c r="BO13" s="277">
        <f t="shared" ca="1" si="42"/>
        <v>0</v>
      </c>
      <c r="BP13" s="277">
        <f t="shared" ca="1" si="77"/>
        <v>0</v>
      </c>
      <c r="BQ13" s="277">
        <f t="shared" ca="1" si="78"/>
        <v>0</v>
      </c>
      <c r="BR13" s="277">
        <f t="shared" ca="1" si="43"/>
        <v>0</v>
      </c>
      <c r="BS13" s="277">
        <f t="shared" ca="1" si="44"/>
        <v>0</v>
      </c>
      <c r="BT13" s="277">
        <f t="shared" ca="1" si="79"/>
        <v>0</v>
      </c>
      <c r="BU13" s="277">
        <f t="shared" ca="1" si="80"/>
        <v>0</v>
      </c>
      <c r="BV13" s="277">
        <f t="shared" ca="1" si="81"/>
        <v>0</v>
      </c>
      <c r="BW13" s="277">
        <f t="shared" ca="1" si="82"/>
        <v>0</v>
      </c>
      <c r="BX13" s="277">
        <f t="shared" ca="1" si="45"/>
        <v>0</v>
      </c>
      <c r="BY13" s="277">
        <f t="shared" ca="1" si="46"/>
        <v>0</v>
      </c>
      <c r="BZ13" s="277">
        <f t="shared" ca="1" si="47"/>
        <v>0</v>
      </c>
      <c r="CA13" s="277">
        <f t="shared" ca="1" si="48"/>
        <v>0</v>
      </c>
      <c r="CB13" s="277">
        <f t="shared" ca="1" si="49"/>
        <v>0</v>
      </c>
      <c r="CC13" s="277">
        <f t="shared" ca="1" si="50"/>
        <v>0</v>
      </c>
      <c r="CD13" s="277">
        <f t="shared" ca="1" si="83"/>
        <v>0</v>
      </c>
      <c r="CE13" s="277">
        <f t="shared" ca="1" si="84"/>
        <v>0</v>
      </c>
      <c r="CF13" s="277">
        <f t="shared" ca="1" si="85"/>
        <v>0</v>
      </c>
      <c r="CG13" s="277">
        <f t="shared" ca="1" si="86"/>
        <v>0</v>
      </c>
      <c r="CH13" s="277">
        <f t="shared" ca="1" si="51"/>
        <v>0</v>
      </c>
      <c r="CI13" s="277">
        <f t="shared" ca="1" si="52"/>
        <v>0</v>
      </c>
      <c r="CJ13" s="277">
        <f t="shared" ca="1" si="87"/>
        <v>0</v>
      </c>
      <c r="CK13" s="277">
        <f t="shared" ca="1" si="88"/>
        <v>0</v>
      </c>
      <c r="CL13" s="277">
        <f t="shared" ca="1" si="53"/>
        <v>0</v>
      </c>
      <c r="CM13" s="277">
        <f t="shared" ca="1" si="54"/>
        <v>0</v>
      </c>
      <c r="CN13" s="277">
        <f t="shared" ca="1" si="55"/>
        <v>0</v>
      </c>
      <c r="CO13" s="277">
        <f t="shared" ca="1" si="56"/>
        <v>0</v>
      </c>
      <c r="CP13" s="277">
        <f t="shared" ca="1" si="89"/>
        <v>0</v>
      </c>
      <c r="CQ13" s="277">
        <f t="shared" ca="1" si="90"/>
        <v>0</v>
      </c>
      <c r="CR13" s="277">
        <f t="shared" ca="1" si="91"/>
        <v>0</v>
      </c>
      <c r="CS13" s="277">
        <f t="shared" ca="1" si="92"/>
        <v>0</v>
      </c>
      <c r="CT13" s="277">
        <f t="shared" ca="1" si="57"/>
        <v>0</v>
      </c>
      <c r="CU13" s="277">
        <f t="shared" ca="1" si="58"/>
        <v>0</v>
      </c>
      <c r="CV13" s="277">
        <f t="shared" ca="1" si="59"/>
        <v>0</v>
      </c>
      <c r="CW13" s="277">
        <f t="shared" ca="1" si="60"/>
        <v>0</v>
      </c>
      <c r="CX13" s="277">
        <f t="shared" ca="1" si="93"/>
        <v>0</v>
      </c>
      <c r="CY13" s="277">
        <f t="shared" ca="1" si="94"/>
        <v>0</v>
      </c>
      <c r="CZ13" s="277">
        <f t="shared" ca="1" si="95"/>
        <v>0</v>
      </c>
      <c r="DA13" s="277">
        <f t="shared" ca="1" si="96"/>
        <v>0</v>
      </c>
    </row>
    <row r="14" spans="1:105" s="274" customFormat="1" ht="15" customHeight="1">
      <c r="A14" s="63">
        <f t="array" aca="1" ref="A14" ca="1">IF(C14&lt;&gt;0,SUM(($C$11:C14&lt;&gt;0)*1),"")</f>
        <v>4</v>
      </c>
      <c r="B14" s="275" t="str">
        <f ca="1">IF(ROWS($1:4)&gt;COUNT(Dong6),"",OFFSET(TH!C$1,SMALL(Dong6,ROWS($1:4)),))</f>
        <v/>
      </c>
      <c r="C14" s="275" t="str">
        <f ca="1">IF(ROWS($1:4)&gt;COUNT(Dong6),"",OFFSET(TH!D$1,SMALL(Dong6,ROWS($1:4)),))</f>
        <v/>
      </c>
      <c r="D14" s="275" t="str">
        <f ca="1">IF(ROWS($1:4)&gt;COUNT(Dong6),"",OFFSET(TH!E$1,SMALL(Dong6,ROWS($1:4)),))</f>
        <v/>
      </c>
      <c r="E14" s="325" t="str">
        <f ca="1">IF(ROWS($1:4)&gt;COUNT(Dong6),"",OFFSET(TH!F$1,SMALL(Dong6,ROWS($1:4)),))</f>
        <v/>
      </c>
      <c r="F14" s="326" t="str">
        <f ca="1">IF(ROWS($1:4)&gt;COUNT(Dong6),"",OFFSET(TH!M$1,SMALL(Dong6,ROWS($1:4)),))</f>
        <v/>
      </c>
      <c r="G14" s="327" t="str">
        <f ca="1">IF(ROWS($1:4)&gt;COUNT(Dong6),"",OFFSET(TH!N$1,SMALL(Dong6,ROWS($1:4)),))</f>
        <v/>
      </c>
      <c r="H14" s="327" t="str">
        <f ca="1">IF(ROWS($1:4)&gt;COUNT(Dong6),"",OFFSET(TH!O$1,SMALL(Dong6,ROWS($1:4)),))</f>
        <v/>
      </c>
      <c r="I14" s="63">
        <f t="shared" ca="1" si="0"/>
        <v>4</v>
      </c>
      <c r="J14" s="277">
        <f t="shared" ca="1" si="61"/>
        <v>0</v>
      </c>
      <c r="K14" s="277">
        <f t="shared" ca="1" si="62"/>
        <v>0</v>
      </c>
      <c r="L14" s="277">
        <f t="shared" ca="1" si="1"/>
        <v>0</v>
      </c>
      <c r="M14" s="277">
        <f t="shared" ca="1" si="2"/>
        <v>0</v>
      </c>
      <c r="N14" s="277">
        <f t="shared" ca="1" si="3"/>
        <v>0</v>
      </c>
      <c r="O14" s="277">
        <f t="shared" ca="1" si="4"/>
        <v>0</v>
      </c>
      <c r="P14" s="277">
        <f t="shared" ca="1" si="5"/>
        <v>0</v>
      </c>
      <c r="Q14" s="277">
        <f t="shared" ca="1" si="6"/>
        <v>0</v>
      </c>
      <c r="R14" s="277">
        <f t="shared" ca="1" si="7"/>
        <v>0</v>
      </c>
      <c r="S14" s="277">
        <f t="shared" ca="1" si="8"/>
        <v>0</v>
      </c>
      <c r="T14" s="277">
        <f t="shared" ca="1" si="9"/>
        <v>0</v>
      </c>
      <c r="U14" s="277">
        <f t="shared" ca="1" si="10"/>
        <v>0</v>
      </c>
      <c r="V14" s="277">
        <f t="shared" ca="1" si="11"/>
        <v>0</v>
      </c>
      <c r="W14" s="277">
        <f t="shared" ca="1" si="12"/>
        <v>0</v>
      </c>
      <c r="X14" s="277">
        <f t="shared" ca="1" si="13"/>
        <v>0</v>
      </c>
      <c r="Y14" s="277">
        <f t="shared" ca="1" si="14"/>
        <v>0</v>
      </c>
      <c r="Z14" s="277">
        <f t="shared" ca="1" si="15"/>
        <v>0</v>
      </c>
      <c r="AA14" s="277">
        <f t="shared" ca="1" si="16"/>
        <v>0</v>
      </c>
      <c r="AB14" s="277">
        <f t="shared" ca="1" si="63"/>
        <v>0</v>
      </c>
      <c r="AC14" s="277">
        <f t="shared" ca="1" si="64"/>
        <v>0</v>
      </c>
      <c r="AD14" s="277">
        <f t="shared" ca="1" si="17"/>
        <v>0</v>
      </c>
      <c r="AE14" s="277">
        <f t="shared" ca="1" si="18"/>
        <v>0</v>
      </c>
      <c r="AF14" s="277">
        <f t="shared" ca="1" si="19"/>
        <v>0</v>
      </c>
      <c r="AG14" s="277">
        <f t="shared" ca="1" si="20"/>
        <v>0</v>
      </c>
      <c r="AH14" s="277">
        <f t="shared" ca="1" si="65"/>
        <v>0</v>
      </c>
      <c r="AI14" s="277">
        <f t="shared" ca="1" si="66"/>
        <v>0</v>
      </c>
      <c r="AJ14" s="277">
        <f t="shared" ca="1" si="67"/>
        <v>0</v>
      </c>
      <c r="AK14" s="277">
        <f t="shared" ca="1" si="68"/>
        <v>0</v>
      </c>
      <c r="AL14" s="277">
        <f t="shared" ca="1" si="69"/>
        <v>0</v>
      </c>
      <c r="AM14" s="277">
        <f t="shared" ca="1" si="70"/>
        <v>0</v>
      </c>
      <c r="AN14" s="277">
        <f t="shared" ca="1" si="71"/>
        <v>0</v>
      </c>
      <c r="AO14" s="277">
        <f t="shared" ca="1" si="72"/>
        <v>0</v>
      </c>
      <c r="AP14" s="277">
        <f t="shared" ca="1" si="21"/>
        <v>0</v>
      </c>
      <c r="AQ14" s="277">
        <f t="shared" ca="1" si="22"/>
        <v>0</v>
      </c>
      <c r="AR14" s="277">
        <f t="shared" ca="1" si="23"/>
        <v>0</v>
      </c>
      <c r="AS14" s="277">
        <f t="shared" ca="1" si="24"/>
        <v>0</v>
      </c>
      <c r="AT14" s="277">
        <f t="shared" ca="1" si="73"/>
        <v>0</v>
      </c>
      <c r="AU14" s="277">
        <f t="shared" ca="1" si="74"/>
        <v>0</v>
      </c>
      <c r="AV14" s="277">
        <f t="shared" ca="1" si="25"/>
        <v>0</v>
      </c>
      <c r="AW14" s="277">
        <f t="shared" ca="1" si="26"/>
        <v>0</v>
      </c>
      <c r="AX14" s="277">
        <f t="shared" ca="1" si="27"/>
        <v>0</v>
      </c>
      <c r="AY14" s="277">
        <f t="shared" ca="1" si="28"/>
        <v>0</v>
      </c>
      <c r="AZ14" s="277">
        <f t="shared" ca="1" si="29"/>
        <v>0</v>
      </c>
      <c r="BA14" s="277">
        <f t="shared" ca="1" si="30"/>
        <v>0</v>
      </c>
      <c r="BB14" s="277">
        <f t="shared" ca="1" si="31"/>
        <v>0</v>
      </c>
      <c r="BC14" s="277">
        <f t="shared" ca="1" si="32"/>
        <v>0</v>
      </c>
      <c r="BD14" s="277">
        <f t="shared" ca="1" si="33"/>
        <v>0</v>
      </c>
      <c r="BE14" s="277">
        <f t="shared" ca="1" si="34"/>
        <v>0</v>
      </c>
      <c r="BF14" s="277">
        <f t="shared" ca="1" si="35"/>
        <v>0</v>
      </c>
      <c r="BG14" s="277">
        <f t="shared" ca="1" si="36"/>
        <v>0</v>
      </c>
      <c r="BH14" s="277">
        <f t="shared" ca="1" si="75"/>
        <v>0</v>
      </c>
      <c r="BI14" s="277">
        <f t="shared" ca="1" si="76"/>
        <v>0</v>
      </c>
      <c r="BJ14" s="277">
        <f t="shared" ca="1" si="37"/>
        <v>0</v>
      </c>
      <c r="BK14" s="277">
        <f t="shared" ca="1" si="38"/>
        <v>0</v>
      </c>
      <c r="BL14" s="277">
        <f t="shared" ca="1" si="39"/>
        <v>0</v>
      </c>
      <c r="BM14" s="277">
        <f t="shared" ca="1" si="40"/>
        <v>0</v>
      </c>
      <c r="BN14" s="277">
        <f t="shared" ca="1" si="41"/>
        <v>0</v>
      </c>
      <c r="BO14" s="277">
        <f t="shared" ca="1" si="42"/>
        <v>0</v>
      </c>
      <c r="BP14" s="277">
        <f t="shared" ca="1" si="77"/>
        <v>0</v>
      </c>
      <c r="BQ14" s="277">
        <f t="shared" ca="1" si="78"/>
        <v>0</v>
      </c>
      <c r="BR14" s="277">
        <f t="shared" ca="1" si="43"/>
        <v>0</v>
      </c>
      <c r="BS14" s="277">
        <f t="shared" ca="1" si="44"/>
        <v>0</v>
      </c>
      <c r="BT14" s="277">
        <f t="shared" ca="1" si="79"/>
        <v>0</v>
      </c>
      <c r="BU14" s="277">
        <f t="shared" ca="1" si="80"/>
        <v>0</v>
      </c>
      <c r="BV14" s="277">
        <f t="shared" ca="1" si="81"/>
        <v>0</v>
      </c>
      <c r="BW14" s="277">
        <f t="shared" ca="1" si="82"/>
        <v>0</v>
      </c>
      <c r="BX14" s="277">
        <f t="shared" ca="1" si="45"/>
        <v>0</v>
      </c>
      <c r="BY14" s="277">
        <f t="shared" ca="1" si="46"/>
        <v>0</v>
      </c>
      <c r="BZ14" s="277">
        <f t="shared" ca="1" si="47"/>
        <v>0</v>
      </c>
      <c r="CA14" s="277">
        <f t="shared" ca="1" si="48"/>
        <v>0</v>
      </c>
      <c r="CB14" s="277">
        <f t="shared" ca="1" si="49"/>
        <v>0</v>
      </c>
      <c r="CC14" s="277">
        <f t="shared" ca="1" si="50"/>
        <v>0</v>
      </c>
      <c r="CD14" s="277">
        <f t="shared" ca="1" si="83"/>
        <v>0</v>
      </c>
      <c r="CE14" s="277">
        <f t="shared" ca="1" si="84"/>
        <v>0</v>
      </c>
      <c r="CF14" s="277">
        <f t="shared" ca="1" si="85"/>
        <v>0</v>
      </c>
      <c r="CG14" s="277">
        <f t="shared" ca="1" si="86"/>
        <v>0</v>
      </c>
      <c r="CH14" s="277">
        <f t="shared" ca="1" si="51"/>
        <v>0</v>
      </c>
      <c r="CI14" s="277">
        <f t="shared" ca="1" si="52"/>
        <v>0</v>
      </c>
      <c r="CJ14" s="277">
        <f t="shared" ca="1" si="87"/>
        <v>0</v>
      </c>
      <c r="CK14" s="277">
        <f t="shared" ca="1" si="88"/>
        <v>0</v>
      </c>
      <c r="CL14" s="277">
        <f t="shared" ca="1" si="53"/>
        <v>0</v>
      </c>
      <c r="CM14" s="277">
        <f t="shared" ca="1" si="54"/>
        <v>0</v>
      </c>
      <c r="CN14" s="277">
        <f t="shared" ca="1" si="55"/>
        <v>0</v>
      </c>
      <c r="CO14" s="277">
        <f t="shared" ca="1" si="56"/>
        <v>0</v>
      </c>
      <c r="CP14" s="277">
        <f t="shared" ca="1" si="89"/>
        <v>0</v>
      </c>
      <c r="CQ14" s="277">
        <f t="shared" ca="1" si="90"/>
        <v>0</v>
      </c>
      <c r="CR14" s="277">
        <f t="shared" ca="1" si="91"/>
        <v>0</v>
      </c>
      <c r="CS14" s="277">
        <f t="shared" ca="1" si="92"/>
        <v>0</v>
      </c>
      <c r="CT14" s="277">
        <f t="shared" ca="1" si="57"/>
        <v>0</v>
      </c>
      <c r="CU14" s="277">
        <f t="shared" ca="1" si="58"/>
        <v>0</v>
      </c>
      <c r="CV14" s="277">
        <f t="shared" ca="1" si="59"/>
        <v>0</v>
      </c>
      <c r="CW14" s="277">
        <f t="shared" ca="1" si="60"/>
        <v>0</v>
      </c>
      <c r="CX14" s="277">
        <f t="shared" ca="1" si="93"/>
        <v>0</v>
      </c>
      <c r="CY14" s="277">
        <f t="shared" ca="1" si="94"/>
        <v>0</v>
      </c>
      <c r="CZ14" s="277">
        <f t="shared" ca="1" si="95"/>
        <v>0</v>
      </c>
      <c r="DA14" s="277">
        <f t="shared" ca="1" si="96"/>
        <v>0</v>
      </c>
    </row>
    <row r="15" spans="1:105" s="274" customFormat="1" ht="15" customHeight="1">
      <c r="A15" s="63">
        <f t="array" aca="1" ref="A15" ca="1">IF(C15&lt;&gt;0,SUM(($C$11:C15&lt;&gt;0)*1),"")</f>
        <v>5</v>
      </c>
      <c r="B15" s="275" t="str">
        <f ca="1">IF(ROWS($1:5)&gt;COUNT(Dong6),"",OFFSET(TH!C$1,SMALL(Dong6,ROWS($1:5)),))</f>
        <v/>
      </c>
      <c r="C15" s="275" t="str">
        <f ca="1">IF(ROWS($1:5)&gt;COUNT(Dong6),"",OFFSET(TH!D$1,SMALL(Dong6,ROWS($1:5)),))</f>
        <v/>
      </c>
      <c r="D15" s="275" t="str">
        <f ca="1">IF(ROWS($1:5)&gt;COUNT(Dong6),"",OFFSET(TH!E$1,SMALL(Dong6,ROWS($1:5)),))</f>
        <v/>
      </c>
      <c r="E15" s="325" t="str">
        <f ca="1">IF(ROWS($1:5)&gt;COUNT(Dong6),"",OFFSET(TH!F$1,SMALL(Dong6,ROWS($1:5)),))</f>
        <v/>
      </c>
      <c r="F15" s="326" t="str">
        <f ca="1">IF(ROWS($1:5)&gt;COUNT(Dong6),"",OFFSET(TH!M$1,SMALL(Dong6,ROWS($1:5)),))</f>
        <v/>
      </c>
      <c r="G15" s="327" t="str">
        <f ca="1">IF(ROWS($1:5)&gt;COUNT(Dong6),"",OFFSET(TH!N$1,SMALL(Dong6,ROWS($1:5)),))</f>
        <v/>
      </c>
      <c r="H15" s="327" t="str">
        <f ca="1">IF(ROWS($1:5)&gt;COUNT(Dong6),"",OFFSET(TH!O$1,SMALL(Dong6,ROWS($1:5)),))</f>
        <v/>
      </c>
      <c r="I15" s="63">
        <f t="shared" ca="1" si="0"/>
        <v>5</v>
      </c>
      <c r="J15" s="277">
        <f t="shared" ca="1" si="61"/>
        <v>0</v>
      </c>
      <c r="K15" s="277">
        <f t="shared" ca="1" si="62"/>
        <v>0</v>
      </c>
      <c r="L15" s="277">
        <f t="shared" ca="1" si="1"/>
        <v>0</v>
      </c>
      <c r="M15" s="277">
        <f t="shared" ca="1" si="2"/>
        <v>0</v>
      </c>
      <c r="N15" s="277">
        <f t="shared" ca="1" si="3"/>
        <v>0</v>
      </c>
      <c r="O15" s="277">
        <f t="shared" ca="1" si="4"/>
        <v>0</v>
      </c>
      <c r="P15" s="277">
        <f t="shared" ca="1" si="5"/>
        <v>0</v>
      </c>
      <c r="Q15" s="277">
        <f t="shared" ca="1" si="6"/>
        <v>0</v>
      </c>
      <c r="R15" s="277">
        <f t="shared" ca="1" si="7"/>
        <v>0</v>
      </c>
      <c r="S15" s="277">
        <f t="shared" ca="1" si="8"/>
        <v>0</v>
      </c>
      <c r="T15" s="277">
        <f t="shared" ca="1" si="9"/>
        <v>0</v>
      </c>
      <c r="U15" s="277">
        <f t="shared" ca="1" si="10"/>
        <v>0</v>
      </c>
      <c r="V15" s="277">
        <f t="shared" ca="1" si="11"/>
        <v>0</v>
      </c>
      <c r="W15" s="277">
        <f t="shared" ca="1" si="12"/>
        <v>0</v>
      </c>
      <c r="X15" s="277">
        <f t="shared" ca="1" si="13"/>
        <v>0</v>
      </c>
      <c r="Y15" s="277">
        <f t="shared" ca="1" si="14"/>
        <v>0</v>
      </c>
      <c r="Z15" s="277">
        <f t="shared" ca="1" si="15"/>
        <v>0</v>
      </c>
      <c r="AA15" s="277">
        <f t="shared" ca="1" si="16"/>
        <v>0</v>
      </c>
      <c r="AB15" s="277">
        <f t="shared" ca="1" si="63"/>
        <v>0</v>
      </c>
      <c r="AC15" s="277">
        <f t="shared" ca="1" si="64"/>
        <v>0</v>
      </c>
      <c r="AD15" s="277">
        <f t="shared" ca="1" si="17"/>
        <v>0</v>
      </c>
      <c r="AE15" s="277">
        <f t="shared" ca="1" si="18"/>
        <v>0</v>
      </c>
      <c r="AF15" s="277">
        <f t="shared" ca="1" si="19"/>
        <v>0</v>
      </c>
      <c r="AG15" s="277">
        <f t="shared" ca="1" si="20"/>
        <v>0</v>
      </c>
      <c r="AH15" s="277">
        <f t="shared" ca="1" si="65"/>
        <v>0</v>
      </c>
      <c r="AI15" s="277">
        <f t="shared" ca="1" si="66"/>
        <v>0</v>
      </c>
      <c r="AJ15" s="277">
        <f t="shared" ca="1" si="67"/>
        <v>0</v>
      </c>
      <c r="AK15" s="277">
        <f t="shared" ca="1" si="68"/>
        <v>0</v>
      </c>
      <c r="AL15" s="277">
        <f t="shared" ca="1" si="69"/>
        <v>0</v>
      </c>
      <c r="AM15" s="277">
        <f t="shared" ca="1" si="70"/>
        <v>0</v>
      </c>
      <c r="AN15" s="277">
        <f t="shared" ca="1" si="71"/>
        <v>0</v>
      </c>
      <c r="AO15" s="277">
        <f t="shared" ca="1" si="72"/>
        <v>0</v>
      </c>
      <c r="AP15" s="277">
        <f t="shared" ca="1" si="21"/>
        <v>0</v>
      </c>
      <c r="AQ15" s="277">
        <f t="shared" ca="1" si="22"/>
        <v>0</v>
      </c>
      <c r="AR15" s="277">
        <f t="shared" ca="1" si="23"/>
        <v>0</v>
      </c>
      <c r="AS15" s="277">
        <f t="shared" ca="1" si="24"/>
        <v>0</v>
      </c>
      <c r="AT15" s="277">
        <f t="shared" ca="1" si="73"/>
        <v>0</v>
      </c>
      <c r="AU15" s="277">
        <f t="shared" ca="1" si="74"/>
        <v>0</v>
      </c>
      <c r="AV15" s="277">
        <f t="shared" ca="1" si="25"/>
        <v>0</v>
      </c>
      <c r="AW15" s="277">
        <f t="shared" ca="1" si="26"/>
        <v>0</v>
      </c>
      <c r="AX15" s="277">
        <f t="shared" ca="1" si="27"/>
        <v>0</v>
      </c>
      <c r="AY15" s="277">
        <f t="shared" ca="1" si="28"/>
        <v>0</v>
      </c>
      <c r="AZ15" s="277">
        <f t="shared" ca="1" si="29"/>
        <v>0</v>
      </c>
      <c r="BA15" s="277">
        <f t="shared" ca="1" si="30"/>
        <v>0</v>
      </c>
      <c r="BB15" s="277">
        <f t="shared" ca="1" si="31"/>
        <v>0</v>
      </c>
      <c r="BC15" s="277">
        <f t="shared" ca="1" si="32"/>
        <v>0</v>
      </c>
      <c r="BD15" s="277">
        <f t="shared" ca="1" si="33"/>
        <v>0</v>
      </c>
      <c r="BE15" s="277">
        <f t="shared" ca="1" si="34"/>
        <v>0</v>
      </c>
      <c r="BF15" s="277">
        <f t="shared" ca="1" si="35"/>
        <v>0</v>
      </c>
      <c r="BG15" s="277">
        <f t="shared" ca="1" si="36"/>
        <v>0</v>
      </c>
      <c r="BH15" s="277">
        <f t="shared" ca="1" si="75"/>
        <v>0</v>
      </c>
      <c r="BI15" s="277">
        <f t="shared" ca="1" si="76"/>
        <v>0</v>
      </c>
      <c r="BJ15" s="277">
        <f t="shared" ca="1" si="37"/>
        <v>0</v>
      </c>
      <c r="BK15" s="277">
        <f t="shared" ca="1" si="38"/>
        <v>0</v>
      </c>
      <c r="BL15" s="277">
        <f t="shared" ca="1" si="39"/>
        <v>0</v>
      </c>
      <c r="BM15" s="277">
        <f t="shared" ca="1" si="40"/>
        <v>0</v>
      </c>
      <c r="BN15" s="277">
        <f t="shared" ca="1" si="41"/>
        <v>0</v>
      </c>
      <c r="BO15" s="277">
        <f t="shared" ca="1" si="42"/>
        <v>0</v>
      </c>
      <c r="BP15" s="277">
        <f t="shared" ca="1" si="77"/>
        <v>0</v>
      </c>
      <c r="BQ15" s="277">
        <f t="shared" ca="1" si="78"/>
        <v>0</v>
      </c>
      <c r="BR15" s="277">
        <f t="shared" ca="1" si="43"/>
        <v>0</v>
      </c>
      <c r="BS15" s="277">
        <f t="shared" ca="1" si="44"/>
        <v>0</v>
      </c>
      <c r="BT15" s="277">
        <f t="shared" ca="1" si="79"/>
        <v>0</v>
      </c>
      <c r="BU15" s="277">
        <f t="shared" ca="1" si="80"/>
        <v>0</v>
      </c>
      <c r="BV15" s="277">
        <f t="shared" ca="1" si="81"/>
        <v>0</v>
      </c>
      <c r="BW15" s="277">
        <f t="shared" ca="1" si="82"/>
        <v>0</v>
      </c>
      <c r="BX15" s="277">
        <f t="shared" ca="1" si="45"/>
        <v>0</v>
      </c>
      <c r="BY15" s="277">
        <f t="shared" ca="1" si="46"/>
        <v>0</v>
      </c>
      <c r="BZ15" s="277">
        <f t="shared" ca="1" si="47"/>
        <v>0</v>
      </c>
      <c r="CA15" s="277">
        <f t="shared" ca="1" si="48"/>
        <v>0</v>
      </c>
      <c r="CB15" s="277">
        <f t="shared" ca="1" si="49"/>
        <v>0</v>
      </c>
      <c r="CC15" s="277">
        <f t="shared" ca="1" si="50"/>
        <v>0</v>
      </c>
      <c r="CD15" s="277">
        <f t="shared" ca="1" si="83"/>
        <v>0</v>
      </c>
      <c r="CE15" s="277">
        <f t="shared" ca="1" si="84"/>
        <v>0</v>
      </c>
      <c r="CF15" s="277">
        <f t="shared" ca="1" si="85"/>
        <v>0</v>
      </c>
      <c r="CG15" s="277">
        <f t="shared" ca="1" si="86"/>
        <v>0</v>
      </c>
      <c r="CH15" s="277">
        <f t="shared" ca="1" si="51"/>
        <v>0</v>
      </c>
      <c r="CI15" s="277">
        <f t="shared" ca="1" si="52"/>
        <v>0</v>
      </c>
      <c r="CJ15" s="277">
        <f t="shared" ca="1" si="87"/>
        <v>0</v>
      </c>
      <c r="CK15" s="277">
        <f t="shared" ca="1" si="88"/>
        <v>0</v>
      </c>
      <c r="CL15" s="277">
        <f t="shared" ca="1" si="53"/>
        <v>0</v>
      </c>
      <c r="CM15" s="277">
        <f t="shared" ca="1" si="54"/>
        <v>0</v>
      </c>
      <c r="CN15" s="277">
        <f t="shared" ca="1" si="55"/>
        <v>0</v>
      </c>
      <c r="CO15" s="277">
        <f t="shared" ca="1" si="56"/>
        <v>0</v>
      </c>
      <c r="CP15" s="277">
        <f t="shared" ca="1" si="89"/>
        <v>0</v>
      </c>
      <c r="CQ15" s="277">
        <f t="shared" ca="1" si="90"/>
        <v>0</v>
      </c>
      <c r="CR15" s="277">
        <f t="shared" ca="1" si="91"/>
        <v>0</v>
      </c>
      <c r="CS15" s="277">
        <f t="shared" ca="1" si="92"/>
        <v>0</v>
      </c>
      <c r="CT15" s="277">
        <f t="shared" ca="1" si="57"/>
        <v>0</v>
      </c>
      <c r="CU15" s="277">
        <f t="shared" ca="1" si="58"/>
        <v>0</v>
      </c>
      <c r="CV15" s="277">
        <f t="shared" ca="1" si="59"/>
        <v>0</v>
      </c>
      <c r="CW15" s="277">
        <f t="shared" ca="1" si="60"/>
        <v>0</v>
      </c>
      <c r="CX15" s="277">
        <f t="shared" ca="1" si="93"/>
        <v>0</v>
      </c>
      <c r="CY15" s="277">
        <f t="shared" ca="1" si="94"/>
        <v>0</v>
      </c>
      <c r="CZ15" s="277">
        <f t="shared" ca="1" si="95"/>
        <v>0</v>
      </c>
      <c r="DA15" s="277">
        <f t="shared" ca="1" si="96"/>
        <v>0</v>
      </c>
    </row>
    <row r="16" spans="1:105" s="274" customFormat="1" ht="15" customHeight="1">
      <c r="A16" s="63">
        <f t="array" aca="1" ref="A16" ca="1">IF(C16&lt;&gt;0,SUM(($C$11:C16&lt;&gt;0)*1),"")</f>
        <v>6</v>
      </c>
      <c r="B16" s="275" t="str">
        <f ca="1">IF(ROWS($1:6)&gt;COUNT(Dong6),"",OFFSET(TH!C$1,SMALL(Dong6,ROWS($1:6)),))</f>
        <v/>
      </c>
      <c r="C16" s="275" t="str">
        <f ca="1">IF(ROWS($1:6)&gt;COUNT(Dong6),"",OFFSET(TH!D$1,SMALL(Dong6,ROWS($1:6)),))</f>
        <v/>
      </c>
      <c r="D16" s="275" t="str">
        <f ca="1">IF(ROWS($1:6)&gt;COUNT(Dong6),"",OFFSET(TH!E$1,SMALL(Dong6,ROWS($1:6)),))</f>
        <v/>
      </c>
      <c r="E16" s="325" t="str">
        <f ca="1">IF(ROWS($1:6)&gt;COUNT(Dong6),"",OFFSET(TH!F$1,SMALL(Dong6,ROWS($1:6)),))</f>
        <v/>
      </c>
      <c r="F16" s="326" t="str">
        <f ca="1">IF(ROWS($1:6)&gt;COUNT(Dong6),"",OFFSET(TH!M$1,SMALL(Dong6,ROWS($1:6)),))</f>
        <v/>
      </c>
      <c r="G16" s="327" t="str">
        <f ca="1">IF(ROWS($1:6)&gt;COUNT(Dong6),"",OFFSET(TH!N$1,SMALL(Dong6,ROWS($1:6)),))</f>
        <v/>
      </c>
      <c r="H16" s="327" t="str">
        <f ca="1">IF(ROWS($1:6)&gt;COUNT(Dong6),"",OFFSET(TH!O$1,SMALL(Dong6,ROWS($1:6)),))</f>
        <v/>
      </c>
      <c r="I16" s="63">
        <f t="shared" ca="1" si="0"/>
        <v>6</v>
      </c>
      <c r="J16" s="277">
        <f t="shared" ca="1" si="61"/>
        <v>0</v>
      </c>
      <c r="K16" s="277">
        <f t="shared" ca="1" si="62"/>
        <v>0</v>
      </c>
      <c r="L16" s="277">
        <f t="shared" ca="1" si="1"/>
        <v>0</v>
      </c>
      <c r="M16" s="277">
        <f t="shared" ca="1" si="2"/>
        <v>0</v>
      </c>
      <c r="N16" s="277">
        <f t="shared" ca="1" si="3"/>
        <v>0</v>
      </c>
      <c r="O16" s="277">
        <f t="shared" ca="1" si="4"/>
        <v>0</v>
      </c>
      <c r="P16" s="277">
        <f t="shared" ca="1" si="5"/>
        <v>0</v>
      </c>
      <c r="Q16" s="277">
        <f t="shared" ca="1" si="6"/>
        <v>0</v>
      </c>
      <c r="R16" s="277">
        <f t="shared" ca="1" si="7"/>
        <v>0</v>
      </c>
      <c r="S16" s="277">
        <f t="shared" ca="1" si="8"/>
        <v>0</v>
      </c>
      <c r="T16" s="277">
        <f t="shared" ca="1" si="9"/>
        <v>0</v>
      </c>
      <c r="U16" s="277">
        <f t="shared" ca="1" si="10"/>
        <v>0</v>
      </c>
      <c r="V16" s="277">
        <f t="shared" ca="1" si="11"/>
        <v>0</v>
      </c>
      <c r="W16" s="277">
        <f t="shared" ca="1" si="12"/>
        <v>0</v>
      </c>
      <c r="X16" s="277">
        <f t="shared" ca="1" si="13"/>
        <v>0</v>
      </c>
      <c r="Y16" s="277">
        <f t="shared" ca="1" si="14"/>
        <v>0</v>
      </c>
      <c r="Z16" s="277">
        <f t="shared" ca="1" si="15"/>
        <v>0</v>
      </c>
      <c r="AA16" s="277">
        <f t="shared" ca="1" si="16"/>
        <v>0</v>
      </c>
      <c r="AB16" s="277">
        <f t="shared" ca="1" si="63"/>
        <v>0</v>
      </c>
      <c r="AC16" s="277">
        <f t="shared" ca="1" si="64"/>
        <v>0</v>
      </c>
      <c r="AD16" s="277">
        <f t="shared" ca="1" si="17"/>
        <v>0</v>
      </c>
      <c r="AE16" s="277">
        <f t="shared" ca="1" si="18"/>
        <v>0</v>
      </c>
      <c r="AF16" s="277">
        <f t="shared" ca="1" si="19"/>
        <v>0</v>
      </c>
      <c r="AG16" s="277">
        <f t="shared" ca="1" si="20"/>
        <v>0</v>
      </c>
      <c r="AH16" s="277">
        <f t="shared" ca="1" si="65"/>
        <v>0</v>
      </c>
      <c r="AI16" s="277">
        <f t="shared" ca="1" si="66"/>
        <v>0</v>
      </c>
      <c r="AJ16" s="277">
        <f t="shared" ca="1" si="67"/>
        <v>0</v>
      </c>
      <c r="AK16" s="277">
        <f t="shared" ca="1" si="68"/>
        <v>0</v>
      </c>
      <c r="AL16" s="277">
        <f t="shared" ca="1" si="69"/>
        <v>0</v>
      </c>
      <c r="AM16" s="277">
        <f t="shared" ca="1" si="70"/>
        <v>0</v>
      </c>
      <c r="AN16" s="277">
        <f t="shared" ca="1" si="71"/>
        <v>0</v>
      </c>
      <c r="AO16" s="277">
        <f t="shared" ca="1" si="72"/>
        <v>0</v>
      </c>
      <c r="AP16" s="277">
        <f t="shared" ca="1" si="21"/>
        <v>0</v>
      </c>
      <c r="AQ16" s="277">
        <f t="shared" ca="1" si="22"/>
        <v>0</v>
      </c>
      <c r="AR16" s="277">
        <f t="shared" ca="1" si="23"/>
        <v>0</v>
      </c>
      <c r="AS16" s="277">
        <f t="shared" ca="1" si="24"/>
        <v>0</v>
      </c>
      <c r="AT16" s="277">
        <f t="shared" ca="1" si="73"/>
        <v>0</v>
      </c>
      <c r="AU16" s="277">
        <f t="shared" ca="1" si="74"/>
        <v>0</v>
      </c>
      <c r="AV16" s="277">
        <f t="shared" ca="1" si="25"/>
        <v>0</v>
      </c>
      <c r="AW16" s="277">
        <f t="shared" ca="1" si="26"/>
        <v>0</v>
      </c>
      <c r="AX16" s="277">
        <f t="shared" ca="1" si="27"/>
        <v>0</v>
      </c>
      <c r="AY16" s="277">
        <f t="shared" ca="1" si="28"/>
        <v>0</v>
      </c>
      <c r="AZ16" s="277">
        <f t="shared" ca="1" si="29"/>
        <v>0</v>
      </c>
      <c r="BA16" s="277">
        <f t="shared" ca="1" si="30"/>
        <v>0</v>
      </c>
      <c r="BB16" s="277">
        <f t="shared" ca="1" si="31"/>
        <v>0</v>
      </c>
      <c r="BC16" s="277">
        <f t="shared" ca="1" si="32"/>
        <v>0</v>
      </c>
      <c r="BD16" s="277">
        <f t="shared" ca="1" si="33"/>
        <v>0</v>
      </c>
      <c r="BE16" s="277">
        <f t="shared" ca="1" si="34"/>
        <v>0</v>
      </c>
      <c r="BF16" s="277">
        <f t="shared" ca="1" si="35"/>
        <v>0</v>
      </c>
      <c r="BG16" s="277">
        <f t="shared" ca="1" si="36"/>
        <v>0</v>
      </c>
      <c r="BH16" s="277">
        <f t="shared" ca="1" si="75"/>
        <v>0</v>
      </c>
      <c r="BI16" s="277">
        <f t="shared" ca="1" si="76"/>
        <v>0</v>
      </c>
      <c r="BJ16" s="277">
        <f t="shared" ca="1" si="37"/>
        <v>0</v>
      </c>
      <c r="BK16" s="277">
        <f t="shared" ca="1" si="38"/>
        <v>0</v>
      </c>
      <c r="BL16" s="277">
        <f t="shared" ca="1" si="39"/>
        <v>0</v>
      </c>
      <c r="BM16" s="277">
        <f t="shared" ca="1" si="40"/>
        <v>0</v>
      </c>
      <c r="BN16" s="277">
        <f t="shared" ca="1" si="41"/>
        <v>0</v>
      </c>
      <c r="BO16" s="277">
        <f t="shared" ca="1" si="42"/>
        <v>0</v>
      </c>
      <c r="BP16" s="277">
        <f t="shared" ca="1" si="77"/>
        <v>0</v>
      </c>
      <c r="BQ16" s="277">
        <f t="shared" ca="1" si="78"/>
        <v>0</v>
      </c>
      <c r="BR16" s="277">
        <f t="shared" ca="1" si="43"/>
        <v>0</v>
      </c>
      <c r="BS16" s="277">
        <f t="shared" ca="1" si="44"/>
        <v>0</v>
      </c>
      <c r="BT16" s="277">
        <f t="shared" ca="1" si="79"/>
        <v>0</v>
      </c>
      <c r="BU16" s="277">
        <f t="shared" ca="1" si="80"/>
        <v>0</v>
      </c>
      <c r="BV16" s="277">
        <f t="shared" ca="1" si="81"/>
        <v>0</v>
      </c>
      <c r="BW16" s="277">
        <f t="shared" ca="1" si="82"/>
        <v>0</v>
      </c>
      <c r="BX16" s="277">
        <f t="shared" ca="1" si="45"/>
        <v>0</v>
      </c>
      <c r="BY16" s="277">
        <f t="shared" ca="1" si="46"/>
        <v>0</v>
      </c>
      <c r="BZ16" s="277">
        <f t="shared" ca="1" si="47"/>
        <v>0</v>
      </c>
      <c r="CA16" s="277">
        <f t="shared" ca="1" si="48"/>
        <v>0</v>
      </c>
      <c r="CB16" s="277">
        <f t="shared" ca="1" si="49"/>
        <v>0</v>
      </c>
      <c r="CC16" s="277">
        <f t="shared" ca="1" si="50"/>
        <v>0</v>
      </c>
      <c r="CD16" s="277">
        <f t="shared" ca="1" si="83"/>
        <v>0</v>
      </c>
      <c r="CE16" s="277">
        <f t="shared" ca="1" si="84"/>
        <v>0</v>
      </c>
      <c r="CF16" s="277">
        <f t="shared" ca="1" si="85"/>
        <v>0</v>
      </c>
      <c r="CG16" s="277">
        <f t="shared" ca="1" si="86"/>
        <v>0</v>
      </c>
      <c r="CH16" s="277">
        <f t="shared" ca="1" si="51"/>
        <v>0</v>
      </c>
      <c r="CI16" s="277">
        <f t="shared" ca="1" si="52"/>
        <v>0</v>
      </c>
      <c r="CJ16" s="277">
        <f t="shared" ca="1" si="87"/>
        <v>0</v>
      </c>
      <c r="CK16" s="277">
        <f t="shared" ca="1" si="88"/>
        <v>0</v>
      </c>
      <c r="CL16" s="277">
        <f t="shared" ca="1" si="53"/>
        <v>0</v>
      </c>
      <c r="CM16" s="277">
        <f t="shared" ca="1" si="54"/>
        <v>0</v>
      </c>
      <c r="CN16" s="277">
        <f t="shared" ca="1" si="55"/>
        <v>0</v>
      </c>
      <c r="CO16" s="277">
        <f t="shared" ca="1" si="56"/>
        <v>0</v>
      </c>
      <c r="CP16" s="277">
        <f t="shared" ca="1" si="89"/>
        <v>0</v>
      </c>
      <c r="CQ16" s="277">
        <f t="shared" ca="1" si="90"/>
        <v>0</v>
      </c>
      <c r="CR16" s="277">
        <f t="shared" ca="1" si="91"/>
        <v>0</v>
      </c>
      <c r="CS16" s="277">
        <f t="shared" ca="1" si="92"/>
        <v>0</v>
      </c>
      <c r="CT16" s="277">
        <f t="shared" ca="1" si="57"/>
        <v>0</v>
      </c>
      <c r="CU16" s="277">
        <f t="shared" ca="1" si="58"/>
        <v>0</v>
      </c>
      <c r="CV16" s="277">
        <f t="shared" ca="1" si="59"/>
        <v>0</v>
      </c>
      <c r="CW16" s="277">
        <f t="shared" ca="1" si="60"/>
        <v>0</v>
      </c>
      <c r="CX16" s="277">
        <f t="shared" ca="1" si="93"/>
        <v>0</v>
      </c>
      <c r="CY16" s="277">
        <f t="shared" ca="1" si="94"/>
        <v>0</v>
      </c>
      <c r="CZ16" s="277">
        <f t="shared" ca="1" si="95"/>
        <v>0</v>
      </c>
      <c r="DA16" s="277">
        <f t="shared" ca="1" si="96"/>
        <v>0</v>
      </c>
    </row>
    <row r="17" spans="1:105" s="274" customFormat="1" ht="15" customHeight="1">
      <c r="A17" s="63">
        <f t="array" aca="1" ref="A17" ca="1">IF(C17&lt;&gt;0,SUM(($C$11:C17&lt;&gt;0)*1),"")</f>
        <v>7</v>
      </c>
      <c r="B17" s="275" t="str">
        <f ca="1">IF(ROWS($1:7)&gt;COUNT(Dong6),"",OFFSET(TH!C$1,SMALL(Dong6,ROWS($1:7)),))</f>
        <v/>
      </c>
      <c r="C17" s="275" t="str">
        <f ca="1">IF(ROWS($1:7)&gt;COUNT(Dong6),"",OFFSET(TH!D$1,SMALL(Dong6,ROWS($1:7)),))</f>
        <v/>
      </c>
      <c r="D17" s="275" t="str">
        <f ca="1">IF(ROWS($1:7)&gt;COUNT(Dong6),"",OFFSET(TH!E$1,SMALL(Dong6,ROWS($1:7)),))</f>
        <v/>
      </c>
      <c r="E17" s="325" t="str">
        <f ca="1">IF(ROWS($1:7)&gt;COUNT(Dong6),"",OFFSET(TH!F$1,SMALL(Dong6,ROWS($1:7)),))</f>
        <v/>
      </c>
      <c r="F17" s="326" t="str">
        <f ca="1">IF(ROWS($1:7)&gt;COUNT(Dong6),"",OFFSET(TH!M$1,SMALL(Dong6,ROWS($1:7)),))</f>
        <v/>
      </c>
      <c r="G17" s="327" t="str">
        <f ca="1">IF(ROWS($1:7)&gt;COUNT(Dong6),"",OFFSET(TH!N$1,SMALL(Dong6,ROWS($1:7)),))</f>
        <v/>
      </c>
      <c r="H17" s="327" t="str">
        <f ca="1">IF(ROWS($1:7)&gt;COUNT(Dong6),"",OFFSET(TH!O$1,SMALL(Dong6,ROWS($1:7)),))</f>
        <v/>
      </c>
      <c r="I17" s="63">
        <f t="shared" ca="1" si="0"/>
        <v>7</v>
      </c>
      <c r="J17" s="277">
        <f t="shared" ca="1" si="61"/>
        <v>0</v>
      </c>
      <c r="K17" s="277">
        <f t="shared" ca="1" si="62"/>
        <v>0</v>
      </c>
      <c r="L17" s="277">
        <f t="shared" ca="1" si="1"/>
        <v>0</v>
      </c>
      <c r="M17" s="277">
        <f t="shared" ca="1" si="2"/>
        <v>0</v>
      </c>
      <c r="N17" s="277">
        <f t="shared" ca="1" si="3"/>
        <v>0</v>
      </c>
      <c r="O17" s="277">
        <f t="shared" ca="1" si="4"/>
        <v>0</v>
      </c>
      <c r="P17" s="277">
        <f t="shared" ca="1" si="5"/>
        <v>0</v>
      </c>
      <c r="Q17" s="277">
        <f t="shared" ca="1" si="6"/>
        <v>0</v>
      </c>
      <c r="R17" s="277">
        <f t="shared" ca="1" si="7"/>
        <v>0</v>
      </c>
      <c r="S17" s="277">
        <f t="shared" ca="1" si="8"/>
        <v>0</v>
      </c>
      <c r="T17" s="277">
        <f t="shared" ca="1" si="9"/>
        <v>0</v>
      </c>
      <c r="U17" s="277">
        <f t="shared" ca="1" si="10"/>
        <v>0</v>
      </c>
      <c r="V17" s="277">
        <f t="shared" ca="1" si="11"/>
        <v>0</v>
      </c>
      <c r="W17" s="277">
        <f t="shared" ca="1" si="12"/>
        <v>0</v>
      </c>
      <c r="X17" s="277">
        <f t="shared" ca="1" si="13"/>
        <v>0</v>
      </c>
      <c r="Y17" s="277">
        <f t="shared" ca="1" si="14"/>
        <v>0</v>
      </c>
      <c r="Z17" s="277">
        <f t="shared" ca="1" si="15"/>
        <v>0</v>
      </c>
      <c r="AA17" s="277">
        <f t="shared" ca="1" si="16"/>
        <v>0</v>
      </c>
      <c r="AB17" s="277">
        <f t="shared" ca="1" si="63"/>
        <v>0</v>
      </c>
      <c r="AC17" s="277">
        <f t="shared" ca="1" si="64"/>
        <v>0</v>
      </c>
      <c r="AD17" s="277">
        <f t="shared" ca="1" si="17"/>
        <v>0</v>
      </c>
      <c r="AE17" s="277">
        <f t="shared" ca="1" si="18"/>
        <v>0</v>
      </c>
      <c r="AF17" s="277">
        <f t="shared" ca="1" si="19"/>
        <v>0</v>
      </c>
      <c r="AG17" s="277">
        <f t="shared" ca="1" si="20"/>
        <v>0</v>
      </c>
      <c r="AH17" s="277">
        <f t="shared" ca="1" si="65"/>
        <v>0</v>
      </c>
      <c r="AI17" s="277">
        <f t="shared" ca="1" si="66"/>
        <v>0</v>
      </c>
      <c r="AJ17" s="277">
        <f t="shared" ca="1" si="67"/>
        <v>0</v>
      </c>
      <c r="AK17" s="277">
        <f t="shared" ca="1" si="68"/>
        <v>0</v>
      </c>
      <c r="AL17" s="277">
        <f t="shared" ca="1" si="69"/>
        <v>0</v>
      </c>
      <c r="AM17" s="277">
        <f t="shared" ca="1" si="70"/>
        <v>0</v>
      </c>
      <c r="AN17" s="277">
        <f t="shared" ca="1" si="71"/>
        <v>0</v>
      </c>
      <c r="AO17" s="277">
        <f t="shared" ca="1" si="72"/>
        <v>0</v>
      </c>
      <c r="AP17" s="277">
        <f t="shared" ca="1" si="21"/>
        <v>0</v>
      </c>
      <c r="AQ17" s="277">
        <f t="shared" ca="1" si="22"/>
        <v>0</v>
      </c>
      <c r="AR17" s="277">
        <f t="shared" ca="1" si="23"/>
        <v>0</v>
      </c>
      <c r="AS17" s="277">
        <f t="shared" ca="1" si="24"/>
        <v>0</v>
      </c>
      <c r="AT17" s="277">
        <f t="shared" ca="1" si="73"/>
        <v>0</v>
      </c>
      <c r="AU17" s="277">
        <f t="shared" ca="1" si="74"/>
        <v>0</v>
      </c>
      <c r="AV17" s="277">
        <f t="shared" ca="1" si="25"/>
        <v>0</v>
      </c>
      <c r="AW17" s="277">
        <f t="shared" ca="1" si="26"/>
        <v>0</v>
      </c>
      <c r="AX17" s="277">
        <f t="shared" ca="1" si="27"/>
        <v>0</v>
      </c>
      <c r="AY17" s="277">
        <f t="shared" ca="1" si="28"/>
        <v>0</v>
      </c>
      <c r="AZ17" s="277">
        <f t="shared" ca="1" si="29"/>
        <v>0</v>
      </c>
      <c r="BA17" s="277">
        <f t="shared" ca="1" si="30"/>
        <v>0</v>
      </c>
      <c r="BB17" s="277">
        <f t="shared" ca="1" si="31"/>
        <v>0</v>
      </c>
      <c r="BC17" s="277">
        <f t="shared" ca="1" si="32"/>
        <v>0</v>
      </c>
      <c r="BD17" s="277">
        <f t="shared" ca="1" si="33"/>
        <v>0</v>
      </c>
      <c r="BE17" s="277">
        <f t="shared" ca="1" si="34"/>
        <v>0</v>
      </c>
      <c r="BF17" s="277">
        <f t="shared" ca="1" si="35"/>
        <v>0</v>
      </c>
      <c r="BG17" s="277">
        <f t="shared" ca="1" si="36"/>
        <v>0</v>
      </c>
      <c r="BH17" s="277">
        <f t="shared" ca="1" si="75"/>
        <v>0</v>
      </c>
      <c r="BI17" s="277">
        <f t="shared" ca="1" si="76"/>
        <v>0</v>
      </c>
      <c r="BJ17" s="277">
        <f t="shared" ca="1" si="37"/>
        <v>0</v>
      </c>
      <c r="BK17" s="277">
        <f t="shared" ca="1" si="38"/>
        <v>0</v>
      </c>
      <c r="BL17" s="277">
        <f t="shared" ca="1" si="39"/>
        <v>0</v>
      </c>
      <c r="BM17" s="277">
        <f t="shared" ca="1" si="40"/>
        <v>0</v>
      </c>
      <c r="BN17" s="277">
        <f t="shared" ca="1" si="41"/>
        <v>0</v>
      </c>
      <c r="BO17" s="277">
        <f t="shared" ca="1" si="42"/>
        <v>0</v>
      </c>
      <c r="BP17" s="277">
        <f t="shared" ca="1" si="77"/>
        <v>0</v>
      </c>
      <c r="BQ17" s="277">
        <f t="shared" ca="1" si="78"/>
        <v>0</v>
      </c>
      <c r="BR17" s="277">
        <f t="shared" ca="1" si="43"/>
        <v>0</v>
      </c>
      <c r="BS17" s="277">
        <f t="shared" ca="1" si="44"/>
        <v>0</v>
      </c>
      <c r="BT17" s="277">
        <f t="shared" ca="1" si="79"/>
        <v>0</v>
      </c>
      <c r="BU17" s="277">
        <f t="shared" ca="1" si="80"/>
        <v>0</v>
      </c>
      <c r="BV17" s="277">
        <f t="shared" ca="1" si="81"/>
        <v>0</v>
      </c>
      <c r="BW17" s="277">
        <f t="shared" ca="1" si="82"/>
        <v>0</v>
      </c>
      <c r="BX17" s="277">
        <f t="shared" ca="1" si="45"/>
        <v>0</v>
      </c>
      <c r="BY17" s="277">
        <f t="shared" ca="1" si="46"/>
        <v>0</v>
      </c>
      <c r="BZ17" s="277">
        <f t="shared" ca="1" si="47"/>
        <v>0</v>
      </c>
      <c r="CA17" s="277">
        <f t="shared" ca="1" si="48"/>
        <v>0</v>
      </c>
      <c r="CB17" s="277">
        <f t="shared" ca="1" si="49"/>
        <v>0</v>
      </c>
      <c r="CC17" s="277">
        <f t="shared" ca="1" si="50"/>
        <v>0</v>
      </c>
      <c r="CD17" s="277">
        <f t="shared" ca="1" si="83"/>
        <v>0</v>
      </c>
      <c r="CE17" s="277">
        <f t="shared" ca="1" si="84"/>
        <v>0</v>
      </c>
      <c r="CF17" s="277">
        <f t="shared" ca="1" si="85"/>
        <v>0</v>
      </c>
      <c r="CG17" s="277">
        <f t="shared" ca="1" si="86"/>
        <v>0</v>
      </c>
      <c r="CH17" s="277">
        <f t="shared" ca="1" si="51"/>
        <v>0</v>
      </c>
      <c r="CI17" s="277">
        <f t="shared" ca="1" si="52"/>
        <v>0</v>
      </c>
      <c r="CJ17" s="277">
        <f t="shared" ca="1" si="87"/>
        <v>0</v>
      </c>
      <c r="CK17" s="277">
        <f t="shared" ca="1" si="88"/>
        <v>0</v>
      </c>
      <c r="CL17" s="277">
        <f t="shared" ca="1" si="53"/>
        <v>0</v>
      </c>
      <c r="CM17" s="277">
        <f t="shared" ca="1" si="54"/>
        <v>0</v>
      </c>
      <c r="CN17" s="277">
        <f t="shared" ca="1" si="55"/>
        <v>0</v>
      </c>
      <c r="CO17" s="277">
        <f t="shared" ca="1" si="56"/>
        <v>0</v>
      </c>
      <c r="CP17" s="277">
        <f t="shared" ca="1" si="89"/>
        <v>0</v>
      </c>
      <c r="CQ17" s="277">
        <f t="shared" ca="1" si="90"/>
        <v>0</v>
      </c>
      <c r="CR17" s="277">
        <f t="shared" ca="1" si="91"/>
        <v>0</v>
      </c>
      <c r="CS17" s="277">
        <f t="shared" ca="1" si="92"/>
        <v>0</v>
      </c>
      <c r="CT17" s="277">
        <f t="shared" ca="1" si="57"/>
        <v>0</v>
      </c>
      <c r="CU17" s="277">
        <f t="shared" ca="1" si="58"/>
        <v>0</v>
      </c>
      <c r="CV17" s="277">
        <f t="shared" ca="1" si="59"/>
        <v>0</v>
      </c>
      <c r="CW17" s="277">
        <f t="shared" ca="1" si="60"/>
        <v>0</v>
      </c>
      <c r="CX17" s="277">
        <f t="shared" ca="1" si="93"/>
        <v>0</v>
      </c>
      <c r="CY17" s="277">
        <f t="shared" ca="1" si="94"/>
        <v>0</v>
      </c>
      <c r="CZ17" s="277">
        <f t="shared" ca="1" si="95"/>
        <v>0</v>
      </c>
      <c r="DA17" s="277">
        <f t="shared" ca="1" si="96"/>
        <v>0</v>
      </c>
    </row>
    <row r="18" spans="1:105" s="274" customFormat="1" ht="15" customHeight="1">
      <c r="A18" s="63">
        <f t="array" aca="1" ref="A18" ca="1">IF(C18&lt;&gt;0,SUM(($C$11:C18&lt;&gt;0)*1),"")</f>
        <v>8</v>
      </c>
      <c r="B18" s="275" t="str">
        <f ca="1">IF(ROWS($1:8)&gt;COUNT(Dong6),"",OFFSET(TH!C$1,SMALL(Dong6,ROWS($1:8)),))</f>
        <v/>
      </c>
      <c r="C18" s="275" t="str">
        <f ca="1">IF(ROWS($1:8)&gt;COUNT(Dong6),"",OFFSET(TH!D$1,SMALL(Dong6,ROWS($1:8)),))</f>
        <v/>
      </c>
      <c r="D18" s="275" t="str">
        <f ca="1">IF(ROWS($1:8)&gt;COUNT(Dong6),"",OFFSET(TH!E$1,SMALL(Dong6,ROWS($1:8)),))</f>
        <v/>
      </c>
      <c r="E18" s="325" t="str">
        <f ca="1">IF(ROWS($1:8)&gt;COUNT(Dong6),"",OFFSET(TH!F$1,SMALL(Dong6,ROWS($1:8)),))</f>
        <v/>
      </c>
      <c r="F18" s="326" t="str">
        <f ca="1">IF(ROWS($1:8)&gt;COUNT(Dong6),"",OFFSET(TH!M$1,SMALL(Dong6,ROWS($1:8)),))</f>
        <v/>
      </c>
      <c r="G18" s="327" t="str">
        <f ca="1">IF(ROWS($1:8)&gt;COUNT(Dong6),"",OFFSET(TH!N$1,SMALL(Dong6,ROWS($1:8)),))</f>
        <v/>
      </c>
      <c r="H18" s="327" t="str">
        <f ca="1">IF(ROWS($1:8)&gt;COUNT(Dong6),"",OFFSET(TH!O$1,SMALL(Dong6,ROWS($1:8)),))</f>
        <v/>
      </c>
      <c r="I18" s="63">
        <f t="shared" ca="1" si="0"/>
        <v>8</v>
      </c>
      <c r="J18" s="277">
        <f t="shared" ca="1" si="61"/>
        <v>0</v>
      </c>
      <c r="K18" s="277">
        <f t="shared" ca="1" si="62"/>
        <v>0</v>
      </c>
      <c r="L18" s="277">
        <f t="shared" ca="1" si="1"/>
        <v>0</v>
      </c>
      <c r="M18" s="277">
        <f t="shared" ca="1" si="2"/>
        <v>0</v>
      </c>
      <c r="N18" s="277">
        <f t="shared" ca="1" si="3"/>
        <v>0</v>
      </c>
      <c r="O18" s="277">
        <f t="shared" ca="1" si="4"/>
        <v>0</v>
      </c>
      <c r="P18" s="277">
        <f t="shared" ca="1" si="5"/>
        <v>0</v>
      </c>
      <c r="Q18" s="277">
        <f t="shared" ca="1" si="6"/>
        <v>0</v>
      </c>
      <c r="R18" s="277">
        <f t="shared" ca="1" si="7"/>
        <v>0</v>
      </c>
      <c r="S18" s="277">
        <f t="shared" ca="1" si="8"/>
        <v>0</v>
      </c>
      <c r="T18" s="277">
        <f t="shared" ca="1" si="9"/>
        <v>0</v>
      </c>
      <c r="U18" s="277">
        <f t="shared" ca="1" si="10"/>
        <v>0</v>
      </c>
      <c r="V18" s="277">
        <f t="shared" ca="1" si="11"/>
        <v>0</v>
      </c>
      <c r="W18" s="277">
        <f t="shared" ca="1" si="12"/>
        <v>0</v>
      </c>
      <c r="X18" s="277">
        <f t="shared" ca="1" si="13"/>
        <v>0</v>
      </c>
      <c r="Y18" s="277">
        <f t="shared" ca="1" si="14"/>
        <v>0</v>
      </c>
      <c r="Z18" s="277">
        <f t="shared" ca="1" si="15"/>
        <v>0</v>
      </c>
      <c r="AA18" s="277">
        <f t="shared" ca="1" si="16"/>
        <v>0</v>
      </c>
      <c r="AB18" s="277">
        <f t="shared" ca="1" si="63"/>
        <v>0</v>
      </c>
      <c r="AC18" s="277">
        <f t="shared" ca="1" si="64"/>
        <v>0</v>
      </c>
      <c r="AD18" s="277">
        <f t="shared" ca="1" si="17"/>
        <v>0</v>
      </c>
      <c r="AE18" s="277">
        <f t="shared" ca="1" si="18"/>
        <v>0</v>
      </c>
      <c r="AF18" s="277">
        <f t="shared" ca="1" si="19"/>
        <v>0</v>
      </c>
      <c r="AG18" s="277">
        <f t="shared" ca="1" si="20"/>
        <v>0</v>
      </c>
      <c r="AH18" s="277">
        <f t="shared" ca="1" si="65"/>
        <v>0</v>
      </c>
      <c r="AI18" s="277">
        <f t="shared" ca="1" si="66"/>
        <v>0</v>
      </c>
      <c r="AJ18" s="277">
        <f t="shared" ca="1" si="67"/>
        <v>0</v>
      </c>
      <c r="AK18" s="277">
        <f t="shared" ca="1" si="68"/>
        <v>0</v>
      </c>
      <c r="AL18" s="277">
        <f t="shared" ca="1" si="69"/>
        <v>0</v>
      </c>
      <c r="AM18" s="277">
        <f t="shared" ca="1" si="70"/>
        <v>0</v>
      </c>
      <c r="AN18" s="277">
        <f t="shared" ca="1" si="71"/>
        <v>0</v>
      </c>
      <c r="AO18" s="277">
        <f t="shared" ca="1" si="72"/>
        <v>0</v>
      </c>
      <c r="AP18" s="277">
        <f t="shared" ca="1" si="21"/>
        <v>0</v>
      </c>
      <c r="AQ18" s="277">
        <f t="shared" ca="1" si="22"/>
        <v>0</v>
      </c>
      <c r="AR18" s="277">
        <f t="shared" ca="1" si="23"/>
        <v>0</v>
      </c>
      <c r="AS18" s="277">
        <f t="shared" ca="1" si="24"/>
        <v>0</v>
      </c>
      <c r="AT18" s="277">
        <f t="shared" ca="1" si="73"/>
        <v>0</v>
      </c>
      <c r="AU18" s="277">
        <f t="shared" ca="1" si="74"/>
        <v>0</v>
      </c>
      <c r="AV18" s="277">
        <f t="shared" ca="1" si="25"/>
        <v>0</v>
      </c>
      <c r="AW18" s="277">
        <f t="shared" ca="1" si="26"/>
        <v>0</v>
      </c>
      <c r="AX18" s="277">
        <f t="shared" ca="1" si="27"/>
        <v>0</v>
      </c>
      <c r="AY18" s="277">
        <f t="shared" ca="1" si="28"/>
        <v>0</v>
      </c>
      <c r="AZ18" s="277">
        <f t="shared" ca="1" si="29"/>
        <v>0</v>
      </c>
      <c r="BA18" s="277">
        <f t="shared" ca="1" si="30"/>
        <v>0</v>
      </c>
      <c r="BB18" s="277">
        <f t="shared" ca="1" si="31"/>
        <v>0</v>
      </c>
      <c r="BC18" s="277">
        <f t="shared" ca="1" si="32"/>
        <v>0</v>
      </c>
      <c r="BD18" s="277">
        <f t="shared" ca="1" si="33"/>
        <v>0</v>
      </c>
      <c r="BE18" s="277">
        <f t="shared" ca="1" si="34"/>
        <v>0</v>
      </c>
      <c r="BF18" s="277">
        <f t="shared" ca="1" si="35"/>
        <v>0</v>
      </c>
      <c r="BG18" s="277">
        <f t="shared" ca="1" si="36"/>
        <v>0</v>
      </c>
      <c r="BH18" s="277">
        <f t="shared" ca="1" si="75"/>
        <v>0</v>
      </c>
      <c r="BI18" s="277">
        <f t="shared" ca="1" si="76"/>
        <v>0</v>
      </c>
      <c r="BJ18" s="277">
        <f t="shared" ca="1" si="37"/>
        <v>0</v>
      </c>
      <c r="BK18" s="277">
        <f t="shared" ca="1" si="38"/>
        <v>0</v>
      </c>
      <c r="BL18" s="277">
        <f t="shared" ca="1" si="39"/>
        <v>0</v>
      </c>
      <c r="BM18" s="277">
        <f t="shared" ca="1" si="40"/>
        <v>0</v>
      </c>
      <c r="BN18" s="277">
        <f t="shared" ca="1" si="41"/>
        <v>0</v>
      </c>
      <c r="BO18" s="277">
        <f t="shared" ca="1" si="42"/>
        <v>0</v>
      </c>
      <c r="BP18" s="277">
        <f t="shared" ca="1" si="77"/>
        <v>0</v>
      </c>
      <c r="BQ18" s="277">
        <f t="shared" ca="1" si="78"/>
        <v>0</v>
      </c>
      <c r="BR18" s="277">
        <f t="shared" ca="1" si="43"/>
        <v>0</v>
      </c>
      <c r="BS18" s="277">
        <f t="shared" ca="1" si="44"/>
        <v>0</v>
      </c>
      <c r="BT18" s="277">
        <f t="shared" ca="1" si="79"/>
        <v>0</v>
      </c>
      <c r="BU18" s="277">
        <f t="shared" ca="1" si="80"/>
        <v>0</v>
      </c>
      <c r="BV18" s="277">
        <f t="shared" ca="1" si="81"/>
        <v>0</v>
      </c>
      <c r="BW18" s="277">
        <f t="shared" ca="1" si="82"/>
        <v>0</v>
      </c>
      <c r="BX18" s="277">
        <f t="shared" ca="1" si="45"/>
        <v>0</v>
      </c>
      <c r="BY18" s="277">
        <f t="shared" ca="1" si="46"/>
        <v>0</v>
      </c>
      <c r="BZ18" s="277">
        <f t="shared" ca="1" si="47"/>
        <v>0</v>
      </c>
      <c r="CA18" s="277">
        <f t="shared" ca="1" si="48"/>
        <v>0</v>
      </c>
      <c r="CB18" s="277">
        <f t="shared" ca="1" si="49"/>
        <v>0</v>
      </c>
      <c r="CC18" s="277">
        <f t="shared" ca="1" si="50"/>
        <v>0</v>
      </c>
      <c r="CD18" s="277">
        <f t="shared" ca="1" si="83"/>
        <v>0</v>
      </c>
      <c r="CE18" s="277">
        <f t="shared" ca="1" si="84"/>
        <v>0</v>
      </c>
      <c r="CF18" s="277">
        <f t="shared" ca="1" si="85"/>
        <v>0</v>
      </c>
      <c r="CG18" s="277">
        <f t="shared" ca="1" si="86"/>
        <v>0</v>
      </c>
      <c r="CH18" s="277">
        <f t="shared" ca="1" si="51"/>
        <v>0</v>
      </c>
      <c r="CI18" s="277">
        <f t="shared" ca="1" si="52"/>
        <v>0</v>
      </c>
      <c r="CJ18" s="277">
        <f t="shared" ca="1" si="87"/>
        <v>0</v>
      </c>
      <c r="CK18" s="277">
        <f t="shared" ca="1" si="88"/>
        <v>0</v>
      </c>
      <c r="CL18" s="277">
        <f t="shared" ca="1" si="53"/>
        <v>0</v>
      </c>
      <c r="CM18" s="277">
        <f t="shared" ca="1" si="54"/>
        <v>0</v>
      </c>
      <c r="CN18" s="277">
        <f t="shared" ca="1" si="55"/>
        <v>0</v>
      </c>
      <c r="CO18" s="277">
        <f t="shared" ca="1" si="56"/>
        <v>0</v>
      </c>
      <c r="CP18" s="277">
        <f t="shared" ca="1" si="89"/>
        <v>0</v>
      </c>
      <c r="CQ18" s="277">
        <f t="shared" ca="1" si="90"/>
        <v>0</v>
      </c>
      <c r="CR18" s="277">
        <f t="shared" ca="1" si="91"/>
        <v>0</v>
      </c>
      <c r="CS18" s="277">
        <f t="shared" ca="1" si="92"/>
        <v>0</v>
      </c>
      <c r="CT18" s="277">
        <f t="shared" ca="1" si="57"/>
        <v>0</v>
      </c>
      <c r="CU18" s="277">
        <f t="shared" ca="1" si="58"/>
        <v>0</v>
      </c>
      <c r="CV18" s="277">
        <f t="shared" ca="1" si="59"/>
        <v>0</v>
      </c>
      <c r="CW18" s="277">
        <f t="shared" ca="1" si="60"/>
        <v>0</v>
      </c>
      <c r="CX18" s="277">
        <f t="shared" ca="1" si="93"/>
        <v>0</v>
      </c>
      <c r="CY18" s="277">
        <f t="shared" ca="1" si="94"/>
        <v>0</v>
      </c>
      <c r="CZ18" s="277">
        <f t="shared" ca="1" si="95"/>
        <v>0</v>
      </c>
      <c r="DA18" s="277">
        <f t="shared" ca="1" si="96"/>
        <v>0</v>
      </c>
    </row>
    <row r="19" spans="1:105" s="274" customFormat="1" ht="15" customHeight="1">
      <c r="A19" s="63">
        <f t="array" aca="1" ref="A19" ca="1">IF(C19&lt;&gt;0,SUM(($C$11:C19&lt;&gt;0)*1),"")</f>
        <v>9</v>
      </c>
      <c r="B19" s="275" t="str">
        <f ca="1">IF(ROWS($1:9)&gt;COUNT(Dong6),"",OFFSET(TH!C$1,SMALL(Dong6,ROWS($1:9)),))</f>
        <v/>
      </c>
      <c r="C19" s="275" t="str">
        <f ca="1">IF(ROWS($1:9)&gt;COUNT(Dong6),"",OFFSET(TH!D$1,SMALL(Dong6,ROWS($1:9)),))</f>
        <v/>
      </c>
      <c r="D19" s="275" t="str">
        <f ca="1">IF(ROWS($1:9)&gt;COUNT(Dong6),"",OFFSET(TH!E$1,SMALL(Dong6,ROWS($1:9)),))</f>
        <v/>
      </c>
      <c r="E19" s="325" t="str">
        <f ca="1">IF(ROWS($1:9)&gt;COUNT(Dong6),"",OFFSET(TH!F$1,SMALL(Dong6,ROWS($1:9)),))</f>
        <v/>
      </c>
      <c r="F19" s="326" t="str">
        <f ca="1">IF(ROWS($1:9)&gt;COUNT(Dong6),"",OFFSET(TH!M$1,SMALL(Dong6,ROWS($1:9)),))</f>
        <v/>
      </c>
      <c r="G19" s="327" t="str">
        <f ca="1">IF(ROWS($1:9)&gt;COUNT(Dong6),"",OFFSET(TH!N$1,SMALL(Dong6,ROWS($1:9)),))</f>
        <v/>
      </c>
      <c r="H19" s="327" t="str">
        <f ca="1">IF(ROWS($1:9)&gt;COUNT(Dong6),"",OFFSET(TH!O$1,SMALL(Dong6,ROWS($1:9)),))</f>
        <v/>
      </c>
      <c r="I19" s="63">
        <f t="shared" ca="1" si="0"/>
        <v>9</v>
      </c>
      <c r="J19" s="277">
        <f t="shared" ca="1" si="61"/>
        <v>0</v>
      </c>
      <c r="K19" s="277">
        <f t="shared" ca="1" si="62"/>
        <v>0</v>
      </c>
      <c r="L19" s="277">
        <f t="shared" ca="1" si="1"/>
        <v>0</v>
      </c>
      <c r="M19" s="277">
        <f t="shared" ca="1" si="2"/>
        <v>0</v>
      </c>
      <c r="N19" s="277">
        <f t="shared" ca="1" si="3"/>
        <v>0</v>
      </c>
      <c r="O19" s="277">
        <f t="shared" ca="1" si="4"/>
        <v>0</v>
      </c>
      <c r="P19" s="277">
        <f t="shared" ca="1" si="5"/>
        <v>0</v>
      </c>
      <c r="Q19" s="277">
        <f t="shared" ca="1" si="6"/>
        <v>0</v>
      </c>
      <c r="R19" s="277">
        <f t="shared" ca="1" si="7"/>
        <v>0</v>
      </c>
      <c r="S19" s="277">
        <f t="shared" ca="1" si="8"/>
        <v>0</v>
      </c>
      <c r="T19" s="277">
        <f t="shared" ca="1" si="9"/>
        <v>0</v>
      </c>
      <c r="U19" s="277">
        <f t="shared" ca="1" si="10"/>
        <v>0</v>
      </c>
      <c r="V19" s="277">
        <f t="shared" ca="1" si="11"/>
        <v>0</v>
      </c>
      <c r="W19" s="277">
        <f t="shared" ca="1" si="12"/>
        <v>0</v>
      </c>
      <c r="X19" s="277">
        <f t="shared" ca="1" si="13"/>
        <v>0</v>
      </c>
      <c r="Y19" s="277">
        <f t="shared" ca="1" si="14"/>
        <v>0</v>
      </c>
      <c r="Z19" s="277">
        <f t="shared" ca="1" si="15"/>
        <v>0</v>
      </c>
      <c r="AA19" s="277">
        <f t="shared" ca="1" si="16"/>
        <v>0</v>
      </c>
      <c r="AB19" s="277">
        <f t="shared" ca="1" si="63"/>
        <v>0</v>
      </c>
      <c r="AC19" s="277">
        <f t="shared" ca="1" si="64"/>
        <v>0</v>
      </c>
      <c r="AD19" s="277">
        <f t="shared" ca="1" si="17"/>
        <v>0</v>
      </c>
      <c r="AE19" s="277">
        <f t="shared" ca="1" si="18"/>
        <v>0</v>
      </c>
      <c r="AF19" s="277">
        <f t="shared" ca="1" si="19"/>
        <v>0</v>
      </c>
      <c r="AG19" s="277">
        <f t="shared" ca="1" si="20"/>
        <v>0</v>
      </c>
      <c r="AH19" s="277">
        <f t="shared" ca="1" si="65"/>
        <v>0</v>
      </c>
      <c r="AI19" s="277">
        <f t="shared" ca="1" si="66"/>
        <v>0</v>
      </c>
      <c r="AJ19" s="277">
        <f t="shared" ca="1" si="67"/>
        <v>0</v>
      </c>
      <c r="AK19" s="277">
        <f t="shared" ca="1" si="68"/>
        <v>0</v>
      </c>
      <c r="AL19" s="277">
        <f t="shared" ca="1" si="69"/>
        <v>0</v>
      </c>
      <c r="AM19" s="277">
        <f t="shared" ca="1" si="70"/>
        <v>0</v>
      </c>
      <c r="AN19" s="277">
        <f t="shared" ca="1" si="71"/>
        <v>0</v>
      </c>
      <c r="AO19" s="277">
        <f t="shared" ca="1" si="72"/>
        <v>0</v>
      </c>
      <c r="AP19" s="277">
        <f t="shared" ca="1" si="21"/>
        <v>0</v>
      </c>
      <c r="AQ19" s="277">
        <f t="shared" ca="1" si="22"/>
        <v>0</v>
      </c>
      <c r="AR19" s="277">
        <f t="shared" ca="1" si="23"/>
        <v>0</v>
      </c>
      <c r="AS19" s="277">
        <f t="shared" ca="1" si="24"/>
        <v>0</v>
      </c>
      <c r="AT19" s="277">
        <f t="shared" ca="1" si="73"/>
        <v>0</v>
      </c>
      <c r="AU19" s="277">
        <f t="shared" ca="1" si="74"/>
        <v>0</v>
      </c>
      <c r="AV19" s="277">
        <f t="shared" ca="1" si="25"/>
        <v>0</v>
      </c>
      <c r="AW19" s="277">
        <f t="shared" ca="1" si="26"/>
        <v>0</v>
      </c>
      <c r="AX19" s="277">
        <f t="shared" ca="1" si="27"/>
        <v>0</v>
      </c>
      <c r="AY19" s="277">
        <f t="shared" ca="1" si="28"/>
        <v>0</v>
      </c>
      <c r="AZ19" s="277">
        <f t="shared" ca="1" si="29"/>
        <v>0</v>
      </c>
      <c r="BA19" s="277">
        <f t="shared" ca="1" si="30"/>
        <v>0</v>
      </c>
      <c r="BB19" s="277">
        <f t="shared" ca="1" si="31"/>
        <v>0</v>
      </c>
      <c r="BC19" s="277">
        <f t="shared" ca="1" si="32"/>
        <v>0</v>
      </c>
      <c r="BD19" s="277">
        <f t="shared" ca="1" si="33"/>
        <v>0</v>
      </c>
      <c r="BE19" s="277">
        <f t="shared" ca="1" si="34"/>
        <v>0</v>
      </c>
      <c r="BF19" s="277">
        <f t="shared" ca="1" si="35"/>
        <v>0</v>
      </c>
      <c r="BG19" s="277">
        <f t="shared" ca="1" si="36"/>
        <v>0</v>
      </c>
      <c r="BH19" s="277">
        <f t="shared" ca="1" si="75"/>
        <v>0</v>
      </c>
      <c r="BI19" s="277">
        <f t="shared" ca="1" si="76"/>
        <v>0</v>
      </c>
      <c r="BJ19" s="277">
        <f t="shared" ca="1" si="37"/>
        <v>0</v>
      </c>
      <c r="BK19" s="277">
        <f t="shared" ca="1" si="38"/>
        <v>0</v>
      </c>
      <c r="BL19" s="277">
        <f t="shared" ca="1" si="39"/>
        <v>0</v>
      </c>
      <c r="BM19" s="277">
        <f t="shared" ca="1" si="40"/>
        <v>0</v>
      </c>
      <c r="BN19" s="277">
        <f t="shared" ca="1" si="41"/>
        <v>0</v>
      </c>
      <c r="BO19" s="277">
        <f t="shared" ca="1" si="42"/>
        <v>0</v>
      </c>
      <c r="BP19" s="277">
        <f t="shared" ca="1" si="77"/>
        <v>0</v>
      </c>
      <c r="BQ19" s="277">
        <f t="shared" ca="1" si="78"/>
        <v>0</v>
      </c>
      <c r="BR19" s="277">
        <f t="shared" ca="1" si="43"/>
        <v>0</v>
      </c>
      <c r="BS19" s="277">
        <f t="shared" ca="1" si="44"/>
        <v>0</v>
      </c>
      <c r="BT19" s="277">
        <f t="shared" ca="1" si="79"/>
        <v>0</v>
      </c>
      <c r="BU19" s="277">
        <f t="shared" ca="1" si="80"/>
        <v>0</v>
      </c>
      <c r="BV19" s="277">
        <f t="shared" ca="1" si="81"/>
        <v>0</v>
      </c>
      <c r="BW19" s="277">
        <f t="shared" ca="1" si="82"/>
        <v>0</v>
      </c>
      <c r="BX19" s="277">
        <f t="shared" ca="1" si="45"/>
        <v>0</v>
      </c>
      <c r="BY19" s="277">
        <f t="shared" ca="1" si="46"/>
        <v>0</v>
      </c>
      <c r="BZ19" s="277">
        <f t="shared" ca="1" si="47"/>
        <v>0</v>
      </c>
      <c r="CA19" s="277">
        <f t="shared" ca="1" si="48"/>
        <v>0</v>
      </c>
      <c r="CB19" s="277">
        <f t="shared" ca="1" si="49"/>
        <v>0</v>
      </c>
      <c r="CC19" s="277">
        <f t="shared" ca="1" si="50"/>
        <v>0</v>
      </c>
      <c r="CD19" s="277">
        <f t="shared" ca="1" si="83"/>
        <v>0</v>
      </c>
      <c r="CE19" s="277">
        <f t="shared" ca="1" si="84"/>
        <v>0</v>
      </c>
      <c r="CF19" s="277">
        <f t="shared" ca="1" si="85"/>
        <v>0</v>
      </c>
      <c r="CG19" s="277">
        <f t="shared" ca="1" si="86"/>
        <v>0</v>
      </c>
      <c r="CH19" s="277">
        <f t="shared" ca="1" si="51"/>
        <v>0</v>
      </c>
      <c r="CI19" s="277">
        <f t="shared" ca="1" si="52"/>
        <v>0</v>
      </c>
      <c r="CJ19" s="277">
        <f t="shared" ca="1" si="87"/>
        <v>0</v>
      </c>
      <c r="CK19" s="277">
        <f t="shared" ca="1" si="88"/>
        <v>0</v>
      </c>
      <c r="CL19" s="277">
        <f t="shared" ca="1" si="53"/>
        <v>0</v>
      </c>
      <c r="CM19" s="277">
        <f t="shared" ca="1" si="54"/>
        <v>0</v>
      </c>
      <c r="CN19" s="277">
        <f t="shared" ca="1" si="55"/>
        <v>0</v>
      </c>
      <c r="CO19" s="277">
        <f t="shared" ca="1" si="56"/>
        <v>0</v>
      </c>
      <c r="CP19" s="277">
        <f t="shared" ca="1" si="89"/>
        <v>0</v>
      </c>
      <c r="CQ19" s="277">
        <f t="shared" ca="1" si="90"/>
        <v>0</v>
      </c>
      <c r="CR19" s="277">
        <f t="shared" ca="1" si="91"/>
        <v>0</v>
      </c>
      <c r="CS19" s="277">
        <f t="shared" ca="1" si="92"/>
        <v>0</v>
      </c>
      <c r="CT19" s="277">
        <f t="shared" ca="1" si="57"/>
        <v>0</v>
      </c>
      <c r="CU19" s="277">
        <f t="shared" ca="1" si="58"/>
        <v>0</v>
      </c>
      <c r="CV19" s="277">
        <f t="shared" ca="1" si="59"/>
        <v>0</v>
      </c>
      <c r="CW19" s="277">
        <f t="shared" ca="1" si="60"/>
        <v>0</v>
      </c>
      <c r="CX19" s="277">
        <f t="shared" ca="1" si="93"/>
        <v>0</v>
      </c>
      <c r="CY19" s="277">
        <f t="shared" ca="1" si="94"/>
        <v>0</v>
      </c>
      <c r="CZ19" s="277">
        <f t="shared" ca="1" si="95"/>
        <v>0</v>
      </c>
      <c r="DA19" s="277">
        <f t="shared" ca="1" si="96"/>
        <v>0</v>
      </c>
    </row>
    <row r="20" spans="1:105" s="274" customFormat="1" ht="15" customHeight="1">
      <c r="A20" s="63">
        <f t="array" aca="1" ref="A20" ca="1">IF(C20&lt;&gt;0,SUM(($C$11:C20&lt;&gt;0)*1),"")</f>
        <v>10</v>
      </c>
      <c r="B20" s="275" t="str">
        <f ca="1">IF(ROWS($1:10)&gt;COUNT(Dong6),"",OFFSET(TH!C$1,SMALL(Dong6,ROWS($1:10)),))</f>
        <v/>
      </c>
      <c r="C20" s="275" t="str">
        <f ca="1">IF(ROWS($1:10)&gt;COUNT(Dong6),"",OFFSET(TH!D$1,SMALL(Dong6,ROWS($1:10)),))</f>
        <v/>
      </c>
      <c r="D20" s="275" t="str">
        <f ca="1">IF(ROWS($1:10)&gt;COUNT(Dong6),"",OFFSET(TH!E$1,SMALL(Dong6,ROWS($1:10)),))</f>
        <v/>
      </c>
      <c r="E20" s="325" t="str">
        <f ca="1">IF(ROWS($1:10)&gt;COUNT(Dong6),"",OFFSET(TH!F$1,SMALL(Dong6,ROWS($1:10)),))</f>
        <v/>
      </c>
      <c r="F20" s="326" t="str">
        <f ca="1">IF(ROWS($1:10)&gt;COUNT(Dong6),"",OFFSET(TH!M$1,SMALL(Dong6,ROWS($1:10)),))</f>
        <v/>
      </c>
      <c r="G20" s="327" t="str">
        <f ca="1">IF(ROWS($1:10)&gt;COUNT(Dong6),"",OFFSET(TH!N$1,SMALL(Dong6,ROWS($1:10)),))</f>
        <v/>
      </c>
      <c r="H20" s="327" t="str">
        <f ca="1">IF(ROWS($1:10)&gt;COUNT(Dong6),"",OFFSET(TH!O$1,SMALL(Dong6,ROWS($1:10)),))</f>
        <v/>
      </c>
      <c r="I20" s="63">
        <f t="shared" ca="1" si="0"/>
        <v>10</v>
      </c>
      <c r="J20" s="277">
        <f t="shared" ca="1" si="61"/>
        <v>0</v>
      </c>
      <c r="K20" s="277">
        <f t="shared" ca="1" si="62"/>
        <v>0</v>
      </c>
      <c r="L20" s="277">
        <f t="shared" ca="1" si="1"/>
        <v>0</v>
      </c>
      <c r="M20" s="277">
        <f t="shared" ca="1" si="2"/>
        <v>0</v>
      </c>
      <c r="N20" s="277">
        <f t="shared" ca="1" si="3"/>
        <v>0</v>
      </c>
      <c r="O20" s="277">
        <f t="shared" ca="1" si="4"/>
        <v>0</v>
      </c>
      <c r="P20" s="277">
        <f t="shared" ca="1" si="5"/>
        <v>0</v>
      </c>
      <c r="Q20" s="277">
        <f t="shared" ca="1" si="6"/>
        <v>0</v>
      </c>
      <c r="R20" s="277">
        <f t="shared" ca="1" si="7"/>
        <v>0</v>
      </c>
      <c r="S20" s="277">
        <f t="shared" ca="1" si="8"/>
        <v>0</v>
      </c>
      <c r="T20" s="277">
        <f t="shared" ca="1" si="9"/>
        <v>0</v>
      </c>
      <c r="U20" s="277">
        <f t="shared" ca="1" si="10"/>
        <v>0</v>
      </c>
      <c r="V20" s="277">
        <f t="shared" ca="1" si="11"/>
        <v>0</v>
      </c>
      <c r="W20" s="277">
        <f t="shared" ca="1" si="12"/>
        <v>0</v>
      </c>
      <c r="X20" s="277">
        <f t="shared" ca="1" si="13"/>
        <v>0</v>
      </c>
      <c r="Y20" s="277">
        <f t="shared" ca="1" si="14"/>
        <v>0</v>
      </c>
      <c r="Z20" s="277">
        <f t="shared" ca="1" si="15"/>
        <v>0</v>
      </c>
      <c r="AA20" s="277">
        <f t="shared" ca="1" si="16"/>
        <v>0</v>
      </c>
      <c r="AB20" s="277">
        <f t="shared" ca="1" si="63"/>
        <v>0</v>
      </c>
      <c r="AC20" s="277">
        <f t="shared" ca="1" si="64"/>
        <v>0</v>
      </c>
      <c r="AD20" s="277">
        <f t="shared" ca="1" si="17"/>
        <v>0</v>
      </c>
      <c r="AE20" s="277">
        <f t="shared" ca="1" si="18"/>
        <v>0</v>
      </c>
      <c r="AF20" s="277">
        <f t="shared" ca="1" si="19"/>
        <v>0</v>
      </c>
      <c r="AG20" s="277">
        <f t="shared" ca="1" si="20"/>
        <v>0</v>
      </c>
      <c r="AH20" s="277">
        <f t="shared" ca="1" si="65"/>
        <v>0</v>
      </c>
      <c r="AI20" s="277">
        <f t="shared" ca="1" si="66"/>
        <v>0</v>
      </c>
      <c r="AJ20" s="277">
        <f t="shared" ca="1" si="67"/>
        <v>0</v>
      </c>
      <c r="AK20" s="277">
        <f t="shared" ca="1" si="68"/>
        <v>0</v>
      </c>
      <c r="AL20" s="277">
        <f t="shared" ca="1" si="69"/>
        <v>0</v>
      </c>
      <c r="AM20" s="277">
        <f t="shared" ca="1" si="70"/>
        <v>0</v>
      </c>
      <c r="AN20" s="277">
        <f t="shared" ca="1" si="71"/>
        <v>0</v>
      </c>
      <c r="AO20" s="277">
        <f t="shared" ca="1" si="72"/>
        <v>0</v>
      </c>
      <c r="AP20" s="277">
        <f t="shared" ca="1" si="21"/>
        <v>0</v>
      </c>
      <c r="AQ20" s="277">
        <f t="shared" ca="1" si="22"/>
        <v>0</v>
      </c>
      <c r="AR20" s="277">
        <f t="shared" ca="1" si="23"/>
        <v>0</v>
      </c>
      <c r="AS20" s="277">
        <f t="shared" ca="1" si="24"/>
        <v>0</v>
      </c>
      <c r="AT20" s="277">
        <f t="shared" ca="1" si="73"/>
        <v>0</v>
      </c>
      <c r="AU20" s="277">
        <f t="shared" ca="1" si="74"/>
        <v>0</v>
      </c>
      <c r="AV20" s="277">
        <f t="shared" ca="1" si="25"/>
        <v>0</v>
      </c>
      <c r="AW20" s="277">
        <f t="shared" ca="1" si="26"/>
        <v>0</v>
      </c>
      <c r="AX20" s="277">
        <f t="shared" ca="1" si="27"/>
        <v>0</v>
      </c>
      <c r="AY20" s="277">
        <f t="shared" ca="1" si="28"/>
        <v>0</v>
      </c>
      <c r="AZ20" s="277">
        <f t="shared" ca="1" si="29"/>
        <v>0</v>
      </c>
      <c r="BA20" s="277">
        <f t="shared" ca="1" si="30"/>
        <v>0</v>
      </c>
      <c r="BB20" s="277">
        <f t="shared" ca="1" si="31"/>
        <v>0</v>
      </c>
      <c r="BC20" s="277">
        <f t="shared" ca="1" si="32"/>
        <v>0</v>
      </c>
      <c r="BD20" s="277">
        <f t="shared" ca="1" si="33"/>
        <v>0</v>
      </c>
      <c r="BE20" s="277">
        <f t="shared" ca="1" si="34"/>
        <v>0</v>
      </c>
      <c r="BF20" s="277">
        <f t="shared" ca="1" si="35"/>
        <v>0</v>
      </c>
      <c r="BG20" s="277">
        <f t="shared" ca="1" si="36"/>
        <v>0</v>
      </c>
      <c r="BH20" s="277">
        <f t="shared" ca="1" si="75"/>
        <v>0</v>
      </c>
      <c r="BI20" s="277">
        <f t="shared" ca="1" si="76"/>
        <v>0</v>
      </c>
      <c r="BJ20" s="277">
        <f t="shared" ca="1" si="37"/>
        <v>0</v>
      </c>
      <c r="BK20" s="277">
        <f t="shared" ca="1" si="38"/>
        <v>0</v>
      </c>
      <c r="BL20" s="277">
        <f t="shared" ca="1" si="39"/>
        <v>0</v>
      </c>
      <c r="BM20" s="277">
        <f t="shared" ca="1" si="40"/>
        <v>0</v>
      </c>
      <c r="BN20" s="277">
        <f t="shared" ca="1" si="41"/>
        <v>0</v>
      </c>
      <c r="BO20" s="277">
        <f t="shared" ca="1" si="42"/>
        <v>0</v>
      </c>
      <c r="BP20" s="277">
        <f t="shared" ca="1" si="77"/>
        <v>0</v>
      </c>
      <c r="BQ20" s="277">
        <f t="shared" ca="1" si="78"/>
        <v>0</v>
      </c>
      <c r="BR20" s="277">
        <f t="shared" ca="1" si="43"/>
        <v>0</v>
      </c>
      <c r="BS20" s="277">
        <f t="shared" ca="1" si="44"/>
        <v>0</v>
      </c>
      <c r="BT20" s="277">
        <f t="shared" ca="1" si="79"/>
        <v>0</v>
      </c>
      <c r="BU20" s="277">
        <f t="shared" ca="1" si="80"/>
        <v>0</v>
      </c>
      <c r="BV20" s="277">
        <f t="shared" ca="1" si="81"/>
        <v>0</v>
      </c>
      <c r="BW20" s="277">
        <f t="shared" ca="1" si="82"/>
        <v>0</v>
      </c>
      <c r="BX20" s="277">
        <f t="shared" ca="1" si="45"/>
        <v>0</v>
      </c>
      <c r="BY20" s="277">
        <f t="shared" ca="1" si="46"/>
        <v>0</v>
      </c>
      <c r="BZ20" s="277">
        <f t="shared" ca="1" si="47"/>
        <v>0</v>
      </c>
      <c r="CA20" s="277">
        <f t="shared" ca="1" si="48"/>
        <v>0</v>
      </c>
      <c r="CB20" s="277">
        <f t="shared" ca="1" si="49"/>
        <v>0</v>
      </c>
      <c r="CC20" s="277">
        <f t="shared" ca="1" si="50"/>
        <v>0</v>
      </c>
      <c r="CD20" s="277">
        <f t="shared" ca="1" si="83"/>
        <v>0</v>
      </c>
      <c r="CE20" s="277">
        <f t="shared" ca="1" si="84"/>
        <v>0</v>
      </c>
      <c r="CF20" s="277">
        <f t="shared" ca="1" si="85"/>
        <v>0</v>
      </c>
      <c r="CG20" s="277">
        <f t="shared" ca="1" si="86"/>
        <v>0</v>
      </c>
      <c r="CH20" s="277">
        <f t="shared" ca="1" si="51"/>
        <v>0</v>
      </c>
      <c r="CI20" s="277">
        <f t="shared" ca="1" si="52"/>
        <v>0</v>
      </c>
      <c r="CJ20" s="277">
        <f t="shared" ca="1" si="87"/>
        <v>0</v>
      </c>
      <c r="CK20" s="277">
        <f t="shared" ca="1" si="88"/>
        <v>0</v>
      </c>
      <c r="CL20" s="277">
        <f t="shared" ca="1" si="53"/>
        <v>0</v>
      </c>
      <c r="CM20" s="277">
        <f t="shared" ca="1" si="54"/>
        <v>0</v>
      </c>
      <c r="CN20" s="277">
        <f t="shared" ca="1" si="55"/>
        <v>0</v>
      </c>
      <c r="CO20" s="277">
        <f t="shared" ca="1" si="56"/>
        <v>0</v>
      </c>
      <c r="CP20" s="277">
        <f t="shared" ca="1" si="89"/>
        <v>0</v>
      </c>
      <c r="CQ20" s="277">
        <f t="shared" ca="1" si="90"/>
        <v>0</v>
      </c>
      <c r="CR20" s="277">
        <f t="shared" ca="1" si="91"/>
        <v>0</v>
      </c>
      <c r="CS20" s="277">
        <f t="shared" ca="1" si="92"/>
        <v>0</v>
      </c>
      <c r="CT20" s="277">
        <f t="shared" ca="1" si="57"/>
        <v>0</v>
      </c>
      <c r="CU20" s="277">
        <f t="shared" ca="1" si="58"/>
        <v>0</v>
      </c>
      <c r="CV20" s="277">
        <f t="shared" ca="1" si="59"/>
        <v>0</v>
      </c>
      <c r="CW20" s="277">
        <f t="shared" ca="1" si="60"/>
        <v>0</v>
      </c>
      <c r="CX20" s="277">
        <f t="shared" ca="1" si="93"/>
        <v>0</v>
      </c>
      <c r="CY20" s="277">
        <f t="shared" ca="1" si="94"/>
        <v>0</v>
      </c>
      <c r="CZ20" s="277">
        <f t="shared" ca="1" si="95"/>
        <v>0</v>
      </c>
      <c r="DA20" s="277">
        <f t="shared" ca="1" si="96"/>
        <v>0</v>
      </c>
    </row>
    <row r="21" spans="1:105" s="274" customFormat="1" ht="15" customHeight="1">
      <c r="A21" s="63">
        <f t="array" aca="1" ref="A21" ca="1">IF(C21&lt;&gt;0,SUM(($C$11:C21&lt;&gt;0)*1),"")</f>
        <v>11</v>
      </c>
      <c r="B21" s="275" t="str">
        <f ca="1">IF(ROWS($1:11)&gt;COUNT(Dong6),"",OFFSET(TH!C$1,SMALL(Dong6,ROWS($1:11)),))</f>
        <v/>
      </c>
      <c r="C21" s="275" t="str">
        <f ca="1">IF(ROWS($1:11)&gt;COUNT(Dong6),"",OFFSET(TH!D$1,SMALL(Dong6,ROWS($1:11)),))</f>
        <v/>
      </c>
      <c r="D21" s="275" t="str">
        <f ca="1">IF(ROWS($1:11)&gt;COUNT(Dong6),"",OFFSET(TH!E$1,SMALL(Dong6,ROWS($1:11)),))</f>
        <v/>
      </c>
      <c r="E21" s="325" t="str">
        <f ca="1">IF(ROWS($1:11)&gt;COUNT(Dong6),"",OFFSET(TH!F$1,SMALL(Dong6,ROWS($1:11)),))</f>
        <v/>
      </c>
      <c r="F21" s="326" t="str">
        <f ca="1">IF(ROWS($1:11)&gt;COUNT(Dong6),"",OFFSET(TH!M$1,SMALL(Dong6,ROWS($1:11)),))</f>
        <v/>
      </c>
      <c r="G21" s="327" t="str">
        <f ca="1">IF(ROWS($1:11)&gt;COUNT(Dong6),"",OFFSET(TH!N$1,SMALL(Dong6,ROWS($1:11)),))</f>
        <v/>
      </c>
      <c r="H21" s="327" t="str">
        <f ca="1">IF(ROWS($1:11)&gt;COUNT(Dong6),"",OFFSET(TH!O$1,SMALL(Dong6,ROWS($1:11)),))</f>
        <v/>
      </c>
      <c r="I21" s="63">
        <f t="shared" ca="1" si="0"/>
        <v>11</v>
      </c>
      <c r="J21" s="277">
        <f t="shared" ca="1" si="61"/>
        <v>0</v>
      </c>
      <c r="K21" s="277">
        <f t="shared" ca="1" si="62"/>
        <v>0</v>
      </c>
      <c r="L21" s="277">
        <f t="shared" ca="1" si="1"/>
        <v>0</v>
      </c>
      <c r="M21" s="277">
        <f t="shared" ca="1" si="2"/>
        <v>0</v>
      </c>
      <c r="N21" s="277">
        <f t="shared" ca="1" si="3"/>
        <v>0</v>
      </c>
      <c r="O21" s="277">
        <f t="shared" ca="1" si="4"/>
        <v>0</v>
      </c>
      <c r="P21" s="277">
        <f t="shared" ca="1" si="5"/>
        <v>0</v>
      </c>
      <c r="Q21" s="277">
        <f t="shared" ca="1" si="6"/>
        <v>0</v>
      </c>
      <c r="R21" s="277">
        <f t="shared" ca="1" si="7"/>
        <v>0</v>
      </c>
      <c r="S21" s="277">
        <f t="shared" ca="1" si="8"/>
        <v>0</v>
      </c>
      <c r="T21" s="277">
        <f t="shared" ca="1" si="9"/>
        <v>0</v>
      </c>
      <c r="U21" s="277">
        <f t="shared" ca="1" si="10"/>
        <v>0</v>
      </c>
      <c r="V21" s="277">
        <f t="shared" ca="1" si="11"/>
        <v>0</v>
      </c>
      <c r="W21" s="277">
        <f t="shared" ca="1" si="12"/>
        <v>0</v>
      </c>
      <c r="X21" s="277">
        <f t="shared" ca="1" si="13"/>
        <v>0</v>
      </c>
      <c r="Y21" s="277">
        <f t="shared" ca="1" si="14"/>
        <v>0</v>
      </c>
      <c r="Z21" s="277">
        <f t="shared" ca="1" si="15"/>
        <v>0</v>
      </c>
      <c r="AA21" s="277">
        <f t="shared" ca="1" si="16"/>
        <v>0</v>
      </c>
      <c r="AB21" s="277">
        <f t="shared" ca="1" si="63"/>
        <v>0</v>
      </c>
      <c r="AC21" s="277">
        <f t="shared" ca="1" si="64"/>
        <v>0</v>
      </c>
      <c r="AD21" s="277">
        <f t="shared" ca="1" si="17"/>
        <v>0</v>
      </c>
      <c r="AE21" s="277">
        <f t="shared" ca="1" si="18"/>
        <v>0</v>
      </c>
      <c r="AF21" s="277">
        <f t="shared" ca="1" si="19"/>
        <v>0</v>
      </c>
      <c r="AG21" s="277">
        <f t="shared" ca="1" si="20"/>
        <v>0</v>
      </c>
      <c r="AH21" s="277">
        <f t="shared" ca="1" si="65"/>
        <v>0</v>
      </c>
      <c r="AI21" s="277">
        <f t="shared" ca="1" si="66"/>
        <v>0</v>
      </c>
      <c r="AJ21" s="277">
        <f t="shared" ca="1" si="67"/>
        <v>0</v>
      </c>
      <c r="AK21" s="277">
        <f t="shared" ca="1" si="68"/>
        <v>0</v>
      </c>
      <c r="AL21" s="277">
        <f t="shared" ca="1" si="69"/>
        <v>0</v>
      </c>
      <c r="AM21" s="277">
        <f t="shared" ca="1" si="70"/>
        <v>0</v>
      </c>
      <c r="AN21" s="277">
        <f t="shared" ca="1" si="71"/>
        <v>0</v>
      </c>
      <c r="AO21" s="277">
        <f t="shared" ca="1" si="72"/>
        <v>0</v>
      </c>
      <c r="AP21" s="277">
        <f t="shared" ca="1" si="21"/>
        <v>0</v>
      </c>
      <c r="AQ21" s="277">
        <f t="shared" ca="1" si="22"/>
        <v>0</v>
      </c>
      <c r="AR21" s="277">
        <f t="shared" ca="1" si="23"/>
        <v>0</v>
      </c>
      <c r="AS21" s="277">
        <f t="shared" ca="1" si="24"/>
        <v>0</v>
      </c>
      <c r="AT21" s="277">
        <f t="shared" ca="1" si="73"/>
        <v>0</v>
      </c>
      <c r="AU21" s="277">
        <f t="shared" ca="1" si="74"/>
        <v>0</v>
      </c>
      <c r="AV21" s="277">
        <f t="shared" ca="1" si="25"/>
        <v>0</v>
      </c>
      <c r="AW21" s="277">
        <f t="shared" ca="1" si="26"/>
        <v>0</v>
      </c>
      <c r="AX21" s="277">
        <f t="shared" ca="1" si="27"/>
        <v>0</v>
      </c>
      <c r="AY21" s="277">
        <f t="shared" ca="1" si="28"/>
        <v>0</v>
      </c>
      <c r="AZ21" s="277">
        <f t="shared" ca="1" si="29"/>
        <v>0</v>
      </c>
      <c r="BA21" s="277">
        <f t="shared" ca="1" si="30"/>
        <v>0</v>
      </c>
      <c r="BB21" s="277">
        <f t="shared" ca="1" si="31"/>
        <v>0</v>
      </c>
      <c r="BC21" s="277">
        <f t="shared" ca="1" si="32"/>
        <v>0</v>
      </c>
      <c r="BD21" s="277">
        <f t="shared" ca="1" si="33"/>
        <v>0</v>
      </c>
      <c r="BE21" s="277">
        <f t="shared" ca="1" si="34"/>
        <v>0</v>
      </c>
      <c r="BF21" s="277">
        <f t="shared" ca="1" si="35"/>
        <v>0</v>
      </c>
      <c r="BG21" s="277">
        <f t="shared" ca="1" si="36"/>
        <v>0</v>
      </c>
      <c r="BH21" s="277">
        <f t="shared" ca="1" si="75"/>
        <v>0</v>
      </c>
      <c r="BI21" s="277">
        <f t="shared" ca="1" si="76"/>
        <v>0</v>
      </c>
      <c r="BJ21" s="277">
        <f t="shared" ca="1" si="37"/>
        <v>0</v>
      </c>
      <c r="BK21" s="277">
        <f t="shared" ca="1" si="38"/>
        <v>0</v>
      </c>
      <c r="BL21" s="277">
        <f t="shared" ca="1" si="39"/>
        <v>0</v>
      </c>
      <c r="BM21" s="277">
        <f t="shared" ca="1" si="40"/>
        <v>0</v>
      </c>
      <c r="BN21" s="277">
        <f t="shared" ca="1" si="41"/>
        <v>0</v>
      </c>
      <c r="BO21" s="277">
        <f t="shared" ca="1" si="42"/>
        <v>0</v>
      </c>
      <c r="BP21" s="277">
        <f t="shared" ca="1" si="77"/>
        <v>0</v>
      </c>
      <c r="BQ21" s="277">
        <f t="shared" ca="1" si="78"/>
        <v>0</v>
      </c>
      <c r="BR21" s="277">
        <f t="shared" ca="1" si="43"/>
        <v>0</v>
      </c>
      <c r="BS21" s="277">
        <f t="shared" ca="1" si="44"/>
        <v>0</v>
      </c>
      <c r="BT21" s="277">
        <f t="shared" ca="1" si="79"/>
        <v>0</v>
      </c>
      <c r="BU21" s="277">
        <f t="shared" ca="1" si="80"/>
        <v>0</v>
      </c>
      <c r="BV21" s="277">
        <f t="shared" ca="1" si="81"/>
        <v>0</v>
      </c>
      <c r="BW21" s="277">
        <f t="shared" ca="1" si="82"/>
        <v>0</v>
      </c>
      <c r="BX21" s="277">
        <f t="shared" ca="1" si="45"/>
        <v>0</v>
      </c>
      <c r="BY21" s="277">
        <f t="shared" ca="1" si="46"/>
        <v>0</v>
      </c>
      <c r="BZ21" s="277">
        <f t="shared" ca="1" si="47"/>
        <v>0</v>
      </c>
      <c r="CA21" s="277">
        <f t="shared" ca="1" si="48"/>
        <v>0</v>
      </c>
      <c r="CB21" s="277">
        <f t="shared" ca="1" si="49"/>
        <v>0</v>
      </c>
      <c r="CC21" s="277">
        <f t="shared" ca="1" si="50"/>
        <v>0</v>
      </c>
      <c r="CD21" s="277">
        <f t="shared" ca="1" si="83"/>
        <v>0</v>
      </c>
      <c r="CE21" s="277">
        <f t="shared" ca="1" si="84"/>
        <v>0</v>
      </c>
      <c r="CF21" s="277">
        <f t="shared" ca="1" si="85"/>
        <v>0</v>
      </c>
      <c r="CG21" s="277">
        <f t="shared" ca="1" si="86"/>
        <v>0</v>
      </c>
      <c r="CH21" s="277">
        <f t="shared" ca="1" si="51"/>
        <v>0</v>
      </c>
      <c r="CI21" s="277">
        <f t="shared" ca="1" si="52"/>
        <v>0</v>
      </c>
      <c r="CJ21" s="277">
        <f t="shared" ca="1" si="87"/>
        <v>0</v>
      </c>
      <c r="CK21" s="277">
        <f t="shared" ca="1" si="88"/>
        <v>0</v>
      </c>
      <c r="CL21" s="277">
        <f t="shared" ca="1" si="53"/>
        <v>0</v>
      </c>
      <c r="CM21" s="277">
        <f t="shared" ca="1" si="54"/>
        <v>0</v>
      </c>
      <c r="CN21" s="277">
        <f t="shared" ca="1" si="55"/>
        <v>0</v>
      </c>
      <c r="CO21" s="277">
        <f t="shared" ca="1" si="56"/>
        <v>0</v>
      </c>
      <c r="CP21" s="277">
        <f t="shared" ca="1" si="89"/>
        <v>0</v>
      </c>
      <c r="CQ21" s="277">
        <f t="shared" ca="1" si="90"/>
        <v>0</v>
      </c>
      <c r="CR21" s="277">
        <f t="shared" ca="1" si="91"/>
        <v>0</v>
      </c>
      <c r="CS21" s="277">
        <f t="shared" ca="1" si="92"/>
        <v>0</v>
      </c>
      <c r="CT21" s="277">
        <f t="shared" ca="1" si="57"/>
        <v>0</v>
      </c>
      <c r="CU21" s="277">
        <f t="shared" ca="1" si="58"/>
        <v>0</v>
      </c>
      <c r="CV21" s="277">
        <f t="shared" ca="1" si="59"/>
        <v>0</v>
      </c>
      <c r="CW21" s="277">
        <f t="shared" ca="1" si="60"/>
        <v>0</v>
      </c>
      <c r="CX21" s="277">
        <f t="shared" ca="1" si="93"/>
        <v>0</v>
      </c>
      <c r="CY21" s="277">
        <f t="shared" ca="1" si="94"/>
        <v>0</v>
      </c>
      <c r="CZ21" s="277">
        <f t="shared" ca="1" si="95"/>
        <v>0</v>
      </c>
      <c r="DA21" s="277">
        <f t="shared" ca="1" si="96"/>
        <v>0</v>
      </c>
    </row>
    <row r="22" spans="1:105" s="274" customFormat="1" ht="15" customHeight="1">
      <c r="A22" s="63">
        <f t="array" aca="1" ref="A22" ca="1">IF(C22&lt;&gt;0,SUM(($C$11:C22&lt;&gt;0)*1),"")</f>
        <v>12</v>
      </c>
      <c r="B22" s="275" t="str">
        <f ca="1">IF(ROWS($1:12)&gt;COUNT(Dong6),"",OFFSET(TH!C$1,SMALL(Dong6,ROWS($1:12)),))</f>
        <v/>
      </c>
      <c r="C22" s="275" t="str">
        <f ca="1">IF(ROWS($1:12)&gt;COUNT(Dong6),"",OFFSET(TH!D$1,SMALL(Dong6,ROWS($1:12)),))</f>
        <v/>
      </c>
      <c r="D22" s="275" t="str">
        <f ca="1">IF(ROWS($1:12)&gt;COUNT(Dong6),"",OFFSET(TH!E$1,SMALL(Dong6,ROWS($1:12)),))</f>
        <v/>
      </c>
      <c r="E22" s="325" t="str">
        <f ca="1">IF(ROWS($1:12)&gt;COUNT(Dong6),"",OFFSET(TH!F$1,SMALL(Dong6,ROWS($1:12)),))</f>
        <v/>
      </c>
      <c r="F22" s="326" t="str">
        <f ca="1">IF(ROWS($1:12)&gt;COUNT(Dong6),"",OFFSET(TH!M$1,SMALL(Dong6,ROWS($1:12)),))</f>
        <v/>
      </c>
      <c r="G22" s="327" t="str">
        <f ca="1">IF(ROWS($1:12)&gt;COUNT(Dong6),"",OFFSET(TH!N$1,SMALL(Dong6,ROWS($1:12)),))</f>
        <v/>
      </c>
      <c r="H22" s="327" t="str">
        <f ca="1">IF(ROWS($1:12)&gt;COUNT(Dong6),"",OFFSET(TH!O$1,SMALL(Dong6,ROWS($1:12)),))</f>
        <v/>
      </c>
      <c r="I22" s="63">
        <f t="shared" ca="1" si="0"/>
        <v>12</v>
      </c>
      <c r="J22" s="277">
        <f t="shared" ca="1" si="61"/>
        <v>0</v>
      </c>
      <c r="K22" s="277">
        <f t="shared" ca="1" si="62"/>
        <v>0</v>
      </c>
      <c r="L22" s="277">
        <f t="shared" ca="1" si="1"/>
        <v>0</v>
      </c>
      <c r="M22" s="277">
        <f t="shared" ca="1" si="2"/>
        <v>0</v>
      </c>
      <c r="N22" s="277">
        <f t="shared" ca="1" si="3"/>
        <v>0</v>
      </c>
      <c r="O22" s="277">
        <f t="shared" ca="1" si="4"/>
        <v>0</v>
      </c>
      <c r="P22" s="277">
        <f t="shared" ca="1" si="5"/>
        <v>0</v>
      </c>
      <c r="Q22" s="277">
        <f t="shared" ca="1" si="6"/>
        <v>0</v>
      </c>
      <c r="R22" s="277">
        <f t="shared" ca="1" si="7"/>
        <v>0</v>
      </c>
      <c r="S22" s="277">
        <f t="shared" ca="1" si="8"/>
        <v>0</v>
      </c>
      <c r="T22" s="277">
        <f t="shared" ca="1" si="9"/>
        <v>0</v>
      </c>
      <c r="U22" s="277">
        <f t="shared" ca="1" si="10"/>
        <v>0</v>
      </c>
      <c r="V22" s="277">
        <f t="shared" ca="1" si="11"/>
        <v>0</v>
      </c>
      <c r="W22" s="277">
        <f t="shared" ca="1" si="12"/>
        <v>0</v>
      </c>
      <c r="X22" s="277">
        <f t="shared" ca="1" si="13"/>
        <v>0</v>
      </c>
      <c r="Y22" s="277">
        <f t="shared" ca="1" si="14"/>
        <v>0</v>
      </c>
      <c r="Z22" s="277">
        <f t="shared" ca="1" si="15"/>
        <v>0</v>
      </c>
      <c r="AA22" s="277">
        <f t="shared" ca="1" si="16"/>
        <v>0</v>
      </c>
      <c r="AB22" s="277">
        <f t="shared" ca="1" si="63"/>
        <v>0</v>
      </c>
      <c r="AC22" s="277">
        <f t="shared" ca="1" si="64"/>
        <v>0</v>
      </c>
      <c r="AD22" s="277">
        <f t="shared" ca="1" si="17"/>
        <v>0</v>
      </c>
      <c r="AE22" s="277">
        <f t="shared" ca="1" si="18"/>
        <v>0</v>
      </c>
      <c r="AF22" s="277">
        <f t="shared" ca="1" si="19"/>
        <v>0</v>
      </c>
      <c r="AG22" s="277">
        <f t="shared" ca="1" si="20"/>
        <v>0</v>
      </c>
      <c r="AH22" s="277">
        <f t="shared" ca="1" si="65"/>
        <v>0</v>
      </c>
      <c r="AI22" s="277">
        <f t="shared" ca="1" si="66"/>
        <v>0</v>
      </c>
      <c r="AJ22" s="277">
        <f t="shared" ca="1" si="67"/>
        <v>0</v>
      </c>
      <c r="AK22" s="277">
        <f t="shared" ca="1" si="68"/>
        <v>0</v>
      </c>
      <c r="AL22" s="277">
        <f t="shared" ca="1" si="69"/>
        <v>0</v>
      </c>
      <c r="AM22" s="277">
        <f t="shared" ca="1" si="70"/>
        <v>0</v>
      </c>
      <c r="AN22" s="277">
        <f t="shared" ca="1" si="71"/>
        <v>0</v>
      </c>
      <c r="AO22" s="277">
        <f t="shared" ca="1" si="72"/>
        <v>0</v>
      </c>
      <c r="AP22" s="277">
        <f t="shared" ca="1" si="21"/>
        <v>0</v>
      </c>
      <c r="AQ22" s="277">
        <f t="shared" ca="1" si="22"/>
        <v>0</v>
      </c>
      <c r="AR22" s="277">
        <f t="shared" ca="1" si="23"/>
        <v>0</v>
      </c>
      <c r="AS22" s="277">
        <f t="shared" ca="1" si="24"/>
        <v>0</v>
      </c>
      <c r="AT22" s="277">
        <f t="shared" ca="1" si="73"/>
        <v>0</v>
      </c>
      <c r="AU22" s="277">
        <f t="shared" ca="1" si="74"/>
        <v>0</v>
      </c>
      <c r="AV22" s="277">
        <f t="shared" ca="1" si="25"/>
        <v>0</v>
      </c>
      <c r="AW22" s="277">
        <f t="shared" ca="1" si="26"/>
        <v>0</v>
      </c>
      <c r="AX22" s="277">
        <f t="shared" ca="1" si="27"/>
        <v>0</v>
      </c>
      <c r="AY22" s="277">
        <f t="shared" ca="1" si="28"/>
        <v>0</v>
      </c>
      <c r="AZ22" s="277">
        <f t="shared" ca="1" si="29"/>
        <v>0</v>
      </c>
      <c r="BA22" s="277">
        <f t="shared" ca="1" si="30"/>
        <v>0</v>
      </c>
      <c r="BB22" s="277">
        <f t="shared" ca="1" si="31"/>
        <v>0</v>
      </c>
      <c r="BC22" s="277">
        <f t="shared" ca="1" si="32"/>
        <v>0</v>
      </c>
      <c r="BD22" s="277">
        <f t="shared" ca="1" si="33"/>
        <v>0</v>
      </c>
      <c r="BE22" s="277">
        <f t="shared" ca="1" si="34"/>
        <v>0</v>
      </c>
      <c r="BF22" s="277">
        <f t="shared" ca="1" si="35"/>
        <v>0</v>
      </c>
      <c r="BG22" s="277">
        <f t="shared" ca="1" si="36"/>
        <v>0</v>
      </c>
      <c r="BH22" s="277">
        <f t="shared" ca="1" si="75"/>
        <v>0</v>
      </c>
      <c r="BI22" s="277">
        <f t="shared" ca="1" si="76"/>
        <v>0</v>
      </c>
      <c r="BJ22" s="277">
        <f t="shared" ca="1" si="37"/>
        <v>0</v>
      </c>
      <c r="BK22" s="277">
        <f t="shared" ca="1" si="38"/>
        <v>0</v>
      </c>
      <c r="BL22" s="277">
        <f t="shared" ca="1" si="39"/>
        <v>0</v>
      </c>
      <c r="BM22" s="277">
        <f t="shared" ca="1" si="40"/>
        <v>0</v>
      </c>
      <c r="BN22" s="277">
        <f t="shared" ca="1" si="41"/>
        <v>0</v>
      </c>
      <c r="BO22" s="277">
        <f t="shared" ca="1" si="42"/>
        <v>0</v>
      </c>
      <c r="BP22" s="277">
        <f t="shared" ca="1" si="77"/>
        <v>0</v>
      </c>
      <c r="BQ22" s="277">
        <f t="shared" ca="1" si="78"/>
        <v>0</v>
      </c>
      <c r="BR22" s="277">
        <f t="shared" ca="1" si="43"/>
        <v>0</v>
      </c>
      <c r="BS22" s="277">
        <f t="shared" ca="1" si="44"/>
        <v>0</v>
      </c>
      <c r="BT22" s="277">
        <f t="shared" ca="1" si="79"/>
        <v>0</v>
      </c>
      <c r="BU22" s="277">
        <f t="shared" ca="1" si="80"/>
        <v>0</v>
      </c>
      <c r="BV22" s="277">
        <f t="shared" ca="1" si="81"/>
        <v>0</v>
      </c>
      <c r="BW22" s="277">
        <f t="shared" ca="1" si="82"/>
        <v>0</v>
      </c>
      <c r="BX22" s="277">
        <f t="shared" ca="1" si="45"/>
        <v>0</v>
      </c>
      <c r="BY22" s="277">
        <f t="shared" ca="1" si="46"/>
        <v>0</v>
      </c>
      <c r="BZ22" s="277">
        <f t="shared" ca="1" si="47"/>
        <v>0</v>
      </c>
      <c r="CA22" s="277">
        <f t="shared" ca="1" si="48"/>
        <v>0</v>
      </c>
      <c r="CB22" s="277">
        <f t="shared" ca="1" si="49"/>
        <v>0</v>
      </c>
      <c r="CC22" s="277">
        <f t="shared" ca="1" si="50"/>
        <v>0</v>
      </c>
      <c r="CD22" s="277">
        <f t="shared" ca="1" si="83"/>
        <v>0</v>
      </c>
      <c r="CE22" s="277">
        <f t="shared" ca="1" si="84"/>
        <v>0</v>
      </c>
      <c r="CF22" s="277">
        <f t="shared" ca="1" si="85"/>
        <v>0</v>
      </c>
      <c r="CG22" s="277">
        <f t="shared" ca="1" si="86"/>
        <v>0</v>
      </c>
      <c r="CH22" s="277">
        <f t="shared" ca="1" si="51"/>
        <v>0</v>
      </c>
      <c r="CI22" s="277">
        <f t="shared" ca="1" si="52"/>
        <v>0</v>
      </c>
      <c r="CJ22" s="277">
        <f t="shared" ca="1" si="87"/>
        <v>0</v>
      </c>
      <c r="CK22" s="277">
        <f t="shared" ca="1" si="88"/>
        <v>0</v>
      </c>
      <c r="CL22" s="277">
        <f t="shared" ca="1" si="53"/>
        <v>0</v>
      </c>
      <c r="CM22" s="277">
        <f t="shared" ca="1" si="54"/>
        <v>0</v>
      </c>
      <c r="CN22" s="277">
        <f t="shared" ca="1" si="55"/>
        <v>0</v>
      </c>
      <c r="CO22" s="277">
        <f t="shared" ca="1" si="56"/>
        <v>0</v>
      </c>
      <c r="CP22" s="277">
        <f t="shared" ca="1" si="89"/>
        <v>0</v>
      </c>
      <c r="CQ22" s="277">
        <f t="shared" ca="1" si="90"/>
        <v>0</v>
      </c>
      <c r="CR22" s="277">
        <f t="shared" ca="1" si="91"/>
        <v>0</v>
      </c>
      <c r="CS22" s="277">
        <f t="shared" ca="1" si="92"/>
        <v>0</v>
      </c>
      <c r="CT22" s="277">
        <f t="shared" ca="1" si="57"/>
        <v>0</v>
      </c>
      <c r="CU22" s="277">
        <f t="shared" ca="1" si="58"/>
        <v>0</v>
      </c>
      <c r="CV22" s="277">
        <f t="shared" ca="1" si="59"/>
        <v>0</v>
      </c>
      <c r="CW22" s="277">
        <f t="shared" ca="1" si="60"/>
        <v>0</v>
      </c>
      <c r="CX22" s="277">
        <f t="shared" ca="1" si="93"/>
        <v>0</v>
      </c>
      <c r="CY22" s="277">
        <f t="shared" ca="1" si="94"/>
        <v>0</v>
      </c>
      <c r="CZ22" s="277">
        <f t="shared" ca="1" si="95"/>
        <v>0</v>
      </c>
      <c r="DA22" s="277">
        <f t="shared" ca="1" si="96"/>
        <v>0</v>
      </c>
    </row>
    <row r="23" spans="1:105" s="274" customFormat="1" ht="15" customHeight="1">
      <c r="A23" s="63">
        <f t="array" aca="1" ref="A23" ca="1">IF(C23&lt;&gt;0,SUM(($C$11:C23&lt;&gt;0)*1),"")</f>
        <v>13</v>
      </c>
      <c r="B23" s="275" t="str">
        <f ca="1">IF(ROWS($1:13)&gt;COUNT(Dong6),"",OFFSET(TH!C$1,SMALL(Dong6,ROWS($1:13)),))</f>
        <v/>
      </c>
      <c r="C23" s="275" t="str">
        <f ca="1">IF(ROWS($1:13)&gt;COUNT(Dong6),"",OFFSET(TH!D$1,SMALL(Dong6,ROWS($1:13)),))</f>
        <v/>
      </c>
      <c r="D23" s="275" t="str">
        <f ca="1">IF(ROWS($1:13)&gt;COUNT(Dong6),"",OFFSET(TH!E$1,SMALL(Dong6,ROWS($1:13)),))</f>
        <v/>
      </c>
      <c r="E23" s="325" t="str">
        <f ca="1">IF(ROWS($1:13)&gt;COUNT(Dong6),"",OFFSET(TH!F$1,SMALL(Dong6,ROWS($1:13)),))</f>
        <v/>
      </c>
      <c r="F23" s="326" t="str">
        <f ca="1">IF(ROWS($1:13)&gt;COUNT(Dong6),"",OFFSET(TH!M$1,SMALL(Dong6,ROWS($1:13)),))</f>
        <v/>
      </c>
      <c r="G23" s="327" t="str">
        <f ca="1">IF(ROWS($1:13)&gt;COUNT(Dong6),"",OFFSET(TH!N$1,SMALL(Dong6,ROWS($1:13)),))</f>
        <v/>
      </c>
      <c r="H23" s="327" t="str">
        <f ca="1">IF(ROWS($1:13)&gt;COUNT(Dong6),"",OFFSET(TH!O$1,SMALL(Dong6,ROWS($1:13)),))</f>
        <v/>
      </c>
      <c r="I23" s="63">
        <f t="shared" ca="1" si="0"/>
        <v>13</v>
      </c>
      <c r="J23" s="277">
        <f t="shared" ca="1" si="61"/>
        <v>0</v>
      </c>
      <c r="K23" s="277">
        <f t="shared" ca="1" si="62"/>
        <v>0</v>
      </c>
      <c r="L23" s="277">
        <f t="shared" ca="1" si="1"/>
        <v>0</v>
      </c>
      <c r="M23" s="277">
        <f t="shared" ca="1" si="2"/>
        <v>0</v>
      </c>
      <c r="N23" s="277">
        <f t="shared" ca="1" si="3"/>
        <v>0</v>
      </c>
      <c r="O23" s="277">
        <f t="shared" ca="1" si="4"/>
        <v>0</v>
      </c>
      <c r="P23" s="277">
        <f t="shared" ca="1" si="5"/>
        <v>0</v>
      </c>
      <c r="Q23" s="277">
        <f t="shared" ca="1" si="6"/>
        <v>0</v>
      </c>
      <c r="R23" s="277">
        <f t="shared" ca="1" si="7"/>
        <v>0</v>
      </c>
      <c r="S23" s="277">
        <f t="shared" ca="1" si="8"/>
        <v>0</v>
      </c>
      <c r="T23" s="277">
        <f t="shared" ca="1" si="9"/>
        <v>0</v>
      </c>
      <c r="U23" s="277">
        <f t="shared" ca="1" si="10"/>
        <v>0</v>
      </c>
      <c r="V23" s="277">
        <f t="shared" ca="1" si="11"/>
        <v>0</v>
      </c>
      <c r="W23" s="277">
        <f t="shared" ca="1" si="12"/>
        <v>0</v>
      </c>
      <c r="X23" s="277">
        <f t="shared" ca="1" si="13"/>
        <v>0</v>
      </c>
      <c r="Y23" s="277">
        <f t="shared" ca="1" si="14"/>
        <v>0</v>
      </c>
      <c r="Z23" s="277">
        <f t="shared" ca="1" si="15"/>
        <v>0</v>
      </c>
      <c r="AA23" s="277">
        <f t="shared" ca="1" si="16"/>
        <v>0</v>
      </c>
      <c r="AB23" s="277">
        <f t="shared" ca="1" si="63"/>
        <v>0</v>
      </c>
      <c r="AC23" s="277">
        <f t="shared" ca="1" si="64"/>
        <v>0</v>
      </c>
      <c r="AD23" s="277">
        <f t="shared" ca="1" si="17"/>
        <v>0</v>
      </c>
      <c r="AE23" s="277">
        <f t="shared" ca="1" si="18"/>
        <v>0</v>
      </c>
      <c r="AF23" s="277">
        <f t="shared" ca="1" si="19"/>
        <v>0</v>
      </c>
      <c r="AG23" s="277">
        <f t="shared" ca="1" si="20"/>
        <v>0</v>
      </c>
      <c r="AH23" s="277">
        <f t="shared" ca="1" si="65"/>
        <v>0</v>
      </c>
      <c r="AI23" s="277">
        <f t="shared" ca="1" si="66"/>
        <v>0</v>
      </c>
      <c r="AJ23" s="277">
        <f t="shared" ca="1" si="67"/>
        <v>0</v>
      </c>
      <c r="AK23" s="277">
        <f t="shared" ca="1" si="68"/>
        <v>0</v>
      </c>
      <c r="AL23" s="277">
        <f t="shared" ca="1" si="69"/>
        <v>0</v>
      </c>
      <c r="AM23" s="277">
        <f t="shared" ca="1" si="70"/>
        <v>0</v>
      </c>
      <c r="AN23" s="277">
        <f t="shared" ca="1" si="71"/>
        <v>0</v>
      </c>
      <c r="AO23" s="277">
        <f t="shared" ca="1" si="72"/>
        <v>0</v>
      </c>
      <c r="AP23" s="277">
        <f t="shared" ca="1" si="21"/>
        <v>0</v>
      </c>
      <c r="AQ23" s="277">
        <f t="shared" ca="1" si="22"/>
        <v>0</v>
      </c>
      <c r="AR23" s="277">
        <f t="shared" ca="1" si="23"/>
        <v>0</v>
      </c>
      <c r="AS23" s="277">
        <f t="shared" ca="1" si="24"/>
        <v>0</v>
      </c>
      <c r="AT23" s="277">
        <f t="shared" ca="1" si="73"/>
        <v>0</v>
      </c>
      <c r="AU23" s="277">
        <f t="shared" ca="1" si="74"/>
        <v>0</v>
      </c>
      <c r="AV23" s="277">
        <f t="shared" ca="1" si="25"/>
        <v>0</v>
      </c>
      <c r="AW23" s="277">
        <f t="shared" ca="1" si="26"/>
        <v>0</v>
      </c>
      <c r="AX23" s="277">
        <f t="shared" ca="1" si="27"/>
        <v>0</v>
      </c>
      <c r="AY23" s="277">
        <f t="shared" ca="1" si="28"/>
        <v>0</v>
      </c>
      <c r="AZ23" s="277">
        <f t="shared" ca="1" si="29"/>
        <v>0</v>
      </c>
      <c r="BA23" s="277">
        <f t="shared" ca="1" si="30"/>
        <v>0</v>
      </c>
      <c r="BB23" s="277">
        <f t="shared" ca="1" si="31"/>
        <v>0</v>
      </c>
      <c r="BC23" s="277">
        <f t="shared" ca="1" si="32"/>
        <v>0</v>
      </c>
      <c r="BD23" s="277">
        <f t="shared" ca="1" si="33"/>
        <v>0</v>
      </c>
      <c r="BE23" s="277">
        <f t="shared" ca="1" si="34"/>
        <v>0</v>
      </c>
      <c r="BF23" s="277">
        <f t="shared" ca="1" si="35"/>
        <v>0</v>
      </c>
      <c r="BG23" s="277">
        <f t="shared" ca="1" si="36"/>
        <v>0</v>
      </c>
      <c r="BH23" s="277">
        <f t="shared" ca="1" si="75"/>
        <v>0</v>
      </c>
      <c r="BI23" s="277">
        <f t="shared" ca="1" si="76"/>
        <v>0</v>
      </c>
      <c r="BJ23" s="277">
        <f t="shared" ca="1" si="37"/>
        <v>0</v>
      </c>
      <c r="BK23" s="277">
        <f t="shared" ca="1" si="38"/>
        <v>0</v>
      </c>
      <c r="BL23" s="277">
        <f t="shared" ca="1" si="39"/>
        <v>0</v>
      </c>
      <c r="BM23" s="277">
        <f t="shared" ca="1" si="40"/>
        <v>0</v>
      </c>
      <c r="BN23" s="277">
        <f t="shared" ca="1" si="41"/>
        <v>0</v>
      </c>
      <c r="BO23" s="277">
        <f t="shared" ca="1" si="42"/>
        <v>0</v>
      </c>
      <c r="BP23" s="277">
        <f t="shared" ca="1" si="77"/>
        <v>0</v>
      </c>
      <c r="BQ23" s="277">
        <f t="shared" ca="1" si="78"/>
        <v>0</v>
      </c>
      <c r="BR23" s="277">
        <f t="shared" ca="1" si="43"/>
        <v>0</v>
      </c>
      <c r="BS23" s="277">
        <f t="shared" ca="1" si="44"/>
        <v>0</v>
      </c>
      <c r="BT23" s="277">
        <f t="shared" ca="1" si="79"/>
        <v>0</v>
      </c>
      <c r="BU23" s="277">
        <f t="shared" ca="1" si="80"/>
        <v>0</v>
      </c>
      <c r="BV23" s="277">
        <f t="shared" ca="1" si="81"/>
        <v>0</v>
      </c>
      <c r="BW23" s="277">
        <f t="shared" ca="1" si="82"/>
        <v>0</v>
      </c>
      <c r="BX23" s="277">
        <f t="shared" ca="1" si="45"/>
        <v>0</v>
      </c>
      <c r="BY23" s="277">
        <f t="shared" ca="1" si="46"/>
        <v>0</v>
      </c>
      <c r="BZ23" s="277">
        <f t="shared" ca="1" si="47"/>
        <v>0</v>
      </c>
      <c r="CA23" s="277">
        <f t="shared" ca="1" si="48"/>
        <v>0</v>
      </c>
      <c r="CB23" s="277">
        <f t="shared" ca="1" si="49"/>
        <v>0</v>
      </c>
      <c r="CC23" s="277">
        <f t="shared" ca="1" si="50"/>
        <v>0</v>
      </c>
      <c r="CD23" s="277">
        <f t="shared" ca="1" si="83"/>
        <v>0</v>
      </c>
      <c r="CE23" s="277">
        <f t="shared" ca="1" si="84"/>
        <v>0</v>
      </c>
      <c r="CF23" s="277">
        <f t="shared" ca="1" si="85"/>
        <v>0</v>
      </c>
      <c r="CG23" s="277">
        <f t="shared" ca="1" si="86"/>
        <v>0</v>
      </c>
      <c r="CH23" s="277">
        <f t="shared" ca="1" si="51"/>
        <v>0</v>
      </c>
      <c r="CI23" s="277">
        <f t="shared" ca="1" si="52"/>
        <v>0</v>
      </c>
      <c r="CJ23" s="277">
        <f t="shared" ca="1" si="87"/>
        <v>0</v>
      </c>
      <c r="CK23" s="277">
        <f t="shared" ca="1" si="88"/>
        <v>0</v>
      </c>
      <c r="CL23" s="277">
        <f t="shared" ca="1" si="53"/>
        <v>0</v>
      </c>
      <c r="CM23" s="277">
        <f t="shared" ca="1" si="54"/>
        <v>0</v>
      </c>
      <c r="CN23" s="277">
        <f t="shared" ca="1" si="55"/>
        <v>0</v>
      </c>
      <c r="CO23" s="277">
        <f t="shared" ca="1" si="56"/>
        <v>0</v>
      </c>
      <c r="CP23" s="277">
        <f t="shared" ca="1" si="89"/>
        <v>0</v>
      </c>
      <c r="CQ23" s="277">
        <f t="shared" ca="1" si="90"/>
        <v>0</v>
      </c>
      <c r="CR23" s="277">
        <f t="shared" ca="1" si="91"/>
        <v>0</v>
      </c>
      <c r="CS23" s="277">
        <f t="shared" ca="1" si="92"/>
        <v>0</v>
      </c>
      <c r="CT23" s="277">
        <f t="shared" ca="1" si="57"/>
        <v>0</v>
      </c>
      <c r="CU23" s="277">
        <f t="shared" ca="1" si="58"/>
        <v>0</v>
      </c>
      <c r="CV23" s="277">
        <f t="shared" ca="1" si="59"/>
        <v>0</v>
      </c>
      <c r="CW23" s="277">
        <f t="shared" ca="1" si="60"/>
        <v>0</v>
      </c>
      <c r="CX23" s="277">
        <f t="shared" ca="1" si="93"/>
        <v>0</v>
      </c>
      <c r="CY23" s="277">
        <f t="shared" ca="1" si="94"/>
        <v>0</v>
      </c>
      <c r="CZ23" s="277">
        <f t="shared" ca="1" si="95"/>
        <v>0</v>
      </c>
      <c r="DA23" s="277">
        <f t="shared" ca="1" si="96"/>
        <v>0</v>
      </c>
    </row>
    <row r="24" spans="1:105" s="274" customFormat="1" ht="15" customHeight="1">
      <c r="A24" s="63">
        <f t="array" aca="1" ref="A24" ca="1">IF(C24&lt;&gt;0,SUM(($C$11:C24&lt;&gt;0)*1),"")</f>
        <v>14</v>
      </c>
      <c r="B24" s="275" t="str">
        <f ca="1">IF(ROWS($1:14)&gt;COUNT(Dong6),"",OFFSET(TH!C$1,SMALL(Dong6,ROWS($1:14)),))</f>
        <v/>
      </c>
      <c r="C24" s="275" t="str">
        <f ca="1">IF(ROWS($1:14)&gt;COUNT(Dong6),"",OFFSET(TH!D$1,SMALL(Dong6,ROWS($1:14)),))</f>
        <v/>
      </c>
      <c r="D24" s="275" t="str">
        <f ca="1">IF(ROWS($1:14)&gt;COUNT(Dong6),"",OFFSET(TH!E$1,SMALL(Dong6,ROWS($1:14)),))</f>
        <v/>
      </c>
      <c r="E24" s="325" t="str">
        <f ca="1">IF(ROWS($1:14)&gt;COUNT(Dong6),"",OFFSET(TH!F$1,SMALL(Dong6,ROWS($1:14)),))</f>
        <v/>
      </c>
      <c r="F24" s="326" t="str">
        <f ca="1">IF(ROWS($1:14)&gt;COUNT(Dong6),"",OFFSET(TH!M$1,SMALL(Dong6,ROWS($1:14)),))</f>
        <v/>
      </c>
      <c r="G24" s="327" t="str">
        <f ca="1">IF(ROWS($1:14)&gt;COUNT(Dong6),"",OFFSET(TH!N$1,SMALL(Dong6,ROWS($1:14)),))</f>
        <v/>
      </c>
      <c r="H24" s="327" t="str">
        <f ca="1">IF(ROWS($1:14)&gt;COUNT(Dong6),"",OFFSET(TH!O$1,SMALL(Dong6,ROWS($1:14)),))</f>
        <v/>
      </c>
      <c r="I24" s="63">
        <f t="shared" ca="1" si="0"/>
        <v>14</v>
      </c>
      <c r="J24" s="277">
        <f t="shared" ca="1" si="61"/>
        <v>0</v>
      </c>
      <c r="K24" s="277">
        <f t="shared" ca="1" si="62"/>
        <v>0</v>
      </c>
      <c r="L24" s="277">
        <f t="shared" ca="1" si="1"/>
        <v>0</v>
      </c>
      <c r="M24" s="277">
        <f t="shared" ca="1" si="2"/>
        <v>0</v>
      </c>
      <c r="N24" s="277">
        <f t="shared" ca="1" si="3"/>
        <v>0</v>
      </c>
      <c r="O24" s="277">
        <f t="shared" ca="1" si="4"/>
        <v>0</v>
      </c>
      <c r="P24" s="277">
        <f t="shared" ca="1" si="5"/>
        <v>0</v>
      </c>
      <c r="Q24" s="277">
        <f t="shared" ca="1" si="6"/>
        <v>0</v>
      </c>
      <c r="R24" s="277">
        <f t="shared" ca="1" si="7"/>
        <v>0</v>
      </c>
      <c r="S24" s="277">
        <f t="shared" ca="1" si="8"/>
        <v>0</v>
      </c>
      <c r="T24" s="277">
        <f t="shared" ca="1" si="9"/>
        <v>0</v>
      </c>
      <c r="U24" s="277">
        <f t="shared" ca="1" si="10"/>
        <v>0</v>
      </c>
      <c r="V24" s="277">
        <f t="shared" ca="1" si="11"/>
        <v>0</v>
      </c>
      <c r="W24" s="277">
        <f t="shared" ca="1" si="12"/>
        <v>0</v>
      </c>
      <c r="X24" s="277">
        <f t="shared" ca="1" si="13"/>
        <v>0</v>
      </c>
      <c r="Y24" s="277">
        <f t="shared" ca="1" si="14"/>
        <v>0</v>
      </c>
      <c r="Z24" s="277">
        <f t="shared" ca="1" si="15"/>
        <v>0</v>
      </c>
      <c r="AA24" s="277">
        <f t="shared" ca="1" si="16"/>
        <v>0</v>
      </c>
      <c r="AB24" s="277">
        <f t="shared" ca="1" si="63"/>
        <v>0</v>
      </c>
      <c r="AC24" s="277">
        <f t="shared" ca="1" si="64"/>
        <v>0</v>
      </c>
      <c r="AD24" s="277">
        <f t="shared" ca="1" si="17"/>
        <v>0</v>
      </c>
      <c r="AE24" s="277">
        <f t="shared" ca="1" si="18"/>
        <v>0</v>
      </c>
      <c r="AF24" s="277">
        <f t="shared" ca="1" si="19"/>
        <v>0</v>
      </c>
      <c r="AG24" s="277">
        <f t="shared" ca="1" si="20"/>
        <v>0</v>
      </c>
      <c r="AH24" s="277">
        <f t="shared" ca="1" si="65"/>
        <v>0</v>
      </c>
      <c r="AI24" s="277">
        <f t="shared" ca="1" si="66"/>
        <v>0</v>
      </c>
      <c r="AJ24" s="277">
        <f t="shared" ca="1" si="67"/>
        <v>0</v>
      </c>
      <c r="AK24" s="277">
        <f t="shared" ca="1" si="68"/>
        <v>0</v>
      </c>
      <c r="AL24" s="277">
        <f t="shared" ca="1" si="69"/>
        <v>0</v>
      </c>
      <c r="AM24" s="277">
        <f t="shared" ca="1" si="70"/>
        <v>0</v>
      </c>
      <c r="AN24" s="277">
        <f t="shared" ca="1" si="71"/>
        <v>0</v>
      </c>
      <c r="AO24" s="277">
        <f t="shared" ca="1" si="72"/>
        <v>0</v>
      </c>
      <c r="AP24" s="277">
        <f t="shared" ca="1" si="21"/>
        <v>0</v>
      </c>
      <c r="AQ24" s="277">
        <f t="shared" ca="1" si="22"/>
        <v>0</v>
      </c>
      <c r="AR24" s="277">
        <f t="shared" ca="1" si="23"/>
        <v>0</v>
      </c>
      <c r="AS24" s="277">
        <f t="shared" ca="1" si="24"/>
        <v>0</v>
      </c>
      <c r="AT24" s="277">
        <f t="shared" ca="1" si="73"/>
        <v>0</v>
      </c>
      <c r="AU24" s="277">
        <f t="shared" ca="1" si="74"/>
        <v>0</v>
      </c>
      <c r="AV24" s="277">
        <f t="shared" ca="1" si="25"/>
        <v>0</v>
      </c>
      <c r="AW24" s="277">
        <f t="shared" ca="1" si="26"/>
        <v>0</v>
      </c>
      <c r="AX24" s="277">
        <f t="shared" ca="1" si="27"/>
        <v>0</v>
      </c>
      <c r="AY24" s="277">
        <f t="shared" ca="1" si="28"/>
        <v>0</v>
      </c>
      <c r="AZ24" s="277">
        <f t="shared" ca="1" si="29"/>
        <v>0</v>
      </c>
      <c r="BA24" s="277">
        <f t="shared" ca="1" si="30"/>
        <v>0</v>
      </c>
      <c r="BB24" s="277">
        <f t="shared" ca="1" si="31"/>
        <v>0</v>
      </c>
      <c r="BC24" s="277">
        <f t="shared" ca="1" si="32"/>
        <v>0</v>
      </c>
      <c r="BD24" s="277">
        <f t="shared" ca="1" si="33"/>
        <v>0</v>
      </c>
      <c r="BE24" s="277">
        <f t="shared" ca="1" si="34"/>
        <v>0</v>
      </c>
      <c r="BF24" s="277">
        <f t="shared" ca="1" si="35"/>
        <v>0</v>
      </c>
      <c r="BG24" s="277">
        <f t="shared" ca="1" si="36"/>
        <v>0</v>
      </c>
      <c r="BH24" s="277">
        <f t="shared" ca="1" si="75"/>
        <v>0</v>
      </c>
      <c r="BI24" s="277">
        <f t="shared" ca="1" si="76"/>
        <v>0</v>
      </c>
      <c r="BJ24" s="277">
        <f t="shared" ca="1" si="37"/>
        <v>0</v>
      </c>
      <c r="BK24" s="277">
        <f t="shared" ca="1" si="38"/>
        <v>0</v>
      </c>
      <c r="BL24" s="277">
        <f t="shared" ca="1" si="39"/>
        <v>0</v>
      </c>
      <c r="BM24" s="277">
        <f t="shared" ca="1" si="40"/>
        <v>0</v>
      </c>
      <c r="BN24" s="277">
        <f t="shared" ca="1" si="41"/>
        <v>0</v>
      </c>
      <c r="BO24" s="277">
        <f t="shared" ca="1" si="42"/>
        <v>0</v>
      </c>
      <c r="BP24" s="277">
        <f t="shared" ca="1" si="77"/>
        <v>0</v>
      </c>
      <c r="BQ24" s="277">
        <f t="shared" ca="1" si="78"/>
        <v>0</v>
      </c>
      <c r="BR24" s="277">
        <f t="shared" ca="1" si="43"/>
        <v>0</v>
      </c>
      <c r="BS24" s="277">
        <f t="shared" ca="1" si="44"/>
        <v>0</v>
      </c>
      <c r="BT24" s="277">
        <f t="shared" ca="1" si="79"/>
        <v>0</v>
      </c>
      <c r="BU24" s="277">
        <f t="shared" ca="1" si="80"/>
        <v>0</v>
      </c>
      <c r="BV24" s="277">
        <f t="shared" ca="1" si="81"/>
        <v>0</v>
      </c>
      <c r="BW24" s="277">
        <f t="shared" ca="1" si="82"/>
        <v>0</v>
      </c>
      <c r="BX24" s="277">
        <f t="shared" ca="1" si="45"/>
        <v>0</v>
      </c>
      <c r="BY24" s="277">
        <f t="shared" ca="1" si="46"/>
        <v>0</v>
      </c>
      <c r="BZ24" s="277">
        <f t="shared" ca="1" si="47"/>
        <v>0</v>
      </c>
      <c r="CA24" s="277">
        <f t="shared" ca="1" si="48"/>
        <v>0</v>
      </c>
      <c r="CB24" s="277">
        <f t="shared" ca="1" si="49"/>
        <v>0</v>
      </c>
      <c r="CC24" s="277">
        <f t="shared" ca="1" si="50"/>
        <v>0</v>
      </c>
      <c r="CD24" s="277">
        <f t="shared" ca="1" si="83"/>
        <v>0</v>
      </c>
      <c r="CE24" s="277">
        <f t="shared" ca="1" si="84"/>
        <v>0</v>
      </c>
      <c r="CF24" s="277">
        <f t="shared" ca="1" si="85"/>
        <v>0</v>
      </c>
      <c r="CG24" s="277">
        <f t="shared" ca="1" si="86"/>
        <v>0</v>
      </c>
      <c r="CH24" s="277">
        <f t="shared" ca="1" si="51"/>
        <v>0</v>
      </c>
      <c r="CI24" s="277">
        <f t="shared" ca="1" si="52"/>
        <v>0</v>
      </c>
      <c r="CJ24" s="277">
        <f t="shared" ca="1" si="87"/>
        <v>0</v>
      </c>
      <c r="CK24" s="277">
        <f t="shared" ca="1" si="88"/>
        <v>0</v>
      </c>
      <c r="CL24" s="277">
        <f t="shared" ca="1" si="53"/>
        <v>0</v>
      </c>
      <c r="CM24" s="277">
        <f t="shared" ca="1" si="54"/>
        <v>0</v>
      </c>
      <c r="CN24" s="277">
        <f t="shared" ca="1" si="55"/>
        <v>0</v>
      </c>
      <c r="CO24" s="277">
        <f t="shared" ca="1" si="56"/>
        <v>0</v>
      </c>
      <c r="CP24" s="277">
        <f t="shared" ca="1" si="89"/>
        <v>0</v>
      </c>
      <c r="CQ24" s="277">
        <f t="shared" ca="1" si="90"/>
        <v>0</v>
      </c>
      <c r="CR24" s="277">
        <f t="shared" ca="1" si="91"/>
        <v>0</v>
      </c>
      <c r="CS24" s="277">
        <f t="shared" ca="1" si="92"/>
        <v>0</v>
      </c>
      <c r="CT24" s="277">
        <f t="shared" ca="1" si="57"/>
        <v>0</v>
      </c>
      <c r="CU24" s="277">
        <f t="shared" ca="1" si="58"/>
        <v>0</v>
      </c>
      <c r="CV24" s="277">
        <f t="shared" ca="1" si="59"/>
        <v>0</v>
      </c>
      <c r="CW24" s="277">
        <f t="shared" ca="1" si="60"/>
        <v>0</v>
      </c>
      <c r="CX24" s="277">
        <f t="shared" ca="1" si="93"/>
        <v>0</v>
      </c>
      <c r="CY24" s="277">
        <f t="shared" ca="1" si="94"/>
        <v>0</v>
      </c>
      <c r="CZ24" s="277">
        <f t="shared" ca="1" si="95"/>
        <v>0</v>
      </c>
      <c r="DA24" s="277">
        <f t="shared" ca="1" si="96"/>
        <v>0</v>
      </c>
    </row>
    <row r="25" spans="1:105" s="274" customFormat="1" ht="15" customHeight="1">
      <c r="A25" s="63">
        <f t="array" aca="1" ref="A25" ca="1">IF(C25&lt;&gt;0,SUM(($C$11:C25&lt;&gt;0)*1),"")</f>
        <v>15</v>
      </c>
      <c r="B25" s="275" t="str">
        <f ca="1">IF(ROWS($1:15)&gt;COUNT(Dong6),"",OFFSET(TH!C$1,SMALL(Dong6,ROWS($1:15)),))</f>
        <v/>
      </c>
      <c r="C25" s="275" t="str">
        <f ca="1">IF(ROWS($1:15)&gt;COUNT(Dong6),"",OFFSET(TH!D$1,SMALL(Dong6,ROWS($1:15)),))</f>
        <v/>
      </c>
      <c r="D25" s="275" t="str">
        <f ca="1">IF(ROWS($1:15)&gt;COUNT(Dong6),"",OFFSET(TH!E$1,SMALL(Dong6,ROWS($1:15)),))</f>
        <v/>
      </c>
      <c r="E25" s="325" t="str">
        <f ca="1">IF(ROWS($1:15)&gt;COUNT(Dong6),"",OFFSET(TH!F$1,SMALL(Dong6,ROWS($1:15)),))</f>
        <v/>
      </c>
      <c r="F25" s="326" t="str">
        <f ca="1">IF(ROWS($1:15)&gt;COUNT(Dong6),"",OFFSET(TH!M$1,SMALL(Dong6,ROWS($1:15)),))</f>
        <v/>
      </c>
      <c r="G25" s="327" t="str">
        <f ca="1">IF(ROWS($1:15)&gt;COUNT(Dong6),"",OFFSET(TH!N$1,SMALL(Dong6,ROWS($1:15)),))</f>
        <v/>
      </c>
      <c r="H25" s="327" t="str">
        <f ca="1">IF(ROWS($1:15)&gt;COUNT(Dong6),"",OFFSET(TH!O$1,SMALL(Dong6,ROWS($1:15)),))</f>
        <v/>
      </c>
      <c r="I25" s="63">
        <f t="shared" ca="1" si="0"/>
        <v>15</v>
      </c>
      <c r="J25" s="277">
        <f t="shared" ca="1" si="61"/>
        <v>0</v>
      </c>
      <c r="K25" s="277">
        <f t="shared" ca="1" si="62"/>
        <v>0</v>
      </c>
      <c r="L25" s="277">
        <f t="shared" ca="1" si="1"/>
        <v>0</v>
      </c>
      <c r="M25" s="277">
        <f t="shared" ca="1" si="2"/>
        <v>0</v>
      </c>
      <c r="N25" s="277">
        <f t="shared" ca="1" si="3"/>
        <v>0</v>
      </c>
      <c r="O25" s="277">
        <f t="shared" ca="1" si="4"/>
        <v>0</v>
      </c>
      <c r="P25" s="277">
        <f t="shared" ca="1" si="5"/>
        <v>0</v>
      </c>
      <c r="Q25" s="277">
        <f t="shared" ca="1" si="6"/>
        <v>0</v>
      </c>
      <c r="R25" s="277">
        <f t="shared" ca="1" si="7"/>
        <v>0</v>
      </c>
      <c r="S25" s="277">
        <f t="shared" ca="1" si="8"/>
        <v>0</v>
      </c>
      <c r="T25" s="277">
        <f t="shared" ca="1" si="9"/>
        <v>0</v>
      </c>
      <c r="U25" s="277">
        <f t="shared" ca="1" si="10"/>
        <v>0</v>
      </c>
      <c r="V25" s="277">
        <f t="shared" ca="1" si="11"/>
        <v>0</v>
      </c>
      <c r="W25" s="277">
        <f t="shared" ca="1" si="12"/>
        <v>0</v>
      </c>
      <c r="X25" s="277">
        <f t="shared" ca="1" si="13"/>
        <v>0</v>
      </c>
      <c r="Y25" s="277">
        <f t="shared" ca="1" si="14"/>
        <v>0</v>
      </c>
      <c r="Z25" s="277">
        <f t="shared" ca="1" si="15"/>
        <v>0</v>
      </c>
      <c r="AA25" s="277">
        <f t="shared" ca="1" si="16"/>
        <v>0</v>
      </c>
      <c r="AB25" s="277">
        <f t="shared" ca="1" si="63"/>
        <v>0</v>
      </c>
      <c r="AC25" s="277">
        <f t="shared" ca="1" si="64"/>
        <v>0</v>
      </c>
      <c r="AD25" s="277">
        <f t="shared" ca="1" si="17"/>
        <v>0</v>
      </c>
      <c r="AE25" s="277">
        <f t="shared" ca="1" si="18"/>
        <v>0</v>
      </c>
      <c r="AF25" s="277">
        <f t="shared" ca="1" si="19"/>
        <v>0</v>
      </c>
      <c r="AG25" s="277">
        <f t="shared" ca="1" si="20"/>
        <v>0</v>
      </c>
      <c r="AH25" s="277">
        <f t="shared" ca="1" si="65"/>
        <v>0</v>
      </c>
      <c r="AI25" s="277">
        <f t="shared" ca="1" si="66"/>
        <v>0</v>
      </c>
      <c r="AJ25" s="277">
        <f t="shared" ca="1" si="67"/>
        <v>0</v>
      </c>
      <c r="AK25" s="277">
        <f t="shared" ca="1" si="68"/>
        <v>0</v>
      </c>
      <c r="AL25" s="277">
        <f t="shared" ca="1" si="69"/>
        <v>0</v>
      </c>
      <c r="AM25" s="277">
        <f t="shared" ca="1" si="70"/>
        <v>0</v>
      </c>
      <c r="AN25" s="277">
        <f t="shared" ca="1" si="71"/>
        <v>0</v>
      </c>
      <c r="AO25" s="277">
        <f t="shared" ca="1" si="72"/>
        <v>0</v>
      </c>
      <c r="AP25" s="277">
        <f t="shared" ca="1" si="21"/>
        <v>0</v>
      </c>
      <c r="AQ25" s="277">
        <f t="shared" ca="1" si="22"/>
        <v>0</v>
      </c>
      <c r="AR25" s="277">
        <f t="shared" ca="1" si="23"/>
        <v>0</v>
      </c>
      <c r="AS25" s="277">
        <f t="shared" ca="1" si="24"/>
        <v>0</v>
      </c>
      <c r="AT25" s="277">
        <f t="shared" ca="1" si="73"/>
        <v>0</v>
      </c>
      <c r="AU25" s="277">
        <f t="shared" ca="1" si="74"/>
        <v>0</v>
      </c>
      <c r="AV25" s="277">
        <f t="shared" ca="1" si="25"/>
        <v>0</v>
      </c>
      <c r="AW25" s="277">
        <f t="shared" ca="1" si="26"/>
        <v>0</v>
      </c>
      <c r="AX25" s="277">
        <f t="shared" ca="1" si="27"/>
        <v>0</v>
      </c>
      <c r="AY25" s="277">
        <f t="shared" ca="1" si="28"/>
        <v>0</v>
      </c>
      <c r="AZ25" s="277">
        <f t="shared" ca="1" si="29"/>
        <v>0</v>
      </c>
      <c r="BA25" s="277">
        <f t="shared" ca="1" si="30"/>
        <v>0</v>
      </c>
      <c r="BB25" s="277">
        <f t="shared" ca="1" si="31"/>
        <v>0</v>
      </c>
      <c r="BC25" s="277">
        <f t="shared" ca="1" si="32"/>
        <v>0</v>
      </c>
      <c r="BD25" s="277">
        <f t="shared" ca="1" si="33"/>
        <v>0</v>
      </c>
      <c r="BE25" s="277">
        <f t="shared" ca="1" si="34"/>
        <v>0</v>
      </c>
      <c r="BF25" s="277">
        <f t="shared" ca="1" si="35"/>
        <v>0</v>
      </c>
      <c r="BG25" s="277">
        <f t="shared" ca="1" si="36"/>
        <v>0</v>
      </c>
      <c r="BH25" s="277">
        <f t="shared" ca="1" si="75"/>
        <v>0</v>
      </c>
      <c r="BI25" s="277">
        <f t="shared" ca="1" si="76"/>
        <v>0</v>
      </c>
      <c r="BJ25" s="277">
        <f t="shared" ca="1" si="37"/>
        <v>0</v>
      </c>
      <c r="BK25" s="277">
        <f t="shared" ca="1" si="38"/>
        <v>0</v>
      </c>
      <c r="BL25" s="277">
        <f t="shared" ca="1" si="39"/>
        <v>0</v>
      </c>
      <c r="BM25" s="277">
        <f t="shared" ca="1" si="40"/>
        <v>0</v>
      </c>
      <c r="BN25" s="277">
        <f t="shared" ca="1" si="41"/>
        <v>0</v>
      </c>
      <c r="BO25" s="277">
        <f t="shared" ca="1" si="42"/>
        <v>0</v>
      </c>
      <c r="BP25" s="277">
        <f t="shared" ca="1" si="77"/>
        <v>0</v>
      </c>
      <c r="BQ25" s="277">
        <f t="shared" ca="1" si="78"/>
        <v>0</v>
      </c>
      <c r="BR25" s="277">
        <f t="shared" ca="1" si="43"/>
        <v>0</v>
      </c>
      <c r="BS25" s="277">
        <f t="shared" ca="1" si="44"/>
        <v>0</v>
      </c>
      <c r="BT25" s="277">
        <f t="shared" ca="1" si="79"/>
        <v>0</v>
      </c>
      <c r="BU25" s="277">
        <f t="shared" ca="1" si="80"/>
        <v>0</v>
      </c>
      <c r="BV25" s="277">
        <f t="shared" ca="1" si="81"/>
        <v>0</v>
      </c>
      <c r="BW25" s="277">
        <f t="shared" ca="1" si="82"/>
        <v>0</v>
      </c>
      <c r="BX25" s="277">
        <f t="shared" ca="1" si="45"/>
        <v>0</v>
      </c>
      <c r="BY25" s="277">
        <f t="shared" ca="1" si="46"/>
        <v>0</v>
      </c>
      <c r="BZ25" s="277">
        <f t="shared" ca="1" si="47"/>
        <v>0</v>
      </c>
      <c r="CA25" s="277">
        <f t="shared" ca="1" si="48"/>
        <v>0</v>
      </c>
      <c r="CB25" s="277">
        <f t="shared" ca="1" si="49"/>
        <v>0</v>
      </c>
      <c r="CC25" s="277">
        <f t="shared" ca="1" si="50"/>
        <v>0</v>
      </c>
      <c r="CD25" s="277">
        <f t="shared" ca="1" si="83"/>
        <v>0</v>
      </c>
      <c r="CE25" s="277">
        <f t="shared" ca="1" si="84"/>
        <v>0</v>
      </c>
      <c r="CF25" s="277">
        <f t="shared" ca="1" si="85"/>
        <v>0</v>
      </c>
      <c r="CG25" s="277">
        <f t="shared" ca="1" si="86"/>
        <v>0</v>
      </c>
      <c r="CH25" s="277">
        <f t="shared" ca="1" si="51"/>
        <v>0</v>
      </c>
      <c r="CI25" s="277">
        <f t="shared" ca="1" si="52"/>
        <v>0</v>
      </c>
      <c r="CJ25" s="277">
        <f t="shared" ca="1" si="87"/>
        <v>0</v>
      </c>
      <c r="CK25" s="277">
        <f t="shared" ca="1" si="88"/>
        <v>0</v>
      </c>
      <c r="CL25" s="277">
        <f t="shared" ca="1" si="53"/>
        <v>0</v>
      </c>
      <c r="CM25" s="277">
        <f t="shared" ca="1" si="54"/>
        <v>0</v>
      </c>
      <c r="CN25" s="277">
        <f t="shared" ca="1" si="55"/>
        <v>0</v>
      </c>
      <c r="CO25" s="277">
        <f t="shared" ca="1" si="56"/>
        <v>0</v>
      </c>
      <c r="CP25" s="277">
        <f t="shared" ca="1" si="89"/>
        <v>0</v>
      </c>
      <c r="CQ25" s="277">
        <f t="shared" ca="1" si="90"/>
        <v>0</v>
      </c>
      <c r="CR25" s="277">
        <f t="shared" ca="1" si="91"/>
        <v>0</v>
      </c>
      <c r="CS25" s="277">
        <f t="shared" ca="1" si="92"/>
        <v>0</v>
      </c>
      <c r="CT25" s="277">
        <f t="shared" ca="1" si="57"/>
        <v>0</v>
      </c>
      <c r="CU25" s="277">
        <f t="shared" ca="1" si="58"/>
        <v>0</v>
      </c>
      <c r="CV25" s="277">
        <f t="shared" ca="1" si="59"/>
        <v>0</v>
      </c>
      <c r="CW25" s="277">
        <f t="shared" ca="1" si="60"/>
        <v>0</v>
      </c>
      <c r="CX25" s="277">
        <f t="shared" ca="1" si="93"/>
        <v>0</v>
      </c>
      <c r="CY25" s="277">
        <f t="shared" ca="1" si="94"/>
        <v>0</v>
      </c>
      <c r="CZ25" s="277">
        <f t="shared" ca="1" si="95"/>
        <v>0</v>
      </c>
      <c r="DA25" s="277">
        <f t="shared" ca="1" si="96"/>
        <v>0</v>
      </c>
    </row>
    <row r="26" spans="1:105" s="274" customFormat="1" ht="15" customHeight="1">
      <c r="A26" s="63">
        <f t="array" aca="1" ref="A26" ca="1">IF(C26&lt;&gt;0,SUM(($C$11:C26&lt;&gt;0)*1),"")</f>
        <v>16</v>
      </c>
      <c r="B26" s="275" t="str">
        <f ca="1">IF(ROWS($1:16)&gt;COUNT(Dong6),"",OFFSET(TH!C$1,SMALL(Dong6,ROWS($1:16)),))</f>
        <v/>
      </c>
      <c r="C26" s="275" t="str">
        <f ca="1">IF(ROWS($1:16)&gt;COUNT(Dong6),"",OFFSET(TH!D$1,SMALL(Dong6,ROWS($1:16)),))</f>
        <v/>
      </c>
      <c r="D26" s="275" t="str">
        <f ca="1">IF(ROWS($1:16)&gt;COUNT(Dong6),"",OFFSET(TH!E$1,SMALL(Dong6,ROWS($1:16)),))</f>
        <v/>
      </c>
      <c r="E26" s="325" t="str">
        <f ca="1">IF(ROWS($1:16)&gt;COUNT(Dong6),"",OFFSET(TH!F$1,SMALL(Dong6,ROWS($1:16)),))</f>
        <v/>
      </c>
      <c r="F26" s="326" t="str">
        <f ca="1">IF(ROWS($1:16)&gt;COUNT(Dong6),"",OFFSET(TH!M$1,SMALL(Dong6,ROWS($1:16)),))</f>
        <v/>
      </c>
      <c r="G26" s="327" t="str">
        <f ca="1">IF(ROWS($1:16)&gt;COUNT(Dong6),"",OFFSET(TH!N$1,SMALL(Dong6,ROWS($1:16)),))</f>
        <v/>
      </c>
      <c r="H26" s="327" t="str">
        <f ca="1">IF(ROWS($1:16)&gt;COUNT(Dong6),"",OFFSET(TH!O$1,SMALL(Dong6,ROWS($1:16)),))</f>
        <v/>
      </c>
      <c r="I26" s="63">
        <f t="shared" ca="1" si="0"/>
        <v>16</v>
      </c>
      <c r="J26" s="277">
        <f t="shared" ca="1" si="61"/>
        <v>0</v>
      </c>
      <c r="K26" s="277">
        <f t="shared" ca="1" si="62"/>
        <v>0</v>
      </c>
      <c r="L26" s="277">
        <f t="shared" ca="1" si="1"/>
        <v>0</v>
      </c>
      <c r="M26" s="277">
        <f t="shared" ca="1" si="2"/>
        <v>0</v>
      </c>
      <c r="N26" s="277">
        <f t="shared" ca="1" si="3"/>
        <v>0</v>
      </c>
      <c r="O26" s="277">
        <f t="shared" ca="1" si="4"/>
        <v>0</v>
      </c>
      <c r="P26" s="277">
        <f t="shared" ca="1" si="5"/>
        <v>0</v>
      </c>
      <c r="Q26" s="277">
        <f t="shared" ca="1" si="6"/>
        <v>0</v>
      </c>
      <c r="R26" s="277">
        <f t="shared" ca="1" si="7"/>
        <v>0</v>
      </c>
      <c r="S26" s="277">
        <f t="shared" ca="1" si="8"/>
        <v>0</v>
      </c>
      <c r="T26" s="277">
        <f t="shared" ca="1" si="9"/>
        <v>0</v>
      </c>
      <c r="U26" s="277">
        <f t="shared" ca="1" si="10"/>
        <v>0</v>
      </c>
      <c r="V26" s="277">
        <f t="shared" ca="1" si="11"/>
        <v>0</v>
      </c>
      <c r="W26" s="277">
        <f t="shared" ca="1" si="12"/>
        <v>0</v>
      </c>
      <c r="X26" s="277">
        <f t="shared" ca="1" si="13"/>
        <v>0</v>
      </c>
      <c r="Y26" s="277">
        <f t="shared" ca="1" si="14"/>
        <v>0</v>
      </c>
      <c r="Z26" s="277">
        <f t="shared" ca="1" si="15"/>
        <v>0</v>
      </c>
      <c r="AA26" s="277">
        <f t="shared" ca="1" si="16"/>
        <v>0</v>
      </c>
      <c r="AB26" s="277">
        <f t="shared" ca="1" si="63"/>
        <v>0</v>
      </c>
      <c r="AC26" s="277">
        <f t="shared" ca="1" si="64"/>
        <v>0</v>
      </c>
      <c r="AD26" s="277">
        <f t="shared" ca="1" si="17"/>
        <v>0</v>
      </c>
      <c r="AE26" s="277">
        <f t="shared" ca="1" si="18"/>
        <v>0</v>
      </c>
      <c r="AF26" s="277">
        <f t="shared" ca="1" si="19"/>
        <v>0</v>
      </c>
      <c r="AG26" s="277">
        <f t="shared" ca="1" si="20"/>
        <v>0</v>
      </c>
      <c r="AH26" s="277">
        <f t="shared" ca="1" si="65"/>
        <v>0</v>
      </c>
      <c r="AI26" s="277">
        <f t="shared" ca="1" si="66"/>
        <v>0</v>
      </c>
      <c r="AJ26" s="277">
        <f t="shared" ca="1" si="67"/>
        <v>0</v>
      </c>
      <c r="AK26" s="277">
        <f t="shared" ca="1" si="68"/>
        <v>0</v>
      </c>
      <c r="AL26" s="277">
        <f t="shared" ca="1" si="69"/>
        <v>0</v>
      </c>
      <c r="AM26" s="277">
        <f t="shared" ca="1" si="70"/>
        <v>0</v>
      </c>
      <c r="AN26" s="277">
        <f t="shared" ca="1" si="71"/>
        <v>0</v>
      </c>
      <c r="AO26" s="277">
        <f t="shared" ca="1" si="72"/>
        <v>0</v>
      </c>
      <c r="AP26" s="277">
        <f t="shared" ca="1" si="21"/>
        <v>0</v>
      </c>
      <c r="AQ26" s="277">
        <f t="shared" ca="1" si="22"/>
        <v>0</v>
      </c>
      <c r="AR26" s="277">
        <f t="shared" ca="1" si="23"/>
        <v>0</v>
      </c>
      <c r="AS26" s="277">
        <f t="shared" ca="1" si="24"/>
        <v>0</v>
      </c>
      <c r="AT26" s="277">
        <f t="shared" ca="1" si="73"/>
        <v>0</v>
      </c>
      <c r="AU26" s="277">
        <f t="shared" ca="1" si="74"/>
        <v>0</v>
      </c>
      <c r="AV26" s="277">
        <f t="shared" ca="1" si="25"/>
        <v>0</v>
      </c>
      <c r="AW26" s="277">
        <f t="shared" ca="1" si="26"/>
        <v>0</v>
      </c>
      <c r="AX26" s="277">
        <f t="shared" ca="1" si="27"/>
        <v>0</v>
      </c>
      <c r="AY26" s="277">
        <f t="shared" ca="1" si="28"/>
        <v>0</v>
      </c>
      <c r="AZ26" s="277">
        <f t="shared" ca="1" si="29"/>
        <v>0</v>
      </c>
      <c r="BA26" s="277">
        <f t="shared" ca="1" si="30"/>
        <v>0</v>
      </c>
      <c r="BB26" s="277">
        <f t="shared" ca="1" si="31"/>
        <v>0</v>
      </c>
      <c r="BC26" s="277">
        <f t="shared" ca="1" si="32"/>
        <v>0</v>
      </c>
      <c r="BD26" s="277">
        <f t="shared" ca="1" si="33"/>
        <v>0</v>
      </c>
      <c r="BE26" s="277">
        <f t="shared" ca="1" si="34"/>
        <v>0</v>
      </c>
      <c r="BF26" s="277">
        <f t="shared" ca="1" si="35"/>
        <v>0</v>
      </c>
      <c r="BG26" s="277">
        <f t="shared" ca="1" si="36"/>
        <v>0</v>
      </c>
      <c r="BH26" s="277">
        <f t="shared" ca="1" si="75"/>
        <v>0</v>
      </c>
      <c r="BI26" s="277">
        <f t="shared" ca="1" si="76"/>
        <v>0</v>
      </c>
      <c r="BJ26" s="277">
        <f t="shared" ca="1" si="37"/>
        <v>0</v>
      </c>
      <c r="BK26" s="277">
        <f t="shared" ca="1" si="38"/>
        <v>0</v>
      </c>
      <c r="BL26" s="277">
        <f t="shared" ca="1" si="39"/>
        <v>0</v>
      </c>
      <c r="BM26" s="277">
        <f t="shared" ca="1" si="40"/>
        <v>0</v>
      </c>
      <c r="BN26" s="277">
        <f t="shared" ca="1" si="41"/>
        <v>0</v>
      </c>
      <c r="BO26" s="277">
        <f t="shared" ca="1" si="42"/>
        <v>0</v>
      </c>
      <c r="BP26" s="277">
        <f t="shared" ca="1" si="77"/>
        <v>0</v>
      </c>
      <c r="BQ26" s="277">
        <f t="shared" ca="1" si="78"/>
        <v>0</v>
      </c>
      <c r="BR26" s="277">
        <f t="shared" ca="1" si="43"/>
        <v>0</v>
      </c>
      <c r="BS26" s="277">
        <f t="shared" ca="1" si="44"/>
        <v>0</v>
      </c>
      <c r="BT26" s="277">
        <f t="shared" ca="1" si="79"/>
        <v>0</v>
      </c>
      <c r="BU26" s="277">
        <f t="shared" ca="1" si="80"/>
        <v>0</v>
      </c>
      <c r="BV26" s="277">
        <f t="shared" ca="1" si="81"/>
        <v>0</v>
      </c>
      <c r="BW26" s="277">
        <f t="shared" ca="1" si="82"/>
        <v>0</v>
      </c>
      <c r="BX26" s="277">
        <f t="shared" ca="1" si="45"/>
        <v>0</v>
      </c>
      <c r="BY26" s="277">
        <f t="shared" ca="1" si="46"/>
        <v>0</v>
      </c>
      <c r="BZ26" s="277">
        <f t="shared" ca="1" si="47"/>
        <v>0</v>
      </c>
      <c r="CA26" s="277">
        <f t="shared" ca="1" si="48"/>
        <v>0</v>
      </c>
      <c r="CB26" s="277">
        <f t="shared" ca="1" si="49"/>
        <v>0</v>
      </c>
      <c r="CC26" s="277">
        <f t="shared" ca="1" si="50"/>
        <v>0</v>
      </c>
      <c r="CD26" s="277">
        <f t="shared" ca="1" si="83"/>
        <v>0</v>
      </c>
      <c r="CE26" s="277">
        <f t="shared" ca="1" si="84"/>
        <v>0</v>
      </c>
      <c r="CF26" s="277">
        <f t="shared" ca="1" si="85"/>
        <v>0</v>
      </c>
      <c r="CG26" s="277">
        <f t="shared" ca="1" si="86"/>
        <v>0</v>
      </c>
      <c r="CH26" s="277">
        <f t="shared" ca="1" si="51"/>
        <v>0</v>
      </c>
      <c r="CI26" s="277">
        <f t="shared" ca="1" si="52"/>
        <v>0</v>
      </c>
      <c r="CJ26" s="277">
        <f t="shared" ca="1" si="87"/>
        <v>0</v>
      </c>
      <c r="CK26" s="277">
        <f t="shared" ca="1" si="88"/>
        <v>0</v>
      </c>
      <c r="CL26" s="277">
        <f t="shared" ca="1" si="53"/>
        <v>0</v>
      </c>
      <c r="CM26" s="277">
        <f t="shared" ca="1" si="54"/>
        <v>0</v>
      </c>
      <c r="CN26" s="277">
        <f t="shared" ca="1" si="55"/>
        <v>0</v>
      </c>
      <c r="CO26" s="277">
        <f t="shared" ca="1" si="56"/>
        <v>0</v>
      </c>
      <c r="CP26" s="277">
        <f t="shared" ca="1" si="89"/>
        <v>0</v>
      </c>
      <c r="CQ26" s="277">
        <f t="shared" ca="1" si="90"/>
        <v>0</v>
      </c>
      <c r="CR26" s="277">
        <f t="shared" ca="1" si="91"/>
        <v>0</v>
      </c>
      <c r="CS26" s="277">
        <f t="shared" ca="1" si="92"/>
        <v>0</v>
      </c>
      <c r="CT26" s="277">
        <f t="shared" ca="1" si="57"/>
        <v>0</v>
      </c>
      <c r="CU26" s="277">
        <f t="shared" ca="1" si="58"/>
        <v>0</v>
      </c>
      <c r="CV26" s="277">
        <f t="shared" ca="1" si="59"/>
        <v>0</v>
      </c>
      <c r="CW26" s="277">
        <f t="shared" ca="1" si="60"/>
        <v>0</v>
      </c>
      <c r="CX26" s="277">
        <f t="shared" ca="1" si="93"/>
        <v>0</v>
      </c>
      <c r="CY26" s="277">
        <f t="shared" ca="1" si="94"/>
        <v>0</v>
      </c>
      <c r="CZ26" s="277">
        <f t="shared" ca="1" si="95"/>
        <v>0</v>
      </c>
      <c r="DA26" s="277">
        <f t="shared" ca="1" si="96"/>
        <v>0</v>
      </c>
    </row>
    <row r="27" spans="1:105" s="274" customFormat="1" ht="15" customHeight="1">
      <c r="A27" s="63">
        <f t="array" aca="1" ref="A27" ca="1">IF(C27&lt;&gt;0,SUM(($C$11:C27&lt;&gt;0)*1),"")</f>
        <v>17</v>
      </c>
      <c r="B27" s="275" t="str">
        <f ca="1">IF(ROWS($1:17)&gt;COUNT(Dong6),"",OFFSET(TH!C$1,SMALL(Dong6,ROWS($1:17)),))</f>
        <v/>
      </c>
      <c r="C27" s="275" t="str">
        <f ca="1">IF(ROWS($1:17)&gt;COUNT(Dong6),"",OFFSET(TH!D$1,SMALL(Dong6,ROWS($1:17)),))</f>
        <v/>
      </c>
      <c r="D27" s="275" t="str">
        <f ca="1">IF(ROWS($1:17)&gt;COUNT(Dong6),"",OFFSET(TH!E$1,SMALL(Dong6,ROWS($1:17)),))</f>
        <v/>
      </c>
      <c r="E27" s="325" t="str">
        <f ca="1">IF(ROWS($1:17)&gt;COUNT(Dong6),"",OFFSET(TH!F$1,SMALL(Dong6,ROWS($1:17)),))</f>
        <v/>
      </c>
      <c r="F27" s="326" t="str">
        <f ca="1">IF(ROWS($1:17)&gt;COUNT(Dong6),"",OFFSET(TH!M$1,SMALL(Dong6,ROWS($1:17)),))</f>
        <v/>
      </c>
      <c r="G27" s="327" t="str">
        <f ca="1">IF(ROWS($1:17)&gt;COUNT(Dong6),"",OFFSET(TH!N$1,SMALL(Dong6,ROWS($1:17)),))</f>
        <v/>
      </c>
      <c r="H27" s="327" t="str">
        <f ca="1">IF(ROWS($1:17)&gt;COUNT(Dong6),"",OFFSET(TH!O$1,SMALL(Dong6,ROWS($1:17)),))</f>
        <v/>
      </c>
      <c r="I27" s="63">
        <f t="shared" ca="1" si="0"/>
        <v>17</v>
      </c>
      <c r="J27" s="277">
        <f t="shared" ca="1" si="61"/>
        <v>0</v>
      </c>
      <c r="K27" s="277">
        <f t="shared" ca="1" si="62"/>
        <v>0</v>
      </c>
      <c r="L27" s="277">
        <f t="shared" ca="1" si="1"/>
        <v>0</v>
      </c>
      <c r="M27" s="277">
        <f t="shared" ca="1" si="2"/>
        <v>0</v>
      </c>
      <c r="N27" s="277">
        <f t="shared" ca="1" si="3"/>
        <v>0</v>
      </c>
      <c r="O27" s="277">
        <f t="shared" ca="1" si="4"/>
        <v>0</v>
      </c>
      <c r="P27" s="277">
        <f t="shared" ca="1" si="5"/>
        <v>0</v>
      </c>
      <c r="Q27" s="277">
        <f t="shared" ca="1" si="6"/>
        <v>0</v>
      </c>
      <c r="R27" s="277">
        <f t="shared" ca="1" si="7"/>
        <v>0</v>
      </c>
      <c r="S27" s="277">
        <f t="shared" ca="1" si="8"/>
        <v>0</v>
      </c>
      <c r="T27" s="277">
        <f t="shared" ca="1" si="9"/>
        <v>0</v>
      </c>
      <c r="U27" s="277">
        <f t="shared" ca="1" si="10"/>
        <v>0</v>
      </c>
      <c r="V27" s="277">
        <f t="shared" ca="1" si="11"/>
        <v>0</v>
      </c>
      <c r="W27" s="277">
        <f t="shared" ca="1" si="12"/>
        <v>0</v>
      </c>
      <c r="X27" s="277">
        <f t="shared" ca="1" si="13"/>
        <v>0</v>
      </c>
      <c r="Y27" s="277">
        <f t="shared" ca="1" si="14"/>
        <v>0</v>
      </c>
      <c r="Z27" s="277">
        <f t="shared" ca="1" si="15"/>
        <v>0</v>
      </c>
      <c r="AA27" s="277">
        <f t="shared" ca="1" si="16"/>
        <v>0</v>
      </c>
      <c r="AB27" s="277">
        <f t="shared" ca="1" si="63"/>
        <v>0</v>
      </c>
      <c r="AC27" s="277">
        <f t="shared" ca="1" si="64"/>
        <v>0</v>
      </c>
      <c r="AD27" s="277">
        <f t="shared" ca="1" si="17"/>
        <v>0</v>
      </c>
      <c r="AE27" s="277">
        <f t="shared" ca="1" si="18"/>
        <v>0</v>
      </c>
      <c r="AF27" s="277">
        <f t="shared" ca="1" si="19"/>
        <v>0</v>
      </c>
      <c r="AG27" s="277">
        <f t="shared" ca="1" si="20"/>
        <v>0</v>
      </c>
      <c r="AH27" s="277">
        <f t="shared" ca="1" si="65"/>
        <v>0</v>
      </c>
      <c r="AI27" s="277">
        <f t="shared" ca="1" si="66"/>
        <v>0</v>
      </c>
      <c r="AJ27" s="277">
        <f t="shared" ca="1" si="67"/>
        <v>0</v>
      </c>
      <c r="AK27" s="277">
        <f t="shared" ca="1" si="68"/>
        <v>0</v>
      </c>
      <c r="AL27" s="277">
        <f t="shared" ca="1" si="69"/>
        <v>0</v>
      </c>
      <c r="AM27" s="277">
        <f t="shared" ca="1" si="70"/>
        <v>0</v>
      </c>
      <c r="AN27" s="277">
        <f t="shared" ca="1" si="71"/>
        <v>0</v>
      </c>
      <c r="AO27" s="277">
        <f t="shared" ca="1" si="72"/>
        <v>0</v>
      </c>
      <c r="AP27" s="277">
        <f t="shared" ca="1" si="21"/>
        <v>0</v>
      </c>
      <c r="AQ27" s="277">
        <f t="shared" ca="1" si="22"/>
        <v>0</v>
      </c>
      <c r="AR27" s="277">
        <f t="shared" ca="1" si="23"/>
        <v>0</v>
      </c>
      <c r="AS27" s="277">
        <f t="shared" ca="1" si="24"/>
        <v>0</v>
      </c>
      <c r="AT27" s="277">
        <f t="shared" ca="1" si="73"/>
        <v>0</v>
      </c>
      <c r="AU27" s="277">
        <f t="shared" ca="1" si="74"/>
        <v>0</v>
      </c>
      <c r="AV27" s="277">
        <f t="shared" ca="1" si="25"/>
        <v>0</v>
      </c>
      <c r="AW27" s="277">
        <f t="shared" ca="1" si="26"/>
        <v>0</v>
      </c>
      <c r="AX27" s="277">
        <f t="shared" ca="1" si="27"/>
        <v>0</v>
      </c>
      <c r="AY27" s="277">
        <f t="shared" ca="1" si="28"/>
        <v>0</v>
      </c>
      <c r="AZ27" s="277">
        <f t="shared" ca="1" si="29"/>
        <v>0</v>
      </c>
      <c r="BA27" s="277">
        <f t="shared" ca="1" si="30"/>
        <v>0</v>
      </c>
      <c r="BB27" s="277">
        <f t="shared" ca="1" si="31"/>
        <v>0</v>
      </c>
      <c r="BC27" s="277">
        <f t="shared" ca="1" si="32"/>
        <v>0</v>
      </c>
      <c r="BD27" s="277">
        <f t="shared" ca="1" si="33"/>
        <v>0</v>
      </c>
      <c r="BE27" s="277">
        <f t="shared" ca="1" si="34"/>
        <v>0</v>
      </c>
      <c r="BF27" s="277">
        <f t="shared" ca="1" si="35"/>
        <v>0</v>
      </c>
      <c r="BG27" s="277">
        <f t="shared" ca="1" si="36"/>
        <v>0</v>
      </c>
      <c r="BH27" s="277">
        <f t="shared" ca="1" si="75"/>
        <v>0</v>
      </c>
      <c r="BI27" s="277">
        <f t="shared" ca="1" si="76"/>
        <v>0</v>
      </c>
      <c r="BJ27" s="277">
        <f t="shared" ca="1" si="37"/>
        <v>0</v>
      </c>
      <c r="BK27" s="277">
        <f t="shared" ca="1" si="38"/>
        <v>0</v>
      </c>
      <c r="BL27" s="277">
        <f t="shared" ca="1" si="39"/>
        <v>0</v>
      </c>
      <c r="BM27" s="277">
        <f t="shared" ca="1" si="40"/>
        <v>0</v>
      </c>
      <c r="BN27" s="277">
        <f t="shared" ca="1" si="41"/>
        <v>0</v>
      </c>
      <c r="BO27" s="277">
        <f t="shared" ca="1" si="42"/>
        <v>0</v>
      </c>
      <c r="BP27" s="277">
        <f t="shared" ca="1" si="77"/>
        <v>0</v>
      </c>
      <c r="BQ27" s="277">
        <f t="shared" ca="1" si="78"/>
        <v>0</v>
      </c>
      <c r="BR27" s="277">
        <f t="shared" ca="1" si="43"/>
        <v>0</v>
      </c>
      <c r="BS27" s="277">
        <f t="shared" ca="1" si="44"/>
        <v>0</v>
      </c>
      <c r="BT27" s="277">
        <f t="shared" ca="1" si="79"/>
        <v>0</v>
      </c>
      <c r="BU27" s="277">
        <f t="shared" ca="1" si="80"/>
        <v>0</v>
      </c>
      <c r="BV27" s="277">
        <f t="shared" ca="1" si="81"/>
        <v>0</v>
      </c>
      <c r="BW27" s="277">
        <f t="shared" ca="1" si="82"/>
        <v>0</v>
      </c>
      <c r="BX27" s="277">
        <f t="shared" ca="1" si="45"/>
        <v>0</v>
      </c>
      <c r="BY27" s="277">
        <f t="shared" ca="1" si="46"/>
        <v>0</v>
      </c>
      <c r="BZ27" s="277">
        <f t="shared" ca="1" si="47"/>
        <v>0</v>
      </c>
      <c r="CA27" s="277">
        <f t="shared" ca="1" si="48"/>
        <v>0</v>
      </c>
      <c r="CB27" s="277">
        <f t="shared" ca="1" si="49"/>
        <v>0</v>
      </c>
      <c r="CC27" s="277">
        <f t="shared" ca="1" si="50"/>
        <v>0</v>
      </c>
      <c r="CD27" s="277">
        <f t="shared" ca="1" si="83"/>
        <v>0</v>
      </c>
      <c r="CE27" s="277">
        <f t="shared" ca="1" si="84"/>
        <v>0</v>
      </c>
      <c r="CF27" s="277">
        <f t="shared" ca="1" si="85"/>
        <v>0</v>
      </c>
      <c r="CG27" s="277">
        <f t="shared" ca="1" si="86"/>
        <v>0</v>
      </c>
      <c r="CH27" s="277">
        <f t="shared" ca="1" si="51"/>
        <v>0</v>
      </c>
      <c r="CI27" s="277">
        <f t="shared" ca="1" si="52"/>
        <v>0</v>
      </c>
      <c r="CJ27" s="277">
        <f t="shared" ca="1" si="87"/>
        <v>0</v>
      </c>
      <c r="CK27" s="277">
        <f t="shared" ca="1" si="88"/>
        <v>0</v>
      </c>
      <c r="CL27" s="277">
        <f t="shared" ca="1" si="53"/>
        <v>0</v>
      </c>
      <c r="CM27" s="277">
        <f t="shared" ca="1" si="54"/>
        <v>0</v>
      </c>
      <c r="CN27" s="277">
        <f t="shared" ca="1" si="55"/>
        <v>0</v>
      </c>
      <c r="CO27" s="277">
        <f t="shared" ca="1" si="56"/>
        <v>0</v>
      </c>
      <c r="CP27" s="277">
        <f t="shared" ca="1" si="89"/>
        <v>0</v>
      </c>
      <c r="CQ27" s="277">
        <f t="shared" ca="1" si="90"/>
        <v>0</v>
      </c>
      <c r="CR27" s="277">
        <f t="shared" ca="1" si="91"/>
        <v>0</v>
      </c>
      <c r="CS27" s="277">
        <f t="shared" ca="1" si="92"/>
        <v>0</v>
      </c>
      <c r="CT27" s="277">
        <f t="shared" ca="1" si="57"/>
        <v>0</v>
      </c>
      <c r="CU27" s="277">
        <f t="shared" ca="1" si="58"/>
        <v>0</v>
      </c>
      <c r="CV27" s="277">
        <f t="shared" ca="1" si="59"/>
        <v>0</v>
      </c>
      <c r="CW27" s="277">
        <f t="shared" ca="1" si="60"/>
        <v>0</v>
      </c>
      <c r="CX27" s="277">
        <f t="shared" ca="1" si="93"/>
        <v>0</v>
      </c>
      <c r="CY27" s="277">
        <f t="shared" ca="1" si="94"/>
        <v>0</v>
      </c>
      <c r="CZ27" s="277">
        <f t="shared" ca="1" si="95"/>
        <v>0</v>
      </c>
      <c r="DA27" s="277">
        <f t="shared" ca="1" si="96"/>
        <v>0</v>
      </c>
    </row>
    <row r="28" spans="1:105" s="274" customFormat="1" ht="15" customHeight="1">
      <c r="A28" s="63">
        <f t="array" aca="1" ref="A28" ca="1">IF(C28&lt;&gt;0,SUM(($C$11:C28&lt;&gt;0)*1),"")</f>
        <v>18</v>
      </c>
      <c r="B28" s="275" t="str">
        <f ca="1">IF(ROWS($1:18)&gt;COUNT(Dong6),"",OFFSET(TH!C$1,SMALL(Dong6,ROWS($1:18)),))</f>
        <v/>
      </c>
      <c r="C28" s="275" t="str">
        <f ca="1">IF(ROWS($1:18)&gt;COUNT(Dong6),"",OFFSET(TH!D$1,SMALL(Dong6,ROWS($1:18)),))</f>
        <v/>
      </c>
      <c r="D28" s="275" t="str">
        <f ca="1">IF(ROWS($1:18)&gt;COUNT(Dong6),"",OFFSET(TH!E$1,SMALL(Dong6,ROWS($1:18)),))</f>
        <v/>
      </c>
      <c r="E28" s="325" t="str">
        <f ca="1">IF(ROWS($1:18)&gt;COUNT(Dong6),"",OFFSET(TH!F$1,SMALL(Dong6,ROWS($1:18)),))</f>
        <v/>
      </c>
      <c r="F28" s="326" t="str">
        <f ca="1">IF(ROWS($1:18)&gt;COUNT(Dong6),"",OFFSET(TH!M$1,SMALL(Dong6,ROWS($1:18)),))</f>
        <v/>
      </c>
      <c r="G28" s="327" t="str">
        <f ca="1">IF(ROWS($1:18)&gt;COUNT(Dong6),"",OFFSET(TH!N$1,SMALL(Dong6,ROWS($1:18)),))</f>
        <v/>
      </c>
      <c r="H28" s="327" t="str">
        <f ca="1">IF(ROWS($1:18)&gt;COUNT(Dong6),"",OFFSET(TH!O$1,SMALL(Dong6,ROWS($1:18)),))</f>
        <v/>
      </c>
      <c r="I28" s="63">
        <f t="shared" ca="1" si="0"/>
        <v>18</v>
      </c>
      <c r="J28" s="277">
        <f t="shared" ca="1" si="61"/>
        <v>0</v>
      </c>
      <c r="K28" s="277">
        <f t="shared" ca="1" si="62"/>
        <v>0</v>
      </c>
      <c r="L28" s="277">
        <f t="shared" ca="1" si="1"/>
        <v>0</v>
      </c>
      <c r="M28" s="277">
        <f t="shared" ca="1" si="2"/>
        <v>0</v>
      </c>
      <c r="N28" s="277">
        <f t="shared" ca="1" si="3"/>
        <v>0</v>
      </c>
      <c r="O28" s="277">
        <f t="shared" ca="1" si="4"/>
        <v>0</v>
      </c>
      <c r="P28" s="277">
        <f t="shared" ca="1" si="5"/>
        <v>0</v>
      </c>
      <c r="Q28" s="277">
        <f t="shared" ca="1" si="6"/>
        <v>0</v>
      </c>
      <c r="R28" s="277">
        <f t="shared" ca="1" si="7"/>
        <v>0</v>
      </c>
      <c r="S28" s="277">
        <f t="shared" ca="1" si="8"/>
        <v>0</v>
      </c>
      <c r="T28" s="277">
        <f t="shared" ca="1" si="9"/>
        <v>0</v>
      </c>
      <c r="U28" s="277">
        <f t="shared" ca="1" si="10"/>
        <v>0</v>
      </c>
      <c r="V28" s="277">
        <f t="shared" ca="1" si="11"/>
        <v>0</v>
      </c>
      <c r="W28" s="277">
        <f t="shared" ca="1" si="12"/>
        <v>0</v>
      </c>
      <c r="X28" s="277">
        <f t="shared" ca="1" si="13"/>
        <v>0</v>
      </c>
      <c r="Y28" s="277">
        <f t="shared" ca="1" si="14"/>
        <v>0</v>
      </c>
      <c r="Z28" s="277">
        <f t="shared" ca="1" si="15"/>
        <v>0</v>
      </c>
      <c r="AA28" s="277">
        <f t="shared" ca="1" si="16"/>
        <v>0</v>
      </c>
      <c r="AB28" s="277">
        <f t="shared" ca="1" si="63"/>
        <v>0</v>
      </c>
      <c r="AC28" s="277">
        <f t="shared" ca="1" si="64"/>
        <v>0</v>
      </c>
      <c r="AD28" s="277">
        <f t="shared" ca="1" si="17"/>
        <v>0</v>
      </c>
      <c r="AE28" s="277">
        <f t="shared" ca="1" si="18"/>
        <v>0</v>
      </c>
      <c r="AF28" s="277">
        <f t="shared" ca="1" si="19"/>
        <v>0</v>
      </c>
      <c r="AG28" s="277">
        <f t="shared" ca="1" si="20"/>
        <v>0</v>
      </c>
      <c r="AH28" s="277">
        <f t="shared" ca="1" si="65"/>
        <v>0</v>
      </c>
      <c r="AI28" s="277">
        <f t="shared" ca="1" si="66"/>
        <v>0</v>
      </c>
      <c r="AJ28" s="277">
        <f t="shared" ca="1" si="67"/>
        <v>0</v>
      </c>
      <c r="AK28" s="277">
        <f t="shared" ca="1" si="68"/>
        <v>0</v>
      </c>
      <c r="AL28" s="277">
        <f t="shared" ca="1" si="69"/>
        <v>0</v>
      </c>
      <c r="AM28" s="277">
        <f t="shared" ca="1" si="70"/>
        <v>0</v>
      </c>
      <c r="AN28" s="277">
        <f t="shared" ca="1" si="71"/>
        <v>0</v>
      </c>
      <c r="AO28" s="277">
        <f t="shared" ca="1" si="72"/>
        <v>0</v>
      </c>
      <c r="AP28" s="277">
        <f t="shared" ca="1" si="21"/>
        <v>0</v>
      </c>
      <c r="AQ28" s="277">
        <f t="shared" ca="1" si="22"/>
        <v>0</v>
      </c>
      <c r="AR28" s="277">
        <f t="shared" ca="1" si="23"/>
        <v>0</v>
      </c>
      <c r="AS28" s="277">
        <f t="shared" ca="1" si="24"/>
        <v>0</v>
      </c>
      <c r="AT28" s="277">
        <f t="shared" ca="1" si="73"/>
        <v>0</v>
      </c>
      <c r="AU28" s="277">
        <f t="shared" ca="1" si="74"/>
        <v>0</v>
      </c>
      <c r="AV28" s="277">
        <f t="shared" ca="1" si="25"/>
        <v>0</v>
      </c>
      <c r="AW28" s="277">
        <f t="shared" ca="1" si="26"/>
        <v>0</v>
      </c>
      <c r="AX28" s="277">
        <f t="shared" ca="1" si="27"/>
        <v>0</v>
      </c>
      <c r="AY28" s="277">
        <f t="shared" ca="1" si="28"/>
        <v>0</v>
      </c>
      <c r="AZ28" s="277">
        <f t="shared" ca="1" si="29"/>
        <v>0</v>
      </c>
      <c r="BA28" s="277">
        <f t="shared" ca="1" si="30"/>
        <v>0</v>
      </c>
      <c r="BB28" s="277">
        <f t="shared" ca="1" si="31"/>
        <v>0</v>
      </c>
      <c r="BC28" s="277">
        <f t="shared" ca="1" si="32"/>
        <v>0</v>
      </c>
      <c r="BD28" s="277">
        <f t="shared" ca="1" si="33"/>
        <v>0</v>
      </c>
      <c r="BE28" s="277">
        <f t="shared" ca="1" si="34"/>
        <v>0</v>
      </c>
      <c r="BF28" s="277">
        <f t="shared" ca="1" si="35"/>
        <v>0</v>
      </c>
      <c r="BG28" s="277">
        <f t="shared" ca="1" si="36"/>
        <v>0</v>
      </c>
      <c r="BH28" s="277">
        <f t="shared" ca="1" si="75"/>
        <v>0</v>
      </c>
      <c r="BI28" s="277">
        <f t="shared" ca="1" si="76"/>
        <v>0</v>
      </c>
      <c r="BJ28" s="277">
        <f t="shared" ca="1" si="37"/>
        <v>0</v>
      </c>
      <c r="BK28" s="277">
        <f t="shared" ca="1" si="38"/>
        <v>0</v>
      </c>
      <c r="BL28" s="277">
        <f t="shared" ca="1" si="39"/>
        <v>0</v>
      </c>
      <c r="BM28" s="277">
        <f t="shared" ca="1" si="40"/>
        <v>0</v>
      </c>
      <c r="BN28" s="277">
        <f t="shared" ca="1" si="41"/>
        <v>0</v>
      </c>
      <c r="BO28" s="277">
        <f t="shared" ca="1" si="42"/>
        <v>0</v>
      </c>
      <c r="BP28" s="277">
        <f t="shared" ca="1" si="77"/>
        <v>0</v>
      </c>
      <c r="BQ28" s="277">
        <f t="shared" ca="1" si="78"/>
        <v>0</v>
      </c>
      <c r="BR28" s="277">
        <f t="shared" ca="1" si="43"/>
        <v>0</v>
      </c>
      <c r="BS28" s="277">
        <f t="shared" ca="1" si="44"/>
        <v>0</v>
      </c>
      <c r="BT28" s="277">
        <f t="shared" ca="1" si="79"/>
        <v>0</v>
      </c>
      <c r="BU28" s="277">
        <f t="shared" ca="1" si="80"/>
        <v>0</v>
      </c>
      <c r="BV28" s="277">
        <f t="shared" ca="1" si="81"/>
        <v>0</v>
      </c>
      <c r="BW28" s="277">
        <f t="shared" ca="1" si="82"/>
        <v>0</v>
      </c>
      <c r="BX28" s="277">
        <f t="shared" ca="1" si="45"/>
        <v>0</v>
      </c>
      <c r="BY28" s="277">
        <f t="shared" ca="1" si="46"/>
        <v>0</v>
      </c>
      <c r="BZ28" s="277">
        <f t="shared" ca="1" si="47"/>
        <v>0</v>
      </c>
      <c r="CA28" s="277">
        <f t="shared" ca="1" si="48"/>
        <v>0</v>
      </c>
      <c r="CB28" s="277">
        <f t="shared" ca="1" si="49"/>
        <v>0</v>
      </c>
      <c r="CC28" s="277">
        <f t="shared" ca="1" si="50"/>
        <v>0</v>
      </c>
      <c r="CD28" s="277">
        <f t="shared" ca="1" si="83"/>
        <v>0</v>
      </c>
      <c r="CE28" s="277">
        <f t="shared" ca="1" si="84"/>
        <v>0</v>
      </c>
      <c r="CF28" s="277">
        <f t="shared" ca="1" si="85"/>
        <v>0</v>
      </c>
      <c r="CG28" s="277">
        <f t="shared" ca="1" si="86"/>
        <v>0</v>
      </c>
      <c r="CH28" s="277">
        <f t="shared" ca="1" si="51"/>
        <v>0</v>
      </c>
      <c r="CI28" s="277">
        <f t="shared" ca="1" si="52"/>
        <v>0</v>
      </c>
      <c r="CJ28" s="277">
        <f t="shared" ca="1" si="87"/>
        <v>0</v>
      </c>
      <c r="CK28" s="277">
        <f t="shared" ca="1" si="88"/>
        <v>0</v>
      </c>
      <c r="CL28" s="277">
        <f t="shared" ca="1" si="53"/>
        <v>0</v>
      </c>
      <c r="CM28" s="277">
        <f t="shared" ca="1" si="54"/>
        <v>0</v>
      </c>
      <c r="CN28" s="277">
        <f t="shared" ca="1" si="55"/>
        <v>0</v>
      </c>
      <c r="CO28" s="277">
        <f t="shared" ca="1" si="56"/>
        <v>0</v>
      </c>
      <c r="CP28" s="277">
        <f t="shared" ca="1" si="89"/>
        <v>0</v>
      </c>
      <c r="CQ28" s="277">
        <f t="shared" ca="1" si="90"/>
        <v>0</v>
      </c>
      <c r="CR28" s="277">
        <f t="shared" ca="1" si="91"/>
        <v>0</v>
      </c>
      <c r="CS28" s="277">
        <f t="shared" ca="1" si="92"/>
        <v>0</v>
      </c>
      <c r="CT28" s="277">
        <f t="shared" ca="1" si="57"/>
        <v>0</v>
      </c>
      <c r="CU28" s="277">
        <f t="shared" ca="1" si="58"/>
        <v>0</v>
      </c>
      <c r="CV28" s="277">
        <f t="shared" ca="1" si="59"/>
        <v>0</v>
      </c>
      <c r="CW28" s="277">
        <f t="shared" ca="1" si="60"/>
        <v>0</v>
      </c>
      <c r="CX28" s="277">
        <f t="shared" ca="1" si="93"/>
        <v>0</v>
      </c>
      <c r="CY28" s="277">
        <f t="shared" ca="1" si="94"/>
        <v>0</v>
      </c>
      <c r="CZ28" s="277">
        <f t="shared" ca="1" si="95"/>
        <v>0</v>
      </c>
      <c r="DA28" s="277">
        <f t="shared" ca="1" si="96"/>
        <v>0</v>
      </c>
    </row>
    <row r="29" spans="1:105" s="274" customFormat="1" ht="15" customHeight="1">
      <c r="A29" s="63">
        <f t="array" aca="1" ref="A29" ca="1">IF(C29&lt;&gt;0,SUM(($C$11:C29&lt;&gt;0)*1),"")</f>
        <v>19</v>
      </c>
      <c r="B29" s="275" t="str">
        <f ca="1">IF(ROWS($1:19)&gt;COUNT(Dong6),"",OFFSET(TH!C$1,SMALL(Dong6,ROWS($1:19)),))</f>
        <v/>
      </c>
      <c r="C29" s="275" t="str">
        <f ca="1">IF(ROWS($1:19)&gt;COUNT(Dong6),"",OFFSET(TH!D$1,SMALL(Dong6,ROWS($1:19)),))</f>
        <v/>
      </c>
      <c r="D29" s="275" t="str">
        <f ca="1">IF(ROWS($1:19)&gt;COUNT(Dong6),"",OFFSET(TH!E$1,SMALL(Dong6,ROWS($1:19)),))</f>
        <v/>
      </c>
      <c r="E29" s="325" t="str">
        <f ca="1">IF(ROWS($1:19)&gt;COUNT(Dong6),"",OFFSET(TH!F$1,SMALL(Dong6,ROWS($1:19)),))</f>
        <v/>
      </c>
      <c r="F29" s="326" t="str">
        <f ca="1">IF(ROWS($1:19)&gt;COUNT(Dong6),"",OFFSET(TH!M$1,SMALL(Dong6,ROWS($1:19)),))</f>
        <v/>
      </c>
      <c r="G29" s="327" t="str">
        <f ca="1">IF(ROWS($1:19)&gt;COUNT(Dong6),"",OFFSET(TH!N$1,SMALL(Dong6,ROWS($1:19)),))</f>
        <v/>
      </c>
      <c r="H29" s="327" t="str">
        <f ca="1">IF(ROWS($1:19)&gt;COUNT(Dong6),"",OFFSET(TH!O$1,SMALL(Dong6,ROWS($1:19)),))</f>
        <v/>
      </c>
      <c r="I29" s="63">
        <f t="shared" ca="1" si="0"/>
        <v>19</v>
      </c>
      <c r="J29" s="277">
        <f t="shared" ca="1" si="61"/>
        <v>0</v>
      </c>
      <c r="K29" s="277">
        <f t="shared" ca="1" si="62"/>
        <v>0</v>
      </c>
      <c r="L29" s="277">
        <f t="shared" ca="1" si="1"/>
        <v>0</v>
      </c>
      <c r="M29" s="277">
        <f t="shared" ca="1" si="2"/>
        <v>0</v>
      </c>
      <c r="N29" s="277">
        <f t="shared" ca="1" si="3"/>
        <v>0</v>
      </c>
      <c r="O29" s="277">
        <f t="shared" ca="1" si="4"/>
        <v>0</v>
      </c>
      <c r="P29" s="277">
        <f t="shared" ca="1" si="5"/>
        <v>0</v>
      </c>
      <c r="Q29" s="277">
        <f t="shared" ca="1" si="6"/>
        <v>0</v>
      </c>
      <c r="R29" s="277">
        <f t="shared" ca="1" si="7"/>
        <v>0</v>
      </c>
      <c r="S29" s="277">
        <f t="shared" ca="1" si="8"/>
        <v>0</v>
      </c>
      <c r="T29" s="277">
        <f t="shared" ca="1" si="9"/>
        <v>0</v>
      </c>
      <c r="U29" s="277">
        <f t="shared" ca="1" si="10"/>
        <v>0</v>
      </c>
      <c r="V29" s="277">
        <f t="shared" ca="1" si="11"/>
        <v>0</v>
      </c>
      <c r="W29" s="277">
        <f t="shared" ca="1" si="12"/>
        <v>0</v>
      </c>
      <c r="X29" s="277">
        <f t="shared" ca="1" si="13"/>
        <v>0</v>
      </c>
      <c r="Y29" s="277">
        <f t="shared" ca="1" si="14"/>
        <v>0</v>
      </c>
      <c r="Z29" s="277">
        <f t="shared" ca="1" si="15"/>
        <v>0</v>
      </c>
      <c r="AA29" s="277">
        <f t="shared" ca="1" si="16"/>
        <v>0</v>
      </c>
      <c r="AB29" s="277">
        <f t="shared" ca="1" si="63"/>
        <v>0</v>
      </c>
      <c r="AC29" s="277">
        <f t="shared" ca="1" si="64"/>
        <v>0</v>
      </c>
      <c r="AD29" s="277">
        <f t="shared" ca="1" si="17"/>
        <v>0</v>
      </c>
      <c r="AE29" s="277">
        <f t="shared" ca="1" si="18"/>
        <v>0</v>
      </c>
      <c r="AF29" s="277">
        <f t="shared" ca="1" si="19"/>
        <v>0</v>
      </c>
      <c r="AG29" s="277">
        <f t="shared" ca="1" si="20"/>
        <v>0</v>
      </c>
      <c r="AH29" s="277">
        <f t="shared" ca="1" si="65"/>
        <v>0</v>
      </c>
      <c r="AI29" s="277">
        <f t="shared" ca="1" si="66"/>
        <v>0</v>
      </c>
      <c r="AJ29" s="277">
        <f t="shared" ca="1" si="67"/>
        <v>0</v>
      </c>
      <c r="AK29" s="277">
        <f t="shared" ca="1" si="68"/>
        <v>0</v>
      </c>
      <c r="AL29" s="277">
        <f t="shared" ca="1" si="69"/>
        <v>0</v>
      </c>
      <c r="AM29" s="277">
        <f t="shared" ca="1" si="70"/>
        <v>0</v>
      </c>
      <c r="AN29" s="277">
        <f t="shared" ca="1" si="71"/>
        <v>0</v>
      </c>
      <c r="AO29" s="277">
        <f t="shared" ca="1" si="72"/>
        <v>0</v>
      </c>
      <c r="AP29" s="277">
        <f t="shared" ca="1" si="21"/>
        <v>0</v>
      </c>
      <c r="AQ29" s="277">
        <f t="shared" ca="1" si="22"/>
        <v>0</v>
      </c>
      <c r="AR29" s="277">
        <f t="shared" ca="1" si="23"/>
        <v>0</v>
      </c>
      <c r="AS29" s="277">
        <f t="shared" ca="1" si="24"/>
        <v>0</v>
      </c>
      <c r="AT29" s="277">
        <f t="shared" ca="1" si="73"/>
        <v>0</v>
      </c>
      <c r="AU29" s="277">
        <f t="shared" ca="1" si="74"/>
        <v>0</v>
      </c>
      <c r="AV29" s="277">
        <f t="shared" ca="1" si="25"/>
        <v>0</v>
      </c>
      <c r="AW29" s="277">
        <f t="shared" ca="1" si="26"/>
        <v>0</v>
      </c>
      <c r="AX29" s="277">
        <f t="shared" ca="1" si="27"/>
        <v>0</v>
      </c>
      <c r="AY29" s="277">
        <f t="shared" ca="1" si="28"/>
        <v>0</v>
      </c>
      <c r="AZ29" s="277">
        <f t="shared" ca="1" si="29"/>
        <v>0</v>
      </c>
      <c r="BA29" s="277">
        <f t="shared" ca="1" si="30"/>
        <v>0</v>
      </c>
      <c r="BB29" s="277">
        <f t="shared" ca="1" si="31"/>
        <v>0</v>
      </c>
      <c r="BC29" s="277">
        <f t="shared" ca="1" si="32"/>
        <v>0</v>
      </c>
      <c r="BD29" s="277">
        <f t="shared" ca="1" si="33"/>
        <v>0</v>
      </c>
      <c r="BE29" s="277">
        <f t="shared" ca="1" si="34"/>
        <v>0</v>
      </c>
      <c r="BF29" s="277">
        <f t="shared" ca="1" si="35"/>
        <v>0</v>
      </c>
      <c r="BG29" s="277">
        <f t="shared" ca="1" si="36"/>
        <v>0</v>
      </c>
      <c r="BH29" s="277">
        <f t="shared" ca="1" si="75"/>
        <v>0</v>
      </c>
      <c r="BI29" s="277">
        <f t="shared" ca="1" si="76"/>
        <v>0</v>
      </c>
      <c r="BJ29" s="277">
        <f t="shared" ca="1" si="37"/>
        <v>0</v>
      </c>
      <c r="BK29" s="277">
        <f t="shared" ca="1" si="38"/>
        <v>0</v>
      </c>
      <c r="BL29" s="277">
        <f t="shared" ca="1" si="39"/>
        <v>0</v>
      </c>
      <c r="BM29" s="277">
        <f t="shared" ca="1" si="40"/>
        <v>0</v>
      </c>
      <c r="BN29" s="277">
        <f t="shared" ca="1" si="41"/>
        <v>0</v>
      </c>
      <c r="BO29" s="277">
        <f t="shared" ca="1" si="42"/>
        <v>0</v>
      </c>
      <c r="BP29" s="277">
        <f t="shared" ca="1" si="77"/>
        <v>0</v>
      </c>
      <c r="BQ29" s="277">
        <f t="shared" ca="1" si="78"/>
        <v>0</v>
      </c>
      <c r="BR29" s="277">
        <f t="shared" ca="1" si="43"/>
        <v>0</v>
      </c>
      <c r="BS29" s="277">
        <f t="shared" ca="1" si="44"/>
        <v>0</v>
      </c>
      <c r="BT29" s="277">
        <f t="shared" ca="1" si="79"/>
        <v>0</v>
      </c>
      <c r="BU29" s="277">
        <f t="shared" ca="1" si="80"/>
        <v>0</v>
      </c>
      <c r="BV29" s="277">
        <f t="shared" ca="1" si="81"/>
        <v>0</v>
      </c>
      <c r="BW29" s="277">
        <f t="shared" ca="1" si="82"/>
        <v>0</v>
      </c>
      <c r="BX29" s="277">
        <f t="shared" ca="1" si="45"/>
        <v>0</v>
      </c>
      <c r="BY29" s="277">
        <f t="shared" ca="1" si="46"/>
        <v>0</v>
      </c>
      <c r="BZ29" s="277">
        <f t="shared" ca="1" si="47"/>
        <v>0</v>
      </c>
      <c r="CA29" s="277">
        <f t="shared" ca="1" si="48"/>
        <v>0</v>
      </c>
      <c r="CB29" s="277">
        <f t="shared" ca="1" si="49"/>
        <v>0</v>
      </c>
      <c r="CC29" s="277">
        <f t="shared" ca="1" si="50"/>
        <v>0</v>
      </c>
      <c r="CD29" s="277">
        <f t="shared" ca="1" si="83"/>
        <v>0</v>
      </c>
      <c r="CE29" s="277">
        <f t="shared" ca="1" si="84"/>
        <v>0</v>
      </c>
      <c r="CF29" s="277">
        <f t="shared" ca="1" si="85"/>
        <v>0</v>
      </c>
      <c r="CG29" s="277">
        <f t="shared" ca="1" si="86"/>
        <v>0</v>
      </c>
      <c r="CH29" s="277">
        <f t="shared" ca="1" si="51"/>
        <v>0</v>
      </c>
      <c r="CI29" s="277">
        <f t="shared" ca="1" si="52"/>
        <v>0</v>
      </c>
      <c r="CJ29" s="277">
        <f t="shared" ca="1" si="87"/>
        <v>0</v>
      </c>
      <c r="CK29" s="277">
        <f t="shared" ca="1" si="88"/>
        <v>0</v>
      </c>
      <c r="CL29" s="277">
        <f t="shared" ca="1" si="53"/>
        <v>0</v>
      </c>
      <c r="CM29" s="277">
        <f t="shared" ca="1" si="54"/>
        <v>0</v>
      </c>
      <c r="CN29" s="277">
        <f t="shared" ca="1" si="55"/>
        <v>0</v>
      </c>
      <c r="CO29" s="277">
        <f t="shared" ca="1" si="56"/>
        <v>0</v>
      </c>
      <c r="CP29" s="277">
        <f t="shared" ca="1" si="89"/>
        <v>0</v>
      </c>
      <c r="CQ29" s="277">
        <f t="shared" ca="1" si="90"/>
        <v>0</v>
      </c>
      <c r="CR29" s="277">
        <f t="shared" ca="1" si="91"/>
        <v>0</v>
      </c>
      <c r="CS29" s="277">
        <f t="shared" ca="1" si="92"/>
        <v>0</v>
      </c>
      <c r="CT29" s="277">
        <f t="shared" ca="1" si="57"/>
        <v>0</v>
      </c>
      <c r="CU29" s="277">
        <f t="shared" ca="1" si="58"/>
        <v>0</v>
      </c>
      <c r="CV29" s="277">
        <f t="shared" ca="1" si="59"/>
        <v>0</v>
      </c>
      <c r="CW29" s="277">
        <f t="shared" ca="1" si="60"/>
        <v>0</v>
      </c>
      <c r="CX29" s="277">
        <f t="shared" ca="1" si="93"/>
        <v>0</v>
      </c>
      <c r="CY29" s="277">
        <f t="shared" ca="1" si="94"/>
        <v>0</v>
      </c>
      <c r="CZ29" s="277">
        <f t="shared" ca="1" si="95"/>
        <v>0</v>
      </c>
      <c r="DA29" s="277">
        <f t="shared" ca="1" si="96"/>
        <v>0</v>
      </c>
    </row>
    <row r="30" spans="1:105" s="274" customFormat="1" ht="15" customHeight="1">
      <c r="A30" s="63">
        <f t="array" aca="1" ref="A30" ca="1">IF(C30&lt;&gt;0,SUM(($C$11:C30&lt;&gt;0)*1),"")</f>
        <v>20</v>
      </c>
      <c r="B30" s="275" t="str">
        <f ca="1">IF(ROWS($1:20)&gt;COUNT(Dong6),"",OFFSET(TH!C$1,SMALL(Dong6,ROWS($1:20)),))</f>
        <v/>
      </c>
      <c r="C30" s="275" t="str">
        <f ca="1">IF(ROWS($1:20)&gt;COUNT(Dong6),"",OFFSET(TH!D$1,SMALL(Dong6,ROWS($1:20)),))</f>
        <v/>
      </c>
      <c r="D30" s="275" t="str">
        <f ca="1">IF(ROWS($1:20)&gt;COUNT(Dong6),"",OFFSET(TH!E$1,SMALL(Dong6,ROWS($1:20)),))</f>
        <v/>
      </c>
      <c r="E30" s="325" t="str">
        <f ca="1">IF(ROWS($1:20)&gt;COUNT(Dong6),"",OFFSET(TH!F$1,SMALL(Dong6,ROWS($1:20)),))</f>
        <v/>
      </c>
      <c r="F30" s="326" t="str">
        <f ca="1">IF(ROWS($1:20)&gt;COUNT(Dong6),"",OFFSET(TH!M$1,SMALL(Dong6,ROWS($1:20)),))</f>
        <v/>
      </c>
      <c r="G30" s="327" t="str">
        <f ca="1">IF(ROWS($1:20)&gt;COUNT(Dong6),"",OFFSET(TH!N$1,SMALL(Dong6,ROWS($1:20)),))</f>
        <v/>
      </c>
      <c r="H30" s="327" t="str">
        <f ca="1">IF(ROWS($1:20)&gt;COUNT(Dong6),"",OFFSET(TH!O$1,SMALL(Dong6,ROWS($1:20)),))</f>
        <v/>
      </c>
      <c r="I30" s="63">
        <f t="shared" ca="1" si="0"/>
        <v>20</v>
      </c>
      <c r="J30" s="277">
        <f t="shared" ca="1" si="61"/>
        <v>0</v>
      </c>
      <c r="K30" s="277">
        <f t="shared" ca="1" si="62"/>
        <v>0</v>
      </c>
      <c r="L30" s="277">
        <f t="shared" ca="1" si="1"/>
        <v>0</v>
      </c>
      <c r="M30" s="277">
        <f t="shared" ca="1" si="2"/>
        <v>0</v>
      </c>
      <c r="N30" s="277">
        <f t="shared" ca="1" si="3"/>
        <v>0</v>
      </c>
      <c r="O30" s="277">
        <f t="shared" ca="1" si="4"/>
        <v>0</v>
      </c>
      <c r="P30" s="277">
        <f t="shared" ca="1" si="5"/>
        <v>0</v>
      </c>
      <c r="Q30" s="277">
        <f t="shared" ca="1" si="6"/>
        <v>0</v>
      </c>
      <c r="R30" s="277">
        <f t="shared" ca="1" si="7"/>
        <v>0</v>
      </c>
      <c r="S30" s="277">
        <f t="shared" ca="1" si="8"/>
        <v>0</v>
      </c>
      <c r="T30" s="277">
        <f t="shared" ca="1" si="9"/>
        <v>0</v>
      </c>
      <c r="U30" s="277">
        <f t="shared" ca="1" si="10"/>
        <v>0</v>
      </c>
      <c r="V30" s="277">
        <f t="shared" ca="1" si="11"/>
        <v>0</v>
      </c>
      <c r="W30" s="277">
        <f t="shared" ca="1" si="12"/>
        <v>0</v>
      </c>
      <c r="X30" s="277">
        <f t="shared" ca="1" si="13"/>
        <v>0</v>
      </c>
      <c r="Y30" s="277">
        <f t="shared" ca="1" si="14"/>
        <v>0</v>
      </c>
      <c r="Z30" s="277">
        <f t="shared" ca="1" si="15"/>
        <v>0</v>
      </c>
      <c r="AA30" s="277">
        <f t="shared" ca="1" si="16"/>
        <v>0</v>
      </c>
      <c r="AB30" s="277">
        <f t="shared" ca="1" si="63"/>
        <v>0</v>
      </c>
      <c r="AC30" s="277">
        <f t="shared" ca="1" si="64"/>
        <v>0</v>
      </c>
      <c r="AD30" s="277">
        <f t="shared" ca="1" si="17"/>
        <v>0</v>
      </c>
      <c r="AE30" s="277">
        <f t="shared" ca="1" si="18"/>
        <v>0</v>
      </c>
      <c r="AF30" s="277">
        <f t="shared" ca="1" si="19"/>
        <v>0</v>
      </c>
      <c r="AG30" s="277">
        <f t="shared" ca="1" si="20"/>
        <v>0</v>
      </c>
      <c r="AH30" s="277">
        <f t="shared" ca="1" si="65"/>
        <v>0</v>
      </c>
      <c r="AI30" s="277">
        <f t="shared" ca="1" si="66"/>
        <v>0</v>
      </c>
      <c r="AJ30" s="277">
        <f t="shared" ca="1" si="67"/>
        <v>0</v>
      </c>
      <c r="AK30" s="277">
        <f t="shared" ca="1" si="68"/>
        <v>0</v>
      </c>
      <c r="AL30" s="277">
        <f t="shared" ca="1" si="69"/>
        <v>0</v>
      </c>
      <c r="AM30" s="277">
        <f t="shared" ca="1" si="70"/>
        <v>0</v>
      </c>
      <c r="AN30" s="277">
        <f t="shared" ca="1" si="71"/>
        <v>0</v>
      </c>
      <c r="AO30" s="277">
        <f t="shared" ca="1" si="72"/>
        <v>0</v>
      </c>
      <c r="AP30" s="277">
        <f t="shared" ca="1" si="21"/>
        <v>0</v>
      </c>
      <c r="AQ30" s="277">
        <f t="shared" ca="1" si="22"/>
        <v>0</v>
      </c>
      <c r="AR30" s="277">
        <f t="shared" ca="1" si="23"/>
        <v>0</v>
      </c>
      <c r="AS30" s="277">
        <f t="shared" ca="1" si="24"/>
        <v>0</v>
      </c>
      <c r="AT30" s="277">
        <f t="shared" ca="1" si="73"/>
        <v>0</v>
      </c>
      <c r="AU30" s="277">
        <f t="shared" ca="1" si="74"/>
        <v>0</v>
      </c>
      <c r="AV30" s="277">
        <f t="shared" ca="1" si="25"/>
        <v>0</v>
      </c>
      <c r="AW30" s="277">
        <f t="shared" ca="1" si="26"/>
        <v>0</v>
      </c>
      <c r="AX30" s="277">
        <f t="shared" ca="1" si="27"/>
        <v>0</v>
      </c>
      <c r="AY30" s="277">
        <f t="shared" ca="1" si="28"/>
        <v>0</v>
      </c>
      <c r="AZ30" s="277">
        <f t="shared" ca="1" si="29"/>
        <v>0</v>
      </c>
      <c r="BA30" s="277">
        <f t="shared" ca="1" si="30"/>
        <v>0</v>
      </c>
      <c r="BB30" s="277">
        <f t="shared" ca="1" si="31"/>
        <v>0</v>
      </c>
      <c r="BC30" s="277">
        <f t="shared" ca="1" si="32"/>
        <v>0</v>
      </c>
      <c r="BD30" s="277">
        <f t="shared" ca="1" si="33"/>
        <v>0</v>
      </c>
      <c r="BE30" s="277">
        <f t="shared" ca="1" si="34"/>
        <v>0</v>
      </c>
      <c r="BF30" s="277">
        <f t="shared" ca="1" si="35"/>
        <v>0</v>
      </c>
      <c r="BG30" s="277">
        <f t="shared" ca="1" si="36"/>
        <v>0</v>
      </c>
      <c r="BH30" s="277">
        <f t="shared" ca="1" si="75"/>
        <v>0</v>
      </c>
      <c r="BI30" s="277">
        <f t="shared" ca="1" si="76"/>
        <v>0</v>
      </c>
      <c r="BJ30" s="277">
        <f t="shared" ca="1" si="37"/>
        <v>0</v>
      </c>
      <c r="BK30" s="277">
        <f t="shared" ca="1" si="38"/>
        <v>0</v>
      </c>
      <c r="BL30" s="277">
        <f t="shared" ca="1" si="39"/>
        <v>0</v>
      </c>
      <c r="BM30" s="277">
        <f t="shared" ca="1" si="40"/>
        <v>0</v>
      </c>
      <c r="BN30" s="277">
        <f t="shared" ca="1" si="41"/>
        <v>0</v>
      </c>
      <c r="BO30" s="277">
        <f t="shared" ca="1" si="42"/>
        <v>0</v>
      </c>
      <c r="BP30" s="277">
        <f t="shared" ca="1" si="77"/>
        <v>0</v>
      </c>
      <c r="BQ30" s="277">
        <f t="shared" ca="1" si="78"/>
        <v>0</v>
      </c>
      <c r="BR30" s="277">
        <f t="shared" ca="1" si="43"/>
        <v>0</v>
      </c>
      <c r="BS30" s="277">
        <f t="shared" ca="1" si="44"/>
        <v>0</v>
      </c>
      <c r="BT30" s="277">
        <f t="shared" ca="1" si="79"/>
        <v>0</v>
      </c>
      <c r="BU30" s="277">
        <f t="shared" ca="1" si="80"/>
        <v>0</v>
      </c>
      <c r="BV30" s="277">
        <f t="shared" ca="1" si="81"/>
        <v>0</v>
      </c>
      <c r="BW30" s="277">
        <f t="shared" ca="1" si="82"/>
        <v>0</v>
      </c>
      <c r="BX30" s="277">
        <f t="shared" ca="1" si="45"/>
        <v>0</v>
      </c>
      <c r="BY30" s="277">
        <f t="shared" ca="1" si="46"/>
        <v>0</v>
      </c>
      <c r="BZ30" s="277">
        <f t="shared" ca="1" si="47"/>
        <v>0</v>
      </c>
      <c r="CA30" s="277">
        <f t="shared" ca="1" si="48"/>
        <v>0</v>
      </c>
      <c r="CB30" s="277">
        <f t="shared" ca="1" si="49"/>
        <v>0</v>
      </c>
      <c r="CC30" s="277">
        <f t="shared" ca="1" si="50"/>
        <v>0</v>
      </c>
      <c r="CD30" s="277">
        <f t="shared" ca="1" si="83"/>
        <v>0</v>
      </c>
      <c r="CE30" s="277">
        <f t="shared" ca="1" si="84"/>
        <v>0</v>
      </c>
      <c r="CF30" s="277">
        <f t="shared" ca="1" si="85"/>
        <v>0</v>
      </c>
      <c r="CG30" s="277">
        <f t="shared" ca="1" si="86"/>
        <v>0</v>
      </c>
      <c r="CH30" s="277">
        <f t="shared" ca="1" si="51"/>
        <v>0</v>
      </c>
      <c r="CI30" s="277">
        <f t="shared" ca="1" si="52"/>
        <v>0</v>
      </c>
      <c r="CJ30" s="277">
        <f t="shared" ca="1" si="87"/>
        <v>0</v>
      </c>
      <c r="CK30" s="277">
        <f t="shared" ca="1" si="88"/>
        <v>0</v>
      </c>
      <c r="CL30" s="277">
        <f t="shared" ca="1" si="53"/>
        <v>0</v>
      </c>
      <c r="CM30" s="277">
        <f t="shared" ca="1" si="54"/>
        <v>0</v>
      </c>
      <c r="CN30" s="277">
        <f t="shared" ca="1" si="55"/>
        <v>0</v>
      </c>
      <c r="CO30" s="277">
        <f t="shared" ca="1" si="56"/>
        <v>0</v>
      </c>
      <c r="CP30" s="277">
        <f t="shared" ca="1" si="89"/>
        <v>0</v>
      </c>
      <c r="CQ30" s="277">
        <f t="shared" ca="1" si="90"/>
        <v>0</v>
      </c>
      <c r="CR30" s="277">
        <f t="shared" ca="1" si="91"/>
        <v>0</v>
      </c>
      <c r="CS30" s="277">
        <f t="shared" ca="1" si="92"/>
        <v>0</v>
      </c>
      <c r="CT30" s="277">
        <f t="shared" ca="1" si="57"/>
        <v>0</v>
      </c>
      <c r="CU30" s="277">
        <f t="shared" ca="1" si="58"/>
        <v>0</v>
      </c>
      <c r="CV30" s="277">
        <f t="shared" ca="1" si="59"/>
        <v>0</v>
      </c>
      <c r="CW30" s="277">
        <f t="shared" ca="1" si="60"/>
        <v>0</v>
      </c>
      <c r="CX30" s="277">
        <f t="shared" ca="1" si="93"/>
        <v>0</v>
      </c>
      <c r="CY30" s="277">
        <f t="shared" ca="1" si="94"/>
        <v>0</v>
      </c>
      <c r="CZ30" s="277">
        <f t="shared" ca="1" si="95"/>
        <v>0</v>
      </c>
      <c r="DA30" s="277">
        <f t="shared" ca="1" si="96"/>
        <v>0</v>
      </c>
    </row>
    <row r="31" spans="1:105" s="274" customFormat="1" ht="15" customHeight="1">
      <c r="A31" s="63">
        <f t="array" aca="1" ref="A31" ca="1">IF(C31&lt;&gt;0,SUM(($C$11:C31&lt;&gt;0)*1),"")</f>
        <v>21</v>
      </c>
      <c r="B31" s="275" t="str">
        <f ca="1">IF(ROWS($1:21)&gt;COUNT(Dong6),"",OFFSET(TH!C$1,SMALL(Dong6,ROWS($1:21)),))</f>
        <v/>
      </c>
      <c r="C31" s="275" t="str">
        <f ca="1">IF(ROWS($1:21)&gt;COUNT(Dong6),"",OFFSET(TH!D$1,SMALL(Dong6,ROWS($1:21)),))</f>
        <v/>
      </c>
      <c r="D31" s="275" t="str">
        <f ca="1">IF(ROWS($1:21)&gt;COUNT(Dong6),"",OFFSET(TH!E$1,SMALL(Dong6,ROWS($1:21)),))</f>
        <v/>
      </c>
      <c r="E31" s="325" t="str">
        <f ca="1">IF(ROWS($1:21)&gt;COUNT(Dong6),"",OFFSET(TH!F$1,SMALL(Dong6,ROWS($1:21)),))</f>
        <v/>
      </c>
      <c r="F31" s="326" t="str">
        <f ca="1">IF(ROWS($1:21)&gt;COUNT(Dong6),"",OFFSET(TH!M$1,SMALL(Dong6,ROWS($1:21)),))</f>
        <v/>
      </c>
      <c r="G31" s="327" t="str">
        <f ca="1">IF(ROWS($1:21)&gt;COUNT(Dong6),"",OFFSET(TH!N$1,SMALL(Dong6,ROWS($1:21)),))</f>
        <v/>
      </c>
      <c r="H31" s="327" t="str">
        <f ca="1">IF(ROWS($1:21)&gt;COUNT(Dong6),"",OFFSET(TH!O$1,SMALL(Dong6,ROWS($1:21)),))</f>
        <v/>
      </c>
      <c r="I31" s="63">
        <f t="shared" ca="1" si="0"/>
        <v>21</v>
      </c>
      <c r="J31" s="277">
        <f t="shared" ca="1" si="61"/>
        <v>0</v>
      </c>
      <c r="K31" s="277">
        <f t="shared" ca="1" si="62"/>
        <v>0</v>
      </c>
      <c r="L31" s="277">
        <f t="shared" ca="1" si="1"/>
        <v>0</v>
      </c>
      <c r="M31" s="277">
        <f t="shared" ca="1" si="2"/>
        <v>0</v>
      </c>
      <c r="N31" s="277">
        <f t="shared" ca="1" si="3"/>
        <v>0</v>
      </c>
      <c r="O31" s="277">
        <f t="shared" ca="1" si="4"/>
        <v>0</v>
      </c>
      <c r="P31" s="277">
        <f t="shared" ca="1" si="5"/>
        <v>0</v>
      </c>
      <c r="Q31" s="277">
        <f t="shared" ca="1" si="6"/>
        <v>0</v>
      </c>
      <c r="R31" s="277">
        <f t="shared" ca="1" si="7"/>
        <v>0</v>
      </c>
      <c r="S31" s="277">
        <f t="shared" ca="1" si="8"/>
        <v>0</v>
      </c>
      <c r="T31" s="277">
        <f t="shared" ca="1" si="9"/>
        <v>0</v>
      </c>
      <c r="U31" s="277">
        <f t="shared" ca="1" si="10"/>
        <v>0</v>
      </c>
      <c r="V31" s="277">
        <f t="shared" ca="1" si="11"/>
        <v>0</v>
      </c>
      <c r="W31" s="277">
        <f t="shared" ca="1" si="12"/>
        <v>0</v>
      </c>
      <c r="X31" s="277">
        <f t="shared" ca="1" si="13"/>
        <v>0</v>
      </c>
      <c r="Y31" s="277">
        <f t="shared" ca="1" si="14"/>
        <v>0</v>
      </c>
      <c r="Z31" s="277">
        <f t="shared" ca="1" si="15"/>
        <v>0</v>
      </c>
      <c r="AA31" s="277">
        <f t="shared" ca="1" si="16"/>
        <v>0</v>
      </c>
      <c r="AB31" s="277">
        <f t="shared" ca="1" si="63"/>
        <v>0</v>
      </c>
      <c r="AC31" s="277">
        <f t="shared" ca="1" si="64"/>
        <v>0</v>
      </c>
      <c r="AD31" s="277">
        <f t="shared" ca="1" si="17"/>
        <v>0</v>
      </c>
      <c r="AE31" s="277">
        <f t="shared" ca="1" si="18"/>
        <v>0</v>
      </c>
      <c r="AF31" s="277">
        <f t="shared" ca="1" si="19"/>
        <v>0</v>
      </c>
      <c r="AG31" s="277">
        <f t="shared" ca="1" si="20"/>
        <v>0</v>
      </c>
      <c r="AH31" s="277">
        <f t="shared" ca="1" si="65"/>
        <v>0</v>
      </c>
      <c r="AI31" s="277">
        <f t="shared" ca="1" si="66"/>
        <v>0</v>
      </c>
      <c r="AJ31" s="277">
        <f t="shared" ca="1" si="67"/>
        <v>0</v>
      </c>
      <c r="AK31" s="277">
        <f t="shared" ca="1" si="68"/>
        <v>0</v>
      </c>
      <c r="AL31" s="277">
        <f t="shared" ca="1" si="69"/>
        <v>0</v>
      </c>
      <c r="AM31" s="277">
        <f t="shared" ca="1" si="70"/>
        <v>0</v>
      </c>
      <c r="AN31" s="277">
        <f t="shared" ca="1" si="71"/>
        <v>0</v>
      </c>
      <c r="AO31" s="277">
        <f t="shared" ca="1" si="72"/>
        <v>0</v>
      </c>
      <c r="AP31" s="277">
        <f t="shared" ca="1" si="21"/>
        <v>0</v>
      </c>
      <c r="AQ31" s="277">
        <f t="shared" ca="1" si="22"/>
        <v>0</v>
      </c>
      <c r="AR31" s="277">
        <f t="shared" ca="1" si="23"/>
        <v>0</v>
      </c>
      <c r="AS31" s="277">
        <f t="shared" ca="1" si="24"/>
        <v>0</v>
      </c>
      <c r="AT31" s="277">
        <f t="shared" ca="1" si="73"/>
        <v>0</v>
      </c>
      <c r="AU31" s="277">
        <f t="shared" ca="1" si="74"/>
        <v>0</v>
      </c>
      <c r="AV31" s="277">
        <f t="shared" ca="1" si="25"/>
        <v>0</v>
      </c>
      <c r="AW31" s="277">
        <f t="shared" ca="1" si="26"/>
        <v>0</v>
      </c>
      <c r="AX31" s="277">
        <f t="shared" ca="1" si="27"/>
        <v>0</v>
      </c>
      <c r="AY31" s="277">
        <f t="shared" ca="1" si="28"/>
        <v>0</v>
      </c>
      <c r="AZ31" s="277">
        <f t="shared" ca="1" si="29"/>
        <v>0</v>
      </c>
      <c r="BA31" s="277">
        <f t="shared" ca="1" si="30"/>
        <v>0</v>
      </c>
      <c r="BB31" s="277">
        <f t="shared" ca="1" si="31"/>
        <v>0</v>
      </c>
      <c r="BC31" s="277">
        <f t="shared" ca="1" si="32"/>
        <v>0</v>
      </c>
      <c r="BD31" s="277">
        <f t="shared" ca="1" si="33"/>
        <v>0</v>
      </c>
      <c r="BE31" s="277">
        <f t="shared" ca="1" si="34"/>
        <v>0</v>
      </c>
      <c r="BF31" s="277">
        <f t="shared" ca="1" si="35"/>
        <v>0</v>
      </c>
      <c r="BG31" s="277">
        <f t="shared" ca="1" si="36"/>
        <v>0</v>
      </c>
      <c r="BH31" s="277">
        <f t="shared" ca="1" si="75"/>
        <v>0</v>
      </c>
      <c r="BI31" s="277">
        <f t="shared" ca="1" si="76"/>
        <v>0</v>
      </c>
      <c r="BJ31" s="277">
        <f t="shared" ca="1" si="37"/>
        <v>0</v>
      </c>
      <c r="BK31" s="277">
        <f t="shared" ca="1" si="38"/>
        <v>0</v>
      </c>
      <c r="BL31" s="277">
        <f t="shared" ca="1" si="39"/>
        <v>0</v>
      </c>
      <c r="BM31" s="277">
        <f t="shared" ca="1" si="40"/>
        <v>0</v>
      </c>
      <c r="BN31" s="277">
        <f t="shared" ca="1" si="41"/>
        <v>0</v>
      </c>
      <c r="BO31" s="277">
        <f t="shared" ca="1" si="42"/>
        <v>0</v>
      </c>
      <c r="BP31" s="277">
        <f t="shared" ca="1" si="77"/>
        <v>0</v>
      </c>
      <c r="BQ31" s="277">
        <f t="shared" ca="1" si="78"/>
        <v>0</v>
      </c>
      <c r="BR31" s="277">
        <f t="shared" ca="1" si="43"/>
        <v>0</v>
      </c>
      <c r="BS31" s="277">
        <f t="shared" ca="1" si="44"/>
        <v>0</v>
      </c>
      <c r="BT31" s="277">
        <f t="shared" ca="1" si="79"/>
        <v>0</v>
      </c>
      <c r="BU31" s="277">
        <f t="shared" ca="1" si="80"/>
        <v>0</v>
      </c>
      <c r="BV31" s="277">
        <f t="shared" ca="1" si="81"/>
        <v>0</v>
      </c>
      <c r="BW31" s="277">
        <f t="shared" ca="1" si="82"/>
        <v>0</v>
      </c>
      <c r="BX31" s="277">
        <f t="shared" ca="1" si="45"/>
        <v>0</v>
      </c>
      <c r="BY31" s="277">
        <f t="shared" ca="1" si="46"/>
        <v>0</v>
      </c>
      <c r="BZ31" s="277">
        <f t="shared" ca="1" si="47"/>
        <v>0</v>
      </c>
      <c r="CA31" s="277">
        <f t="shared" ca="1" si="48"/>
        <v>0</v>
      </c>
      <c r="CB31" s="277">
        <f t="shared" ca="1" si="49"/>
        <v>0</v>
      </c>
      <c r="CC31" s="277">
        <f t="shared" ca="1" si="50"/>
        <v>0</v>
      </c>
      <c r="CD31" s="277">
        <f t="shared" ca="1" si="83"/>
        <v>0</v>
      </c>
      <c r="CE31" s="277">
        <f t="shared" ca="1" si="84"/>
        <v>0</v>
      </c>
      <c r="CF31" s="277">
        <f t="shared" ca="1" si="85"/>
        <v>0</v>
      </c>
      <c r="CG31" s="277">
        <f t="shared" ca="1" si="86"/>
        <v>0</v>
      </c>
      <c r="CH31" s="277">
        <f t="shared" ca="1" si="51"/>
        <v>0</v>
      </c>
      <c r="CI31" s="277">
        <f t="shared" ca="1" si="52"/>
        <v>0</v>
      </c>
      <c r="CJ31" s="277">
        <f t="shared" ca="1" si="87"/>
        <v>0</v>
      </c>
      <c r="CK31" s="277">
        <f t="shared" ca="1" si="88"/>
        <v>0</v>
      </c>
      <c r="CL31" s="277">
        <f t="shared" ca="1" si="53"/>
        <v>0</v>
      </c>
      <c r="CM31" s="277">
        <f t="shared" ca="1" si="54"/>
        <v>0</v>
      </c>
      <c r="CN31" s="277">
        <f t="shared" ca="1" si="55"/>
        <v>0</v>
      </c>
      <c r="CO31" s="277">
        <f t="shared" ca="1" si="56"/>
        <v>0</v>
      </c>
      <c r="CP31" s="277">
        <f t="shared" ca="1" si="89"/>
        <v>0</v>
      </c>
      <c r="CQ31" s="277">
        <f t="shared" ca="1" si="90"/>
        <v>0</v>
      </c>
      <c r="CR31" s="277">
        <f t="shared" ca="1" si="91"/>
        <v>0</v>
      </c>
      <c r="CS31" s="277">
        <f t="shared" ca="1" si="92"/>
        <v>0</v>
      </c>
      <c r="CT31" s="277">
        <f t="shared" ca="1" si="57"/>
        <v>0</v>
      </c>
      <c r="CU31" s="277">
        <f t="shared" ca="1" si="58"/>
        <v>0</v>
      </c>
      <c r="CV31" s="277">
        <f t="shared" ca="1" si="59"/>
        <v>0</v>
      </c>
      <c r="CW31" s="277">
        <f t="shared" ca="1" si="60"/>
        <v>0</v>
      </c>
      <c r="CX31" s="277">
        <f t="shared" ca="1" si="93"/>
        <v>0</v>
      </c>
      <c r="CY31" s="277">
        <f t="shared" ca="1" si="94"/>
        <v>0</v>
      </c>
      <c r="CZ31" s="277">
        <f t="shared" ca="1" si="95"/>
        <v>0</v>
      </c>
      <c r="DA31" s="277">
        <f t="shared" ca="1" si="96"/>
        <v>0</v>
      </c>
    </row>
    <row r="32" spans="1:105" s="274" customFormat="1" ht="15" customHeight="1">
      <c r="A32" s="63">
        <f t="array" aca="1" ref="A32" ca="1">IF(C32&lt;&gt;0,SUM(($C$11:C32&lt;&gt;0)*1),"")</f>
        <v>22</v>
      </c>
      <c r="B32" s="275" t="str">
        <f ca="1">IF(ROWS($1:22)&gt;COUNT(Dong6),"",OFFSET(TH!C$1,SMALL(Dong6,ROWS($1:22)),))</f>
        <v/>
      </c>
      <c r="C32" s="275" t="str">
        <f ca="1">IF(ROWS($1:22)&gt;COUNT(Dong6),"",OFFSET(TH!D$1,SMALL(Dong6,ROWS($1:22)),))</f>
        <v/>
      </c>
      <c r="D32" s="275" t="str">
        <f ca="1">IF(ROWS($1:22)&gt;COUNT(Dong6),"",OFFSET(TH!E$1,SMALL(Dong6,ROWS($1:22)),))</f>
        <v/>
      </c>
      <c r="E32" s="325" t="str">
        <f ca="1">IF(ROWS($1:22)&gt;COUNT(Dong6),"",OFFSET(TH!F$1,SMALL(Dong6,ROWS($1:22)),))</f>
        <v/>
      </c>
      <c r="F32" s="326" t="str">
        <f ca="1">IF(ROWS($1:22)&gt;COUNT(Dong6),"",OFFSET(TH!M$1,SMALL(Dong6,ROWS($1:22)),))</f>
        <v/>
      </c>
      <c r="G32" s="327" t="str">
        <f ca="1">IF(ROWS($1:22)&gt;COUNT(Dong6),"",OFFSET(TH!N$1,SMALL(Dong6,ROWS($1:22)),))</f>
        <v/>
      </c>
      <c r="H32" s="327" t="str">
        <f ca="1">IF(ROWS($1:22)&gt;COUNT(Dong6),"",OFFSET(TH!O$1,SMALL(Dong6,ROWS($1:22)),))</f>
        <v/>
      </c>
      <c r="I32" s="63">
        <f t="shared" ca="1" si="0"/>
        <v>22</v>
      </c>
      <c r="J32" s="277">
        <f t="shared" ca="1" si="61"/>
        <v>0</v>
      </c>
      <c r="K32" s="277">
        <f t="shared" ca="1" si="62"/>
        <v>0</v>
      </c>
      <c r="L32" s="277">
        <f t="shared" ca="1" si="1"/>
        <v>0</v>
      </c>
      <c r="M32" s="277">
        <f t="shared" ca="1" si="2"/>
        <v>0</v>
      </c>
      <c r="N32" s="277">
        <f t="shared" ca="1" si="3"/>
        <v>0</v>
      </c>
      <c r="O32" s="277">
        <f t="shared" ca="1" si="4"/>
        <v>0</v>
      </c>
      <c r="P32" s="277">
        <f t="shared" ca="1" si="5"/>
        <v>0</v>
      </c>
      <c r="Q32" s="277">
        <f t="shared" ca="1" si="6"/>
        <v>0</v>
      </c>
      <c r="R32" s="277">
        <f t="shared" ca="1" si="7"/>
        <v>0</v>
      </c>
      <c r="S32" s="277">
        <f t="shared" ca="1" si="8"/>
        <v>0</v>
      </c>
      <c r="T32" s="277">
        <f t="shared" ca="1" si="9"/>
        <v>0</v>
      </c>
      <c r="U32" s="277">
        <f t="shared" ca="1" si="10"/>
        <v>0</v>
      </c>
      <c r="V32" s="277">
        <f t="shared" ca="1" si="11"/>
        <v>0</v>
      </c>
      <c r="W32" s="277">
        <f t="shared" ca="1" si="12"/>
        <v>0</v>
      </c>
      <c r="X32" s="277">
        <f t="shared" ca="1" si="13"/>
        <v>0</v>
      </c>
      <c r="Y32" s="277">
        <f t="shared" ca="1" si="14"/>
        <v>0</v>
      </c>
      <c r="Z32" s="277">
        <f t="shared" ca="1" si="15"/>
        <v>0</v>
      </c>
      <c r="AA32" s="277">
        <f t="shared" ca="1" si="16"/>
        <v>0</v>
      </c>
      <c r="AB32" s="277">
        <f t="shared" ca="1" si="63"/>
        <v>0</v>
      </c>
      <c r="AC32" s="277">
        <f t="shared" ca="1" si="64"/>
        <v>0</v>
      </c>
      <c r="AD32" s="277">
        <f t="shared" ca="1" si="17"/>
        <v>0</v>
      </c>
      <c r="AE32" s="277">
        <f t="shared" ca="1" si="18"/>
        <v>0</v>
      </c>
      <c r="AF32" s="277">
        <f t="shared" ca="1" si="19"/>
        <v>0</v>
      </c>
      <c r="AG32" s="277">
        <f t="shared" ca="1" si="20"/>
        <v>0</v>
      </c>
      <c r="AH32" s="277">
        <f t="shared" ca="1" si="65"/>
        <v>0</v>
      </c>
      <c r="AI32" s="277">
        <f t="shared" ca="1" si="66"/>
        <v>0</v>
      </c>
      <c r="AJ32" s="277">
        <f t="shared" ca="1" si="67"/>
        <v>0</v>
      </c>
      <c r="AK32" s="277">
        <f t="shared" ca="1" si="68"/>
        <v>0</v>
      </c>
      <c r="AL32" s="277">
        <f t="shared" ca="1" si="69"/>
        <v>0</v>
      </c>
      <c r="AM32" s="277">
        <f t="shared" ca="1" si="70"/>
        <v>0</v>
      </c>
      <c r="AN32" s="277">
        <f t="shared" ca="1" si="71"/>
        <v>0</v>
      </c>
      <c r="AO32" s="277">
        <f t="shared" ca="1" si="72"/>
        <v>0</v>
      </c>
      <c r="AP32" s="277">
        <f t="shared" ca="1" si="21"/>
        <v>0</v>
      </c>
      <c r="AQ32" s="277">
        <f t="shared" ca="1" si="22"/>
        <v>0</v>
      </c>
      <c r="AR32" s="277">
        <f t="shared" ca="1" si="23"/>
        <v>0</v>
      </c>
      <c r="AS32" s="277">
        <f t="shared" ca="1" si="24"/>
        <v>0</v>
      </c>
      <c r="AT32" s="277">
        <f t="shared" ca="1" si="73"/>
        <v>0</v>
      </c>
      <c r="AU32" s="277">
        <f t="shared" ca="1" si="74"/>
        <v>0</v>
      </c>
      <c r="AV32" s="277">
        <f t="shared" ca="1" si="25"/>
        <v>0</v>
      </c>
      <c r="AW32" s="277">
        <f t="shared" ca="1" si="26"/>
        <v>0</v>
      </c>
      <c r="AX32" s="277">
        <f t="shared" ca="1" si="27"/>
        <v>0</v>
      </c>
      <c r="AY32" s="277">
        <f t="shared" ca="1" si="28"/>
        <v>0</v>
      </c>
      <c r="AZ32" s="277">
        <f t="shared" ca="1" si="29"/>
        <v>0</v>
      </c>
      <c r="BA32" s="277">
        <f t="shared" ca="1" si="30"/>
        <v>0</v>
      </c>
      <c r="BB32" s="277">
        <f t="shared" ca="1" si="31"/>
        <v>0</v>
      </c>
      <c r="BC32" s="277">
        <f t="shared" ca="1" si="32"/>
        <v>0</v>
      </c>
      <c r="BD32" s="277">
        <f t="shared" ca="1" si="33"/>
        <v>0</v>
      </c>
      <c r="BE32" s="277">
        <f t="shared" ca="1" si="34"/>
        <v>0</v>
      </c>
      <c r="BF32" s="277">
        <f t="shared" ca="1" si="35"/>
        <v>0</v>
      </c>
      <c r="BG32" s="277">
        <f t="shared" ca="1" si="36"/>
        <v>0</v>
      </c>
      <c r="BH32" s="277">
        <f t="shared" ca="1" si="75"/>
        <v>0</v>
      </c>
      <c r="BI32" s="277">
        <f t="shared" ca="1" si="76"/>
        <v>0</v>
      </c>
      <c r="BJ32" s="277">
        <f t="shared" ca="1" si="37"/>
        <v>0</v>
      </c>
      <c r="BK32" s="277">
        <f t="shared" ca="1" si="38"/>
        <v>0</v>
      </c>
      <c r="BL32" s="277">
        <f t="shared" ca="1" si="39"/>
        <v>0</v>
      </c>
      <c r="BM32" s="277">
        <f t="shared" ca="1" si="40"/>
        <v>0</v>
      </c>
      <c r="BN32" s="277">
        <f t="shared" ca="1" si="41"/>
        <v>0</v>
      </c>
      <c r="BO32" s="277">
        <f t="shared" ca="1" si="42"/>
        <v>0</v>
      </c>
      <c r="BP32" s="277">
        <f t="shared" ca="1" si="77"/>
        <v>0</v>
      </c>
      <c r="BQ32" s="277">
        <f t="shared" ca="1" si="78"/>
        <v>0</v>
      </c>
      <c r="BR32" s="277">
        <f t="shared" ca="1" si="43"/>
        <v>0</v>
      </c>
      <c r="BS32" s="277">
        <f t="shared" ca="1" si="44"/>
        <v>0</v>
      </c>
      <c r="BT32" s="277">
        <f t="shared" ca="1" si="79"/>
        <v>0</v>
      </c>
      <c r="BU32" s="277">
        <f t="shared" ca="1" si="80"/>
        <v>0</v>
      </c>
      <c r="BV32" s="277">
        <f t="shared" ca="1" si="81"/>
        <v>0</v>
      </c>
      <c r="BW32" s="277">
        <f t="shared" ca="1" si="82"/>
        <v>0</v>
      </c>
      <c r="BX32" s="277">
        <f t="shared" ca="1" si="45"/>
        <v>0</v>
      </c>
      <c r="BY32" s="277">
        <f t="shared" ca="1" si="46"/>
        <v>0</v>
      </c>
      <c r="BZ32" s="277">
        <f t="shared" ca="1" si="47"/>
        <v>0</v>
      </c>
      <c r="CA32" s="277">
        <f t="shared" ca="1" si="48"/>
        <v>0</v>
      </c>
      <c r="CB32" s="277">
        <f t="shared" ca="1" si="49"/>
        <v>0</v>
      </c>
      <c r="CC32" s="277">
        <f t="shared" ca="1" si="50"/>
        <v>0</v>
      </c>
      <c r="CD32" s="277">
        <f t="shared" ca="1" si="83"/>
        <v>0</v>
      </c>
      <c r="CE32" s="277">
        <f t="shared" ca="1" si="84"/>
        <v>0</v>
      </c>
      <c r="CF32" s="277">
        <f t="shared" ca="1" si="85"/>
        <v>0</v>
      </c>
      <c r="CG32" s="277">
        <f t="shared" ca="1" si="86"/>
        <v>0</v>
      </c>
      <c r="CH32" s="277">
        <f t="shared" ca="1" si="51"/>
        <v>0</v>
      </c>
      <c r="CI32" s="277">
        <f t="shared" ca="1" si="52"/>
        <v>0</v>
      </c>
      <c r="CJ32" s="277">
        <f t="shared" ca="1" si="87"/>
        <v>0</v>
      </c>
      <c r="CK32" s="277">
        <f t="shared" ca="1" si="88"/>
        <v>0</v>
      </c>
      <c r="CL32" s="277">
        <f t="shared" ca="1" si="53"/>
        <v>0</v>
      </c>
      <c r="CM32" s="277">
        <f t="shared" ca="1" si="54"/>
        <v>0</v>
      </c>
      <c r="CN32" s="277">
        <f t="shared" ca="1" si="55"/>
        <v>0</v>
      </c>
      <c r="CO32" s="277">
        <f t="shared" ca="1" si="56"/>
        <v>0</v>
      </c>
      <c r="CP32" s="277">
        <f t="shared" ca="1" si="89"/>
        <v>0</v>
      </c>
      <c r="CQ32" s="277">
        <f t="shared" ca="1" si="90"/>
        <v>0</v>
      </c>
      <c r="CR32" s="277">
        <f t="shared" ca="1" si="91"/>
        <v>0</v>
      </c>
      <c r="CS32" s="277">
        <f t="shared" ca="1" si="92"/>
        <v>0</v>
      </c>
      <c r="CT32" s="277">
        <f t="shared" ca="1" si="57"/>
        <v>0</v>
      </c>
      <c r="CU32" s="277">
        <f t="shared" ca="1" si="58"/>
        <v>0</v>
      </c>
      <c r="CV32" s="277">
        <f t="shared" ca="1" si="59"/>
        <v>0</v>
      </c>
      <c r="CW32" s="277">
        <f t="shared" ca="1" si="60"/>
        <v>0</v>
      </c>
      <c r="CX32" s="277">
        <f t="shared" ca="1" si="93"/>
        <v>0</v>
      </c>
      <c r="CY32" s="277">
        <f t="shared" ca="1" si="94"/>
        <v>0</v>
      </c>
      <c r="CZ32" s="277">
        <f t="shared" ca="1" si="95"/>
        <v>0</v>
      </c>
      <c r="DA32" s="277">
        <f t="shared" ca="1" si="96"/>
        <v>0</v>
      </c>
    </row>
    <row r="33" spans="1:105" s="274" customFormat="1" ht="15" customHeight="1">
      <c r="A33" s="63">
        <f t="array" aca="1" ref="A33" ca="1">IF(C33&lt;&gt;0,SUM(($C$11:C33&lt;&gt;0)*1),"")</f>
        <v>23</v>
      </c>
      <c r="B33" s="275" t="str">
        <f ca="1">IF(ROWS($1:23)&gt;COUNT(Dong6),"",OFFSET(TH!C$1,SMALL(Dong6,ROWS($1:23)),))</f>
        <v/>
      </c>
      <c r="C33" s="275" t="str">
        <f ca="1">IF(ROWS($1:23)&gt;COUNT(Dong6),"",OFFSET(TH!D$1,SMALL(Dong6,ROWS($1:23)),))</f>
        <v/>
      </c>
      <c r="D33" s="275" t="str">
        <f ca="1">IF(ROWS($1:23)&gt;COUNT(Dong6),"",OFFSET(TH!E$1,SMALL(Dong6,ROWS($1:23)),))</f>
        <v/>
      </c>
      <c r="E33" s="325" t="str">
        <f ca="1">IF(ROWS($1:23)&gt;COUNT(Dong6),"",OFFSET(TH!F$1,SMALL(Dong6,ROWS($1:23)),))</f>
        <v/>
      </c>
      <c r="F33" s="326" t="str">
        <f ca="1">IF(ROWS($1:23)&gt;COUNT(Dong6),"",OFFSET(TH!M$1,SMALL(Dong6,ROWS($1:23)),))</f>
        <v/>
      </c>
      <c r="G33" s="327" t="str">
        <f ca="1">IF(ROWS($1:23)&gt;COUNT(Dong6),"",OFFSET(TH!N$1,SMALL(Dong6,ROWS($1:23)),))</f>
        <v/>
      </c>
      <c r="H33" s="327" t="str">
        <f ca="1">IF(ROWS($1:23)&gt;COUNT(Dong6),"",OFFSET(TH!O$1,SMALL(Dong6,ROWS($1:23)),))</f>
        <v/>
      </c>
      <c r="I33" s="63">
        <f t="shared" ca="1" si="0"/>
        <v>23</v>
      </c>
      <c r="J33" s="277">
        <f t="shared" ca="1" si="61"/>
        <v>0</v>
      </c>
      <c r="K33" s="277">
        <f t="shared" ca="1" si="62"/>
        <v>0</v>
      </c>
      <c r="L33" s="277">
        <f t="shared" ca="1" si="1"/>
        <v>0</v>
      </c>
      <c r="M33" s="277">
        <f t="shared" ca="1" si="2"/>
        <v>0</v>
      </c>
      <c r="N33" s="277">
        <f t="shared" ca="1" si="3"/>
        <v>0</v>
      </c>
      <c r="O33" s="277">
        <f t="shared" ca="1" si="4"/>
        <v>0</v>
      </c>
      <c r="P33" s="277">
        <f t="shared" ca="1" si="5"/>
        <v>0</v>
      </c>
      <c r="Q33" s="277">
        <f t="shared" ca="1" si="6"/>
        <v>0</v>
      </c>
      <c r="R33" s="277">
        <f t="shared" ca="1" si="7"/>
        <v>0</v>
      </c>
      <c r="S33" s="277">
        <f t="shared" ca="1" si="8"/>
        <v>0</v>
      </c>
      <c r="T33" s="277">
        <f t="shared" ca="1" si="9"/>
        <v>0</v>
      </c>
      <c r="U33" s="277">
        <f t="shared" ca="1" si="10"/>
        <v>0</v>
      </c>
      <c r="V33" s="277">
        <f t="shared" ca="1" si="11"/>
        <v>0</v>
      </c>
      <c r="W33" s="277">
        <f t="shared" ca="1" si="12"/>
        <v>0</v>
      </c>
      <c r="X33" s="277">
        <f t="shared" ca="1" si="13"/>
        <v>0</v>
      </c>
      <c r="Y33" s="277">
        <f t="shared" ca="1" si="14"/>
        <v>0</v>
      </c>
      <c r="Z33" s="277">
        <f t="shared" ca="1" si="15"/>
        <v>0</v>
      </c>
      <c r="AA33" s="277">
        <f t="shared" ca="1" si="16"/>
        <v>0</v>
      </c>
      <c r="AB33" s="277">
        <f t="shared" ca="1" si="63"/>
        <v>0</v>
      </c>
      <c r="AC33" s="277">
        <f t="shared" ca="1" si="64"/>
        <v>0</v>
      </c>
      <c r="AD33" s="277">
        <f t="shared" ca="1" si="17"/>
        <v>0</v>
      </c>
      <c r="AE33" s="277">
        <f t="shared" ca="1" si="18"/>
        <v>0</v>
      </c>
      <c r="AF33" s="277">
        <f t="shared" ca="1" si="19"/>
        <v>0</v>
      </c>
      <c r="AG33" s="277">
        <f t="shared" ca="1" si="20"/>
        <v>0</v>
      </c>
      <c r="AH33" s="277">
        <f t="shared" ca="1" si="65"/>
        <v>0</v>
      </c>
      <c r="AI33" s="277">
        <f t="shared" ca="1" si="66"/>
        <v>0</v>
      </c>
      <c r="AJ33" s="277">
        <f t="shared" ca="1" si="67"/>
        <v>0</v>
      </c>
      <c r="AK33" s="277">
        <f t="shared" ca="1" si="68"/>
        <v>0</v>
      </c>
      <c r="AL33" s="277">
        <f t="shared" ca="1" si="69"/>
        <v>0</v>
      </c>
      <c r="AM33" s="277">
        <f t="shared" ca="1" si="70"/>
        <v>0</v>
      </c>
      <c r="AN33" s="277">
        <f t="shared" ca="1" si="71"/>
        <v>0</v>
      </c>
      <c r="AO33" s="277">
        <f t="shared" ca="1" si="72"/>
        <v>0</v>
      </c>
      <c r="AP33" s="277">
        <f t="shared" ca="1" si="21"/>
        <v>0</v>
      </c>
      <c r="AQ33" s="277">
        <f t="shared" ca="1" si="22"/>
        <v>0</v>
      </c>
      <c r="AR33" s="277">
        <f t="shared" ca="1" si="23"/>
        <v>0</v>
      </c>
      <c r="AS33" s="277">
        <f t="shared" ca="1" si="24"/>
        <v>0</v>
      </c>
      <c r="AT33" s="277">
        <f t="shared" ca="1" si="73"/>
        <v>0</v>
      </c>
      <c r="AU33" s="277">
        <f t="shared" ca="1" si="74"/>
        <v>0</v>
      </c>
      <c r="AV33" s="277">
        <f t="shared" ca="1" si="25"/>
        <v>0</v>
      </c>
      <c r="AW33" s="277">
        <f t="shared" ca="1" si="26"/>
        <v>0</v>
      </c>
      <c r="AX33" s="277">
        <f t="shared" ca="1" si="27"/>
        <v>0</v>
      </c>
      <c r="AY33" s="277">
        <f t="shared" ca="1" si="28"/>
        <v>0</v>
      </c>
      <c r="AZ33" s="277">
        <f t="shared" ca="1" si="29"/>
        <v>0</v>
      </c>
      <c r="BA33" s="277">
        <f t="shared" ca="1" si="30"/>
        <v>0</v>
      </c>
      <c r="BB33" s="277">
        <f t="shared" ca="1" si="31"/>
        <v>0</v>
      </c>
      <c r="BC33" s="277">
        <f t="shared" ca="1" si="32"/>
        <v>0</v>
      </c>
      <c r="BD33" s="277">
        <f t="shared" ca="1" si="33"/>
        <v>0</v>
      </c>
      <c r="BE33" s="277">
        <f t="shared" ca="1" si="34"/>
        <v>0</v>
      </c>
      <c r="BF33" s="277">
        <f t="shared" ca="1" si="35"/>
        <v>0</v>
      </c>
      <c r="BG33" s="277">
        <f t="shared" ca="1" si="36"/>
        <v>0</v>
      </c>
      <c r="BH33" s="277">
        <f t="shared" ca="1" si="75"/>
        <v>0</v>
      </c>
      <c r="BI33" s="277">
        <f t="shared" ca="1" si="76"/>
        <v>0</v>
      </c>
      <c r="BJ33" s="277">
        <f t="shared" ca="1" si="37"/>
        <v>0</v>
      </c>
      <c r="BK33" s="277">
        <f t="shared" ca="1" si="38"/>
        <v>0</v>
      </c>
      <c r="BL33" s="277">
        <f t="shared" ca="1" si="39"/>
        <v>0</v>
      </c>
      <c r="BM33" s="277">
        <f t="shared" ca="1" si="40"/>
        <v>0</v>
      </c>
      <c r="BN33" s="277">
        <f t="shared" ca="1" si="41"/>
        <v>0</v>
      </c>
      <c r="BO33" s="277">
        <f t="shared" ca="1" si="42"/>
        <v>0</v>
      </c>
      <c r="BP33" s="277">
        <f t="shared" ca="1" si="77"/>
        <v>0</v>
      </c>
      <c r="BQ33" s="277">
        <f t="shared" ca="1" si="78"/>
        <v>0</v>
      </c>
      <c r="BR33" s="277">
        <f t="shared" ca="1" si="43"/>
        <v>0</v>
      </c>
      <c r="BS33" s="277">
        <f t="shared" ca="1" si="44"/>
        <v>0</v>
      </c>
      <c r="BT33" s="277">
        <f t="shared" ca="1" si="79"/>
        <v>0</v>
      </c>
      <c r="BU33" s="277">
        <f t="shared" ca="1" si="80"/>
        <v>0</v>
      </c>
      <c r="BV33" s="277">
        <f t="shared" ca="1" si="81"/>
        <v>0</v>
      </c>
      <c r="BW33" s="277">
        <f t="shared" ca="1" si="82"/>
        <v>0</v>
      </c>
      <c r="BX33" s="277">
        <f t="shared" ca="1" si="45"/>
        <v>0</v>
      </c>
      <c r="BY33" s="277">
        <f t="shared" ca="1" si="46"/>
        <v>0</v>
      </c>
      <c r="BZ33" s="277">
        <f t="shared" ca="1" si="47"/>
        <v>0</v>
      </c>
      <c r="CA33" s="277">
        <f t="shared" ca="1" si="48"/>
        <v>0</v>
      </c>
      <c r="CB33" s="277">
        <f t="shared" ca="1" si="49"/>
        <v>0</v>
      </c>
      <c r="CC33" s="277">
        <f t="shared" ca="1" si="50"/>
        <v>0</v>
      </c>
      <c r="CD33" s="277">
        <f t="shared" ca="1" si="83"/>
        <v>0</v>
      </c>
      <c r="CE33" s="277">
        <f t="shared" ca="1" si="84"/>
        <v>0</v>
      </c>
      <c r="CF33" s="277">
        <f t="shared" ca="1" si="85"/>
        <v>0</v>
      </c>
      <c r="CG33" s="277">
        <f t="shared" ca="1" si="86"/>
        <v>0</v>
      </c>
      <c r="CH33" s="277">
        <f t="shared" ca="1" si="51"/>
        <v>0</v>
      </c>
      <c r="CI33" s="277">
        <f t="shared" ca="1" si="52"/>
        <v>0</v>
      </c>
      <c r="CJ33" s="277">
        <f t="shared" ca="1" si="87"/>
        <v>0</v>
      </c>
      <c r="CK33" s="277">
        <f t="shared" ca="1" si="88"/>
        <v>0</v>
      </c>
      <c r="CL33" s="277">
        <f t="shared" ca="1" si="53"/>
        <v>0</v>
      </c>
      <c r="CM33" s="277">
        <f t="shared" ca="1" si="54"/>
        <v>0</v>
      </c>
      <c r="CN33" s="277">
        <f t="shared" ca="1" si="55"/>
        <v>0</v>
      </c>
      <c r="CO33" s="277">
        <f t="shared" ca="1" si="56"/>
        <v>0</v>
      </c>
      <c r="CP33" s="277">
        <f t="shared" ca="1" si="89"/>
        <v>0</v>
      </c>
      <c r="CQ33" s="277">
        <f t="shared" ca="1" si="90"/>
        <v>0</v>
      </c>
      <c r="CR33" s="277">
        <f t="shared" ca="1" si="91"/>
        <v>0</v>
      </c>
      <c r="CS33" s="277">
        <f t="shared" ca="1" si="92"/>
        <v>0</v>
      </c>
      <c r="CT33" s="277">
        <f t="shared" ca="1" si="57"/>
        <v>0</v>
      </c>
      <c r="CU33" s="277">
        <f t="shared" ca="1" si="58"/>
        <v>0</v>
      </c>
      <c r="CV33" s="277">
        <f t="shared" ca="1" si="59"/>
        <v>0</v>
      </c>
      <c r="CW33" s="277">
        <f t="shared" ca="1" si="60"/>
        <v>0</v>
      </c>
      <c r="CX33" s="277">
        <f t="shared" ca="1" si="93"/>
        <v>0</v>
      </c>
      <c r="CY33" s="277">
        <f t="shared" ca="1" si="94"/>
        <v>0</v>
      </c>
      <c r="CZ33" s="277">
        <f t="shared" ca="1" si="95"/>
        <v>0</v>
      </c>
      <c r="DA33" s="277">
        <f t="shared" ca="1" si="96"/>
        <v>0</v>
      </c>
    </row>
    <row r="34" spans="1:105" s="274" customFormat="1" ht="15" customHeight="1">
      <c r="A34" s="63">
        <f t="array" aca="1" ref="A34" ca="1">IF(C34&lt;&gt;0,SUM(($C$11:C34&lt;&gt;0)*1),"")</f>
        <v>24</v>
      </c>
      <c r="B34" s="275" t="str">
        <f ca="1">IF(ROWS($1:24)&gt;COUNT(Dong6),"",OFFSET(TH!C$1,SMALL(Dong6,ROWS($1:24)),))</f>
        <v/>
      </c>
      <c r="C34" s="275" t="str">
        <f ca="1">IF(ROWS($1:24)&gt;COUNT(Dong6),"",OFFSET(TH!D$1,SMALL(Dong6,ROWS($1:24)),))</f>
        <v/>
      </c>
      <c r="D34" s="275" t="str">
        <f ca="1">IF(ROWS($1:24)&gt;COUNT(Dong6),"",OFFSET(TH!E$1,SMALL(Dong6,ROWS($1:24)),))</f>
        <v/>
      </c>
      <c r="E34" s="325" t="str">
        <f ca="1">IF(ROWS($1:24)&gt;COUNT(Dong6),"",OFFSET(TH!F$1,SMALL(Dong6,ROWS($1:24)),))</f>
        <v/>
      </c>
      <c r="F34" s="326" t="str">
        <f ca="1">IF(ROWS($1:24)&gt;COUNT(Dong6),"",OFFSET(TH!M$1,SMALL(Dong6,ROWS($1:24)),))</f>
        <v/>
      </c>
      <c r="G34" s="327" t="str">
        <f ca="1">IF(ROWS($1:24)&gt;COUNT(Dong6),"",OFFSET(TH!N$1,SMALL(Dong6,ROWS($1:24)),))</f>
        <v/>
      </c>
      <c r="H34" s="327" t="str">
        <f ca="1">IF(ROWS($1:24)&gt;COUNT(Dong6),"",OFFSET(TH!O$1,SMALL(Dong6,ROWS($1:24)),))</f>
        <v/>
      </c>
      <c r="I34" s="63">
        <f t="shared" ca="1" si="0"/>
        <v>24</v>
      </c>
      <c r="J34" s="277">
        <f t="shared" ca="1" si="61"/>
        <v>0</v>
      </c>
      <c r="K34" s="277">
        <f t="shared" ca="1" si="62"/>
        <v>0</v>
      </c>
      <c r="L34" s="277">
        <f t="shared" ca="1" si="1"/>
        <v>0</v>
      </c>
      <c r="M34" s="277">
        <f t="shared" ca="1" si="2"/>
        <v>0</v>
      </c>
      <c r="N34" s="277">
        <f t="shared" ca="1" si="3"/>
        <v>0</v>
      </c>
      <c r="O34" s="277">
        <f t="shared" ca="1" si="4"/>
        <v>0</v>
      </c>
      <c r="P34" s="277">
        <f t="shared" ca="1" si="5"/>
        <v>0</v>
      </c>
      <c r="Q34" s="277">
        <f t="shared" ca="1" si="6"/>
        <v>0</v>
      </c>
      <c r="R34" s="277">
        <f t="shared" ca="1" si="7"/>
        <v>0</v>
      </c>
      <c r="S34" s="277">
        <f t="shared" ca="1" si="8"/>
        <v>0</v>
      </c>
      <c r="T34" s="277">
        <f t="shared" ca="1" si="9"/>
        <v>0</v>
      </c>
      <c r="U34" s="277">
        <f t="shared" ca="1" si="10"/>
        <v>0</v>
      </c>
      <c r="V34" s="277">
        <f t="shared" ca="1" si="11"/>
        <v>0</v>
      </c>
      <c r="W34" s="277">
        <f t="shared" ca="1" si="12"/>
        <v>0</v>
      </c>
      <c r="X34" s="277">
        <f t="shared" ca="1" si="13"/>
        <v>0</v>
      </c>
      <c r="Y34" s="277">
        <f t="shared" ca="1" si="14"/>
        <v>0</v>
      </c>
      <c r="Z34" s="277">
        <f t="shared" ca="1" si="15"/>
        <v>0</v>
      </c>
      <c r="AA34" s="277">
        <f t="shared" ca="1" si="16"/>
        <v>0</v>
      </c>
      <c r="AB34" s="277">
        <f t="shared" ca="1" si="63"/>
        <v>0</v>
      </c>
      <c r="AC34" s="277">
        <f t="shared" ca="1" si="64"/>
        <v>0</v>
      </c>
      <c r="AD34" s="277">
        <f t="shared" ca="1" si="17"/>
        <v>0</v>
      </c>
      <c r="AE34" s="277">
        <f t="shared" ca="1" si="18"/>
        <v>0</v>
      </c>
      <c r="AF34" s="277">
        <f t="shared" ca="1" si="19"/>
        <v>0</v>
      </c>
      <c r="AG34" s="277">
        <f t="shared" ca="1" si="20"/>
        <v>0</v>
      </c>
      <c r="AH34" s="277">
        <f t="shared" ca="1" si="65"/>
        <v>0</v>
      </c>
      <c r="AI34" s="277">
        <f t="shared" ca="1" si="66"/>
        <v>0</v>
      </c>
      <c r="AJ34" s="277">
        <f t="shared" ca="1" si="67"/>
        <v>0</v>
      </c>
      <c r="AK34" s="277">
        <f t="shared" ca="1" si="68"/>
        <v>0</v>
      </c>
      <c r="AL34" s="277">
        <f t="shared" ca="1" si="69"/>
        <v>0</v>
      </c>
      <c r="AM34" s="277">
        <f t="shared" ca="1" si="70"/>
        <v>0</v>
      </c>
      <c r="AN34" s="277">
        <f t="shared" ca="1" si="71"/>
        <v>0</v>
      </c>
      <c r="AO34" s="277">
        <f t="shared" ca="1" si="72"/>
        <v>0</v>
      </c>
      <c r="AP34" s="277">
        <f t="shared" ca="1" si="21"/>
        <v>0</v>
      </c>
      <c r="AQ34" s="277">
        <f t="shared" ca="1" si="22"/>
        <v>0</v>
      </c>
      <c r="AR34" s="277">
        <f t="shared" ca="1" si="23"/>
        <v>0</v>
      </c>
      <c r="AS34" s="277">
        <f t="shared" ca="1" si="24"/>
        <v>0</v>
      </c>
      <c r="AT34" s="277">
        <f t="shared" ca="1" si="73"/>
        <v>0</v>
      </c>
      <c r="AU34" s="277">
        <f t="shared" ca="1" si="74"/>
        <v>0</v>
      </c>
      <c r="AV34" s="277">
        <f t="shared" ca="1" si="25"/>
        <v>0</v>
      </c>
      <c r="AW34" s="277">
        <f t="shared" ca="1" si="26"/>
        <v>0</v>
      </c>
      <c r="AX34" s="277">
        <f t="shared" ca="1" si="27"/>
        <v>0</v>
      </c>
      <c r="AY34" s="277">
        <f t="shared" ca="1" si="28"/>
        <v>0</v>
      </c>
      <c r="AZ34" s="277">
        <f t="shared" ca="1" si="29"/>
        <v>0</v>
      </c>
      <c r="BA34" s="277">
        <f t="shared" ca="1" si="30"/>
        <v>0</v>
      </c>
      <c r="BB34" s="277">
        <f t="shared" ca="1" si="31"/>
        <v>0</v>
      </c>
      <c r="BC34" s="277">
        <f t="shared" ca="1" si="32"/>
        <v>0</v>
      </c>
      <c r="BD34" s="277">
        <f t="shared" ca="1" si="33"/>
        <v>0</v>
      </c>
      <c r="BE34" s="277">
        <f t="shared" ca="1" si="34"/>
        <v>0</v>
      </c>
      <c r="BF34" s="277">
        <f t="shared" ca="1" si="35"/>
        <v>0</v>
      </c>
      <c r="BG34" s="277">
        <f t="shared" ca="1" si="36"/>
        <v>0</v>
      </c>
      <c r="BH34" s="277">
        <f t="shared" ca="1" si="75"/>
        <v>0</v>
      </c>
      <c r="BI34" s="277">
        <f t="shared" ca="1" si="76"/>
        <v>0</v>
      </c>
      <c r="BJ34" s="277">
        <f t="shared" ca="1" si="37"/>
        <v>0</v>
      </c>
      <c r="BK34" s="277">
        <f t="shared" ca="1" si="38"/>
        <v>0</v>
      </c>
      <c r="BL34" s="277">
        <f t="shared" ca="1" si="39"/>
        <v>0</v>
      </c>
      <c r="BM34" s="277">
        <f t="shared" ca="1" si="40"/>
        <v>0</v>
      </c>
      <c r="BN34" s="277">
        <f t="shared" ca="1" si="41"/>
        <v>0</v>
      </c>
      <c r="BO34" s="277">
        <f t="shared" ca="1" si="42"/>
        <v>0</v>
      </c>
      <c r="BP34" s="277">
        <f t="shared" ca="1" si="77"/>
        <v>0</v>
      </c>
      <c r="BQ34" s="277">
        <f t="shared" ca="1" si="78"/>
        <v>0</v>
      </c>
      <c r="BR34" s="277">
        <f t="shared" ca="1" si="43"/>
        <v>0</v>
      </c>
      <c r="BS34" s="277">
        <f t="shared" ca="1" si="44"/>
        <v>0</v>
      </c>
      <c r="BT34" s="277">
        <f t="shared" ca="1" si="79"/>
        <v>0</v>
      </c>
      <c r="BU34" s="277">
        <f t="shared" ca="1" si="80"/>
        <v>0</v>
      </c>
      <c r="BV34" s="277">
        <f t="shared" ca="1" si="81"/>
        <v>0</v>
      </c>
      <c r="BW34" s="277">
        <f t="shared" ca="1" si="82"/>
        <v>0</v>
      </c>
      <c r="BX34" s="277">
        <f t="shared" ca="1" si="45"/>
        <v>0</v>
      </c>
      <c r="BY34" s="277">
        <f t="shared" ca="1" si="46"/>
        <v>0</v>
      </c>
      <c r="BZ34" s="277">
        <f t="shared" ca="1" si="47"/>
        <v>0</v>
      </c>
      <c r="CA34" s="277">
        <f t="shared" ca="1" si="48"/>
        <v>0</v>
      </c>
      <c r="CB34" s="277">
        <f t="shared" ca="1" si="49"/>
        <v>0</v>
      </c>
      <c r="CC34" s="277">
        <f t="shared" ca="1" si="50"/>
        <v>0</v>
      </c>
      <c r="CD34" s="277">
        <f t="shared" ca="1" si="83"/>
        <v>0</v>
      </c>
      <c r="CE34" s="277">
        <f t="shared" ca="1" si="84"/>
        <v>0</v>
      </c>
      <c r="CF34" s="277">
        <f t="shared" ca="1" si="85"/>
        <v>0</v>
      </c>
      <c r="CG34" s="277">
        <f t="shared" ca="1" si="86"/>
        <v>0</v>
      </c>
      <c r="CH34" s="277">
        <f t="shared" ca="1" si="51"/>
        <v>0</v>
      </c>
      <c r="CI34" s="277">
        <f t="shared" ca="1" si="52"/>
        <v>0</v>
      </c>
      <c r="CJ34" s="277">
        <f t="shared" ca="1" si="87"/>
        <v>0</v>
      </c>
      <c r="CK34" s="277">
        <f t="shared" ca="1" si="88"/>
        <v>0</v>
      </c>
      <c r="CL34" s="277">
        <f t="shared" ca="1" si="53"/>
        <v>0</v>
      </c>
      <c r="CM34" s="277">
        <f t="shared" ca="1" si="54"/>
        <v>0</v>
      </c>
      <c r="CN34" s="277">
        <f t="shared" ca="1" si="55"/>
        <v>0</v>
      </c>
      <c r="CO34" s="277">
        <f t="shared" ca="1" si="56"/>
        <v>0</v>
      </c>
      <c r="CP34" s="277">
        <f t="shared" ca="1" si="89"/>
        <v>0</v>
      </c>
      <c r="CQ34" s="277">
        <f t="shared" ca="1" si="90"/>
        <v>0</v>
      </c>
      <c r="CR34" s="277">
        <f t="shared" ca="1" si="91"/>
        <v>0</v>
      </c>
      <c r="CS34" s="277">
        <f t="shared" ca="1" si="92"/>
        <v>0</v>
      </c>
      <c r="CT34" s="277">
        <f t="shared" ca="1" si="57"/>
        <v>0</v>
      </c>
      <c r="CU34" s="277">
        <f t="shared" ca="1" si="58"/>
        <v>0</v>
      </c>
      <c r="CV34" s="277">
        <f t="shared" ca="1" si="59"/>
        <v>0</v>
      </c>
      <c r="CW34" s="277">
        <f t="shared" ca="1" si="60"/>
        <v>0</v>
      </c>
      <c r="CX34" s="277">
        <f t="shared" ca="1" si="93"/>
        <v>0</v>
      </c>
      <c r="CY34" s="277">
        <f t="shared" ca="1" si="94"/>
        <v>0</v>
      </c>
      <c r="CZ34" s="277">
        <f t="shared" ca="1" si="95"/>
        <v>0</v>
      </c>
      <c r="DA34" s="277">
        <f t="shared" ca="1" si="96"/>
        <v>0</v>
      </c>
    </row>
    <row r="35" spans="1:105" s="274" customFormat="1" ht="15" customHeight="1">
      <c r="A35" s="63">
        <f t="array" aca="1" ref="A35" ca="1">IF(C35&lt;&gt;0,SUM(($C$11:C35&lt;&gt;0)*1),"")</f>
        <v>25</v>
      </c>
      <c r="B35" s="275" t="str">
        <f ca="1">IF(ROWS($1:25)&gt;COUNT(Dong6),"",OFFSET(TH!C$1,SMALL(Dong6,ROWS($1:25)),))</f>
        <v/>
      </c>
      <c r="C35" s="275" t="str">
        <f ca="1">IF(ROWS($1:25)&gt;COUNT(Dong6),"",OFFSET(TH!D$1,SMALL(Dong6,ROWS($1:25)),))</f>
        <v/>
      </c>
      <c r="D35" s="275" t="str">
        <f ca="1">IF(ROWS($1:25)&gt;COUNT(Dong6),"",OFFSET(TH!E$1,SMALL(Dong6,ROWS($1:25)),))</f>
        <v/>
      </c>
      <c r="E35" s="325" t="str">
        <f ca="1">IF(ROWS($1:25)&gt;COUNT(Dong6),"",OFFSET(TH!F$1,SMALL(Dong6,ROWS($1:25)),))</f>
        <v/>
      </c>
      <c r="F35" s="326" t="str">
        <f ca="1">IF(ROWS($1:25)&gt;COUNT(Dong6),"",OFFSET(TH!M$1,SMALL(Dong6,ROWS($1:25)),))</f>
        <v/>
      </c>
      <c r="G35" s="327" t="str">
        <f ca="1">IF(ROWS($1:25)&gt;COUNT(Dong6),"",OFFSET(TH!N$1,SMALL(Dong6,ROWS($1:25)),))</f>
        <v/>
      </c>
      <c r="H35" s="327" t="str">
        <f ca="1">IF(ROWS($1:25)&gt;COUNT(Dong6),"",OFFSET(TH!O$1,SMALL(Dong6,ROWS($1:25)),))</f>
        <v/>
      </c>
      <c r="I35" s="63">
        <f ca="1">A35</f>
        <v>25</v>
      </c>
      <c r="J35" s="277">
        <f t="shared" ca="1" si="61"/>
        <v>0</v>
      </c>
      <c r="K35" s="277">
        <f t="shared" ca="1" si="62"/>
        <v>0</v>
      </c>
      <c r="L35" s="277">
        <f t="shared" ca="1" si="1"/>
        <v>0</v>
      </c>
      <c r="M35" s="277">
        <f t="shared" ca="1" si="2"/>
        <v>0</v>
      </c>
      <c r="N35" s="277">
        <f t="shared" ca="1" si="3"/>
        <v>0</v>
      </c>
      <c r="O35" s="277">
        <f t="shared" ca="1" si="4"/>
        <v>0</v>
      </c>
      <c r="P35" s="277">
        <f t="shared" ca="1" si="5"/>
        <v>0</v>
      </c>
      <c r="Q35" s="277">
        <f t="shared" ca="1" si="6"/>
        <v>0</v>
      </c>
      <c r="R35" s="277">
        <f t="shared" ca="1" si="7"/>
        <v>0</v>
      </c>
      <c r="S35" s="277">
        <f t="shared" ca="1" si="8"/>
        <v>0</v>
      </c>
      <c r="T35" s="277">
        <f t="shared" ca="1" si="9"/>
        <v>0</v>
      </c>
      <c r="U35" s="277">
        <f t="shared" ca="1" si="10"/>
        <v>0</v>
      </c>
      <c r="V35" s="277">
        <f t="shared" ca="1" si="11"/>
        <v>0</v>
      </c>
      <c r="W35" s="277">
        <f t="shared" ca="1" si="12"/>
        <v>0</v>
      </c>
      <c r="X35" s="277">
        <f t="shared" ca="1" si="13"/>
        <v>0</v>
      </c>
      <c r="Y35" s="277">
        <f t="shared" ca="1" si="14"/>
        <v>0</v>
      </c>
      <c r="Z35" s="277">
        <f t="shared" ca="1" si="15"/>
        <v>0</v>
      </c>
      <c r="AA35" s="277">
        <f t="shared" ca="1" si="16"/>
        <v>0</v>
      </c>
      <c r="AB35" s="277">
        <f t="shared" ca="1" si="63"/>
        <v>0</v>
      </c>
      <c r="AC35" s="277">
        <f t="shared" ca="1" si="64"/>
        <v>0</v>
      </c>
      <c r="AD35" s="277">
        <f t="shared" ca="1" si="17"/>
        <v>0</v>
      </c>
      <c r="AE35" s="277">
        <f t="shared" ca="1" si="18"/>
        <v>0</v>
      </c>
      <c r="AF35" s="277">
        <f t="shared" ca="1" si="19"/>
        <v>0</v>
      </c>
      <c r="AG35" s="277">
        <f t="shared" ca="1" si="20"/>
        <v>0</v>
      </c>
      <c r="AH35" s="277">
        <f t="shared" ca="1" si="65"/>
        <v>0</v>
      </c>
      <c r="AI35" s="277">
        <f t="shared" ca="1" si="66"/>
        <v>0</v>
      </c>
      <c r="AJ35" s="277">
        <f t="shared" ca="1" si="67"/>
        <v>0</v>
      </c>
      <c r="AK35" s="277">
        <f t="shared" ca="1" si="68"/>
        <v>0</v>
      </c>
      <c r="AL35" s="277">
        <f t="shared" ca="1" si="69"/>
        <v>0</v>
      </c>
      <c r="AM35" s="277">
        <f t="shared" ca="1" si="70"/>
        <v>0</v>
      </c>
      <c r="AN35" s="277">
        <f t="shared" ca="1" si="71"/>
        <v>0</v>
      </c>
      <c r="AO35" s="277">
        <f t="shared" ca="1" si="72"/>
        <v>0</v>
      </c>
      <c r="AP35" s="277">
        <f t="shared" ca="1" si="21"/>
        <v>0</v>
      </c>
      <c r="AQ35" s="277">
        <f t="shared" ca="1" si="22"/>
        <v>0</v>
      </c>
      <c r="AR35" s="277">
        <f t="shared" ca="1" si="23"/>
        <v>0</v>
      </c>
      <c r="AS35" s="277">
        <f t="shared" ca="1" si="24"/>
        <v>0</v>
      </c>
      <c r="AT35" s="277">
        <f t="shared" ca="1" si="73"/>
        <v>0</v>
      </c>
      <c r="AU35" s="277">
        <f t="shared" ca="1" si="74"/>
        <v>0</v>
      </c>
      <c r="AV35" s="277">
        <f t="shared" ca="1" si="25"/>
        <v>0</v>
      </c>
      <c r="AW35" s="277">
        <f t="shared" ca="1" si="26"/>
        <v>0</v>
      </c>
      <c r="AX35" s="277">
        <f t="shared" ca="1" si="27"/>
        <v>0</v>
      </c>
      <c r="AY35" s="277">
        <f t="shared" ca="1" si="28"/>
        <v>0</v>
      </c>
      <c r="AZ35" s="277">
        <f t="shared" ca="1" si="29"/>
        <v>0</v>
      </c>
      <c r="BA35" s="277">
        <f t="shared" ca="1" si="30"/>
        <v>0</v>
      </c>
      <c r="BB35" s="277">
        <f t="shared" ca="1" si="31"/>
        <v>0</v>
      </c>
      <c r="BC35" s="277">
        <f t="shared" ca="1" si="32"/>
        <v>0</v>
      </c>
      <c r="BD35" s="277">
        <f t="shared" ca="1" si="33"/>
        <v>0</v>
      </c>
      <c r="BE35" s="277">
        <f t="shared" ca="1" si="34"/>
        <v>0</v>
      </c>
      <c r="BF35" s="277">
        <f t="shared" ca="1" si="35"/>
        <v>0</v>
      </c>
      <c r="BG35" s="277">
        <f t="shared" ca="1" si="36"/>
        <v>0</v>
      </c>
      <c r="BH35" s="277">
        <f t="shared" ca="1" si="75"/>
        <v>0</v>
      </c>
      <c r="BI35" s="277">
        <f t="shared" ca="1" si="76"/>
        <v>0</v>
      </c>
      <c r="BJ35" s="277">
        <f t="shared" ca="1" si="37"/>
        <v>0</v>
      </c>
      <c r="BK35" s="277">
        <f t="shared" ca="1" si="38"/>
        <v>0</v>
      </c>
      <c r="BL35" s="277">
        <f t="shared" ca="1" si="39"/>
        <v>0</v>
      </c>
      <c r="BM35" s="277">
        <f t="shared" ca="1" si="40"/>
        <v>0</v>
      </c>
      <c r="BN35" s="277">
        <f t="shared" ca="1" si="41"/>
        <v>0</v>
      </c>
      <c r="BO35" s="277">
        <f t="shared" ca="1" si="42"/>
        <v>0</v>
      </c>
      <c r="BP35" s="277">
        <f t="shared" ca="1" si="77"/>
        <v>0</v>
      </c>
      <c r="BQ35" s="277">
        <f t="shared" ca="1" si="78"/>
        <v>0</v>
      </c>
      <c r="BR35" s="277">
        <f t="shared" ca="1" si="43"/>
        <v>0</v>
      </c>
      <c r="BS35" s="277">
        <f t="shared" ca="1" si="44"/>
        <v>0</v>
      </c>
      <c r="BT35" s="277">
        <f t="shared" ca="1" si="79"/>
        <v>0</v>
      </c>
      <c r="BU35" s="277">
        <f t="shared" ca="1" si="80"/>
        <v>0</v>
      </c>
      <c r="BV35" s="277">
        <f t="shared" ca="1" si="81"/>
        <v>0</v>
      </c>
      <c r="BW35" s="277">
        <f t="shared" ca="1" si="82"/>
        <v>0</v>
      </c>
      <c r="BX35" s="277">
        <f t="shared" ca="1" si="45"/>
        <v>0</v>
      </c>
      <c r="BY35" s="277">
        <f t="shared" ca="1" si="46"/>
        <v>0</v>
      </c>
      <c r="BZ35" s="277">
        <f t="shared" ca="1" si="47"/>
        <v>0</v>
      </c>
      <c r="CA35" s="277">
        <f t="shared" ca="1" si="48"/>
        <v>0</v>
      </c>
      <c r="CB35" s="277">
        <f t="shared" ca="1" si="49"/>
        <v>0</v>
      </c>
      <c r="CC35" s="277">
        <f t="shared" ca="1" si="50"/>
        <v>0</v>
      </c>
      <c r="CD35" s="277">
        <f t="shared" ca="1" si="83"/>
        <v>0</v>
      </c>
      <c r="CE35" s="277">
        <f t="shared" ca="1" si="84"/>
        <v>0</v>
      </c>
      <c r="CF35" s="277">
        <f t="shared" ca="1" si="85"/>
        <v>0</v>
      </c>
      <c r="CG35" s="277">
        <f t="shared" ca="1" si="86"/>
        <v>0</v>
      </c>
      <c r="CH35" s="277">
        <f t="shared" ca="1" si="51"/>
        <v>0</v>
      </c>
      <c r="CI35" s="277">
        <f t="shared" ca="1" si="52"/>
        <v>0</v>
      </c>
      <c r="CJ35" s="277">
        <f t="shared" ca="1" si="87"/>
        <v>0</v>
      </c>
      <c r="CK35" s="277">
        <f t="shared" ca="1" si="88"/>
        <v>0</v>
      </c>
      <c r="CL35" s="277">
        <f t="shared" ca="1" si="53"/>
        <v>0</v>
      </c>
      <c r="CM35" s="277">
        <f t="shared" ca="1" si="54"/>
        <v>0</v>
      </c>
      <c r="CN35" s="277">
        <f t="shared" ca="1" si="55"/>
        <v>0</v>
      </c>
      <c r="CO35" s="277">
        <f t="shared" ca="1" si="56"/>
        <v>0</v>
      </c>
      <c r="CP35" s="277">
        <f t="shared" ca="1" si="89"/>
        <v>0</v>
      </c>
      <c r="CQ35" s="277">
        <f t="shared" ca="1" si="90"/>
        <v>0</v>
      </c>
      <c r="CR35" s="277">
        <f t="shared" ca="1" si="91"/>
        <v>0</v>
      </c>
      <c r="CS35" s="277">
        <f t="shared" ca="1" si="92"/>
        <v>0</v>
      </c>
      <c r="CT35" s="277">
        <f t="shared" ca="1" si="57"/>
        <v>0</v>
      </c>
      <c r="CU35" s="277">
        <f t="shared" ca="1" si="58"/>
        <v>0</v>
      </c>
      <c r="CV35" s="277">
        <f t="shared" ca="1" si="59"/>
        <v>0</v>
      </c>
      <c r="CW35" s="277">
        <f t="shared" ca="1" si="60"/>
        <v>0</v>
      </c>
      <c r="CX35" s="277">
        <f t="shared" ca="1" si="93"/>
        <v>0</v>
      </c>
      <c r="CY35" s="277">
        <f t="shared" ca="1" si="94"/>
        <v>0</v>
      </c>
      <c r="CZ35" s="277">
        <f t="shared" ca="1" si="95"/>
        <v>0</v>
      </c>
      <c r="DA35" s="277">
        <f t="shared" ca="1" si="96"/>
        <v>0</v>
      </c>
    </row>
    <row r="36" spans="1:105" s="274" customFormat="1" ht="15" customHeight="1">
      <c r="A36" s="63">
        <f t="array" aca="1" ref="A36" ca="1">IF(C36&lt;&gt;0,SUM(($C$11:C36&lt;&gt;0)*1),"")</f>
        <v>26</v>
      </c>
      <c r="B36" s="275" t="str">
        <f ca="1">IF(ROWS($1:26)&gt;COUNT(Dong6),"",OFFSET(TH!C$1,SMALL(Dong6,ROWS($1:26)),))</f>
        <v/>
      </c>
      <c r="C36" s="275" t="str">
        <f ca="1">IF(ROWS($1:26)&gt;COUNT(Dong6),"",OFFSET(TH!D$1,SMALL(Dong6,ROWS($1:26)),))</f>
        <v/>
      </c>
      <c r="D36" s="275" t="str">
        <f ca="1">IF(ROWS($1:26)&gt;COUNT(Dong6),"",OFFSET(TH!E$1,SMALL(Dong6,ROWS($1:26)),))</f>
        <v/>
      </c>
      <c r="E36" s="325" t="str">
        <f ca="1">IF(ROWS($1:26)&gt;COUNT(Dong6),"",OFFSET(TH!F$1,SMALL(Dong6,ROWS($1:26)),))</f>
        <v/>
      </c>
      <c r="F36" s="326" t="str">
        <f ca="1">IF(ROWS($1:26)&gt;COUNT(Dong6),"",OFFSET(TH!M$1,SMALL(Dong6,ROWS($1:26)),))</f>
        <v/>
      </c>
      <c r="G36" s="327" t="str">
        <f ca="1">IF(ROWS($1:26)&gt;COUNT(Dong6),"",OFFSET(TH!N$1,SMALL(Dong6,ROWS($1:26)),))</f>
        <v/>
      </c>
      <c r="H36" s="327" t="str">
        <f ca="1">IF(ROWS($1:26)&gt;COUNT(Dong6),"",OFFSET(TH!O$1,SMALL(Dong6,ROWS($1:26)),))</f>
        <v/>
      </c>
      <c r="I36" s="63">
        <f ca="1">A36</f>
        <v>26</v>
      </c>
      <c r="J36" s="277">
        <f t="shared" ca="1" si="61"/>
        <v>0</v>
      </c>
      <c r="K36" s="277">
        <f t="shared" ca="1" si="62"/>
        <v>0</v>
      </c>
      <c r="L36" s="277">
        <f t="shared" ca="1" si="1"/>
        <v>0</v>
      </c>
      <c r="M36" s="277">
        <f t="shared" ca="1" si="2"/>
        <v>0</v>
      </c>
      <c r="N36" s="277">
        <f t="shared" ca="1" si="3"/>
        <v>0</v>
      </c>
      <c r="O36" s="277">
        <f t="shared" ca="1" si="4"/>
        <v>0</v>
      </c>
      <c r="P36" s="277">
        <f t="shared" ca="1" si="5"/>
        <v>0</v>
      </c>
      <c r="Q36" s="277">
        <f t="shared" ca="1" si="6"/>
        <v>0</v>
      </c>
      <c r="R36" s="277">
        <f t="shared" ca="1" si="7"/>
        <v>0</v>
      </c>
      <c r="S36" s="277">
        <f t="shared" ca="1" si="8"/>
        <v>0</v>
      </c>
      <c r="T36" s="277">
        <f t="shared" ca="1" si="9"/>
        <v>0</v>
      </c>
      <c r="U36" s="277">
        <f t="shared" ca="1" si="10"/>
        <v>0</v>
      </c>
      <c r="V36" s="277">
        <f t="shared" ca="1" si="11"/>
        <v>0</v>
      </c>
      <c r="W36" s="277">
        <f t="shared" ca="1" si="12"/>
        <v>0</v>
      </c>
      <c r="X36" s="277">
        <f t="shared" ca="1" si="13"/>
        <v>0</v>
      </c>
      <c r="Y36" s="277">
        <f t="shared" ca="1" si="14"/>
        <v>0</v>
      </c>
      <c r="Z36" s="277">
        <f t="shared" ca="1" si="15"/>
        <v>0</v>
      </c>
      <c r="AA36" s="277">
        <f t="shared" ca="1" si="16"/>
        <v>0</v>
      </c>
      <c r="AB36" s="277">
        <f t="shared" ca="1" si="63"/>
        <v>0</v>
      </c>
      <c r="AC36" s="277">
        <f t="shared" ca="1" si="64"/>
        <v>0</v>
      </c>
      <c r="AD36" s="277">
        <f t="shared" ca="1" si="17"/>
        <v>0</v>
      </c>
      <c r="AE36" s="277">
        <f t="shared" ca="1" si="18"/>
        <v>0</v>
      </c>
      <c r="AF36" s="277">
        <f t="shared" ca="1" si="19"/>
        <v>0</v>
      </c>
      <c r="AG36" s="277">
        <f t="shared" ca="1" si="20"/>
        <v>0</v>
      </c>
      <c r="AH36" s="277">
        <f t="shared" ca="1" si="65"/>
        <v>0</v>
      </c>
      <c r="AI36" s="277">
        <f t="shared" ca="1" si="66"/>
        <v>0</v>
      </c>
      <c r="AJ36" s="277">
        <f t="shared" ca="1" si="67"/>
        <v>0</v>
      </c>
      <c r="AK36" s="277">
        <f t="shared" ca="1" si="68"/>
        <v>0</v>
      </c>
      <c r="AL36" s="277">
        <f t="shared" ca="1" si="69"/>
        <v>0</v>
      </c>
      <c r="AM36" s="277">
        <f t="shared" ca="1" si="70"/>
        <v>0</v>
      </c>
      <c r="AN36" s="277">
        <f t="shared" ca="1" si="71"/>
        <v>0</v>
      </c>
      <c r="AO36" s="277">
        <f t="shared" ca="1" si="72"/>
        <v>0</v>
      </c>
      <c r="AP36" s="277">
        <f t="shared" ca="1" si="21"/>
        <v>0</v>
      </c>
      <c r="AQ36" s="277">
        <f t="shared" ca="1" si="22"/>
        <v>0</v>
      </c>
      <c r="AR36" s="277">
        <f t="shared" ca="1" si="23"/>
        <v>0</v>
      </c>
      <c r="AS36" s="277">
        <f t="shared" ca="1" si="24"/>
        <v>0</v>
      </c>
      <c r="AT36" s="277">
        <f t="shared" ca="1" si="73"/>
        <v>0</v>
      </c>
      <c r="AU36" s="277">
        <f t="shared" ca="1" si="74"/>
        <v>0</v>
      </c>
      <c r="AV36" s="277">
        <f t="shared" ca="1" si="25"/>
        <v>0</v>
      </c>
      <c r="AW36" s="277">
        <f t="shared" ca="1" si="26"/>
        <v>0</v>
      </c>
      <c r="AX36" s="277">
        <f t="shared" ca="1" si="27"/>
        <v>0</v>
      </c>
      <c r="AY36" s="277">
        <f t="shared" ca="1" si="28"/>
        <v>0</v>
      </c>
      <c r="AZ36" s="277">
        <f t="shared" ca="1" si="29"/>
        <v>0</v>
      </c>
      <c r="BA36" s="277">
        <f t="shared" ca="1" si="30"/>
        <v>0</v>
      </c>
      <c r="BB36" s="277">
        <f t="shared" ca="1" si="31"/>
        <v>0</v>
      </c>
      <c r="BC36" s="277">
        <f t="shared" ca="1" si="32"/>
        <v>0</v>
      </c>
      <c r="BD36" s="277">
        <f t="shared" ca="1" si="33"/>
        <v>0</v>
      </c>
      <c r="BE36" s="277">
        <f t="shared" ca="1" si="34"/>
        <v>0</v>
      </c>
      <c r="BF36" s="277">
        <f t="shared" ca="1" si="35"/>
        <v>0</v>
      </c>
      <c r="BG36" s="277">
        <f t="shared" ca="1" si="36"/>
        <v>0</v>
      </c>
      <c r="BH36" s="277">
        <f t="shared" ca="1" si="75"/>
        <v>0</v>
      </c>
      <c r="BI36" s="277">
        <f t="shared" ca="1" si="76"/>
        <v>0</v>
      </c>
      <c r="BJ36" s="277">
        <f t="shared" ca="1" si="37"/>
        <v>0</v>
      </c>
      <c r="BK36" s="277">
        <f t="shared" ca="1" si="38"/>
        <v>0</v>
      </c>
      <c r="BL36" s="277">
        <f t="shared" ca="1" si="39"/>
        <v>0</v>
      </c>
      <c r="BM36" s="277">
        <f t="shared" ca="1" si="40"/>
        <v>0</v>
      </c>
      <c r="BN36" s="277">
        <f t="shared" ca="1" si="41"/>
        <v>0</v>
      </c>
      <c r="BO36" s="277">
        <f t="shared" ca="1" si="42"/>
        <v>0</v>
      </c>
      <c r="BP36" s="277">
        <f t="shared" ca="1" si="77"/>
        <v>0</v>
      </c>
      <c r="BQ36" s="277">
        <f t="shared" ca="1" si="78"/>
        <v>0</v>
      </c>
      <c r="BR36" s="277">
        <f t="shared" ca="1" si="43"/>
        <v>0</v>
      </c>
      <c r="BS36" s="277">
        <f t="shared" ca="1" si="44"/>
        <v>0</v>
      </c>
      <c r="BT36" s="277">
        <f t="shared" ca="1" si="79"/>
        <v>0</v>
      </c>
      <c r="BU36" s="277">
        <f t="shared" ca="1" si="80"/>
        <v>0</v>
      </c>
      <c r="BV36" s="277">
        <f t="shared" ca="1" si="81"/>
        <v>0</v>
      </c>
      <c r="BW36" s="277">
        <f t="shared" ca="1" si="82"/>
        <v>0</v>
      </c>
      <c r="BX36" s="277">
        <f t="shared" ca="1" si="45"/>
        <v>0</v>
      </c>
      <c r="BY36" s="277">
        <f t="shared" ca="1" si="46"/>
        <v>0</v>
      </c>
      <c r="BZ36" s="277">
        <f t="shared" ca="1" si="47"/>
        <v>0</v>
      </c>
      <c r="CA36" s="277">
        <f t="shared" ca="1" si="48"/>
        <v>0</v>
      </c>
      <c r="CB36" s="277">
        <f t="shared" ca="1" si="49"/>
        <v>0</v>
      </c>
      <c r="CC36" s="277">
        <f t="shared" ca="1" si="50"/>
        <v>0</v>
      </c>
      <c r="CD36" s="277">
        <f t="shared" ca="1" si="83"/>
        <v>0</v>
      </c>
      <c r="CE36" s="277">
        <f t="shared" ca="1" si="84"/>
        <v>0</v>
      </c>
      <c r="CF36" s="277">
        <f t="shared" ca="1" si="85"/>
        <v>0</v>
      </c>
      <c r="CG36" s="277">
        <f t="shared" ca="1" si="86"/>
        <v>0</v>
      </c>
      <c r="CH36" s="277">
        <f t="shared" ca="1" si="51"/>
        <v>0</v>
      </c>
      <c r="CI36" s="277">
        <f t="shared" ca="1" si="52"/>
        <v>0</v>
      </c>
      <c r="CJ36" s="277">
        <f t="shared" ca="1" si="87"/>
        <v>0</v>
      </c>
      <c r="CK36" s="277">
        <f t="shared" ca="1" si="88"/>
        <v>0</v>
      </c>
      <c r="CL36" s="277">
        <f t="shared" ca="1" si="53"/>
        <v>0</v>
      </c>
      <c r="CM36" s="277">
        <f t="shared" ca="1" si="54"/>
        <v>0</v>
      </c>
      <c r="CN36" s="277">
        <f t="shared" ca="1" si="55"/>
        <v>0</v>
      </c>
      <c r="CO36" s="277">
        <f t="shared" ca="1" si="56"/>
        <v>0</v>
      </c>
      <c r="CP36" s="277">
        <f t="shared" ca="1" si="89"/>
        <v>0</v>
      </c>
      <c r="CQ36" s="277">
        <f t="shared" ca="1" si="90"/>
        <v>0</v>
      </c>
      <c r="CR36" s="277">
        <f t="shared" ca="1" si="91"/>
        <v>0</v>
      </c>
      <c r="CS36" s="277">
        <f t="shared" ca="1" si="92"/>
        <v>0</v>
      </c>
      <c r="CT36" s="277">
        <f t="shared" ca="1" si="57"/>
        <v>0</v>
      </c>
      <c r="CU36" s="277">
        <f t="shared" ca="1" si="58"/>
        <v>0</v>
      </c>
      <c r="CV36" s="277">
        <f t="shared" ca="1" si="59"/>
        <v>0</v>
      </c>
      <c r="CW36" s="277">
        <f t="shared" ca="1" si="60"/>
        <v>0</v>
      </c>
      <c r="CX36" s="277">
        <f t="shared" ca="1" si="93"/>
        <v>0</v>
      </c>
      <c r="CY36" s="277">
        <f t="shared" ca="1" si="94"/>
        <v>0</v>
      </c>
      <c r="CZ36" s="277">
        <f t="shared" ca="1" si="95"/>
        <v>0</v>
      </c>
      <c r="DA36" s="277">
        <f t="shared" ca="1" si="96"/>
        <v>0</v>
      </c>
    </row>
    <row r="37" spans="1:105" s="274" customFormat="1" ht="15" customHeight="1">
      <c r="A37" s="63">
        <f t="array" aca="1" ref="A37" ca="1">IF(C37&lt;&gt;0,SUM(($C$11:C37&lt;&gt;0)*1),"")</f>
        <v>27</v>
      </c>
      <c r="B37" s="275" t="str">
        <f ca="1">IF(ROWS($1:27)&gt;COUNT(Dong6),"",OFFSET(TH!C$1,SMALL(Dong6,ROWS($1:27)),))</f>
        <v/>
      </c>
      <c r="C37" s="275" t="str">
        <f ca="1">IF(ROWS($1:27)&gt;COUNT(Dong6),"",OFFSET(TH!D$1,SMALL(Dong6,ROWS($1:27)),))</f>
        <v/>
      </c>
      <c r="D37" s="275" t="str">
        <f ca="1">IF(ROWS($1:27)&gt;COUNT(Dong6),"",OFFSET(TH!E$1,SMALL(Dong6,ROWS($1:27)),))</f>
        <v/>
      </c>
      <c r="E37" s="325" t="str">
        <f ca="1">IF(ROWS($1:27)&gt;COUNT(Dong6),"",OFFSET(TH!F$1,SMALL(Dong6,ROWS($1:27)),))</f>
        <v/>
      </c>
      <c r="F37" s="326" t="str">
        <f ca="1">IF(ROWS($1:27)&gt;COUNT(Dong6),"",OFFSET(TH!M$1,SMALL(Dong6,ROWS($1:27)),))</f>
        <v/>
      </c>
      <c r="G37" s="327" t="str">
        <f ca="1">IF(ROWS($1:27)&gt;COUNT(Dong6),"",OFFSET(TH!N$1,SMALL(Dong6,ROWS($1:27)),))</f>
        <v/>
      </c>
      <c r="H37" s="327" t="str">
        <f ca="1">IF(ROWS($1:27)&gt;COUNT(Dong6),"",OFFSET(TH!O$1,SMALL(Dong6,ROWS($1:27)),))</f>
        <v/>
      </c>
      <c r="I37" s="63">
        <f ca="1">A37</f>
        <v>27</v>
      </c>
      <c r="J37" s="277">
        <f t="shared" ca="1" si="61"/>
        <v>0</v>
      </c>
      <c r="K37" s="277">
        <f t="shared" ca="1" si="62"/>
        <v>0</v>
      </c>
      <c r="L37" s="277">
        <f t="shared" ca="1" si="1"/>
        <v>0</v>
      </c>
      <c r="M37" s="277">
        <f t="shared" ca="1" si="2"/>
        <v>0</v>
      </c>
      <c r="N37" s="277">
        <f t="shared" ca="1" si="3"/>
        <v>0</v>
      </c>
      <c r="O37" s="277">
        <f t="shared" ca="1" si="4"/>
        <v>0</v>
      </c>
      <c r="P37" s="277">
        <f t="shared" ca="1" si="5"/>
        <v>0</v>
      </c>
      <c r="Q37" s="277">
        <f t="shared" ca="1" si="6"/>
        <v>0</v>
      </c>
      <c r="R37" s="277">
        <f t="shared" ca="1" si="7"/>
        <v>0</v>
      </c>
      <c r="S37" s="277">
        <f t="shared" ca="1" si="8"/>
        <v>0</v>
      </c>
      <c r="T37" s="277">
        <f t="shared" ca="1" si="9"/>
        <v>0</v>
      </c>
      <c r="U37" s="277">
        <f t="shared" ca="1" si="10"/>
        <v>0</v>
      </c>
      <c r="V37" s="277">
        <f t="shared" ca="1" si="11"/>
        <v>0</v>
      </c>
      <c r="W37" s="277">
        <f t="shared" ca="1" si="12"/>
        <v>0</v>
      </c>
      <c r="X37" s="277">
        <f t="shared" ca="1" si="13"/>
        <v>0</v>
      </c>
      <c r="Y37" s="277">
        <f t="shared" ca="1" si="14"/>
        <v>0</v>
      </c>
      <c r="Z37" s="277">
        <f t="shared" ca="1" si="15"/>
        <v>0</v>
      </c>
      <c r="AA37" s="277">
        <f t="shared" ca="1" si="16"/>
        <v>0</v>
      </c>
      <c r="AB37" s="277">
        <f t="shared" ca="1" si="63"/>
        <v>0</v>
      </c>
      <c r="AC37" s="277">
        <f t="shared" ca="1" si="64"/>
        <v>0</v>
      </c>
      <c r="AD37" s="277">
        <f t="shared" ca="1" si="17"/>
        <v>0</v>
      </c>
      <c r="AE37" s="277">
        <f t="shared" ca="1" si="18"/>
        <v>0</v>
      </c>
      <c r="AF37" s="277">
        <f t="shared" ca="1" si="19"/>
        <v>0</v>
      </c>
      <c r="AG37" s="277">
        <f t="shared" ca="1" si="20"/>
        <v>0</v>
      </c>
      <c r="AH37" s="277">
        <f t="shared" ca="1" si="65"/>
        <v>0</v>
      </c>
      <c r="AI37" s="277">
        <f t="shared" ca="1" si="66"/>
        <v>0</v>
      </c>
      <c r="AJ37" s="277">
        <f t="shared" ca="1" si="67"/>
        <v>0</v>
      </c>
      <c r="AK37" s="277">
        <f t="shared" ca="1" si="68"/>
        <v>0</v>
      </c>
      <c r="AL37" s="277">
        <f t="shared" ca="1" si="69"/>
        <v>0</v>
      </c>
      <c r="AM37" s="277">
        <f t="shared" ca="1" si="70"/>
        <v>0</v>
      </c>
      <c r="AN37" s="277">
        <f t="shared" ca="1" si="71"/>
        <v>0</v>
      </c>
      <c r="AO37" s="277">
        <f t="shared" ca="1" si="72"/>
        <v>0</v>
      </c>
      <c r="AP37" s="277">
        <f t="shared" ca="1" si="21"/>
        <v>0</v>
      </c>
      <c r="AQ37" s="277">
        <f t="shared" ca="1" si="22"/>
        <v>0</v>
      </c>
      <c r="AR37" s="277">
        <f t="shared" ca="1" si="23"/>
        <v>0</v>
      </c>
      <c r="AS37" s="277">
        <f t="shared" ca="1" si="24"/>
        <v>0</v>
      </c>
      <c r="AT37" s="277">
        <f t="shared" ca="1" si="73"/>
        <v>0</v>
      </c>
      <c r="AU37" s="277">
        <f t="shared" ca="1" si="74"/>
        <v>0</v>
      </c>
      <c r="AV37" s="277">
        <f t="shared" ca="1" si="25"/>
        <v>0</v>
      </c>
      <c r="AW37" s="277">
        <f t="shared" ca="1" si="26"/>
        <v>0</v>
      </c>
      <c r="AX37" s="277">
        <f t="shared" ca="1" si="27"/>
        <v>0</v>
      </c>
      <c r="AY37" s="277">
        <f t="shared" ca="1" si="28"/>
        <v>0</v>
      </c>
      <c r="AZ37" s="277">
        <f t="shared" ca="1" si="29"/>
        <v>0</v>
      </c>
      <c r="BA37" s="277">
        <f t="shared" ca="1" si="30"/>
        <v>0</v>
      </c>
      <c r="BB37" s="277">
        <f t="shared" ca="1" si="31"/>
        <v>0</v>
      </c>
      <c r="BC37" s="277">
        <f t="shared" ca="1" si="32"/>
        <v>0</v>
      </c>
      <c r="BD37" s="277">
        <f t="shared" ca="1" si="33"/>
        <v>0</v>
      </c>
      <c r="BE37" s="277">
        <f t="shared" ca="1" si="34"/>
        <v>0</v>
      </c>
      <c r="BF37" s="277">
        <f t="shared" ca="1" si="35"/>
        <v>0</v>
      </c>
      <c r="BG37" s="277">
        <f t="shared" ca="1" si="36"/>
        <v>0</v>
      </c>
      <c r="BH37" s="277">
        <f t="shared" ca="1" si="75"/>
        <v>0</v>
      </c>
      <c r="BI37" s="277">
        <f t="shared" ca="1" si="76"/>
        <v>0</v>
      </c>
      <c r="BJ37" s="277">
        <f t="shared" ca="1" si="37"/>
        <v>0</v>
      </c>
      <c r="BK37" s="277">
        <f t="shared" ca="1" si="38"/>
        <v>0</v>
      </c>
      <c r="BL37" s="277">
        <f t="shared" ca="1" si="39"/>
        <v>0</v>
      </c>
      <c r="BM37" s="277">
        <f t="shared" ca="1" si="40"/>
        <v>0</v>
      </c>
      <c r="BN37" s="277">
        <f t="shared" ca="1" si="41"/>
        <v>0</v>
      </c>
      <c r="BO37" s="277">
        <f t="shared" ca="1" si="42"/>
        <v>0</v>
      </c>
      <c r="BP37" s="277">
        <f t="shared" ca="1" si="77"/>
        <v>0</v>
      </c>
      <c r="BQ37" s="277">
        <f t="shared" ca="1" si="78"/>
        <v>0</v>
      </c>
      <c r="BR37" s="277">
        <f t="shared" ca="1" si="43"/>
        <v>0</v>
      </c>
      <c r="BS37" s="277">
        <f t="shared" ca="1" si="44"/>
        <v>0</v>
      </c>
      <c r="BT37" s="277">
        <f t="shared" ca="1" si="79"/>
        <v>0</v>
      </c>
      <c r="BU37" s="277">
        <f t="shared" ca="1" si="80"/>
        <v>0</v>
      </c>
      <c r="BV37" s="277">
        <f t="shared" ca="1" si="81"/>
        <v>0</v>
      </c>
      <c r="BW37" s="277">
        <f t="shared" ca="1" si="82"/>
        <v>0</v>
      </c>
      <c r="BX37" s="277">
        <f t="shared" ca="1" si="45"/>
        <v>0</v>
      </c>
      <c r="BY37" s="277">
        <f t="shared" ca="1" si="46"/>
        <v>0</v>
      </c>
      <c r="BZ37" s="277">
        <f t="shared" ca="1" si="47"/>
        <v>0</v>
      </c>
      <c r="CA37" s="277">
        <f t="shared" ca="1" si="48"/>
        <v>0</v>
      </c>
      <c r="CB37" s="277">
        <f t="shared" ca="1" si="49"/>
        <v>0</v>
      </c>
      <c r="CC37" s="277">
        <f t="shared" ca="1" si="50"/>
        <v>0</v>
      </c>
      <c r="CD37" s="277">
        <f t="shared" ca="1" si="83"/>
        <v>0</v>
      </c>
      <c r="CE37" s="277">
        <f t="shared" ca="1" si="84"/>
        <v>0</v>
      </c>
      <c r="CF37" s="277">
        <f t="shared" ca="1" si="85"/>
        <v>0</v>
      </c>
      <c r="CG37" s="277">
        <f t="shared" ca="1" si="86"/>
        <v>0</v>
      </c>
      <c r="CH37" s="277">
        <f t="shared" ca="1" si="51"/>
        <v>0</v>
      </c>
      <c r="CI37" s="277">
        <f t="shared" ca="1" si="52"/>
        <v>0</v>
      </c>
      <c r="CJ37" s="277">
        <f t="shared" ca="1" si="87"/>
        <v>0</v>
      </c>
      <c r="CK37" s="277">
        <f t="shared" ca="1" si="88"/>
        <v>0</v>
      </c>
      <c r="CL37" s="277">
        <f t="shared" ca="1" si="53"/>
        <v>0</v>
      </c>
      <c r="CM37" s="277">
        <f t="shared" ca="1" si="54"/>
        <v>0</v>
      </c>
      <c r="CN37" s="277">
        <f t="shared" ca="1" si="55"/>
        <v>0</v>
      </c>
      <c r="CO37" s="277">
        <f t="shared" ca="1" si="56"/>
        <v>0</v>
      </c>
      <c r="CP37" s="277">
        <f t="shared" ca="1" si="89"/>
        <v>0</v>
      </c>
      <c r="CQ37" s="277">
        <f t="shared" ca="1" si="90"/>
        <v>0</v>
      </c>
      <c r="CR37" s="277">
        <f t="shared" ca="1" si="91"/>
        <v>0</v>
      </c>
      <c r="CS37" s="277">
        <f t="shared" ca="1" si="92"/>
        <v>0</v>
      </c>
      <c r="CT37" s="277">
        <f t="shared" ca="1" si="57"/>
        <v>0</v>
      </c>
      <c r="CU37" s="277">
        <f t="shared" ca="1" si="58"/>
        <v>0</v>
      </c>
      <c r="CV37" s="277">
        <f t="shared" ca="1" si="59"/>
        <v>0</v>
      </c>
      <c r="CW37" s="277">
        <f t="shared" ca="1" si="60"/>
        <v>0</v>
      </c>
      <c r="CX37" s="277">
        <f t="shared" ca="1" si="93"/>
        <v>0</v>
      </c>
      <c r="CY37" s="277">
        <f t="shared" ca="1" si="94"/>
        <v>0</v>
      </c>
      <c r="CZ37" s="277">
        <f t="shared" ca="1" si="95"/>
        <v>0</v>
      </c>
      <c r="DA37" s="277">
        <f t="shared" ca="1" si="96"/>
        <v>0</v>
      </c>
    </row>
    <row r="38" spans="1:105" s="274" customFormat="1" ht="15" customHeight="1">
      <c r="A38" s="63">
        <f t="array" aca="1" ref="A38" ca="1">IF(C38&lt;&gt;0,SUM(($C$11:C38&lt;&gt;0)*1),"")</f>
        <v>28</v>
      </c>
      <c r="B38" s="275" t="str">
        <f ca="1">IF(ROWS($1:28)&gt;COUNT(Dong6),"",OFFSET(TH!C$1,SMALL(Dong6,ROWS($1:28)),))</f>
        <v/>
      </c>
      <c r="C38" s="275" t="str">
        <f ca="1">IF(ROWS($1:28)&gt;COUNT(Dong6),"",OFFSET(TH!D$1,SMALL(Dong6,ROWS($1:28)),))</f>
        <v/>
      </c>
      <c r="D38" s="275" t="str">
        <f ca="1">IF(ROWS($1:28)&gt;COUNT(Dong6),"",OFFSET(TH!E$1,SMALL(Dong6,ROWS($1:28)),))</f>
        <v/>
      </c>
      <c r="E38" s="325" t="str">
        <f ca="1">IF(ROWS($1:28)&gt;COUNT(Dong6),"",OFFSET(TH!F$1,SMALL(Dong6,ROWS($1:28)),))</f>
        <v/>
      </c>
      <c r="F38" s="326" t="str">
        <f ca="1">IF(ROWS($1:28)&gt;COUNT(Dong6),"",OFFSET(TH!M$1,SMALL(Dong6,ROWS($1:28)),))</f>
        <v/>
      </c>
      <c r="G38" s="327" t="str">
        <f ca="1">IF(ROWS($1:28)&gt;COUNT(Dong6),"",OFFSET(TH!N$1,SMALL(Dong6,ROWS($1:28)),))</f>
        <v/>
      </c>
      <c r="H38" s="327" t="str">
        <f ca="1">IF(ROWS($1:28)&gt;COUNT(Dong6),"",OFFSET(TH!O$1,SMALL(Dong6,ROWS($1:28)),))</f>
        <v/>
      </c>
      <c r="I38" s="63">
        <f ca="1">A38</f>
        <v>28</v>
      </c>
      <c r="J38" s="277">
        <f t="shared" ca="1" si="61"/>
        <v>0</v>
      </c>
      <c r="K38" s="277">
        <f t="shared" ca="1" si="62"/>
        <v>0</v>
      </c>
      <c r="L38" s="277">
        <f t="shared" ca="1" si="1"/>
        <v>0</v>
      </c>
      <c r="M38" s="277">
        <f t="shared" ca="1" si="2"/>
        <v>0</v>
      </c>
      <c r="N38" s="277">
        <f t="shared" ca="1" si="3"/>
        <v>0</v>
      </c>
      <c r="O38" s="277">
        <f t="shared" ca="1" si="4"/>
        <v>0</v>
      </c>
      <c r="P38" s="277">
        <f t="shared" ca="1" si="5"/>
        <v>0</v>
      </c>
      <c r="Q38" s="277">
        <f t="shared" ca="1" si="6"/>
        <v>0</v>
      </c>
      <c r="R38" s="277">
        <f t="shared" ca="1" si="7"/>
        <v>0</v>
      </c>
      <c r="S38" s="277">
        <f t="shared" ca="1" si="8"/>
        <v>0</v>
      </c>
      <c r="T38" s="277">
        <f t="shared" ca="1" si="9"/>
        <v>0</v>
      </c>
      <c r="U38" s="277">
        <f t="shared" ca="1" si="10"/>
        <v>0</v>
      </c>
      <c r="V38" s="277">
        <f t="shared" ca="1" si="11"/>
        <v>0</v>
      </c>
      <c r="W38" s="277">
        <f t="shared" ca="1" si="12"/>
        <v>0</v>
      </c>
      <c r="X38" s="277">
        <f t="shared" ca="1" si="13"/>
        <v>0</v>
      </c>
      <c r="Y38" s="277">
        <f t="shared" ca="1" si="14"/>
        <v>0</v>
      </c>
      <c r="Z38" s="277">
        <f t="shared" ca="1" si="15"/>
        <v>0</v>
      </c>
      <c r="AA38" s="277">
        <f t="shared" ca="1" si="16"/>
        <v>0</v>
      </c>
      <c r="AB38" s="277">
        <f t="shared" ca="1" si="63"/>
        <v>0</v>
      </c>
      <c r="AC38" s="277">
        <f t="shared" ca="1" si="64"/>
        <v>0</v>
      </c>
      <c r="AD38" s="277">
        <f t="shared" ca="1" si="17"/>
        <v>0</v>
      </c>
      <c r="AE38" s="277">
        <f t="shared" ca="1" si="18"/>
        <v>0</v>
      </c>
      <c r="AF38" s="277">
        <f t="shared" ca="1" si="19"/>
        <v>0</v>
      </c>
      <c r="AG38" s="277">
        <f t="shared" ca="1" si="20"/>
        <v>0</v>
      </c>
      <c r="AH38" s="277">
        <f t="shared" ca="1" si="65"/>
        <v>0</v>
      </c>
      <c r="AI38" s="277">
        <f t="shared" ca="1" si="66"/>
        <v>0</v>
      </c>
      <c r="AJ38" s="277">
        <f t="shared" ca="1" si="67"/>
        <v>0</v>
      </c>
      <c r="AK38" s="277">
        <f t="shared" ca="1" si="68"/>
        <v>0</v>
      </c>
      <c r="AL38" s="277">
        <f t="shared" ca="1" si="69"/>
        <v>0</v>
      </c>
      <c r="AM38" s="277">
        <f t="shared" ca="1" si="70"/>
        <v>0</v>
      </c>
      <c r="AN38" s="277">
        <f t="shared" ca="1" si="71"/>
        <v>0</v>
      </c>
      <c r="AO38" s="277">
        <f t="shared" ca="1" si="72"/>
        <v>0</v>
      </c>
      <c r="AP38" s="277">
        <f t="shared" ca="1" si="21"/>
        <v>0</v>
      </c>
      <c r="AQ38" s="277">
        <f t="shared" ca="1" si="22"/>
        <v>0</v>
      </c>
      <c r="AR38" s="277">
        <f t="shared" ca="1" si="23"/>
        <v>0</v>
      </c>
      <c r="AS38" s="277">
        <f t="shared" ca="1" si="24"/>
        <v>0</v>
      </c>
      <c r="AT38" s="277">
        <f t="shared" ca="1" si="73"/>
        <v>0</v>
      </c>
      <c r="AU38" s="277">
        <f t="shared" ca="1" si="74"/>
        <v>0</v>
      </c>
      <c r="AV38" s="277">
        <f t="shared" ca="1" si="25"/>
        <v>0</v>
      </c>
      <c r="AW38" s="277">
        <f t="shared" ca="1" si="26"/>
        <v>0</v>
      </c>
      <c r="AX38" s="277">
        <f t="shared" ca="1" si="27"/>
        <v>0</v>
      </c>
      <c r="AY38" s="277">
        <f t="shared" ca="1" si="28"/>
        <v>0</v>
      </c>
      <c r="AZ38" s="277">
        <f t="shared" ca="1" si="29"/>
        <v>0</v>
      </c>
      <c r="BA38" s="277">
        <f t="shared" ca="1" si="30"/>
        <v>0</v>
      </c>
      <c r="BB38" s="277">
        <f t="shared" ca="1" si="31"/>
        <v>0</v>
      </c>
      <c r="BC38" s="277">
        <f t="shared" ca="1" si="32"/>
        <v>0</v>
      </c>
      <c r="BD38" s="277">
        <f t="shared" ca="1" si="33"/>
        <v>0</v>
      </c>
      <c r="BE38" s="277">
        <f t="shared" ca="1" si="34"/>
        <v>0</v>
      </c>
      <c r="BF38" s="277">
        <f t="shared" ca="1" si="35"/>
        <v>0</v>
      </c>
      <c r="BG38" s="277">
        <f t="shared" ca="1" si="36"/>
        <v>0</v>
      </c>
      <c r="BH38" s="277">
        <f t="shared" ca="1" si="75"/>
        <v>0</v>
      </c>
      <c r="BI38" s="277">
        <f t="shared" ca="1" si="76"/>
        <v>0</v>
      </c>
      <c r="BJ38" s="277">
        <f t="shared" ca="1" si="37"/>
        <v>0</v>
      </c>
      <c r="BK38" s="277">
        <f t="shared" ca="1" si="38"/>
        <v>0</v>
      </c>
      <c r="BL38" s="277">
        <f t="shared" ca="1" si="39"/>
        <v>0</v>
      </c>
      <c r="BM38" s="277">
        <f t="shared" ca="1" si="40"/>
        <v>0</v>
      </c>
      <c r="BN38" s="277">
        <f t="shared" ca="1" si="41"/>
        <v>0</v>
      </c>
      <c r="BO38" s="277">
        <f t="shared" ca="1" si="42"/>
        <v>0</v>
      </c>
      <c r="BP38" s="277">
        <f t="shared" ca="1" si="77"/>
        <v>0</v>
      </c>
      <c r="BQ38" s="277">
        <f t="shared" ca="1" si="78"/>
        <v>0</v>
      </c>
      <c r="BR38" s="277">
        <f t="shared" ca="1" si="43"/>
        <v>0</v>
      </c>
      <c r="BS38" s="277">
        <f t="shared" ca="1" si="44"/>
        <v>0</v>
      </c>
      <c r="BT38" s="277">
        <f t="shared" ca="1" si="79"/>
        <v>0</v>
      </c>
      <c r="BU38" s="277">
        <f t="shared" ca="1" si="80"/>
        <v>0</v>
      </c>
      <c r="BV38" s="277">
        <f t="shared" ca="1" si="81"/>
        <v>0</v>
      </c>
      <c r="BW38" s="277">
        <f t="shared" ca="1" si="82"/>
        <v>0</v>
      </c>
      <c r="BX38" s="277">
        <f t="shared" ca="1" si="45"/>
        <v>0</v>
      </c>
      <c r="BY38" s="277">
        <f t="shared" ca="1" si="46"/>
        <v>0</v>
      </c>
      <c r="BZ38" s="277">
        <f t="shared" ca="1" si="47"/>
        <v>0</v>
      </c>
      <c r="CA38" s="277">
        <f t="shared" ca="1" si="48"/>
        <v>0</v>
      </c>
      <c r="CB38" s="277">
        <f t="shared" ca="1" si="49"/>
        <v>0</v>
      </c>
      <c r="CC38" s="277">
        <f t="shared" ca="1" si="50"/>
        <v>0</v>
      </c>
      <c r="CD38" s="277">
        <f t="shared" ca="1" si="83"/>
        <v>0</v>
      </c>
      <c r="CE38" s="277">
        <f t="shared" ca="1" si="84"/>
        <v>0</v>
      </c>
      <c r="CF38" s="277">
        <f t="shared" ca="1" si="85"/>
        <v>0</v>
      </c>
      <c r="CG38" s="277">
        <f t="shared" ca="1" si="86"/>
        <v>0</v>
      </c>
      <c r="CH38" s="277">
        <f t="shared" ca="1" si="51"/>
        <v>0</v>
      </c>
      <c r="CI38" s="277">
        <f t="shared" ca="1" si="52"/>
        <v>0</v>
      </c>
      <c r="CJ38" s="277">
        <f t="shared" ca="1" si="87"/>
        <v>0</v>
      </c>
      <c r="CK38" s="277">
        <f t="shared" ca="1" si="88"/>
        <v>0</v>
      </c>
      <c r="CL38" s="277">
        <f t="shared" ca="1" si="53"/>
        <v>0</v>
      </c>
      <c r="CM38" s="277">
        <f t="shared" ca="1" si="54"/>
        <v>0</v>
      </c>
      <c r="CN38" s="277">
        <f t="shared" ca="1" si="55"/>
        <v>0</v>
      </c>
      <c r="CO38" s="277">
        <f t="shared" ca="1" si="56"/>
        <v>0</v>
      </c>
      <c r="CP38" s="277">
        <f t="shared" ca="1" si="89"/>
        <v>0</v>
      </c>
      <c r="CQ38" s="277">
        <f t="shared" ca="1" si="90"/>
        <v>0</v>
      </c>
      <c r="CR38" s="277">
        <f t="shared" ca="1" si="91"/>
        <v>0</v>
      </c>
      <c r="CS38" s="277">
        <f t="shared" ca="1" si="92"/>
        <v>0</v>
      </c>
      <c r="CT38" s="277">
        <f t="shared" ca="1" si="57"/>
        <v>0</v>
      </c>
      <c r="CU38" s="277">
        <f t="shared" ca="1" si="58"/>
        <v>0</v>
      </c>
      <c r="CV38" s="277">
        <f t="shared" ca="1" si="59"/>
        <v>0</v>
      </c>
      <c r="CW38" s="277">
        <f t="shared" ca="1" si="60"/>
        <v>0</v>
      </c>
      <c r="CX38" s="277">
        <f t="shared" ca="1" si="93"/>
        <v>0</v>
      </c>
      <c r="CY38" s="277">
        <f t="shared" ca="1" si="94"/>
        <v>0</v>
      </c>
      <c r="CZ38" s="277">
        <f t="shared" ca="1" si="95"/>
        <v>0</v>
      </c>
      <c r="DA38" s="277">
        <f t="shared" ca="1" si="96"/>
        <v>0</v>
      </c>
    </row>
    <row r="39" spans="1:105" s="274" customFormat="1" ht="15" customHeight="1">
      <c r="A39" s="63">
        <f t="array" aca="1" ref="A39" ca="1">IF(C39&lt;&gt;0,SUM(($C$11:C39&lt;&gt;0)*1),"")</f>
        <v>29</v>
      </c>
      <c r="B39" s="275">
        <v>42460</v>
      </c>
      <c r="C39" s="278" t="s">
        <v>115</v>
      </c>
      <c r="D39" s="278">
        <f t="shared" ref="D39:D44" si="97">B39</f>
        <v>42460</v>
      </c>
      <c r="E39" s="968" t="s">
        <v>213</v>
      </c>
      <c r="F39" s="969">
        <f>[2]CDPS!D59</f>
        <v>107861885.00000048</v>
      </c>
      <c r="G39" s="970" t="s">
        <v>94</v>
      </c>
      <c r="H39" s="970" t="s">
        <v>92</v>
      </c>
      <c r="I39" s="63">
        <f t="shared" ref="I39:I50" ca="1" si="98">A39</f>
        <v>29</v>
      </c>
      <c r="J39" s="277">
        <f t="shared" si="61"/>
        <v>0</v>
      </c>
      <c r="K39" s="277">
        <f t="shared" si="62"/>
        <v>0</v>
      </c>
      <c r="L39" s="277">
        <f t="shared" si="1"/>
        <v>0</v>
      </c>
      <c r="M39" s="277">
        <f t="shared" si="2"/>
        <v>0</v>
      </c>
      <c r="N39" s="277">
        <f t="shared" si="3"/>
        <v>0</v>
      </c>
      <c r="O39" s="277">
        <f t="shared" si="4"/>
        <v>0</v>
      </c>
      <c r="P39" s="277">
        <f t="shared" si="5"/>
        <v>0</v>
      </c>
      <c r="Q39" s="277">
        <f t="shared" si="6"/>
        <v>0</v>
      </c>
      <c r="R39" s="277">
        <f t="shared" si="7"/>
        <v>0</v>
      </c>
      <c r="S39" s="277">
        <f t="shared" si="8"/>
        <v>0</v>
      </c>
      <c r="T39" s="277">
        <f t="shared" si="9"/>
        <v>0</v>
      </c>
      <c r="U39" s="277">
        <f t="shared" si="10"/>
        <v>0</v>
      </c>
      <c r="V39" s="277">
        <f t="shared" si="11"/>
        <v>0</v>
      </c>
      <c r="W39" s="277">
        <f t="shared" si="12"/>
        <v>0</v>
      </c>
      <c r="X39" s="277">
        <f t="shared" si="13"/>
        <v>0</v>
      </c>
      <c r="Y39" s="277">
        <f t="shared" si="14"/>
        <v>0</v>
      </c>
      <c r="Z39" s="277">
        <f t="shared" si="15"/>
        <v>0</v>
      </c>
      <c r="AA39" s="277">
        <f t="shared" si="16"/>
        <v>0</v>
      </c>
      <c r="AB39" s="277">
        <f t="shared" si="63"/>
        <v>0</v>
      </c>
      <c r="AC39" s="277">
        <f t="shared" si="64"/>
        <v>0</v>
      </c>
      <c r="AD39" s="277">
        <f t="shared" si="17"/>
        <v>0</v>
      </c>
      <c r="AE39" s="277">
        <f t="shared" si="18"/>
        <v>0</v>
      </c>
      <c r="AF39" s="277">
        <f t="shared" si="19"/>
        <v>0</v>
      </c>
      <c r="AG39" s="277">
        <f t="shared" si="20"/>
        <v>0</v>
      </c>
      <c r="AH39" s="277">
        <f t="shared" si="65"/>
        <v>0</v>
      </c>
      <c r="AI39" s="277">
        <f t="shared" si="66"/>
        <v>0</v>
      </c>
      <c r="AJ39" s="277">
        <f t="shared" si="67"/>
        <v>0</v>
      </c>
      <c r="AK39" s="277">
        <f t="shared" si="68"/>
        <v>0</v>
      </c>
      <c r="AL39" s="277">
        <f t="shared" si="69"/>
        <v>0</v>
      </c>
      <c r="AM39" s="277">
        <f t="shared" si="70"/>
        <v>0</v>
      </c>
      <c r="AN39" s="277">
        <f t="shared" si="71"/>
        <v>0</v>
      </c>
      <c r="AO39" s="277">
        <f t="shared" si="72"/>
        <v>0</v>
      </c>
      <c r="AP39" s="277">
        <f t="shared" si="21"/>
        <v>0</v>
      </c>
      <c r="AQ39" s="277">
        <f t="shared" si="22"/>
        <v>0</v>
      </c>
      <c r="AR39" s="277">
        <f t="shared" si="23"/>
        <v>0</v>
      </c>
      <c r="AS39" s="277">
        <f t="shared" si="24"/>
        <v>0</v>
      </c>
      <c r="AT39" s="277">
        <f t="shared" ref="AT39:AT51" si="99">IF($G39="2412",$F39,0)</f>
        <v>0</v>
      </c>
      <c r="AU39" s="277">
        <f t="shared" ref="AU39:AU51" si="100">IF($H39="2412",$F39,0)</f>
        <v>0</v>
      </c>
      <c r="AV39" s="277">
        <f t="shared" si="25"/>
        <v>0</v>
      </c>
      <c r="AW39" s="277">
        <f t="shared" si="26"/>
        <v>0</v>
      </c>
      <c r="AX39" s="277">
        <f t="shared" si="27"/>
        <v>0</v>
      </c>
      <c r="AY39" s="277">
        <f t="shared" si="28"/>
        <v>0</v>
      </c>
      <c r="AZ39" s="277">
        <f t="shared" si="29"/>
        <v>0</v>
      </c>
      <c r="BA39" s="277">
        <f t="shared" si="30"/>
        <v>0</v>
      </c>
      <c r="BB39" s="277">
        <f t="shared" si="31"/>
        <v>0</v>
      </c>
      <c r="BC39" s="277">
        <f t="shared" si="32"/>
        <v>0</v>
      </c>
      <c r="BD39" s="277">
        <f t="shared" si="33"/>
        <v>0</v>
      </c>
      <c r="BE39" s="277">
        <f t="shared" si="34"/>
        <v>0</v>
      </c>
      <c r="BF39" s="277">
        <f t="shared" si="35"/>
        <v>0</v>
      </c>
      <c r="BG39" s="277">
        <f t="shared" si="36"/>
        <v>0</v>
      </c>
      <c r="BH39" s="277">
        <f t="shared" si="75"/>
        <v>0</v>
      </c>
      <c r="BI39" s="277">
        <f t="shared" si="76"/>
        <v>0</v>
      </c>
      <c r="BJ39" s="277">
        <f t="shared" si="37"/>
        <v>0</v>
      </c>
      <c r="BK39" s="277">
        <f t="shared" si="38"/>
        <v>0</v>
      </c>
      <c r="BL39" s="277">
        <f t="shared" si="39"/>
        <v>0</v>
      </c>
      <c r="BM39" s="277">
        <f t="shared" si="40"/>
        <v>0</v>
      </c>
      <c r="BN39" s="277">
        <f t="shared" si="41"/>
        <v>0</v>
      </c>
      <c r="BO39" s="277">
        <f t="shared" si="42"/>
        <v>0</v>
      </c>
      <c r="BP39" s="277">
        <f t="shared" si="77"/>
        <v>0</v>
      </c>
      <c r="BQ39" s="277">
        <f t="shared" si="78"/>
        <v>0</v>
      </c>
      <c r="BR39" s="277">
        <f t="shared" si="43"/>
        <v>0</v>
      </c>
      <c r="BS39" s="277">
        <f t="shared" si="44"/>
        <v>0</v>
      </c>
      <c r="BT39" s="277">
        <f t="shared" si="79"/>
        <v>0</v>
      </c>
      <c r="BU39" s="277">
        <f t="shared" si="80"/>
        <v>0</v>
      </c>
      <c r="BV39" s="277">
        <f t="shared" ref="BV39:BV51" si="101">IF($G39="3412",$F39,0)</f>
        <v>0</v>
      </c>
      <c r="BW39" s="277">
        <f t="shared" ref="BW39:BW51" si="102">IF($H39="3412",$F39,0)</f>
        <v>0</v>
      </c>
      <c r="BX39" s="277">
        <f t="shared" si="45"/>
        <v>0</v>
      </c>
      <c r="BY39" s="277">
        <f t="shared" si="46"/>
        <v>0</v>
      </c>
      <c r="BZ39" s="277">
        <f t="shared" si="47"/>
        <v>0</v>
      </c>
      <c r="CA39" s="277">
        <f t="shared" si="48"/>
        <v>107861885.00000048</v>
      </c>
      <c r="CB39" s="277">
        <f t="shared" si="49"/>
        <v>107861885.00000048</v>
      </c>
      <c r="CC39" s="277">
        <f t="shared" si="50"/>
        <v>0</v>
      </c>
      <c r="CD39" s="277">
        <f t="shared" si="83"/>
        <v>0</v>
      </c>
      <c r="CE39" s="277">
        <f t="shared" si="84"/>
        <v>0</v>
      </c>
      <c r="CF39" s="277">
        <f t="shared" si="85"/>
        <v>0</v>
      </c>
      <c r="CG39" s="277">
        <f t="shared" si="86"/>
        <v>0</v>
      </c>
      <c r="CH39" s="277">
        <f t="shared" si="51"/>
        <v>0</v>
      </c>
      <c r="CI39" s="277">
        <f t="shared" si="52"/>
        <v>0</v>
      </c>
      <c r="CJ39" s="277">
        <f t="shared" si="87"/>
        <v>0</v>
      </c>
      <c r="CK39" s="277">
        <f t="shared" si="88"/>
        <v>0</v>
      </c>
      <c r="CL39" s="277">
        <f t="shared" si="53"/>
        <v>0</v>
      </c>
      <c r="CM39" s="277">
        <f t="shared" si="54"/>
        <v>0</v>
      </c>
      <c r="CN39" s="277">
        <f t="shared" si="55"/>
        <v>0</v>
      </c>
      <c r="CO39" s="277">
        <f t="shared" si="56"/>
        <v>0</v>
      </c>
      <c r="CP39" s="277">
        <f t="shared" si="89"/>
        <v>0</v>
      </c>
      <c r="CQ39" s="277">
        <f t="shared" si="90"/>
        <v>0</v>
      </c>
      <c r="CR39" s="277">
        <f t="shared" si="91"/>
        <v>0</v>
      </c>
      <c r="CS39" s="277">
        <f t="shared" si="92"/>
        <v>0</v>
      </c>
      <c r="CT39" s="277">
        <f t="shared" si="57"/>
        <v>0</v>
      </c>
      <c r="CU39" s="277">
        <f t="shared" si="58"/>
        <v>0</v>
      </c>
      <c r="CV39" s="277">
        <f t="shared" si="59"/>
        <v>0</v>
      </c>
      <c r="CW39" s="277">
        <f t="shared" si="60"/>
        <v>0</v>
      </c>
      <c r="CX39" s="277">
        <f t="shared" si="93"/>
        <v>0</v>
      </c>
      <c r="CY39" s="277">
        <f t="shared" si="94"/>
        <v>0</v>
      </c>
      <c r="CZ39" s="277">
        <f t="shared" si="95"/>
        <v>0</v>
      </c>
      <c r="DA39" s="277">
        <f t="shared" si="96"/>
        <v>0</v>
      </c>
    </row>
    <row r="40" spans="1:105" s="274" customFormat="1" ht="15" customHeight="1">
      <c r="A40" s="63">
        <f t="array" aca="1" ref="A40" ca="1">IF(C40&lt;&gt;0,SUM(($C$11:C40&lt;&gt;0)*1),"")</f>
        <v>30</v>
      </c>
      <c r="B40" s="275">
        <v>42460</v>
      </c>
      <c r="C40" s="278" t="s">
        <v>115</v>
      </c>
      <c r="D40" s="278">
        <f t="shared" si="97"/>
        <v>42460</v>
      </c>
      <c r="E40" s="968" t="s">
        <v>927</v>
      </c>
      <c r="F40" s="969">
        <f ca="1">AY52</f>
        <v>0</v>
      </c>
      <c r="G40" s="970" t="s">
        <v>932</v>
      </c>
      <c r="H40" s="970" t="s">
        <v>9</v>
      </c>
      <c r="I40" s="63">
        <f t="shared" ca="1" si="98"/>
        <v>30</v>
      </c>
      <c r="J40" s="277">
        <f t="shared" si="61"/>
        <v>0</v>
      </c>
      <c r="K40" s="277">
        <f t="shared" si="62"/>
        <v>0</v>
      </c>
      <c r="L40" s="277">
        <f t="shared" si="1"/>
        <v>0</v>
      </c>
      <c r="M40" s="277">
        <f t="shared" si="2"/>
        <v>0</v>
      </c>
      <c r="N40" s="277">
        <f t="shared" si="3"/>
        <v>0</v>
      </c>
      <c r="O40" s="277">
        <f t="shared" si="4"/>
        <v>0</v>
      </c>
      <c r="P40" s="277">
        <f t="shared" si="5"/>
        <v>0</v>
      </c>
      <c r="Q40" s="277">
        <f t="shared" si="6"/>
        <v>0</v>
      </c>
      <c r="R40" s="277">
        <f t="shared" si="7"/>
        <v>0</v>
      </c>
      <c r="S40" s="277">
        <f t="shared" ca="1" si="8"/>
        <v>0</v>
      </c>
      <c r="T40" s="277">
        <f t="shared" si="9"/>
        <v>0</v>
      </c>
      <c r="U40" s="277">
        <f t="shared" si="10"/>
        <v>0</v>
      </c>
      <c r="V40" s="277">
        <f t="shared" si="11"/>
        <v>0</v>
      </c>
      <c r="W40" s="277">
        <f t="shared" si="12"/>
        <v>0</v>
      </c>
      <c r="X40" s="277">
        <f t="shared" si="13"/>
        <v>0</v>
      </c>
      <c r="Y40" s="277">
        <f t="shared" si="14"/>
        <v>0</v>
      </c>
      <c r="Z40" s="277">
        <f t="shared" si="15"/>
        <v>0</v>
      </c>
      <c r="AA40" s="277">
        <f t="shared" si="16"/>
        <v>0</v>
      </c>
      <c r="AB40" s="277">
        <f t="shared" si="63"/>
        <v>0</v>
      </c>
      <c r="AC40" s="277">
        <f t="shared" si="64"/>
        <v>0</v>
      </c>
      <c r="AD40" s="277">
        <f t="shared" si="17"/>
        <v>0</v>
      </c>
      <c r="AE40" s="277">
        <f t="shared" si="18"/>
        <v>0</v>
      </c>
      <c r="AF40" s="277">
        <f t="shared" si="19"/>
        <v>0</v>
      </c>
      <c r="AG40" s="277">
        <f t="shared" si="20"/>
        <v>0</v>
      </c>
      <c r="AH40" s="277">
        <f t="shared" si="65"/>
        <v>0</v>
      </c>
      <c r="AI40" s="277">
        <f t="shared" si="66"/>
        <v>0</v>
      </c>
      <c r="AJ40" s="277">
        <f t="shared" si="67"/>
        <v>0</v>
      </c>
      <c r="AK40" s="277">
        <f t="shared" si="68"/>
        <v>0</v>
      </c>
      <c r="AL40" s="277">
        <f t="shared" si="69"/>
        <v>0</v>
      </c>
      <c r="AM40" s="277">
        <f t="shared" si="70"/>
        <v>0</v>
      </c>
      <c r="AN40" s="277">
        <f t="shared" si="71"/>
        <v>0</v>
      </c>
      <c r="AO40" s="277">
        <f t="shared" si="72"/>
        <v>0</v>
      </c>
      <c r="AP40" s="277">
        <f t="shared" si="21"/>
        <v>0</v>
      </c>
      <c r="AQ40" s="277">
        <f t="shared" si="22"/>
        <v>0</v>
      </c>
      <c r="AR40" s="277">
        <f t="shared" si="23"/>
        <v>0</v>
      </c>
      <c r="AS40" s="277">
        <f t="shared" si="24"/>
        <v>0</v>
      </c>
      <c r="AT40" s="277">
        <f t="shared" si="99"/>
        <v>0</v>
      </c>
      <c r="AU40" s="277">
        <f t="shared" si="100"/>
        <v>0</v>
      </c>
      <c r="AV40" s="277">
        <f t="shared" si="25"/>
        <v>0</v>
      </c>
      <c r="AW40" s="277">
        <f t="shared" si="26"/>
        <v>0</v>
      </c>
      <c r="AX40" s="277">
        <f t="shared" ca="1" si="27"/>
        <v>0</v>
      </c>
      <c r="AY40" s="277">
        <f t="shared" si="28"/>
        <v>0</v>
      </c>
      <c r="AZ40" s="277">
        <f t="shared" si="29"/>
        <v>0</v>
      </c>
      <c r="BA40" s="277">
        <f t="shared" si="30"/>
        <v>0</v>
      </c>
      <c r="BB40" s="277">
        <f t="shared" si="31"/>
        <v>0</v>
      </c>
      <c r="BC40" s="277">
        <f t="shared" si="32"/>
        <v>0</v>
      </c>
      <c r="BD40" s="277">
        <f t="shared" si="33"/>
        <v>0</v>
      </c>
      <c r="BE40" s="277">
        <f t="shared" si="34"/>
        <v>0</v>
      </c>
      <c r="BF40" s="277">
        <f t="shared" si="35"/>
        <v>0</v>
      </c>
      <c r="BG40" s="277">
        <f t="shared" si="36"/>
        <v>0</v>
      </c>
      <c r="BH40" s="277">
        <f t="shared" si="75"/>
        <v>0</v>
      </c>
      <c r="BI40" s="277">
        <f t="shared" si="76"/>
        <v>0</v>
      </c>
      <c r="BJ40" s="277">
        <f t="shared" si="37"/>
        <v>0</v>
      </c>
      <c r="BK40" s="277">
        <f t="shared" si="38"/>
        <v>0</v>
      </c>
      <c r="BL40" s="277">
        <f t="shared" si="39"/>
        <v>0</v>
      </c>
      <c r="BM40" s="277">
        <f t="shared" si="40"/>
        <v>0</v>
      </c>
      <c r="BN40" s="277">
        <f t="shared" si="41"/>
        <v>0</v>
      </c>
      <c r="BO40" s="277">
        <f t="shared" si="42"/>
        <v>0</v>
      </c>
      <c r="BP40" s="277">
        <f t="shared" si="77"/>
        <v>0</v>
      </c>
      <c r="BQ40" s="277">
        <f t="shared" si="78"/>
        <v>0</v>
      </c>
      <c r="BR40" s="277">
        <f t="shared" si="43"/>
        <v>0</v>
      </c>
      <c r="BS40" s="277">
        <f t="shared" si="44"/>
        <v>0</v>
      </c>
      <c r="BT40" s="277">
        <f t="shared" si="79"/>
        <v>0</v>
      </c>
      <c r="BU40" s="277">
        <f t="shared" si="80"/>
        <v>0</v>
      </c>
      <c r="BV40" s="277">
        <f t="shared" si="101"/>
        <v>0</v>
      </c>
      <c r="BW40" s="277">
        <f t="shared" si="102"/>
        <v>0</v>
      </c>
      <c r="BX40" s="277">
        <f t="shared" si="45"/>
        <v>0</v>
      </c>
      <c r="BY40" s="277">
        <f t="shared" si="46"/>
        <v>0</v>
      </c>
      <c r="BZ40" s="277">
        <f t="shared" si="47"/>
        <v>0</v>
      </c>
      <c r="CA40" s="277">
        <f t="shared" si="48"/>
        <v>0</v>
      </c>
      <c r="CB40" s="277">
        <f t="shared" si="49"/>
        <v>0</v>
      </c>
      <c r="CC40" s="277">
        <f t="shared" si="50"/>
        <v>0</v>
      </c>
      <c r="CD40" s="277">
        <f t="shared" si="83"/>
        <v>0</v>
      </c>
      <c r="CE40" s="277">
        <f t="shared" si="84"/>
        <v>0</v>
      </c>
      <c r="CF40" s="277">
        <f t="shared" si="85"/>
        <v>0</v>
      </c>
      <c r="CG40" s="277">
        <f t="shared" si="86"/>
        <v>0</v>
      </c>
      <c r="CH40" s="277">
        <f t="shared" si="51"/>
        <v>0</v>
      </c>
      <c r="CI40" s="277">
        <f t="shared" si="52"/>
        <v>0</v>
      </c>
      <c r="CJ40" s="277">
        <f t="shared" si="87"/>
        <v>0</v>
      </c>
      <c r="CK40" s="277">
        <f t="shared" si="88"/>
        <v>0</v>
      </c>
      <c r="CL40" s="277">
        <f t="shared" si="53"/>
        <v>0</v>
      </c>
      <c r="CM40" s="277">
        <f t="shared" si="54"/>
        <v>0</v>
      </c>
      <c r="CN40" s="277">
        <f t="shared" si="55"/>
        <v>0</v>
      </c>
      <c r="CO40" s="277">
        <f t="shared" si="56"/>
        <v>0</v>
      </c>
      <c r="CP40" s="277">
        <f t="shared" si="89"/>
        <v>0</v>
      </c>
      <c r="CQ40" s="277">
        <f t="shared" si="90"/>
        <v>0</v>
      </c>
      <c r="CR40" s="277">
        <f t="shared" si="91"/>
        <v>0</v>
      </c>
      <c r="CS40" s="277">
        <f t="shared" si="92"/>
        <v>0</v>
      </c>
      <c r="CT40" s="277">
        <f t="shared" si="57"/>
        <v>0</v>
      </c>
      <c r="CU40" s="277">
        <f t="shared" si="58"/>
        <v>0</v>
      </c>
      <c r="CV40" s="277">
        <f t="shared" si="59"/>
        <v>0</v>
      </c>
      <c r="CW40" s="277">
        <f t="shared" si="60"/>
        <v>0</v>
      </c>
      <c r="CX40" s="277">
        <f t="shared" si="93"/>
        <v>0</v>
      </c>
      <c r="CY40" s="277">
        <f t="shared" si="94"/>
        <v>0</v>
      </c>
      <c r="CZ40" s="277">
        <f t="shared" si="95"/>
        <v>0</v>
      </c>
      <c r="DA40" s="277">
        <f t="shared" si="96"/>
        <v>0</v>
      </c>
    </row>
    <row r="41" spans="1:105" s="274" customFormat="1" ht="15" customHeight="1">
      <c r="A41" s="63">
        <f t="array" aca="1" ref="A41" ca="1">IF(C41&lt;&gt;0,SUM(($C$11:C41&lt;&gt;0)*1),"")</f>
        <v>31</v>
      </c>
      <c r="B41" s="275">
        <v>42460</v>
      </c>
      <c r="C41" s="278" t="s">
        <v>115</v>
      </c>
      <c r="D41" s="278">
        <f t="shared" si="97"/>
        <v>42460</v>
      </c>
      <c r="E41" s="968" t="s">
        <v>928</v>
      </c>
      <c r="F41" s="969">
        <f ca="1">CL52</f>
        <v>0</v>
      </c>
      <c r="G41" s="970" t="s">
        <v>109</v>
      </c>
      <c r="H41" s="970" t="s">
        <v>294</v>
      </c>
      <c r="I41" s="63">
        <f t="shared" ca="1" si="98"/>
        <v>31</v>
      </c>
      <c r="J41" s="277">
        <f t="shared" si="61"/>
        <v>0</v>
      </c>
      <c r="K41" s="277">
        <f t="shared" si="62"/>
        <v>0</v>
      </c>
      <c r="L41" s="277">
        <f t="shared" si="1"/>
        <v>0</v>
      </c>
      <c r="M41" s="277">
        <f t="shared" si="2"/>
        <v>0</v>
      </c>
      <c r="N41" s="277">
        <f t="shared" si="3"/>
        <v>0</v>
      </c>
      <c r="O41" s="277">
        <f t="shared" si="4"/>
        <v>0</v>
      </c>
      <c r="P41" s="277">
        <f t="shared" si="5"/>
        <v>0</v>
      </c>
      <c r="Q41" s="277">
        <f t="shared" si="6"/>
        <v>0</v>
      </c>
      <c r="R41" s="277">
        <f t="shared" si="7"/>
        <v>0</v>
      </c>
      <c r="S41" s="277">
        <f t="shared" si="8"/>
        <v>0</v>
      </c>
      <c r="T41" s="277">
        <f t="shared" si="9"/>
        <v>0</v>
      </c>
      <c r="U41" s="277">
        <f t="shared" si="10"/>
        <v>0</v>
      </c>
      <c r="V41" s="277">
        <f t="shared" si="11"/>
        <v>0</v>
      </c>
      <c r="W41" s="277">
        <f t="shared" si="12"/>
        <v>0</v>
      </c>
      <c r="X41" s="277">
        <f t="shared" si="13"/>
        <v>0</v>
      </c>
      <c r="Y41" s="277">
        <f t="shared" si="14"/>
        <v>0</v>
      </c>
      <c r="Z41" s="277">
        <f t="shared" si="15"/>
        <v>0</v>
      </c>
      <c r="AA41" s="277">
        <f t="shared" si="16"/>
        <v>0</v>
      </c>
      <c r="AB41" s="277">
        <f t="shared" si="63"/>
        <v>0</v>
      </c>
      <c r="AC41" s="277">
        <f t="shared" si="64"/>
        <v>0</v>
      </c>
      <c r="AD41" s="277">
        <f t="shared" si="17"/>
        <v>0</v>
      </c>
      <c r="AE41" s="277">
        <f t="shared" si="18"/>
        <v>0</v>
      </c>
      <c r="AF41" s="277">
        <f t="shared" si="19"/>
        <v>0</v>
      </c>
      <c r="AG41" s="277">
        <f t="shared" si="20"/>
        <v>0</v>
      </c>
      <c r="AH41" s="277">
        <f t="shared" si="65"/>
        <v>0</v>
      </c>
      <c r="AI41" s="277">
        <f t="shared" si="66"/>
        <v>0</v>
      </c>
      <c r="AJ41" s="277">
        <f t="shared" si="67"/>
        <v>0</v>
      </c>
      <c r="AK41" s="277">
        <f t="shared" si="68"/>
        <v>0</v>
      </c>
      <c r="AL41" s="277">
        <f t="shared" si="69"/>
        <v>0</v>
      </c>
      <c r="AM41" s="277">
        <f t="shared" si="70"/>
        <v>0</v>
      </c>
      <c r="AN41" s="277">
        <f t="shared" si="71"/>
        <v>0</v>
      </c>
      <c r="AO41" s="277">
        <f t="shared" si="72"/>
        <v>0</v>
      </c>
      <c r="AP41" s="277">
        <f t="shared" si="21"/>
        <v>0</v>
      </c>
      <c r="AQ41" s="277">
        <f t="shared" si="22"/>
        <v>0</v>
      </c>
      <c r="AR41" s="277">
        <f t="shared" si="23"/>
        <v>0</v>
      </c>
      <c r="AS41" s="277">
        <f t="shared" si="24"/>
        <v>0</v>
      </c>
      <c r="AT41" s="277">
        <f t="shared" si="99"/>
        <v>0</v>
      </c>
      <c r="AU41" s="277">
        <f t="shared" si="100"/>
        <v>0</v>
      </c>
      <c r="AV41" s="277">
        <f t="shared" si="25"/>
        <v>0</v>
      </c>
      <c r="AW41" s="277">
        <f t="shared" si="26"/>
        <v>0</v>
      </c>
      <c r="AX41" s="277">
        <f t="shared" si="27"/>
        <v>0</v>
      </c>
      <c r="AY41" s="277">
        <f t="shared" si="28"/>
        <v>0</v>
      </c>
      <c r="AZ41" s="277">
        <f t="shared" si="29"/>
        <v>0</v>
      </c>
      <c r="BA41" s="277">
        <f t="shared" si="30"/>
        <v>0</v>
      </c>
      <c r="BB41" s="277">
        <f t="shared" si="31"/>
        <v>0</v>
      </c>
      <c r="BC41" s="277">
        <f t="shared" si="32"/>
        <v>0</v>
      </c>
      <c r="BD41" s="277">
        <f t="shared" si="33"/>
        <v>0</v>
      </c>
      <c r="BE41" s="277">
        <f t="shared" si="34"/>
        <v>0</v>
      </c>
      <c r="BF41" s="277">
        <f t="shared" si="35"/>
        <v>0</v>
      </c>
      <c r="BG41" s="277">
        <f t="shared" si="36"/>
        <v>0</v>
      </c>
      <c r="BH41" s="277">
        <f t="shared" si="75"/>
        <v>0</v>
      </c>
      <c r="BI41" s="277">
        <f t="shared" si="76"/>
        <v>0</v>
      </c>
      <c r="BJ41" s="277">
        <f t="shared" si="37"/>
        <v>0</v>
      </c>
      <c r="BK41" s="277">
        <f t="shared" si="38"/>
        <v>0</v>
      </c>
      <c r="BL41" s="277">
        <f t="shared" si="39"/>
        <v>0</v>
      </c>
      <c r="BM41" s="277">
        <f t="shared" si="40"/>
        <v>0</v>
      </c>
      <c r="BN41" s="277">
        <f t="shared" si="41"/>
        <v>0</v>
      </c>
      <c r="BO41" s="277">
        <f t="shared" si="42"/>
        <v>0</v>
      </c>
      <c r="BP41" s="277">
        <f t="shared" si="77"/>
        <v>0</v>
      </c>
      <c r="BQ41" s="277">
        <f t="shared" si="78"/>
        <v>0</v>
      </c>
      <c r="BR41" s="277">
        <f t="shared" si="43"/>
        <v>0</v>
      </c>
      <c r="BS41" s="277">
        <f t="shared" si="44"/>
        <v>0</v>
      </c>
      <c r="BT41" s="277">
        <f t="shared" si="79"/>
        <v>0</v>
      </c>
      <c r="BU41" s="277">
        <f t="shared" si="80"/>
        <v>0</v>
      </c>
      <c r="BV41" s="277">
        <f t="shared" si="101"/>
        <v>0</v>
      </c>
      <c r="BW41" s="277">
        <f t="shared" si="102"/>
        <v>0</v>
      </c>
      <c r="BX41" s="277">
        <f t="shared" si="45"/>
        <v>0</v>
      </c>
      <c r="BY41" s="277">
        <f t="shared" si="46"/>
        <v>0</v>
      </c>
      <c r="BZ41" s="277">
        <f t="shared" si="47"/>
        <v>0</v>
      </c>
      <c r="CA41" s="277">
        <f t="shared" si="48"/>
        <v>0</v>
      </c>
      <c r="CB41" s="277">
        <f t="shared" si="49"/>
        <v>0</v>
      </c>
      <c r="CC41" s="277">
        <f t="shared" si="50"/>
        <v>0</v>
      </c>
      <c r="CD41" s="277">
        <f t="shared" si="83"/>
        <v>0</v>
      </c>
      <c r="CE41" s="277">
        <f t="shared" si="84"/>
        <v>0</v>
      </c>
      <c r="CF41" s="277">
        <f t="shared" si="85"/>
        <v>0</v>
      </c>
      <c r="CG41" s="277">
        <f t="shared" si="86"/>
        <v>0</v>
      </c>
      <c r="CH41" s="277">
        <f t="shared" si="51"/>
        <v>0</v>
      </c>
      <c r="CI41" s="277">
        <f t="shared" si="52"/>
        <v>0</v>
      </c>
      <c r="CJ41" s="277">
        <f t="shared" si="87"/>
        <v>0</v>
      </c>
      <c r="CK41" s="277">
        <f t="shared" si="88"/>
        <v>0</v>
      </c>
      <c r="CL41" s="277">
        <f t="shared" si="53"/>
        <v>0</v>
      </c>
      <c r="CM41" s="277">
        <f t="shared" ca="1" si="54"/>
        <v>0</v>
      </c>
      <c r="CN41" s="277">
        <f t="shared" si="55"/>
        <v>0</v>
      </c>
      <c r="CO41" s="277">
        <f t="shared" si="56"/>
        <v>0</v>
      </c>
      <c r="CP41" s="277">
        <f t="shared" si="89"/>
        <v>0</v>
      </c>
      <c r="CQ41" s="277">
        <f t="shared" si="90"/>
        <v>0</v>
      </c>
      <c r="CR41" s="277">
        <f t="shared" si="91"/>
        <v>0</v>
      </c>
      <c r="CS41" s="277">
        <f t="shared" si="92"/>
        <v>0</v>
      </c>
      <c r="CT41" s="277">
        <f t="shared" si="57"/>
        <v>0</v>
      </c>
      <c r="CU41" s="277">
        <f t="shared" si="58"/>
        <v>0</v>
      </c>
      <c r="CV41" s="277">
        <f t="shared" si="59"/>
        <v>0</v>
      </c>
      <c r="CW41" s="277">
        <f t="shared" si="60"/>
        <v>0</v>
      </c>
      <c r="CX41" s="277">
        <f t="shared" si="93"/>
        <v>0</v>
      </c>
      <c r="CY41" s="277">
        <f t="shared" si="94"/>
        <v>0</v>
      </c>
      <c r="CZ41" s="277">
        <f t="shared" ca="1" si="95"/>
        <v>0</v>
      </c>
      <c r="DA41" s="277">
        <f t="shared" si="96"/>
        <v>0</v>
      </c>
    </row>
    <row r="42" spans="1:105" s="274" customFormat="1" ht="15" customHeight="1">
      <c r="A42" s="63">
        <f t="array" aca="1" ref="A42" ca="1">IF(C42&lt;&gt;0,SUM(($C$11:C42&lt;&gt;0)*1),"")</f>
        <v>32</v>
      </c>
      <c r="B42" s="275">
        <v>42460</v>
      </c>
      <c r="C42" s="278" t="s">
        <v>115</v>
      </c>
      <c r="D42" s="278">
        <f t="shared" si="97"/>
        <v>42460</v>
      </c>
      <c r="E42" s="968" t="s">
        <v>116</v>
      </c>
      <c r="F42" s="969">
        <f ca="1">CN52</f>
        <v>0</v>
      </c>
      <c r="G42" s="970" t="s">
        <v>109</v>
      </c>
      <c r="H42" s="970" t="s">
        <v>99</v>
      </c>
      <c r="I42" s="63">
        <f t="shared" ca="1" si="98"/>
        <v>32</v>
      </c>
      <c r="J42" s="277">
        <f t="shared" si="61"/>
        <v>0</v>
      </c>
      <c r="K42" s="277">
        <f t="shared" si="62"/>
        <v>0</v>
      </c>
      <c r="L42" s="277">
        <f t="shared" si="1"/>
        <v>0</v>
      </c>
      <c r="M42" s="277">
        <f t="shared" si="2"/>
        <v>0</v>
      </c>
      <c r="N42" s="277">
        <f t="shared" si="3"/>
        <v>0</v>
      </c>
      <c r="O42" s="277">
        <f t="shared" si="4"/>
        <v>0</v>
      </c>
      <c r="P42" s="277">
        <f t="shared" si="5"/>
        <v>0</v>
      </c>
      <c r="Q42" s="277">
        <f t="shared" si="6"/>
        <v>0</v>
      </c>
      <c r="R42" s="277">
        <f t="shared" si="7"/>
        <v>0</v>
      </c>
      <c r="S42" s="277">
        <f t="shared" si="8"/>
        <v>0</v>
      </c>
      <c r="T42" s="277">
        <f t="shared" si="9"/>
        <v>0</v>
      </c>
      <c r="U42" s="277">
        <f t="shared" si="10"/>
        <v>0</v>
      </c>
      <c r="V42" s="277">
        <f t="shared" si="11"/>
        <v>0</v>
      </c>
      <c r="W42" s="277">
        <f t="shared" si="12"/>
        <v>0</v>
      </c>
      <c r="X42" s="277">
        <f t="shared" si="13"/>
        <v>0</v>
      </c>
      <c r="Y42" s="277">
        <f t="shared" si="14"/>
        <v>0</v>
      </c>
      <c r="Z42" s="277">
        <f t="shared" si="15"/>
        <v>0</v>
      </c>
      <c r="AA42" s="277">
        <f t="shared" si="16"/>
        <v>0</v>
      </c>
      <c r="AB42" s="277">
        <f t="shared" si="63"/>
        <v>0</v>
      </c>
      <c r="AC42" s="277">
        <f t="shared" si="64"/>
        <v>0</v>
      </c>
      <c r="AD42" s="277">
        <f t="shared" si="17"/>
        <v>0</v>
      </c>
      <c r="AE42" s="277">
        <f t="shared" si="18"/>
        <v>0</v>
      </c>
      <c r="AF42" s="277">
        <f t="shared" si="19"/>
        <v>0</v>
      </c>
      <c r="AG42" s="277">
        <f t="shared" si="20"/>
        <v>0</v>
      </c>
      <c r="AH42" s="277">
        <f t="shared" si="65"/>
        <v>0</v>
      </c>
      <c r="AI42" s="277">
        <f t="shared" si="66"/>
        <v>0</v>
      </c>
      <c r="AJ42" s="277">
        <f t="shared" si="67"/>
        <v>0</v>
      </c>
      <c r="AK42" s="277">
        <f t="shared" si="68"/>
        <v>0</v>
      </c>
      <c r="AL42" s="277">
        <f t="shared" si="69"/>
        <v>0</v>
      </c>
      <c r="AM42" s="277">
        <f t="shared" si="70"/>
        <v>0</v>
      </c>
      <c r="AN42" s="277">
        <f t="shared" si="71"/>
        <v>0</v>
      </c>
      <c r="AO42" s="277">
        <f t="shared" si="72"/>
        <v>0</v>
      </c>
      <c r="AP42" s="277">
        <f t="shared" si="21"/>
        <v>0</v>
      </c>
      <c r="AQ42" s="277">
        <f t="shared" si="22"/>
        <v>0</v>
      </c>
      <c r="AR42" s="277">
        <f t="shared" si="23"/>
        <v>0</v>
      </c>
      <c r="AS42" s="277">
        <f t="shared" si="24"/>
        <v>0</v>
      </c>
      <c r="AT42" s="277">
        <f t="shared" si="99"/>
        <v>0</v>
      </c>
      <c r="AU42" s="277">
        <f t="shared" si="100"/>
        <v>0</v>
      </c>
      <c r="AV42" s="277">
        <f t="shared" si="25"/>
        <v>0</v>
      </c>
      <c r="AW42" s="277">
        <f t="shared" si="26"/>
        <v>0</v>
      </c>
      <c r="AX42" s="277">
        <f t="shared" si="27"/>
        <v>0</v>
      </c>
      <c r="AY42" s="277">
        <f t="shared" si="28"/>
        <v>0</v>
      </c>
      <c r="AZ42" s="277">
        <f t="shared" si="29"/>
        <v>0</v>
      </c>
      <c r="BA42" s="277">
        <f t="shared" si="30"/>
        <v>0</v>
      </c>
      <c r="BB42" s="277">
        <f t="shared" si="31"/>
        <v>0</v>
      </c>
      <c r="BC42" s="277">
        <f t="shared" si="32"/>
        <v>0</v>
      </c>
      <c r="BD42" s="277">
        <f t="shared" si="33"/>
        <v>0</v>
      </c>
      <c r="BE42" s="277">
        <f t="shared" si="34"/>
        <v>0</v>
      </c>
      <c r="BF42" s="277">
        <f t="shared" si="35"/>
        <v>0</v>
      </c>
      <c r="BG42" s="277">
        <f t="shared" si="36"/>
        <v>0</v>
      </c>
      <c r="BH42" s="277">
        <f t="shared" si="75"/>
        <v>0</v>
      </c>
      <c r="BI42" s="277">
        <f t="shared" si="76"/>
        <v>0</v>
      </c>
      <c r="BJ42" s="277">
        <f t="shared" si="37"/>
        <v>0</v>
      </c>
      <c r="BK42" s="277">
        <f t="shared" si="38"/>
        <v>0</v>
      </c>
      <c r="BL42" s="277">
        <f t="shared" si="39"/>
        <v>0</v>
      </c>
      <c r="BM42" s="277">
        <f t="shared" si="40"/>
        <v>0</v>
      </c>
      <c r="BN42" s="277">
        <f t="shared" si="41"/>
        <v>0</v>
      </c>
      <c r="BO42" s="277">
        <f t="shared" si="42"/>
        <v>0</v>
      </c>
      <c r="BP42" s="277">
        <f t="shared" si="77"/>
        <v>0</v>
      </c>
      <c r="BQ42" s="277">
        <f t="shared" si="78"/>
        <v>0</v>
      </c>
      <c r="BR42" s="277">
        <f t="shared" si="43"/>
        <v>0</v>
      </c>
      <c r="BS42" s="277">
        <f t="shared" si="44"/>
        <v>0</v>
      </c>
      <c r="BT42" s="277">
        <f t="shared" si="79"/>
        <v>0</v>
      </c>
      <c r="BU42" s="277">
        <f t="shared" si="80"/>
        <v>0</v>
      </c>
      <c r="BV42" s="277">
        <f t="shared" si="101"/>
        <v>0</v>
      </c>
      <c r="BW42" s="277">
        <f t="shared" si="102"/>
        <v>0</v>
      </c>
      <c r="BX42" s="277">
        <f t="shared" si="45"/>
        <v>0</v>
      </c>
      <c r="BY42" s="277">
        <f t="shared" si="46"/>
        <v>0</v>
      </c>
      <c r="BZ42" s="277">
        <f t="shared" si="47"/>
        <v>0</v>
      </c>
      <c r="CA42" s="277">
        <f t="shared" si="48"/>
        <v>0</v>
      </c>
      <c r="CB42" s="277">
        <f t="shared" si="49"/>
        <v>0</v>
      </c>
      <c r="CC42" s="277">
        <f t="shared" si="50"/>
        <v>0</v>
      </c>
      <c r="CD42" s="277">
        <f t="shared" si="83"/>
        <v>0</v>
      </c>
      <c r="CE42" s="277">
        <f t="shared" si="84"/>
        <v>0</v>
      </c>
      <c r="CF42" s="277">
        <f t="shared" si="85"/>
        <v>0</v>
      </c>
      <c r="CG42" s="277">
        <f t="shared" si="86"/>
        <v>0</v>
      </c>
      <c r="CH42" s="277">
        <f t="shared" si="51"/>
        <v>0</v>
      </c>
      <c r="CI42" s="277">
        <f t="shared" si="52"/>
        <v>0</v>
      </c>
      <c r="CJ42" s="277">
        <f t="shared" si="87"/>
        <v>0</v>
      </c>
      <c r="CK42" s="277">
        <f t="shared" si="88"/>
        <v>0</v>
      </c>
      <c r="CL42" s="277">
        <f t="shared" si="53"/>
        <v>0</v>
      </c>
      <c r="CM42" s="277">
        <f t="shared" si="54"/>
        <v>0</v>
      </c>
      <c r="CN42" s="277">
        <f t="shared" si="55"/>
        <v>0</v>
      </c>
      <c r="CO42" s="277">
        <f t="shared" ca="1" si="56"/>
        <v>0</v>
      </c>
      <c r="CP42" s="277">
        <f t="shared" si="89"/>
        <v>0</v>
      </c>
      <c r="CQ42" s="277">
        <f t="shared" si="90"/>
        <v>0</v>
      </c>
      <c r="CR42" s="277">
        <f t="shared" si="91"/>
        <v>0</v>
      </c>
      <c r="CS42" s="277">
        <f t="shared" si="92"/>
        <v>0</v>
      </c>
      <c r="CT42" s="277">
        <f t="shared" si="57"/>
        <v>0</v>
      </c>
      <c r="CU42" s="277">
        <f t="shared" si="58"/>
        <v>0</v>
      </c>
      <c r="CV42" s="277">
        <f t="shared" si="59"/>
        <v>0</v>
      </c>
      <c r="CW42" s="277">
        <f t="shared" si="60"/>
        <v>0</v>
      </c>
      <c r="CX42" s="277">
        <f t="shared" si="93"/>
        <v>0</v>
      </c>
      <c r="CY42" s="277">
        <f t="shared" si="94"/>
        <v>0</v>
      </c>
      <c r="CZ42" s="277">
        <f t="shared" ca="1" si="95"/>
        <v>0</v>
      </c>
      <c r="DA42" s="277">
        <f t="shared" si="96"/>
        <v>0</v>
      </c>
    </row>
    <row r="43" spans="1:105" s="274" customFormat="1" ht="15" customHeight="1">
      <c r="A43" s="63">
        <f t="array" aca="1" ref="A43" ca="1">IF(C43&lt;&gt;0,SUM(($C$11:C43&lt;&gt;0)*1),"")</f>
        <v>33</v>
      </c>
      <c r="B43" s="275">
        <v>42460</v>
      </c>
      <c r="C43" s="278" t="s">
        <v>115</v>
      </c>
      <c r="D43" s="278">
        <f t="shared" si="97"/>
        <v>42460</v>
      </c>
      <c r="E43" s="968" t="s">
        <v>929</v>
      </c>
      <c r="F43" s="969">
        <f ca="1">CP52</f>
        <v>0</v>
      </c>
      <c r="G43" s="970" t="s">
        <v>109</v>
      </c>
      <c r="H43" s="970" t="s">
        <v>591</v>
      </c>
      <c r="I43" s="63">
        <f t="shared" ca="1" si="98"/>
        <v>33</v>
      </c>
      <c r="J43" s="277">
        <f t="shared" si="61"/>
        <v>0</v>
      </c>
      <c r="K43" s="277">
        <f t="shared" si="62"/>
        <v>0</v>
      </c>
      <c r="L43" s="277">
        <f t="shared" si="1"/>
        <v>0</v>
      </c>
      <c r="M43" s="277">
        <f t="shared" si="2"/>
        <v>0</v>
      </c>
      <c r="N43" s="277">
        <f t="shared" si="3"/>
        <v>0</v>
      </c>
      <c r="O43" s="277">
        <f t="shared" si="4"/>
        <v>0</v>
      </c>
      <c r="P43" s="277">
        <f t="shared" si="5"/>
        <v>0</v>
      </c>
      <c r="Q43" s="277">
        <f t="shared" si="6"/>
        <v>0</v>
      </c>
      <c r="R43" s="277">
        <f t="shared" si="7"/>
        <v>0</v>
      </c>
      <c r="S43" s="277">
        <f t="shared" si="8"/>
        <v>0</v>
      </c>
      <c r="T43" s="277">
        <f t="shared" si="9"/>
        <v>0</v>
      </c>
      <c r="U43" s="277">
        <f t="shared" si="10"/>
        <v>0</v>
      </c>
      <c r="V43" s="277">
        <f t="shared" si="11"/>
        <v>0</v>
      </c>
      <c r="W43" s="277">
        <f t="shared" si="12"/>
        <v>0</v>
      </c>
      <c r="X43" s="277">
        <f t="shared" si="13"/>
        <v>0</v>
      </c>
      <c r="Y43" s="277">
        <f t="shared" si="14"/>
        <v>0</v>
      </c>
      <c r="Z43" s="277">
        <f t="shared" si="15"/>
        <v>0</v>
      </c>
      <c r="AA43" s="277">
        <f t="shared" si="16"/>
        <v>0</v>
      </c>
      <c r="AB43" s="277">
        <f t="shared" si="63"/>
        <v>0</v>
      </c>
      <c r="AC43" s="277">
        <f t="shared" si="64"/>
        <v>0</v>
      </c>
      <c r="AD43" s="277">
        <f t="shared" si="17"/>
        <v>0</v>
      </c>
      <c r="AE43" s="277">
        <f t="shared" si="18"/>
        <v>0</v>
      </c>
      <c r="AF43" s="277">
        <f t="shared" si="19"/>
        <v>0</v>
      </c>
      <c r="AG43" s="277">
        <f t="shared" si="20"/>
        <v>0</v>
      </c>
      <c r="AH43" s="277">
        <f t="shared" si="65"/>
        <v>0</v>
      </c>
      <c r="AI43" s="277">
        <f t="shared" si="66"/>
        <v>0</v>
      </c>
      <c r="AJ43" s="277">
        <f t="shared" si="67"/>
        <v>0</v>
      </c>
      <c r="AK43" s="277">
        <f t="shared" si="68"/>
        <v>0</v>
      </c>
      <c r="AL43" s="277">
        <f t="shared" si="69"/>
        <v>0</v>
      </c>
      <c r="AM43" s="277">
        <f t="shared" si="70"/>
        <v>0</v>
      </c>
      <c r="AN43" s="277">
        <f t="shared" si="71"/>
        <v>0</v>
      </c>
      <c r="AO43" s="277">
        <f t="shared" si="72"/>
        <v>0</v>
      </c>
      <c r="AP43" s="277">
        <f t="shared" si="21"/>
        <v>0</v>
      </c>
      <c r="AQ43" s="277">
        <f t="shared" si="22"/>
        <v>0</v>
      </c>
      <c r="AR43" s="277">
        <f t="shared" si="23"/>
        <v>0</v>
      </c>
      <c r="AS43" s="277">
        <f t="shared" si="24"/>
        <v>0</v>
      </c>
      <c r="AT43" s="277">
        <f t="shared" si="99"/>
        <v>0</v>
      </c>
      <c r="AU43" s="277">
        <f t="shared" si="100"/>
        <v>0</v>
      </c>
      <c r="AV43" s="277">
        <f t="shared" si="25"/>
        <v>0</v>
      </c>
      <c r="AW43" s="277">
        <f t="shared" si="26"/>
        <v>0</v>
      </c>
      <c r="AX43" s="277">
        <f t="shared" si="27"/>
        <v>0</v>
      </c>
      <c r="AY43" s="277">
        <f t="shared" si="28"/>
        <v>0</v>
      </c>
      <c r="AZ43" s="277">
        <f t="shared" si="29"/>
        <v>0</v>
      </c>
      <c r="BA43" s="277">
        <f t="shared" si="30"/>
        <v>0</v>
      </c>
      <c r="BB43" s="277">
        <f t="shared" si="31"/>
        <v>0</v>
      </c>
      <c r="BC43" s="277">
        <f t="shared" si="32"/>
        <v>0</v>
      </c>
      <c r="BD43" s="277">
        <f t="shared" si="33"/>
        <v>0</v>
      </c>
      <c r="BE43" s="277">
        <f t="shared" si="34"/>
        <v>0</v>
      </c>
      <c r="BF43" s="277">
        <f t="shared" si="35"/>
        <v>0</v>
      </c>
      <c r="BG43" s="277">
        <f t="shared" si="36"/>
        <v>0</v>
      </c>
      <c r="BH43" s="277">
        <f t="shared" si="75"/>
        <v>0</v>
      </c>
      <c r="BI43" s="277">
        <f t="shared" si="76"/>
        <v>0</v>
      </c>
      <c r="BJ43" s="277">
        <f t="shared" si="37"/>
        <v>0</v>
      </c>
      <c r="BK43" s="277">
        <f t="shared" si="38"/>
        <v>0</v>
      </c>
      <c r="BL43" s="277">
        <f t="shared" si="39"/>
        <v>0</v>
      </c>
      <c r="BM43" s="277">
        <f t="shared" si="40"/>
        <v>0</v>
      </c>
      <c r="BN43" s="277">
        <f t="shared" si="41"/>
        <v>0</v>
      </c>
      <c r="BO43" s="277">
        <f t="shared" si="42"/>
        <v>0</v>
      </c>
      <c r="BP43" s="277">
        <f t="shared" si="77"/>
        <v>0</v>
      </c>
      <c r="BQ43" s="277">
        <f t="shared" si="78"/>
        <v>0</v>
      </c>
      <c r="BR43" s="277">
        <f t="shared" si="43"/>
        <v>0</v>
      </c>
      <c r="BS43" s="277">
        <f t="shared" si="44"/>
        <v>0</v>
      </c>
      <c r="BT43" s="277">
        <f t="shared" si="79"/>
        <v>0</v>
      </c>
      <c r="BU43" s="277">
        <f t="shared" si="80"/>
        <v>0</v>
      </c>
      <c r="BV43" s="277">
        <f t="shared" si="101"/>
        <v>0</v>
      </c>
      <c r="BW43" s="277">
        <f t="shared" si="102"/>
        <v>0</v>
      </c>
      <c r="BX43" s="277">
        <f t="shared" si="45"/>
        <v>0</v>
      </c>
      <c r="BY43" s="277">
        <f t="shared" si="46"/>
        <v>0</v>
      </c>
      <c r="BZ43" s="277">
        <f t="shared" si="47"/>
        <v>0</v>
      </c>
      <c r="CA43" s="277">
        <f t="shared" si="48"/>
        <v>0</v>
      </c>
      <c r="CB43" s="277">
        <f t="shared" si="49"/>
        <v>0</v>
      </c>
      <c r="CC43" s="277">
        <f t="shared" si="50"/>
        <v>0</v>
      </c>
      <c r="CD43" s="277">
        <f t="shared" si="83"/>
        <v>0</v>
      </c>
      <c r="CE43" s="277">
        <f t="shared" si="84"/>
        <v>0</v>
      </c>
      <c r="CF43" s="277">
        <f t="shared" si="85"/>
        <v>0</v>
      </c>
      <c r="CG43" s="277">
        <f t="shared" si="86"/>
        <v>0</v>
      </c>
      <c r="CH43" s="277">
        <f t="shared" si="51"/>
        <v>0</v>
      </c>
      <c r="CI43" s="277">
        <f t="shared" si="52"/>
        <v>0</v>
      </c>
      <c r="CJ43" s="277">
        <f t="shared" si="87"/>
        <v>0</v>
      </c>
      <c r="CK43" s="277">
        <f t="shared" si="88"/>
        <v>0</v>
      </c>
      <c r="CL43" s="277">
        <f t="shared" si="53"/>
        <v>0</v>
      </c>
      <c r="CM43" s="277">
        <f t="shared" si="54"/>
        <v>0</v>
      </c>
      <c r="CN43" s="277">
        <f t="shared" si="55"/>
        <v>0</v>
      </c>
      <c r="CO43" s="277">
        <f t="shared" si="56"/>
        <v>0</v>
      </c>
      <c r="CP43" s="277">
        <f t="shared" si="89"/>
        <v>0</v>
      </c>
      <c r="CQ43" s="277">
        <f t="shared" ca="1" si="90"/>
        <v>0</v>
      </c>
      <c r="CR43" s="277">
        <f t="shared" si="91"/>
        <v>0</v>
      </c>
      <c r="CS43" s="277">
        <f t="shared" si="92"/>
        <v>0</v>
      </c>
      <c r="CT43" s="277">
        <f t="shared" si="57"/>
        <v>0</v>
      </c>
      <c r="CU43" s="277">
        <f t="shared" si="58"/>
        <v>0</v>
      </c>
      <c r="CV43" s="277">
        <f t="shared" si="59"/>
        <v>0</v>
      </c>
      <c r="CW43" s="277">
        <f t="shared" si="60"/>
        <v>0</v>
      </c>
      <c r="CX43" s="277">
        <f t="shared" si="93"/>
        <v>0</v>
      </c>
      <c r="CY43" s="277">
        <f t="shared" si="94"/>
        <v>0</v>
      </c>
      <c r="CZ43" s="277">
        <f t="shared" ca="1" si="95"/>
        <v>0</v>
      </c>
      <c r="DA43" s="277">
        <f t="shared" si="96"/>
        <v>0</v>
      </c>
    </row>
    <row r="44" spans="1:105" s="274" customFormat="1" ht="15" customHeight="1">
      <c r="A44" s="63">
        <f t="array" aca="1" ref="A44" ca="1">IF(C44&lt;&gt;0,SUM(($C$11:C44&lt;&gt;0)*1),"")</f>
        <v>34</v>
      </c>
      <c r="B44" s="275">
        <v>42460</v>
      </c>
      <c r="C44" s="278" t="s">
        <v>115</v>
      </c>
      <c r="D44" s="278">
        <f t="shared" si="97"/>
        <v>42460</v>
      </c>
      <c r="E44" s="968" t="s">
        <v>117</v>
      </c>
      <c r="F44" s="969">
        <f ca="1">CR52</f>
        <v>0</v>
      </c>
      <c r="G44" s="970" t="s">
        <v>109</v>
      </c>
      <c r="H44" s="970" t="s">
        <v>101</v>
      </c>
      <c r="I44" s="63">
        <f t="shared" ca="1" si="98"/>
        <v>34</v>
      </c>
      <c r="J44" s="277">
        <f t="shared" si="61"/>
        <v>0</v>
      </c>
      <c r="K44" s="277">
        <f t="shared" si="62"/>
        <v>0</v>
      </c>
      <c r="L44" s="277">
        <f t="shared" si="1"/>
        <v>0</v>
      </c>
      <c r="M44" s="277">
        <f t="shared" si="2"/>
        <v>0</v>
      </c>
      <c r="N44" s="277">
        <f t="shared" si="3"/>
        <v>0</v>
      </c>
      <c r="O44" s="277">
        <f t="shared" si="4"/>
        <v>0</v>
      </c>
      <c r="P44" s="277">
        <f t="shared" si="5"/>
        <v>0</v>
      </c>
      <c r="Q44" s="277">
        <f t="shared" si="6"/>
        <v>0</v>
      </c>
      <c r="R44" s="277">
        <f t="shared" si="7"/>
        <v>0</v>
      </c>
      <c r="S44" s="277">
        <f t="shared" si="8"/>
        <v>0</v>
      </c>
      <c r="T44" s="277">
        <f t="shared" si="9"/>
        <v>0</v>
      </c>
      <c r="U44" s="277">
        <f t="shared" si="10"/>
        <v>0</v>
      </c>
      <c r="V44" s="277">
        <f t="shared" si="11"/>
        <v>0</v>
      </c>
      <c r="W44" s="277">
        <f t="shared" si="12"/>
        <v>0</v>
      </c>
      <c r="X44" s="277">
        <f t="shared" si="13"/>
        <v>0</v>
      </c>
      <c r="Y44" s="277">
        <f t="shared" si="14"/>
        <v>0</v>
      </c>
      <c r="Z44" s="277">
        <f t="shared" si="15"/>
        <v>0</v>
      </c>
      <c r="AA44" s="277">
        <f t="shared" si="16"/>
        <v>0</v>
      </c>
      <c r="AB44" s="277">
        <f t="shared" si="63"/>
        <v>0</v>
      </c>
      <c r="AC44" s="277">
        <f t="shared" si="64"/>
        <v>0</v>
      </c>
      <c r="AD44" s="277">
        <f t="shared" si="17"/>
        <v>0</v>
      </c>
      <c r="AE44" s="277">
        <f t="shared" si="18"/>
        <v>0</v>
      </c>
      <c r="AF44" s="277">
        <f t="shared" si="19"/>
        <v>0</v>
      </c>
      <c r="AG44" s="277">
        <f t="shared" si="20"/>
        <v>0</v>
      </c>
      <c r="AH44" s="277">
        <f t="shared" si="65"/>
        <v>0</v>
      </c>
      <c r="AI44" s="277">
        <f t="shared" si="66"/>
        <v>0</v>
      </c>
      <c r="AJ44" s="277">
        <f t="shared" si="67"/>
        <v>0</v>
      </c>
      <c r="AK44" s="277">
        <f t="shared" si="68"/>
        <v>0</v>
      </c>
      <c r="AL44" s="277">
        <f t="shared" si="69"/>
        <v>0</v>
      </c>
      <c r="AM44" s="277">
        <f t="shared" si="70"/>
        <v>0</v>
      </c>
      <c r="AN44" s="277">
        <f t="shared" si="71"/>
        <v>0</v>
      </c>
      <c r="AO44" s="277">
        <f t="shared" si="72"/>
        <v>0</v>
      </c>
      <c r="AP44" s="277">
        <f t="shared" si="21"/>
        <v>0</v>
      </c>
      <c r="AQ44" s="277">
        <f t="shared" si="22"/>
        <v>0</v>
      </c>
      <c r="AR44" s="277">
        <f t="shared" si="23"/>
        <v>0</v>
      </c>
      <c r="AS44" s="277">
        <f t="shared" si="24"/>
        <v>0</v>
      </c>
      <c r="AT44" s="277">
        <f t="shared" si="99"/>
        <v>0</v>
      </c>
      <c r="AU44" s="277">
        <f t="shared" si="100"/>
        <v>0</v>
      </c>
      <c r="AV44" s="277">
        <f t="shared" si="25"/>
        <v>0</v>
      </c>
      <c r="AW44" s="277">
        <f t="shared" si="26"/>
        <v>0</v>
      </c>
      <c r="AX44" s="277">
        <f t="shared" si="27"/>
        <v>0</v>
      </c>
      <c r="AY44" s="277">
        <f t="shared" si="28"/>
        <v>0</v>
      </c>
      <c r="AZ44" s="277">
        <f t="shared" si="29"/>
        <v>0</v>
      </c>
      <c r="BA44" s="277">
        <f t="shared" si="30"/>
        <v>0</v>
      </c>
      <c r="BB44" s="277">
        <f t="shared" si="31"/>
        <v>0</v>
      </c>
      <c r="BC44" s="277">
        <f t="shared" si="32"/>
        <v>0</v>
      </c>
      <c r="BD44" s="277">
        <f t="shared" si="33"/>
        <v>0</v>
      </c>
      <c r="BE44" s="277">
        <f t="shared" si="34"/>
        <v>0</v>
      </c>
      <c r="BF44" s="277">
        <f t="shared" si="35"/>
        <v>0</v>
      </c>
      <c r="BG44" s="277">
        <f t="shared" si="36"/>
        <v>0</v>
      </c>
      <c r="BH44" s="277">
        <f t="shared" si="75"/>
        <v>0</v>
      </c>
      <c r="BI44" s="277">
        <f t="shared" si="76"/>
        <v>0</v>
      </c>
      <c r="BJ44" s="277">
        <f t="shared" si="37"/>
        <v>0</v>
      </c>
      <c r="BK44" s="277">
        <f t="shared" si="38"/>
        <v>0</v>
      </c>
      <c r="BL44" s="277">
        <f t="shared" si="39"/>
        <v>0</v>
      </c>
      <c r="BM44" s="277">
        <f t="shared" si="40"/>
        <v>0</v>
      </c>
      <c r="BN44" s="277">
        <f t="shared" si="41"/>
        <v>0</v>
      </c>
      <c r="BO44" s="277">
        <f t="shared" si="42"/>
        <v>0</v>
      </c>
      <c r="BP44" s="277">
        <f t="shared" si="77"/>
        <v>0</v>
      </c>
      <c r="BQ44" s="277">
        <f t="shared" si="78"/>
        <v>0</v>
      </c>
      <c r="BR44" s="277">
        <f t="shared" si="43"/>
        <v>0</v>
      </c>
      <c r="BS44" s="277">
        <f t="shared" si="44"/>
        <v>0</v>
      </c>
      <c r="BT44" s="277">
        <f t="shared" si="79"/>
        <v>0</v>
      </c>
      <c r="BU44" s="277">
        <f t="shared" si="80"/>
        <v>0</v>
      </c>
      <c r="BV44" s="277">
        <f t="shared" si="101"/>
        <v>0</v>
      </c>
      <c r="BW44" s="277">
        <f t="shared" si="102"/>
        <v>0</v>
      </c>
      <c r="BX44" s="277">
        <f t="shared" si="45"/>
        <v>0</v>
      </c>
      <c r="BY44" s="277">
        <f t="shared" si="46"/>
        <v>0</v>
      </c>
      <c r="BZ44" s="277">
        <f t="shared" si="47"/>
        <v>0</v>
      </c>
      <c r="CA44" s="277">
        <f t="shared" si="48"/>
        <v>0</v>
      </c>
      <c r="CB44" s="277">
        <f t="shared" si="49"/>
        <v>0</v>
      </c>
      <c r="CC44" s="277">
        <f t="shared" si="50"/>
        <v>0</v>
      </c>
      <c r="CD44" s="277">
        <f t="shared" si="83"/>
        <v>0</v>
      </c>
      <c r="CE44" s="277">
        <f t="shared" si="84"/>
        <v>0</v>
      </c>
      <c r="CF44" s="277">
        <f t="shared" si="85"/>
        <v>0</v>
      </c>
      <c r="CG44" s="277">
        <f t="shared" si="86"/>
        <v>0</v>
      </c>
      <c r="CH44" s="277">
        <f t="shared" si="51"/>
        <v>0</v>
      </c>
      <c r="CI44" s="277">
        <f t="shared" si="52"/>
        <v>0</v>
      </c>
      <c r="CJ44" s="277">
        <f t="shared" si="87"/>
        <v>0</v>
      </c>
      <c r="CK44" s="277">
        <f t="shared" si="88"/>
        <v>0</v>
      </c>
      <c r="CL44" s="277">
        <f t="shared" si="53"/>
        <v>0</v>
      </c>
      <c r="CM44" s="277">
        <f t="shared" si="54"/>
        <v>0</v>
      </c>
      <c r="CN44" s="277">
        <f t="shared" si="55"/>
        <v>0</v>
      </c>
      <c r="CO44" s="277">
        <f t="shared" si="56"/>
        <v>0</v>
      </c>
      <c r="CP44" s="277">
        <f t="shared" si="89"/>
        <v>0</v>
      </c>
      <c r="CQ44" s="277">
        <f t="shared" si="90"/>
        <v>0</v>
      </c>
      <c r="CR44" s="277">
        <f t="shared" si="91"/>
        <v>0</v>
      </c>
      <c r="CS44" s="277">
        <f t="shared" ca="1" si="92"/>
        <v>0</v>
      </c>
      <c r="CT44" s="277">
        <f t="shared" si="57"/>
        <v>0</v>
      </c>
      <c r="CU44" s="277">
        <f t="shared" si="58"/>
        <v>0</v>
      </c>
      <c r="CV44" s="277">
        <f t="shared" si="59"/>
        <v>0</v>
      </c>
      <c r="CW44" s="277">
        <f t="shared" si="60"/>
        <v>0</v>
      </c>
      <c r="CX44" s="277">
        <f t="shared" si="93"/>
        <v>0</v>
      </c>
      <c r="CY44" s="277">
        <f t="shared" si="94"/>
        <v>0</v>
      </c>
      <c r="CZ44" s="277">
        <f t="shared" ca="1" si="95"/>
        <v>0</v>
      </c>
      <c r="DA44" s="277">
        <f t="shared" si="96"/>
        <v>0</v>
      </c>
    </row>
    <row r="45" spans="1:105" s="274" customFormat="1" ht="15" customHeight="1">
      <c r="A45" s="63">
        <f t="array" aca="1" ref="A45" ca="1">IF(C45&lt;&gt;0,SUM(($C$11:C45&lt;&gt;0)*1),"")</f>
        <v>35</v>
      </c>
      <c r="B45" s="275">
        <v>42460</v>
      </c>
      <c r="C45" s="278" t="s">
        <v>115</v>
      </c>
      <c r="D45" s="278">
        <f t="shared" ref="D45:D50" si="103">B45</f>
        <v>42460</v>
      </c>
      <c r="E45" s="968" t="s">
        <v>214</v>
      </c>
      <c r="F45" s="969"/>
      <c r="G45" s="970" t="s">
        <v>109</v>
      </c>
      <c r="H45" s="970" t="s">
        <v>94</v>
      </c>
      <c r="I45" s="63">
        <f t="shared" ca="1" si="98"/>
        <v>35</v>
      </c>
      <c r="J45" s="277">
        <f t="shared" si="61"/>
        <v>0</v>
      </c>
      <c r="K45" s="277">
        <f t="shared" si="62"/>
        <v>0</v>
      </c>
      <c r="L45" s="277">
        <f t="shared" si="1"/>
        <v>0</v>
      </c>
      <c r="M45" s="277">
        <f t="shared" si="2"/>
        <v>0</v>
      </c>
      <c r="N45" s="277">
        <f t="shared" si="3"/>
        <v>0</v>
      </c>
      <c r="O45" s="277">
        <f t="shared" si="4"/>
        <v>0</v>
      </c>
      <c r="P45" s="277">
        <f t="shared" si="5"/>
        <v>0</v>
      </c>
      <c r="Q45" s="277">
        <f t="shared" si="6"/>
        <v>0</v>
      </c>
      <c r="R45" s="277">
        <f t="shared" si="7"/>
        <v>0</v>
      </c>
      <c r="S45" s="277">
        <f t="shared" si="8"/>
        <v>0</v>
      </c>
      <c r="T45" s="277">
        <f t="shared" si="9"/>
        <v>0</v>
      </c>
      <c r="U45" s="277">
        <f t="shared" si="10"/>
        <v>0</v>
      </c>
      <c r="V45" s="277">
        <f t="shared" si="11"/>
        <v>0</v>
      </c>
      <c r="W45" s="277">
        <f t="shared" si="12"/>
        <v>0</v>
      </c>
      <c r="X45" s="277">
        <f t="shared" si="13"/>
        <v>0</v>
      </c>
      <c r="Y45" s="277">
        <f t="shared" si="14"/>
        <v>0</v>
      </c>
      <c r="Z45" s="277">
        <f t="shared" si="15"/>
        <v>0</v>
      </c>
      <c r="AA45" s="277">
        <f t="shared" si="16"/>
        <v>0</v>
      </c>
      <c r="AB45" s="277">
        <f t="shared" si="63"/>
        <v>0</v>
      </c>
      <c r="AC45" s="277">
        <f t="shared" si="64"/>
        <v>0</v>
      </c>
      <c r="AD45" s="277">
        <f t="shared" si="17"/>
        <v>0</v>
      </c>
      <c r="AE45" s="277">
        <f t="shared" si="18"/>
        <v>0</v>
      </c>
      <c r="AF45" s="277">
        <f t="shared" si="19"/>
        <v>0</v>
      </c>
      <c r="AG45" s="277">
        <f t="shared" si="20"/>
        <v>0</v>
      </c>
      <c r="AH45" s="277">
        <f t="shared" si="65"/>
        <v>0</v>
      </c>
      <c r="AI45" s="277">
        <f t="shared" si="66"/>
        <v>0</v>
      </c>
      <c r="AJ45" s="277">
        <f t="shared" si="67"/>
        <v>0</v>
      </c>
      <c r="AK45" s="277">
        <f t="shared" si="68"/>
        <v>0</v>
      </c>
      <c r="AL45" s="277">
        <f t="shared" si="69"/>
        <v>0</v>
      </c>
      <c r="AM45" s="277">
        <f t="shared" si="70"/>
        <v>0</v>
      </c>
      <c r="AN45" s="277">
        <f t="shared" si="71"/>
        <v>0</v>
      </c>
      <c r="AO45" s="277">
        <f t="shared" si="72"/>
        <v>0</v>
      </c>
      <c r="AP45" s="277">
        <f t="shared" si="21"/>
        <v>0</v>
      </c>
      <c r="AQ45" s="277">
        <f t="shared" si="22"/>
        <v>0</v>
      </c>
      <c r="AR45" s="277">
        <f t="shared" si="23"/>
        <v>0</v>
      </c>
      <c r="AS45" s="277">
        <f t="shared" si="24"/>
        <v>0</v>
      </c>
      <c r="AT45" s="277">
        <f t="shared" si="99"/>
        <v>0</v>
      </c>
      <c r="AU45" s="277">
        <f t="shared" si="100"/>
        <v>0</v>
      </c>
      <c r="AV45" s="277">
        <f t="shared" si="25"/>
        <v>0</v>
      </c>
      <c r="AW45" s="277">
        <f t="shared" si="26"/>
        <v>0</v>
      </c>
      <c r="AX45" s="277">
        <f t="shared" si="27"/>
        <v>0</v>
      </c>
      <c r="AY45" s="277">
        <f t="shared" si="28"/>
        <v>0</v>
      </c>
      <c r="AZ45" s="277">
        <f t="shared" si="29"/>
        <v>0</v>
      </c>
      <c r="BA45" s="277">
        <f t="shared" si="30"/>
        <v>0</v>
      </c>
      <c r="BB45" s="277">
        <f t="shared" si="31"/>
        <v>0</v>
      </c>
      <c r="BC45" s="277">
        <f t="shared" si="32"/>
        <v>0</v>
      </c>
      <c r="BD45" s="277">
        <f t="shared" si="33"/>
        <v>0</v>
      </c>
      <c r="BE45" s="277">
        <f t="shared" si="34"/>
        <v>0</v>
      </c>
      <c r="BF45" s="277">
        <f t="shared" si="35"/>
        <v>0</v>
      </c>
      <c r="BG45" s="277">
        <f t="shared" si="36"/>
        <v>0</v>
      </c>
      <c r="BH45" s="277">
        <f t="shared" si="75"/>
        <v>0</v>
      </c>
      <c r="BI45" s="277">
        <f t="shared" si="76"/>
        <v>0</v>
      </c>
      <c r="BJ45" s="277">
        <f t="shared" si="37"/>
        <v>0</v>
      </c>
      <c r="BK45" s="277">
        <f t="shared" si="38"/>
        <v>0</v>
      </c>
      <c r="BL45" s="277">
        <f t="shared" si="39"/>
        <v>0</v>
      </c>
      <c r="BM45" s="277">
        <f t="shared" si="40"/>
        <v>0</v>
      </c>
      <c r="BN45" s="277">
        <f t="shared" si="41"/>
        <v>0</v>
      </c>
      <c r="BO45" s="277">
        <f t="shared" si="42"/>
        <v>0</v>
      </c>
      <c r="BP45" s="277">
        <f t="shared" si="77"/>
        <v>0</v>
      </c>
      <c r="BQ45" s="277">
        <f t="shared" si="78"/>
        <v>0</v>
      </c>
      <c r="BR45" s="277">
        <f t="shared" si="43"/>
        <v>0</v>
      </c>
      <c r="BS45" s="277">
        <f t="shared" si="44"/>
        <v>0</v>
      </c>
      <c r="BT45" s="277">
        <f t="shared" si="79"/>
        <v>0</v>
      </c>
      <c r="BU45" s="277">
        <f t="shared" si="80"/>
        <v>0</v>
      </c>
      <c r="BV45" s="277">
        <f t="shared" si="101"/>
        <v>0</v>
      </c>
      <c r="BW45" s="277">
        <f t="shared" si="102"/>
        <v>0</v>
      </c>
      <c r="BX45" s="277">
        <f t="shared" si="45"/>
        <v>0</v>
      </c>
      <c r="BY45" s="277">
        <f t="shared" si="46"/>
        <v>0</v>
      </c>
      <c r="BZ45" s="277">
        <f t="shared" si="47"/>
        <v>0</v>
      </c>
      <c r="CA45" s="277">
        <f t="shared" si="48"/>
        <v>0</v>
      </c>
      <c r="CB45" s="277">
        <f t="shared" si="49"/>
        <v>0</v>
      </c>
      <c r="CC45" s="277">
        <f t="shared" si="50"/>
        <v>0</v>
      </c>
      <c r="CD45" s="277">
        <f t="shared" si="83"/>
        <v>0</v>
      </c>
      <c r="CE45" s="277">
        <f t="shared" si="84"/>
        <v>0</v>
      </c>
      <c r="CF45" s="277">
        <f t="shared" si="85"/>
        <v>0</v>
      </c>
      <c r="CG45" s="277">
        <f t="shared" si="86"/>
        <v>0</v>
      </c>
      <c r="CH45" s="277">
        <f t="shared" si="51"/>
        <v>0</v>
      </c>
      <c r="CI45" s="277">
        <f t="shared" si="52"/>
        <v>0</v>
      </c>
      <c r="CJ45" s="277">
        <f t="shared" si="87"/>
        <v>0</v>
      </c>
      <c r="CK45" s="277">
        <f t="shared" si="88"/>
        <v>0</v>
      </c>
      <c r="CL45" s="277">
        <f t="shared" si="53"/>
        <v>0</v>
      </c>
      <c r="CM45" s="277">
        <f t="shared" si="54"/>
        <v>0</v>
      </c>
      <c r="CN45" s="277">
        <f t="shared" si="55"/>
        <v>0</v>
      </c>
      <c r="CO45" s="277">
        <f t="shared" si="56"/>
        <v>0</v>
      </c>
      <c r="CP45" s="277">
        <f t="shared" si="89"/>
        <v>0</v>
      </c>
      <c r="CQ45" s="277">
        <f t="shared" si="90"/>
        <v>0</v>
      </c>
      <c r="CR45" s="277">
        <f t="shared" si="91"/>
        <v>0</v>
      </c>
      <c r="CS45" s="277">
        <f t="shared" si="92"/>
        <v>0</v>
      </c>
      <c r="CT45" s="277">
        <f t="shared" si="57"/>
        <v>0</v>
      </c>
      <c r="CU45" s="277">
        <f t="shared" si="58"/>
        <v>0</v>
      </c>
      <c r="CV45" s="277">
        <f t="shared" si="59"/>
        <v>0</v>
      </c>
      <c r="CW45" s="277">
        <f t="shared" si="60"/>
        <v>0</v>
      </c>
      <c r="CX45" s="277">
        <f t="shared" si="93"/>
        <v>0</v>
      </c>
      <c r="CY45" s="277">
        <f t="shared" si="94"/>
        <v>0</v>
      </c>
      <c r="CZ45" s="277">
        <f t="shared" si="95"/>
        <v>0</v>
      </c>
      <c r="DA45" s="277">
        <f t="shared" si="96"/>
        <v>0</v>
      </c>
    </row>
    <row r="46" spans="1:105" s="274" customFormat="1" ht="15" customHeight="1">
      <c r="A46" s="63">
        <f t="array" aca="1" ref="A46" ca="1">IF(C46&lt;&gt;0,SUM(($C$11:C46&lt;&gt;0)*1),"")</f>
        <v>36</v>
      </c>
      <c r="B46" s="275">
        <v>42460</v>
      </c>
      <c r="C46" s="278" t="s">
        <v>115</v>
      </c>
      <c r="D46" s="278">
        <f t="shared" si="103"/>
        <v>42460</v>
      </c>
      <c r="E46" s="968" t="s">
        <v>118</v>
      </c>
      <c r="F46" s="969">
        <f ca="1">CI52</f>
        <v>0</v>
      </c>
      <c r="G46" s="970" t="s">
        <v>43</v>
      </c>
      <c r="H46" s="970" t="s">
        <v>109</v>
      </c>
      <c r="I46" s="63">
        <f t="shared" ca="1" si="98"/>
        <v>36</v>
      </c>
      <c r="J46" s="277">
        <f t="shared" si="61"/>
        <v>0</v>
      </c>
      <c r="K46" s="277">
        <f t="shared" si="62"/>
        <v>0</v>
      </c>
      <c r="L46" s="277">
        <f t="shared" si="1"/>
        <v>0</v>
      </c>
      <c r="M46" s="277">
        <f t="shared" si="2"/>
        <v>0</v>
      </c>
      <c r="N46" s="277">
        <f t="shared" si="3"/>
        <v>0</v>
      </c>
      <c r="O46" s="277">
        <f t="shared" si="4"/>
        <v>0</v>
      </c>
      <c r="P46" s="277">
        <f t="shared" si="5"/>
        <v>0</v>
      </c>
      <c r="Q46" s="277">
        <f t="shared" si="6"/>
        <v>0</v>
      </c>
      <c r="R46" s="277">
        <f t="shared" si="7"/>
        <v>0</v>
      </c>
      <c r="S46" s="277">
        <f t="shared" si="8"/>
        <v>0</v>
      </c>
      <c r="T46" s="277">
        <f t="shared" si="9"/>
        <v>0</v>
      </c>
      <c r="U46" s="277">
        <f t="shared" si="10"/>
        <v>0</v>
      </c>
      <c r="V46" s="277">
        <f t="shared" si="11"/>
        <v>0</v>
      </c>
      <c r="W46" s="277">
        <f t="shared" si="12"/>
        <v>0</v>
      </c>
      <c r="X46" s="277">
        <f t="shared" si="13"/>
        <v>0</v>
      </c>
      <c r="Y46" s="277">
        <f t="shared" si="14"/>
        <v>0</v>
      </c>
      <c r="Z46" s="277">
        <f t="shared" si="15"/>
        <v>0</v>
      </c>
      <c r="AA46" s="277">
        <f t="shared" si="16"/>
        <v>0</v>
      </c>
      <c r="AB46" s="277">
        <f t="shared" si="63"/>
        <v>0</v>
      </c>
      <c r="AC46" s="277">
        <f t="shared" si="64"/>
        <v>0</v>
      </c>
      <c r="AD46" s="277">
        <f t="shared" si="17"/>
        <v>0</v>
      </c>
      <c r="AE46" s="277">
        <f t="shared" si="18"/>
        <v>0</v>
      </c>
      <c r="AF46" s="277">
        <f t="shared" si="19"/>
        <v>0</v>
      </c>
      <c r="AG46" s="277">
        <f t="shared" si="20"/>
        <v>0</v>
      </c>
      <c r="AH46" s="277">
        <f t="shared" si="65"/>
        <v>0</v>
      </c>
      <c r="AI46" s="277">
        <f t="shared" si="66"/>
        <v>0</v>
      </c>
      <c r="AJ46" s="277">
        <f t="shared" si="67"/>
        <v>0</v>
      </c>
      <c r="AK46" s="277">
        <f t="shared" si="68"/>
        <v>0</v>
      </c>
      <c r="AL46" s="277">
        <f t="shared" si="69"/>
        <v>0</v>
      </c>
      <c r="AM46" s="277">
        <f t="shared" si="70"/>
        <v>0</v>
      </c>
      <c r="AN46" s="277">
        <f t="shared" si="71"/>
        <v>0</v>
      </c>
      <c r="AO46" s="277">
        <f t="shared" si="72"/>
        <v>0</v>
      </c>
      <c r="AP46" s="277">
        <f t="shared" si="21"/>
        <v>0</v>
      </c>
      <c r="AQ46" s="277">
        <f t="shared" si="22"/>
        <v>0</v>
      </c>
      <c r="AR46" s="277">
        <f t="shared" si="23"/>
        <v>0</v>
      </c>
      <c r="AS46" s="277">
        <f t="shared" si="24"/>
        <v>0</v>
      </c>
      <c r="AT46" s="277">
        <f t="shared" si="99"/>
        <v>0</v>
      </c>
      <c r="AU46" s="277">
        <f t="shared" si="100"/>
        <v>0</v>
      </c>
      <c r="AV46" s="277">
        <f t="shared" si="25"/>
        <v>0</v>
      </c>
      <c r="AW46" s="277">
        <f t="shared" si="26"/>
        <v>0</v>
      </c>
      <c r="AX46" s="277">
        <f t="shared" si="27"/>
        <v>0</v>
      </c>
      <c r="AY46" s="277">
        <f t="shared" si="28"/>
        <v>0</v>
      </c>
      <c r="AZ46" s="277">
        <f t="shared" si="29"/>
        <v>0</v>
      </c>
      <c r="BA46" s="277">
        <f t="shared" si="30"/>
        <v>0</v>
      </c>
      <c r="BB46" s="277">
        <f t="shared" si="31"/>
        <v>0</v>
      </c>
      <c r="BC46" s="277">
        <f t="shared" si="32"/>
        <v>0</v>
      </c>
      <c r="BD46" s="277">
        <f t="shared" si="33"/>
        <v>0</v>
      </c>
      <c r="BE46" s="277">
        <f t="shared" si="34"/>
        <v>0</v>
      </c>
      <c r="BF46" s="277">
        <f t="shared" si="35"/>
        <v>0</v>
      </c>
      <c r="BG46" s="277">
        <f t="shared" si="36"/>
        <v>0</v>
      </c>
      <c r="BH46" s="277">
        <f t="shared" si="75"/>
        <v>0</v>
      </c>
      <c r="BI46" s="277">
        <f t="shared" si="76"/>
        <v>0</v>
      </c>
      <c r="BJ46" s="277">
        <f t="shared" si="37"/>
        <v>0</v>
      </c>
      <c r="BK46" s="277">
        <f t="shared" si="38"/>
        <v>0</v>
      </c>
      <c r="BL46" s="277">
        <f t="shared" si="39"/>
        <v>0</v>
      </c>
      <c r="BM46" s="277">
        <f t="shared" si="40"/>
        <v>0</v>
      </c>
      <c r="BN46" s="277">
        <f t="shared" si="41"/>
        <v>0</v>
      </c>
      <c r="BO46" s="277">
        <f t="shared" si="42"/>
        <v>0</v>
      </c>
      <c r="BP46" s="277">
        <f t="shared" si="77"/>
        <v>0</v>
      </c>
      <c r="BQ46" s="277">
        <f t="shared" si="78"/>
        <v>0</v>
      </c>
      <c r="BR46" s="277">
        <f t="shared" si="43"/>
        <v>0</v>
      </c>
      <c r="BS46" s="277">
        <f t="shared" si="44"/>
        <v>0</v>
      </c>
      <c r="BT46" s="277">
        <f t="shared" si="79"/>
        <v>0</v>
      </c>
      <c r="BU46" s="277">
        <f t="shared" si="80"/>
        <v>0</v>
      </c>
      <c r="BV46" s="277">
        <f t="shared" si="101"/>
        <v>0</v>
      </c>
      <c r="BW46" s="277">
        <f t="shared" si="102"/>
        <v>0</v>
      </c>
      <c r="BX46" s="277">
        <f t="shared" si="45"/>
        <v>0</v>
      </c>
      <c r="BY46" s="277">
        <f t="shared" si="46"/>
        <v>0</v>
      </c>
      <c r="BZ46" s="277">
        <f t="shared" si="47"/>
        <v>0</v>
      </c>
      <c r="CA46" s="277">
        <f t="shared" si="48"/>
        <v>0</v>
      </c>
      <c r="CB46" s="277">
        <f t="shared" si="49"/>
        <v>0</v>
      </c>
      <c r="CC46" s="277">
        <f t="shared" si="50"/>
        <v>0</v>
      </c>
      <c r="CD46" s="277">
        <f t="shared" si="83"/>
        <v>0</v>
      </c>
      <c r="CE46" s="277">
        <f t="shared" si="84"/>
        <v>0</v>
      </c>
      <c r="CF46" s="277">
        <f t="shared" si="85"/>
        <v>0</v>
      </c>
      <c r="CG46" s="277">
        <f t="shared" si="86"/>
        <v>0</v>
      </c>
      <c r="CH46" s="277">
        <f t="shared" ca="1" si="51"/>
        <v>0</v>
      </c>
      <c r="CI46" s="277">
        <f t="shared" si="52"/>
        <v>0</v>
      </c>
      <c r="CJ46" s="277">
        <f t="shared" si="87"/>
        <v>0</v>
      </c>
      <c r="CK46" s="277">
        <f t="shared" si="88"/>
        <v>0</v>
      </c>
      <c r="CL46" s="277">
        <f t="shared" si="53"/>
        <v>0</v>
      </c>
      <c r="CM46" s="277">
        <f t="shared" si="54"/>
        <v>0</v>
      </c>
      <c r="CN46" s="277">
        <f t="shared" si="55"/>
        <v>0</v>
      </c>
      <c r="CO46" s="277">
        <f t="shared" si="56"/>
        <v>0</v>
      </c>
      <c r="CP46" s="277">
        <f t="shared" si="89"/>
        <v>0</v>
      </c>
      <c r="CQ46" s="277">
        <f t="shared" si="90"/>
        <v>0</v>
      </c>
      <c r="CR46" s="277">
        <f t="shared" si="91"/>
        <v>0</v>
      </c>
      <c r="CS46" s="277">
        <f t="shared" si="92"/>
        <v>0</v>
      </c>
      <c r="CT46" s="277">
        <f t="shared" si="57"/>
        <v>0</v>
      </c>
      <c r="CU46" s="277">
        <f t="shared" si="58"/>
        <v>0</v>
      </c>
      <c r="CV46" s="277">
        <f t="shared" si="59"/>
        <v>0</v>
      </c>
      <c r="CW46" s="277">
        <f t="shared" si="60"/>
        <v>0</v>
      </c>
      <c r="CX46" s="277">
        <f t="shared" si="93"/>
        <v>0</v>
      </c>
      <c r="CY46" s="277">
        <f t="shared" si="94"/>
        <v>0</v>
      </c>
      <c r="CZ46" s="277">
        <f t="shared" si="95"/>
        <v>0</v>
      </c>
      <c r="DA46" s="277">
        <f t="shared" ca="1" si="96"/>
        <v>0</v>
      </c>
    </row>
    <row r="47" spans="1:105" s="274" customFormat="1" ht="15" customHeight="1">
      <c r="A47" s="63">
        <f t="array" aca="1" ref="A47" ca="1">IF(C47&lt;&gt;0,SUM(($C$11:C47&lt;&gt;0)*1),"")</f>
        <v>37</v>
      </c>
      <c r="B47" s="275">
        <v>42460</v>
      </c>
      <c r="C47" s="278" t="s">
        <v>115</v>
      </c>
      <c r="D47" s="278">
        <f t="shared" si="103"/>
        <v>42460</v>
      </c>
      <c r="E47" s="968" t="s">
        <v>930</v>
      </c>
      <c r="F47" s="969">
        <f ca="1">CE52</f>
        <v>0</v>
      </c>
      <c r="G47" s="970" t="s">
        <v>296</v>
      </c>
      <c r="H47" s="970" t="s">
        <v>109</v>
      </c>
      <c r="I47" s="63">
        <f t="shared" ca="1" si="98"/>
        <v>37</v>
      </c>
      <c r="J47" s="277">
        <f t="shared" si="61"/>
        <v>0</v>
      </c>
      <c r="K47" s="277">
        <f t="shared" si="62"/>
        <v>0</v>
      </c>
      <c r="L47" s="277">
        <f t="shared" si="1"/>
        <v>0</v>
      </c>
      <c r="M47" s="277">
        <f t="shared" si="2"/>
        <v>0</v>
      </c>
      <c r="N47" s="277">
        <f t="shared" si="3"/>
        <v>0</v>
      </c>
      <c r="O47" s="277">
        <f t="shared" si="4"/>
        <v>0</v>
      </c>
      <c r="P47" s="277">
        <f t="shared" si="5"/>
        <v>0</v>
      </c>
      <c r="Q47" s="277">
        <f t="shared" si="6"/>
        <v>0</v>
      </c>
      <c r="R47" s="277">
        <f t="shared" si="7"/>
        <v>0</v>
      </c>
      <c r="S47" s="277">
        <f t="shared" si="8"/>
        <v>0</v>
      </c>
      <c r="T47" s="277">
        <f t="shared" si="9"/>
        <v>0</v>
      </c>
      <c r="U47" s="277">
        <f t="shared" si="10"/>
        <v>0</v>
      </c>
      <c r="V47" s="277">
        <f t="shared" si="11"/>
        <v>0</v>
      </c>
      <c r="W47" s="277">
        <f t="shared" si="12"/>
        <v>0</v>
      </c>
      <c r="X47" s="277">
        <f t="shared" si="13"/>
        <v>0</v>
      </c>
      <c r="Y47" s="277">
        <f t="shared" si="14"/>
        <v>0</v>
      </c>
      <c r="Z47" s="277">
        <f t="shared" si="15"/>
        <v>0</v>
      </c>
      <c r="AA47" s="277">
        <f t="shared" si="16"/>
        <v>0</v>
      </c>
      <c r="AB47" s="277">
        <f t="shared" si="63"/>
        <v>0</v>
      </c>
      <c r="AC47" s="277">
        <f t="shared" si="64"/>
        <v>0</v>
      </c>
      <c r="AD47" s="277">
        <f t="shared" si="17"/>
        <v>0</v>
      </c>
      <c r="AE47" s="277">
        <f t="shared" si="18"/>
        <v>0</v>
      </c>
      <c r="AF47" s="277">
        <f t="shared" si="19"/>
        <v>0</v>
      </c>
      <c r="AG47" s="277">
        <f t="shared" si="20"/>
        <v>0</v>
      </c>
      <c r="AH47" s="277">
        <f t="shared" si="65"/>
        <v>0</v>
      </c>
      <c r="AI47" s="277">
        <f t="shared" si="66"/>
        <v>0</v>
      </c>
      <c r="AJ47" s="277">
        <f t="shared" si="67"/>
        <v>0</v>
      </c>
      <c r="AK47" s="277">
        <f t="shared" si="68"/>
        <v>0</v>
      </c>
      <c r="AL47" s="277">
        <f t="shared" si="69"/>
        <v>0</v>
      </c>
      <c r="AM47" s="277">
        <f t="shared" si="70"/>
        <v>0</v>
      </c>
      <c r="AN47" s="277">
        <f t="shared" si="71"/>
        <v>0</v>
      </c>
      <c r="AO47" s="277">
        <f t="shared" si="72"/>
        <v>0</v>
      </c>
      <c r="AP47" s="277">
        <f t="shared" si="21"/>
        <v>0</v>
      </c>
      <c r="AQ47" s="277">
        <f t="shared" si="22"/>
        <v>0</v>
      </c>
      <c r="AR47" s="277">
        <f t="shared" si="23"/>
        <v>0</v>
      </c>
      <c r="AS47" s="277">
        <f t="shared" si="24"/>
        <v>0</v>
      </c>
      <c r="AT47" s="277">
        <f t="shared" si="99"/>
        <v>0</v>
      </c>
      <c r="AU47" s="277">
        <f t="shared" si="100"/>
        <v>0</v>
      </c>
      <c r="AV47" s="277">
        <f t="shared" si="25"/>
        <v>0</v>
      </c>
      <c r="AW47" s="277">
        <f t="shared" si="26"/>
        <v>0</v>
      </c>
      <c r="AX47" s="277">
        <f t="shared" si="27"/>
        <v>0</v>
      </c>
      <c r="AY47" s="277">
        <f t="shared" si="28"/>
        <v>0</v>
      </c>
      <c r="AZ47" s="277">
        <f t="shared" si="29"/>
        <v>0</v>
      </c>
      <c r="BA47" s="277">
        <f t="shared" si="30"/>
        <v>0</v>
      </c>
      <c r="BB47" s="277">
        <f t="shared" si="31"/>
        <v>0</v>
      </c>
      <c r="BC47" s="277">
        <f t="shared" si="32"/>
        <v>0</v>
      </c>
      <c r="BD47" s="277">
        <f t="shared" si="33"/>
        <v>0</v>
      </c>
      <c r="BE47" s="277">
        <f t="shared" si="34"/>
        <v>0</v>
      </c>
      <c r="BF47" s="277">
        <f t="shared" si="35"/>
        <v>0</v>
      </c>
      <c r="BG47" s="277">
        <f t="shared" si="36"/>
        <v>0</v>
      </c>
      <c r="BH47" s="277">
        <f t="shared" si="75"/>
        <v>0</v>
      </c>
      <c r="BI47" s="277">
        <f t="shared" si="76"/>
        <v>0</v>
      </c>
      <c r="BJ47" s="277">
        <f t="shared" si="37"/>
        <v>0</v>
      </c>
      <c r="BK47" s="277">
        <f t="shared" si="38"/>
        <v>0</v>
      </c>
      <c r="BL47" s="277">
        <f t="shared" si="39"/>
        <v>0</v>
      </c>
      <c r="BM47" s="277">
        <f t="shared" si="40"/>
        <v>0</v>
      </c>
      <c r="BN47" s="277">
        <f t="shared" si="41"/>
        <v>0</v>
      </c>
      <c r="BO47" s="277">
        <f t="shared" si="42"/>
        <v>0</v>
      </c>
      <c r="BP47" s="277">
        <f t="shared" si="77"/>
        <v>0</v>
      </c>
      <c r="BQ47" s="277">
        <f t="shared" si="78"/>
        <v>0</v>
      </c>
      <c r="BR47" s="277">
        <f t="shared" si="43"/>
        <v>0</v>
      </c>
      <c r="BS47" s="277">
        <f t="shared" si="44"/>
        <v>0</v>
      </c>
      <c r="BT47" s="277">
        <f t="shared" si="79"/>
        <v>0</v>
      </c>
      <c r="BU47" s="277">
        <f t="shared" si="80"/>
        <v>0</v>
      </c>
      <c r="BV47" s="277">
        <f t="shared" si="101"/>
        <v>0</v>
      </c>
      <c r="BW47" s="277">
        <f t="shared" si="102"/>
        <v>0</v>
      </c>
      <c r="BX47" s="277">
        <f t="shared" si="45"/>
        <v>0</v>
      </c>
      <c r="BY47" s="277">
        <f t="shared" si="46"/>
        <v>0</v>
      </c>
      <c r="BZ47" s="277">
        <f t="shared" si="47"/>
        <v>0</v>
      </c>
      <c r="CA47" s="277">
        <f t="shared" si="48"/>
        <v>0</v>
      </c>
      <c r="CB47" s="277">
        <f t="shared" si="49"/>
        <v>0</v>
      </c>
      <c r="CC47" s="277">
        <f t="shared" si="50"/>
        <v>0</v>
      </c>
      <c r="CD47" s="277">
        <f t="shared" ca="1" si="83"/>
        <v>0</v>
      </c>
      <c r="CE47" s="277">
        <f t="shared" si="84"/>
        <v>0</v>
      </c>
      <c r="CF47" s="277">
        <f t="shared" si="85"/>
        <v>0</v>
      </c>
      <c r="CG47" s="277">
        <f t="shared" si="86"/>
        <v>0</v>
      </c>
      <c r="CH47" s="277">
        <f t="shared" si="51"/>
        <v>0</v>
      </c>
      <c r="CI47" s="277">
        <f t="shared" si="52"/>
        <v>0</v>
      </c>
      <c r="CJ47" s="277">
        <f t="shared" si="87"/>
        <v>0</v>
      </c>
      <c r="CK47" s="277">
        <f t="shared" si="88"/>
        <v>0</v>
      </c>
      <c r="CL47" s="277">
        <f t="shared" si="53"/>
        <v>0</v>
      </c>
      <c r="CM47" s="277">
        <f t="shared" si="54"/>
        <v>0</v>
      </c>
      <c r="CN47" s="277">
        <f t="shared" si="55"/>
        <v>0</v>
      </c>
      <c r="CO47" s="277">
        <f t="shared" si="56"/>
        <v>0</v>
      </c>
      <c r="CP47" s="277">
        <f t="shared" si="89"/>
        <v>0</v>
      </c>
      <c r="CQ47" s="277">
        <f t="shared" si="90"/>
        <v>0</v>
      </c>
      <c r="CR47" s="277">
        <f t="shared" si="91"/>
        <v>0</v>
      </c>
      <c r="CS47" s="277">
        <f t="shared" si="92"/>
        <v>0</v>
      </c>
      <c r="CT47" s="277">
        <f t="shared" si="57"/>
        <v>0</v>
      </c>
      <c r="CU47" s="277">
        <f t="shared" si="58"/>
        <v>0</v>
      </c>
      <c r="CV47" s="277">
        <f t="shared" si="59"/>
        <v>0</v>
      </c>
      <c r="CW47" s="277">
        <f t="shared" si="60"/>
        <v>0</v>
      </c>
      <c r="CX47" s="277">
        <f t="shared" si="93"/>
        <v>0</v>
      </c>
      <c r="CY47" s="277">
        <f t="shared" si="94"/>
        <v>0</v>
      </c>
      <c r="CZ47" s="277">
        <f t="shared" si="95"/>
        <v>0</v>
      </c>
      <c r="DA47" s="277">
        <f t="shared" ca="1" si="96"/>
        <v>0</v>
      </c>
    </row>
    <row r="48" spans="1:105" s="274" customFormat="1" ht="15" customHeight="1">
      <c r="A48" s="63">
        <f t="array" aca="1" ref="A48" ca="1">IF(C48&lt;&gt;0,SUM(($C$11:C48&lt;&gt;0)*1),"")</f>
        <v>38</v>
      </c>
      <c r="B48" s="275">
        <v>42460</v>
      </c>
      <c r="C48" s="278" t="s">
        <v>115</v>
      </c>
      <c r="D48" s="278">
        <f t="shared" si="103"/>
        <v>42460</v>
      </c>
      <c r="E48" s="968" t="s">
        <v>931</v>
      </c>
      <c r="F48" s="969">
        <f ca="1">CG52</f>
        <v>0</v>
      </c>
      <c r="G48" s="970" t="s">
        <v>298</v>
      </c>
      <c r="H48" s="970" t="s">
        <v>109</v>
      </c>
      <c r="I48" s="63">
        <f t="shared" ca="1" si="98"/>
        <v>38</v>
      </c>
      <c r="J48" s="277">
        <f t="shared" si="61"/>
        <v>0</v>
      </c>
      <c r="K48" s="277">
        <f t="shared" si="62"/>
        <v>0</v>
      </c>
      <c r="L48" s="277">
        <f t="shared" si="1"/>
        <v>0</v>
      </c>
      <c r="M48" s="277">
        <f t="shared" si="2"/>
        <v>0</v>
      </c>
      <c r="N48" s="277">
        <f t="shared" si="3"/>
        <v>0</v>
      </c>
      <c r="O48" s="277">
        <f t="shared" si="4"/>
        <v>0</v>
      </c>
      <c r="P48" s="277">
        <f t="shared" si="5"/>
        <v>0</v>
      </c>
      <c r="Q48" s="277">
        <f t="shared" si="6"/>
        <v>0</v>
      </c>
      <c r="R48" s="277">
        <f t="shared" si="7"/>
        <v>0</v>
      </c>
      <c r="S48" s="277">
        <f t="shared" si="8"/>
        <v>0</v>
      </c>
      <c r="T48" s="277">
        <f t="shared" si="9"/>
        <v>0</v>
      </c>
      <c r="U48" s="277">
        <f t="shared" si="10"/>
        <v>0</v>
      </c>
      <c r="V48" s="277">
        <f t="shared" si="11"/>
        <v>0</v>
      </c>
      <c r="W48" s="277">
        <f t="shared" si="12"/>
        <v>0</v>
      </c>
      <c r="X48" s="277">
        <f t="shared" si="13"/>
        <v>0</v>
      </c>
      <c r="Y48" s="277">
        <f t="shared" si="14"/>
        <v>0</v>
      </c>
      <c r="Z48" s="277">
        <f t="shared" si="15"/>
        <v>0</v>
      </c>
      <c r="AA48" s="277">
        <f t="shared" si="16"/>
        <v>0</v>
      </c>
      <c r="AB48" s="277">
        <f t="shared" si="63"/>
        <v>0</v>
      </c>
      <c r="AC48" s="277">
        <f t="shared" si="64"/>
        <v>0</v>
      </c>
      <c r="AD48" s="277">
        <f t="shared" si="17"/>
        <v>0</v>
      </c>
      <c r="AE48" s="277">
        <f t="shared" si="18"/>
        <v>0</v>
      </c>
      <c r="AF48" s="277">
        <f t="shared" si="19"/>
        <v>0</v>
      </c>
      <c r="AG48" s="277">
        <f t="shared" si="20"/>
        <v>0</v>
      </c>
      <c r="AH48" s="277">
        <f t="shared" si="65"/>
        <v>0</v>
      </c>
      <c r="AI48" s="277">
        <f t="shared" si="66"/>
        <v>0</v>
      </c>
      <c r="AJ48" s="277">
        <f t="shared" si="67"/>
        <v>0</v>
      </c>
      <c r="AK48" s="277">
        <f t="shared" si="68"/>
        <v>0</v>
      </c>
      <c r="AL48" s="277">
        <f t="shared" si="69"/>
        <v>0</v>
      </c>
      <c r="AM48" s="277">
        <f t="shared" si="70"/>
        <v>0</v>
      </c>
      <c r="AN48" s="277">
        <f t="shared" si="71"/>
        <v>0</v>
      </c>
      <c r="AO48" s="277">
        <f t="shared" si="72"/>
        <v>0</v>
      </c>
      <c r="AP48" s="277">
        <f t="shared" si="21"/>
        <v>0</v>
      </c>
      <c r="AQ48" s="277">
        <f t="shared" si="22"/>
        <v>0</v>
      </c>
      <c r="AR48" s="277">
        <f t="shared" si="23"/>
        <v>0</v>
      </c>
      <c r="AS48" s="277">
        <f t="shared" si="24"/>
        <v>0</v>
      </c>
      <c r="AT48" s="277">
        <f t="shared" si="99"/>
        <v>0</v>
      </c>
      <c r="AU48" s="277">
        <f t="shared" si="100"/>
        <v>0</v>
      </c>
      <c r="AV48" s="277">
        <f t="shared" si="25"/>
        <v>0</v>
      </c>
      <c r="AW48" s="277">
        <f t="shared" si="26"/>
        <v>0</v>
      </c>
      <c r="AX48" s="277">
        <f t="shared" si="27"/>
        <v>0</v>
      </c>
      <c r="AY48" s="277">
        <f t="shared" si="28"/>
        <v>0</v>
      </c>
      <c r="AZ48" s="277">
        <f t="shared" si="29"/>
        <v>0</v>
      </c>
      <c r="BA48" s="277">
        <f t="shared" si="30"/>
        <v>0</v>
      </c>
      <c r="BB48" s="277">
        <f t="shared" si="31"/>
        <v>0</v>
      </c>
      <c r="BC48" s="277">
        <f t="shared" si="32"/>
        <v>0</v>
      </c>
      <c r="BD48" s="277">
        <f t="shared" si="33"/>
        <v>0</v>
      </c>
      <c r="BE48" s="277">
        <f t="shared" si="34"/>
        <v>0</v>
      </c>
      <c r="BF48" s="277">
        <f t="shared" si="35"/>
        <v>0</v>
      </c>
      <c r="BG48" s="277">
        <f t="shared" si="36"/>
        <v>0</v>
      </c>
      <c r="BH48" s="277">
        <f t="shared" si="75"/>
        <v>0</v>
      </c>
      <c r="BI48" s="277">
        <f t="shared" si="76"/>
        <v>0</v>
      </c>
      <c r="BJ48" s="277">
        <f t="shared" si="37"/>
        <v>0</v>
      </c>
      <c r="BK48" s="277">
        <f t="shared" si="38"/>
        <v>0</v>
      </c>
      <c r="BL48" s="277">
        <f t="shared" si="39"/>
        <v>0</v>
      </c>
      <c r="BM48" s="277">
        <f t="shared" si="40"/>
        <v>0</v>
      </c>
      <c r="BN48" s="277">
        <f t="shared" si="41"/>
        <v>0</v>
      </c>
      <c r="BO48" s="277">
        <f t="shared" si="42"/>
        <v>0</v>
      </c>
      <c r="BP48" s="277">
        <f t="shared" si="77"/>
        <v>0</v>
      </c>
      <c r="BQ48" s="277">
        <f t="shared" si="78"/>
        <v>0</v>
      </c>
      <c r="BR48" s="277">
        <f t="shared" si="43"/>
        <v>0</v>
      </c>
      <c r="BS48" s="277">
        <f t="shared" si="44"/>
        <v>0</v>
      </c>
      <c r="BT48" s="277">
        <f t="shared" si="79"/>
        <v>0</v>
      </c>
      <c r="BU48" s="277">
        <f t="shared" si="80"/>
        <v>0</v>
      </c>
      <c r="BV48" s="277">
        <f t="shared" si="101"/>
        <v>0</v>
      </c>
      <c r="BW48" s="277">
        <f t="shared" si="102"/>
        <v>0</v>
      </c>
      <c r="BX48" s="277">
        <f t="shared" si="45"/>
        <v>0</v>
      </c>
      <c r="BY48" s="277">
        <f t="shared" si="46"/>
        <v>0</v>
      </c>
      <c r="BZ48" s="277">
        <f t="shared" si="47"/>
        <v>0</v>
      </c>
      <c r="CA48" s="277">
        <f t="shared" si="48"/>
        <v>0</v>
      </c>
      <c r="CB48" s="277">
        <f t="shared" si="49"/>
        <v>0</v>
      </c>
      <c r="CC48" s="277">
        <f t="shared" si="50"/>
        <v>0</v>
      </c>
      <c r="CD48" s="277">
        <f t="shared" si="83"/>
        <v>0</v>
      </c>
      <c r="CE48" s="277">
        <f t="shared" si="84"/>
        <v>0</v>
      </c>
      <c r="CF48" s="277">
        <f t="shared" ca="1" si="85"/>
        <v>0</v>
      </c>
      <c r="CG48" s="277">
        <f t="shared" si="86"/>
        <v>0</v>
      </c>
      <c r="CH48" s="277">
        <f t="shared" si="51"/>
        <v>0</v>
      </c>
      <c r="CI48" s="277">
        <f t="shared" si="52"/>
        <v>0</v>
      </c>
      <c r="CJ48" s="277">
        <f t="shared" si="87"/>
        <v>0</v>
      </c>
      <c r="CK48" s="277">
        <f t="shared" si="88"/>
        <v>0</v>
      </c>
      <c r="CL48" s="277">
        <f t="shared" si="53"/>
        <v>0</v>
      </c>
      <c r="CM48" s="277">
        <f t="shared" si="54"/>
        <v>0</v>
      </c>
      <c r="CN48" s="277">
        <f t="shared" si="55"/>
        <v>0</v>
      </c>
      <c r="CO48" s="277">
        <f t="shared" si="56"/>
        <v>0</v>
      </c>
      <c r="CP48" s="277">
        <f t="shared" si="89"/>
        <v>0</v>
      </c>
      <c r="CQ48" s="277">
        <f t="shared" si="90"/>
        <v>0</v>
      </c>
      <c r="CR48" s="277">
        <f t="shared" si="91"/>
        <v>0</v>
      </c>
      <c r="CS48" s="277">
        <f t="shared" si="92"/>
        <v>0</v>
      </c>
      <c r="CT48" s="277">
        <f t="shared" si="57"/>
        <v>0</v>
      </c>
      <c r="CU48" s="277">
        <f t="shared" si="58"/>
        <v>0</v>
      </c>
      <c r="CV48" s="277">
        <f t="shared" si="59"/>
        <v>0</v>
      </c>
      <c r="CW48" s="277">
        <f t="shared" si="60"/>
        <v>0</v>
      </c>
      <c r="CX48" s="277">
        <f t="shared" si="93"/>
        <v>0</v>
      </c>
      <c r="CY48" s="277">
        <f t="shared" si="94"/>
        <v>0</v>
      </c>
      <c r="CZ48" s="277">
        <f t="shared" si="95"/>
        <v>0</v>
      </c>
      <c r="DA48" s="277">
        <f t="shared" ca="1" si="96"/>
        <v>0</v>
      </c>
    </row>
    <row r="49" spans="1:105" s="274" customFormat="1" ht="15" customHeight="1">
      <c r="A49" s="63">
        <f t="array" aca="1" ref="A49" ca="1">IF(C49&lt;&gt;0,SUM(($C$11:C49&lt;&gt;0)*1),"")</f>
        <v>39</v>
      </c>
      <c r="B49" s="275">
        <v>42460</v>
      </c>
      <c r="C49" s="278" t="s">
        <v>115</v>
      </c>
      <c r="D49" s="278">
        <f t="shared" si="103"/>
        <v>42460</v>
      </c>
      <c r="E49" s="968" t="s">
        <v>119</v>
      </c>
      <c r="F49" s="969">
        <f ca="1">CU52</f>
        <v>0</v>
      </c>
      <c r="G49" s="970" t="s">
        <v>103</v>
      </c>
      <c r="H49" s="970" t="s">
        <v>109</v>
      </c>
      <c r="I49" s="63">
        <f t="shared" ca="1" si="98"/>
        <v>39</v>
      </c>
      <c r="J49" s="277">
        <f t="shared" si="61"/>
        <v>0</v>
      </c>
      <c r="K49" s="277">
        <f t="shared" si="62"/>
        <v>0</v>
      </c>
      <c r="L49" s="277">
        <f t="shared" si="1"/>
        <v>0</v>
      </c>
      <c r="M49" s="277">
        <f t="shared" si="2"/>
        <v>0</v>
      </c>
      <c r="N49" s="277">
        <f t="shared" si="3"/>
        <v>0</v>
      </c>
      <c r="O49" s="277">
        <f t="shared" si="4"/>
        <v>0</v>
      </c>
      <c r="P49" s="277">
        <f t="shared" si="5"/>
        <v>0</v>
      </c>
      <c r="Q49" s="277">
        <f t="shared" si="6"/>
        <v>0</v>
      </c>
      <c r="R49" s="277">
        <f t="shared" si="7"/>
        <v>0</v>
      </c>
      <c r="S49" s="277">
        <f t="shared" si="8"/>
        <v>0</v>
      </c>
      <c r="T49" s="277">
        <f t="shared" si="9"/>
        <v>0</v>
      </c>
      <c r="U49" s="277">
        <f t="shared" si="10"/>
        <v>0</v>
      </c>
      <c r="V49" s="277">
        <f t="shared" si="11"/>
        <v>0</v>
      </c>
      <c r="W49" s="277">
        <f t="shared" si="12"/>
        <v>0</v>
      </c>
      <c r="X49" s="277">
        <f t="shared" si="13"/>
        <v>0</v>
      </c>
      <c r="Y49" s="277">
        <f t="shared" si="14"/>
        <v>0</v>
      </c>
      <c r="Z49" s="277">
        <f t="shared" si="15"/>
        <v>0</v>
      </c>
      <c r="AA49" s="277">
        <f t="shared" si="16"/>
        <v>0</v>
      </c>
      <c r="AB49" s="277">
        <f t="shared" si="63"/>
        <v>0</v>
      </c>
      <c r="AC49" s="277">
        <f t="shared" si="64"/>
        <v>0</v>
      </c>
      <c r="AD49" s="277">
        <f t="shared" si="17"/>
        <v>0</v>
      </c>
      <c r="AE49" s="277">
        <f t="shared" si="18"/>
        <v>0</v>
      </c>
      <c r="AF49" s="277">
        <f t="shared" si="19"/>
        <v>0</v>
      </c>
      <c r="AG49" s="277">
        <f t="shared" si="20"/>
        <v>0</v>
      </c>
      <c r="AH49" s="277">
        <f t="shared" si="65"/>
        <v>0</v>
      </c>
      <c r="AI49" s="277">
        <f t="shared" si="66"/>
        <v>0</v>
      </c>
      <c r="AJ49" s="277">
        <f t="shared" si="67"/>
        <v>0</v>
      </c>
      <c r="AK49" s="277">
        <f t="shared" si="68"/>
        <v>0</v>
      </c>
      <c r="AL49" s="277">
        <f t="shared" si="69"/>
        <v>0</v>
      </c>
      <c r="AM49" s="277">
        <f t="shared" si="70"/>
        <v>0</v>
      </c>
      <c r="AN49" s="277">
        <f t="shared" si="71"/>
        <v>0</v>
      </c>
      <c r="AO49" s="277">
        <f t="shared" si="72"/>
        <v>0</v>
      </c>
      <c r="AP49" s="277">
        <f t="shared" si="21"/>
        <v>0</v>
      </c>
      <c r="AQ49" s="277">
        <f t="shared" si="22"/>
        <v>0</v>
      </c>
      <c r="AR49" s="277">
        <f t="shared" si="23"/>
        <v>0</v>
      </c>
      <c r="AS49" s="277">
        <f t="shared" si="24"/>
        <v>0</v>
      </c>
      <c r="AT49" s="277">
        <f t="shared" si="99"/>
        <v>0</v>
      </c>
      <c r="AU49" s="277">
        <f t="shared" si="100"/>
        <v>0</v>
      </c>
      <c r="AV49" s="277">
        <f t="shared" si="25"/>
        <v>0</v>
      </c>
      <c r="AW49" s="277">
        <f t="shared" si="26"/>
        <v>0</v>
      </c>
      <c r="AX49" s="277">
        <f t="shared" si="27"/>
        <v>0</v>
      </c>
      <c r="AY49" s="277">
        <f t="shared" si="28"/>
        <v>0</v>
      </c>
      <c r="AZ49" s="277">
        <f t="shared" si="29"/>
        <v>0</v>
      </c>
      <c r="BA49" s="277">
        <f t="shared" si="30"/>
        <v>0</v>
      </c>
      <c r="BB49" s="277">
        <f t="shared" si="31"/>
        <v>0</v>
      </c>
      <c r="BC49" s="277">
        <f t="shared" si="32"/>
        <v>0</v>
      </c>
      <c r="BD49" s="277">
        <f t="shared" si="33"/>
        <v>0</v>
      </c>
      <c r="BE49" s="277">
        <f t="shared" si="34"/>
        <v>0</v>
      </c>
      <c r="BF49" s="277">
        <f t="shared" si="35"/>
        <v>0</v>
      </c>
      <c r="BG49" s="277">
        <f t="shared" si="36"/>
        <v>0</v>
      </c>
      <c r="BH49" s="277">
        <f t="shared" si="75"/>
        <v>0</v>
      </c>
      <c r="BI49" s="277">
        <f t="shared" si="76"/>
        <v>0</v>
      </c>
      <c r="BJ49" s="277">
        <f t="shared" si="37"/>
        <v>0</v>
      </c>
      <c r="BK49" s="277">
        <f t="shared" si="38"/>
        <v>0</v>
      </c>
      <c r="BL49" s="277">
        <f t="shared" si="39"/>
        <v>0</v>
      </c>
      <c r="BM49" s="277">
        <f t="shared" si="40"/>
        <v>0</v>
      </c>
      <c r="BN49" s="277">
        <f t="shared" si="41"/>
        <v>0</v>
      </c>
      <c r="BO49" s="277">
        <f t="shared" si="42"/>
        <v>0</v>
      </c>
      <c r="BP49" s="277">
        <f t="shared" si="77"/>
        <v>0</v>
      </c>
      <c r="BQ49" s="277">
        <f t="shared" si="78"/>
        <v>0</v>
      </c>
      <c r="BR49" s="277">
        <f t="shared" si="43"/>
        <v>0</v>
      </c>
      <c r="BS49" s="277">
        <f t="shared" si="44"/>
        <v>0</v>
      </c>
      <c r="BT49" s="277">
        <f t="shared" si="79"/>
        <v>0</v>
      </c>
      <c r="BU49" s="277">
        <f t="shared" si="80"/>
        <v>0</v>
      </c>
      <c r="BV49" s="277">
        <f t="shared" si="101"/>
        <v>0</v>
      </c>
      <c r="BW49" s="277">
        <f t="shared" si="102"/>
        <v>0</v>
      </c>
      <c r="BX49" s="277">
        <f t="shared" si="45"/>
        <v>0</v>
      </c>
      <c r="BY49" s="277">
        <f t="shared" si="46"/>
        <v>0</v>
      </c>
      <c r="BZ49" s="277">
        <f t="shared" si="47"/>
        <v>0</v>
      </c>
      <c r="CA49" s="277">
        <f t="shared" si="48"/>
        <v>0</v>
      </c>
      <c r="CB49" s="277">
        <f t="shared" si="49"/>
        <v>0</v>
      </c>
      <c r="CC49" s="277">
        <f t="shared" si="50"/>
        <v>0</v>
      </c>
      <c r="CD49" s="277">
        <f t="shared" si="83"/>
        <v>0</v>
      </c>
      <c r="CE49" s="277">
        <f t="shared" si="84"/>
        <v>0</v>
      </c>
      <c r="CF49" s="277">
        <f t="shared" si="85"/>
        <v>0</v>
      </c>
      <c r="CG49" s="277">
        <f t="shared" si="86"/>
        <v>0</v>
      </c>
      <c r="CH49" s="277">
        <f t="shared" si="51"/>
        <v>0</v>
      </c>
      <c r="CI49" s="277">
        <f t="shared" si="52"/>
        <v>0</v>
      </c>
      <c r="CJ49" s="277">
        <f t="shared" si="87"/>
        <v>0</v>
      </c>
      <c r="CK49" s="277">
        <f t="shared" si="88"/>
        <v>0</v>
      </c>
      <c r="CL49" s="277">
        <f t="shared" si="53"/>
        <v>0</v>
      </c>
      <c r="CM49" s="277">
        <f t="shared" si="54"/>
        <v>0</v>
      </c>
      <c r="CN49" s="277">
        <f t="shared" si="55"/>
        <v>0</v>
      </c>
      <c r="CO49" s="277">
        <f t="shared" si="56"/>
        <v>0</v>
      </c>
      <c r="CP49" s="277">
        <f t="shared" si="89"/>
        <v>0</v>
      </c>
      <c r="CQ49" s="277">
        <f t="shared" si="90"/>
        <v>0</v>
      </c>
      <c r="CR49" s="277">
        <f t="shared" si="91"/>
        <v>0</v>
      </c>
      <c r="CS49" s="277">
        <f t="shared" si="92"/>
        <v>0</v>
      </c>
      <c r="CT49" s="277">
        <f t="shared" ca="1" si="57"/>
        <v>0</v>
      </c>
      <c r="CU49" s="277">
        <f t="shared" si="58"/>
        <v>0</v>
      </c>
      <c r="CV49" s="277">
        <f t="shared" si="59"/>
        <v>0</v>
      </c>
      <c r="CW49" s="277">
        <f t="shared" si="60"/>
        <v>0</v>
      </c>
      <c r="CX49" s="277">
        <f t="shared" si="93"/>
        <v>0</v>
      </c>
      <c r="CY49" s="277">
        <f t="shared" si="94"/>
        <v>0</v>
      </c>
      <c r="CZ49" s="277">
        <f t="shared" si="95"/>
        <v>0</v>
      </c>
      <c r="DA49" s="277">
        <f t="shared" ca="1" si="96"/>
        <v>0</v>
      </c>
    </row>
    <row r="50" spans="1:105" s="274" customFormat="1" ht="15" customHeight="1">
      <c r="A50" s="63">
        <f t="array" aca="1" ref="A50" ca="1">IF(C50&lt;&gt;0,SUM(($C$11:C50&lt;&gt;0)*1),"")</f>
        <v>40</v>
      </c>
      <c r="B50" s="275">
        <v>42460</v>
      </c>
      <c r="C50" s="278" t="s">
        <v>115</v>
      </c>
      <c r="D50" s="278">
        <f t="shared" si="103"/>
        <v>42460</v>
      </c>
      <c r="E50" s="968" t="s">
        <v>120</v>
      </c>
      <c r="F50" s="969">
        <f ca="1">CV52</f>
        <v>0</v>
      </c>
      <c r="G50" s="970" t="s">
        <v>109</v>
      </c>
      <c r="H50" s="970" t="s">
        <v>105</v>
      </c>
      <c r="I50" s="63">
        <f t="shared" ca="1" si="98"/>
        <v>40</v>
      </c>
      <c r="J50" s="277">
        <f t="shared" si="61"/>
        <v>0</v>
      </c>
      <c r="K50" s="277">
        <f t="shared" si="62"/>
        <v>0</v>
      </c>
      <c r="L50" s="277">
        <f t="shared" si="1"/>
        <v>0</v>
      </c>
      <c r="M50" s="277">
        <f t="shared" si="2"/>
        <v>0</v>
      </c>
      <c r="N50" s="277">
        <f t="shared" si="3"/>
        <v>0</v>
      </c>
      <c r="O50" s="277">
        <f t="shared" si="4"/>
        <v>0</v>
      </c>
      <c r="P50" s="277">
        <f t="shared" si="5"/>
        <v>0</v>
      </c>
      <c r="Q50" s="277">
        <f t="shared" si="6"/>
        <v>0</v>
      </c>
      <c r="R50" s="277">
        <f t="shared" si="7"/>
        <v>0</v>
      </c>
      <c r="S50" s="277">
        <f t="shared" si="8"/>
        <v>0</v>
      </c>
      <c r="T50" s="277">
        <f t="shared" si="9"/>
        <v>0</v>
      </c>
      <c r="U50" s="277">
        <f t="shared" si="10"/>
        <v>0</v>
      </c>
      <c r="V50" s="277">
        <f t="shared" si="11"/>
        <v>0</v>
      </c>
      <c r="W50" s="277">
        <f t="shared" si="12"/>
        <v>0</v>
      </c>
      <c r="X50" s="277">
        <f t="shared" si="13"/>
        <v>0</v>
      </c>
      <c r="Y50" s="277">
        <f t="shared" si="14"/>
        <v>0</v>
      </c>
      <c r="Z50" s="277">
        <f t="shared" si="15"/>
        <v>0</v>
      </c>
      <c r="AA50" s="277">
        <f t="shared" si="16"/>
        <v>0</v>
      </c>
      <c r="AB50" s="277">
        <f t="shared" si="63"/>
        <v>0</v>
      </c>
      <c r="AC50" s="277">
        <f t="shared" si="64"/>
        <v>0</v>
      </c>
      <c r="AD50" s="277">
        <f t="shared" si="17"/>
        <v>0</v>
      </c>
      <c r="AE50" s="277">
        <f t="shared" si="18"/>
        <v>0</v>
      </c>
      <c r="AF50" s="277">
        <f t="shared" si="19"/>
        <v>0</v>
      </c>
      <c r="AG50" s="277">
        <f t="shared" si="20"/>
        <v>0</v>
      </c>
      <c r="AH50" s="277">
        <f t="shared" si="65"/>
        <v>0</v>
      </c>
      <c r="AI50" s="277">
        <f t="shared" si="66"/>
        <v>0</v>
      </c>
      <c r="AJ50" s="277">
        <f t="shared" si="67"/>
        <v>0</v>
      </c>
      <c r="AK50" s="277">
        <f t="shared" si="68"/>
        <v>0</v>
      </c>
      <c r="AL50" s="277">
        <f t="shared" si="69"/>
        <v>0</v>
      </c>
      <c r="AM50" s="277">
        <f t="shared" si="70"/>
        <v>0</v>
      </c>
      <c r="AN50" s="277">
        <f t="shared" si="71"/>
        <v>0</v>
      </c>
      <c r="AO50" s="277">
        <f t="shared" si="72"/>
        <v>0</v>
      </c>
      <c r="AP50" s="277">
        <f t="shared" si="21"/>
        <v>0</v>
      </c>
      <c r="AQ50" s="277">
        <f t="shared" si="22"/>
        <v>0</v>
      </c>
      <c r="AR50" s="277">
        <f t="shared" si="23"/>
        <v>0</v>
      </c>
      <c r="AS50" s="277">
        <f t="shared" si="24"/>
        <v>0</v>
      </c>
      <c r="AT50" s="277">
        <f t="shared" si="99"/>
        <v>0</v>
      </c>
      <c r="AU50" s="277">
        <f t="shared" si="100"/>
        <v>0</v>
      </c>
      <c r="AV50" s="277">
        <f t="shared" si="25"/>
        <v>0</v>
      </c>
      <c r="AW50" s="277">
        <f t="shared" si="26"/>
        <v>0</v>
      </c>
      <c r="AX50" s="277">
        <f t="shared" si="27"/>
        <v>0</v>
      </c>
      <c r="AY50" s="277">
        <f t="shared" si="28"/>
        <v>0</v>
      </c>
      <c r="AZ50" s="277">
        <f t="shared" si="29"/>
        <v>0</v>
      </c>
      <c r="BA50" s="277">
        <f t="shared" si="30"/>
        <v>0</v>
      </c>
      <c r="BB50" s="277">
        <f t="shared" si="31"/>
        <v>0</v>
      </c>
      <c r="BC50" s="277">
        <f t="shared" si="32"/>
        <v>0</v>
      </c>
      <c r="BD50" s="277">
        <f t="shared" si="33"/>
        <v>0</v>
      </c>
      <c r="BE50" s="277">
        <f t="shared" si="34"/>
        <v>0</v>
      </c>
      <c r="BF50" s="277">
        <f t="shared" si="35"/>
        <v>0</v>
      </c>
      <c r="BG50" s="277">
        <f t="shared" si="36"/>
        <v>0</v>
      </c>
      <c r="BH50" s="277">
        <f t="shared" si="75"/>
        <v>0</v>
      </c>
      <c r="BI50" s="277">
        <f t="shared" si="76"/>
        <v>0</v>
      </c>
      <c r="BJ50" s="277">
        <f t="shared" si="37"/>
        <v>0</v>
      </c>
      <c r="BK50" s="277">
        <f t="shared" si="38"/>
        <v>0</v>
      </c>
      <c r="BL50" s="277">
        <f t="shared" si="39"/>
        <v>0</v>
      </c>
      <c r="BM50" s="277">
        <f t="shared" si="40"/>
        <v>0</v>
      </c>
      <c r="BN50" s="277">
        <f t="shared" si="41"/>
        <v>0</v>
      </c>
      <c r="BO50" s="277">
        <f t="shared" si="42"/>
        <v>0</v>
      </c>
      <c r="BP50" s="277">
        <f t="shared" si="77"/>
        <v>0</v>
      </c>
      <c r="BQ50" s="277">
        <f t="shared" si="78"/>
        <v>0</v>
      </c>
      <c r="BR50" s="277">
        <f t="shared" si="43"/>
        <v>0</v>
      </c>
      <c r="BS50" s="277">
        <f t="shared" si="44"/>
        <v>0</v>
      </c>
      <c r="BT50" s="277">
        <f t="shared" si="79"/>
        <v>0</v>
      </c>
      <c r="BU50" s="277">
        <f t="shared" si="80"/>
        <v>0</v>
      </c>
      <c r="BV50" s="277">
        <f t="shared" si="101"/>
        <v>0</v>
      </c>
      <c r="BW50" s="277">
        <f t="shared" si="102"/>
        <v>0</v>
      </c>
      <c r="BX50" s="277">
        <f t="shared" si="45"/>
        <v>0</v>
      </c>
      <c r="BY50" s="277">
        <f t="shared" si="46"/>
        <v>0</v>
      </c>
      <c r="BZ50" s="277">
        <f t="shared" si="47"/>
        <v>0</v>
      </c>
      <c r="CA50" s="277">
        <f t="shared" si="48"/>
        <v>0</v>
      </c>
      <c r="CB50" s="277">
        <f t="shared" si="49"/>
        <v>0</v>
      </c>
      <c r="CC50" s="277">
        <f t="shared" si="50"/>
        <v>0</v>
      </c>
      <c r="CD50" s="277">
        <f t="shared" si="83"/>
        <v>0</v>
      </c>
      <c r="CE50" s="277">
        <f t="shared" si="84"/>
        <v>0</v>
      </c>
      <c r="CF50" s="277">
        <f t="shared" si="85"/>
        <v>0</v>
      </c>
      <c r="CG50" s="277">
        <f t="shared" si="86"/>
        <v>0</v>
      </c>
      <c r="CH50" s="277">
        <f t="shared" si="51"/>
        <v>0</v>
      </c>
      <c r="CI50" s="277">
        <f t="shared" si="52"/>
        <v>0</v>
      </c>
      <c r="CJ50" s="277">
        <f t="shared" si="87"/>
        <v>0</v>
      </c>
      <c r="CK50" s="277">
        <f t="shared" si="88"/>
        <v>0</v>
      </c>
      <c r="CL50" s="277">
        <f t="shared" si="53"/>
        <v>0</v>
      </c>
      <c r="CM50" s="277">
        <f t="shared" si="54"/>
        <v>0</v>
      </c>
      <c r="CN50" s="277">
        <f t="shared" si="55"/>
        <v>0</v>
      </c>
      <c r="CO50" s="277">
        <f t="shared" si="56"/>
        <v>0</v>
      </c>
      <c r="CP50" s="277">
        <f t="shared" si="89"/>
        <v>0</v>
      </c>
      <c r="CQ50" s="277">
        <f t="shared" si="90"/>
        <v>0</v>
      </c>
      <c r="CR50" s="277">
        <f t="shared" si="91"/>
        <v>0</v>
      </c>
      <c r="CS50" s="277">
        <f t="shared" si="92"/>
        <v>0</v>
      </c>
      <c r="CT50" s="277">
        <f t="shared" si="57"/>
        <v>0</v>
      </c>
      <c r="CU50" s="277">
        <f t="shared" si="58"/>
        <v>0</v>
      </c>
      <c r="CV50" s="277">
        <f t="shared" si="59"/>
        <v>0</v>
      </c>
      <c r="CW50" s="277">
        <f t="shared" ca="1" si="60"/>
        <v>0</v>
      </c>
      <c r="CX50" s="277">
        <f t="shared" si="93"/>
        <v>0</v>
      </c>
      <c r="CY50" s="277">
        <f t="shared" si="94"/>
        <v>0</v>
      </c>
      <c r="CZ50" s="277">
        <f t="shared" ca="1" si="95"/>
        <v>0</v>
      </c>
      <c r="DA50" s="277">
        <f t="shared" si="96"/>
        <v>0</v>
      </c>
    </row>
    <row r="51" spans="1:105" s="274" customFormat="1" ht="15" customHeight="1">
      <c r="A51" s="63" t="str">
        <f t="array" ref="A51">IF(C51&lt;&gt;0,SUM(($C$11:C51&lt;&gt;0)*1),"")</f>
        <v/>
      </c>
      <c r="B51" s="241"/>
      <c r="C51" s="279"/>
      <c r="D51" s="241"/>
      <c r="E51" s="276"/>
      <c r="F51" s="65"/>
      <c r="G51" s="280"/>
      <c r="H51" s="280"/>
      <c r="I51" s="63" t="str">
        <f>A51</f>
        <v/>
      </c>
      <c r="J51" s="277">
        <f t="shared" si="61"/>
        <v>0</v>
      </c>
      <c r="K51" s="277">
        <f t="shared" si="62"/>
        <v>0</v>
      </c>
      <c r="L51" s="277">
        <f t="shared" si="1"/>
        <v>0</v>
      </c>
      <c r="M51" s="277">
        <f t="shared" si="2"/>
        <v>0</v>
      </c>
      <c r="N51" s="277">
        <f t="shared" si="3"/>
        <v>0</v>
      </c>
      <c r="O51" s="277">
        <f t="shared" si="4"/>
        <v>0</v>
      </c>
      <c r="P51" s="277">
        <f t="shared" si="5"/>
        <v>0</v>
      </c>
      <c r="Q51" s="277">
        <f t="shared" si="6"/>
        <v>0</v>
      </c>
      <c r="R51" s="277">
        <f t="shared" si="7"/>
        <v>0</v>
      </c>
      <c r="S51" s="277">
        <f t="shared" si="8"/>
        <v>0</v>
      </c>
      <c r="T51" s="277">
        <f t="shared" si="9"/>
        <v>0</v>
      </c>
      <c r="U51" s="277">
        <f t="shared" si="10"/>
        <v>0</v>
      </c>
      <c r="V51" s="277">
        <f t="shared" si="11"/>
        <v>0</v>
      </c>
      <c r="W51" s="277">
        <f t="shared" si="12"/>
        <v>0</v>
      </c>
      <c r="X51" s="277">
        <f t="shared" si="13"/>
        <v>0</v>
      </c>
      <c r="Y51" s="277">
        <f t="shared" si="14"/>
        <v>0</v>
      </c>
      <c r="Z51" s="277">
        <f t="shared" si="15"/>
        <v>0</v>
      </c>
      <c r="AA51" s="277">
        <f t="shared" si="16"/>
        <v>0</v>
      </c>
      <c r="AB51" s="277">
        <f t="shared" si="63"/>
        <v>0</v>
      </c>
      <c r="AC51" s="277">
        <f t="shared" si="64"/>
        <v>0</v>
      </c>
      <c r="AD51" s="277">
        <f t="shared" si="17"/>
        <v>0</v>
      </c>
      <c r="AE51" s="277">
        <f t="shared" si="18"/>
        <v>0</v>
      </c>
      <c r="AF51" s="277">
        <f t="shared" si="19"/>
        <v>0</v>
      </c>
      <c r="AG51" s="277">
        <f t="shared" si="20"/>
        <v>0</v>
      </c>
      <c r="AH51" s="277">
        <f t="shared" si="65"/>
        <v>0</v>
      </c>
      <c r="AI51" s="277">
        <f t="shared" si="66"/>
        <v>0</v>
      </c>
      <c r="AJ51" s="277">
        <f t="shared" si="67"/>
        <v>0</v>
      </c>
      <c r="AK51" s="277">
        <f t="shared" si="68"/>
        <v>0</v>
      </c>
      <c r="AL51" s="277">
        <f t="shared" si="69"/>
        <v>0</v>
      </c>
      <c r="AM51" s="277">
        <f t="shared" si="70"/>
        <v>0</v>
      </c>
      <c r="AN51" s="277">
        <f t="shared" si="71"/>
        <v>0</v>
      </c>
      <c r="AO51" s="277">
        <f t="shared" si="72"/>
        <v>0</v>
      </c>
      <c r="AP51" s="277">
        <f t="shared" si="21"/>
        <v>0</v>
      </c>
      <c r="AQ51" s="277">
        <f t="shared" si="22"/>
        <v>0</v>
      </c>
      <c r="AR51" s="277">
        <f t="shared" si="23"/>
        <v>0</v>
      </c>
      <c r="AS51" s="277">
        <f t="shared" si="24"/>
        <v>0</v>
      </c>
      <c r="AT51" s="277">
        <f t="shared" si="99"/>
        <v>0</v>
      </c>
      <c r="AU51" s="277">
        <f t="shared" si="100"/>
        <v>0</v>
      </c>
      <c r="AV51" s="277">
        <f t="shared" si="25"/>
        <v>0</v>
      </c>
      <c r="AW51" s="277">
        <f t="shared" si="26"/>
        <v>0</v>
      </c>
      <c r="AX51" s="277">
        <f t="shared" si="27"/>
        <v>0</v>
      </c>
      <c r="AY51" s="277">
        <f t="shared" si="28"/>
        <v>0</v>
      </c>
      <c r="AZ51" s="277">
        <f t="shared" si="29"/>
        <v>0</v>
      </c>
      <c r="BA51" s="277">
        <f t="shared" si="30"/>
        <v>0</v>
      </c>
      <c r="BB51" s="277">
        <f t="shared" si="31"/>
        <v>0</v>
      </c>
      <c r="BC51" s="277">
        <f t="shared" si="32"/>
        <v>0</v>
      </c>
      <c r="BD51" s="277">
        <f t="shared" si="33"/>
        <v>0</v>
      </c>
      <c r="BE51" s="277">
        <f t="shared" si="34"/>
        <v>0</v>
      </c>
      <c r="BF51" s="277">
        <f t="shared" si="35"/>
        <v>0</v>
      </c>
      <c r="BG51" s="277">
        <f t="shared" si="36"/>
        <v>0</v>
      </c>
      <c r="BH51" s="277">
        <f t="shared" si="75"/>
        <v>0</v>
      </c>
      <c r="BI51" s="277">
        <f t="shared" si="76"/>
        <v>0</v>
      </c>
      <c r="BJ51" s="277">
        <f t="shared" si="37"/>
        <v>0</v>
      </c>
      <c r="BK51" s="277">
        <f t="shared" si="38"/>
        <v>0</v>
      </c>
      <c r="BL51" s="277">
        <f t="shared" si="39"/>
        <v>0</v>
      </c>
      <c r="BM51" s="277">
        <f t="shared" si="40"/>
        <v>0</v>
      </c>
      <c r="BN51" s="277">
        <f t="shared" si="41"/>
        <v>0</v>
      </c>
      <c r="BO51" s="277">
        <f t="shared" si="42"/>
        <v>0</v>
      </c>
      <c r="BP51" s="277">
        <f t="shared" si="77"/>
        <v>0</v>
      </c>
      <c r="BQ51" s="277">
        <f t="shared" si="78"/>
        <v>0</v>
      </c>
      <c r="BR51" s="277">
        <f t="shared" si="43"/>
        <v>0</v>
      </c>
      <c r="BS51" s="277">
        <f t="shared" si="44"/>
        <v>0</v>
      </c>
      <c r="BT51" s="277">
        <f t="shared" si="79"/>
        <v>0</v>
      </c>
      <c r="BU51" s="277">
        <f t="shared" si="80"/>
        <v>0</v>
      </c>
      <c r="BV51" s="277">
        <f t="shared" si="101"/>
        <v>0</v>
      </c>
      <c r="BW51" s="277">
        <f t="shared" si="102"/>
        <v>0</v>
      </c>
      <c r="BX51" s="277">
        <f t="shared" si="45"/>
        <v>0</v>
      </c>
      <c r="BY51" s="277">
        <f t="shared" si="46"/>
        <v>0</v>
      </c>
      <c r="BZ51" s="277">
        <f t="shared" si="47"/>
        <v>0</v>
      </c>
      <c r="CA51" s="277">
        <f t="shared" si="48"/>
        <v>0</v>
      </c>
      <c r="CB51" s="277">
        <f t="shared" si="49"/>
        <v>0</v>
      </c>
      <c r="CC51" s="277">
        <f t="shared" si="50"/>
        <v>0</v>
      </c>
      <c r="CD51" s="277">
        <f t="shared" si="83"/>
        <v>0</v>
      </c>
      <c r="CE51" s="277">
        <f t="shared" si="84"/>
        <v>0</v>
      </c>
      <c r="CF51" s="277">
        <f t="shared" si="85"/>
        <v>0</v>
      </c>
      <c r="CG51" s="277">
        <f t="shared" si="86"/>
        <v>0</v>
      </c>
      <c r="CH51" s="277">
        <f t="shared" si="51"/>
        <v>0</v>
      </c>
      <c r="CI51" s="277">
        <f t="shared" si="52"/>
        <v>0</v>
      </c>
      <c r="CJ51" s="277">
        <f t="shared" si="87"/>
        <v>0</v>
      </c>
      <c r="CK51" s="277">
        <f t="shared" si="88"/>
        <v>0</v>
      </c>
      <c r="CL51" s="277">
        <f t="shared" si="53"/>
        <v>0</v>
      </c>
      <c r="CM51" s="277">
        <f t="shared" si="54"/>
        <v>0</v>
      </c>
      <c r="CN51" s="277">
        <f t="shared" si="55"/>
        <v>0</v>
      </c>
      <c r="CO51" s="277">
        <f t="shared" si="56"/>
        <v>0</v>
      </c>
      <c r="CP51" s="277">
        <f t="shared" si="89"/>
        <v>0</v>
      </c>
      <c r="CQ51" s="277">
        <f t="shared" si="90"/>
        <v>0</v>
      </c>
      <c r="CR51" s="277">
        <f t="shared" si="91"/>
        <v>0</v>
      </c>
      <c r="CS51" s="277">
        <f t="shared" si="92"/>
        <v>0</v>
      </c>
      <c r="CT51" s="277">
        <f t="shared" si="57"/>
        <v>0</v>
      </c>
      <c r="CU51" s="277">
        <f t="shared" si="58"/>
        <v>0</v>
      </c>
      <c r="CV51" s="277">
        <f t="shared" si="59"/>
        <v>0</v>
      </c>
      <c r="CW51" s="277">
        <f t="shared" si="60"/>
        <v>0</v>
      </c>
      <c r="CX51" s="277">
        <f t="shared" si="93"/>
        <v>0</v>
      </c>
      <c r="CY51" s="277">
        <f t="shared" si="94"/>
        <v>0</v>
      </c>
      <c r="CZ51" s="277">
        <f t="shared" si="95"/>
        <v>0</v>
      </c>
      <c r="DA51" s="277">
        <f t="shared" si="96"/>
        <v>0</v>
      </c>
    </row>
    <row r="52" spans="1:105" s="274" customFormat="1" ht="15" customHeight="1">
      <c r="A52" s="63" t="str">
        <f t="array" ref="A52">IF(C52&lt;&gt;0,SUM(($C$11:C52&lt;&gt;0)*1),"")</f>
        <v/>
      </c>
      <c r="B52" s="281"/>
      <c r="C52" s="281"/>
      <c r="D52" s="281"/>
      <c r="E52" s="276" t="s">
        <v>174</v>
      </c>
      <c r="F52" s="281"/>
      <c r="G52" s="280"/>
      <c r="H52" s="280"/>
      <c r="I52" s="281"/>
      <c r="J52" s="277">
        <f t="shared" ref="J52:AO52" ca="1" si="104">SUM(J11:J51)</f>
        <v>0</v>
      </c>
      <c r="K52" s="277">
        <f t="shared" ca="1" si="104"/>
        <v>0</v>
      </c>
      <c r="L52" s="277">
        <f t="shared" ca="1" si="104"/>
        <v>0</v>
      </c>
      <c r="M52" s="277">
        <f t="shared" ca="1" si="104"/>
        <v>0</v>
      </c>
      <c r="N52" s="277">
        <f t="shared" ca="1" si="104"/>
        <v>0</v>
      </c>
      <c r="O52" s="277">
        <f t="shared" ca="1" si="104"/>
        <v>0</v>
      </c>
      <c r="P52" s="277">
        <f t="shared" ca="1" si="104"/>
        <v>0</v>
      </c>
      <c r="Q52" s="277">
        <f t="shared" ca="1" si="104"/>
        <v>0</v>
      </c>
      <c r="R52" s="277">
        <f t="shared" ca="1" si="104"/>
        <v>0</v>
      </c>
      <c r="S52" s="277">
        <f t="shared" ca="1" si="104"/>
        <v>0</v>
      </c>
      <c r="T52" s="277">
        <f t="shared" ca="1" si="104"/>
        <v>0</v>
      </c>
      <c r="U52" s="277">
        <f t="shared" ca="1" si="104"/>
        <v>0</v>
      </c>
      <c r="V52" s="277">
        <f t="shared" ca="1" si="104"/>
        <v>0</v>
      </c>
      <c r="W52" s="277">
        <f t="shared" ca="1" si="104"/>
        <v>0</v>
      </c>
      <c r="X52" s="277">
        <f t="shared" ca="1" si="104"/>
        <v>0</v>
      </c>
      <c r="Y52" s="277">
        <f t="shared" ca="1" si="104"/>
        <v>0</v>
      </c>
      <c r="Z52" s="277">
        <f t="shared" ca="1" si="104"/>
        <v>0</v>
      </c>
      <c r="AA52" s="277">
        <f t="shared" ca="1" si="104"/>
        <v>0</v>
      </c>
      <c r="AB52" s="277">
        <f t="shared" ca="1" si="104"/>
        <v>0</v>
      </c>
      <c r="AC52" s="277">
        <f t="shared" ca="1" si="104"/>
        <v>0</v>
      </c>
      <c r="AD52" s="277">
        <f t="shared" ca="1" si="104"/>
        <v>0</v>
      </c>
      <c r="AE52" s="277">
        <f t="shared" ca="1" si="104"/>
        <v>0</v>
      </c>
      <c r="AF52" s="277">
        <f t="shared" ca="1" si="104"/>
        <v>0</v>
      </c>
      <c r="AG52" s="277">
        <f t="shared" ca="1" si="104"/>
        <v>0</v>
      </c>
      <c r="AH52" s="277">
        <f t="shared" ca="1" si="104"/>
        <v>0</v>
      </c>
      <c r="AI52" s="277">
        <f t="shared" ca="1" si="104"/>
        <v>0</v>
      </c>
      <c r="AJ52" s="277">
        <f t="shared" ca="1" si="104"/>
        <v>0</v>
      </c>
      <c r="AK52" s="277">
        <f t="shared" ca="1" si="104"/>
        <v>0</v>
      </c>
      <c r="AL52" s="277">
        <f t="shared" ca="1" si="104"/>
        <v>0</v>
      </c>
      <c r="AM52" s="277">
        <f t="shared" ca="1" si="104"/>
        <v>0</v>
      </c>
      <c r="AN52" s="277">
        <f t="shared" ca="1" si="104"/>
        <v>0</v>
      </c>
      <c r="AO52" s="277">
        <f t="shared" ca="1" si="104"/>
        <v>0</v>
      </c>
      <c r="AP52" s="277">
        <f t="shared" ref="AP52:BU52" ca="1" si="105">SUM(AP11:AP51)</f>
        <v>0</v>
      </c>
      <c r="AQ52" s="277">
        <f t="shared" ca="1" si="105"/>
        <v>0</v>
      </c>
      <c r="AR52" s="277">
        <f t="shared" ca="1" si="105"/>
        <v>0</v>
      </c>
      <c r="AS52" s="277">
        <f t="shared" ca="1" si="105"/>
        <v>0</v>
      </c>
      <c r="AT52" s="277">
        <f t="shared" ca="1" si="105"/>
        <v>0</v>
      </c>
      <c r="AU52" s="277">
        <f t="shared" ca="1" si="105"/>
        <v>0</v>
      </c>
      <c r="AV52" s="277">
        <f t="shared" ca="1" si="105"/>
        <v>0</v>
      </c>
      <c r="AW52" s="277">
        <f t="shared" ca="1" si="105"/>
        <v>0</v>
      </c>
      <c r="AX52" s="277">
        <f t="shared" ca="1" si="105"/>
        <v>0</v>
      </c>
      <c r="AY52" s="277">
        <f t="shared" ca="1" si="105"/>
        <v>0</v>
      </c>
      <c r="AZ52" s="277">
        <f t="shared" ca="1" si="105"/>
        <v>0</v>
      </c>
      <c r="BA52" s="277">
        <f t="shared" ca="1" si="105"/>
        <v>0</v>
      </c>
      <c r="BB52" s="277">
        <f t="shared" ca="1" si="105"/>
        <v>0</v>
      </c>
      <c r="BC52" s="277">
        <f t="shared" ca="1" si="105"/>
        <v>0</v>
      </c>
      <c r="BD52" s="277">
        <f t="shared" ca="1" si="105"/>
        <v>0</v>
      </c>
      <c r="BE52" s="277">
        <f t="shared" ca="1" si="105"/>
        <v>0</v>
      </c>
      <c r="BF52" s="277">
        <f t="shared" ca="1" si="105"/>
        <v>0</v>
      </c>
      <c r="BG52" s="277">
        <f t="shared" ca="1" si="105"/>
        <v>0</v>
      </c>
      <c r="BH52" s="277">
        <f t="shared" ca="1" si="105"/>
        <v>0</v>
      </c>
      <c r="BI52" s="277">
        <f t="shared" ca="1" si="105"/>
        <v>0</v>
      </c>
      <c r="BJ52" s="277">
        <f t="shared" ca="1" si="105"/>
        <v>0</v>
      </c>
      <c r="BK52" s="277">
        <f t="shared" ca="1" si="105"/>
        <v>0</v>
      </c>
      <c r="BL52" s="277">
        <f t="shared" ca="1" si="105"/>
        <v>0</v>
      </c>
      <c r="BM52" s="277">
        <f t="shared" ca="1" si="105"/>
        <v>0</v>
      </c>
      <c r="BN52" s="277">
        <f t="shared" ca="1" si="105"/>
        <v>0</v>
      </c>
      <c r="BO52" s="277">
        <f t="shared" ca="1" si="105"/>
        <v>0</v>
      </c>
      <c r="BP52" s="277">
        <f t="shared" ca="1" si="105"/>
        <v>0</v>
      </c>
      <c r="BQ52" s="277">
        <f t="shared" ca="1" si="105"/>
        <v>0</v>
      </c>
      <c r="BR52" s="277">
        <f t="shared" ca="1" si="105"/>
        <v>0</v>
      </c>
      <c r="BS52" s="277">
        <f t="shared" ca="1" si="105"/>
        <v>0</v>
      </c>
      <c r="BT52" s="277">
        <f t="shared" ca="1" si="105"/>
        <v>0</v>
      </c>
      <c r="BU52" s="277">
        <f t="shared" ca="1" si="105"/>
        <v>0</v>
      </c>
      <c r="BV52" s="277">
        <f t="shared" ref="BV52:DA52" ca="1" si="106">SUM(BV11:BV51)</f>
        <v>0</v>
      </c>
      <c r="BW52" s="277">
        <f t="shared" ca="1" si="106"/>
        <v>0</v>
      </c>
      <c r="BX52" s="277">
        <f t="shared" ca="1" si="106"/>
        <v>0</v>
      </c>
      <c r="BY52" s="277">
        <f t="shared" ca="1" si="106"/>
        <v>0</v>
      </c>
      <c r="BZ52" s="277">
        <f t="shared" ca="1" si="106"/>
        <v>0</v>
      </c>
      <c r="CA52" s="277">
        <f t="shared" ca="1" si="106"/>
        <v>107861885.00000048</v>
      </c>
      <c r="CB52" s="277">
        <f t="shared" ca="1" si="106"/>
        <v>107861885.00000048</v>
      </c>
      <c r="CC52" s="277">
        <f t="shared" ca="1" si="106"/>
        <v>0</v>
      </c>
      <c r="CD52" s="277">
        <f t="shared" ca="1" si="106"/>
        <v>0</v>
      </c>
      <c r="CE52" s="277">
        <f t="shared" ca="1" si="106"/>
        <v>0</v>
      </c>
      <c r="CF52" s="277">
        <f t="shared" ca="1" si="106"/>
        <v>0</v>
      </c>
      <c r="CG52" s="277">
        <f t="shared" ca="1" si="106"/>
        <v>0</v>
      </c>
      <c r="CH52" s="277">
        <f t="shared" ca="1" si="106"/>
        <v>0</v>
      </c>
      <c r="CI52" s="277">
        <f t="shared" ca="1" si="106"/>
        <v>0</v>
      </c>
      <c r="CJ52" s="277">
        <f t="shared" ca="1" si="106"/>
        <v>0</v>
      </c>
      <c r="CK52" s="277">
        <f t="shared" ca="1" si="106"/>
        <v>0</v>
      </c>
      <c r="CL52" s="277">
        <f t="shared" ca="1" si="106"/>
        <v>0</v>
      </c>
      <c r="CM52" s="277">
        <f t="shared" ca="1" si="106"/>
        <v>0</v>
      </c>
      <c r="CN52" s="277">
        <f t="shared" ca="1" si="106"/>
        <v>0</v>
      </c>
      <c r="CO52" s="277">
        <f t="shared" ca="1" si="106"/>
        <v>0</v>
      </c>
      <c r="CP52" s="277">
        <f t="shared" ca="1" si="106"/>
        <v>0</v>
      </c>
      <c r="CQ52" s="277">
        <f t="shared" ca="1" si="106"/>
        <v>0</v>
      </c>
      <c r="CR52" s="277">
        <f t="shared" ca="1" si="106"/>
        <v>0</v>
      </c>
      <c r="CS52" s="277">
        <f t="shared" ca="1" si="106"/>
        <v>0</v>
      </c>
      <c r="CT52" s="277">
        <f t="shared" ca="1" si="106"/>
        <v>0</v>
      </c>
      <c r="CU52" s="277">
        <f t="shared" ca="1" si="106"/>
        <v>0</v>
      </c>
      <c r="CV52" s="277">
        <f t="shared" ca="1" si="106"/>
        <v>0</v>
      </c>
      <c r="CW52" s="277">
        <f t="shared" ca="1" si="106"/>
        <v>0</v>
      </c>
      <c r="CX52" s="277">
        <f t="shared" ca="1" si="106"/>
        <v>0</v>
      </c>
      <c r="CY52" s="277">
        <f t="shared" ca="1" si="106"/>
        <v>0</v>
      </c>
      <c r="CZ52" s="277">
        <f t="shared" ca="1" si="106"/>
        <v>0</v>
      </c>
      <c r="DA52" s="277">
        <f t="shared" ca="1" si="106"/>
        <v>0</v>
      </c>
    </row>
    <row r="53" spans="1:105" s="274" customFormat="1" ht="15" customHeight="1">
      <c r="A53" s="282"/>
      <c r="B53" s="282"/>
      <c r="C53" s="282"/>
      <c r="D53" s="282"/>
      <c r="E53" s="283" t="s">
        <v>215</v>
      </c>
      <c r="F53" s="282"/>
      <c r="G53" s="284"/>
      <c r="H53" s="284"/>
      <c r="I53" s="282"/>
      <c r="J53" s="285">
        <f ca="1">MAX(J10+J52-K10-K52,0)</f>
        <v>3705039095</v>
      </c>
      <c r="K53" s="285">
        <f ca="1">MAX(K10+K52-J10-J52,0)</f>
        <v>0</v>
      </c>
      <c r="L53" s="285">
        <f ca="1">MAX(L10+L52-M10-M52,0)</f>
        <v>19829295</v>
      </c>
      <c r="M53" s="285">
        <f ca="1">MAX(M10+M52-L10-L52,0)</f>
        <v>0</v>
      </c>
      <c r="N53" s="285">
        <f ca="1">MAX(N10+N52-O10-O52,0)</f>
        <v>2236796790</v>
      </c>
      <c r="O53" s="285">
        <f ca="1">MAX(O10+O52-N10-N52,0)</f>
        <v>0</v>
      </c>
      <c r="P53" s="285">
        <f ca="1">MAX(P10+P52-Q10-Q52,0)</f>
        <v>3343381600</v>
      </c>
      <c r="Q53" s="285">
        <f ca="1">MAX(Q10+Q52-P10-P52,0)</f>
        <v>0</v>
      </c>
      <c r="R53" s="285">
        <f ca="1">MAX(R10+R52-S10-S52,0)</f>
        <v>162420936</v>
      </c>
      <c r="S53" s="285">
        <f ca="1">MAX(S10+S52-R10-R52,0)</f>
        <v>0</v>
      </c>
      <c r="T53" s="285">
        <f ca="1">MAX(T10+T52-U10-U52,0)</f>
        <v>1500000000</v>
      </c>
      <c r="U53" s="285">
        <f ca="1">MAX(U10+U52-T10-T52,0)</f>
        <v>0</v>
      </c>
      <c r="V53" s="285">
        <f ca="1">MAX(V10+V52-W10-W52,0)</f>
        <v>0</v>
      </c>
      <c r="W53" s="285">
        <f ca="1">MAX(W10+W52-V10-V52,0)</f>
        <v>0</v>
      </c>
      <c r="X53" s="285">
        <f ca="1">MAX(X10+X52-Y10-Y52,0)</f>
        <v>2772400000</v>
      </c>
      <c r="Y53" s="285">
        <f ca="1">MAX(Y10+Y52-X10-X52,0)</f>
        <v>0</v>
      </c>
      <c r="Z53" s="285">
        <f ca="1">MAX(Z10+Z52-AA10-AA52,0)</f>
        <v>526519887</v>
      </c>
      <c r="AA53" s="285">
        <f ca="1">MAX(AA10+AA52-Z10-Z52,0)</f>
        <v>0</v>
      </c>
      <c r="AB53" s="285">
        <f ca="1">MAX(AB10+AB52-AC10-AC52,0)</f>
        <v>0</v>
      </c>
      <c r="AC53" s="285">
        <f ca="1">MAX(AC10+AC52-AB10-AB52,0)</f>
        <v>0</v>
      </c>
      <c r="AD53" s="285">
        <f ca="1">MAX(AD10+AD52-AE10-AE52,0)</f>
        <v>0</v>
      </c>
      <c r="AE53" s="285">
        <f ca="1">MAX(AE10+AE52-AD10-AD52,0)</f>
        <v>0</v>
      </c>
      <c r="AF53" s="285">
        <f ca="1">MAX(AF10+AF52-AG10-AG52,0)</f>
        <v>9386323824</v>
      </c>
      <c r="AG53" s="285">
        <f ca="1">MAX(AG10+AG52-AF10-AF52,0)</f>
        <v>0</v>
      </c>
      <c r="AH53" s="285">
        <f ca="1">MAX(AH10+AH52-AI10-AI52,0)</f>
        <v>7490743648</v>
      </c>
      <c r="AI53" s="285">
        <f ca="1">MAX(AI10+AI52-AH10-AH52,0)</f>
        <v>0</v>
      </c>
      <c r="AJ53" s="285">
        <f ca="1">MAX(AJ10+AJ52-AK10-AK52,0)</f>
        <v>3807898863</v>
      </c>
      <c r="AK53" s="285">
        <f ca="1">MAX(AK10+AK52-AJ10-AJ52,0)</f>
        <v>0</v>
      </c>
      <c r="AL53" s="285">
        <f ca="1">MAX(AL10+AL52-AM10-AM52,0)</f>
        <v>3790918485</v>
      </c>
      <c r="AM53" s="285">
        <f ca="1">MAX(AM10+AM52-AL10-AL52,0)</f>
        <v>0</v>
      </c>
      <c r="AN53" s="285">
        <f ca="1">MAX(AN10+AN52-AO10-AO52,0)</f>
        <v>5405781300</v>
      </c>
      <c r="AO53" s="285">
        <f ca="1">MAX(AO10+AO52-AN10-AN52,0)</f>
        <v>0</v>
      </c>
      <c r="AP53" s="285">
        <f ca="1">MAX(AP10+AP52-AQ10-AQ52,0)</f>
        <v>0</v>
      </c>
      <c r="AQ53" s="285">
        <f ca="1">MAX(AQ10+AQ52-AP10-AP52,0)</f>
        <v>9132359256</v>
      </c>
      <c r="AR53" s="285">
        <f ca="1">MAX(AR10+AR52-AS10-AS52,0)</f>
        <v>0</v>
      </c>
      <c r="AS53" s="285">
        <f ca="1">MAX(AS10+AS52-AR10-AR52,0)</f>
        <v>600642360</v>
      </c>
      <c r="AT53" s="285">
        <f ca="1">MAX(AT10+AT52-AU10-AU52,0)</f>
        <v>0</v>
      </c>
      <c r="AU53" s="285">
        <f ca="1">MAX(AU10+AU52-AT10-AT52,0)</f>
        <v>0</v>
      </c>
      <c r="AV53" s="285">
        <f ca="1">MAX(AV10+AV52-AW10-AW52,0)</f>
        <v>0</v>
      </c>
      <c r="AW53" s="285">
        <f ca="1">MAX(AW10+AW52-AV10-AV52,0)</f>
        <v>476953252</v>
      </c>
      <c r="AX53" s="285">
        <f ca="1">MAX(AX10+AX52-AY10-AY52,0)</f>
        <v>0</v>
      </c>
      <c r="AY53" s="285">
        <f ca="1">MAX(AY10+AY52-AX10-AX52,0)</f>
        <v>0</v>
      </c>
      <c r="AZ53" s="285">
        <f ca="1">MAX(AZ10+AZ52-BA10-BA52,0)</f>
        <v>0</v>
      </c>
      <c r="BA53" s="285">
        <f ca="1">MAX(BA10+BA52-AZ10-AZ52,0)</f>
        <v>0</v>
      </c>
      <c r="BB53" s="285">
        <f ca="1">MAX(BB10+BB52-BC10-BC52,0)</f>
        <v>0</v>
      </c>
      <c r="BC53" s="285">
        <f ca="1">MAX(BC10+BC52-BB10-BB52,0)</f>
        <v>0</v>
      </c>
      <c r="BD53" s="285">
        <f ca="1">MAX(BD10+BD52-BE10-BE52,0)</f>
        <v>0</v>
      </c>
      <c r="BE53" s="285">
        <f ca="1">MAX(BE10+BE52-BD10-BD52,0)</f>
        <v>3313435</v>
      </c>
      <c r="BF53" s="285">
        <f ca="1">MAX(BF10+BF52-BG10-BG52,0)</f>
        <v>3389804</v>
      </c>
      <c r="BG53" s="285">
        <f ca="1">MAX(BG10+BG52-BF10-BF52,0)</f>
        <v>0</v>
      </c>
      <c r="BH53" s="285">
        <f ca="1">MAX(BH10+BH52-BI10-BI52,0)</f>
        <v>0</v>
      </c>
      <c r="BI53" s="285">
        <f ca="1">MAX(BI10+BI52-BH10-BH52,0)</f>
        <v>0</v>
      </c>
      <c r="BJ53" s="285">
        <f ca="1">MAX(BJ10+BJ52-BK10-BK52,0)</f>
        <v>0</v>
      </c>
      <c r="BK53" s="285">
        <f ca="1">MAX(BK10+BK52-BJ10-BJ52,0)</f>
        <v>0</v>
      </c>
      <c r="BL53" s="285">
        <f ca="1">MAX(BL10+BL52-BM10-BM52,0)</f>
        <v>0</v>
      </c>
      <c r="BM53" s="285">
        <f ca="1">MAX(BM10+BM52-BL10-BL52,0)</f>
        <v>40272309</v>
      </c>
      <c r="BN53" s="285">
        <f ca="1">MAX(BN10+BN52-BO10-BO52,0)</f>
        <v>0</v>
      </c>
      <c r="BO53" s="285">
        <f ca="1">MAX(BO10+BO52-BN10-BN52,0)</f>
        <v>6403142</v>
      </c>
      <c r="BP53" s="285">
        <f ca="1">MAX(BP10+BP52-BQ10-BQ52,0)</f>
        <v>0</v>
      </c>
      <c r="BQ53" s="285">
        <f ca="1">MAX(BQ10+BQ52-BP10-BP52,0)</f>
        <v>2761373</v>
      </c>
      <c r="BR53" s="285">
        <f ca="1">MAX(BR10+BR52-BS10-BS52,0)</f>
        <v>0</v>
      </c>
      <c r="BS53" s="285">
        <f ca="1">MAX(BS10+BS52-BR10-BR52,0)</f>
        <v>0</v>
      </c>
      <c r="BT53" s="285">
        <f ca="1">MAX(BT10+BT52-BU10-BU52,0)</f>
        <v>0</v>
      </c>
      <c r="BU53" s="285">
        <f ca="1">MAX(BU10+BU52-BT10-BT52,0)</f>
        <v>2169121879</v>
      </c>
      <c r="BV53" s="285">
        <f ca="1">MAX(BV10+BV52-BW10-BW52,0)</f>
        <v>0</v>
      </c>
      <c r="BW53" s="285">
        <f ca="1">MAX(BW10+BW52-BV10-BV52,0)</f>
        <v>21202920500</v>
      </c>
      <c r="BX53" s="285">
        <f ca="1">MAX(BX10+BX52-BY10-BY52,0)</f>
        <v>0</v>
      </c>
      <c r="BY53" s="285">
        <f ca="1">MAX(BY10+BY52-BX10-BX52,0)</f>
        <v>10000000000</v>
      </c>
      <c r="BZ53" s="285">
        <f ca="1">MAX(BZ10+BZ52-CA10-CA52,0)</f>
        <v>0</v>
      </c>
      <c r="CA53" s="285">
        <f ca="1">MAX(CA10+CA52-BZ10-BZ52,0)</f>
        <v>594397022.00000048</v>
      </c>
      <c r="CB53" s="285">
        <f ca="1">MAX(CB10+CB52-CC10-CC52,0)</f>
        <v>77701001</v>
      </c>
      <c r="CC53" s="285">
        <f ca="1">MAX(CC10+CC52-CB10-CB52,0)</f>
        <v>0</v>
      </c>
      <c r="CD53" s="285">
        <f ca="1">MAX(CD10+CD52-CE10-CE52,0)</f>
        <v>0</v>
      </c>
      <c r="CE53" s="285">
        <f ca="1">MAX(CE10+CE52-CD10-CD52,0)</f>
        <v>0</v>
      </c>
      <c r="CF53" s="285">
        <f ca="1">MAX(CF10+CF52-CG10-CG52,0)</f>
        <v>0</v>
      </c>
      <c r="CG53" s="285">
        <f ca="1">MAX(CG10+CG52-CF10-CF52,0)</f>
        <v>0</v>
      </c>
      <c r="CH53" s="285">
        <f ca="1">MAX(CH10+CH52-CI10-CI52,0)</f>
        <v>0</v>
      </c>
      <c r="CI53" s="285">
        <f ca="1">MAX(CI10+CI52-CH10-CH52,0)</f>
        <v>0</v>
      </c>
      <c r="CJ53" s="285">
        <f ca="1">MAX(CJ10+CJ52-CK10-CK52,0)</f>
        <v>0</v>
      </c>
      <c r="CK53" s="285">
        <f ca="1">MAX(CK10+CK52-CJ10-CJ52,0)</f>
        <v>0</v>
      </c>
      <c r="CL53" s="285">
        <f ca="1">MAX(CL10+CL52-CM10-CM52,0)</f>
        <v>0</v>
      </c>
      <c r="CM53" s="285">
        <f ca="1">MAX(CM10+CM52-CL10-CL52,0)</f>
        <v>0</v>
      </c>
      <c r="CN53" s="285">
        <f ca="1">MAX(CN10+CN52-CO10-CO52,0)</f>
        <v>0</v>
      </c>
      <c r="CO53" s="285">
        <f ca="1">MAX(CO10+CO52-CN10-CN52,0)</f>
        <v>0</v>
      </c>
      <c r="CP53" s="285">
        <f ca="1">MAX(CP10+CP52-CQ10-CQ52,0)</f>
        <v>0</v>
      </c>
      <c r="CQ53" s="285">
        <f ca="1">MAX(CQ10+CQ52-CP10-CP52,0)</f>
        <v>0</v>
      </c>
      <c r="CR53" s="285">
        <f ca="1">MAX(CR10+CR52-CS10-CS52,0)</f>
        <v>0</v>
      </c>
      <c r="CS53" s="285">
        <f ca="1">MAX(CS10+CS52-CR10-CR52,0)</f>
        <v>0</v>
      </c>
      <c r="CT53" s="285">
        <f ca="1">MAX(CT10+CT52-CU10-CU52,0)</f>
        <v>0</v>
      </c>
      <c r="CU53" s="285">
        <f ca="1">MAX(CU10+CU52-CT10-CT52,0)</f>
        <v>0</v>
      </c>
      <c r="CV53" s="285">
        <f ca="1">MAX(CV10+CV52-CW10-CW52,0)</f>
        <v>0</v>
      </c>
      <c r="CW53" s="285">
        <f ca="1">MAX(CW10+CW52-CV10-CV52,0)</f>
        <v>0</v>
      </c>
      <c r="CX53" s="285">
        <f ca="1">MAX(CX10+CX52-CY10-CY52,0)</f>
        <v>0</v>
      </c>
      <c r="CY53" s="285">
        <f ca="1">MAX(CY10+CY52-CX10-CX52,0)</f>
        <v>0</v>
      </c>
      <c r="CZ53" s="285">
        <f ca="1">MAX(CZ10+CZ52-DA10-DA52,0)</f>
        <v>0</v>
      </c>
      <c r="DA53" s="285">
        <f ca="1">MAX(DA10+DA52-CZ10-CZ52,0)</f>
        <v>0</v>
      </c>
    </row>
    <row r="54" spans="1:105" s="274" customFormat="1" ht="15" customHeight="1">
      <c r="A54" s="286"/>
      <c r="B54" s="286"/>
      <c r="C54" s="287"/>
      <c r="D54" s="286"/>
      <c r="E54" s="288" t="s">
        <v>216</v>
      </c>
      <c r="F54" s="286"/>
      <c r="G54" s="289"/>
      <c r="H54" s="289"/>
      <c r="I54" s="286"/>
      <c r="J54" s="290">
        <f ca="1">J52</f>
        <v>0</v>
      </c>
      <c r="K54" s="290">
        <f ca="1">K52</f>
        <v>0</v>
      </c>
      <c r="L54" s="290">
        <f t="shared" ref="L54:BY54" ca="1" si="107">L52</f>
        <v>0</v>
      </c>
      <c r="M54" s="290">
        <f t="shared" ca="1" si="107"/>
        <v>0</v>
      </c>
      <c r="N54" s="290">
        <f t="shared" ca="1" si="107"/>
        <v>0</v>
      </c>
      <c r="O54" s="290">
        <f t="shared" ca="1" si="107"/>
        <v>0</v>
      </c>
      <c r="P54" s="290">
        <f t="shared" ca="1" si="107"/>
        <v>0</v>
      </c>
      <c r="Q54" s="290">
        <f t="shared" ca="1" si="107"/>
        <v>0</v>
      </c>
      <c r="R54" s="290">
        <f t="shared" ca="1" si="107"/>
        <v>0</v>
      </c>
      <c r="S54" s="290">
        <f t="shared" ca="1" si="107"/>
        <v>0</v>
      </c>
      <c r="T54" s="290">
        <f t="shared" ca="1" si="107"/>
        <v>0</v>
      </c>
      <c r="U54" s="290">
        <f t="shared" ca="1" si="107"/>
        <v>0</v>
      </c>
      <c r="V54" s="290">
        <f t="shared" ca="1" si="107"/>
        <v>0</v>
      </c>
      <c r="W54" s="290">
        <f t="shared" ca="1" si="107"/>
        <v>0</v>
      </c>
      <c r="X54" s="290">
        <f t="shared" ca="1" si="107"/>
        <v>0</v>
      </c>
      <c r="Y54" s="290">
        <f t="shared" ca="1" si="107"/>
        <v>0</v>
      </c>
      <c r="Z54" s="290">
        <f t="shared" ca="1" si="107"/>
        <v>0</v>
      </c>
      <c r="AA54" s="290">
        <f t="shared" ca="1" si="107"/>
        <v>0</v>
      </c>
      <c r="AB54" s="290">
        <f t="shared" ca="1" si="107"/>
        <v>0</v>
      </c>
      <c r="AC54" s="290">
        <f t="shared" ca="1" si="107"/>
        <v>0</v>
      </c>
      <c r="AD54" s="290">
        <f t="shared" ca="1" si="107"/>
        <v>0</v>
      </c>
      <c r="AE54" s="290">
        <f t="shared" ca="1" si="107"/>
        <v>0</v>
      </c>
      <c r="AF54" s="290">
        <f t="shared" ca="1" si="107"/>
        <v>0</v>
      </c>
      <c r="AG54" s="290">
        <f t="shared" ca="1" si="107"/>
        <v>0</v>
      </c>
      <c r="AH54" s="290">
        <f t="shared" ca="1" si="107"/>
        <v>0</v>
      </c>
      <c r="AI54" s="290">
        <f t="shared" ca="1" si="107"/>
        <v>0</v>
      </c>
      <c r="AJ54" s="290">
        <f t="shared" ca="1" si="107"/>
        <v>0</v>
      </c>
      <c r="AK54" s="290">
        <f t="shared" ca="1" si="107"/>
        <v>0</v>
      </c>
      <c r="AL54" s="290">
        <f t="shared" ca="1" si="107"/>
        <v>0</v>
      </c>
      <c r="AM54" s="290">
        <f t="shared" ca="1" si="107"/>
        <v>0</v>
      </c>
      <c r="AN54" s="290">
        <f t="shared" ca="1" si="107"/>
        <v>0</v>
      </c>
      <c r="AO54" s="290">
        <f t="shared" ca="1" si="107"/>
        <v>0</v>
      </c>
      <c r="AP54" s="290">
        <f t="shared" ca="1" si="107"/>
        <v>0</v>
      </c>
      <c r="AQ54" s="290">
        <f t="shared" ca="1" si="107"/>
        <v>0</v>
      </c>
      <c r="AR54" s="290">
        <f t="shared" ca="1" si="107"/>
        <v>0</v>
      </c>
      <c r="AS54" s="290">
        <f t="shared" ca="1" si="107"/>
        <v>0</v>
      </c>
      <c r="AT54" s="290">
        <f ca="1">AT52</f>
        <v>0</v>
      </c>
      <c r="AU54" s="290">
        <f ca="1">AU52</f>
        <v>0</v>
      </c>
      <c r="AV54" s="290">
        <f t="shared" ca="1" si="107"/>
        <v>0</v>
      </c>
      <c r="AW54" s="290">
        <f t="shared" ca="1" si="107"/>
        <v>0</v>
      </c>
      <c r="AX54" s="290">
        <f t="shared" ca="1" si="107"/>
        <v>0</v>
      </c>
      <c r="AY54" s="290">
        <f t="shared" ca="1" si="107"/>
        <v>0</v>
      </c>
      <c r="AZ54" s="290">
        <f t="shared" ca="1" si="107"/>
        <v>0</v>
      </c>
      <c r="BA54" s="290">
        <f t="shared" ca="1" si="107"/>
        <v>0</v>
      </c>
      <c r="BB54" s="290">
        <f t="shared" ca="1" si="107"/>
        <v>0</v>
      </c>
      <c r="BC54" s="290">
        <f t="shared" ca="1" si="107"/>
        <v>0</v>
      </c>
      <c r="BD54" s="290">
        <f t="shared" ca="1" si="107"/>
        <v>0</v>
      </c>
      <c r="BE54" s="290">
        <f t="shared" ca="1" si="107"/>
        <v>0</v>
      </c>
      <c r="BF54" s="290">
        <f t="shared" ca="1" si="107"/>
        <v>0</v>
      </c>
      <c r="BG54" s="290">
        <f t="shared" ca="1" si="107"/>
        <v>0</v>
      </c>
      <c r="BH54" s="290">
        <f t="shared" ca="1" si="107"/>
        <v>0</v>
      </c>
      <c r="BI54" s="290">
        <f t="shared" ca="1" si="107"/>
        <v>0</v>
      </c>
      <c r="BJ54" s="290">
        <f t="shared" ca="1" si="107"/>
        <v>0</v>
      </c>
      <c r="BK54" s="290">
        <f t="shared" ca="1" si="107"/>
        <v>0</v>
      </c>
      <c r="BL54" s="290">
        <f t="shared" ca="1" si="107"/>
        <v>0</v>
      </c>
      <c r="BM54" s="290">
        <f t="shared" ca="1" si="107"/>
        <v>0</v>
      </c>
      <c r="BN54" s="290">
        <f t="shared" ca="1" si="107"/>
        <v>0</v>
      </c>
      <c r="BO54" s="290">
        <f t="shared" ca="1" si="107"/>
        <v>0</v>
      </c>
      <c r="BP54" s="290">
        <f t="shared" ca="1" si="107"/>
        <v>0</v>
      </c>
      <c r="BQ54" s="290">
        <f t="shared" ca="1" si="107"/>
        <v>0</v>
      </c>
      <c r="BR54" s="290">
        <f t="shared" ca="1" si="107"/>
        <v>0</v>
      </c>
      <c r="BS54" s="290">
        <f t="shared" ca="1" si="107"/>
        <v>0</v>
      </c>
      <c r="BT54" s="290">
        <f t="shared" ca="1" si="107"/>
        <v>0</v>
      </c>
      <c r="BU54" s="290">
        <f t="shared" ca="1" si="107"/>
        <v>0</v>
      </c>
      <c r="BV54" s="290">
        <f ca="1">BV52</f>
        <v>0</v>
      </c>
      <c r="BW54" s="290">
        <f ca="1">BW52</f>
        <v>0</v>
      </c>
      <c r="BX54" s="290">
        <f t="shared" ca="1" si="107"/>
        <v>0</v>
      </c>
      <c r="BY54" s="290">
        <f t="shared" ca="1" si="107"/>
        <v>0</v>
      </c>
      <c r="BZ54" s="290">
        <f t="shared" ref="BZ54:DA54" ca="1" si="108">BZ52</f>
        <v>0</v>
      </c>
      <c r="CA54" s="290">
        <f t="shared" ca="1" si="108"/>
        <v>107861885.00000048</v>
      </c>
      <c r="CB54" s="290">
        <f t="shared" ca="1" si="108"/>
        <v>107861885.00000048</v>
      </c>
      <c r="CC54" s="290">
        <f t="shared" ca="1" si="108"/>
        <v>0</v>
      </c>
      <c r="CD54" s="290">
        <f t="shared" ca="1" si="108"/>
        <v>0</v>
      </c>
      <c r="CE54" s="290">
        <f t="shared" ca="1" si="108"/>
        <v>0</v>
      </c>
      <c r="CF54" s="290">
        <f t="shared" ca="1" si="108"/>
        <v>0</v>
      </c>
      <c r="CG54" s="290">
        <f t="shared" ca="1" si="108"/>
        <v>0</v>
      </c>
      <c r="CH54" s="290">
        <f t="shared" ca="1" si="108"/>
        <v>0</v>
      </c>
      <c r="CI54" s="290">
        <f t="shared" ca="1" si="108"/>
        <v>0</v>
      </c>
      <c r="CJ54" s="290">
        <f t="shared" ca="1" si="108"/>
        <v>0</v>
      </c>
      <c r="CK54" s="290">
        <f t="shared" ca="1" si="108"/>
        <v>0</v>
      </c>
      <c r="CL54" s="290">
        <f t="shared" ca="1" si="108"/>
        <v>0</v>
      </c>
      <c r="CM54" s="290">
        <f t="shared" ca="1" si="108"/>
        <v>0</v>
      </c>
      <c r="CN54" s="290">
        <f t="shared" ca="1" si="108"/>
        <v>0</v>
      </c>
      <c r="CO54" s="290">
        <f t="shared" ca="1" si="108"/>
        <v>0</v>
      </c>
      <c r="CP54" s="290">
        <f t="shared" ca="1" si="108"/>
        <v>0</v>
      </c>
      <c r="CQ54" s="290">
        <f t="shared" ca="1" si="108"/>
        <v>0</v>
      </c>
      <c r="CR54" s="290">
        <f t="shared" ca="1" si="108"/>
        <v>0</v>
      </c>
      <c r="CS54" s="290">
        <f t="shared" ca="1" si="108"/>
        <v>0</v>
      </c>
      <c r="CT54" s="290">
        <f t="shared" ca="1" si="108"/>
        <v>0</v>
      </c>
      <c r="CU54" s="290">
        <f t="shared" ca="1" si="108"/>
        <v>0</v>
      </c>
      <c r="CV54" s="290">
        <f t="shared" ca="1" si="108"/>
        <v>0</v>
      </c>
      <c r="CW54" s="290">
        <f t="shared" ca="1" si="108"/>
        <v>0</v>
      </c>
      <c r="CX54" s="290">
        <f t="shared" ca="1" si="108"/>
        <v>0</v>
      </c>
      <c r="CY54" s="290">
        <f t="shared" ca="1" si="108"/>
        <v>0</v>
      </c>
      <c r="CZ54" s="290">
        <f t="shared" ca="1" si="108"/>
        <v>0</v>
      </c>
      <c r="DA54" s="290">
        <f t="shared" ca="1" si="108"/>
        <v>0</v>
      </c>
    </row>
    <row r="55" spans="1:105" ht="12" customHeight="1">
      <c r="B55" s="291"/>
      <c r="C55" s="292"/>
      <c r="D55" s="292"/>
      <c r="E55" s="292"/>
      <c r="F55" s="292"/>
      <c r="G55" s="293"/>
      <c r="H55" s="293"/>
      <c r="I55" s="292"/>
      <c r="J55" s="292"/>
      <c r="K55" s="292"/>
    </row>
    <row r="56" spans="1:105">
      <c r="F56" s="294"/>
      <c r="M56" s="294"/>
      <c r="O56" s="294"/>
      <c r="Q56" s="294"/>
      <c r="R56" s="294"/>
      <c r="S56" s="294"/>
      <c r="T56" s="294"/>
      <c r="U56" s="294"/>
      <c r="V56" s="294"/>
      <c r="AN56" s="295" t="s">
        <v>217</v>
      </c>
      <c r="AO56" s="296"/>
      <c r="AP56" s="296"/>
      <c r="AQ56" s="296"/>
      <c r="AR56" s="297"/>
      <c r="AS56" s="297"/>
      <c r="AT56" s="296"/>
    </row>
    <row r="57" spans="1:105">
      <c r="F57" s="294"/>
      <c r="M57" s="294"/>
      <c r="O57" s="294"/>
      <c r="Q57" s="294"/>
      <c r="R57" s="294"/>
      <c r="S57" s="294"/>
      <c r="T57" s="294"/>
      <c r="U57" s="294"/>
      <c r="V57" s="294"/>
      <c r="AN57" s="298" t="s">
        <v>218</v>
      </c>
      <c r="AO57" s="296"/>
      <c r="AP57" s="296"/>
      <c r="AQ57" s="296"/>
      <c r="AR57" s="297"/>
      <c r="AS57" s="297"/>
      <c r="AT57" s="296"/>
    </row>
    <row r="58" spans="1:105">
      <c r="F58" s="294"/>
      <c r="M58" s="294"/>
      <c r="O58" s="294"/>
      <c r="Q58" s="294"/>
      <c r="R58" s="294"/>
      <c r="S58" s="294"/>
      <c r="T58" s="294"/>
      <c r="U58" s="294"/>
      <c r="V58" s="294"/>
      <c r="AN58" s="296"/>
      <c r="AO58" s="296"/>
      <c r="AP58" s="296"/>
      <c r="AQ58" s="296"/>
      <c r="AR58" s="296"/>
      <c r="AS58" s="296"/>
      <c r="AT58" s="297"/>
    </row>
    <row r="59" spans="1:105">
      <c r="F59" s="294"/>
      <c r="AN59" s="296"/>
      <c r="AO59" s="296"/>
      <c r="AP59" s="296"/>
      <c r="AQ59" s="296"/>
      <c r="AR59" s="296"/>
      <c r="AS59" s="296"/>
      <c r="AT59" s="297"/>
      <c r="AZ59" s="299" t="str">
        <f>"Ngày 31 tháng 03 năm 2015 "</f>
        <v xml:space="preserve">Ngày 31 tháng 03 năm 2015 </v>
      </c>
    </row>
    <row r="60" spans="1:105">
      <c r="F60" s="294"/>
      <c r="M60" s="294"/>
      <c r="O60" s="294"/>
      <c r="Q60" s="294"/>
      <c r="R60" s="294"/>
      <c r="S60" s="294"/>
      <c r="T60" s="294"/>
      <c r="U60" s="294"/>
      <c r="V60" s="294"/>
      <c r="AN60" s="296"/>
      <c r="AO60" s="300" t="s">
        <v>11</v>
      </c>
      <c r="AP60" s="296"/>
      <c r="AQ60" s="296"/>
      <c r="AR60" s="296"/>
      <c r="AS60" s="301" t="s">
        <v>12</v>
      </c>
      <c r="AT60" s="297"/>
      <c r="AZ60" s="300" t="s">
        <v>131</v>
      </c>
    </row>
    <row r="61" spans="1:105">
      <c r="F61" s="294"/>
      <c r="M61" s="294"/>
      <c r="O61" s="294"/>
      <c r="Q61" s="294"/>
      <c r="R61" s="294"/>
      <c r="S61" s="294"/>
      <c r="T61" s="294"/>
      <c r="U61" s="294"/>
      <c r="V61" s="294"/>
      <c r="AN61" s="296"/>
      <c r="AO61" s="302" t="s">
        <v>13</v>
      </c>
      <c r="AP61" s="296"/>
      <c r="AQ61" s="296"/>
      <c r="AR61" s="296"/>
      <c r="AS61" s="303" t="s">
        <v>13</v>
      </c>
      <c r="AT61" s="297"/>
      <c r="AZ61" s="302" t="s">
        <v>161</v>
      </c>
    </row>
    <row r="62" spans="1:105">
      <c r="F62" s="294"/>
      <c r="M62" s="294"/>
      <c r="O62" s="294"/>
      <c r="Q62" s="294"/>
      <c r="R62" s="294"/>
      <c r="S62" s="294"/>
      <c r="T62" s="294"/>
      <c r="U62" s="294"/>
      <c r="V62" s="294"/>
      <c r="AL62" s="296"/>
      <c r="AM62" s="296"/>
      <c r="AN62" s="296"/>
      <c r="AO62" s="296"/>
      <c r="AP62" s="296"/>
      <c r="AQ62" s="296"/>
      <c r="AR62" s="296"/>
      <c r="AS62" s="296"/>
      <c r="AT62" s="297"/>
      <c r="AZ62" s="296"/>
    </row>
    <row r="63" spans="1:105">
      <c r="F63" s="294"/>
      <c r="M63" s="294"/>
      <c r="O63" s="294"/>
      <c r="Q63" s="294"/>
      <c r="R63" s="294"/>
      <c r="S63" s="294"/>
      <c r="T63" s="294"/>
      <c r="U63" s="294"/>
      <c r="V63" s="294"/>
      <c r="AZ63" s="296"/>
    </row>
    <row r="64" spans="1:105">
      <c r="F64" s="294"/>
      <c r="M64" s="294"/>
      <c r="O64" s="294"/>
      <c r="Q64" s="294"/>
      <c r="R64" s="294"/>
      <c r="S64" s="294"/>
      <c r="T64" s="294"/>
      <c r="U64" s="294"/>
      <c r="V64" s="294"/>
    </row>
    <row r="65" spans="6:22">
      <c r="F65" s="294"/>
      <c r="M65" s="294"/>
      <c r="O65" s="294"/>
      <c r="Q65" s="294"/>
      <c r="R65" s="294"/>
      <c r="S65" s="294"/>
      <c r="T65" s="294"/>
      <c r="U65" s="294"/>
      <c r="V65" s="294"/>
    </row>
    <row r="66" spans="6:22">
      <c r="F66" s="294"/>
    </row>
    <row r="67" spans="6:22">
      <c r="F67" s="294"/>
      <c r="M67" s="294"/>
      <c r="O67" s="294"/>
      <c r="Q67" s="294"/>
      <c r="R67" s="294"/>
      <c r="S67" s="294"/>
      <c r="T67" s="294"/>
      <c r="U67" s="294"/>
      <c r="V67" s="294"/>
    </row>
    <row r="68" spans="6:22">
      <c r="F68" s="294"/>
      <c r="M68" s="294"/>
      <c r="O68" s="294"/>
      <c r="Q68" s="294"/>
      <c r="R68" s="294"/>
      <c r="S68" s="294"/>
      <c r="T68" s="294"/>
      <c r="U68" s="294"/>
      <c r="V68" s="294"/>
    </row>
    <row r="69" spans="6:22">
      <c r="F69" s="294"/>
      <c r="M69" s="294"/>
      <c r="O69" s="294"/>
      <c r="Q69" s="294"/>
      <c r="R69" s="294"/>
      <c r="S69" s="294"/>
      <c r="T69" s="294"/>
      <c r="U69" s="294"/>
      <c r="V69" s="294"/>
    </row>
    <row r="70" spans="6:22">
      <c r="F70" s="294"/>
      <c r="M70" s="294"/>
      <c r="O70" s="294"/>
      <c r="Q70" s="294"/>
      <c r="R70" s="294"/>
      <c r="S70" s="294"/>
      <c r="T70" s="294"/>
      <c r="U70" s="294"/>
      <c r="V70" s="294"/>
    </row>
    <row r="71" spans="6:22">
      <c r="F71" s="294"/>
      <c r="M71" s="294"/>
      <c r="O71" s="294"/>
      <c r="Q71" s="294"/>
      <c r="R71" s="294"/>
      <c r="S71" s="294"/>
      <c r="T71" s="294"/>
      <c r="U71" s="294"/>
      <c r="V71" s="294"/>
    </row>
    <row r="72" spans="6:22">
      <c r="F72" s="294"/>
      <c r="M72" s="294"/>
      <c r="O72" s="294"/>
      <c r="Q72" s="294"/>
      <c r="R72" s="294"/>
      <c r="S72" s="294"/>
      <c r="T72" s="294"/>
      <c r="U72" s="294"/>
      <c r="V72" s="294"/>
    </row>
    <row r="73" spans="6:22">
      <c r="F73" s="294"/>
      <c r="M73" s="294"/>
      <c r="O73" s="294"/>
      <c r="Q73" s="294"/>
      <c r="R73" s="294"/>
      <c r="S73" s="294"/>
      <c r="T73" s="294"/>
      <c r="U73" s="294"/>
      <c r="V73" s="294"/>
    </row>
    <row r="74" spans="6:22">
      <c r="F74" s="294"/>
      <c r="M74" s="294"/>
      <c r="O74" s="294"/>
      <c r="Q74" s="294"/>
      <c r="R74" s="294"/>
      <c r="S74" s="294"/>
      <c r="T74" s="294"/>
      <c r="U74" s="294"/>
      <c r="V74" s="294"/>
    </row>
    <row r="75" spans="6:22">
      <c r="F75" s="294"/>
      <c r="M75" s="294"/>
      <c r="O75" s="294"/>
      <c r="Q75" s="294"/>
      <c r="R75" s="294"/>
      <c r="S75" s="294"/>
      <c r="T75" s="294"/>
      <c r="U75" s="294"/>
      <c r="V75" s="294"/>
    </row>
    <row r="76" spans="6:22">
      <c r="F76" s="294"/>
      <c r="M76" s="294"/>
      <c r="O76" s="294"/>
      <c r="Q76" s="294"/>
      <c r="R76" s="294"/>
      <c r="S76" s="294"/>
      <c r="T76" s="294"/>
      <c r="U76" s="294"/>
      <c r="V76" s="294"/>
    </row>
    <row r="77" spans="6:22">
      <c r="F77" s="294"/>
      <c r="M77" s="294"/>
      <c r="O77" s="294"/>
      <c r="Q77" s="294"/>
      <c r="R77" s="294"/>
      <c r="S77" s="294"/>
      <c r="T77" s="294"/>
      <c r="U77" s="294"/>
      <c r="V77" s="294"/>
    </row>
    <row r="78" spans="6:22">
      <c r="F78" s="294"/>
      <c r="M78" s="294"/>
      <c r="O78" s="294"/>
      <c r="Q78" s="294"/>
      <c r="R78" s="294"/>
      <c r="S78" s="294"/>
      <c r="T78" s="294"/>
      <c r="U78" s="294"/>
      <c r="V78" s="294"/>
    </row>
    <row r="79" spans="6:22">
      <c r="F79" s="294"/>
      <c r="M79" s="294"/>
      <c r="O79" s="294"/>
      <c r="Q79" s="294"/>
      <c r="R79" s="294"/>
      <c r="S79" s="294"/>
      <c r="T79" s="294"/>
      <c r="U79" s="294"/>
      <c r="V79" s="294"/>
    </row>
    <row r="80" spans="6:22">
      <c r="F80" s="294"/>
      <c r="M80" s="294"/>
      <c r="O80" s="294"/>
      <c r="Q80" s="294"/>
      <c r="R80" s="294"/>
      <c r="S80" s="294"/>
      <c r="T80" s="294"/>
      <c r="U80" s="294"/>
      <c r="V80" s="294"/>
    </row>
    <row r="81" spans="6:22">
      <c r="F81" s="294"/>
      <c r="M81" s="294"/>
      <c r="O81" s="294"/>
      <c r="Q81" s="294"/>
      <c r="R81" s="294"/>
      <c r="S81" s="294"/>
      <c r="T81" s="294"/>
      <c r="U81" s="294"/>
      <c r="V81" s="294"/>
    </row>
    <row r="82" spans="6:22">
      <c r="F82" s="294"/>
      <c r="M82" s="294"/>
      <c r="O82" s="294"/>
      <c r="Q82" s="294"/>
      <c r="R82" s="294"/>
      <c r="S82" s="294"/>
      <c r="T82" s="294"/>
      <c r="U82" s="294"/>
      <c r="V82" s="294"/>
    </row>
    <row r="83" spans="6:22">
      <c r="F83" s="294"/>
      <c r="M83" s="294"/>
      <c r="O83" s="294"/>
      <c r="Q83" s="294"/>
      <c r="R83" s="294"/>
      <c r="S83" s="294"/>
      <c r="T83" s="294"/>
      <c r="U83" s="294"/>
      <c r="V83" s="294"/>
    </row>
    <row r="84" spans="6:22">
      <c r="F84" s="294"/>
      <c r="M84" s="294"/>
      <c r="O84" s="294"/>
      <c r="Q84" s="294"/>
      <c r="R84" s="294"/>
      <c r="S84" s="294"/>
      <c r="T84" s="294"/>
      <c r="U84" s="294"/>
      <c r="V84" s="294"/>
    </row>
    <row r="85" spans="6:22">
      <c r="F85" s="294"/>
      <c r="M85" s="294"/>
      <c r="O85" s="294"/>
      <c r="Q85" s="294"/>
      <c r="R85" s="294"/>
      <c r="S85" s="294"/>
      <c r="T85" s="294"/>
      <c r="U85" s="294"/>
      <c r="V85" s="294"/>
    </row>
    <row r="86" spans="6:22">
      <c r="F86" s="294"/>
      <c r="M86" s="294"/>
      <c r="O86" s="294"/>
      <c r="Q86" s="294"/>
      <c r="R86" s="294"/>
      <c r="S86" s="294"/>
      <c r="T86" s="294"/>
      <c r="U86" s="294"/>
      <c r="V86" s="294"/>
    </row>
    <row r="87" spans="6:22">
      <c r="F87" s="294"/>
      <c r="M87" s="294"/>
      <c r="O87" s="294"/>
      <c r="Q87" s="294"/>
      <c r="R87" s="294"/>
      <c r="S87" s="294"/>
      <c r="T87" s="294"/>
      <c r="U87" s="294"/>
      <c r="V87" s="294"/>
    </row>
    <row r="88" spans="6:22">
      <c r="F88" s="294"/>
      <c r="M88" s="294"/>
      <c r="O88" s="294"/>
      <c r="Q88" s="294"/>
      <c r="R88" s="294"/>
      <c r="S88" s="294"/>
      <c r="T88" s="294"/>
      <c r="U88" s="294"/>
      <c r="V88" s="294"/>
    </row>
    <row r="89" spans="6:22">
      <c r="F89" s="294"/>
      <c r="M89" s="294"/>
      <c r="O89" s="294"/>
      <c r="Q89" s="294"/>
      <c r="R89" s="294"/>
      <c r="S89" s="294"/>
      <c r="T89" s="294"/>
      <c r="U89" s="294"/>
      <c r="V89" s="294"/>
    </row>
    <row r="90" spans="6:22">
      <c r="F90" s="294"/>
      <c r="M90" s="294"/>
      <c r="O90" s="294"/>
      <c r="Q90" s="294"/>
      <c r="R90" s="294"/>
      <c r="S90" s="294"/>
      <c r="T90" s="294"/>
      <c r="U90" s="294"/>
      <c r="V90" s="294"/>
    </row>
    <row r="91" spans="6:22">
      <c r="F91" s="294"/>
      <c r="M91" s="294"/>
      <c r="O91" s="294"/>
      <c r="Q91" s="294"/>
      <c r="R91" s="294"/>
      <c r="S91" s="294"/>
      <c r="T91" s="294"/>
      <c r="U91" s="294"/>
      <c r="V91" s="294"/>
    </row>
    <row r="92" spans="6:22">
      <c r="F92" s="294"/>
      <c r="M92" s="294"/>
      <c r="O92" s="294"/>
      <c r="Q92" s="294"/>
      <c r="R92" s="294"/>
      <c r="S92" s="294"/>
      <c r="T92" s="294"/>
      <c r="U92" s="294"/>
      <c r="V92" s="294"/>
    </row>
    <row r="93" spans="6:22">
      <c r="F93" s="294"/>
      <c r="M93" s="294"/>
      <c r="O93" s="294"/>
      <c r="Q93" s="294"/>
      <c r="R93" s="294"/>
      <c r="S93" s="294"/>
      <c r="T93" s="294"/>
      <c r="U93" s="294"/>
      <c r="V93" s="294"/>
    </row>
    <row r="94" spans="6:22">
      <c r="F94" s="294"/>
      <c r="M94" s="294"/>
      <c r="O94" s="294"/>
      <c r="Q94" s="294"/>
      <c r="R94" s="294"/>
      <c r="S94" s="294"/>
      <c r="T94" s="294"/>
      <c r="U94" s="294"/>
      <c r="V94" s="294"/>
    </row>
    <row r="95" spans="6:22">
      <c r="F95" s="294"/>
      <c r="M95" s="294"/>
      <c r="O95" s="294"/>
      <c r="Q95" s="294"/>
      <c r="R95" s="294"/>
      <c r="S95" s="294"/>
      <c r="T95" s="294"/>
      <c r="U95" s="294"/>
      <c r="V95" s="294"/>
    </row>
    <row r="96" spans="6:22">
      <c r="F96" s="294"/>
      <c r="M96" s="294"/>
      <c r="O96" s="294"/>
      <c r="Q96" s="294"/>
      <c r="R96" s="294"/>
      <c r="S96" s="294"/>
      <c r="T96" s="294"/>
      <c r="U96" s="294"/>
      <c r="V96" s="294"/>
    </row>
    <row r="97" spans="6:22">
      <c r="F97" s="294"/>
      <c r="M97" s="294"/>
      <c r="O97" s="294"/>
      <c r="Q97" s="294"/>
      <c r="R97" s="294"/>
      <c r="S97" s="294"/>
      <c r="T97" s="294"/>
      <c r="U97" s="294"/>
      <c r="V97" s="294"/>
    </row>
    <row r="98" spans="6:22">
      <c r="F98" s="294"/>
      <c r="M98" s="294"/>
      <c r="O98" s="294"/>
      <c r="Q98" s="294"/>
      <c r="R98" s="294"/>
      <c r="S98" s="294"/>
      <c r="T98" s="294"/>
      <c r="U98" s="294"/>
      <c r="V98" s="294"/>
    </row>
    <row r="99" spans="6:22">
      <c r="F99" s="294"/>
      <c r="M99" s="294"/>
      <c r="O99" s="294"/>
      <c r="Q99" s="294"/>
      <c r="R99" s="294"/>
      <c r="S99" s="294"/>
      <c r="T99" s="294"/>
      <c r="U99" s="294"/>
      <c r="V99" s="294"/>
    </row>
    <row r="100" spans="6:22">
      <c r="F100" s="294"/>
      <c r="M100" s="294"/>
      <c r="O100" s="294"/>
      <c r="Q100" s="294"/>
      <c r="R100" s="294"/>
      <c r="S100" s="294"/>
      <c r="T100" s="294"/>
      <c r="U100" s="294"/>
      <c r="V100" s="294"/>
    </row>
    <row r="101" spans="6:22">
      <c r="F101" s="294"/>
      <c r="M101" s="294"/>
      <c r="O101" s="294"/>
      <c r="Q101" s="294"/>
      <c r="R101" s="294"/>
      <c r="S101" s="294"/>
      <c r="T101" s="294"/>
      <c r="U101" s="294"/>
      <c r="V101" s="294"/>
    </row>
    <row r="102" spans="6:22">
      <c r="F102" s="294"/>
      <c r="M102" s="294"/>
      <c r="O102" s="294"/>
      <c r="Q102" s="294"/>
      <c r="R102" s="294"/>
      <c r="S102" s="294"/>
      <c r="T102" s="294"/>
      <c r="U102" s="294"/>
      <c r="V102" s="294"/>
    </row>
    <row r="103" spans="6:22">
      <c r="F103" s="294"/>
      <c r="M103" s="294"/>
      <c r="O103" s="294"/>
      <c r="Q103" s="294"/>
      <c r="R103" s="294"/>
      <c r="S103" s="294"/>
      <c r="T103" s="294"/>
      <c r="U103" s="294"/>
      <c r="V103" s="294"/>
    </row>
    <row r="104" spans="6:22">
      <c r="F104" s="294"/>
      <c r="M104" s="294"/>
      <c r="O104" s="294"/>
      <c r="Q104" s="294"/>
      <c r="R104" s="294"/>
      <c r="S104" s="294"/>
      <c r="T104" s="294"/>
      <c r="U104" s="294"/>
      <c r="V104" s="294"/>
    </row>
    <row r="105" spans="6:22">
      <c r="F105" s="294"/>
      <c r="M105" s="294"/>
      <c r="O105" s="294"/>
      <c r="Q105" s="294"/>
      <c r="R105" s="294"/>
      <c r="S105" s="294"/>
      <c r="T105" s="294"/>
      <c r="U105" s="294"/>
      <c r="V105" s="294"/>
    </row>
    <row r="106" spans="6:22">
      <c r="F106" s="294"/>
      <c r="M106" s="294"/>
      <c r="O106" s="294"/>
      <c r="Q106" s="294"/>
      <c r="R106" s="294"/>
      <c r="S106" s="294"/>
      <c r="T106" s="294"/>
      <c r="U106" s="294"/>
      <c r="V106" s="294"/>
    </row>
    <row r="107" spans="6:22">
      <c r="F107" s="294"/>
      <c r="M107" s="294"/>
      <c r="O107" s="294"/>
      <c r="Q107" s="294"/>
      <c r="R107" s="294"/>
      <c r="S107" s="294"/>
      <c r="T107" s="294"/>
      <c r="U107" s="294"/>
      <c r="V107" s="294"/>
    </row>
    <row r="108" spans="6:22">
      <c r="F108" s="294"/>
      <c r="M108" s="294"/>
      <c r="O108" s="294"/>
      <c r="Q108" s="294"/>
      <c r="R108" s="294"/>
      <c r="S108" s="294"/>
      <c r="T108" s="294"/>
      <c r="U108" s="294"/>
      <c r="V108" s="294"/>
    </row>
    <row r="109" spans="6:22">
      <c r="F109" s="294"/>
      <c r="M109" s="294"/>
      <c r="O109" s="294"/>
      <c r="Q109" s="294"/>
      <c r="R109" s="294"/>
      <c r="S109" s="294"/>
      <c r="T109" s="294"/>
      <c r="U109" s="294"/>
      <c r="V109" s="294"/>
    </row>
    <row r="110" spans="6:22">
      <c r="F110" s="294"/>
      <c r="M110" s="294"/>
      <c r="O110" s="294"/>
      <c r="Q110" s="294"/>
      <c r="R110" s="294"/>
      <c r="S110" s="294"/>
      <c r="T110" s="294"/>
      <c r="U110" s="294"/>
      <c r="V110" s="294"/>
    </row>
    <row r="111" spans="6:22">
      <c r="M111" s="294"/>
      <c r="O111" s="294"/>
      <c r="Q111" s="294"/>
      <c r="R111" s="294"/>
      <c r="S111" s="294"/>
      <c r="T111" s="294"/>
      <c r="U111" s="294"/>
      <c r="V111" s="294"/>
    </row>
    <row r="112" spans="6:22">
      <c r="M112" s="294"/>
      <c r="O112" s="294"/>
      <c r="Q112" s="294"/>
      <c r="R112" s="294"/>
      <c r="S112" s="294"/>
      <c r="T112" s="294"/>
      <c r="U112" s="294"/>
      <c r="V112" s="294"/>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5" customWidth="1"/>
    <col min="2" max="2" width="8.42578125" style="255" customWidth="1"/>
    <col min="3" max="3" width="7.42578125" style="255" customWidth="1"/>
    <col min="4" max="4" width="8.42578125" style="255" customWidth="1"/>
    <col min="5" max="5" width="37.28515625" style="255" customWidth="1"/>
    <col min="6" max="6" width="12.7109375" style="255" customWidth="1"/>
    <col min="7" max="8" width="5.85546875" style="256" customWidth="1"/>
    <col min="9" max="9" width="4.85546875" style="255" customWidth="1"/>
    <col min="10" max="10" width="12.5703125" style="255" customWidth="1"/>
    <col min="11" max="11" width="12.28515625" style="255" customWidth="1"/>
    <col min="12" max="12" width="12.85546875" style="255" customWidth="1"/>
    <col min="13" max="13" width="12.7109375" style="255" customWidth="1"/>
    <col min="14" max="14" width="12.85546875" style="255" customWidth="1"/>
    <col min="15" max="15" width="12.7109375" style="255" customWidth="1"/>
    <col min="16" max="16" width="11.85546875" style="255" customWidth="1"/>
    <col min="17" max="17" width="5" style="255" customWidth="1"/>
    <col min="18" max="18" width="11.28515625" style="255" customWidth="1"/>
    <col min="19" max="19" width="11.42578125" style="255" customWidth="1"/>
    <col min="20" max="20" width="13.140625" style="255" customWidth="1"/>
    <col min="21" max="21" width="6" style="255" customWidth="1"/>
    <col min="22" max="22" width="13.5703125" style="255" customWidth="1"/>
    <col min="23" max="23" width="13.42578125" style="255" customWidth="1"/>
    <col min="24" max="24" width="6.5703125" style="255" customWidth="1"/>
    <col min="25" max="25" width="6.42578125" style="255" customWidth="1"/>
    <col min="26" max="26" width="9.5703125" style="255" customWidth="1"/>
    <col min="27" max="27" width="9.42578125" style="255" customWidth="1"/>
    <col min="28" max="29" width="11.28515625" style="255" customWidth="1"/>
    <col min="30" max="30" width="5.28515625" style="255" customWidth="1"/>
    <col min="31" max="31" width="15" style="255" customWidth="1"/>
    <col min="32" max="32" width="5.28515625" style="255" customWidth="1"/>
    <col min="33" max="33" width="15" style="255" customWidth="1"/>
    <col min="34" max="34" width="4.85546875" style="255" customWidth="1"/>
    <col min="35" max="35" width="13.85546875" style="255" customWidth="1"/>
    <col min="36" max="36" width="11.5703125" style="255" customWidth="1"/>
    <col min="37" max="37" width="5.7109375" style="255" customWidth="1"/>
    <col min="38" max="38" width="12.42578125" style="255" customWidth="1"/>
    <col min="39" max="39" width="10.85546875" style="255" customWidth="1"/>
    <col min="40" max="40" width="9.85546875" style="255" customWidth="1"/>
    <col min="41" max="41" width="9.7109375" style="255" customWidth="1"/>
    <col min="42" max="42" width="13.140625" style="255" customWidth="1"/>
    <col min="43" max="43" width="12.5703125" style="255" customWidth="1"/>
    <col min="44" max="45" width="14.28515625" style="255" customWidth="1"/>
    <col min="46" max="46" width="7" style="255" customWidth="1"/>
    <col min="47" max="47" width="7.5703125" style="255" customWidth="1"/>
    <col min="48" max="48" width="4.7109375" style="255" customWidth="1"/>
    <col min="49" max="49" width="9.5703125" style="255" customWidth="1"/>
    <col min="50" max="51" width="12.28515625" style="255" customWidth="1"/>
    <col min="52" max="52" width="15.7109375" style="255" customWidth="1"/>
    <col min="53" max="53" width="15.85546875" style="255" customWidth="1"/>
    <col min="54" max="16384" width="9.140625" style="255"/>
  </cols>
  <sheetData>
    <row r="1" spans="1:105" ht="12.75" customHeight="1">
      <c r="A1" s="251"/>
      <c r="B1" s="252" t="s">
        <v>121</v>
      </c>
      <c r="C1" s="253"/>
      <c r="D1" s="253"/>
      <c r="E1" s="254"/>
      <c r="I1" s="253"/>
      <c r="M1" s="1256" t="str">
        <f>'SC-I'!M1:S1</f>
        <v>Mẫu số S01-DN</v>
      </c>
      <c r="N1" s="1256"/>
      <c r="O1" s="1256"/>
      <c r="P1" s="1256"/>
      <c r="Q1" s="1256"/>
      <c r="R1" s="1256"/>
      <c r="S1" s="1256"/>
      <c r="X1" s="253"/>
      <c r="Y1" s="253"/>
      <c r="Z1" s="253"/>
      <c r="AA1" s="253"/>
      <c r="AB1" s="254"/>
      <c r="AC1" s="254"/>
      <c r="AD1" s="254"/>
      <c r="AE1" s="254"/>
      <c r="AF1" s="254"/>
      <c r="AG1" s="254"/>
      <c r="AH1" s="254"/>
      <c r="AI1" s="254"/>
      <c r="AJ1" s="254"/>
      <c r="AK1" s="254"/>
      <c r="AL1" s="253"/>
      <c r="AM1" s="253"/>
      <c r="AN1" s="253"/>
      <c r="AO1" s="253"/>
      <c r="AP1" s="253"/>
      <c r="AQ1" s="253"/>
      <c r="AR1" s="253"/>
      <c r="AS1" s="253"/>
      <c r="AT1" s="253"/>
      <c r="AU1" s="253"/>
      <c r="AV1" s="253"/>
      <c r="AW1" s="253"/>
      <c r="AX1" s="253"/>
      <c r="AY1" s="253"/>
      <c r="AZ1" s="253"/>
      <c r="BA1" s="253"/>
    </row>
    <row r="2" spans="1:105" ht="12.75" customHeight="1">
      <c r="A2" s="251"/>
      <c r="B2" s="252" t="s">
        <v>179</v>
      </c>
      <c r="C2" s="253"/>
      <c r="D2" s="253"/>
      <c r="E2" s="253"/>
      <c r="I2" s="257"/>
      <c r="M2" s="1257" t="str">
        <f>'SC-I'!M2:S3</f>
        <v>(Ban hành theo Thông tư số 200/2014/TT-BTC  Ngày 22/12/2014 của Bộ Tài chính)</v>
      </c>
      <c r="N2" s="1257"/>
      <c r="O2" s="1257"/>
      <c r="P2" s="1257"/>
      <c r="Q2" s="1257"/>
      <c r="R2" s="1257"/>
      <c r="S2" s="1257"/>
      <c r="X2" s="257"/>
      <c r="Y2" s="257"/>
      <c r="Z2" s="257"/>
      <c r="AA2" s="257"/>
      <c r="AB2" s="258"/>
      <c r="AC2" s="258"/>
      <c r="AD2" s="258"/>
      <c r="AE2" s="258"/>
      <c r="AF2" s="258"/>
      <c r="AG2" s="258"/>
      <c r="AH2" s="258"/>
      <c r="AI2" s="258"/>
      <c r="AJ2" s="258"/>
      <c r="AK2" s="258"/>
      <c r="AL2" s="257"/>
      <c r="AM2" s="257"/>
      <c r="AN2" s="257"/>
      <c r="AO2" s="257"/>
      <c r="AP2" s="257"/>
      <c r="AQ2" s="257"/>
      <c r="AR2" s="257"/>
      <c r="AS2" s="257"/>
      <c r="AT2" s="257"/>
      <c r="AU2" s="257"/>
      <c r="AV2" s="257"/>
      <c r="AW2" s="257"/>
      <c r="AX2" s="257"/>
      <c r="AY2" s="257"/>
      <c r="AZ2" s="257"/>
      <c r="BA2" s="257"/>
    </row>
    <row r="3" spans="1:105" ht="10.5" customHeight="1">
      <c r="A3" s="253"/>
      <c r="B3" s="253"/>
      <c r="C3" s="253"/>
      <c r="D3" s="253"/>
      <c r="E3" s="253"/>
      <c r="F3" s="257"/>
      <c r="G3" s="259"/>
      <c r="H3" s="259"/>
      <c r="I3" s="257"/>
      <c r="M3" s="1257"/>
      <c r="N3" s="1257"/>
      <c r="O3" s="1257"/>
      <c r="P3" s="1257"/>
      <c r="Q3" s="1257"/>
      <c r="R3" s="1257"/>
      <c r="S3" s="1257"/>
      <c r="X3" s="257"/>
      <c r="Y3" s="257"/>
      <c r="Z3" s="257"/>
      <c r="AA3" s="257"/>
      <c r="AB3" s="258"/>
      <c r="AC3" s="258"/>
      <c r="AD3" s="258"/>
      <c r="AE3" s="258"/>
      <c r="AF3" s="258"/>
      <c r="AG3" s="258"/>
      <c r="AH3" s="258"/>
      <c r="AI3" s="258"/>
      <c r="AJ3" s="258"/>
      <c r="AK3" s="258"/>
      <c r="AL3" s="257"/>
      <c r="AM3" s="257"/>
      <c r="AN3" s="257"/>
      <c r="AO3" s="257"/>
      <c r="AP3" s="257"/>
      <c r="AQ3" s="257"/>
      <c r="AR3" s="257"/>
      <c r="AS3" s="257"/>
      <c r="AT3" s="257"/>
      <c r="AU3" s="257"/>
      <c r="AV3" s="257"/>
      <c r="AW3" s="257"/>
      <c r="AX3" s="257"/>
      <c r="AY3" s="257"/>
      <c r="AZ3" s="257"/>
      <c r="BA3" s="257"/>
    </row>
    <row r="4" spans="1:105" ht="19.5" customHeight="1">
      <c r="B4" s="1258" t="s">
        <v>112</v>
      </c>
      <c r="C4" s="1258"/>
      <c r="D4" s="1258"/>
      <c r="E4" s="1258"/>
      <c r="F4" s="1258"/>
      <c r="G4" s="1258"/>
      <c r="H4" s="1258"/>
      <c r="I4" s="1258"/>
      <c r="J4" s="1258"/>
      <c r="K4" s="1258"/>
      <c r="L4" s="1258"/>
      <c r="M4" s="1258"/>
      <c r="N4" s="1258"/>
      <c r="O4" s="1258"/>
      <c r="P4" s="1258"/>
      <c r="Q4" s="1258"/>
      <c r="R4" s="1258"/>
      <c r="S4" s="260"/>
      <c r="T4" s="260"/>
      <c r="U4" s="260"/>
      <c r="V4" s="260"/>
      <c r="W4" s="260"/>
      <c r="X4" s="261"/>
      <c r="Y4" s="261"/>
      <c r="Z4" s="262"/>
      <c r="AA4" s="262"/>
      <c r="AB4" s="260"/>
      <c r="AC4" s="260"/>
      <c r="AD4" s="260"/>
      <c r="AE4" s="260"/>
      <c r="AF4" s="260"/>
      <c r="AG4" s="260"/>
      <c r="AH4" s="260"/>
      <c r="AI4" s="260"/>
      <c r="AJ4" s="260"/>
      <c r="AK4" s="260"/>
      <c r="AL4" s="262"/>
      <c r="AM4" s="262"/>
      <c r="AN4" s="262"/>
      <c r="AO4" s="262"/>
      <c r="AP4" s="262"/>
      <c r="AQ4" s="262"/>
      <c r="AR4" s="262"/>
      <c r="AS4" s="262"/>
      <c r="AT4" s="262"/>
      <c r="AU4" s="262"/>
      <c r="AV4" s="262"/>
      <c r="AW4" s="262"/>
      <c r="AX4" s="262"/>
      <c r="AY4" s="262"/>
      <c r="AZ4" s="262"/>
      <c r="BA4" s="262"/>
    </row>
    <row r="5" spans="1:105" ht="15">
      <c r="B5" s="1259" t="s">
        <v>219</v>
      </c>
      <c r="C5" s="1259"/>
      <c r="D5" s="1259"/>
      <c r="E5" s="1259"/>
      <c r="F5" s="1259"/>
      <c r="G5" s="1259"/>
      <c r="H5" s="1259"/>
      <c r="I5" s="1259"/>
      <c r="J5" s="1259"/>
      <c r="K5" s="1259"/>
      <c r="L5" s="1259"/>
      <c r="M5" s="1259"/>
      <c r="N5" s="1259"/>
      <c r="O5" s="1259"/>
      <c r="P5" s="1259"/>
      <c r="Q5" s="1259"/>
      <c r="R5" s="1259"/>
      <c r="S5" s="263"/>
      <c r="T5" s="263"/>
      <c r="U5" s="263"/>
      <c r="V5" s="263"/>
      <c r="W5" s="263"/>
      <c r="X5" s="264"/>
      <c r="Y5" s="264"/>
      <c r="AB5" s="263"/>
      <c r="AC5" s="263"/>
      <c r="AD5" s="263"/>
      <c r="AE5" s="263"/>
      <c r="AF5" s="263"/>
      <c r="AG5" s="263"/>
      <c r="AH5" s="263"/>
      <c r="AI5" s="263"/>
      <c r="AJ5" s="263"/>
      <c r="AK5" s="263"/>
    </row>
    <row r="6" spans="1:105">
      <c r="P6" s="255" t="s">
        <v>148</v>
      </c>
    </row>
    <row r="7" spans="1:105" ht="13.5" customHeight="1">
      <c r="A7" s="1260" t="s">
        <v>37</v>
      </c>
      <c r="B7" s="1254" t="s">
        <v>22</v>
      </c>
      <c r="C7" s="1262" t="s">
        <v>1</v>
      </c>
      <c r="D7" s="1263"/>
      <c r="E7" s="1254" t="s">
        <v>0</v>
      </c>
      <c r="F7" s="1254" t="s">
        <v>113</v>
      </c>
      <c r="G7" s="1264" t="s">
        <v>114</v>
      </c>
      <c r="H7" s="1264"/>
      <c r="I7" s="1255" t="s">
        <v>37</v>
      </c>
      <c r="J7" s="1254" t="s">
        <v>192</v>
      </c>
      <c r="K7" s="1254"/>
      <c r="L7" s="1254" t="s">
        <v>193</v>
      </c>
      <c r="M7" s="1254"/>
      <c r="N7" s="1254" t="s">
        <v>268</v>
      </c>
      <c r="O7" s="1254"/>
      <c r="P7" s="1254" t="s">
        <v>970</v>
      </c>
      <c r="Q7" s="1254"/>
      <c r="R7" s="1254" t="s">
        <v>194</v>
      </c>
      <c r="S7" s="1254"/>
      <c r="T7" s="1254" t="s">
        <v>195</v>
      </c>
      <c r="U7" s="1254"/>
      <c r="V7" s="1254" t="s">
        <v>971</v>
      </c>
      <c r="W7" s="1254"/>
      <c r="X7" s="1254" t="s">
        <v>972</v>
      </c>
      <c r="Y7" s="1254"/>
      <c r="Z7" s="1254" t="s">
        <v>973</v>
      </c>
      <c r="AA7" s="1254"/>
      <c r="AB7" s="1254" t="s">
        <v>974</v>
      </c>
      <c r="AC7" s="1254"/>
      <c r="AD7" s="1254" t="s">
        <v>975</v>
      </c>
      <c r="AE7" s="1254"/>
      <c r="AF7" s="1254" t="s">
        <v>976</v>
      </c>
      <c r="AG7" s="1254"/>
      <c r="AH7" s="1254" t="s">
        <v>977</v>
      </c>
      <c r="AI7" s="1254"/>
      <c r="AJ7" s="1254" t="s">
        <v>978</v>
      </c>
      <c r="AK7" s="1254"/>
      <c r="AL7" s="1254" t="s">
        <v>979</v>
      </c>
      <c r="AM7" s="1254"/>
      <c r="AN7" s="1254" t="s">
        <v>980</v>
      </c>
      <c r="AO7" s="1254"/>
      <c r="AP7" s="1254" t="s">
        <v>981</v>
      </c>
      <c r="AQ7" s="1254"/>
      <c r="AR7" s="1254" t="s">
        <v>982</v>
      </c>
      <c r="AS7" s="1254"/>
      <c r="AT7" s="1254" t="s">
        <v>196</v>
      </c>
      <c r="AU7" s="1254"/>
      <c r="AV7" s="1254" t="s">
        <v>197</v>
      </c>
      <c r="AW7" s="1254"/>
      <c r="AX7" s="1254" t="s">
        <v>983</v>
      </c>
      <c r="AY7" s="1254"/>
      <c r="AZ7" s="1254" t="s">
        <v>984</v>
      </c>
      <c r="BA7" s="1254"/>
      <c r="BB7" s="1254" t="s">
        <v>985</v>
      </c>
      <c r="BC7" s="1254"/>
      <c r="BD7" s="1254" t="s">
        <v>198</v>
      </c>
      <c r="BE7" s="1254"/>
      <c r="BF7" s="1254" t="s">
        <v>986</v>
      </c>
      <c r="BG7" s="1254"/>
      <c r="BH7" s="1254" t="s">
        <v>199</v>
      </c>
      <c r="BI7" s="1254"/>
      <c r="BJ7" s="1254" t="s">
        <v>987</v>
      </c>
      <c r="BK7" s="1254"/>
      <c r="BL7" s="1254" t="s">
        <v>988</v>
      </c>
      <c r="BM7" s="1254"/>
      <c r="BN7" s="1254" t="s">
        <v>989</v>
      </c>
      <c r="BO7" s="1254"/>
      <c r="BP7" s="1254" t="s">
        <v>990</v>
      </c>
      <c r="BQ7" s="1254"/>
      <c r="BR7" s="1254" t="s">
        <v>200</v>
      </c>
      <c r="BS7" s="1254"/>
      <c r="BT7" s="1254" t="s">
        <v>201</v>
      </c>
      <c r="BU7" s="1254"/>
      <c r="BV7" s="1254" t="s">
        <v>263</v>
      </c>
      <c r="BW7" s="1254"/>
      <c r="BX7" s="1254" t="s">
        <v>202</v>
      </c>
      <c r="BY7" s="1254"/>
      <c r="BZ7" s="1254" t="s">
        <v>203</v>
      </c>
      <c r="CA7" s="1254"/>
      <c r="CB7" s="1254" t="s">
        <v>204</v>
      </c>
      <c r="CC7" s="1254"/>
      <c r="CD7" s="1254" t="s">
        <v>991</v>
      </c>
      <c r="CE7" s="1254"/>
      <c r="CF7" s="1254" t="s">
        <v>992</v>
      </c>
      <c r="CG7" s="1254"/>
      <c r="CH7" s="1254" t="s">
        <v>205</v>
      </c>
      <c r="CI7" s="1254"/>
      <c r="CJ7" s="1254" t="s">
        <v>993</v>
      </c>
      <c r="CK7" s="1254"/>
      <c r="CL7" s="1254" t="s">
        <v>994</v>
      </c>
      <c r="CM7" s="1254"/>
      <c r="CN7" s="1254" t="s">
        <v>206</v>
      </c>
      <c r="CO7" s="1254"/>
      <c r="CP7" s="1254" t="s">
        <v>995</v>
      </c>
      <c r="CQ7" s="1254"/>
      <c r="CR7" s="1254" t="s">
        <v>207</v>
      </c>
      <c r="CS7" s="1254"/>
      <c r="CT7" s="1254" t="s">
        <v>208</v>
      </c>
      <c r="CU7" s="1254"/>
      <c r="CV7" s="1254" t="s">
        <v>209</v>
      </c>
      <c r="CW7" s="1254"/>
      <c r="CX7" s="1254" t="s">
        <v>210</v>
      </c>
      <c r="CY7" s="1254"/>
      <c r="CZ7" s="1254" t="s">
        <v>211</v>
      </c>
      <c r="DA7" s="1254"/>
    </row>
    <row r="8" spans="1:105" ht="22.5" customHeight="1">
      <c r="A8" s="1261"/>
      <c r="B8" s="1254"/>
      <c r="C8" s="990" t="s">
        <v>17</v>
      </c>
      <c r="D8" s="989" t="s">
        <v>34</v>
      </c>
      <c r="E8" s="1254"/>
      <c r="F8" s="1254"/>
      <c r="G8" s="991" t="s">
        <v>24</v>
      </c>
      <c r="H8" s="991" t="s">
        <v>25</v>
      </c>
      <c r="I8" s="1255"/>
      <c r="J8" s="989" t="s">
        <v>24</v>
      </c>
      <c r="K8" s="989" t="s">
        <v>25</v>
      </c>
      <c r="L8" s="989" t="s">
        <v>24</v>
      </c>
      <c r="M8" s="989" t="s">
        <v>25</v>
      </c>
      <c r="N8" s="989" t="s">
        <v>24</v>
      </c>
      <c r="O8" s="989" t="s">
        <v>25</v>
      </c>
      <c r="P8" s="989" t="s">
        <v>24</v>
      </c>
      <c r="Q8" s="989" t="s">
        <v>25</v>
      </c>
      <c r="R8" s="989" t="s">
        <v>24</v>
      </c>
      <c r="S8" s="989" t="s">
        <v>25</v>
      </c>
      <c r="T8" s="989" t="s">
        <v>24</v>
      </c>
      <c r="U8" s="989" t="s">
        <v>25</v>
      </c>
      <c r="V8" s="989" t="s">
        <v>24</v>
      </c>
      <c r="W8" s="989" t="s">
        <v>25</v>
      </c>
      <c r="X8" s="989" t="s">
        <v>24</v>
      </c>
      <c r="Y8" s="989" t="s">
        <v>25</v>
      </c>
      <c r="Z8" s="989" t="s">
        <v>24</v>
      </c>
      <c r="AA8" s="989" t="s">
        <v>25</v>
      </c>
      <c r="AB8" s="989" t="s">
        <v>24</v>
      </c>
      <c r="AC8" s="989" t="s">
        <v>25</v>
      </c>
      <c r="AD8" s="989" t="s">
        <v>24</v>
      </c>
      <c r="AE8" s="989" t="s">
        <v>25</v>
      </c>
      <c r="AF8" s="989" t="s">
        <v>24</v>
      </c>
      <c r="AG8" s="989" t="s">
        <v>25</v>
      </c>
      <c r="AH8" s="989" t="s">
        <v>24</v>
      </c>
      <c r="AI8" s="989" t="s">
        <v>25</v>
      </c>
      <c r="AJ8" s="989" t="s">
        <v>24</v>
      </c>
      <c r="AK8" s="989" t="s">
        <v>25</v>
      </c>
      <c r="AL8" s="989" t="s">
        <v>24</v>
      </c>
      <c r="AM8" s="989" t="s">
        <v>25</v>
      </c>
      <c r="AN8" s="989" t="s">
        <v>24</v>
      </c>
      <c r="AO8" s="989" t="s">
        <v>25</v>
      </c>
      <c r="AP8" s="989" t="s">
        <v>24</v>
      </c>
      <c r="AQ8" s="989" t="s">
        <v>25</v>
      </c>
      <c r="AR8" s="989" t="s">
        <v>24</v>
      </c>
      <c r="AS8" s="989" t="s">
        <v>25</v>
      </c>
      <c r="AT8" s="989" t="s">
        <v>24</v>
      </c>
      <c r="AU8" s="989" t="s">
        <v>25</v>
      </c>
      <c r="AV8" s="989" t="s">
        <v>24</v>
      </c>
      <c r="AW8" s="989" t="s">
        <v>25</v>
      </c>
      <c r="AX8" s="989" t="s">
        <v>24</v>
      </c>
      <c r="AY8" s="989" t="s">
        <v>25</v>
      </c>
      <c r="AZ8" s="989" t="s">
        <v>24</v>
      </c>
      <c r="BA8" s="989" t="s">
        <v>25</v>
      </c>
      <c r="BB8" s="989" t="s">
        <v>24</v>
      </c>
      <c r="BC8" s="989" t="s">
        <v>25</v>
      </c>
      <c r="BD8" s="989" t="s">
        <v>24</v>
      </c>
      <c r="BE8" s="989" t="s">
        <v>25</v>
      </c>
      <c r="BF8" s="989" t="s">
        <v>24</v>
      </c>
      <c r="BG8" s="989" t="s">
        <v>25</v>
      </c>
      <c r="BH8" s="989" t="s">
        <v>24</v>
      </c>
      <c r="BI8" s="989" t="s">
        <v>25</v>
      </c>
      <c r="BJ8" s="989" t="s">
        <v>24</v>
      </c>
      <c r="BK8" s="989" t="s">
        <v>25</v>
      </c>
      <c r="BL8" s="989" t="s">
        <v>24</v>
      </c>
      <c r="BM8" s="989" t="s">
        <v>25</v>
      </c>
      <c r="BN8" s="989" t="s">
        <v>24</v>
      </c>
      <c r="BO8" s="989" t="s">
        <v>25</v>
      </c>
      <c r="BP8" s="989" t="s">
        <v>24</v>
      </c>
      <c r="BQ8" s="989" t="s">
        <v>25</v>
      </c>
      <c r="BR8" s="989" t="s">
        <v>24</v>
      </c>
      <c r="BS8" s="989" t="s">
        <v>25</v>
      </c>
      <c r="BT8" s="989" t="s">
        <v>24</v>
      </c>
      <c r="BU8" s="989" t="s">
        <v>25</v>
      </c>
      <c r="BV8" s="989" t="s">
        <v>24</v>
      </c>
      <c r="BW8" s="989" t="s">
        <v>25</v>
      </c>
      <c r="BX8" s="989" t="s">
        <v>24</v>
      </c>
      <c r="BY8" s="989" t="s">
        <v>25</v>
      </c>
      <c r="BZ8" s="989" t="s">
        <v>24</v>
      </c>
      <c r="CA8" s="989" t="s">
        <v>25</v>
      </c>
      <c r="CB8" s="989" t="s">
        <v>24</v>
      </c>
      <c r="CC8" s="989" t="s">
        <v>25</v>
      </c>
      <c r="CD8" s="989" t="s">
        <v>24</v>
      </c>
      <c r="CE8" s="989" t="s">
        <v>25</v>
      </c>
      <c r="CF8" s="989" t="s">
        <v>24</v>
      </c>
      <c r="CG8" s="989" t="s">
        <v>25</v>
      </c>
      <c r="CH8" s="989" t="s">
        <v>24</v>
      </c>
      <c r="CI8" s="989" t="s">
        <v>25</v>
      </c>
      <c r="CJ8" s="989" t="s">
        <v>24</v>
      </c>
      <c r="CK8" s="989" t="s">
        <v>25</v>
      </c>
      <c r="CL8" s="989" t="s">
        <v>24</v>
      </c>
      <c r="CM8" s="989" t="s">
        <v>25</v>
      </c>
      <c r="CN8" s="989" t="s">
        <v>24</v>
      </c>
      <c r="CO8" s="989" t="s">
        <v>25</v>
      </c>
      <c r="CP8" s="989" t="s">
        <v>24</v>
      </c>
      <c r="CQ8" s="989" t="s">
        <v>25</v>
      </c>
      <c r="CR8" s="989" t="s">
        <v>24</v>
      </c>
      <c r="CS8" s="989" t="s">
        <v>25</v>
      </c>
      <c r="CT8" s="989" t="s">
        <v>24</v>
      </c>
      <c r="CU8" s="989" t="s">
        <v>25</v>
      </c>
      <c r="CV8" s="989" t="s">
        <v>24</v>
      </c>
      <c r="CW8" s="989" t="s">
        <v>25</v>
      </c>
      <c r="CX8" s="989" t="s">
        <v>24</v>
      </c>
      <c r="CY8" s="989" t="s">
        <v>25</v>
      </c>
      <c r="CZ8" s="989" t="s">
        <v>24</v>
      </c>
      <c r="DA8" s="989" t="s">
        <v>25</v>
      </c>
    </row>
    <row r="9" spans="1:105" s="266" customFormat="1" ht="8.25" customHeight="1">
      <c r="A9" s="265">
        <v>1</v>
      </c>
      <c r="B9" s="265">
        <v>2</v>
      </c>
      <c r="C9" s="265">
        <v>3</v>
      </c>
      <c r="D9" s="265">
        <v>4</v>
      </c>
      <c r="E9" s="265">
        <v>5</v>
      </c>
      <c r="F9" s="265">
        <v>6</v>
      </c>
      <c r="G9" s="265">
        <v>7</v>
      </c>
      <c r="H9" s="265">
        <v>8</v>
      </c>
      <c r="I9" s="265">
        <v>9</v>
      </c>
      <c r="J9" s="265">
        <v>10</v>
      </c>
      <c r="K9" s="265">
        <v>11</v>
      </c>
      <c r="L9" s="265">
        <v>12</v>
      </c>
      <c r="M9" s="265">
        <v>13</v>
      </c>
      <c r="N9" s="265">
        <v>14</v>
      </c>
      <c r="O9" s="265">
        <v>15</v>
      </c>
      <c r="P9" s="265">
        <v>16</v>
      </c>
      <c r="Q9" s="265">
        <v>17</v>
      </c>
      <c r="R9" s="265">
        <v>18</v>
      </c>
      <c r="S9" s="265">
        <v>19</v>
      </c>
      <c r="T9" s="265">
        <v>20</v>
      </c>
      <c r="U9" s="265">
        <v>21</v>
      </c>
      <c r="V9" s="265">
        <v>22</v>
      </c>
      <c r="W9" s="265">
        <v>23</v>
      </c>
      <c r="X9" s="265">
        <v>24</v>
      </c>
      <c r="Y9" s="265">
        <v>25</v>
      </c>
      <c r="Z9" s="265">
        <v>26</v>
      </c>
      <c r="AA9" s="265">
        <v>27</v>
      </c>
      <c r="AB9" s="265">
        <v>28</v>
      </c>
      <c r="AC9" s="265">
        <v>29</v>
      </c>
      <c r="AD9" s="265">
        <v>30</v>
      </c>
      <c r="AE9" s="265">
        <v>31</v>
      </c>
      <c r="AF9" s="265">
        <v>32</v>
      </c>
      <c r="AG9" s="265">
        <v>33</v>
      </c>
      <c r="AH9" s="265">
        <v>34</v>
      </c>
      <c r="AI9" s="265">
        <v>35</v>
      </c>
      <c r="AJ9" s="265">
        <v>36</v>
      </c>
      <c r="AK9" s="265">
        <v>37</v>
      </c>
      <c r="AL9" s="265">
        <v>38</v>
      </c>
      <c r="AM9" s="265">
        <v>39</v>
      </c>
      <c r="AN9" s="265">
        <v>40</v>
      </c>
      <c r="AO9" s="265">
        <v>41</v>
      </c>
      <c r="AP9" s="265">
        <v>42</v>
      </c>
      <c r="AQ9" s="265">
        <v>43</v>
      </c>
      <c r="AR9" s="265">
        <v>44</v>
      </c>
      <c r="AS9" s="265">
        <v>45</v>
      </c>
      <c r="AT9" s="265">
        <v>46</v>
      </c>
      <c r="AU9" s="265">
        <v>47</v>
      </c>
      <c r="AV9" s="265">
        <v>48</v>
      </c>
      <c r="AW9" s="265">
        <v>49</v>
      </c>
      <c r="AX9" s="265">
        <v>50</v>
      </c>
      <c r="AY9" s="265">
        <v>51</v>
      </c>
      <c r="AZ9" s="265">
        <v>52</v>
      </c>
      <c r="BA9" s="265">
        <v>53</v>
      </c>
      <c r="BB9" s="265">
        <v>54</v>
      </c>
      <c r="BC9" s="265">
        <v>55</v>
      </c>
      <c r="BD9" s="265">
        <v>56</v>
      </c>
      <c r="BE9" s="265">
        <v>57</v>
      </c>
      <c r="BF9" s="265">
        <v>58</v>
      </c>
      <c r="BG9" s="265">
        <v>59</v>
      </c>
      <c r="BH9" s="265">
        <v>60</v>
      </c>
      <c r="BI9" s="265">
        <v>61</v>
      </c>
      <c r="BJ9" s="265">
        <v>62</v>
      </c>
      <c r="BK9" s="265">
        <v>63</v>
      </c>
      <c r="BL9" s="265">
        <v>64</v>
      </c>
      <c r="BM9" s="265">
        <v>65</v>
      </c>
      <c r="BN9" s="265">
        <v>66</v>
      </c>
      <c r="BO9" s="265">
        <v>67</v>
      </c>
      <c r="BP9" s="265">
        <v>68</v>
      </c>
      <c r="BQ9" s="265">
        <v>69</v>
      </c>
      <c r="BR9" s="265">
        <v>70</v>
      </c>
      <c r="BS9" s="265">
        <v>71</v>
      </c>
      <c r="BT9" s="265">
        <v>72</v>
      </c>
      <c r="BU9" s="265">
        <v>73</v>
      </c>
      <c r="BV9" s="265">
        <v>72</v>
      </c>
      <c r="BW9" s="265">
        <v>73</v>
      </c>
      <c r="BX9" s="265">
        <v>74</v>
      </c>
      <c r="BY9" s="265">
        <v>75</v>
      </c>
      <c r="BZ9" s="265">
        <v>76</v>
      </c>
      <c r="CA9" s="265">
        <v>77</v>
      </c>
      <c r="CB9" s="265">
        <v>78</v>
      </c>
      <c r="CC9" s="265">
        <v>79</v>
      </c>
      <c r="CD9" s="265">
        <v>80</v>
      </c>
      <c r="CE9" s="265">
        <v>81</v>
      </c>
      <c r="CF9" s="265">
        <v>82</v>
      </c>
      <c r="CG9" s="265">
        <v>83</v>
      </c>
      <c r="CH9" s="265">
        <v>84</v>
      </c>
      <c r="CI9" s="265">
        <v>85</v>
      </c>
      <c r="CJ9" s="265">
        <v>86</v>
      </c>
      <c r="CK9" s="265">
        <v>87</v>
      </c>
      <c r="CL9" s="265">
        <v>88</v>
      </c>
      <c r="CM9" s="265">
        <v>89</v>
      </c>
      <c r="CN9" s="265">
        <v>90</v>
      </c>
      <c r="CO9" s="265">
        <v>91</v>
      </c>
      <c r="CP9" s="265">
        <v>92</v>
      </c>
      <c r="CQ9" s="265">
        <v>93</v>
      </c>
      <c r="CR9" s="265">
        <v>94</v>
      </c>
      <c r="CS9" s="265">
        <v>95</v>
      </c>
      <c r="CT9" s="265">
        <v>96</v>
      </c>
      <c r="CU9" s="265">
        <v>97</v>
      </c>
      <c r="CV9" s="265">
        <v>98</v>
      </c>
      <c r="CW9" s="265">
        <v>99</v>
      </c>
      <c r="CX9" s="265">
        <v>100</v>
      </c>
      <c r="CY9" s="265">
        <v>101</v>
      </c>
      <c r="CZ9" s="265">
        <v>102</v>
      </c>
      <c r="DA9" s="265">
        <v>103</v>
      </c>
    </row>
    <row r="10" spans="1:105" s="274" customFormat="1" ht="12.75" customHeight="1">
      <c r="A10" s="63" t="str">
        <f t="array" ref="A10">IF(C10&lt;&gt;0,SUM(($C10:C$16&lt;&gt;0)*1),"")</f>
        <v/>
      </c>
      <c r="B10" s="267"/>
      <c r="C10" s="268"/>
      <c r="D10" s="267"/>
      <c r="E10" s="269" t="s">
        <v>212</v>
      </c>
      <c r="F10" s="270"/>
      <c r="G10" s="271"/>
      <c r="H10" s="271"/>
      <c r="I10" s="272"/>
      <c r="J10" s="273">
        <f ca="1">'SC-I'!J53</f>
        <v>3705039095</v>
      </c>
      <c r="K10" s="273">
        <f ca="1">'SC-I'!K53</f>
        <v>0</v>
      </c>
      <c r="L10" s="273">
        <f ca="1">'SC-I'!L53</f>
        <v>19829295</v>
      </c>
      <c r="M10" s="273">
        <f ca="1">'SC-I'!M53</f>
        <v>0</v>
      </c>
      <c r="N10" s="273">
        <f ca="1">'SC-I'!N53</f>
        <v>2236796790</v>
      </c>
      <c r="O10" s="273">
        <f ca="1">'SC-I'!O53</f>
        <v>0</v>
      </c>
      <c r="P10" s="273">
        <f ca="1">'SC-I'!P53</f>
        <v>3343381600</v>
      </c>
      <c r="Q10" s="273">
        <f ca="1">'SC-I'!Q53</f>
        <v>0</v>
      </c>
      <c r="R10" s="273">
        <f ca="1">'SC-I'!R53</f>
        <v>162420936</v>
      </c>
      <c r="S10" s="273">
        <f ca="1">'SC-I'!S53</f>
        <v>0</v>
      </c>
      <c r="T10" s="273">
        <f ca="1">'SC-I'!T53</f>
        <v>1500000000</v>
      </c>
      <c r="U10" s="273">
        <f ca="1">'SC-I'!U53</f>
        <v>0</v>
      </c>
      <c r="V10" s="273">
        <f ca="1">'SC-I'!V53</f>
        <v>0</v>
      </c>
      <c r="W10" s="273">
        <f ca="1">'SC-I'!W53</f>
        <v>0</v>
      </c>
      <c r="X10" s="273">
        <f ca="1">'SC-I'!X53</f>
        <v>2772400000</v>
      </c>
      <c r="Y10" s="273">
        <f ca="1">'SC-I'!Y53</f>
        <v>0</v>
      </c>
      <c r="Z10" s="273">
        <f ca="1">'SC-I'!Z53</f>
        <v>526519887</v>
      </c>
      <c r="AA10" s="273">
        <f ca="1">'SC-I'!AA53</f>
        <v>0</v>
      </c>
      <c r="AB10" s="273">
        <f ca="1">'SC-I'!AB53</f>
        <v>0</v>
      </c>
      <c r="AC10" s="273">
        <f ca="1">'SC-I'!AC53</f>
        <v>0</v>
      </c>
      <c r="AD10" s="273">
        <f ca="1">'SC-I'!AD53</f>
        <v>0</v>
      </c>
      <c r="AE10" s="273">
        <f ca="1">'SC-I'!AE53</f>
        <v>0</v>
      </c>
      <c r="AF10" s="273">
        <f ca="1">'SC-I'!AF53</f>
        <v>9386323824</v>
      </c>
      <c r="AG10" s="273">
        <f ca="1">'SC-I'!AG53</f>
        <v>0</v>
      </c>
      <c r="AH10" s="273">
        <f ca="1">'SC-I'!AH53</f>
        <v>7490743648</v>
      </c>
      <c r="AI10" s="273">
        <f ca="1">'SC-I'!AI53</f>
        <v>0</v>
      </c>
      <c r="AJ10" s="273">
        <f ca="1">'SC-I'!AJ53</f>
        <v>3807898863</v>
      </c>
      <c r="AK10" s="273">
        <f ca="1">'SC-I'!AK53</f>
        <v>0</v>
      </c>
      <c r="AL10" s="273">
        <f ca="1">'SC-I'!AL53</f>
        <v>3790918485</v>
      </c>
      <c r="AM10" s="273">
        <f ca="1">'SC-I'!AM53</f>
        <v>0</v>
      </c>
      <c r="AN10" s="273">
        <f ca="1">'SC-I'!AN53</f>
        <v>5405781300</v>
      </c>
      <c r="AO10" s="273">
        <f ca="1">'SC-I'!AO53</f>
        <v>0</v>
      </c>
      <c r="AP10" s="273">
        <f ca="1">'SC-I'!AP53</f>
        <v>0</v>
      </c>
      <c r="AQ10" s="273">
        <f ca="1">'SC-I'!AQ53</f>
        <v>9132359256</v>
      </c>
      <c r="AR10" s="273">
        <f ca="1">'SC-I'!AR53</f>
        <v>0</v>
      </c>
      <c r="AS10" s="273">
        <f ca="1">'SC-I'!AS53</f>
        <v>600642360</v>
      </c>
      <c r="AT10" s="273">
        <f ca="1">'SC-I'!AT53</f>
        <v>0</v>
      </c>
      <c r="AU10" s="273">
        <f ca="1">'SC-I'!AU53</f>
        <v>0</v>
      </c>
      <c r="AV10" s="273">
        <f ca="1">'SC-I'!AV53</f>
        <v>0</v>
      </c>
      <c r="AW10" s="273">
        <f ca="1">'SC-I'!AW53</f>
        <v>476953252</v>
      </c>
      <c r="AX10" s="273">
        <f ca="1">'SC-I'!AX53</f>
        <v>0</v>
      </c>
      <c r="AY10" s="273">
        <f ca="1">'SC-I'!AY53</f>
        <v>0</v>
      </c>
      <c r="AZ10" s="273">
        <f ca="1">'SC-I'!AZ53</f>
        <v>0</v>
      </c>
      <c r="BA10" s="273">
        <f ca="1">'SC-I'!BA53</f>
        <v>0</v>
      </c>
      <c r="BB10" s="273">
        <f ca="1">'SC-I'!BB53</f>
        <v>0</v>
      </c>
      <c r="BC10" s="273">
        <f ca="1">'SC-I'!BC53</f>
        <v>0</v>
      </c>
      <c r="BD10" s="273">
        <f ca="1">'SC-I'!BD53</f>
        <v>0</v>
      </c>
      <c r="BE10" s="273">
        <f ca="1">'SC-I'!BE53</f>
        <v>3313435</v>
      </c>
      <c r="BF10" s="273">
        <f ca="1">'SC-I'!BF53</f>
        <v>3389804</v>
      </c>
      <c r="BG10" s="273">
        <f ca="1">'SC-I'!BG53</f>
        <v>0</v>
      </c>
      <c r="BH10" s="273">
        <f ca="1">'SC-I'!BH53</f>
        <v>0</v>
      </c>
      <c r="BI10" s="273">
        <f ca="1">'SC-I'!BI53</f>
        <v>0</v>
      </c>
      <c r="BJ10" s="273">
        <f ca="1">'SC-I'!BJ53</f>
        <v>0</v>
      </c>
      <c r="BK10" s="273">
        <f ca="1">'SC-I'!BK53</f>
        <v>0</v>
      </c>
      <c r="BL10" s="273">
        <f ca="1">'SC-I'!BL53</f>
        <v>0</v>
      </c>
      <c r="BM10" s="273">
        <f ca="1">'SC-I'!BM53</f>
        <v>40272309</v>
      </c>
      <c r="BN10" s="273">
        <f ca="1">'SC-I'!BN53</f>
        <v>0</v>
      </c>
      <c r="BO10" s="273">
        <f ca="1">'SC-I'!BO53</f>
        <v>6403142</v>
      </c>
      <c r="BP10" s="273">
        <f ca="1">'SC-I'!BP53</f>
        <v>0</v>
      </c>
      <c r="BQ10" s="273">
        <f ca="1">'SC-I'!BQ53</f>
        <v>2761373</v>
      </c>
      <c r="BR10" s="273">
        <f ca="1">'SC-I'!BR53</f>
        <v>0</v>
      </c>
      <c r="BS10" s="273">
        <f ca="1">'SC-I'!BS53</f>
        <v>0</v>
      </c>
      <c r="BT10" s="273">
        <f ca="1">'SC-I'!BT53</f>
        <v>0</v>
      </c>
      <c r="BU10" s="273">
        <f ca="1">'SC-I'!BU53</f>
        <v>2169121879</v>
      </c>
      <c r="BV10" s="273">
        <f ca="1">'SC-I'!BV53</f>
        <v>0</v>
      </c>
      <c r="BW10" s="273">
        <f ca="1">'SC-I'!BW53</f>
        <v>21202920500</v>
      </c>
      <c r="BX10" s="273">
        <f ca="1">'SC-I'!BX53</f>
        <v>0</v>
      </c>
      <c r="BY10" s="273">
        <f ca="1">'SC-I'!BY53</f>
        <v>10000000000</v>
      </c>
      <c r="BZ10" s="273">
        <f ca="1">'SC-I'!BZ53</f>
        <v>0</v>
      </c>
      <c r="CA10" s="273">
        <f ca="1">'SC-I'!CA53</f>
        <v>594397022.00000048</v>
      </c>
      <c r="CB10" s="273">
        <f ca="1">'SC-I'!CB53</f>
        <v>77701001</v>
      </c>
      <c r="CC10" s="273">
        <f ca="1">'SC-I'!CC53</f>
        <v>0</v>
      </c>
      <c r="CD10" s="273">
        <f ca="1">'SC-I'!CD53</f>
        <v>0</v>
      </c>
      <c r="CE10" s="273">
        <f ca="1">'SC-I'!CE53</f>
        <v>0</v>
      </c>
      <c r="CF10" s="273">
        <f ca="1">'SC-I'!CF53</f>
        <v>0</v>
      </c>
      <c r="CG10" s="273">
        <f ca="1">'SC-I'!CG53</f>
        <v>0</v>
      </c>
      <c r="CH10" s="273">
        <f ca="1">'SC-I'!CH53</f>
        <v>0</v>
      </c>
      <c r="CI10" s="273">
        <f ca="1">'SC-I'!CI53</f>
        <v>0</v>
      </c>
      <c r="CJ10" s="273">
        <f ca="1">'SC-I'!CJ53</f>
        <v>0</v>
      </c>
      <c r="CK10" s="273">
        <f ca="1">'SC-I'!CK53</f>
        <v>0</v>
      </c>
      <c r="CL10" s="273">
        <f ca="1">'SC-I'!CL53</f>
        <v>0</v>
      </c>
      <c r="CM10" s="273">
        <f ca="1">'SC-I'!CM53</f>
        <v>0</v>
      </c>
      <c r="CN10" s="273">
        <f ca="1">'SC-I'!CN53</f>
        <v>0</v>
      </c>
      <c r="CO10" s="273">
        <f ca="1">'SC-I'!CO53</f>
        <v>0</v>
      </c>
      <c r="CP10" s="273">
        <f ca="1">'SC-I'!CP53</f>
        <v>0</v>
      </c>
      <c r="CQ10" s="273">
        <f ca="1">'SC-I'!CQ53</f>
        <v>0</v>
      </c>
      <c r="CR10" s="273">
        <f ca="1">'SC-I'!CR53</f>
        <v>0</v>
      </c>
      <c r="CS10" s="273">
        <f ca="1">'SC-I'!CS53</f>
        <v>0</v>
      </c>
      <c r="CT10" s="273">
        <f ca="1">'SC-I'!CT53</f>
        <v>0</v>
      </c>
      <c r="CU10" s="273">
        <f ca="1">'SC-I'!CU53</f>
        <v>0</v>
      </c>
      <c r="CV10" s="273">
        <f ca="1">'SC-I'!CV53</f>
        <v>0</v>
      </c>
      <c r="CW10" s="273">
        <f ca="1">'SC-I'!CW53</f>
        <v>0</v>
      </c>
      <c r="CX10" s="273">
        <f ca="1">'SC-I'!CX53</f>
        <v>0</v>
      </c>
      <c r="CY10" s="273">
        <f ca="1">'SC-I'!CY53</f>
        <v>0</v>
      </c>
      <c r="CZ10" s="273">
        <f ca="1">'SC-I'!CZ53</f>
        <v>0</v>
      </c>
      <c r="DA10" s="273">
        <f ca="1">'SC-I'!DA53</f>
        <v>0</v>
      </c>
    </row>
    <row r="11" spans="1:105" s="274" customFormat="1" ht="15" customHeight="1">
      <c r="A11" s="63">
        <f t="array" aca="1" ref="A11" ca="1">IF(C11&lt;&gt;0,SUM(($C$11:C11&lt;&gt;0)*1),"")</f>
        <v>1</v>
      </c>
      <c r="B11" s="275" t="str">
        <f ca="1">IF(ROWS($1:1)&gt;COUNT(Dong7),"",OFFSET(TH!C$1,SMALL(Dong7,ROWS($1:1)),))</f>
        <v/>
      </c>
      <c r="C11" s="275" t="str">
        <f ca="1">IF(ROWS($1:1)&gt;COUNT(Dong7),"",OFFSET(TH!D$1,SMALL(Dong7,ROWS($1:1)),))</f>
        <v/>
      </c>
      <c r="D11" s="275" t="str">
        <f ca="1">IF(ROWS($1:1)&gt;COUNT(Dong7),"",OFFSET(TH!E$1,SMALL(Dong7,ROWS($1:1)),))</f>
        <v/>
      </c>
      <c r="E11" s="365" t="str">
        <f ca="1">IF(ROWS($1:1)&gt;COUNT(Dong7),"",OFFSET(TH!F$1,SMALL(Dong7,ROWS($1:1)),))</f>
        <v/>
      </c>
      <c r="F11" s="326" t="str">
        <f ca="1">IF(ROWS($1:1)&gt;COUNT(Dong7),"",OFFSET(TH!M$1,SMALL(Dong7,ROWS($1:1)),))</f>
        <v/>
      </c>
      <c r="G11" s="328" t="str">
        <f ca="1">IF(ROWS($1:1)&gt;COUNT(Dong7),"",OFFSET(TH!N$1,SMALL(Dong7,ROWS($1:1)),))</f>
        <v/>
      </c>
      <c r="H11" s="328" t="str">
        <f ca="1">IF(ROWS($1:1)&gt;COUNT(Dong7),"",OFFSET(TH!O$1,SMALL(Dong7,ROWS($1:1)),))</f>
        <v/>
      </c>
      <c r="I11" s="63">
        <f t="shared" ref="I11:I21" ca="1" si="0">A11</f>
        <v>1</v>
      </c>
      <c r="J11" s="277">
        <f ca="1">IF($G11="1111",$F11,0)</f>
        <v>0</v>
      </c>
      <c r="K11" s="277">
        <f ca="1">IF($H11="1111",$F11,0)</f>
        <v>0</v>
      </c>
      <c r="L11" s="277">
        <f t="shared" ref="L11:L50" ca="1" si="1">IF($G11="1121",$F11,0)</f>
        <v>0</v>
      </c>
      <c r="M11" s="277">
        <f t="shared" ref="M11:M50" ca="1" si="2">IF($H11="1121",$F11,0)</f>
        <v>0</v>
      </c>
      <c r="N11" s="277">
        <f t="shared" ref="N11:N50" ca="1" si="3">IF($G11="1122",$F11,0)</f>
        <v>0</v>
      </c>
      <c r="O11" s="277">
        <f t="shared" ref="O11:O50" ca="1" si="4">IF($H11="1122",$F11,0)</f>
        <v>0</v>
      </c>
      <c r="P11" s="277">
        <f t="shared" ref="P11:P50" ca="1" si="5">IF($G11="131",$F11,0)</f>
        <v>0</v>
      </c>
      <c r="Q11" s="277">
        <f t="shared" ref="Q11:Q50" ca="1" si="6">IF($H11="131",$F11,0)</f>
        <v>0</v>
      </c>
      <c r="R11" s="277">
        <f t="shared" ref="R11:R50" ca="1" si="7">IF($G11="1331",$F11,0)</f>
        <v>0</v>
      </c>
      <c r="S11" s="277">
        <f t="shared" ref="S11:S50" ca="1" si="8">IF($H11="1331",$F11,0)</f>
        <v>0</v>
      </c>
      <c r="T11" s="277">
        <f t="shared" ref="T11:T50" ca="1" si="9">IF($G11="1388",$F11,0)</f>
        <v>0</v>
      </c>
      <c r="U11" s="277">
        <f t="shared" ref="U11:U50" ca="1" si="10">IF($H11="1388",$F11,0)</f>
        <v>0</v>
      </c>
      <c r="V11" s="277">
        <f t="shared" ref="V11:V50" ca="1" si="11">IF($G11="141",$F11,0)</f>
        <v>0</v>
      </c>
      <c r="W11" s="277">
        <f t="shared" ref="W11:W50" ca="1" si="12">IF($H11="141",$F11,0)</f>
        <v>0</v>
      </c>
      <c r="X11" s="277">
        <f t="shared" ref="X11:X50" ca="1" si="13">IF($G11="1521",$F11,0)</f>
        <v>0</v>
      </c>
      <c r="Y11" s="277">
        <f t="shared" ref="Y11:Y50" ca="1" si="14">IF($H11="1521",$F11,0)</f>
        <v>0</v>
      </c>
      <c r="Z11" s="277">
        <f t="shared" ref="Z11:Z50" ca="1" si="15">IF($G11="1522",$F11,0)</f>
        <v>0</v>
      </c>
      <c r="AA11" s="277">
        <f t="shared" ref="AA11:AA50" ca="1" si="16">IF($H11="1522",$F11,0)</f>
        <v>0</v>
      </c>
      <c r="AB11" s="277">
        <f ca="1">IF($G11="153",$F11,0)</f>
        <v>0</v>
      </c>
      <c r="AC11" s="277">
        <f ca="1">IF($H11="153",$F11,0)</f>
        <v>0</v>
      </c>
      <c r="AD11" s="277">
        <f t="shared" ref="AD11:AD50" ca="1" si="17">IF($G11="154",$F11,0)</f>
        <v>0</v>
      </c>
      <c r="AE11" s="277">
        <f t="shared" ref="AE11:AE50" ca="1" si="18">IF($H11="154",$F11,0)</f>
        <v>0</v>
      </c>
      <c r="AF11" s="277">
        <f t="shared" ref="AF11:AF50" ca="1" si="19">IF($G11="155",$F11,0)</f>
        <v>0</v>
      </c>
      <c r="AG11" s="277">
        <f t="shared" ref="AG11:AG50" ca="1" si="20">IF($H11="155",$F11,0)</f>
        <v>0</v>
      </c>
      <c r="AH11" s="277">
        <f ca="1">IF($G11="2111",$F11,0)</f>
        <v>0</v>
      </c>
      <c r="AI11" s="277">
        <f ca="1">IF($H11="2111",$F11,0)</f>
        <v>0</v>
      </c>
      <c r="AJ11" s="277">
        <f ca="1">IF($G11="2112",$F11,0)</f>
        <v>0</v>
      </c>
      <c r="AK11" s="277">
        <f ca="1">IF($H11="2112",$F11,0)</f>
        <v>0</v>
      </c>
      <c r="AL11" s="277">
        <f ca="1">IF($G11="2113",$F11,0)</f>
        <v>0</v>
      </c>
      <c r="AM11" s="277">
        <f ca="1">IF($H11="2113",$F11,0)</f>
        <v>0</v>
      </c>
      <c r="AN11" s="277">
        <f ca="1">IF($G11="2131",$F11,0)</f>
        <v>0</v>
      </c>
      <c r="AO11" s="277">
        <f ca="1">IF($H11="2131",$F11,0)</f>
        <v>0</v>
      </c>
      <c r="AP11" s="277">
        <f t="shared" ref="AP11:AP50" ca="1" si="21">IF($G11="2141",$F11,0)</f>
        <v>0</v>
      </c>
      <c r="AQ11" s="277">
        <f t="shared" ref="AQ11:AQ50" ca="1" si="22">IF($H11="2141",$F11,0)</f>
        <v>0</v>
      </c>
      <c r="AR11" s="277">
        <f t="shared" ref="AR11:AR50" ca="1" si="23">IF($G11="2143",$F11,0)</f>
        <v>0</v>
      </c>
      <c r="AS11" s="277">
        <f t="shared" ref="AS11:AS50" ca="1" si="24">IF($H11="2143",$F11,0)</f>
        <v>0</v>
      </c>
      <c r="AT11" s="277">
        <f ca="1">IF($G11="2412",$F11,0)</f>
        <v>0</v>
      </c>
      <c r="AU11" s="277">
        <f ca="1">IF($H11="2412",$F11,0)</f>
        <v>0</v>
      </c>
      <c r="AV11" s="277">
        <f t="shared" ref="AV11:AV50" ca="1" si="25">IF($G11="331",$F11,0)</f>
        <v>0</v>
      </c>
      <c r="AW11" s="277">
        <f t="shared" ref="AW11:AW50" ca="1" si="26">IF($H11="331",$F11,0)</f>
        <v>0</v>
      </c>
      <c r="AX11" s="277">
        <f t="shared" ref="AX11:AX50" ca="1" si="27">IF($G11="33311",$F11,0)</f>
        <v>0</v>
      </c>
      <c r="AY11" s="277">
        <f t="shared" ref="AY11:AY50" ca="1" si="28">IF($H11="33311",$F11,0)</f>
        <v>0</v>
      </c>
      <c r="AZ11" s="277">
        <f t="shared" ref="AZ11:AZ50" ca="1" si="29">IF($G11="33312",$F11,0)</f>
        <v>0</v>
      </c>
      <c r="BA11" s="277">
        <f t="shared" ref="BA11:BA50" ca="1" si="30">IF($H11="33312",$F11,0)</f>
        <v>0</v>
      </c>
      <c r="BB11" s="277">
        <f t="shared" ref="BB11:BB50" ca="1" si="31">IF($G11="3333",$F11,0)</f>
        <v>0</v>
      </c>
      <c r="BC11" s="277">
        <f t="shared" ref="BC11:BC50" ca="1" si="32">IF($H11="3333",$F11,0)</f>
        <v>0</v>
      </c>
      <c r="BD11" s="277">
        <f t="shared" ref="BD11:BD50" ca="1" si="33">IF($G11="3334",$F11,0)</f>
        <v>0</v>
      </c>
      <c r="BE11" s="277">
        <f t="shared" ref="BE11:BE50" ca="1" si="34">IF($H11="3334",$F11,0)</f>
        <v>0</v>
      </c>
      <c r="BF11" s="277">
        <f t="shared" ref="BF11:BF50" ca="1" si="35">IF($G11="3335",$F11,0)</f>
        <v>0</v>
      </c>
      <c r="BG11" s="277">
        <f t="shared" ref="BG11:BG50" ca="1" si="36">IF($H11="3335",$F11,0)</f>
        <v>0</v>
      </c>
      <c r="BH11" s="277">
        <f ca="1">IF($G11="33382",$F11,0)</f>
        <v>0</v>
      </c>
      <c r="BI11" s="277">
        <f ca="1">IF($H11="33382",$F11,0)</f>
        <v>0</v>
      </c>
      <c r="BJ11" s="277">
        <f t="shared" ref="BJ11:BJ50" ca="1" si="37">IF($G11="3341",$F11,0)</f>
        <v>0</v>
      </c>
      <c r="BK11" s="277">
        <f t="shared" ref="BK11:BK50" ca="1" si="38">IF($H11="3341",$F11,0)</f>
        <v>0</v>
      </c>
      <c r="BL11" s="277">
        <f t="shared" ref="BL11:BL50" ca="1" si="39">IF($G11="3383",$F11,0)</f>
        <v>0</v>
      </c>
      <c r="BM11" s="277">
        <f t="shared" ref="BM11:BM50" ca="1" si="40">IF($H11="3383",$F11,0)</f>
        <v>0</v>
      </c>
      <c r="BN11" s="277">
        <f t="shared" ref="BN11:BN50" ca="1" si="41">IF($G11="3384",$F11,0)</f>
        <v>0</v>
      </c>
      <c r="BO11" s="277">
        <f t="shared" ref="BO11:BO50" ca="1" si="42">IF($H11="3384",$F11,0)</f>
        <v>0</v>
      </c>
      <c r="BP11" s="277">
        <f ca="1">IF($G11="3386",$F11,0)</f>
        <v>0</v>
      </c>
      <c r="BQ11" s="277">
        <f ca="1">IF($H11="3386",$F11,0)</f>
        <v>0</v>
      </c>
      <c r="BR11" s="277">
        <f t="shared" ref="BR11:BR50" ca="1" si="43">IF($G11="3388",$F11,0)</f>
        <v>0</v>
      </c>
      <c r="BS11" s="277">
        <f t="shared" ref="BS11:BS50" ca="1" si="44">IF($H11="3388",$F11,0)</f>
        <v>0</v>
      </c>
      <c r="BT11" s="277">
        <f ca="1">IF($G11="3411",$F11,0)</f>
        <v>0</v>
      </c>
      <c r="BU11" s="277">
        <f ca="1">IF($H11="3411",$F11,0)</f>
        <v>0</v>
      </c>
      <c r="BV11" s="277">
        <f ca="1">IF($G11="3412",$F11,0)</f>
        <v>0</v>
      </c>
      <c r="BW11" s="277">
        <f ca="1">IF($H11="3412",$F11,0)</f>
        <v>0</v>
      </c>
      <c r="BX11" s="277">
        <f t="shared" ref="BX11:BX50" ca="1" si="45">IF($G11="4111",$F11,0)</f>
        <v>0</v>
      </c>
      <c r="BY11" s="277">
        <f t="shared" ref="BY11:BY50" ca="1" si="46">IF($H11="4111",$F11,0)</f>
        <v>0</v>
      </c>
      <c r="BZ11" s="277">
        <f t="shared" ref="BZ11:BZ50" ca="1" si="47">IF($G11="4211",$F11,0)</f>
        <v>0</v>
      </c>
      <c r="CA11" s="277">
        <f t="shared" ref="CA11:CA50" ca="1" si="48">IF($H11="4211",$F11,0)</f>
        <v>0</v>
      </c>
      <c r="CB11" s="277">
        <f t="shared" ref="CB11:CB50" ca="1" si="49">IF($G11="4212",$F11,0)</f>
        <v>0</v>
      </c>
      <c r="CC11" s="277">
        <f t="shared" ref="CC11:CC50" ca="1" si="50">IF($H11="4212",$F11,0)</f>
        <v>0</v>
      </c>
      <c r="CD11" s="277">
        <f ca="1">IF($G11="5112N",$F11,0)</f>
        <v>0</v>
      </c>
      <c r="CE11" s="277">
        <f ca="1">IF($H11="5112N",$F11,0)</f>
        <v>0</v>
      </c>
      <c r="CF11" s="277">
        <f ca="1">IF($G11="5112X",$F11,0)</f>
        <v>0</v>
      </c>
      <c r="CG11" s="277">
        <f ca="1">IF($H11="5112X",$F11,0)</f>
        <v>0</v>
      </c>
      <c r="CH11" s="277">
        <f t="shared" ref="CH11:CH50" ca="1" si="51">IF($G11="515",$F11,0)</f>
        <v>0</v>
      </c>
      <c r="CI11" s="277">
        <f t="shared" ref="CI11:CI50" ca="1" si="52">IF($H11="515",$F11,0)</f>
        <v>0</v>
      </c>
      <c r="CJ11" s="277">
        <f ca="1">IF($G11="5213",$F11,0)</f>
        <v>0</v>
      </c>
      <c r="CK11" s="277">
        <f ca="1">IF($H11="5213",$F11,0)</f>
        <v>0</v>
      </c>
      <c r="CL11" s="277">
        <f t="shared" ref="CL11:CL50" ca="1" si="53">IF($G11="632",$F11,0)</f>
        <v>0</v>
      </c>
      <c r="CM11" s="277">
        <f t="shared" ref="CM11:CM50" ca="1" si="54">IF($H11="632",$F11,0)</f>
        <v>0</v>
      </c>
      <c r="CN11" s="277">
        <f t="shared" ref="CN11:CN50" ca="1" si="55">IF($G11="635",$F11,0)</f>
        <v>0</v>
      </c>
      <c r="CO11" s="277">
        <f t="shared" ref="CO11:CO50" ca="1" si="56">IF($H11="635",$F11,0)</f>
        <v>0</v>
      </c>
      <c r="CP11" s="277">
        <f ca="1">IF($G11="641",$F11,0)</f>
        <v>0</v>
      </c>
      <c r="CQ11" s="277">
        <f ca="1">IF($H11="641",$F11,0)</f>
        <v>0</v>
      </c>
      <c r="CR11" s="277">
        <f ca="1">IF($G11="642",$F11,0)</f>
        <v>0</v>
      </c>
      <c r="CS11" s="277">
        <f ca="1">IF($H11="642",$F11,0)</f>
        <v>0</v>
      </c>
      <c r="CT11" s="277">
        <f t="shared" ref="CT11:CT50" ca="1" si="57">IF($G11="711",$F11,0)</f>
        <v>0</v>
      </c>
      <c r="CU11" s="277">
        <f t="shared" ref="CU11:CU50" ca="1" si="58">IF($H11="711",$F11,0)</f>
        <v>0</v>
      </c>
      <c r="CV11" s="277">
        <f t="shared" ref="CV11:CV50" ca="1" si="59">IF($G11="811",$F11,0)</f>
        <v>0</v>
      </c>
      <c r="CW11" s="277">
        <f t="shared" ref="CW11:CW50" ca="1" si="60">IF($H11="811",$F11,0)</f>
        <v>0</v>
      </c>
      <c r="CX11" s="277">
        <f ca="1">IF($G11="821",$F11,0)</f>
        <v>0</v>
      </c>
      <c r="CY11" s="277">
        <f ca="1">IF($H11="821",$F11,0)</f>
        <v>0</v>
      </c>
      <c r="CZ11" s="277">
        <f ca="1">IF($G11="911",$F11,0)</f>
        <v>0</v>
      </c>
      <c r="DA11" s="277">
        <f ca="1">IF($H11="911",$F11,0)</f>
        <v>0</v>
      </c>
    </row>
    <row r="12" spans="1:105" s="274" customFormat="1" ht="15" customHeight="1">
      <c r="A12" s="63" t="str">
        <f t="array" ref="A12">IF(C12&lt;&gt;0,SUM(($C$11:C12&lt;&gt;0)*1),"")</f>
        <v/>
      </c>
      <c r="B12" s="275"/>
      <c r="C12" s="275"/>
      <c r="D12" s="275"/>
      <c r="E12" s="365"/>
      <c r="F12" s="326"/>
      <c r="G12" s="328"/>
      <c r="H12" s="328"/>
      <c r="I12" s="63" t="str">
        <f t="shared" si="0"/>
        <v/>
      </c>
      <c r="J12" s="277">
        <f t="shared" ref="J12:J50" si="61">IF($G12="1111",$F12,0)</f>
        <v>0</v>
      </c>
      <c r="K12" s="277">
        <f t="shared" ref="K12:K50" si="62">IF($H12="1111",$F12,0)</f>
        <v>0</v>
      </c>
      <c r="L12" s="277">
        <f t="shared" si="1"/>
        <v>0</v>
      </c>
      <c r="M12" s="277">
        <f t="shared" si="2"/>
        <v>0</v>
      </c>
      <c r="N12" s="277">
        <f t="shared" si="3"/>
        <v>0</v>
      </c>
      <c r="O12" s="277">
        <f t="shared" si="4"/>
        <v>0</v>
      </c>
      <c r="P12" s="277">
        <f t="shared" si="5"/>
        <v>0</v>
      </c>
      <c r="Q12" s="277">
        <f t="shared" si="6"/>
        <v>0</v>
      </c>
      <c r="R12" s="277">
        <f t="shared" si="7"/>
        <v>0</v>
      </c>
      <c r="S12" s="277">
        <f t="shared" si="8"/>
        <v>0</v>
      </c>
      <c r="T12" s="277">
        <f t="shared" si="9"/>
        <v>0</v>
      </c>
      <c r="U12" s="277">
        <f t="shared" si="10"/>
        <v>0</v>
      </c>
      <c r="V12" s="277">
        <f t="shared" si="11"/>
        <v>0</v>
      </c>
      <c r="W12" s="277">
        <f t="shared" si="12"/>
        <v>0</v>
      </c>
      <c r="X12" s="277">
        <f t="shared" si="13"/>
        <v>0</v>
      </c>
      <c r="Y12" s="277">
        <f t="shared" si="14"/>
        <v>0</v>
      </c>
      <c r="Z12" s="277">
        <f t="shared" si="15"/>
        <v>0</v>
      </c>
      <c r="AA12" s="277">
        <f t="shared" si="16"/>
        <v>0</v>
      </c>
      <c r="AB12" s="277">
        <f t="shared" ref="AB12:AB50" si="63">IF($G12="153",$F12,0)</f>
        <v>0</v>
      </c>
      <c r="AC12" s="277">
        <f t="shared" ref="AC12:AC50" si="64">IF($H12="153",$F12,0)</f>
        <v>0</v>
      </c>
      <c r="AD12" s="277">
        <f t="shared" si="17"/>
        <v>0</v>
      </c>
      <c r="AE12" s="277">
        <f t="shared" si="18"/>
        <v>0</v>
      </c>
      <c r="AF12" s="277">
        <f t="shared" si="19"/>
        <v>0</v>
      </c>
      <c r="AG12" s="277">
        <f t="shared" si="20"/>
        <v>0</v>
      </c>
      <c r="AH12" s="277">
        <f t="shared" ref="AH12:AH50" si="65">IF($G12="2111",$F12,0)</f>
        <v>0</v>
      </c>
      <c r="AI12" s="277">
        <f t="shared" ref="AI12:AI50" si="66">IF($H12="2111",$F12,0)</f>
        <v>0</v>
      </c>
      <c r="AJ12" s="277">
        <f t="shared" ref="AJ12:AJ50" si="67">IF($G12="2112",$F12,0)</f>
        <v>0</v>
      </c>
      <c r="AK12" s="277">
        <f t="shared" ref="AK12:AK50" si="68">IF($H12="2112",$F12,0)</f>
        <v>0</v>
      </c>
      <c r="AL12" s="277">
        <f t="shared" ref="AL12:AL50" si="69">IF($G12="2113",$F12,0)</f>
        <v>0</v>
      </c>
      <c r="AM12" s="277">
        <f t="shared" ref="AM12:AM50" si="70">IF($H12="2113",$F12,0)</f>
        <v>0</v>
      </c>
      <c r="AN12" s="277">
        <f t="shared" ref="AN12:AN50" si="71">IF($G12="2131",$F12,0)</f>
        <v>0</v>
      </c>
      <c r="AO12" s="277">
        <f t="shared" ref="AO12:AO50" si="72">IF($H12="2131",$F12,0)</f>
        <v>0</v>
      </c>
      <c r="AP12" s="277">
        <f t="shared" si="21"/>
        <v>0</v>
      </c>
      <c r="AQ12" s="277">
        <f t="shared" si="22"/>
        <v>0</v>
      </c>
      <c r="AR12" s="277">
        <f t="shared" si="23"/>
        <v>0</v>
      </c>
      <c r="AS12" s="277">
        <f t="shared" si="24"/>
        <v>0</v>
      </c>
      <c r="AT12" s="277">
        <f t="shared" ref="AT12:AT50" si="73">IF($G12="2412",$F12,0)</f>
        <v>0</v>
      </c>
      <c r="AU12" s="277">
        <f t="shared" ref="AU12:AU50" si="74">IF($H12="2412",$F12,0)</f>
        <v>0</v>
      </c>
      <c r="AV12" s="277">
        <f t="shared" si="25"/>
        <v>0</v>
      </c>
      <c r="AW12" s="277">
        <f t="shared" si="26"/>
        <v>0</v>
      </c>
      <c r="AX12" s="277">
        <f t="shared" si="27"/>
        <v>0</v>
      </c>
      <c r="AY12" s="277">
        <f t="shared" si="28"/>
        <v>0</v>
      </c>
      <c r="AZ12" s="277">
        <f t="shared" si="29"/>
        <v>0</v>
      </c>
      <c r="BA12" s="277">
        <f t="shared" si="30"/>
        <v>0</v>
      </c>
      <c r="BB12" s="277">
        <f t="shared" si="31"/>
        <v>0</v>
      </c>
      <c r="BC12" s="277">
        <f t="shared" si="32"/>
        <v>0</v>
      </c>
      <c r="BD12" s="277">
        <f t="shared" si="33"/>
        <v>0</v>
      </c>
      <c r="BE12" s="277">
        <f t="shared" si="34"/>
        <v>0</v>
      </c>
      <c r="BF12" s="277">
        <f t="shared" si="35"/>
        <v>0</v>
      </c>
      <c r="BG12" s="277">
        <f t="shared" si="36"/>
        <v>0</v>
      </c>
      <c r="BH12" s="277">
        <f t="shared" ref="BH12:BH50" si="75">IF($G12="33382",$F12,0)</f>
        <v>0</v>
      </c>
      <c r="BI12" s="277">
        <f t="shared" ref="BI12:BI50" si="76">IF($H12="33382",$F12,0)</f>
        <v>0</v>
      </c>
      <c r="BJ12" s="277">
        <f t="shared" si="37"/>
        <v>0</v>
      </c>
      <c r="BK12" s="277">
        <f t="shared" si="38"/>
        <v>0</v>
      </c>
      <c r="BL12" s="277">
        <f t="shared" si="39"/>
        <v>0</v>
      </c>
      <c r="BM12" s="277">
        <f t="shared" si="40"/>
        <v>0</v>
      </c>
      <c r="BN12" s="277">
        <f t="shared" si="41"/>
        <v>0</v>
      </c>
      <c r="BO12" s="277">
        <f t="shared" si="42"/>
        <v>0</v>
      </c>
      <c r="BP12" s="277">
        <f t="shared" ref="BP12:BP50" si="77">IF($G12="3386",$F12,0)</f>
        <v>0</v>
      </c>
      <c r="BQ12" s="277">
        <f t="shared" ref="BQ12:BQ50" si="78">IF($H12="3386",$F12,0)</f>
        <v>0</v>
      </c>
      <c r="BR12" s="277">
        <f t="shared" si="43"/>
        <v>0</v>
      </c>
      <c r="BS12" s="277">
        <f t="shared" si="44"/>
        <v>0</v>
      </c>
      <c r="BT12" s="277">
        <f t="shared" ref="BT12:BT50" si="79">IF($G12="3411",$F12,0)</f>
        <v>0</v>
      </c>
      <c r="BU12" s="277">
        <f t="shared" ref="BU12:BU50" si="80">IF($H12="3411",$F12,0)</f>
        <v>0</v>
      </c>
      <c r="BV12" s="277">
        <f t="shared" ref="BV12:BV50" si="81">IF($G12="3412",$F12,0)</f>
        <v>0</v>
      </c>
      <c r="BW12" s="277">
        <f t="shared" ref="BW12:BW50" si="82">IF($H12="3412",$F12,0)</f>
        <v>0</v>
      </c>
      <c r="BX12" s="277">
        <f t="shared" si="45"/>
        <v>0</v>
      </c>
      <c r="BY12" s="277">
        <f t="shared" si="46"/>
        <v>0</v>
      </c>
      <c r="BZ12" s="277">
        <f t="shared" si="47"/>
        <v>0</v>
      </c>
      <c r="CA12" s="277">
        <f t="shared" si="48"/>
        <v>0</v>
      </c>
      <c r="CB12" s="277">
        <f t="shared" si="49"/>
        <v>0</v>
      </c>
      <c r="CC12" s="277">
        <f t="shared" si="50"/>
        <v>0</v>
      </c>
      <c r="CD12" s="277">
        <f t="shared" ref="CD12:CD50" si="83">IF($G12="5112N",$F12,0)</f>
        <v>0</v>
      </c>
      <c r="CE12" s="277">
        <f t="shared" ref="CE12:CE50" si="84">IF($H12="5112N",$F12,0)</f>
        <v>0</v>
      </c>
      <c r="CF12" s="277">
        <f t="shared" ref="CF12:CF50" si="85">IF($G12="5112X",$F12,0)</f>
        <v>0</v>
      </c>
      <c r="CG12" s="277">
        <f t="shared" ref="CG12:CG50" si="86">IF($H12="5112X",$F12,0)</f>
        <v>0</v>
      </c>
      <c r="CH12" s="277">
        <f t="shared" si="51"/>
        <v>0</v>
      </c>
      <c r="CI12" s="277">
        <f t="shared" si="52"/>
        <v>0</v>
      </c>
      <c r="CJ12" s="277">
        <f t="shared" ref="CJ12:CJ50" si="87">IF($G12="5213",$F12,0)</f>
        <v>0</v>
      </c>
      <c r="CK12" s="277">
        <f t="shared" ref="CK12:CK50" si="88">IF($H12="5213",$F12,0)</f>
        <v>0</v>
      </c>
      <c r="CL12" s="277">
        <f t="shared" si="53"/>
        <v>0</v>
      </c>
      <c r="CM12" s="277">
        <f t="shared" si="54"/>
        <v>0</v>
      </c>
      <c r="CN12" s="277">
        <f t="shared" si="55"/>
        <v>0</v>
      </c>
      <c r="CO12" s="277">
        <f t="shared" si="56"/>
        <v>0</v>
      </c>
      <c r="CP12" s="277">
        <f t="shared" ref="CP12:CP50" si="89">IF($G12="641",$F12,0)</f>
        <v>0</v>
      </c>
      <c r="CQ12" s="277">
        <f t="shared" ref="CQ12:CQ50" si="90">IF($H12="641",$F12,0)</f>
        <v>0</v>
      </c>
      <c r="CR12" s="277">
        <f t="shared" ref="CR12:CR50" si="91">IF($G12="642",$F12,0)</f>
        <v>0</v>
      </c>
      <c r="CS12" s="277">
        <f t="shared" ref="CS12:CS50" si="92">IF($H12="642",$F12,0)</f>
        <v>0</v>
      </c>
      <c r="CT12" s="277">
        <f t="shared" si="57"/>
        <v>0</v>
      </c>
      <c r="CU12" s="277">
        <f t="shared" si="58"/>
        <v>0</v>
      </c>
      <c r="CV12" s="277">
        <f t="shared" si="59"/>
        <v>0</v>
      </c>
      <c r="CW12" s="277">
        <f t="shared" si="60"/>
        <v>0</v>
      </c>
      <c r="CX12" s="277">
        <f t="shared" ref="CX12:CX50" si="93">IF($G12="821",$F12,0)</f>
        <v>0</v>
      </c>
      <c r="CY12" s="277">
        <f t="shared" ref="CY12:CY50" si="94">IF($H12="821",$F12,0)</f>
        <v>0</v>
      </c>
      <c r="CZ12" s="277">
        <f t="shared" ref="CZ12:CZ50" si="95">IF($G12="911",$F12,0)</f>
        <v>0</v>
      </c>
      <c r="DA12" s="277">
        <f t="shared" ref="DA12:DA50" si="96">IF($H12="911",$F12,0)</f>
        <v>0</v>
      </c>
    </row>
    <row r="13" spans="1:105" s="274" customFormat="1" ht="15" customHeight="1">
      <c r="A13" s="63" t="str">
        <f t="array" ref="A13">IF(C13&lt;&gt;0,SUM(($C$11:C13&lt;&gt;0)*1),"")</f>
        <v/>
      </c>
      <c r="B13" s="275"/>
      <c r="C13" s="275"/>
      <c r="D13" s="275"/>
      <c r="E13" s="365"/>
      <c r="F13" s="326"/>
      <c r="G13" s="328"/>
      <c r="H13" s="328"/>
      <c r="I13" s="63" t="str">
        <f t="shared" si="0"/>
        <v/>
      </c>
      <c r="J13" s="277">
        <f t="shared" si="61"/>
        <v>0</v>
      </c>
      <c r="K13" s="277">
        <f t="shared" si="62"/>
        <v>0</v>
      </c>
      <c r="L13" s="277">
        <f t="shared" si="1"/>
        <v>0</v>
      </c>
      <c r="M13" s="277">
        <f t="shared" si="2"/>
        <v>0</v>
      </c>
      <c r="N13" s="277">
        <f t="shared" si="3"/>
        <v>0</v>
      </c>
      <c r="O13" s="277">
        <f t="shared" si="4"/>
        <v>0</v>
      </c>
      <c r="P13" s="277">
        <f t="shared" si="5"/>
        <v>0</v>
      </c>
      <c r="Q13" s="277">
        <f t="shared" si="6"/>
        <v>0</v>
      </c>
      <c r="R13" s="277">
        <f t="shared" si="7"/>
        <v>0</v>
      </c>
      <c r="S13" s="277">
        <f t="shared" si="8"/>
        <v>0</v>
      </c>
      <c r="T13" s="277">
        <f t="shared" si="9"/>
        <v>0</v>
      </c>
      <c r="U13" s="277">
        <f t="shared" si="10"/>
        <v>0</v>
      </c>
      <c r="V13" s="277">
        <f t="shared" si="11"/>
        <v>0</v>
      </c>
      <c r="W13" s="277">
        <f t="shared" si="12"/>
        <v>0</v>
      </c>
      <c r="X13" s="277">
        <f t="shared" si="13"/>
        <v>0</v>
      </c>
      <c r="Y13" s="277">
        <f t="shared" si="14"/>
        <v>0</v>
      </c>
      <c r="Z13" s="277">
        <f t="shared" si="15"/>
        <v>0</v>
      </c>
      <c r="AA13" s="277">
        <f t="shared" si="16"/>
        <v>0</v>
      </c>
      <c r="AB13" s="277">
        <f t="shared" si="63"/>
        <v>0</v>
      </c>
      <c r="AC13" s="277">
        <f t="shared" si="64"/>
        <v>0</v>
      </c>
      <c r="AD13" s="277">
        <f t="shared" si="17"/>
        <v>0</v>
      </c>
      <c r="AE13" s="277">
        <f t="shared" si="18"/>
        <v>0</v>
      </c>
      <c r="AF13" s="277">
        <f t="shared" si="19"/>
        <v>0</v>
      </c>
      <c r="AG13" s="277">
        <f t="shared" si="20"/>
        <v>0</v>
      </c>
      <c r="AH13" s="277">
        <f t="shared" si="65"/>
        <v>0</v>
      </c>
      <c r="AI13" s="277">
        <f t="shared" si="66"/>
        <v>0</v>
      </c>
      <c r="AJ13" s="277">
        <f t="shared" si="67"/>
        <v>0</v>
      </c>
      <c r="AK13" s="277">
        <f t="shared" si="68"/>
        <v>0</v>
      </c>
      <c r="AL13" s="277">
        <f t="shared" si="69"/>
        <v>0</v>
      </c>
      <c r="AM13" s="277">
        <f t="shared" si="70"/>
        <v>0</v>
      </c>
      <c r="AN13" s="277">
        <f t="shared" si="71"/>
        <v>0</v>
      </c>
      <c r="AO13" s="277">
        <f t="shared" si="72"/>
        <v>0</v>
      </c>
      <c r="AP13" s="277">
        <f t="shared" si="21"/>
        <v>0</v>
      </c>
      <c r="AQ13" s="277">
        <f t="shared" si="22"/>
        <v>0</v>
      </c>
      <c r="AR13" s="277">
        <f t="shared" si="23"/>
        <v>0</v>
      </c>
      <c r="AS13" s="277">
        <f t="shared" si="24"/>
        <v>0</v>
      </c>
      <c r="AT13" s="277">
        <f t="shared" si="73"/>
        <v>0</v>
      </c>
      <c r="AU13" s="277">
        <f t="shared" si="74"/>
        <v>0</v>
      </c>
      <c r="AV13" s="277">
        <f t="shared" si="25"/>
        <v>0</v>
      </c>
      <c r="AW13" s="277">
        <f t="shared" si="26"/>
        <v>0</v>
      </c>
      <c r="AX13" s="277">
        <f t="shared" si="27"/>
        <v>0</v>
      </c>
      <c r="AY13" s="277">
        <f t="shared" si="28"/>
        <v>0</v>
      </c>
      <c r="AZ13" s="277">
        <f t="shared" si="29"/>
        <v>0</v>
      </c>
      <c r="BA13" s="277">
        <f t="shared" si="30"/>
        <v>0</v>
      </c>
      <c r="BB13" s="277">
        <f t="shared" si="31"/>
        <v>0</v>
      </c>
      <c r="BC13" s="277">
        <f t="shared" si="32"/>
        <v>0</v>
      </c>
      <c r="BD13" s="277">
        <f t="shared" si="33"/>
        <v>0</v>
      </c>
      <c r="BE13" s="277">
        <f t="shared" si="34"/>
        <v>0</v>
      </c>
      <c r="BF13" s="277">
        <f t="shared" si="35"/>
        <v>0</v>
      </c>
      <c r="BG13" s="277">
        <f t="shared" si="36"/>
        <v>0</v>
      </c>
      <c r="BH13" s="277">
        <f t="shared" si="75"/>
        <v>0</v>
      </c>
      <c r="BI13" s="277">
        <f t="shared" si="76"/>
        <v>0</v>
      </c>
      <c r="BJ13" s="277">
        <f t="shared" si="37"/>
        <v>0</v>
      </c>
      <c r="BK13" s="277">
        <f t="shared" si="38"/>
        <v>0</v>
      </c>
      <c r="BL13" s="277">
        <f t="shared" si="39"/>
        <v>0</v>
      </c>
      <c r="BM13" s="277">
        <f t="shared" si="40"/>
        <v>0</v>
      </c>
      <c r="BN13" s="277">
        <f t="shared" si="41"/>
        <v>0</v>
      </c>
      <c r="BO13" s="277">
        <f t="shared" si="42"/>
        <v>0</v>
      </c>
      <c r="BP13" s="277">
        <f t="shared" si="77"/>
        <v>0</v>
      </c>
      <c r="BQ13" s="277">
        <f t="shared" si="78"/>
        <v>0</v>
      </c>
      <c r="BR13" s="277">
        <f t="shared" si="43"/>
        <v>0</v>
      </c>
      <c r="BS13" s="277">
        <f t="shared" si="44"/>
        <v>0</v>
      </c>
      <c r="BT13" s="277">
        <f t="shared" si="79"/>
        <v>0</v>
      </c>
      <c r="BU13" s="277">
        <f t="shared" si="80"/>
        <v>0</v>
      </c>
      <c r="BV13" s="277">
        <f t="shared" si="81"/>
        <v>0</v>
      </c>
      <c r="BW13" s="277">
        <f t="shared" si="82"/>
        <v>0</v>
      </c>
      <c r="BX13" s="277">
        <f t="shared" si="45"/>
        <v>0</v>
      </c>
      <c r="BY13" s="277">
        <f t="shared" si="46"/>
        <v>0</v>
      </c>
      <c r="BZ13" s="277">
        <f t="shared" si="47"/>
        <v>0</v>
      </c>
      <c r="CA13" s="277">
        <f t="shared" si="48"/>
        <v>0</v>
      </c>
      <c r="CB13" s="277">
        <f t="shared" si="49"/>
        <v>0</v>
      </c>
      <c r="CC13" s="277">
        <f t="shared" si="50"/>
        <v>0</v>
      </c>
      <c r="CD13" s="277">
        <f t="shared" si="83"/>
        <v>0</v>
      </c>
      <c r="CE13" s="277">
        <f t="shared" si="84"/>
        <v>0</v>
      </c>
      <c r="CF13" s="277">
        <f t="shared" si="85"/>
        <v>0</v>
      </c>
      <c r="CG13" s="277">
        <f t="shared" si="86"/>
        <v>0</v>
      </c>
      <c r="CH13" s="277">
        <f t="shared" si="51"/>
        <v>0</v>
      </c>
      <c r="CI13" s="277">
        <f t="shared" si="52"/>
        <v>0</v>
      </c>
      <c r="CJ13" s="277">
        <f t="shared" si="87"/>
        <v>0</v>
      </c>
      <c r="CK13" s="277">
        <f t="shared" si="88"/>
        <v>0</v>
      </c>
      <c r="CL13" s="277">
        <f t="shared" si="53"/>
        <v>0</v>
      </c>
      <c r="CM13" s="277">
        <f t="shared" si="54"/>
        <v>0</v>
      </c>
      <c r="CN13" s="277">
        <f t="shared" si="55"/>
        <v>0</v>
      </c>
      <c r="CO13" s="277">
        <f t="shared" si="56"/>
        <v>0</v>
      </c>
      <c r="CP13" s="277">
        <f t="shared" si="89"/>
        <v>0</v>
      </c>
      <c r="CQ13" s="277">
        <f t="shared" si="90"/>
        <v>0</v>
      </c>
      <c r="CR13" s="277">
        <f t="shared" si="91"/>
        <v>0</v>
      </c>
      <c r="CS13" s="277">
        <f t="shared" si="92"/>
        <v>0</v>
      </c>
      <c r="CT13" s="277">
        <f t="shared" si="57"/>
        <v>0</v>
      </c>
      <c r="CU13" s="277">
        <f t="shared" si="58"/>
        <v>0</v>
      </c>
      <c r="CV13" s="277">
        <f t="shared" si="59"/>
        <v>0</v>
      </c>
      <c r="CW13" s="277">
        <f t="shared" si="60"/>
        <v>0</v>
      </c>
      <c r="CX13" s="277">
        <f t="shared" si="93"/>
        <v>0</v>
      </c>
      <c r="CY13" s="277">
        <f t="shared" si="94"/>
        <v>0</v>
      </c>
      <c r="CZ13" s="277">
        <f t="shared" si="95"/>
        <v>0</v>
      </c>
      <c r="DA13" s="277">
        <f t="shared" si="96"/>
        <v>0</v>
      </c>
    </row>
    <row r="14" spans="1:105" s="274" customFormat="1" ht="15" customHeight="1">
      <c r="A14" s="63" t="str">
        <f t="array" ref="A14">IF(C14&lt;&gt;0,SUM(($C$11:C14&lt;&gt;0)*1),"")</f>
        <v/>
      </c>
      <c r="B14" s="275"/>
      <c r="C14" s="275"/>
      <c r="D14" s="275"/>
      <c r="E14" s="365"/>
      <c r="F14" s="326"/>
      <c r="G14" s="328"/>
      <c r="H14" s="328"/>
      <c r="I14" s="63" t="str">
        <f t="shared" si="0"/>
        <v/>
      </c>
      <c r="J14" s="277">
        <f t="shared" si="61"/>
        <v>0</v>
      </c>
      <c r="K14" s="277">
        <f t="shared" si="62"/>
        <v>0</v>
      </c>
      <c r="L14" s="277">
        <f t="shared" si="1"/>
        <v>0</v>
      </c>
      <c r="M14" s="277">
        <f t="shared" si="2"/>
        <v>0</v>
      </c>
      <c r="N14" s="277">
        <f t="shared" si="3"/>
        <v>0</v>
      </c>
      <c r="O14" s="277">
        <f t="shared" si="4"/>
        <v>0</v>
      </c>
      <c r="P14" s="277">
        <f t="shared" si="5"/>
        <v>0</v>
      </c>
      <c r="Q14" s="277">
        <f t="shared" si="6"/>
        <v>0</v>
      </c>
      <c r="R14" s="277">
        <f t="shared" si="7"/>
        <v>0</v>
      </c>
      <c r="S14" s="277">
        <f t="shared" si="8"/>
        <v>0</v>
      </c>
      <c r="T14" s="277">
        <f t="shared" si="9"/>
        <v>0</v>
      </c>
      <c r="U14" s="277">
        <f t="shared" si="10"/>
        <v>0</v>
      </c>
      <c r="V14" s="277">
        <f t="shared" si="11"/>
        <v>0</v>
      </c>
      <c r="W14" s="277">
        <f t="shared" si="12"/>
        <v>0</v>
      </c>
      <c r="X14" s="277">
        <f t="shared" si="13"/>
        <v>0</v>
      </c>
      <c r="Y14" s="277">
        <f t="shared" si="14"/>
        <v>0</v>
      </c>
      <c r="Z14" s="277">
        <f t="shared" si="15"/>
        <v>0</v>
      </c>
      <c r="AA14" s="277">
        <f t="shared" si="16"/>
        <v>0</v>
      </c>
      <c r="AB14" s="277">
        <f t="shared" si="63"/>
        <v>0</v>
      </c>
      <c r="AC14" s="277">
        <f t="shared" si="64"/>
        <v>0</v>
      </c>
      <c r="AD14" s="277">
        <f t="shared" si="17"/>
        <v>0</v>
      </c>
      <c r="AE14" s="277">
        <f t="shared" si="18"/>
        <v>0</v>
      </c>
      <c r="AF14" s="277">
        <f t="shared" si="19"/>
        <v>0</v>
      </c>
      <c r="AG14" s="277">
        <f t="shared" si="20"/>
        <v>0</v>
      </c>
      <c r="AH14" s="277">
        <f t="shared" si="65"/>
        <v>0</v>
      </c>
      <c r="AI14" s="277">
        <f t="shared" si="66"/>
        <v>0</v>
      </c>
      <c r="AJ14" s="277">
        <f t="shared" si="67"/>
        <v>0</v>
      </c>
      <c r="AK14" s="277">
        <f t="shared" si="68"/>
        <v>0</v>
      </c>
      <c r="AL14" s="277">
        <f t="shared" si="69"/>
        <v>0</v>
      </c>
      <c r="AM14" s="277">
        <f t="shared" si="70"/>
        <v>0</v>
      </c>
      <c r="AN14" s="277">
        <f t="shared" si="71"/>
        <v>0</v>
      </c>
      <c r="AO14" s="277">
        <f t="shared" si="72"/>
        <v>0</v>
      </c>
      <c r="AP14" s="277">
        <f t="shared" si="21"/>
        <v>0</v>
      </c>
      <c r="AQ14" s="277">
        <f t="shared" si="22"/>
        <v>0</v>
      </c>
      <c r="AR14" s="277">
        <f t="shared" si="23"/>
        <v>0</v>
      </c>
      <c r="AS14" s="277">
        <f t="shared" si="24"/>
        <v>0</v>
      </c>
      <c r="AT14" s="277">
        <f t="shared" si="73"/>
        <v>0</v>
      </c>
      <c r="AU14" s="277">
        <f t="shared" si="74"/>
        <v>0</v>
      </c>
      <c r="AV14" s="277">
        <f t="shared" si="25"/>
        <v>0</v>
      </c>
      <c r="AW14" s="277">
        <f t="shared" si="26"/>
        <v>0</v>
      </c>
      <c r="AX14" s="277">
        <f t="shared" si="27"/>
        <v>0</v>
      </c>
      <c r="AY14" s="277">
        <f t="shared" si="28"/>
        <v>0</v>
      </c>
      <c r="AZ14" s="277">
        <f t="shared" si="29"/>
        <v>0</v>
      </c>
      <c r="BA14" s="277">
        <f t="shared" si="30"/>
        <v>0</v>
      </c>
      <c r="BB14" s="277">
        <f t="shared" si="31"/>
        <v>0</v>
      </c>
      <c r="BC14" s="277">
        <f t="shared" si="32"/>
        <v>0</v>
      </c>
      <c r="BD14" s="277">
        <f t="shared" si="33"/>
        <v>0</v>
      </c>
      <c r="BE14" s="277">
        <f t="shared" si="34"/>
        <v>0</v>
      </c>
      <c r="BF14" s="277">
        <f t="shared" si="35"/>
        <v>0</v>
      </c>
      <c r="BG14" s="277">
        <f t="shared" si="36"/>
        <v>0</v>
      </c>
      <c r="BH14" s="277">
        <f t="shared" si="75"/>
        <v>0</v>
      </c>
      <c r="BI14" s="277">
        <f t="shared" si="76"/>
        <v>0</v>
      </c>
      <c r="BJ14" s="277">
        <f t="shared" si="37"/>
        <v>0</v>
      </c>
      <c r="BK14" s="277">
        <f t="shared" si="38"/>
        <v>0</v>
      </c>
      <c r="BL14" s="277">
        <f t="shared" si="39"/>
        <v>0</v>
      </c>
      <c r="BM14" s="277">
        <f t="shared" si="40"/>
        <v>0</v>
      </c>
      <c r="BN14" s="277">
        <f t="shared" si="41"/>
        <v>0</v>
      </c>
      <c r="BO14" s="277">
        <f t="shared" si="42"/>
        <v>0</v>
      </c>
      <c r="BP14" s="277">
        <f t="shared" si="77"/>
        <v>0</v>
      </c>
      <c r="BQ14" s="277">
        <f t="shared" si="78"/>
        <v>0</v>
      </c>
      <c r="BR14" s="277">
        <f t="shared" si="43"/>
        <v>0</v>
      </c>
      <c r="BS14" s="277">
        <f t="shared" si="44"/>
        <v>0</v>
      </c>
      <c r="BT14" s="277">
        <f t="shared" si="79"/>
        <v>0</v>
      </c>
      <c r="BU14" s="277">
        <f t="shared" si="80"/>
        <v>0</v>
      </c>
      <c r="BV14" s="277">
        <f t="shared" si="81"/>
        <v>0</v>
      </c>
      <c r="BW14" s="277">
        <f t="shared" si="82"/>
        <v>0</v>
      </c>
      <c r="BX14" s="277">
        <f t="shared" si="45"/>
        <v>0</v>
      </c>
      <c r="BY14" s="277">
        <f t="shared" si="46"/>
        <v>0</v>
      </c>
      <c r="BZ14" s="277">
        <f t="shared" si="47"/>
        <v>0</v>
      </c>
      <c r="CA14" s="277">
        <f t="shared" si="48"/>
        <v>0</v>
      </c>
      <c r="CB14" s="277">
        <f t="shared" si="49"/>
        <v>0</v>
      </c>
      <c r="CC14" s="277">
        <f t="shared" si="50"/>
        <v>0</v>
      </c>
      <c r="CD14" s="277">
        <f t="shared" si="83"/>
        <v>0</v>
      </c>
      <c r="CE14" s="277">
        <f t="shared" si="84"/>
        <v>0</v>
      </c>
      <c r="CF14" s="277">
        <f t="shared" si="85"/>
        <v>0</v>
      </c>
      <c r="CG14" s="277">
        <f t="shared" si="86"/>
        <v>0</v>
      </c>
      <c r="CH14" s="277">
        <f t="shared" si="51"/>
        <v>0</v>
      </c>
      <c r="CI14" s="277">
        <f t="shared" si="52"/>
        <v>0</v>
      </c>
      <c r="CJ14" s="277">
        <f t="shared" si="87"/>
        <v>0</v>
      </c>
      <c r="CK14" s="277">
        <f t="shared" si="88"/>
        <v>0</v>
      </c>
      <c r="CL14" s="277">
        <f t="shared" si="53"/>
        <v>0</v>
      </c>
      <c r="CM14" s="277">
        <f t="shared" si="54"/>
        <v>0</v>
      </c>
      <c r="CN14" s="277">
        <f t="shared" si="55"/>
        <v>0</v>
      </c>
      <c r="CO14" s="277">
        <f t="shared" si="56"/>
        <v>0</v>
      </c>
      <c r="CP14" s="277">
        <f t="shared" si="89"/>
        <v>0</v>
      </c>
      <c r="CQ14" s="277">
        <f t="shared" si="90"/>
        <v>0</v>
      </c>
      <c r="CR14" s="277">
        <f t="shared" si="91"/>
        <v>0</v>
      </c>
      <c r="CS14" s="277">
        <f t="shared" si="92"/>
        <v>0</v>
      </c>
      <c r="CT14" s="277">
        <f t="shared" si="57"/>
        <v>0</v>
      </c>
      <c r="CU14" s="277">
        <f t="shared" si="58"/>
        <v>0</v>
      </c>
      <c r="CV14" s="277">
        <f t="shared" si="59"/>
        <v>0</v>
      </c>
      <c r="CW14" s="277">
        <f t="shared" si="60"/>
        <v>0</v>
      </c>
      <c r="CX14" s="277">
        <f t="shared" si="93"/>
        <v>0</v>
      </c>
      <c r="CY14" s="277">
        <f t="shared" si="94"/>
        <v>0</v>
      </c>
      <c r="CZ14" s="277">
        <f t="shared" si="95"/>
        <v>0</v>
      </c>
      <c r="DA14" s="277">
        <f t="shared" si="96"/>
        <v>0</v>
      </c>
    </row>
    <row r="15" spans="1:105" s="274" customFormat="1" ht="15" customHeight="1">
      <c r="A15" s="63" t="str">
        <f t="array" ref="A15">IF(C15&lt;&gt;0,SUM(($C$11:C15&lt;&gt;0)*1),"")</f>
        <v/>
      </c>
      <c r="B15" s="275"/>
      <c r="C15" s="275"/>
      <c r="D15" s="275"/>
      <c r="E15" s="365"/>
      <c r="F15" s="326"/>
      <c r="G15" s="328"/>
      <c r="H15" s="328"/>
      <c r="I15" s="63" t="str">
        <f t="shared" si="0"/>
        <v/>
      </c>
      <c r="J15" s="277">
        <f t="shared" si="61"/>
        <v>0</v>
      </c>
      <c r="K15" s="277">
        <f t="shared" si="62"/>
        <v>0</v>
      </c>
      <c r="L15" s="277">
        <f t="shared" si="1"/>
        <v>0</v>
      </c>
      <c r="M15" s="277">
        <f t="shared" si="2"/>
        <v>0</v>
      </c>
      <c r="N15" s="277">
        <f t="shared" si="3"/>
        <v>0</v>
      </c>
      <c r="O15" s="277">
        <f t="shared" si="4"/>
        <v>0</v>
      </c>
      <c r="P15" s="277">
        <f t="shared" si="5"/>
        <v>0</v>
      </c>
      <c r="Q15" s="277">
        <f t="shared" si="6"/>
        <v>0</v>
      </c>
      <c r="R15" s="277">
        <f t="shared" si="7"/>
        <v>0</v>
      </c>
      <c r="S15" s="277">
        <f t="shared" si="8"/>
        <v>0</v>
      </c>
      <c r="T15" s="277">
        <f t="shared" si="9"/>
        <v>0</v>
      </c>
      <c r="U15" s="277">
        <f t="shared" si="10"/>
        <v>0</v>
      </c>
      <c r="V15" s="277">
        <f t="shared" si="11"/>
        <v>0</v>
      </c>
      <c r="W15" s="277">
        <f t="shared" si="12"/>
        <v>0</v>
      </c>
      <c r="X15" s="277">
        <f t="shared" si="13"/>
        <v>0</v>
      </c>
      <c r="Y15" s="277">
        <f t="shared" si="14"/>
        <v>0</v>
      </c>
      <c r="Z15" s="277">
        <f t="shared" si="15"/>
        <v>0</v>
      </c>
      <c r="AA15" s="277">
        <f t="shared" si="16"/>
        <v>0</v>
      </c>
      <c r="AB15" s="277">
        <f t="shared" si="63"/>
        <v>0</v>
      </c>
      <c r="AC15" s="277">
        <f t="shared" si="64"/>
        <v>0</v>
      </c>
      <c r="AD15" s="277">
        <f t="shared" si="17"/>
        <v>0</v>
      </c>
      <c r="AE15" s="277">
        <f t="shared" si="18"/>
        <v>0</v>
      </c>
      <c r="AF15" s="277">
        <f t="shared" si="19"/>
        <v>0</v>
      </c>
      <c r="AG15" s="277">
        <f t="shared" si="20"/>
        <v>0</v>
      </c>
      <c r="AH15" s="277">
        <f t="shared" si="65"/>
        <v>0</v>
      </c>
      <c r="AI15" s="277">
        <f t="shared" si="66"/>
        <v>0</v>
      </c>
      <c r="AJ15" s="277">
        <f t="shared" si="67"/>
        <v>0</v>
      </c>
      <c r="AK15" s="277">
        <f t="shared" si="68"/>
        <v>0</v>
      </c>
      <c r="AL15" s="277">
        <f t="shared" si="69"/>
        <v>0</v>
      </c>
      <c r="AM15" s="277">
        <f t="shared" si="70"/>
        <v>0</v>
      </c>
      <c r="AN15" s="277">
        <f t="shared" si="71"/>
        <v>0</v>
      </c>
      <c r="AO15" s="277">
        <f t="shared" si="72"/>
        <v>0</v>
      </c>
      <c r="AP15" s="277">
        <f t="shared" si="21"/>
        <v>0</v>
      </c>
      <c r="AQ15" s="277">
        <f t="shared" si="22"/>
        <v>0</v>
      </c>
      <c r="AR15" s="277">
        <f t="shared" si="23"/>
        <v>0</v>
      </c>
      <c r="AS15" s="277">
        <f t="shared" si="24"/>
        <v>0</v>
      </c>
      <c r="AT15" s="277">
        <f t="shared" si="73"/>
        <v>0</v>
      </c>
      <c r="AU15" s="277">
        <f t="shared" si="74"/>
        <v>0</v>
      </c>
      <c r="AV15" s="277">
        <f t="shared" si="25"/>
        <v>0</v>
      </c>
      <c r="AW15" s="277">
        <f t="shared" si="26"/>
        <v>0</v>
      </c>
      <c r="AX15" s="277">
        <f t="shared" si="27"/>
        <v>0</v>
      </c>
      <c r="AY15" s="277">
        <f t="shared" si="28"/>
        <v>0</v>
      </c>
      <c r="AZ15" s="277">
        <f t="shared" si="29"/>
        <v>0</v>
      </c>
      <c r="BA15" s="277">
        <f t="shared" si="30"/>
        <v>0</v>
      </c>
      <c r="BB15" s="277">
        <f t="shared" si="31"/>
        <v>0</v>
      </c>
      <c r="BC15" s="277">
        <f t="shared" si="32"/>
        <v>0</v>
      </c>
      <c r="BD15" s="277">
        <f t="shared" si="33"/>
        <v>0</v>
      </c>
      <c r="BE15" s="277">
        <f t="shared" si="34"/>
        <v>0</v>
      </c>
      <c r="BF15" s="277">
        <f t="shared" si="35"/>
        <v>0</v>
      </c>
      <c r="BG15" s="277">
        <f t="shared" si="36"/>
        <v>0</v>
      </c>
      <c r="BH15" s="277">
        <f t="shared" si="75"/>
        <v>0</v>
      </c>
      <c r="BI15" s="277">
        <f t="shared" si="76"/>
        <v>0</v>
      </c>
      <c r="BJ15" s="277">
        <f t="shared" si="37"/>
        <v>0</v>
      </c>
      <c r="BK15" s="277">
        <f t="shared" si="38"/>
        <v>0</v>
      </c>
      <c r="BL15" s="277">
        <f t="shared" si="39"/>
        <v>0</v>
      </c>
      <c r="BM15" s="277">
        <f t="shared" si="40"/>
        <v>0</v>
      </c>
      <c r="BN15" s="277">
        <f t="shared" si="41"/>
        <v>0</v>
      </c>
      <c r="BO15" s="277">
        <f t="shared" si="42"/>
        <v>0</v>
      </c>
      <c r="BP15" s="277">
        <f t="shared" si="77"/>
        <v>0</v>
      </c>
      <c r="BQ15" s="277">
        <f t="shared" si="78"/>
        <v>0</v>
      </c>
      <c r="BR15" s="277">
        <f t="shared" si="43"/>
        <v>0</v>
      </c>
      <c r="BS15" s="277">
        <f t="shared" si="44"/>
        <v>0</v>
      </c>
      <c r="BT15" s="277">
        <f t="shared" si="79"/>
        <v>0</v>
      </c>
      <c r="BU15" s="277">
        <f t="shared" si="80"/>
        <v>0</v>
      </c>
      <c r="BV15" s="277">
        <f t="shared" si="81"/>
        <v>0</v>
      </c>
      <c r="BW15" s="277">
        <f t="shared" si="82"/>
        <v>0</v>
      </c>
      <c r="BX15" s="277">
        <f t="shared" si="45"/>
        <v>0</v>
      </c>
      <c r="BY15" s="277">
        <f t="shared" si="46"/>
        <v>0</v>
      </c>
      <c r="BZ15" s="277">
        <f t="shared" si="47"/>
        <v>0</v>
      </c>
      <c r="CA15" s="277">
        <f t="shared" si="48"/>
        <v>0</v>
      </c>
      <c r="CB15" s="277">
        <f t="shared" si="49"/>
        <v>0</v>
      </c>
      <c r="CC15" s="277">
        <f t="shared" si="50"/>
        <v>0</v>
      </c>
      <c r="CD15" s="277">
        <f t="shared" si="83"/>
        <v>0</v>
      </c>
      <c r="CE15" s="277">
        <f t="shared" si="84"/>
        <v>0</v>
      </c>
      <c r="CF15" s="277">
        <f t="shared" si="85"/>
        <v>0</v>
      </c>
      <c r="CG15" s="277">
        <f t="shared" si="86"/>
        <v>0</v>
      </c>
      <c r="CH15" s="277">
        <f t="shared" si="51"/>
        <v>0</v>
      </c>
      <c r="CI15" s="277">
        <f t="shared" si="52"/>
        <v>0</v>
      </c>
      <c r="CJ15" s="277">
        <f t="shared" si="87"/>
        <v>0</v>
      </c>
      <c r="CK15" s="277">
        <f t="shared" si="88"/>
        <v>0</v>
      </c>
      <c r="CL15" s="277">
        <f t="shared" si="53"/>
        <v>0</v>
      </c>
      <c r="CM15" s="277">
        <f t="shared" si="54"/>
        <v>0</v>
      </c>
      <c r="CN15" s="277">
        <f t="shared" si="55"/>
        <v>0</v>
      </c>
      <c r="CO15" s="277">
        <f t="shared" si="56"/>
        <v>0</v>
      </c>
      <c r="CP15" s="277">
        <f t="shared" si="89"/>
        <v>0</v>
      </c>
      <c r="CQ15" s="277">
        <f t="shared" si="90"/>
        <v>0</v>
      </c>
      <c r="CR15" s="277">
        <f t="shared" si="91"/>
        <v>0</v>
      </c>
      <c r="CS15" s="277">
        <f t="shared" si="92"/>
        <v>0</v>
      </c>
      <c r="CT15" s="277">
        <f t="shared" si="57"/>
        <v>0</v>
      </c>
      <c r="CU15" s="277">
        <f t="shared" si="58"/>
        <v>0</v>
      </c>
      <c r="CV15" s="277">
        <f t="shared" si="59"/>
        <v>0</v>
      </c>
      <c r="CW15" s="277">
        <f t="shared" si="60"/>
        <v>0</v>
      </c>
      <c r="CX15" s="277">
        <f t="shared" si="93"/>
        <v>0</v>
      </c>
      <c r="CY15" s="277">
        <f t="shared" si="94"/>
        <v>0</v>
      </c>
      <c r="CZ15" s="277">
        <f t="shared" si="95"/>
        <v>0</v>
      </c>
      <c r="DA15" s="277">
        <f t="shared" si="96"/>
        <v>0</v>
      </c>
    </row>
    <row r="16" spans="1:105" s="274" customFormat="1" ht="15" customHeight="1">
      <c r="A16" s="63" t="str">
        <f t="array" ref="A16">IF(C16&lt;&gt;0,SUM(($C$11:C16&lt;&gt;0)*1),"")</f>
        <v/>
      </c>
      <c r="B16" s="275"/>
      <c r="C16" s="275"/>
      <c r="D16" s="275"/>
      <c r="E16" s="365"/>
      <c r="F16" s="326"/>
      <c r="G16" s="328"/>
      <c r="H16" s="328"/>
      <c r="I16" s="63" t="str">
        <f t="shared" si="0"/>
        <v/>
      </c>
      <c r="J16" s="277">
        <f t="shared" si="61"/>
        <v>0</v>
      </c>
      <c r="K16" s="277">
        <f t="shared" si="62"/>
        <v>0</v>
      </c>
      <c r="L16" s="277">
        <f t="shared" si="1"/>
        <v>0</v>
      </c>
      <c r="M16" s="277">
        <f t="shared" si="2"/>
        <v>0</v>
      </c>
      <c r="N16" s="277">
        <f t="shared" si="3"/>
        <v>0</v>
      </c>
      <c r="O16" s="277">
        <f t="shared" si="4"/>
        <v>0</v>
      </c>
      <c r="P16" s="277">
        <f t="shared" si="5"/>
        <v>0</v>
      </c>
      <c r="Q16" s="277">
        <f t="shared" si="6"/>
        <v>0</v>
      </c>
      <c r="R16" s="277">
        <f t="shared" si="7"/>
        <v>0</v>
      </c>
      <c r="S16" s="277">
        <f t="shared" si="8"/>
        <v>0</v>
      </c>
      <c r="T16" s="277">
        <f t="shared" si="9"/>
        <v>0</v>
      </c>
      <c r="U16" s="277">
        <f t="shared" si="10"/>
        <v>0</v>
      </c>
      <c r="V16" s="277">
        <f t="shared" si="11"/>
        <v>0</v>
      </c>
      <c r="W16" s="277">
        <f t="shared" si="12"/>
        <v>0</v>
      </c>
      <c r="X16" s="277">
        <f t="shared" si="13"/>
        <v>0</v>
      </c>
      <c r="Y16" s="277">
        <f t="shared" si="14"/>
        <v>0</v>
      </c>
      <c r="Z16" s="277">
        <f t="shared" si="15"/>
        <v>0</v>
      </c>
      <c r="AA16" s="277">
        <f t="shared" si="16"/>
        <v>0</v>
      </c>
      <c r="AB16" s="277">
        <f t="shared" si="63"/>
        <v>0</v>
      </c>
      <c r="AC16" s="277">
        <f t="shared" si="64"/>
        <v>0</v>
      </c>
      <c r="AD16" s="277">
        <f t="shared" si="17"/>
        <v>0</v>
      </c>
      <c r="AE16" s="277">
        <f t="shared" si="18"/>
        <v>0</v>
      </c>
      <c r="AF16" s="277">
        <f t="shared" si="19"/>
        <v>0</v>
      </c>
      <c r="AG16" s="277">
        <f t="shared" si="20"/>
        <v>0</v>
      </c>
      <c r="AH16" s="277">
        <f t="shared" si="65"/>
        <v>0</v>
      </c>
      <c r="AI16" s="277">
        <f t="shared" si="66"/>
        <v>0</v>
      </c>
      <c r="AJ16" s="277">
        <f t="shared" si="67"/>
        <v>0</v>
      </c>
      <c r="AK16" s="277">
        <f t="shared" si="68"/>
        <v>0</v>
      </c>
      <c r="AL16" s="277">
        <f t="shared" si="69"/>
        <v>0</v>
      </c>
      <c r="AM16" s="277">
        <f t="shared" si="70"/>
        <v>0</v>
      </c>
      <c r="AN16" s="277">
        <f t="shared" si="71"/>
        <v>0</v>
      </c>
      <c r="AO16" s="277">
        <f t="shared" si="72"/>
        <v>0</v>
      </c>
      <c r="AP16" s="277">
        <f t="shared" si="21"/>
        <v>0</v>
      </c>
      <c r="AQ16" s="277">
        <f t="shared" si="22"/>
        <v>0</v>
      </c>
      <c r="AR16" s="277">
        <f t="shared" si="23"/>
        <v>0</v>
      </c>
      <c r="AS16" s="277">
        <f t="shared" si="24"/>
        <v>0</v>
      </c>
      <c r="AT16" s="277">
        <f t="shared" si="73"/>
        <v>0</v>
      </c>
      <c r="AU16" s="277">
        <f t="shared" si="74"/>
        <v>0</v>
      </c>
      <c r="AV16" s="277">
        <f t="shared" si="25"/>
        <v>0</v>
      </c>
      <c r="AW16" s="277">
        <f t="shared" si="26"/>
        <v>0</v>
      </c>
      <c r="AX16" s="277">
        <f t="shared" si="27"/>
        <v>0</v>
      </c>
      <c r="AY16" s="277">
        <f t="shared" si="28"/>
        <v>0</v>
      </c>
      <c r="AZ16" s="277">
        <f t="shared" si="29"/>
        <v>0</v>
      </c>
      <c r="BA16" s="277">
        <f t="shared" si="30"/>
        <v>0</v>
      </c>
      <c r="BB16" s="277">
        <f t="shared" si="31"/>
        <v>0</v>
      </c>
      <c r="BC16" s="277">
        <f t="shared" si="32"/>
        <v>0</v>
      </c>
      <c r="BD16" s="277">
        <f t="shared" si="33"/>
        <v>0</v>
      </c>
      <c r="BE16" s="277">
        <f t="shared" si="34"/>
        <v>0</v>
      </c>
      <c r="BF16" s="277">
        <f t="shared" si="35"/>
        <v>0</v>
      </c>
      <c r="BG16" s="277">
        <f t="shared" si="36"/>
        <v>0</v>
      </c>
      <c r="BH16" s="277">
        <f t="shared" si="75"/>
        <v>0</v>
      </c>
      <c r="BI16" s="277">
        <f t="shared" si="76"/>
        <v>0</v>
      </c>
      <c r="BJ16" s="277">
        <f t="shared" si="37"/>
        <v>0</v>
      </c>
      <c r="BK16" s="277">
        <f t="shared" si="38"/>
        <v>0</v>
      </c>
      <c r="BL16" s="277">
        <f t="shared" si="39"/>
        <v>0</v>
      </c>
      <c r="BM16" s="277">
        <f t="shared" si="40"/>
        <v>0</v>
      </c>
      <c r="BN16" s="277">
        <f t="shared" si="41"/>
        <v>0</v>
      </c>
      <c r="BO16" s="277">
        <f t="shared" si="42"/>
        <v>0</v>
      </c>
      <c r="BP16" s="277">
        <f t="shared" si="77"/>
        <v>0</v>
      </c>
      <c r="BQ16" s="277">
        <f t="shared" si="78"/>
        <v>0</v>
      </c>
      <c r="BR16" s="277">
        <f t="shared" si="43"/>
        <v>0</v>
      </c>
      <c r="BS16" s="277">
        <f t="shared" si="44"/>
        <v>0</v>
      </c>
      <c r="BT16" s="277">
        <f t="shared" si="79"/>
        <v>0</v>
      </c>
      <c r="BU16" s="277">
        <f t="shared" si="80"/>
        <v>0</v>
      </c>
      <c r="BV16" s="277">
        <f t="shared" si="81"/>
        <v>0</v>
      </c>
      <c r="BW16" s="277">
        <f t="shared" si="82"/>
        <v>0</v>
      </c>
      <c r="BX16" s="277">
        <f t="shared" si="45"/>
        <v>0</v>
      </c>
      <c r="BY16" s="277">
        <f t="shared" si="46"/>
        <v>0</v>
      </c>
      <c r="BZ16" s="277">
        <f t="shared" si="47"/>
        <v>0</v>
      </c>
      <c r="CA16" s="277">
        <f t="shared" si="48"/>
        <v>0</v>
      </c>
      <c r="CB16" s="277">
        <f t="shared" si="49"/>
        <v>0</v>
      </c>
      <c r="CC16" s="277">
        <f t="shared" si="50"/>
        <v>0</v>
      </c>
      <c r="CD16" s="277">
        <f t="shared" si="83"/>
        <v>0</v>
      </c>
      <c r="CE16" s="277">
        <f t="shared" si="84"/>
        <v>0</v>
      </c>
      <c r="CF16" s="277">
        <f t="shared" si="85"/>
        <v>0</v>
      </c>
      <c r="CG16" s="277">
        <f t="shared" si="86"/>
        <v>0</v>
      </c>
      <c r="CH16" s="277">
        <f t="shared" si="51"/>
        <v>0</v>
      </c>
      <c r="CI16" s="277">
        <f t="shared" si="52"/>
        <v>0</v>
      </c>
      <c r="CJ16" s="277">
        <f t="shared" si="87"/>
        <v>0</v>
      </c>
      <c r="CK16" s="277">
        <f t="shared" si="88"/>
        <v>0</v>
      </c>
      <c r="CL16" s="277">
        <f t="shared" si="53"/>
        <v>0</v>
      </c>
      <c r="CM16" s="277">
        <f t="shared" si="54"/>
        <v>0</v>
      </c>
      <c r="CN16" s="277">
        <f t="shared" si="55"/>
        <v>0</v>
      </c>
      <c r="CO16" s="277">
        <f t="shared" si="56"/>
        <v>0</v>
      </c>
      <c r="CP16" s="277">
        <f t="shared" si="89"/>
        <v>0</v>
      </c>
      <c r="CQ16" s="277">
        <f t="shared" si="90"/>
        <v>0</v>
      </c>
      <c r="CR16" s="277">
        <f t="shared" si="91"/>
        <v>0</v>
      </c>
      <c r="CS16" s="277">
        <f t="shared" si="92"/>
        <v>0</v>
      </c>
      <c r="CT16" s="277">
        <f t="shared" si="57"/>
        <v>0</v>
      </c>
      <c r="CU16" s="277">
        <f t="shared" si="58"/>
        <v>0</v>
      </c>
      <c r="CV16" s="277">
        <f t="shared" si="59"/>
        <v>0</v>
      </c>
      <c r="CW16" s="277">
        <f t="shared" si="60"/>
        <v>0</v>
      </c>
      <c r="CX16" s="277">
        <f t="shared" si="93"/>
        <v>0</v>
      </c>
      <c r="CY16" s="277">
        <f t="shared" si="94"/>
        <v>0</v>
      </c>
      <c r="CZ16" s="277">
        <f t="shared" si="95"/>
        <v>0</v>
      </c>
      <c r="DA16" s="277">
        <f t="shared" si="96"/>
        <v>0</v>
      </c>
    </row>
    <row r="17" spans="1:105" s="274" customFormat="1" ht="15" customHeight="1">
      <c r="A17" s="63" t="str">
        <f t="array" ref="A17">IF(C17&lt;&gt;0,SUM(($C$11:C17&lt;&gt;0)*1),"")</f>
        <v/>
      </c>
      <c r="B17" s="275"/>
      <c r="C17" s="275"/>
      <c r="D17" s="275"/>
      <c r="E17" s="365"/>
      <c r="F17" s="326"/>
      <c r="G17" s="328"/>
      <c r="H17" s="328"/>
      <c r="I17" s="63" t="str">
        <f t="shared" si="0"/>
        <v/>
      </c>
      <c r="J17" s="277">
        <f t="shared" si="61"/>
        <v>0</v>
      </c>
      <c r="K17" s="277">
        <f t="shared" si="62"/>
        <v>0</v>
      </c>
      <c r="L17" s="277">
        <f t="shared" si="1"/>
        <v>0</v>
      </c>
      <c r="M17" s="277">
        <f t="shared" si="2"/>
        <v>0</v>
      </c>
      <c r="N17" s="277">
        <f t="shared" si="3"/>
        <v>0</v>
      </c>
      <c r="O17" s="277">
        <f t="shared" si="4"/>
        <v>0</v>
      </c>
      <c r="P17" s="277">
        <f t="shared" si="5"/>
        <v>0</v>
      </c>
      <c r="Q17" s="277">
        <f t="shared" si="6"/>
        <v>0</v>
      </c>
      <c r="R17" s="277">
        <f t="shared" si="7"/>
        <v>0</v>
      </c>
      <c r="S17" s="277">
        <f t="shared" si="8"/>
        <v>0</v>
      </c>
      <c r="T17" s="277">
        <f t="shared" si="9"/>
        <v>0</v>
      </c>
      <c r="U17" s="277">
        <f t="shared" si="10"/>
        <v>0</v>
      </c>
      <c r="V17" s="277">
        <f t="shared" si="11"/>
        <v>0</v>
      </c>
      <c r="W17" s="277">
        <f t="shared" si="12"/>
        <v>0</v>
      </c>
      <c r="X17" s="277">
        <f t="shared" si="13"/>
        <v>0</v>
      </c>
      <c r="Y17" s="277">
        <f t="shared" si="14"/>
        <v>0</v>
      </c>
      <c r="Z17" s="277">
        <f t="shared" si="15"/>
        <v>0</v>
      </c>
      <c r="AA17" s="277">
        <f t="shared" si="16"/>
        <v>0</v>
      </c>
      <c r="AB17" s="277">
        <f t="shared" si="63"/>
        <v>0</v>
      </c>
      <c r="AC17" s="277">
        <f t="shared" si="64"/>
        <v>0</v>
      </c>
      <c r="AD17" s="277">
        <f t="shared" si="17"/>
        <v>0</v>
      </c>
      <c r="AE17" s="277">
        <f t="shared" si="18"/>
        <v>0</v>
      </c>
      <c r="AF17" s="277">
        <f t="shared" si="19"/>
        <v>0</v>
      </c>
      <c r="AG17" s="277">
        <f t="shared" si="20"/>
        <v>0</v>
      </c>
      <c r="AH17" s="277">
        <f t="shared" si="65"/>
        <v>0</v>
      </c>
      <c r="AI17" s="277">
        <f t="shared" si="66"/>
        <v>0</v>
      </c>
      <c r="AJ17" s="277">
        <f t="shared" si="67"/>
        <v>0</v>
      </c>
      <c r="AK17" s="277">
        <f t="shared" si="68"/>
        <v>0</v>
      </c>
      <c r="AL17" s="277">
        <f t="shared" si="69"/>
        <v>0</v>
      </c>
      <c r="AM17" s="277">
        <f t="shared" si="70"/>
        <v>0</v>
      </c>
      <c r="AN17" s="277">
        <f t="shared" si="71"/>
        <v>0</v>
      </c>
      <c r="AO17" s="277">
        <f t="shared" si="72"/>
        <v>0</v>
      </c>
      <c r="AP17" s="277">
        <f t="shared" si="21"/>
        <v>0</v>
      </c>
      <c r="AQ17" s="277">
        <f t="shared" si="22"/>
        <v>0</v>
      </c>
      <c r="AR17" s="277">
        <f t="shared" si="23"/>
        <v>0</v>
      </c>
      <c r="AS17" s="277">
        <f t="shared" si="24"/>
        <v>0</v>
      </c>
      <c r="AT17" s="277">
        <f t="shared" si="73"/>
        <v>0</v>
      </c>
      <c r="AU17" s="277">
        <f t="shared" si="74"/>
        <v>0</v>
      </c>
      <c r="AV17" s="277">
        <f t="shared" si="25"/>
        <v>0</v>
      </c>
      <c r="AW17" s="277">
        <f t="shared" si="26"/>
        <v>0</v>
      </c>
      <c r="AX17" s="277">
        <f t="shared" si="27"/>
        <v>0</v>
      </c>
      <c r="AY17" s="277">
        <f t="shared" si="28"/>
        <v>0</v>
      </c>
      <c r="AZ17" s="277">
        <f t="shared" si="29"/>
        <v>0</v>
      </c>
      <c r="BA17" s="277">
        <f t="shared" si="30"/>
        <v>0</v>
      </c>
      <c r="BB17" s="277">
        <f t="shared" si="31"/>
        <v>0</v>
      </c>
      <c r="BC17" s="277">
        <f t="shared" si="32"/>
        <v>0</v>
      </c>
      <c r="BD17" s="277">
        <f t="shared" si="33"/>
        <v>0</v>
      </c>
      <c r="BE17" s="277">
        <f t="shared" si="34"/>
        <v>0</v>
      </c>
      <c r="BF17" s="277">
        <f t="shared" si="35"/>
        <v>0</v>
      </c>
      <c r="BG17" s="277">
        <f t="shared" si="36"/>
        <v>0</v>
      </c>
      <c r="BH17" s="277">
        <f t="shared" si="75"/>
        <v>0</v>
      </c>
      <c r="BI17" s="277">
        <f t="shared" si="76"/>
        <v>0</v>
      </c>
      <c r="BJ17" s="277">
        <f t="shared" si="37"/>
        <v>0</v>
      </c>
      <c r="BK17" s="277">
        <f t="shared" si="38"/>
        <v>0</v>
      </c>
      <c r="BL17" s="277">
        <f t="shared" si="39"/>
        <v>0</v>
      </c>
      <c r="BM17" s="277">
        <f t="shared" si="40"/>
        <v>0</v>
      </c>
      <c r="BN17" s="277">
        <f t="shared" si="41"/>
        <v>0</v>
      </c>
      <c r="BO17" s="277">
        <f t="shared" si="42"/>
        <v>0</v>
      </c>
      <c r="BP17" s="277">
        <f t="shared" si="77"/>
        <v>0</v>
      </c>
      <c r="BQ17" s="277">
        <f t="shared" si="78"/>
        <v>0</v>
      </c>
      <c r="BR17" s="277">
        <f t="shared" si="43"/>
        <v>0</v>
      </c>
      <c r="BS17" s="277">
        <f t="shared" si="44"/>
        <v>0</v>
      </c>
      <c r="BT17" s="277">
        <f t="shared" si="79"/>
        <v>0</v>
      </c>
      <c r="BU17" s="277">
        <f t="shared" si="80"/>
        <v>0</v>
      </c>
      <c r="BV17" s="277">
        <f t="shared" si="81"/>
        <v>0</v>
      </c>
      <c r="BW17" s="277">
        <f t="shared" si="82"/>
        <v>0</v>
      </c>
      <c r="BX17" s="277">
        <f t="shared" si="45"/>
        <v>0</v>
      </c>
      <c r="BY17" s="277">
        <f t="shared" si="46"/>
        <v>0</v>
      </c>
      <c r="BZ17" s="277">
        <f t="shared" si="47"/>
        <v>0</v>
      </c>
      <c r="CA17" s="277">
        <f t="shared" si="48"/>
        <v>0</v>
      </c>
      <c r="CB17" s="277">
        <f t="shared" si="49"/>
        <v>0</v>
      </c>
      <c r="CC17" s="277">
        <f t="shared" si="50"/>
        <v>0</v>
      </c>
      <c r="CD17" s="277">
        <f t="shared" si="83"/>
        <v>0</v>
      </c>
      <c r="CE17" s="277">
        <f t="shared" si="84"/>
        <v>0</v>
      </c>
      <c r="CF17" s="277">
        <f t="shared" si="85"/>
        <v>0</v>
      </c>
      <c r="CG17" s="277">
        <f t="shared" si="86"/>
        <v>0</v>
      </c>
      <c r="CH17" s="277">
        <f t="shared" si="51"/>
        <v>0</v>
      </c>
      <c r="CI17" s="277">
        <f t="shared" si="52"/>
        <v>0</v>
      </c>
      <c r="CJ17" s="277">
        <f t="shared" si="87"/>
        <v>0</v>
      </c>
      <c r="CK17" s="277">
        <f t="shared" si="88"/>
        <v>0</v>
      </c>
      <c r="CL17" s="277">
        <f t="shared" si="53"/>
        <v>0</v>
      </c>
      <c r="CM17" s="277">
        <f t="shared" si="54"/>
        <v>0</v>
      </c>
      <c r="CN17" s="277">
        <f t="shared" si="55"/>
        <v>0</v>
      </c>
      <c r="CO17" s="277">
        <f t="shared" si="56"/>
        <v>0</v>
      </c>
      <c r="CP17" s="277">
        <f t="shared" si="89"/>
        <v>0</v>
      </c>
      <c r="CQ17" s="277">
        <f t="shared" si="90"/>
        <v>0</v>
      </c>
      <c r="CR17" s="277">
        <f t="shared" si="91"/>
        <v>0</v>
      </c>
      <c r="CS17" s="277">
        <f t="shared" si="92"/>
        <v>0</v>
      </c>
      <c r="CT17" s="277">
        <f t="shared" si="57"/>
        <v>0</v>
      </c>
      <c r="CU17" s="277">
        <f t="shared" si="58"/>
        <v>0</v>
      </c>
      <c r="CV17" s="277">
        <f t="shared" si="59"/>
        <v>0</v>
      </c>
      <c r="CW17" s="277">
        <f t="shared" si="60"/>
        <v>0</v>
      </c>
      <c r="CX17" s="277">
        <f t="shared" si="93"/>
        <v>0</v>
      </c>
      <c r="CY17" s="277">
        <f t="shared" si="94"/>
        <v>0</v>
      </c>
      <c r="CZ17" s="277">
        <f t="shared" si="95"/>
        <v>0</v>
      </c>
      <c r="DA17" s="277">
        <f t="shared" si="96"/>
        <v>0</v>
      </c>
    </row>
    <row r="18" spans="1:105" s="274" customFormat="1" ht="15" customHeight="1">
      <c r="A18" s="63" t="str">
        <f t="array" ref="A18">IF(C18&lt;&gt;0,SUM(($C$11:C18&lt;&gt;0)*1),"")</f>
        <v/>
      </c>
      <c r="B18" s="275"/>
      <c r="C18" s="275"/>
      <c r="D18" s="275"/>
      <c r="E18" s="365"/>
      <c r="F18" s="326"/>
      <c r="G18" s="328"/>
      <c r="H18" s="328"/>
      <c r="I18" s="63" t="str">
        <f t="shared" si="0"/>
        <v/>
      </c>
      <c r="J18" s="277">
        <f t="shared" si="61"/>
        <v>0</v>
      </c>
      <c r="K18" s="277">
        <f t="shared" si="62"/>
        <v>0</v>
      </c>
      <c r="L18" s="277">
        <f t="shared" si="1"/>
        <v>0</v>
      </c>
      <c r="M18" s="277">
        <f t="shared" si="2"/>
        <v>0</v>
      </c>
      <c r="N18" s="277">
        <f t="shared" si="3"/>
        <v>0</v>
      </c>
      <c r="O18" s="277">
        <f t="shared" si="4"/>
        <v>0</v>
      </c>
      <c r="P18" s="277">
        <f t="shared" si="5"/>
        <v>0</v>
      </c>
      <c r="Q18" s="277">
        <f t="shared" si="6"/>
        <v>0</v>
      </c>
      <c r="R18" s="277">
        <f t="shared" si="7"/>
        <v>0</v>
      </c>
      <c r="S18" s="277">
        <f t="shared" si="8"/>
        <v>0</v>
      </c>
      <c r="T18" s="277">
        <f t="shared" si="9"/>
        <v>0</v>
      </c>
      <c r="U18" s="277">
        <f t="shared" si="10"/>
        <v>0</v>
      </c>
      <c r="V18" s="277">
        <f t="shared" si="11"/>
        <v>0</v>
      </c>
      <c r="W18" s="277">
        <f t="shared" si="12"/>
        <v>0</v>
      </c>
      <c r="X18" s="277">
        <f t="shared" si="13"/>
        <v>0</v>
      </c>
      <c r="Y18" s="277">
        <f t="shared" si="14"/>
        <v>0</v>
      </c>
      <c r="Z18" s="277">
        <f t="shared" si="15"/>
        <v>0</v>
      </c>
      <c r="AA18" s="277">
        <f t="shared" si="16"/>
        <v>0</v>
      </c>
      <c r="AB18" s="277">
        <f t="shared" si="63"/>
        <v>0</v>
      </c>
      <c r="AC18" s="277">
        <f t="shared" si="64"/>
        <v>0</v>
      </c>
      <c r="AD18" s="277">
        <f t="shared" si="17"/>
        <v>0</v>
      </c>
      <c r="AE18" s="277">
        <f t="shared" si="18"/>
        <v>0</v>
      </c>
      <c r="AF18" s="277">
        <f t="shared" si="19"/>
        <v>0</v>
      </c>
      <c r="AG18" s="277">
        <f t="shared" si="20"/>
        <v>0</v>
      </c>
      <c r="AH18" s="277">
        <f t="shared" si="65"/>
        <v>0</v>
      </c>
      <c r="AI18" s="277">
        <f t="shared" si="66"/>
        <v>0</v>
      </c>
      <c r="AJ18" s="277">
        <f t="shared" si="67"/>
        <v>0</v>
      </c>
      <c r="AK18" s="277">
        <f t="shared" si="68"/>
        <v>0</v>
      </c>
      <c r="AL18" s="277">
        <f t="shared" si="69"/>
        <v>0</v>
      </c>
      <c r="AM18" s="277">
        <f t="shared" si="70"/>
        <v>0</v>
      </c>
      <c r="AN18" s="277">
        <f t="shared" si="71"/>
        <v>0</v>
      </c>
      <c r="AO18" s="277">
        <f t="shared" si="72"/>
        <v>0</v>
      </c>
      <c r="AP18" s="277">
        <f t="shared" si="21"/>
        <v>0</v>
      </c>
      <c r="AQ18" s="277">
        <f t="shared" si="22"/>
        <v>0</v>
      </c>
      <c r="AR18" s="277">
        <f t="shared" si="23"/>
        <v>0</v>
      </c>
      <c r="AS18" s="277">
        <f t="shared" si="24"/>
        <v>0</v>
      </c>
      <c r="AT18" s="277">
        <f t="shared" si="73"/>
        <v>0</v>
      </c>
      <c r="AU18" s="277">
        <f t="shared" si="74"/>
        <v>0</v>
      </c>
      <c r="AV18" s="277">
        <f t="shared" si="25"/>
        <v>0</v>
      </c>
      <c r="AW18" s="277">
        <f t="shared" si="26"/>
        <v>0</v>
      </c>
      <c r="AX18" s="277">
        <f t="shared" si="27"/>
        <v>0</v>
      </c>
      <c r="AY18" s="277">
        <f t="shared" si="28"/>
        <v>0</v>
      </c>
      <c r="AZ18" s="277">
        <f t="shared" si="29"/>
        <v>0</v>
      </c>
      <c r="BA18" s="277">
        <f t="shared" si="30"/>
        <v>0</v>
      </c>
      <c r="BB18" s="277">
        <f t="shared" si="31"/>
        <v>0</v>
      </c>
      <c r="BC18" s="277">
        <f t="shared" si="32"/>
        <v>0</v>
      </c>
      <c r="BD18" s="277">
        <f t="shared" si="33"/>
        <v>0</v>
      </c>
      <c r="BE18" s="277">
        <f t="shared" si="34"/>
        <v>0</v>
      </c>
      <c r="BF18" s="277">
        <f t="shared" si="35"/>
        <v>0</v>
      </c>
      <c r="BG18" s="277">
        <f t="shared" si="36"/>
        <v>0</v>
      </c>
      <c r="BH18" s="277">
        <f t="shared" si="75"/>
        <v>0</v>
      </c>
      <c r="BI18" s="277">
        <f t="shared" si="76"/>
        <v>0</v>
      </c>
      <c r="BJ18" s="277">
        <f t="shared" si="37"/>
        <v>0</v>
      </c>
      <c r="BK18" s="277">
        <f t="shared" si="38"/>
        <v>0</v>
      </c>
      <c r="BL18" s="277">
        <f t="shared" si="39"/>
        <v>0</v>
      </c>
      <c r="BM18" s="277">
        <f t="shared" si="40"/>
        <v>0</v>
      </c>
      <c r="BN18" s="277">
        <f t="shared" si="41"/>
        <v>0</v>
      </c>
      <c r="BO18" s="277">
        <f t="shared" si="42"/>
        <v>0</v>
      </c>
      <c r="BP18" s="277">
        <f t="shared" si="77"/>
        <v>0</v>
      </c>
      <c r="BQ18" s="277">
        <f t="shared" si="78"/>
        <v>0</v>
      </c>
      <c r="BR18" s="277">
        <f t="shared" si="43"/>
        <v>0</v>
      </c>
      <c r="BS18" s="277">
        <f t="shared" si="44"/>
        <v>0</v>
      </c>
      <c r="BT18" s="277">
        <f t="shared" si="79"/>
        <v>0</v>
      </c>
      <c r="BU18" s="277">
        <f t="shared" si="80"/>
        <v>0</v>
      </c>
      <c r="BV18" s="277">
        <f t="shared" si="81"/>
        <v>0</v>
      </c>
      <c r="BW18" s="277">
        <f t="shared" si="82"/>
        <v>0</v>
      </c>
      <c r="BX18" s="277">
        <f t="shared" si="45"/>
        <v>0</v>
      </c>
      <c r="BY18" s="277">
        <f t="shared" si="46"/>
        <v>0</v>
      </c>
      <c r="BZ18" s="277">
        <f t="shared" si="47"/>
        <v>0</v>
      </c>
      <c r="CA18" s="277">
        <f t="shared" si="48"/>
        <v>0</v>
      </c>
      <c r="CB18" s="277">
        <f t="shared" si="49"/>
        <v>0</v>
      </c>
      <c r="CC18" s="277">
        <f t="shared" si="50"/>
        <v>0</v>
      </c>
      <c r="CD18" s="277">
        <f t="shared" si="83"/>
        <v>0</v>
      </c>
      <c r="CE18" s="277">
        <f t="shared" si="84"/>
        <v>0</v>
      </c>
      <c r="CF18" s="277">
        <f t="shared" si="85"/>
        <v>0</v>
      </c>
      <c r="CG18" s="277">
        <f t="shared" si="86"/>
        <v>0</v>
      </c>
      <c r="CH18" s="277">
        <f t="shared" si="51"/>
        <v>0</v>
      </c>
      <c r="CI18" s="277">
        <f t="shared" si="52"/>
        <v>0</v>
      </c>
      <c r="CJ18" s="277">
        <f t="shared" si="87"/>
        <v>0</v>
      </c>
      <c r="CK18" s="277">
        <f t="shared" si="88"/>
        <v>0</v>
      </c>
      <c r="CL18" s="277">
        <f t="shared" si="53"/>
        <v>0</v>
      </c>
      <c r="CM18" s="277">
        <f t="shared" si="54"/>
        <v>0</v>
      </c>
      <c r="CN18" s="277">
        <f t="shared" si="55"/>
        <v>0</v>
      </c>
      <c r="CO18" s="277">
        <f t="shared" si="56"/>
        <v>0</v>
      </c>
      <c r="CP18" s="277">
        <f t="shared" si="89"/>
        <v>0</v>
      </c>
      <c r="CQ18" s="277">
        <f t="shared" si="90"/>
        <v>0</v>
      </c>
      <c r="CR18" s="277">
        <f t="shared" si="91"/>
        <v>0</v>
      </c>
      <c r="CS18" s="277">
        <f t="shared" si="92"/>
        <v>0</v>
      </c>
      <c r="CT18" s="277">
        <f t="shared" si="57"/>
        <v>0</v>
      </c>
      <c r="CU18" s="277">
        <f t="shared" si="58"/>
        <v>0</v>
      </c>
      <c r="CV18" s="277">
        <f t="shared" si="59"/>
        <v>0</v>
      </c>
      <c r="CW18" s="277">
        <f t="shared" si="60"/>
        <v>0</v>
      </c>
      <c r="CX18" s="277">
        <f t="shared" si="93"/>
        <v>0</v>
      </c>
      <c r="CY18" s="277">
        <f t="shared" si="94"/>
        <v>0</v>
      </c>
      <c r="CZ18" s="277">
        <f t="shared" si="95"/>
        <v>0</v>
      </c>
      <c r="DA18" s="277">
        <f t="shared" si="96"/>
        <v>0</v>
      </c>
    </row>
    <row r="19" spans="1:105" s="274" customFormat="1" ht="15" customHeight="1">
      <c r="A19" s="63" t="str">
        <f t="array" ref="A19">IF(C19&lt;&gt;0,SUM(($C$11:C19&lt;&gt;0)*1),"")</f>
        <v/>
      </c>
      <c r="B19" s="275"/>
      <c r="C19" s="275"/>
      <c r="D19" s="275"/>
      <c r="E19" s="365"/>
      <c r="F19" s="326"/>
      <c r="G19" s="328"/>
      <c r="H19" s="328"/>
      <c r="I19" s="63" t="str">
        <f t="shared" si="0"/>
        <v/>
      </c>
      <c r="J19" s="277">
        <f t="shared" si="61"/>
        <v>0</v>
      </c>
      <c r="K19" s="277">
        <f t="shared" si="62"/>
        <v>0</v>
      </c>
      <c r="L19" s="277">
        <f t="shared" si="1"/>
        <v>0</v>
      </c>
      <c r="M19" s="277">
        <f t="shared" si="2"/>
        <v>0</v>
      </c>
      <c r="N19" s="277">
        <f t="shared" si="3"/>
        <v>0</v>
      </c>
      <c r="O19" s="277">
        <f t="shared" si="4"/>
        <v>0</v>
      </c>
      <c r="P19" s="277">
        <f t="shared" si="5"/>
        <v>0</v>
      </c>
      <c r="Q19" s="277">
        <f t="shared" si="6"/>
        <v>0</v>
      </c>
      <c r="R19" s="277">
        <f t="shared" si="7"/>
        <v>0</v>
      </c>
      <c r="S19" s="277">
        <f t="shared" si="8"/>
        <v>0</v>
      </c>
      <c r="T19" s="277">
        <f t="shared" si="9"/>
        <v>0</v>
      </c>
      <c r="U19" s="277">
        <f t="shared" si="10"/>
        <v>0</v>
      </c>
      <c r="V19" s="277">
        <f t="shared" si="11"/>
        <v>0</v>
      </c>
      <c r="W19" s="277">
        <f t="shared" si="12"/>
        <v>0</v>
      </c>
      <c r="X19" s="277">
        <f t="shared" si="13"/>
        <v>0</v>
      </c>
      <c r="Y19" s="277">
        <f t="shared" si="14"/>
        <v>0</v>
      </c>
      <c r="Z19" s="277">
        <f t="shared" si="15"/>
        <v>0</v>
      </c>
      <c r="AA19" s="277">
        <f t="shared" si="16"/>
        <v>0</v>
      </c>
      <c r="AB19" s="277">
        <f t="shared" si="63"/>
        <v>0</v>
      </c>
      <c r="AC19" s="277">
        <f t="shared" si="64"/>
        <v>0</v>
      </c>
      <c r="AD19" s="277">
        <f t="shared" si="17"/>
        <v>0</v>
      </c>
      <c r="AE19" s="277">
        <f t="shared" si="18"/>
        <v>0</v>
      </c>
      <c r="AF19" s="277">
        <f t="shared" si="19"/>
        <v>0</v>
      </c>
      <c r="AG19" s="277">
        <f t="shared" si="20"/>
        <v>0</v>
      </c>
      <c r="AH19" s="277">
        <f t="shared" si="65"/>
        <v>0</v>
      </c>
      <c r="AI19" s="277">
        <f t="shared" si="66"/>
        <v>0</v>
      </c>
      <c r="AJ19" s="277">
        <f t="shared" si="67"/>
        <v>0</v>
      </c>
      <c r="AK19" s="277">
        <f t="shared" si="68"/>
        <v>0</v>
      </c>
      <c r="AL19" s="277">
        <f t="shared" si="69"/>
        <v>0</v>
      </c>
      <c r="AM19" s="277">
        <f t="shared" si="70"/>
        <v>0</v>
      </c>
      <c r="AN19" s="277">
        <f t="shared" si="71"/>
        <v>0</v>
      </c>
      <c r="AO19" s="277">
        <f t="shared" si="72"/>
        <v>0</v>
      </c>
      <c r="AP19" s="277">
        <f t="shared" si="21"/>
        <v>0</v>
      </c>
      <c r="AQ19" s="277">
        <f t="shared" si="22"/>
        <v>0</v>
      </c>
      <c r="AR19" s="277">
        <f t="shared" si="23"/>
        <v>0</v>
      </c>
      <c r="AS19" s="277">
        <f t="shared" si="24"/>
        <v>0</v>
      </c>
      <c r="AT19" s="277">
        <f t="shared" si="73"/>
        <v>0</v>
      </c>
      <c r="AU19" s="277">
        <f t="shared" si="74"/>
        <v>0</v>
      </c>
      <c r="AV19" s="277">
        <f t="shared" si="25"/>
        <v>0</v>
      </c>
      <c r="AW19" s="277">
        <f t="shared" si="26"/>
        <v>0</v>
      </c>
      <c r="AX19" s="277">
        <f t="shared" si="27"/>
        <v>0</v>
      </c>
      <c r="AY19" s="277">
        <f t="shared" si="28"/>
        <v>0</v>
      </c>
      <c r="AZ19" s="277">
        <f t="shared" si="29"/>
        <v>0</v>
      </c>
      <c r="BA19" s="277">
        <f t="shared" si="30"/>
        <v>0</v>
      </c>
      <c r="BB19" s="277">
        <f t="shared" si="31"/>
        <v>0</v>
      </c>
      <c r="BC19" s="277">
        <f t="shared" si="32"/>
        <v>0</v>
      </c>
      <c r="BD19" s="277">
        <f t="shared" si="33"/>
        <v>0</v>
      </c>
      <c r="BE19" s="277">
        <f t="shared" si="34"/>
        <v>0</v>
      </c>
      <c r="BF19" s="277">
        <f t="shared" si="35"/>
        <v>0</v>
      </c>
      <c r="BG19" s="277">
        <f t="shared" si="36"/>
        <v>0</v>
      </c>
      <c r="BH19" s="277">
        <f t="shared" si="75"/>
        <v>0</v>
      </c>
      <c r="BI19" s="277">
        <f t="shared" si="76"/>
        <v>0</v>
      </c>
      <c r="BJ19" s="277">
        <f t="shared" si="37"/>
        <v>0</v>
      </c>
      <c r="BK19" s="277">
        <f t="shared" si="38"/>
        <v>0</v>
      </c>
      <c r="BL19" s="277">
        <f t="shared" si="39"/>
        <v>0</v>
      </c>
      <c r="BM19" s="277">
        <f t="shared" si="40"/>
        <v>0</v>
      </c>
      <c r="BN19" s="277">
        <f t="shared" si="41"/>
        <v>0</v>
      </c>
      <c r="BO19" s="277">
        <f t="shared" si="42"/>
        <v>0</v>
      </c>
      <c r="BP19" s="277">
        <f t="shared" si="77"/>
        <v>0</v>
      </c>
      <c r="BQ19" s="277">
        <f t="shared" si="78"/>
        <v>0</v>
      </c>
      <c r="BR19" s="277">
        <f t="shared" si="43"/>
        <v>0</v>
      </c>
      <c r="BS19" s="277">
        <f t="shared" si="44"/>
        <v>0</v>
      </c>
      <c r="BT19" s="277">
        <f t="shared" si="79"/>
        <v>0</v>
      </c>
      <c r="BU19" s="277">
        <f t="shared" si="80"/>
        <v>0</v>
      </c>
      <c r="BV19" s="277">
        <f t="shared" si="81"/>
        <v>0</v>
      </c>
      <c r="BW19" s="277">
        <f t="shared" si="82"/>
        <v>0</v>
      </c>
      <c r="BX19" s="277">
        <f t="shared" si="45"/>
        <v>0</v>
      </c>
      <c r="BY19" s="277">
        <f t="shared" si="46"/>
        <v>0</v>
      </c>
      <c r="BZ19" s="277">
        <f t="shared" si="47"/>
        <v>0</v>
      </c>
      <c r="CA19" s="277">
        <f t="shared" si="48"/>
        <v>0</v>
      </c>
      <c r="CB19" s="277">
        <f t="shared" si="49"/>
        <v>0</v>
      </c>
      <c r="CC19" s="277">
        <f t="shared" si="50"/>
        <v>0</v>
      </c>
      <c r="CD19" s="277">
        <f t="shared" si="83"/>
        <v>0</v>
      </c>
      <c r="CE19" s="277">
        <f t="shared" si="84"/>
        <v>0</v>
      </c>
      <c r="CF19" s="277">
        <f t="shared" si="85"/>
        <v>0</v>
      </c>
      <c r="CG19" s="277">
        <f t="shared" si="86"/>
        <v>0</v>
      </c>
      <c r="CH19" s="277">
        <f t="shared" si="51"/>
        <v>0</v>
      </c>
      <c r="CI19" s="277">
        <f t="shared" si="52"/>
        <v>0</v>
      </c>
      <c r="CJ19" s="277">
        <f t="shared" si="87"/>
        <v>0</v>
      </c>
      <c r="CK19" s="277">
        <f t="shared" si="88"/>
        <v>0</v>
      </c>
      <c r="CL19" s="277">
        <f t="shared" si="53"/>
        <v>0</v>
      </c>
      <c r="CM19" s="277">
        <f t="shared" si="54"/>
        <v>0</v>
      </c>
      <c r="CN19" s="277">
        <f t="shared" si="55"/>
        <v>0</v>
      </c>
      <c r="CO19" s="277">
        <f t="shared" si="56"/>
        <v>0</v>
      </c>
      <c r="CP19" s="277">
        <f t="shared" si="89"/>
        <v>0</v>
      </c>
      <c r="CQ19" s="277">
        <f t="shared" si="90"/>
        <v>0</v>
      </c>
      <c r="CR19" s="277">
        <f t="shared" si="91"/>
        <v>0</v>
      </c>
      <c r="CS19" s="277">
        <f t="shared" si="92"/>
        <v>0</v>
      </c>
      <c r="CT19" s="277">
        <f t="shared" si="57"/>
        <v>0</v>
      </c>
      <c r="CU19" s="277">
        <f t="shared" si="58"/>
        <v>0</v>
      </c>
      <c r="CV19" s="277">
        <f t="shared" si="59"/>
        <v>0</v>
      </c>
      <c r="CW19" s="277">
        <f t="shared" si="60"/>
        <v>0</v>
      </c>
      <c r="CX19" s="277">
        <f t="shared" si="93"/>
        <v>0</v>
      </c>
      <c r="CY19" s="277">
        <f t="shared" si="94"/>
        <v>0</v>
      </c>
      <c r="CZ19" s="277">
        <f t="shared" si="95"/>
        <v>0</v>
      </c>
      <c r="DA19" s="277">
        <f t="shared" si="96"/>
        <v>0</v>
      </c>
    </row>
    <row r="20" spans="1:105" s="274" customFormat="1" ht="15" customHeight="1">
      <c r="A20" s="63" t="str">
        <f t="array" ref="A20">IF(C20&lt;&gt;0,SUM(($C$11:C20&lt;&gt;0)*1),"")</f>
        <v/>
      </c>
      <c r="B20" s="275"/>
      <c r="C20" s="275"/>
      <c r="D20" s="275"/>
      <c r="E20" s="365"/>
      <c r="F20" s="326"/>
      <c r="G20" s="328"/>
      <c r="H20" s="328"/>
      <c r="I20" s="63" t="str">
        <f t="shared" si="0"/>
        <v/>
      </c>
      <c r="J20" s="277">
        <f t="shared" si="61"/>
        <v>0</v>
      </c>
      <c r="K20" s="277">
        <f t="shared" si="62"/>
        <v>0</v>
      </c>
      <c r="L20" s="277">
        <f t="shared" si="1"/>
        <v>0</v>
      </c>
      <c r="M20" s="277">
        <f t="shared" si="2"/>
        <v>0</v>
      </c>
      <c r="N20" s="277">
        <f t="shared" si="3"/>
        <v>0</v>
      </c>
      <c r="O20" s="277">
        <f t="shared" si="4"/>
        <v>0</v>
      </c>
      <c r="P20" s="277">
        <f t="shared" si="5"/>
        <v>0</v>
      </c>
      <c r="Q20" s="277">
        <f t="shared" si="6"/>
        <v>0</v>
      </c>
      <c r="R20" s="277">
        <f t="shared" si="7"/>
        <v>0</v>
      </c>
      <c r="S20" s="277">
        <f t="shared" si="8"/>
        <v>0</v>
      </c>
      <c r="T20" s="277">
        <f t="shared" si="9"/>
        <v>0</v>
      </c>
      <c r="U20" s="277">
        <f t="shared" si="10"/>
        <v>0</v>
      </c>
      <c r="V20" s="277">
        <f t="shared" si="11"/>
        <v>0</v>
      </c>
      <c r="W20" s="277">
        <f t="shared" si="12"/>
        <v>0</v>
      </c>
      <c r="X20" s="277">
        <f t="shared" si="13"/>
        <v>0</v>
      </c>
      <c r="Y20" s="277">
        <f t="shared" si="14"/>
        <v>0</v>
      </c>
      <c r="Z20" s="277">
        <f t="shared" si="15"/>
        <v>0</v>
      </c>
      <c r="AA20" s="277">
        <f t="shared" si="16"/>
        <v>0</v>
      </c>
      <c r="AB20" s="277">
        <f t="shared" si="63"/>
        <v>0</v>
      </c>
      <c r="AC20" s="277">
        <f t="shared" si="64"/>
        <v>0</v>
      </c>
      <c r="AD20" s="277">
        <f t="shared" si="17"/>
        <v>0</v>
      </c>
      <c r="AE20" s="277">
        <f t="shared" si="18"/>
        <v>0</v>
      </c>
      <c r="AF20" s="277">
        <f t="shared" si="19"/>
        <v>0</v>
      </c>
      <c r="AG20" s="277">
        <f t="shared" si="20"/>
        <v>0</v>
      </c>
      <c r="AH20" s="277">
        <f t="shared" si="65"/>
        <v>0</v>
      </c>
      <c r="AI20" s="277">
        <f t="shared" si="66"/>
        <v>0</v>
      </c>
      <c r="AJ20" s="277">
        <f t="shared" si="67"/>
        <v>0</v>
      </c>
      <c r="AK20" s="277">
        <f t="shared" si="68"/>
        <v>0</v>
      </c>
      <c r="AL20" s="277">
        <f t="shared" si="69"/>
        <v>0</v>
      </c>
      <c r="AM20" s="277">
        <f t="shared" si="70"/>
        <v>0</v>
      </c>
      <c r="AN20" s="277">
        <f t="shared" si="71"/>
        <v>0</v>
      </c>
      <c r="AO20" s="277">
        <f t="shared" si="72"/>
        <v>0</v>
      </c>
      <c r="AP20" s="277">
        <f t="shared" si="21"/>
        <v>0</v>
      </c>
      <c r="AQ20" s="277">
        <f t="shared" si="22"/>
        <v>0</v>
      </c>
      <c r="AR20" s="277">
        <f t="shared" si="23"/>
        <v>0</v>
      </c>
      <c r="AS20" s="277">
        <f t="shared" si="24"/>
        <v>0</v>
      </c>
      <c r="AT20" s="277">
        <f t="shared" si="73"/>
        <v>0</v>
      </c>
      <c r="AU20" s="277">
        <f t="shared" si="74"/>
        <v>0</v>
      </c>
      <c r="AV20" s="277">
        <f t="shared" si="25"/>
        <v>0</v>
      </c>
      <c r="AW20" s="277">
        <f t="shared" si="26"/>
        <v>0</v>
      </c>
      <c r="AX20" s="277">
        <f t="shared" si="27"/>
        <v>0</v>
      </c>
      <c r="AY20" s="277">
        <f t="shared" si="28"/>
        <v>0</v>
      </c>
      <c r="AZ20" s="277">
        <f t="shared" si="29"/>
        <v>0</v>
      </c>
      <c r="BA20" s="277">
        <f t="shared" si="30"/>
        <v>0</v>
      </c>
      <c r="BB20" s="277">
        <f t="shared" si="31"/>
        <v>0</v>
      </c>
      <c r="BC20" s="277">
        <f t="shared" si="32"/>
        <v>0</v>
      </c>
      <c r="BD20" s="277">
        <f t="shared" si="33"/>
        <v>0</v>
      </c>
      <c r="BE20" s="277">
        <f t="shared" si="34"/>
        <v>0</v>
      </c>
      <c r="BF20" s="277">
        <f t="shared" si="35"/>
        <v>0</v>
      </c>
      <c r="BG20" s="277">
        <f t="shared" si="36"/>
        <v>0</v>
      </c>
      <c r="BH20" s="277">
        <f t="shared" si="75"/>
        <v>0</v>
      </c>
      <c r="BI20" s="277">
        <f t="shared" si="76"/>
        <v>0</v>
      </c>
      <c r="BJ20" s="277">
        <f t="shared" si="37"/>
        <v>0</v>
      </c>
      <c r="BK20" s="277">
        <f t="shared" si="38"/>
        <v>0</v>
      </c>
      <c r="BL20" s="277">
        <f t="shared" si="39"/>
        <v>0</v>
      </c>
      <c r="BM20" s="277">
        <f t="shared" si="40"/>
        <v>0</v>
      </c>
      <c r="BN20" s="277">
        <f t="shared" si="41"/>
        <v>0</v>
      </c>
      <c r="BO20" s="277">
        <f t="shared" si="42"/>
        <v>0</v>
      </c>
      <c r="BP20" s="277">
        <f t="shared" si="77"/>
        <v>0</v>
      </c>
      <c r="BQ20" s="277">
        <f t="shared" si="78"/>
        <v>0</v>
      </c>
      <c r="BR20" s="277">
        <f t="shared" si="43"/>
        <v>0</v>
      </c>
      <c r="BS20" s="277">
        <f t="shared" si="44"/>
        <v>0</v>
      </c>
      <c r="BT20" s="277">
        <f t="shared" si="79"/>
        <v>0</v>
      </c>
      <c r="BU20" s="277">
        <f t="shared" si="80"/>
        <v>0</v>
      </c>
      <c r="BV20" s="277">
        <f t="shared" si="81"/>
        <v>0</v>
      </c>
      <c r="BW20" s="277">
        <f t="shared" si="82"/>
        <v>0</v>
      </c>
      <c r="BX20" s="277">
        <f t="shared" si="45"/>
        <v>0</v>
      </c>
      <c r="BY20" s="277">
        <f t="shared" si="46"/>
        <v>0</v>
      </c>
      <c r="BZ20" s="277">
        <f t="shared" si="47"/>
        <v>0</v>
      </c>
      <c r="CA20" s="277">
        <f t="shared" si="48"/>
        <v>0</v>
      </c>
      <c r="CB20" s="277">
        <f t="shared" si="49"/>
        <v>0</v>
      </c>
      <c r="CC20" s="277">
        <f t="shared" si="50"/>
        <v>0</v>
      </c>
      <c r="CD20" s="277">
        <f t="shared" si="83"/>
        <v>0</v>
      </c>
      <c r="CE20" s="277">
        <f t="shared" si="84"/>
        <v>0</v>
      </c>
      <c r="CF20" s="277">
        <f t="shared" si="85"/>
        <v>0</v>
      </c>
      <c r="CG20" s="277">
        <f t="shared" si="86"/>
        <v>0</v>
      </c>
      <c r="CH20" s="277">
        <f t="shared" si="51"/>
        <v>0</v>
      </c>
      <c r="CI20" s="277">
        <f t="shared" si="52"/>
        <v>0</v>
      </c>
      <c r="CJ20" s="277">
        <f t="shared" si="87"/>
        <v>0</v>
      </c>
      <c r="CK20" s="277">
        <f t="shared" si="88"/>
        <v>0</v>
      </c>
      <c r="CL20" s="277">
        <f t="shared" si="53"/>
        <v>0</v>
      </c>
      <c r="CM20" s="277">
        <f t="shared" si="54"/>
        <v>0</v>
      </c>
      <c r="CN20" s="277">
        <f t="shared" si="55"/>
        <v>0</v>
      </c>
      <c r="CO20" s="277">
        <f t="shared" si="56"/>
        <v>0</v>
      </c>
      <c r="CP20" s="277">
        <f t="shared" si="89"/>
        <v>0</v>
      </c>
      <c r="CQ20" s="277">
        <f t="shared" si="90"/>
        <v>0</v>
      </c>
      <c r="CR20" s="277">
        <f t="shared" si="91"/>
        <v>0</v>
      </c>
      <c r="CS20" s="277">
        <f t="shared" si="92"/>
        <v>0</v>
      </c>
      <c r="CT20" s="277">
        <f t="shared" si="57"/>
        <v>0</v>
      </c>
      <c r="CU20" s="277">
        <f t="shared" si="58"/>
        <v>0</v>
      </c>
      <c r="CV20" s="277">
        <f t="shared" si="59"/>
        <v>0</v>
      </c>
      <c r="CW20" s="277">
        <f t="shared" si="60"/>
        <v>0</v>
      </c>
      <c r="CX20" s="277">
        <f t="shared" si="93"/>
        <v>0</v>
      </c>
      <c r="CY20" s="277">
        <f t="shared" si="94"/>
        <v>0</v>
      </c>
      <c r="CZ20" s="277">
        <f t="shared" si="95"/>
        <v>0</v>
      </c>
      <c r="DA20" s="277">
        <f t="shared" si="96"/>
        <v>0</v>
      </c>
    </row>
    <row r="21" spans="1:105" s="274" customFormat="1" ht="15" customHeight="1">
      <c r="A21" s="63" t="str">
        <f t="array" ref="A21">IF(C21&lt;&gt;0,SUM(($C$11:C21&lt;&gt;0)*1),"")</f>
        <v/>
      </c>
      <c r="B21" s="275"/>
      <c r="C21" s="275"/>
      <c r="D21" s="275"/>
      <c r="E21" s="365"/>
      <c r="F21" s="326"/>
      <c r="G21" s="328"/>
      <c r="H21" s="328"/>
      <c r="I21" s="63" t="str">
        <f t="shared" si="0"/>
        <v/>
      </c>
      <c r="J21" s="277">
        <f t="shared" si="61"/>
        <v>0</v>
      </c>
      <c r="K21" s="277">
        <f t="shared" si="62"/>
        <v>0</v>
      </c>
      <c r="L21" s="277">
        <f t="shared" si="1"/>
        <v>0</v>
      </c>
      <c r="M21" s="277">
        <f t="shared" si="2"/>
        <v>0</v>
      </c>
      <c r="N21" s="277">
        <f t="shared" si="3"/>
        <v>0</v>
      </c>
      <c r="O21" s="277">
        <f t="shared" si="4"/>
        <v>0</v>
      </c>
      <c r="P21" s="277">
        <f t="shared" si="5"/>
        <v>0</v>
      </c>
      <c r="Q21" s="277">
        <f t="shared" si="6"/>
        <v>0</v>
      </c>
      <c r="R21" s="277">
        <f t="shared" si="7"/>
        <v>0</v>
      </c>
      <c r="S21" s="277">
        <f t="shared" si="8"/>
        <v>0</v>
      </c>
      <c r="T21" s="277">
        <f t="shared" si="9"/>
        <v>0</v>
      </c>
      <c r="U21" s="277">
        <f t="shared" si="10"/>
        <v>0</v>
      </c>
      <c r="V21" s="277">
        <f t="shared" si="11"/>
        <v>0</v>
      </c>
      <c r="W21" s="277">
        <f t="shared" si="12"/>
        <v>0</v>
      </c>
      <c r="X21" s="277">
        <f t="shared" si="13"/>
        <v>0</v>
      </c>
      <c r="Y21" s="277">
        <f t="shared" si="14"/>
        <v>0</v>
      </c>
      <c r="Z21" s="277">
        <f t="shared" si="15"/>
        <v>0</v>
      </c>
      <c r="AA21" s="277">
        <f t="shared" si="16"/>
        <v>0</v>
      </c>
      <c r="AB21" s="277">
        <f t="shared" si="63"/>
        <v>0</v>
      </c>
      <c r="AC21" s="277">
        <f t="shared" si="64"/>
        <v>0</v>
      </c>
      <c r="AD21" s="277">
        <f t="shared" si="17"/>
        <v>0</v>
      </c>
      <c r="AE21" s="277">
        <f t="shared" si="18"/>
        <v>0</v>
      </c>
      <c r="AF21" s="277">
        <f t="shared" si="19"/>
        <v>0</v>
      </c>
      <c r="AG21" s="277">
        <f t="shared" si="20"/>
        <v>0</v>
      </c>
      <c r="AH21" s="277">
        <f t="shared" si="65"/>
        <v>0</v>
      </c>
      <c r="AI21" s="277">
        <f t="shared" si="66"/>
        <v>0</v>
      </c>
      <c r="AJ21" s="277">
        <f t="shared" si="67"/>
        <v>0</v>
      </c>
      <c r="AK21" s="277">
        <f t="shared" si="68"/>
        <v>0</v>
      </c>
      <c r="AL21" s="277">
        <f t="shared" si="69"/>
        <v>0</v>
      </c>
      <c r="AM21" s="277">
        <f t="shared" si="70"/>
        <v>0</v>
      </c>
      <c r="AN21" s="277">
        <f t="shared" si="71"/>
        <v>0</v>
      </c>
      <c r="AO21" s="277">
        <f t="shared" si="72"/>
        <v>0</v>
      </c>
      <c r="AP21" s="277">
        <f t="shared" si="21"/>
        <v>0</v>
      </c>
      <c r="AQ21" s="277">
        <f t="shared" si="22"/>
        <v>0</v>
      </c>
      <c r="AR21" s="277">
        <f t="shared" si="23"/>
        <v>0</v>
      </c>
      <c r="AS21" s="277">
        <f t="shared" si="24"/>
        <v>0</v>
      </c>
      <c r="AT21" s="277">
        <f t="shared" si="73"/>
        <v>0</v>
      </c>
      <c r="AU21" s="277">
        <f t="shared" si="74"/>
        <v>0</v>
      </c>
      <c r="AV21" s="277">
        <f t="shared" si="25"/>
        <v>0</v>
      </c>
      <c r="AW21" s="277">
        <f t="shared" si="26"/>
        <v>0</v>
      </c>
      <c r="AX21" s="277">
        <f t="shared" si="27"/>
        <v>0</v>
      </c>
      <c r="AY21" s="277">
        <f t="shared" si="28"/>
        <v>0</v>
      </c>
      <c r="AZ21" s="277">
        <f t="shared" si="29"/>
        <v>0</v>
      </c>
      <c r="BA21" s="277">
        <f t="shared" si="30"/>
        <v>0</v>
      </c>
      <c r="BB21" s="277">
        <f t="shared" si="31"/>
        <v>0</v>
      </c>
      <c r="BC21" s="277">
        <f t="shared" si="32"/>
        <v>0</v>
      </c>
      <c r="BD21" s="277">
        <f t="shared" si="33"/>
        <v>0</v>
      </c>
      <c r="BE21" s="277">
        <f t="shared" si="34"/>
        <v>0</v>
      </c>
      <c r="BF21" s="277">
        <f t="shared" si="35"/>
        <v>0</v>
      </c>
      <c r="BG21" s="277">
        <f t="shared" si="36"/>
        <v>0</v>
      </c>
      <c r="BH21" s="277">
        <f t="shared" si="75"/>
        <v>0</v>
      </c>
      <c r="BI21" s="277">
        <f t="shared" si="76"/>
        <v>0</v>
      </c>
      <c r="BJ21" s="277">
        <f t="shared" si="37"/>
        <v>0</v>
      </c>
      <c r="BK21" s="277">
        <f t="shared" si="38"/>
        <v>0</v>
      </c>
      <c r="BL21" s="277">
        <f t="shared" si="39"/>
        <v>0</v>
      </c>
      <c r="BM21" s="277">
        <f t="shared" si="40"/>
        <v>0</v>
      </c>
      <c r="BN21" s="277">
        <f t="shared" si="41"/>
        <v>0</v>
      </c>
      <c r="BO21" s="277">
        <f t="shared" si="42"/>
        <v>0</v>
      </c>
      <c r="BP21" s="277">
        <f t="shared" si="77"/>
        <v>0</v>
      </c>
      <c r="BQ21" s="277">
        <f t="shared" si="78"/>
        <v>0</v>
      </c>
      <c r="BR21" s="277">
        <f t="shared" si="43"/>
        <v>0</v>
      </c>
      <c r="BS21" s="277">
        <f t="shared" si="44"/>
        <v>0</v>
      </c>
      <c r="BT21" s="277">
        <f t="shared" si="79"/>
        <v>0</v>
      </c>
      <c r="BU21" s="277">
        <f t="shared" si="80"/>
        <v>0</v>
      </c>
      <c r="BV21" s="277">
        <f t="shared" si="81"/>
        <v>0</v>
      </c>
      <c r="BW21" s="277">
        <f t="shared" si="82"/>
        <v>0</v>
      </c>
      <c r="BX21" s="277">
        <f t="shared" si="45"/>
        <v>0</v>
      </c>
      <c r="BY21" s="277">
        <f t="shared" si="46"/>
        <v>0</v>
      </c>
      <c r="BZ21" s="277">
        <f t="shared" si="47"/>
        <v>0</v>
      </c>
      <c r="CA21" s="277">
        <f t="shared" si="48"/>
        <v>0</v>
      </c>
      <c r="CB21" s="277">
        <f t="shared" si="49"/>
        <v>0</v>
      </c>
      <c r="CC21" s="277">
        <f t="shared" si="50"/>
        <v>0</v>
      </c>
      <c r="CD21" s="277">
        <f t="shared" si="83"/>
        <v>0</v>
      </c>
      <c r="CE21" s="277">
        <f t="shared" si="84"/>
        <v>0</v>
      </c>
      <c r="CF21" s="277">
        <f t="shared" si="85"/>
        <v>0</v>
      </c>
      <c r="CG21" s="277">
        <f t="shared" si="86"/>
        <v>0</v>
      </c>
      <c r="CH21" s="277">
        <f t="shared" si="51"/>
        <v>0</v>
      </c>
      <c r="CI21" s="277">
        <f t="shared" si="52"/>
        <v>0</v>
      </c>
      <c r="CJ21" s="277">
        <f t="shared" si="87"/>
        <v>0</v>
      </c>
      <c r="CK21" s="277">
        <f t="shared" si="88"/>
        <v>0</v>
      </c>
      <c r="CL21" s="277">
        <f t="shared" si="53"/>
        <v>0</v>
      </c>
      <c r="CM21" s="277">
        <f t="shared" si="54"/>
        <v>0</v>
      </c>
      <c r="CN21" s="277">
        <f t="shared" si="55"/>
        <v>0</v>
      </c>
      <c r="CO21" s="277">
        <f t="shared" si="56"/>
        <v>0</v>
      </c>
      <c r="CP21" s="277">
        <f t="shared" si="89"/>
        <v>0</v>
      </c>
      <c r="CQ21" s="277">
        <f t="shared" si="90"/>
        <v>0</v>
      </c>
      <c r="CR21" s="277">
        <f t="shared" si="91"/>
        <v>0</v>
      </c>
      <c r="CS21" s="277">
        <f t="shared" si="92"/>
        <v>0</v>
      </c>
      <c r="CT21" s="277">
        <f t="shared" si="57"/>
        <v>0</v>
      </c>
      <c r="CU21" s="277">
        <f t="shared" si="58"/>
        <v>0</v>
      </c>
      <c r="CV21" s="277">
        <f t="shared" si="59"/>
        <v>0</v>
      </c>
      <c r="CW21" s="277">
        <f t="shared" si="60"/>
        <v>0</v>
      </c>
      <c r="CX21" s="277">
        <f t="shared" si="93"/>
        <v>0</v>
      </c>
      <c r="CY21" s="277">
        <f t="shared" si="94"/>
        <v>0</v>
      </c>
      <c r="CZ21" s="277">
        <f t="shared" si="95"/>
        <v>0</v>
      </c>
      <c r="DA21" s="277">
        <f t="shared" si="96"/>
        <v>0</v>
      </c>
    </row>
    <row r="22" spans="1:105" s="274" customFormat="1" ht="15" customHeight="1">
      <c r="A22" s="63" t="str">
        <f t="array" ref="A22">IF(C22&lt;&gt;0,SUM(($C$11:C22&lt;&gt;0)*1),"")</f>
        <v/>
      </c>
      <c r="B22" s="275"/>
      <c r="C22" s="275"/>
      <c r="D22" s="275"/>
      <c r="E22" s="365"/>
      <c r="F22" s="326"/>
      <c r="G22" s="328"/>
      <c r="H22" s="328"/>
      <c r="I22" s="63" t="str">
        <f t="shared" ref="I22:I50" si="97">A22</f>
        <v/>
      </c>
      <c r="J22" s="277">
        <f t="shared" si="61"/>
        <v>0</v>
      </c>
      <c r="K22" s="277">
        <f t="shared" si="62"/>
        <v>0</v>
      </c>
      <c r="L22" s="277">
        <f t="shared" si="1"/>
        <v>0</v>
      </c>
      <c r="M22" s="277">
        <f t="shared" si="2"/>
        <v>0</v>
      </c>
      <c r="N22" s="277">
        <f t="shared" si="3"/>
        <v>0</v>
      </c>
      <c r="O22" s="277">
        <f t="shared" si="4"/>
        <v>0</v>
      </c>
      <c r="P22" s="277">
        <f t="shared" si="5"/>
        <v>0</v>
      </c>
      <c r="Q22" s="277">
        <f t="shared" si="6"/>
        <v>0</v>
      </c>
      <c r="R22" s="277">
        <f t="shared" si="7"/>
        <v>0</v>
      </c>
      <c r="S22" s="277">
        <f t="shared" si="8"/>
        <v>0</v>
      </c>
      <c r="T22" s="277">
        <f t="shared" si="9"/>
        <v>0</v>
      </c>
      <c r="U22" s="277">
        <f t="shared" si="10"/>
        <v>0</v>
      </c>
      <c r="V22" s="277">
        <f t="shared" si="11"/>
        <v>0</v>
      </c>
      <c r="W22" s="277">
        <f t="shared" si="12"/>
        <v>0</v>
      </c>
      <c r="X22" s="277">
        <f t="shared" si="13"/>
        <v>0</v>
      </c>
      <c r="Y22" s="277">
        <f t="shared" si="14"/>
        <v>0</v>
      </c>
      <c r="Z22" s="277">
        <f t="shared" si="15"/>
        <v>0</v>
      </c>
      <c r="AA22" s="277">
        <f t="shared" si="16"/>
        <v>0</v>
      </c>
      <c r="AB22" s="277">
        <f t="shared" si="63"/>
        <v>0</v>
      </c>
      <c r="AC22" s="277">
        <f t="shared" si="64"/>
        <v>0</v>
      </c>
      <c r="AD22" s="277">
        <f t="shared" si="17"/>
        <v>0</v>
      </c>
      <c r="AE22" s="277">
        <f t="shared" si="18"/>
        <v>0</v>
      </c>
      <c r="AF22" s="277">
        <f t="shared" si="19"/>
        <v>0</v>
      </c>
      <c r="AG22" s="277">
        <f t="shared" si="20"/>
        <v>0</v>
      </c>
      <c r="AH22" s="277">
        <f t="shared" si="65"/>
        <v>0</v>
      </c>
      <c r="AI22" s="277">
        <f t="shared" si="66"/>
        <v>0</v>
      </c>
      <c r="AJ22" s="277">
        <f t="shared" si="67"/>
        <v>0</v>
      </c>
      <c r="AK22" s="277">
        <f t="shared" si="68"/>
        <v>0</v>
      </c>
      <c r="AL22" s="277">
        <f t="shared" si="69"/>
        <v>0</v>
      </c>
      <c r="AM22" s="277">
        <f t="shared" si="70"/>
        <v>0</v>
      </c>
      <c r="AN22" s="277">
        <f t="shared" si="71"/>
        <v>0</v>
      </c>
      <c r="AO22" s="277">
        <f t="shared" si="72"/>
        <v>0</v>
      </c>
      <c r="AP22" s="277">
        <f t="shared" si="21"/>
        <v>0</v>
      </c>
      <c r="AQ22" s="277">
        <f t="shared" si="22"/>
        <v>0</v>
      </c>
      <c r="AR22" s="277">
        <f t="shared" si="23"/>
        <v>0</v>
      </c>
      <c r="AS22" s="277">
        <f t="shared" si="24"/>
        <v>0</v>
      </c>
      <c r="AT22" s="277">
        <f t="shared" si="73"/>
        <v>0</v>
      </c>
      <c r="AU22" s="277">
        <f t="shared" si="74"/>
        <v>0</v>
      </c>
      <c r="AV22" s="277">
        <f t="shared" si="25"/>
        <v>0</v>
      </c>
      <c r="AW22" s="277">
        <f t="shared" si="26"/>
        <v>0</v>
      </c>
      <c r="AX22" s="277">
        <f t="shared" si="27"/>
        <v>0</v>
      </c>
      <c r="AY22" s="277">
        <f t="shared" si="28"/>
        <v>0</v>
      </c>
      <c r="AZ22" s="277">
        <f t="shared" si="29"/>
        <v>0</v>
      </c>
      <c r="BA22" s="277">
        <f t="shared" si="30"/>
        <v>0</v>
      </c>
      <c r="BB22" s="277">
        <f t="shared" si="31"/>
        <v>0</v>
      </c>
      <c r="BC22" s="277">
        <f t="shared" si="32"/>
        <v>0</v>
      </c>
      <c r="BD22" s="277">
        <f t="shared" si="33"/>
        <v>0</v>
      </c>
      <c r="BE22" s="277">
        <f t="shared" si="34"/>
        <v>0</v>
      </c>
      <c r="BF22" s="277">
        <f t="shared" si="35"/>
        <v>0</v>
      </c>
      <c r="BG22" s="277">
        <f t="shared" si="36"/>
        <v>0</v>
      </c>
      <c r="BH22" s="277">
        <f t="shared" si="75"/>
        <v>0</v>
      </c>
      <c r="BI22" s="277">
        <f t="shared" si="76"/>
        <v>0</v>
      </c>
      <c r="BJ22" s="277">
        <f t="shared" si="37"/>
        <v>0</v>
      </c>
      <c r="BK22" s="277">
        <f t="shared" si="38"/>
        <v>0</v>
      </c>
      <c r="BL22" s="277">
        <f t="shared" si="39"/>
        <v>0</v>
      </c>
      <c r="BM22" s="277">
        <f t="shared" si="40"/>
        <v>0</v>
      </c>
      <c r="BN22" s="277">
        <f t="shared" si="41"/>
        <v>0</v>
      </c>
      <c r="BO22" s="277">
        <f t="shared" si="42"/>
        <v>0</v>
      </c>
      <c r="BP22" s="277">
        <f t="shared" si="77"/>
        <v>0</v>
      </c>
      <c r="BQ22" s="277">
        <f t="shared" si="78"/>
        <v>0</v>
      </c>
      <c r="BR22" s="277">
        <f t="shared" si="43"/>
        <v>0</v>
      </c>
      <c r="BS22" s="277">
        <f t="shared" si="44"/>
        <v>0</v>
      </c>
      <c r="BT22" s="277">
        <f t="shared" si="79"/>
        <v>0</v>
      </c>
      <c r="BU22" s="277">
        <f t="shared" si="80"/>
        <v>0</v>
      </c>
      <c r="BV22" s="277">
        <f t="shared" si="81"/>
        <v>0</v>
      </c>
      <c r="BW22" s="277">
        <f t="shared" si="82"/>
        <v>0</v>
      </c>
      <c r="BX22" s="277">
        <f t="shared" si="45"/>
        <v>0</v>
      </c>
      <c r="BY22" s="277">
        <f t="shared" si="46"/>
        <v>0</v>
      </c>
      <c r="BZ22" s="277">
        <f t="shared" si="47"/>
        <v>0</v>
      </c>
      <c r="CA22" s="277">
        <f t="shared" si="48"/>
        <v>0</v>
      </c>
      <c r="CB22" s="277">
        <f t="shared" si="49"/>
        <v>0</v>
      </c>
      <c r="CC22" s="277">
        <f t="shared" si="50"/>
        <v>0</v>
      </c>
      <c r="CD22" s="277">
        <f t="shared" si="83"/>
        <v>0</v>
      </c>
      <c r="CE22" s="277">
        <f t="shared" si="84"/>
        <v>0</v>
      </c>
      <c r="CF22" s="277">
        <f t="shared" si="85"/>
        <v>0</v>
      </c>
      <c r="CG22" s="277">
        <f t="shared" si="86"/>
        <v>0</v>
      </c>
      <c r="CH22" s="277">
        <f t="shared" si="51"/>
        <v>0</v>
      </c>
      <c r="CI22" s="277">
        <f t="shared" si="52"/>
        <v>0</v>
      </c>
      <c r="CJ22" s="277">
        <f t="shared" si="87"/>
        <v>0</v>
      </c>
      <c r="CK22" s="277">
        <f t="shared" si="88"/>
        <v>0</v>
      </c>
      <c r="CL22" s="277">
        <f t="shared" si="53"/>
        <v>0</v>
      </c>
      <c r="CM22" s="277">
        <f t="shared" si="54"/>
        <v>0</v>
      </c>
      <c r="CN22" s="277">
        <f t="shared" si="55"/>
        <v>0</v>
      </c>
      <c r="CO22" s="277">
        <f t="shared" si="56"/>
        <v>0</v>
      </c>
      <c r="CP22" s="277">
        <f t="shared" si="89"/>
        <v>0</v>
      </c>
      <c r="CQ22" s="277">
        <f t="shared" si="90"/>
        <v>0</v>
      </c>
      <c r="CR22" s="277">
        <f t="shared" si="91"/>
        <v>0</v>
      </c>
      <c r="CS22" s="277">
        <f t="shared" si="92"/>
        <v>0</v>
      </c>
      <c r="CT22" s="277">
        <f t="shared" si="57"/>
        <v>0</v>
      </c>
      <c r="CU22" s="277">
        <f t="shared" si="58"/>
        <v>0</v>
      </c>
      <c r="CV22" s="277">
        <f t="shared" si="59"/>
        <v>0</v>
      </c>
      <c r="CW22" s="277">
        <f t="shared" si="60"/>
        <v>0</v>
      </c>
      <c r="CX22" s="277">
        <f t="shared" si="93"/>
        <v>0</v>
      </c>
      <c r="CY22" s="277">
        <f t="shared" si="94"/>
        <v>0</v>
      </c>
      <c r="CZ22" s="277">
        <f t="shared" si="95"/>
        <v>0</v>
      </c>
      <c r="DA22" s="277">
        <f t="shared" si="96"/>
        <v>0</v>
      </c>
    </row>
    <row r="23" spans="1:105" s="274" customFormat="1" ht="15" customHeight="1">
      <c r="A23" s="63" t="str">
        <f t="array" ref="A23">IF(C23&lt;&gt;0,SUM(($C$11:C23&lt;&gt;0)*1),"")</f>
        <v/>
      </c>
      <c r="B23" s="275"/>
      <c r="C23" s="275"/>
      <c r="D23" s="275"/>
      <c r="E23" s="365"/>
      <c r="F23" s="326"/>
      <c r="G23" s="328"/>
      <c r="H23" s="328"/>
      <c r="I23" s="63" t="str">
        <f t="shared" si="97"/>
        <v/>
      </c>
      <c r="J23" s="277">
        <f t="shared" si="61"/>
        <v>0</v>
      </c>
      <c r="K23" s="277">
        <f t="shared" si="62"/>
        <v>0</v>
      </c>
      <c r="L23" s="277">
        <f t="shared" si="1"/>
        <v>0</v>
      </c>
      <c r="M23" s="277">
        <f t="shared" si="2"/>
        <v>0</v>
      </c>
      <c r="N23" s="277">
        <f t="shared" si="3"/>
        <v>0</v>
      </c>
      <c r="O23" s="277">
        <f t="shared" si="4"/>
        <v>0</v>
      </c>
      <c r="P23" s="277">
        <f t="shared" si="5"/>
        <v>0</v>
      </c>
      <c r="Q23" s="277">
        <f t="shared" si="6"/>
        <v>0</v>
      </c>
      <c r="R23" s="277">
        <f t="shared" si="7"/>
        <v>0</v>
      </c>
      <c r="S23" s="277">
        <f t="shared" si="8"/>
        <v>0</v>
      </c>
      <c r="T23" s="277">
        <f t="shared" si="9"/>
        <v>0</v>
      </c>
      <c r="U23" s="277">
        <f t="shared" si="10"/>
        <v>0</v>
      </c>
      <c r="V23" s="277">
        <f t="shared" si="11"/>
        <v>0</v>
      </c>
      <c r="W23" s="277">
        <f t="shared" si="12"/>
        <v>0</v>
      </c>
      <c r="X23" s="277">
        <f t="shared" si="13"/>
        <v>0</v>
      </c>
      <c r="Y23" s="277">
        <f t="shared" si="14"/>
        <v>0</v>
      </c>
      <c r="Z23" s="277">
        <f t="shared" si="15"/>
        <v>0</v>
      </c>
      <c r="AA23" s="277">
        <f t="shared" si="16"/>
        <v>0</v>
      </c>
      <c r="AB23" s="277">
        <f t="shared" si="63"/>
        <v>0</v>
      </c>
      <c r="AC23" s="277">
        <f t="shared" si="64"/>
        <v>0</v>
      </c>
      <c r="AD23" s="277">
        <f t="shared" si="17"/>
        <v>0</v>
      </c>
      <c r="AE23" s="277">
        <f t="shared" si="18"/>
        <v>0</v>
      </c>
      <c r="AF23" s="277">
        <f t="shared" si="19"/>
        <v>0</v>
      </c>
      <c r="AG23" s="277">
        <f t="shared" si="20"/>
        <v>0</v>
      </c>
      <c r="AH23" s="277">
        <f t="shared" si="65"/>
        <v>0</v>
      </c>
      <c r="AI23" s="277">
        <f t="shared" si="66"/>
        <v>0</v>
      </c>
      <c r="AJ23" s="277">
        <f t="shared" si="67"/>
        <v>0</v>
      </c>
      <c r="AK23" s="277">
        <f t="shared" si="68"/>
        <v>0</v>
      </c>
      <c r="AL23" s="277">
        <f t="shared" si="69"/>
        <v>0</v>
      </c>
      <c r="AM23" s="277">
        <f t="shared" si="70"/>
        <v>0</v>
      </c>
      <c r="AN23" s="277">
        <f t="shared" si="71"/>
        <v>0</v>
      </c>
      <c r="AO23" s="277">
        <f t="shared" si="72"/>
        <v>0</v>
      </c>
      <c r="AP23" s="277">
        <f t="shared" si="21"/>
        <v>0</v>
      </c>
      <c r="AQ23" s="277">
        <f t="shared" si="22"/>
        <v>0</v>
      </c>
      <c r="AR23" s="277">
        <f t="shared" si="23"/>
        <v>0</v>
      </c>
      <c r="AS23" s="277">
        <f t="shared" si="24"/>
        <v>0</v>
      </c>
      <c r="AT23" s="277">
        <f t="shared" si="73"/>
        <v>0</v>
      </c>
      <c r="AU23" s="277">
        <f t="shared" si="74"/>
        <v>0</v>
      </c>
      <c r="AV23" s="277">
        <f t="shared" si="25"/>
        <v>0</v>
      </c>
      <c r="AW23" s="277">
        <f t="shared" si="26"/>
        <v>0</v>
      </c>
      <c r="AX23" s="277">
        <f t="shared" si="27"/>
        <v>0</v>
      </c>
      <c r="AY23" s="277">
        <f t="shared" si="28"/>
        <v>0</v>
      </c>
      <c r="AZ23" s="277">
        <f t="shared" si="29"/>
        <v>0</v>
      </c>
      <c r="BA23" s="277">
        <f t="shared" si="30"/>
        <v>0</v>
      </c>
      <c r="BB23" s="277">
        <f t="shared" si="31"/>
        <v>0</v>
      </c>
      <c r="BC23" s="277">
        <f t="shared" si="32"/>
        <v>0</v>
      </c>
      <c r="BD23" s="277">
        <f t="shared" si="33"/>
        <v>0</v>
      </c>
      <c r="BE23" s="277">
        <f t="shared" si="34"/>
        <v>0</v>
      </c>
      <c r="BF23" s="277">
        <f t="shared" si="35"/>
        <v>0</v>
      </c>
      <c r="BG23" s="277">
        <f t="shared" si="36"/>
        <v>0</v>
      </c>
      <c r="BH23" s="277">
        <f t="shared" si="75"/>
        <v>0</v>
      </c>
      <c r="BI23" s="277">
        <f t="shared" si="76"/>
        <v>0</v>
      </c>
      <c r="BJ23" s="277">
        <f t="shared" si="37"/>
        <v>0</v>
      </c>
      <c r="BK23" s="277">
        <f t="shared" si="38"/>
        <v>0</v>
      </c>
      <c r="BL23" s="277">
        <f t="shared" si="39"/>
        <v>0</v>
      </c>
      <c r="BM23" s="277">
        <f t="shared" si="40"/>
        <v>0</v>
      </c>
      <c r="BN23" s="277">
        <f t="shared" si="41"/>
        <v>0</v>
      </c>
      <c r="BO23" s="277">
        <f t="shared" si="42"/>
        <v>0</v>
      </c>
      <c r="BP23" s="277">
        <f t="shared" si="77"/>
        <v>0</v>
      </c>
      <c r="BQ23" s="277">
        <f t="shared" si="78"/>
        <v>0</v>
      </c>
      <c r="BR23" s="277">
        <f t="shared" si="43"/>
        <v>0</v>
      </c>
      <c r="BS23" s="277">
        <f t="shared" si="44"/>
        <v>0</v>
      </c>
      <c r="BT23" s="277">
        <f t="shared" si="79"/>
        <v>0</v>
      </c>
      <c r="BU23" s="277">
        <f t="shared" si="80"/>
        <v>0</v>
      </c>
      <c r="BV23" s="277">
        <f t="shared" si="81"/>
        <v>0</v>
      </c>
      <c r="BW23" s="277">
        <f t="shared" si="82"/>
        <v>0</v>
      </c>
      <c r="BX23" s="277">
        <f t="shared" si="45"/>
        <v>0</v>
      </c>
      <c r="BY23" s="277">
        <f t="shared" si="46"/>
        <v>0</v>
      </c>
      <c r="BZ23" s="277">
        <f t="shared" si="47"/>
        <v>0</v>
      </c>
      <c r="CA23" s="277">
        <f t="shared" si="48"/>
        <v>0</v>
      </c>
      <c r="CB23" s="277">
        <f t="shared" si="49"/>
        <v>0</v>
      </c>
      <c r="CC23" s="277">
        <f t="shared" si="50"/>
        <v>0</v>
      </c>
      <c r="CD23" s="277">
        <f t="shared" si="83"/>
        <v>0</v>
      </c>
      <c r="CE23" s="277">
        <f t="shared" si="84"/>
        <v>0</v>
      </c>
      <c r="CF23" s="277">
        <f t="shared" si="85"/>
        <v>0</v>
      </c>
      <c r="CG23" s="277">
        <f t="shared" si="86"/>
        <v>0</v>
      </c>
      <c r="CH23" s="277">
        <f t="shared" si="51"/>
        <v>0</v>
      </c>
      <c r="CI23" s="277">
        <f t="shared" si="52"/>
        <v>0</v>
      </c>
      <c r="CJ23" s="277">
        <f t="shared" si="87"/>
        <v>0</v>
      </c>
      <c r="CK23" s="277">
        <f t="shared" si="88"/>
        <v>0</v>
      </c>
      <c r="CL23" s="277">
        <f t="shared" si="53"/>
        <v>0</v>
      </c>
      <c r="CM23" s="277">
        <f t="shared" si="54"/>
        <v>0</v>
      </c>
      <c r="CN23" s="277">
        <f t="shared" si="55"/>
        <v>0</v>
      </c>
      <c r="CO23" s="277">
        <f t="shared" si="56"/>
        <v>0</v>
      </c>
      <c r="CP23" s="277">
        <f t="shared" si="89"/>
        <v>0</v>
      </c>
      <c r="CQ23" s="277">
        <f t="shared" si="90"/>
        <v>0</v>
      </c>
      <c r="CR23" s="277">
        <f t="shared" si="91"/>
        <v>0</v>
      </c>
      <c r="CS23" s="277">
        <f t="shared" si="92"/>
        <v>0</v>
      </c>
      <c r="CT23" s="277">
        <f t="shared" si="57"/>
        <v>0</v>
      </c>
      <c r="CU23" s="277">
        <f t="shared" si="58"/>
        <v>0</v>
      </c>
      <c r="CV23" s="277">
        <f t="shared" si="59"/>
        <v>0</v>
      </c>
      <c r="CW23" s="277">
        <f t="shared" si="60"/>
        <v>0</v>
      </c>
      <c r="CX23" s="277">
        <f t="shared" si="93"/>
        <v>0</v>
      </c>
      <c r="CY23" s="277">
        <f t="shared" si="94"/>
        <v>0</v>
      </c>
      <c r="CZ23" s="277">
        <f t="shared" si="95"/>
        <v>0</v>
      </c>
      <c r="DA23" s="277">
        <f t="shared" si="96"/>
        <v>0</v>
      </c>
    </row>
    <row r="24" spans="1:105" s="274" customFormat="1" ht="15" customHeight="1">
      <c r="A24" s="63" t="str">
        <f t="array" ref="A24">IF(C24&lt;&gt;0,SUM(($C$11:C24&lt;&gt;0)*1),"")</f>
        <v/>
      </c>
      <c r="B24" s="275"/>
      <c r="C24" s="275"/>
      <c r="D24" s="275"/>
      <c r="E24" s="365"/>
      <c r="F24" s="326"/>
      <c r="G24" s="328"/>
      <c r="H24" s="328"/>
      <c r="I24" s="63" t="str">
        <f t="shared" si="97"/>
        <v/>
      </c>
      <c r="J24" s="277">
        <f t="shared" si="61"/>
        <v>0</v>
      </c>
      <c r="K24" s="277">
        <f t="shared" si="62"/>
        <v>0</v>
      </c>
      <c r="L24" s="277">
        <f t="shared" si="1"/>
        <v>0</v>
      </c>
      <c r="M24" s="277">
        <f t="shared" si="2"/>
        <v>0</v>
      </c>
      <c r="N24" s="277">
        <f t="shared" si="3"/>
        <v>0</v>
      </c>
      <c r="O24" s="277">
        <f t="shared" si="4"/>
        <v>0</v>
      </c>
      <c r="P24" s="277">
        <f t="shared" si="5"/>
        <v>0</v>
      </c>
      <c r="Q24" s="277">
        <f t="shared" si="6"/>
        <v>0</v>
      </c>
      <c r="R24" s="277">
        <f t="shared" si="7"/>
        <v>0</v>
      </c>
      <c r="S24" s="277">
        <f t="shared" si="8"/>
        <v>0</v>
      </c>
      <c r="T24" s="277">
        <f t="shared" si="9"/>
        <v>0</v>
      </c>
      <c r="U24" s="277">
        <f t="shared" si="10"/>
        <v>0</v>
      </c>
      <c r="V24" s="277">
        <f t="shared" si="11"/>
        <v>0</v>
      </c>
      <c r="W24" s="277">
        <f t="shared" si="12"/>
        <v>0</v>
      </c>
      <c r="X24" s="277">
        <f t="shared" si="13"/>
        <v>0</v>
      </c>
      <c r="Y24" s="277">
        <f t="shared" si="14"/>
        <v>0</v>
      </c>
      <c r="Z24" s="277">
        <f t="shared" si="15"/>
        <v>0</v>
      </c>
      <c r="AA24" s="277">
        <f t="shared" si="16"/>
        <v>0</v>
      </c>
      <c r="AB24" s="277">
        <f t="shared" si="63"/>
        <v>0</v>
      </c>
      <c r="AC24" s="277">
        <f t="shared" si="64"/>
        <v>0</v>
      </c>
      <c r="AD24" s="277">
        <f t="shared" si="17"/>
        <v>0</v>
      </c>
      <c r="AE24" s="277">
        <f t="shared" si="18"/>
        <v>0</v>
      </c>
      <c r="AF24" s="277">
        <f t="shared" si="19"/>
        <v>0</v>
      </c>
      <c r="AG24" s="277">
        <f t="shared" si="20"/>
        <v>0</v>
      </c>
      <c r="AH24" s="277">
        <f t="shared" si="65"/>
        <v>0</v>
      </c>
      <c r="AI24" s="277">
        <f t="shared" si="66"/>
        <v>0</v>
      </c>
      <c r="AJ24" s="277">
        <f t="shared" si="67"/>
        <v>0</v>
      </c>
      <c r="AK24" s="277">
        <f t="shared" si="68"/>
        <v>0</v>
      </c>
      <c r="AL24" s="277">
        <f t="shared" si="69"/>
        <v>0</v>
      </c>
      <c r="AM24" s="277">
        <f t="shared" si="70"/>
        <v>0</v>
      </c>
      <c r="AN24" s="277">
        <f t="shared" si="71"/>
        <v>0</v>
      </c>
      <c r="AO24" s="277">
        <f t="shared" si="72"/>
        <v>0</v>
      </c>
      <c r="AP24" s="277">
        <f t="shared" si="21"/>
        <v>0</v>
      </c>
      <c r="AQ24" s="277">
        <f t="shared" si="22"/>
        <v>0</v>
      </c>
      <c r="AR24" s="277">
        <f t="shared" si="23"/>
        <v>0</v>
      </c>
      <c r="AS24" s="277">
        <f t="shared" si="24"/>
        <v>0</v>
      </c>
      <c r="AT24" s="277">
        <f t="shared" si="73"/>
        <v>0</v>
      </c>
      <c r="AU24" s="277">
        <f t="shared" si="74"/>
        <v>0</v>
      </c>
      <c r="AV24" s="277">
        <f t="shared" si="25"/>
        <v>0</v>
      </c>
      <c r="AW24" s="277">
        <f t="shared" si="26"/>
        <v>0</v>
      </c>
      <c r="AX24" s="277">
        <f t="shared" si="27"/>
        <v>0</v>
      </c>
      <c r="AY24" s="277">
        <f t="shared" si="28"/>
        <v>0</v>
      </c>
      <c r="AZ24" s="277">
        <f t="shared" si="29"/>
        <v>0</v>
      </c>
      <c r="BA24" s="277">
        <f t="shared" si="30"/>
        <v>0</v>
      </c>
      <c r="BB24" s="277">
        <f t="shared" si="31"/>
        <v>0</v>
      </c>
      <c r="BC24" s="277">
        <f t="shared" si="32"/>
        <v>0</v>
      </c>
      <c r="BD24" s="277">
        <f t="shared" si="33"/>
        <v>0</v>
      </c>
      <c r="BE24" s="277">
        <f t="shared" si="34"/>
        <v>0</v>
      </c>
      <c r="BF24" s="277">
        <f t="shared" si="35"/>
        <v>0</v>
      </c>
      <c r="BG24" s="277">
        <f t="shared" si="36"/>
        <v>0</v>
      </c>
      <c r="BH24" s="277">
        <f t="shared" si="75"/>
        <v>0</v>
      </c>
      <c r="BI24" s="277">
        <f t="shared" si="76"/>
        <v>0</v>
      </c>
      <c r="BJ24" s="277">
        <f t="shared" si="37"/>
        <v>0</v>
      </c>
      <c r="BK24" s="277">
        <f t="shared" si="38"/>
        <v>0</v>
      </c>
      <c r="BL24" s="277">
        <f t="shared" si="39"/>
        <v>0</v>
      </c>
      <c r="BM24" s="277">
        <f t="shared" si="40"/>
        <v>0</v>
      </c>
      <c r="BN24" s="277">
        <f t="shared" si="41"/>
        <v>0</v>
      </c>
      <c r="BO24" s="277">
        <f t="shared" si="42"/>
        <v>0</v>
      </c>
      <c r="BP24" s="277">
        <f t="shared" si="77"/>
        <v>0</v>
      </c>
      <c r="BQ24" s="277">
        <f t="shared" si="78"/>
        <v>0</v>
      </c>
      <c r="BR24" s="277">
        <f t="shared" si="43"/>
        <v>0</v>
      </c>
      <c r="BS24" s="277">
        <f t="shared" si="44"/>
        <v>0</v>
      </c>
      <c r="BT24" s="277">
        <f t="shared" si="79"/>
        <v>0</v>
      </c>
      <c r="BU24" s="277">
        <f t="shared" si="80"/>
        <v>0</v>
      </c>
      <c r="BV24" s="277">
        <f t="shared" si="81"/>
        <v>0</v>
      </c>
      <c r="BW24" s="277">
        <f t="shared" si="82"/>
        <v>0</v>
      </c>
      <c r="BX24" s="277">
        <f t="shared" si="45"/>
        <v>0</v>
      </c>
      <c r="BY24" s="277">
        <f t="shared" si="46"/>
        <v>0</v>
      </c>
      <c r="BZ24" s="277">
        <f t="shared" si="47"/>
        <v>0</v>
      </c>
      <c r="CA24" s="277">
        <f t="shared" si="48"/>
        <v>0</v>
      </c>
      <c r="CB24" s="277">
        <f t="shared" si="49"/>
        <v>0</v>
      </c>
      <c r="CC24" s="277">
        <f t="shared" si="50"/>
        <v>0</v>
      </c>
      <c r="CD24" s="277">
        <f t="shared" si="83"/>
        <v>0</v>
      </c>
      <c r="CE24" s="277">
        <f t="shared" si="84"/>
        <v>0</v>
      </c>
      <c r="CF24" s="277">
        <f t="shared" si="85"/>
        <v>0</v>
      </c>
      <c r="CG24" s="277">
        <f t="shared" si="86"/>
        <v>0</v>
      </c>
      <c r="CH24" s="277">
        <f t="shared" si="51"/>
        <v>0</v>
      </c>
      <c r="CI24" s="277">
        <f t="shared" si="52"/>
        <v>0</v>
      </c>
      <c r="CJ24" s="277">
        <f t="shared" si="87"/>
        <v>0</v>
      </c>
      <c r="CK24" s="277">
        <f t="shared" si="88"/>
        <v>0</v>
      </c>
      <c r="CL24" s="277">
        <f t="shared" si="53"/>
        <v>0</v>
      </c>
      <c r="CM24" s="277">
        <f t="shared" si="54"/>
        <v>0</v>
      </c>
      <c r="CN24" s="277">
        <f t="shared" si="55"/>
        <v>0</v>
      </c>
      <c r="CO24" s="277">
        <f t="shared" si="56"/>
        <v>0</v>
      </c>
      <c r="CP24" s="277">
        <f t="shared" si="89"/>
        <v>0</v>
      </c>
      <c r="CQ24" s="277">
        <f t="shared" si="90"/>
        <v>0</v>
      </c>
      <c r="CR24" s="277">
        <f t="shared" si="91"/>
        <v>0</v>
      </c>
      <c r="CS24" s="277">
        <f t="shared" si="92"/>
        <v>0</v>
      </c>
      <c r="CT24" s="277">
        <f t="shared" si="57"/>
        <v>0</v>
      </c>
      <c r="CU24" s="277">
        <f t="shared" si="58"/>
        <v>0</v>
      </c>
      <c r="CV24" s="277">
        <f t="shared" si="59"/>
        <v>0</v>
      </c>
      <c r="CW24" s="277">
        <f t="shared" si="60"/>
        <v>0</v>
      </c>
      <c r="CX24" s="277">
        <f t="shared" si="93"/>
        <v>0</v>
      </c>
      <c r="CY24" s="277">
        <f t="shared" si="94"/>
        <v>0</v>
      </c>
      <c r="CZ24" s="277">
        <f t="shared" si="95"/>
        <v>0</v>
      </c>
      <c r="DA24" s="277">
        <f t="shared" si="96"/>
        <v>0</v>
      </c>
    </row>
    <row r="25" spans="1:105" s="274" customFormat="1" ht="15" customHeight="1">
      <c r="A25" s="63" t="str">
        <f t="array" ref="A25">IF(C25&lt;&gt;0,SUM(($C$11:C25&lt;&gt;0)*1),"")</f>
        <v/>
      </c>
      <c r="B25" s="275"/>
      <c r="C25" s="275"/>
      <c r="D25" s="275"/>
      <c r="E25" s="365"/>
      <c r="F25" s="326"/>
      <c r="G25" s="328"/>
      <c r="H25" s="328"/>
      <c r="I25" s="63" t="str">
        <f t="shared" si="97"/>
        <v/>
      </c>
      <c r="J25" s="277">
        <f t="shared" si="61"/>
        <v>0</v>
      </c>
      <c r="K25" s="277">
        <f t="shared" si="62"/>
        <v>0</v>
      </c>
      <c r="L25" s="277">
        <f t="shared" si="1"/>
        <v>0</v>
      </c>
      <c r="M25" s="277">
        <f t="shared" si="2"/>
        <v>0</v>
      </c>
      <c r="N25" s="277">
        <f t="shared" si="3"/>
        <v>0</v>
      </c>
      <c r="O25" s="277">
        <f t="shared" si="4"/>
        <v>0</v>
      </c>
      <c r="P25" s="277">
        <f t="shared" si="5"/>
        <v>0</v>
      </c>
      <c r="Q25" s="277">
        <f t="shared" si="6"/>
        <v>0</v>
      </c>
      <c r="R25" s="277">
        <f t="shared" si="7"/>
        <v>0</v>
      </c>
      <c r="S25" s="277">
        <f t="shared" si="8"/>
        <v>0</v>
      </c>
      <c r="T25" s="277">
        <f t="shared" si="9"/>
        <v>0</v>
      </c>
      <c r="U25" s="277">
        <f t="shared" si="10"/>
        <v>0</v>
      </c>
      <c r="V25" s="277">
        <f t="shared" si="11"/>
        <v>0</v>
      </c>
      <c r="W25" s="277">
        <f t="shared" si="12"/>
        <v>0</v>
      </c>
      <c r="X25" s="277">
        <f t="shared" si="13"/>
        <v>0</v>
      </c>
      <c r="Y25" s="277">
        <f t="shared" si="14"/>
        <v>0</v>
      </c>
      <c r="Z25" s="277">
        <f t="shared" si="15"/>
        <v>0</v>
      </c>
      <c r="AA25" s="277">
        <f t="shared" si="16"/>
        <v>0</v>
      </c>
      <c r="AB25" s="277">
        <f t="shared" si="63"/>
        <v>0</v>
      </c>
      <c r="AC25" s="277">
        <f t="shared" si="64"/>
        <v>0</v>
      </c>
      <c r="AD25" s="277">
        <f t="shared" si="17"/>
        <v>0</v>
      </c>
      <c r="AE25" s="277">
        <f t="shared" si="18"/>
        <v>0</v>
      </c>
      <c r="AF25" s="277">
        <f t="shared" si="19"/>
        <v>0</v>
      </c>
      <c r="AG25" s="277">
        <f t="shared" si="20"/>
        <v>0</v>
      </c>
      <c r="AH25" s="277">
        <f t="shared" si="65"/>
        <v>0</v>
      </c>
      <c r="AI25" s="277">
        <f t="shared" si="66"/>
        <v>0</v>
      </c>
      <c r="AJ25" s="277">
        <f t="shared" si="67"/>
        <v>0</v>
      </c>
      <c r="AK25" s="277">
        <f t="shared" si="68"/>
        <v>0</v>
      </c>
      <c r="AL25" s="277">
        <f t="shared" si="69"/>
        <v>0</v>
      </c>
      <c r="AM25" s="277">
        <f t="shared" si="70"/>
        <v>0</v>
      </c>
      <c r="AN25" s="277">
        <f t="shared" si="71"/>
        <v>0</v>
      </c>
      <c r="AO25" s="277">
        <f t="shared" si="72"/>
        <v>0</v>
      </c>
      <c r="AP25" s="277">
        <f t="shared" si="21"/>
        <v>0</v>
      </c>
      <c r="AQ25" s="277">
        <f t="shared" si="22"/>
        <v>0</v>
      </c>
      <c r="AR25" s="277">
        <f t="shared" si="23"/>
        <v>0</v>
      </c>
      <c r="AS25" s="277">
        <f t="shared" si="24"/>
        <v>0</v>
      </c>
      <c r="AT25" s="277">
        <f t="shared" si="73"/>
        <v>0</v>
      </c>
      <c r="AU25" s="277">
        <f t="shared" si="74"/>
        <v>0</v>
      </c>
      <c r="AV25" s="277">
        <f t="shared" si="25"/>
        <v>0</v>
      </c>
      <c r="AW25" s="277">
        <f t="shared" si="26"/>
        <v>0</v>
      </c>
      <c r="AX25" s="277">
        <f t="shared" si="27"/>
        <v>0</v>
      </c>
      <c r="AY25" s="277">
        <f t="shared" si="28"/>
        <v>0</v>
      </c>
      <c r="AZ25" s="277">
        <f t="shared" si="29"/>
        <v>0</v>
      </c>
      <c r="BA25" s="277">
        <f t="shared" si="30"/>
        <v>0</v>
      </c>
      <c r="BB25" s="277">
        <f t="shared" si="31"/>
        <v>0</v>
      </c>
      <c r="BC25" s="277">
        <f t="shared" si="32"/>
        <v>0</v>
      </c>
      <c r="BD25" s="277">
        <f t="shared" si="33"/>
        <v>0</v>
      </c>
      <c r="BE25" s="277">
        <f t="shared" si="34"/>
        <v>0</v>
      </c>
      <c r="BF25" s="277">
        <f t="shared" si="35"/>
        <v>0</v>
      </c>
      <c r="BG25" s="277">
        <f t="shared" si="36"/>
        <v>0</v>
      </c>
      <c r="BH25" s="277">
        <f t="shared" si="75"/>
        <v>0</v>
      </c>
      <c r="BI25" s="277">
        <f t="shared" si="76"/>
        <v>0</v>
      </c>
      <c r="BJ25" s="277">
        <f t="shared" si="37"/>
        <v>0</v>
      </c>
      <c r="BK25" s="277">
        <f t="shared" si="38"/>
        <v>0</v>
      </c>
      <c r="BL25" s="277">
        <f t="shared" si="39"/>
        <v>0</v>
      </c>
      <c r="BM25" s="277">
        <f t="shared" si="40"/>
        <v>0</v>
      </c>
      <c r="BN25" s="277">
        <f t="shared" si="41"/>
        <v>0</v>
      </c>
      <c r="BO25" s="277">
        <f t="shared" si="42"/>
        <v>0</v>
      </c>
      <c r="BP25" s="277">
        <f t="shared" si="77"/>
        <v>0</v>
      </c>
      <c r="BQ25" s="277">
        <f t="shared" si="78"/>
        <v>0</v>
      </c>
      <c r="BR25" s="277">
        <f t="shared" si="43"/>
        <v>0</v>
      </c>
      <c r="BS25" s="277">
        <f t="shared" si="44"/>
        <v>0</v>
      </c>
      <c r="BT25" s="277">
        <f t="shared" si="79"/>
        <v>0</v>
      </c>
      <c r="BU25" s="277">
        <f t="shared" si="80"/>
        <v>0</v>
      </c>
      <c r="BV25" s="277">
        <f t="shared" si="81"/>
        <v>0</v>
      </c>
      <c r="BW25" s="277">
        <f t="shared" si="82"/>
        <v>0</v>
      </c>
      <c r="BX25" s="277">
        <f t="shared" si="45"/>
        <v>0</v>
      </c>
      <c r="BY25" s="277">
        <f t="shared" si="46"/>
        <v>0</v>
      </c>
      <c r="BZ25" s="277">
        <f t="shared" si="47"/>
        <v>0</v>
      </c>
      <c r="CA25" s="277">
        <f t="shared" si="48"/>
        <v>0</v>
      </c>
      <c r="CB25" s="277">
        <f t="shared" si="49"/>
        <v>0</v>
      </c>
      <c r="CC25" s="277">
        <f t="shared" si="50"/>
        <v>0</v>
      </c>
      <c r="CD25" s="277">
        <f t="shared" si="83"/>
        <v>0</v>
      </c>
      <c r="CE25" s="277">
        <f t="shared" si="84"/>
        <v>0</v>
      </c>
      <c r="CF25" s="277">
        <f t="shared" si="85"/>
        <v>0</v>
      </c>
      <c r="CG25" s="277">
        <f t="shared" si="86"/>
        <v>0</v>
      </c>
      <c r="CH25" s="277">
        <f t="shared" si="51"/>
        <v>0</v>
      </c>
      <c r="CI25" s="277">
        <f t="shared" si="52"/>
        <v>0</v>
      </c>
      <c r="CJ25" s="277">
        <f t="shared" si="87"/>
        <v>0</v>
      </c>
      <c r="CK25" s="277">
        <f t="shared" si="88"/>
        <v>0</v>
      </c>
      <c r="CL25" s="277">
        <f t="shared" si="53"/>
        <v>0</v>
      </c>
      <c r="CM25" s="277">
        <f t="shared" si="54"/>
        <v>0</v>
      </c>
      <c r="CN25" s="277">
        <f t="shared" si="55"/>
        <v>0</v>
      </c>
      <c r="CO25" s="277">
        <f t="shared" si="56"/>
        <v>0</v>
      </c>
      <c r="CP25" s="277">
        <f t="shared" si="89"/>
        <v>0</v>
      </c>
      <c r="CQ25" s="277">
        <f t="shared" si="90"/>
        <v>0</v>
      </c>
      <c r="CR25" s="277">
        <f t="shared" si="91"/>
        <v>0</v>
      </c>
      <c r="CS25" s="277">
        <f t="shared" si="92"/>
        <v>0</v>
      </c>
      <c r="CT25" s="277">
        <f t="shared" si="57"/>
        <v>0</v>
      </c>
      <c r="CU25" s="277">
        <f t="shared" si="58"/>
        <v>0</v>
      </c>
      <c r="CV25" s="277">
        <f t="shared" si="59"/>
        <v>0</v>
      </c>
      <c r="CW25" s="277">
        <f t="shared" si="60"/>
        <v>0</v>
      </c>
      <c r="CX25" s="277">
        <f t="shared" si="93"/>
        <v>0</v>
      </c>
      <c r="CY25" s="277">
        <f t="shared" si="94"/>
        <v>0</v>
      </c>
      <c r="CZ25" s="277">
        <f t="shared" si="95"/>
        <v>0</v>
      </c>
      <c r="DA25" s="277">
        <f t="shared" si="96"/>
        <v>0</v>
      </c>
    </row>
    <row r="26" spans="1:105" s="274" customFormat="1" ht="15" customHeight="1">
      <c r="A26" s="63" t="str">
        <f t="array" ref="A26">IF(C26&lt;&gt;0,SUM(($C$11:C26&lt;&gt;0)*1),"")</f>
        <v/>
      </c>
      <c r="B26" s="275"/>
      <c r="C26" s="275"/>
      <c r="D26" s="275"/>
      <c r="E26" s="365"/>
      <c r="F26" s="326"/>
      <c r="G26" s="328"/>
      <c r="H26" s="328"/>
      <c r="I26" s="63" t="str">
        <f t="shared" si="97"/>
        <v/>
      </c>
      <c r="J26" s="277">
        <f t="shared" si="61"/>
        <v>0</v>
      </c>
      <c r="K26" s="277">
        <f t="shared" si="62"/>
        <v>0</v>
      </c>
      <c r="L26" s="277">
        <f t="shared" si="1"/>
        <v>0</v>
      </c>
      <c r="M26" s="277">
        <f t="shared" si="2"/>
        <v>0</v>
      </c>
      <c r="N26" s="277">
        <f t="shared" si="3"/>
        <v>0</v>
      </c>
      <c r="O26" s="277">
        <f t="shared" si="4"/>
        <v>0</v>
      </c>
      <c r="P26" s="277">
        <f t="shared" si="5"/>
        <v>0</v>
      </c>
      <c r="Q26" s="277">
        <f t="shared" si="6"/>
        <v>0</v>
      </c>
      <c r="R26" s="277">
        <f t="shared" si="7"/>
        <v>0</v>
      </c>
      <c r="S26" s="277">
        <f t="shared" si="8"/>
        <v>0</v>
      </c>
      <c r="T26" s="277">
        <f t="shared" si="9"/>
        <v>0</v>
      </c>
      <c r="U26" s="277">
        <f t="shared" si="10"/>
        <v>0</v>
      </c>
      <c r="V26" s="277">
        <f t="shared" si="11"/>
        <v>0</v>
      </c>
      <c r="W26" s="277">
        <f t="shared" si="12"/>
        <v>0</v>
      </c>
      <c r="X26" s="277">
        <f t="shared" si="13"/>
        <v>0</v>
      </c>
      <c r="Y26" s="277">
        <f t="shared" si="14"/>
        <v>0</v>
      </c>
      <c r="Z26" s="277">
        <f t="shared" si="15"/>
        <v>0</v>
      </c>
      <c r="AA26" s="277">
        <f t="shared" si="16"/>
        <v>0</v>
      </c>
      <c r="AB26" s="277">
        <f t="shared" si="63"/>
        <v>0</v>
      </c>
      <c r="AC26" s="277">
        <f t="shared" si="64"/>
        <v>0</v>
      </c>
      <c r="AD26" s="277">
        <f t="shared" si="17"/>
        <v>0</v>
      </c>
      <c r="AE26" s="277">
        <f t="shared" si="18"/>
        <v>0</v>
      </c>
      <c r="AF26" s="277">
        <f t="shared" si="19"/>
        <v>0</v>
      </c>
      <c r="AG26" s="277">
        <f t="shared" si="20"/>
        <v>0</v>
      </c>
      <c r="AH26" s="277">
        <f t="shared" si="65"/>
        <v>0</v>
      </c>
      <c r="AI26" s="277">
        <f t="shared" si="66"/>
        <v>0</v>
      </c>
      <c r="AJ26" s="277">
        <f t="shared" si="67"/>
        <v>0</v>
      </c>
      <c r="AK26" s="277">
        <f t="shared" si="68"/>
        <v>0</v>
      </c>
      <c r="AL26" s="277">
        <f t="shared" si="69"/>
        <v>0</v>
      </c>
      <c r="AM26" s="277">
        <f t="shared" si="70"/>
        <v>0</v>
      </c>
      <c r="AN26" s="277">
        <f t="shared" si="71"/>
        <v>0</v>
      </c>
      <c r="AO26" s="277">
        <f t="shared" si="72"/>
        <v>0</v>
      </c>
      <c r="AP26" s="277">
        <f t="shared" si="21"/>
        <v>0</v>
      </c>
      <c r="AQ26" s="277">
        <f t="shared" si="22"/>
        <v>0</v>
      </c>
      <c r="AR26" s="277">
        <f t="shared" si="23"/>
        <v>0</v>
      </c>
      <c r="AS26" s="277">
        <f t="shared" si="24"/>
        <v>0</v>
      </c>
      <c r="AT26" s="277">
        <f t="shared" si="73"/>
        <v>0</v>
      </c>
      <c r="AU26" s="277">
        <f t="shared" si="74"/>
        <v>0</v>
      </c>
      <c r="AV26" s="277">
        <f t="shared" si="25"/>
        <v>0</v>
      </c>
      <c r="AW26" s="277">
        <f t="shared" si="26"/>
        <v>0</v>
      </c>
      <c r="AX26" s="277">
        <f t="shared" si="27"/>
        <v>0</v>
      </c>
      <c r="AY26" s="277">
        <f t="shared" si="28"/>
        <v>0</v>
      </c>
      <c r="AZ26" s="277">
        <f t="shared" si="29"/>
        <v>0</v>
      </c>
      <c r="BA26" s="277">
        <f t="shared" si="30"/>
        <v>0</v>
      </c>
      <c r="BB26" s="277">
        <f t="shared" si="31"/>
        <v>0</v>
      </c>
      <c r="BC26" s="277">
        <f t="shared" si="32"/>
        <v>0</v>
      </c>
      <c r="BD26" s="277">
        <f t="shared" si="33"/>
        <v>0</v>
      </c>
      <c r="BE26" s="277">
        <f t="shared" si="34"/>
        <v>0</v>
      </c>
      <c r="BF26" s="277">
        <f t="shared" si="35"/>
        <v>0</v>
      </c>
      <c r="BG26" s="277">
        <f t="shared" si="36"/>
        <v>0</v>
      </c>
      <c r="BH26" s="277">
        <f t="shared" si="75"/>
        <v>0</v>
      </c>
      <c r="BI26" s="277">
        <f t="shared" si="76"/>
        <v>0</v>
      </c>
      <c r="BJ26" s="277">
        <f t="shared" si="37"/>
        <v>0</v>
      </c>
      <c r="BK26" s="277">
        <f t="shared" si="38"/>
        <v>0</v>
      </c>
      <c r="BL26" s="277">
        <f t="shared" si="39"/>
        <v>0</v>
      </c>
      <c r="BM26" s="277">
        <f t="shared" si="40"/>
        <v>0</v>
      </c>
      <c r="BN26" s="277">
        <f t="shared" si="41"/>
        <v>0</v>
      </c>
      <c r="BO26" s="277">
        <f t="shared" si="42"/>
        <v>0</v>
      </c>
      <c r="BP26" s="277">
        <f t="shared" si="77"/>
        <v>0</v>
      </c>
      <c r="BQ26" s="277">
        <f t="shared" si="78"/>
        <v>0</v>
      </c>
      <c r="BR26" s="277">
        <f t="shared" si="43"/>
        <v>0</v>
      </c>
      <c r="BS26" s="277">
        <f t="shared" si="44"/>
        <v>0</v>
      </c>
      <c r="BT26" s="277">
        <f t="shared" si="79"/>
        <v>0</v>
      </c>
      <c r="BU26" s="277">
        <f t="shared" si="80"/>
        <v>0</v>
      </c>
      <c r="BV26" s="277">
        <f t="shared" si="81"/>
        <v>0</v>
      </c>
      <c r="BW26" s="277">
        <f t="shared" si="82"/>
        <v>0</v>
      </c>
      <c r="BX26" s="277">
        <f t="shared" si="45"/>
        <v>0</v>
      </c>
      <c r="BY26" s="277">
        <f t="shared" si="46"/>
        <v>0</v>
      </c>
      <c r="BZ26" s="277">
        <f t="shared" si="47"/>
        <v>0</v>
      </c>
      <c r="CA26" s="277">
        <f t="shared" si="48"/>
        <v>0</v>
      </c>
      <c r="CB26" s="277">
        <f t="shared" si="49"/>
        <v>0</v>
      </c>
      <c r="CC26" s="277">
        <f t="shared" si="50"/>
        <v>0</v>
      </c>
      <c r="CD26" s="277">
        <f t="shared" si="83"/>
        <v>0</v>
      </c>
      <c r="CE26" s="277">
        <f t="shared" si="84"/>
        <v>0</v>
      </c>
      <c r="CF26" s="277">
        <f t="shared" si="85"/>
        <v>0</v>
      </c>
      <c r="CG26" s="277">
        <f t="shared" si="86"/>
        <v>0</v>
      </c>
      <c r="CH26" s="277">
        <f t="shared" si="51"/>
        <v>0</v>
      </c>
      <c r="CI26" s="277">
        <f t="shared" si="52"/>
        <v>0</v>
      </c>
      <c r="CJ26" s="277">
        <f t="shared" si="87"/>
        <v>0</v>
      </c>
      <c r="CK26" s="277">
        <f t="shared" si="88"/>
        <v>0</v>
      </c>
      <c r="CL26" s="277">
        <f t="shared" si="53"/>
        <v>0</v>
      </c>
      <c r="CM26" s="277">
        <f t="shared" si="54"/>
        <v>0</v>
      </c>
      <c r="CN26" s="277">
        <f t="shared" si="55"/>
        <v>0</v>
      </c>
      <c r="CO26" s="277">
        <f t="shared" si="56"/>
        <v>0</v>
      </c>
      <c r="CP26" s="277">
        <f t="shared" si="89"/>
        <v>0</v>
      </c>
      <c r="CQ26" s="277">
        <f t="shared" si="90"/>
        <v>0</v>
      </c>
      <c r="CR26" s="277">
        <f t="shared" si="91"/>
        <v>0</v>
      </c>
      <c r="CS26" s="277">
        <f t="shared" si="92"/>
        <v>0</v>
      </c>
      <c r="CT26" s="277">
        <f t="shared" si="57"/>
        <v>0</v>
      </c>
      <c r="CU26" s="277">
        <f t="shared" si="58"/>
        <v>0</v>
      </c>
      <c r="CV26" s="277">
        <f t="shared" si="59"/>
        <v>0</v>
      </c>
      <c r="CW26" s="277">
        <f t="shared" si="60"/>
        <v>0</v>
      </c>
      <c r="CX26" s="277">
        <f t="shared" si="93"/>
        <v>0</v>
      </c>
      <c r="CY26" s="277">
        <f t="shared" si="94"/>
        <v>0</v>
      </c>
      <c r="CZ26" s="277">
        <f t="shared" si="95"/>
        <v>0</v>
      </c>
      <c r="DA26" s="277">
        <f t="shared" si="96"/>
        <v>0</v>
      </c>
    </row>
    <row r="27" spans="1:105" s="274" customFormat="1" ht="15" customHeight="1">
      <c r="A27" s="63" t="str">
        <f t="array" ref="A27">IF(C27&lt;&gt;0,SUM(($C$11:C27&lt;&gt;0)*1),"")</f>
        <v/>
      </c>
      <c r="B27" s="275"/>
      <c r="C27" s="275"/>
      <c r="D27" s="275"/>
      <c r="E27" s="365"/>
      <c r="F27" s="326"/>
      <c r="G27" s="328"/>
      <c r="H27" s="328"/>
      <c r="I27" s="63" t="str">
        <f t="shared" si="97"/>
        <v/>
      </c>
      <c r="J27" s="277">
        <f t="shared" si="61"/>
        <v>0</v>
      </c>
      <c r="K27" s="277">
        <f t="shared" si="62"/>
        <v>0</v>
      </c>
      <c r="L27" s="277">
        <f t="shared" si="1"/>
        <v>0</v>
      </c>
      <c r="M27" s="277">
        <f t="shared" si="2"/>
        <v>0</v>
      </c>
      <c r="N27" s="277">
        <f t="shared" si="3"/>
        <v>0</v>
      </c>
      <c r="O27" s="277">
        <f t="shared" si="4"/>
        <v>0</v>
      </c>
      <c r="P27" s="277">
        <f t="shared" si="5"/>
        <v>0</v>
      </c>
      <c r="Q27" s="277">
        <f t="shared" si="6"/>
        <v>0</v>
      </c>
      <c r="R27" s="277">
        <f t="shared" si="7"/>
        <v>0</v>
      </c>
      <c r="S27" s="277">
        <f t="shared" si="8"/>
        <v>0</v>
      </c>
      <c r="T27" s="277">
        <f t="shared" si="9"/>
        <v>0</v>
      </c>
      <c r="U27" s="277">
        <f t="shared" si="10"/>
        <v>0</v>
      </c>
      <c r="V27" s="277">
        <f t="shared" si="11"/>
        <v>0</v>
      </c>
      <c r="W27" s="277">
        <f t="shared" si="12"/>
        <v>0</v>
      </c>
      <c r="X27" s="277">
        <f t="shared" si="13"/>
        <v>0</v>
      </c>
      <c r="Y27" s="277">
        <f t="shared" si="14"/>
        <v>0</v>
      </c>
      <c r="Z27" s="277">
        <f t="shared" si="15"/>
        <v>0</v>
      </c>
      <c r="AA27" s="277">
        <f t="shared" si="16"/>
        <v>0</v>
      </c>
      <c r="AB27" s="277">
        <f t="shared" si="63"/>
        <v>0</v>
      </c>
      <c r="AC27" s="277">
        <f t="shared" si="64"/>
        <v>0</v>
      </c>
      <c r="AD27" s="277">
        <f t="shared" si="17"/>
        <v>0</v>
      </c>
      <c r="AE27" s="277">
        <f t="shared" si="18"/>
        <v>0</v>
      </c>
      <c r="AF27" s="277">
        <f t="shared" si="19"/>
        <v>0</v>
      </c>
      <c r="AG27" s="277">
        <f t="shared" si="20"/>
        <v>0</v>
      </c>
      <c r="AH27" s="277">
        <f t="shared" si="65"/>
        <v>0</v>
      </c>
      <c r="AI27" s="277">
        <f t="shared" si="66"/>
        <v>0</v>
      </c>
      <c r="AJ27" s="277">
        <f t="shared" si="67"/>
        <v>0</v>
      </c>
      <c r="AK27" s="277">
        <f t="shared" si="68"/>
        <v>0</v>
      </c>
      <c r="AL27" s="277">
        <f t="shared" si="69"/>
        <v>0</v>
      </c>
      <c r="AM27" s="277">
        <f t="shared" si="70"/>
        <v>0</v>
      </c>
      <c r="AN27" s="277">
        <f t="shared" si="71"/>
        <v>0</v>
      </c>
      <c r="AO27" s="277">
        <f t="shared" si="72"/>
        <v>0</v>
      </c>
      <c r="AP27" s="277">
        <f t="shared" si="21"/>
        <v>0</v>
      </c>
      <c r="AQ27" s="277">
        <f t="shared" si="22"/>
        <v>0</v>
      </c>
      <c r="AR27" s="277">
        <f t="shared" si="23"/>
        <v>0</v>
      </c>
      <c r="AS27" s="277">
        <f t="shared" si="24"/>
        <v>0</v>
      </c>
      <c r="AT27" s="277">
        <f t="shared" si="73"/>
        <v>0</v>
      </c>
      <c r="AU27" s="277">
        <f t="shared" si="74"/>
        <v>0</v>
      </c>
      <c r="AV27" s="277">
        <f t="shared" si="25"/>
        <v>0</v>
      </c>
      <c r="AW27" s="277">
        <f t="shared" si="26"/>
        <v>0</v>
      </c>
      <c r="AX27" s="277">
        <f t="shared" si="27"/>
        <v>0</v>
      </c>
      <c r="AY27" s="277">
        <f t="shared" si="28"/>
        <v>0</v>
      </c>
      <c r="AZ27" s="277">
        <f t="shared" si="29"/>
        <v>0</v>
      </c>
      <c r="BA27" s="277">
        <f t="shared" si="30"/>
        <v>0</v>
      </c>
      <c r="BB27" s="277">
        <f t="shared" si="31"/>
        <v>0</v>
      </c>
      <c r="BC27" s="277">
        <f t="shared" si="32"/>
        <v>0</v>
      </c>
      <c r="BD27" s="277">
        <f t="shared" si="33"/>
        <v>0</v>
      </c>
      <c r="BE27" s="277">
        <f t="shared" si="34"/>
        <v>0</v>
      </c>
      <c r="BF27" s="277">
        <f t="shared" si="35"/>
        <v>0</v>
      </c>
      <c r="BG27" s="277">
        <f t="shared" si="36"/>
        <v>0</v>
      </c>
      <c r="BH27" s="277">
        <f t="shared" si="75"/>
        <v>0</v>
      </c>
      <c r="BI27" s="277">
        <f t="shared" si="76"/>
        <v>0</v>
      </c>
      <c r="BJ27" s="277">
        <f t="shared" si="37"/>
        <v>0</v>
      </c>
      <c r="BK27" s="277">
        <f t="shared" si="38"/>
        <v>0</v>
      </c>
      <c r="BL27" s="277">
        <f t="shared" si="39"/>
        <v>0</v>
      </c>
      <c r="BM27" s="277">
        <f t="shared" si="40"/>
        <v>0</v>
      </c>
      <c r="BN27" s="277">
        <f t="shared" si="41"/>
        <v>0</v>
      </c>
      <c r="BO27" s="277">
        <f t="shared" si="42"/>
        <v>0</v>
      </c>
      <c r="BP27" s="277">
        <f t="shared" si="77"/>
        <v>0</v>
      </c>
      <c r="BQ27" s="277">
        <f t="shared" si="78"/>
        <v>0</v>
      </c>
      <c r="BR27" s="277">
        <f t="shared" si="43"/>
        <v>0</v>
      </c>
      <c r="BS27" s="277">
        <f t="shared" si="44"/>
        <v>0</v>
      </c>
      <c r="BT27" s="277">
        <f t="shared" si="79"/>
        <v>0</v>
      </c>
      <c r="BU27" s="277">
        <f t="shared" si="80"/>
        <v>0</v>
      </c>
      <c r="BV27" s="277">
        <f t="shared" si="81"/>
        <v>0</v>
      </c>
      <c r="BW27" s="277">
        <f t="shared" si="82"/>
        <v>0</v>
      </c>
      <c r="BX27" s="277">
        <f t="shared" si="45"/>
        <v>0</v>
      </c>
      <c r="BY27" s="277">
        <f t="shared" si="46"/>
        <v>0</v>
      </c>
      <c r="BZ27" s="277">
        <f t="shared" si="47"/>
        <v>0</v>
      </c>
      <c r="CA27" s="277">
        <f t="shared" si="48"/>
        <v>0</v>
      </c>
      <c r="CB27" s="277">
        <f t="shared" si="49"/>
        <v>0</v>
      </c>
      <c r="CC27" s="277">
        <f t="shared" si="50"/>
        <v>0</v>
      </c>
      <c r="CD27" s="277">
        <f t="shared" si="83"/>
        <v>0</v>
      </c>
      <c r="CE27" s="277">
        <f t="shared" si="84"/>
        <v>0</v>
      </c>
      <c r="CF27" s="277">
        <f t="shared" si="85"/>
        <v>0</v>
      </c>
      <c r="CG27" s="277">
        <f t="shared" si="86"/>
        <v>0</v>
      </c>
      <c r="CH27" s="277">
        <f t="shared" si="51"/>
        <v>0</v>
      </c>
      <c r="CI27" s="277">
        <f t="shared" si="52"/>
        <v>0</v>
      </c>
      <c r="CJ27" s="277">
        <f t="shared" si="87"/>
        <v>0</v>
      </c>
      <c r="CK27" s="277">
        <f t="shared" si="88"/>
        <v>0</v>
      </c>
      <c r="CL27" s="277">
        <f t="shared" si="53"/>
        <v>0</v>
      </c>
      <c r="CM27" s="277">
        <f t="shared" si="54"/>
        <v>0</v>
      </c>
      <c r="CN27" s="277">
        <f t="shared" si="55"/>
        <v>0</v>
      </c>
      <c r="CO27" s="277">
        <f t="shared" si="56"/>
        <v>0</v>
      </c>
      <c r="CP27" s="277">
        <f t="shared" si="89"/>
        <v>0</v>
      </c>
      <c r="CQ27" s="277">
        <f t="shared" si="90"/>
        <v>0</v>
      </c>
      <c r="CR27" s="277">
        <f t="shared" si="91"/>
        <v>0</v>
      </c>
      <c r="CS27" s="277">
        <f t="shared" si="92"/>
        <v>0</v>
      </c>
      <c r="CT27" s="277">
        <f t="shared" si="57"/>
        <v>0</v>
      </c>
      <c r="CU27" s="277">
        <f t="shared" si="58"/>
        <v>0</v>
      </c>
      <c r="CV27" s="277">
        <f t="shared" si="59"/>
        <v>0</v>
      </c>
      <c r="CW27" s="277">
        <f t="shared" si="60"/>
        <v>0</v>
      </c>
      <c r="CX27" s="277">
        <f t="shared" si="93"/>
        <v>0</v>
      </c>
      <c r="CY27" s="277">
        <f t="shared" si="94"/>
        <v>0</v>
      </c>
      <c r="CZ27" s="277">
        <f t="shared" si="95"/>
        <v>0</v>
      </c>
      <c r="DA27" s="277">
        <f t="shared" si="96"/>
        <v>0</v>
      </c>
    </row>
    <row r="28" spans="1:105" s="274" customFormat="1" ht="15" customHeight="1">
      <c r="A28" s="63" t="str">
        <f t="array" ref="A28">IF(C28&lt;&gt;0,SUM(($C$11:C28&lt;&gt;0)*1),"")</f>
        <v/>
      </c>
      <c r="B28" s="275"/>
      <c r="C28" s="275"/>
      <c r="D28" s="275"/>
      <c r="E28" s="365"/>
      <c r="F28" s="326"/>
      <c r="G28" s="328"/>
      <c r="H28" s="328"/>
      <c r="I28" s="63" t="str">
        <f t="shared" si="97"/>
        <v/>
      </c>
      <c r="J28" s="277">
        <f t="shared" si="61"/>
        <v>0</v>
      </c>
      <c r="K28" s="277">
        <f t="shared" si="62"/>
        <v>0</v>
      </c>
      <c r="L28" s="277">
        <f t="shared" si="1"/>
        <v>0</v>
      </c>
      <c r="M28" s="277">
        <f t="shared" si="2"/>
        <v>0</v>
      </c>
      <c r="N28" s="277">
        <f t="shared" si="3"/>
        <v>0</v>
      </c>
      <c r="O28" s="277">
        <f t="shared" si="4"/>
        <v>0</v>
      </c>
      <c r="P28" s="277">
        <f t="shared" si="5"/>
        <v>0</v>
      </c>
      <c r="Q28" s="277">
        <f t="shared" si="6"/>
        <v>0</v>
      </c>
      <c r="R28" s="277">
        <f t="shared" si="7"/>
        <v>0</v>
      </c>
      <c r="S28" s="277">
        <f t="shared" si="8"/>
        <v>0</v>
      </c>
      <c r="T28" s="277">
        <f t="shared" si="9"/>
        <v>0</v>
      </c>
      <c r="U28" s="277">
        <f t="shared" si="10"/>
        <v>0</v>
      </c>
      <c r="V28" s="277">
        <f t="shared" si="11"/>
        <v>0</v>
      </c>
      <c r="W28" s="277">
        <f t="shared" si="12"/>
        <v>0</v>
      </c>
      <c r="X28" s="277">
        <f t="shared" si="13"/>
        <v>0</v>
      </c>
      <c r="Y28" s="277">
        <f t="shared" si="14"/>
        <v>0</v>
      </c>
      <c r="Z28" s="277">
        <f t="shared" si="15"/>
        <v>0</v>
      </c>
      <c r="AA28" s="277">
        <f t="shared" si="16"/>
        <v>0</v>
      </c>
      <c r="AB28" s="277">
        <f t="shared" si="63"/>
        <v>0</v>
      </c>
      <c r="AC28" s="277">
        <f t="shared" si="64"/>
        <v>0</v>
      </c>
      <c r="AD28" s="277">
        <f t="shared" si="17"/>
        <v>0</v>
      </c>
      <c r="AE28" s="277">
        <f t="shared" si="18"/>
        <v>0</v>
      </c>
      <c r="AF28" s="277">
        <f t="shared" si="19"/>
        <v>0</v>
      </c>
      <c r="AG28" s="277">
        <f t="shared" si="20"/>
        <v>0</v>
      </c>
      <c r="AH28" s="277">
        <f t="shared" si="65"/>
        <v>0</v>
      </c>
      <c r="AI28" s="277">
        <f t="shared" si="66"/>
        <v>0</v>
      </c>
      <c r="AJ28" s="277">
        <f t="shared" si="67"/>
        <v>0</v>
      </c>
      <c r="AK28" s="277">
        <f t="shared" si="68"/>
        <v>0</v>
      </c>
      <c r="AL28" s="277">
        <f t="shared" si="69"/>
        <v>0</v>
      </c>
      <c r="AM28" s="277">
        <f t="shared" si="70"/>
        <v>0</v>
      </c>
      <c r="AN28" s="277">
        <f t="shared" si="71"/>
        <v>0</v>
      </c>
      <c r="AO28" s="277">
        <f t="shared" si="72"/>
        <v>0</v>
      </c>
      <c r="AP28" s="277">
        <f t="shared" si="21"/>
        <v>0</v>
      </c>
      <c r="AQ28" s="277">
        <f t="shared" si="22"/>
        <v>0</v>
      </c>
      <c r="AR28" s="277">
        <f t="shared" si="23"/>
        <v>0</v>
      </c>
      <c r="AS28" s="277">
        <f t="shared" si="24"/>
        <v>0</v>
      </c>
      <c r="AT28" s="277">
        <f t="shared" si="73"/>
        <v>0</v>
      </c>
      <c r="AU28" s="277">
        <f t="shared" si="74"/>
        <v>0</v>
      </c>
      <c r="AV28" s="277">
        <f t="shared" si="25"/>
        <v>0</v>
      </c>
      <c r="AW28" s="277">
        <f t="shared" si="26"/>
        <v>0</v>
      </c>
      <c r="AX28" s="277">
        <f t="shared" si="27"/>
        <v>0</v>
      </c>
      <c r="AY28" s="277">
        <f t="shared" si="28"/>
        <v>0</v>
      </c>
      <c r="AZ28" s="277">
        <f t="shared" si="29"/>
        <v>0</v>
      </c>
      <c r="BA28" s="277">
        <f t="shared" si="30"/>
        <v>0</v>
      </c>
      <c r="BB28" s="277">
        <f t="shared" si="31"/>
        <v>0</v>
      </c>
      <c r="BC28" s="277">
        <f t="shared" si="32"/>
        <v>0</v>
      </c>
      <c r="BD28" s="277">
        <f t="shared" si="33"/>
        <v>0</v>
      </c>
      <c r="BE28" s="277">
        <f t="shared" si="34"/>
        <v>0</v>
      </c>
      <c r="BF28" s="277">
        <f t="shared" si="35"/>
        <v>0</v>
      </c>
      <c r="BG28" s="277">
        <f t="shared" si="36"/>
        <v>0</v>
      </c>
      <c r="BH28" s="277">
        <f t="shared" si="75"/>
        <v>0</v>
      </c>
      <c r="BI28" s="277">
        <f t="shared" si="76"/>
        <v>0</v>
      </c>
      <c r="BJ28" s="277">
        <f t="shared" si="37"/>
        <v>0</v>
      </c>
      <c r="BK28" s="277">
        <f t="shared" si="38"/>
        <v>0</v>
      </c>
      <c r="BL28" s="277">
        <f t="shared" si="39"/>
        <v>0</v>
      </c>
      <c r="BM28" s="277">
        <f t="shared" si="40"/>
        <v>0</v>
      </c>
      <c r="BN28" s="277">
        <f t="shared" si="41"/>
        <v>0</v>
      </c>
      <c r="BO28" s="277">
        <f t="shared" si="42"/>
        <v>0</v>
      </c>
      <c r="BP28" s="277">
        <f t="shared" si="77"/>
        <v>0</v>
      </c>
      <c r="BQ28" s="277">
        <f t="shared" si="78"/>
        <v>0</v>
      </c>
      <c r="BR28" s="277">
        <f t="shared" si="43"/>
        <v>0</v>
      </c>
      <c r="BS28" s="277">
        <f t="shared" si="44"/>
        <v>0</v>
      </c>
      <c r="BT28" s="277">
        <f t="shared" si="79"/>
        <v>0</v>
      </c>
      <c r="BU28" s="277">
        <f t="shared" si="80"/>
        <v>0</v>
      </c>
      <c r="BV28" s="277">
        <f t="shared" si="81"/>
        <v>0</v>
      </c>
      <c r="BW28" s="277">
        <f t="shared" si="82"/>
        <v>0</v>
      </c>
      <c r="BX28" s="277">
        <f t="shared" si="45"/>
        <v>0</v>
      </c>
      <c r="BY28" s="277">
        <f t="shared" si="46"/>
        <v>0</v>
      </c>
      <c r="BZ28" s="277">
        <f t="shared" si="47"/>
        <v>0</v>
      </c>
      <c r="CA28" s="277">
        <f t="shared" si="48"/>
        <v>0</v>
      </c>
      <c r="CB28" s="277">
        <f t="shared" si="49"/>
        <v>0</v>
      </c>
      <c r="CC28" s="277">
        <f t="shared" si="50"/>
        <v>0</v>
      </c>
      <c r="CD28" s="277">
        <f t="shared" si="83"/>
        <v>0</v>
      </c>
      <c r="CE28" s="277">
        <f t="shared" si="84"/>
        <v>0</v>
      </c>
      <c r="CF28" s="277">
        <f t="shared" si="85"/>
        <v>0</v>
      </c>
      <c r="CG28" s="277">
        <f t="shared" si="86"/>
        <v>0</v>
      </c>
      <c r="CH28" s="277">
        <f t="shared" si="51"/>
        <v>0</v>
      </c>
      <c r="CI28" s="277">
        <f t="shared" si="52"/>
        <v>0</v>
      </c>
      <c r="CJ28" s="277">
        <f t="shared" si="87"/>
        <v>0</v>
      </c>
      <c r="CK28" s="277">
        <f t="shared" si="88"/>
        <v>0</v>
      </c>
      <c r="CL28" s="277">
        <f t="shared" si="53"/>
        <v>0</v>
      </c>
      <c r="CM28" s="277">
        <f t="shared" si="54"/>
        <v>0</v>
      </c>
      <c r="CN28" s="277">
        <f t="shared" si="55"/>
        <v>0</v>
      </c>
      <c r="CO28" s="277">
        <f t="shared" si="56"/>
        <v>0</v>
      </c>
      <c r="CP28" s="277">
        <f t="shared" si="89"/>
        <v>0</v>
      </c>
      <c r="CQ28" s="277">
        <f t="shared" si="90"/>
        <v>0</v>
      </c>
      <c r="CR28" s="277">
        <f t="shared" si="91"/>
        <v>0</v>
      </c>
      <c r="CS28" s="277">
        <f t="shared" si="92"/>
        <v>0</v>
      </c>
      <c r="CT28" s="277">
        <f t="shared" si="57"/>
        <v>0</v>
      </c>
      <c r="CU28" s="277">
        <f t="shared" si="58"/>
        <v>0</v>
      </c>
      <c r="CV28" s="277">
        <f t="shared" si="59"/>
        <v>0</v>
      </c>
      <c r="CW28" s="277">
        <f t="shared" si="60"/>
        <v>0</v>
      </c>
      <c r="CX28" s="277">
        <f t="shared" si="93"/>
        <v>0</v>
      </c>
      <c r="CY28" s="277">
        <f t="shared" si="94"/>
        <v>0</v>
      </c>
      <c r="CZ28" s="277">
        <f t="shared" si="95"/>
        <v>0</v>
      </c>
      <c r="DA28" s="277">
        <f t="shared" si="96"/>
        <v>0</v>
      </c>
    </row>
    <row r="29" spans="1:105" s="274" customFormat="1" ht="15" customHeight="1">
      <c r="A29" s="63" t="str">
        <f t="array" ref="A29">IF(C29&lt;&gt;0,SUM(($C$11:C29&lt;&gt;0)*1),"")</f>
        <v/>
      </c>
      <c r="B29" s="275"/>
      <c r="C29" s="275"/>
      <c r="D29" s="275"/>
      <c r="E29" s="365"/>
      <c r="F29" s="326"/>
      <c r="G29" s="328"/>
      <c r="H29" s="328"/>
      <c r="I29" s="63" t="str">
        <f t="shared" si="97"/>
        <v/>
      </c>
      <c r="J29" s="277">
        <f t="shared" si="61"/>
        <v>0</v>
      </c>
      <c r="K29" s="277">
        <f t="shared" si="62"/>
        <v>0</v>
      </c>
      <c r="L29" s="277">
        <f t="shared" si="1"/>
        <v>0</v>
      </c>
      <c r="M29" s="277">
        <f t="shared" si="2"/>
        <v>0</v>
      </c>
      <c r="N29" s="277">
        <f t="shared" si="3"/>
        <v>0</v>
      </c>
      <c r="O29" s="277">
        <f t="shared" si="4"/>
        <v>0</v>
      </c>
      <c r="P29" s="277">
        <f t="shared" si="5"/>
        <v>0</v>
      </c>
      <c r="Q29" s="277">
        <f t="shared" si="6"/>
        <v>0</v>
      </c>
      <c r="R29" s="277">
        <f t="shared" si="7"/>
        <v>0</v>
      </c>
      <c r="S29" s="277">
        <f t="shared" si="8"/>
        <v>0</v>
      </c>
      <c r="T29" s="277">
        <f t="shared" si="9"/>
        <v>0</v>
      </c>
      <c r="U29" s="277">
        <f t="shared" si="10"/>
        <v>0</v>
      </c>
      <c r="V29" s="277">
        <f t="shared" si="11"/>
        <v>0</v>
      </c>
      <c r="W29" s="277">
        <f t="shared" si="12"/>
        <v>0</v>
      </c>
      <c r="X29" s="277">
        <f t="shared" si="13"/>
        <v>0</v>
      </c>
      <c r="Y29" s="277">
        <f t="shared" si="14"/>
        <v>0</v>
      </c>
      <c r="Z29" s="277">
        <f t="shared" si="15"/>
        <v>0</v>
      </c>
      <c r="AA29" s="277">
        <f t="shared" si="16"/>
        <v>0</v>
      </c>
      <c r="AB29" s="277">
        <f t="shared" si="63"/>
        <v>0</v>
      </c>
      <c r="AC29" s="277">
        <f t="shared" si="64"/>
        <v>0</v>
      </c>
      <c r="AD29" s="277">
        <f t="shared" si="17"/>
        <v>0</v>
      </c>
      <c r="AE29" s="277">
        <f t="shared" si="18"/>
        <v>0</v>
      </c>
      <c r="AF29" s="277">
        <f t="shared" si="19"/>
        <v>0</v>
      </c>
      <c r="AG29" s="277">
        <f t="shared" si="20"/>
        <v>0</v>
      </c>
      <c r="AH29" s="277">
        <f t="shared" si="65"/>
        <v>0</v>
      </c>
      <c r="AI29" s="277">
        <f t="shared" si="66"/>
        <v>0</v>
      </c>
      <c r="AJ29" s="277">
        <f t="shared" si="67"/>
        <v>0</v>
      </c>
      <c r="AK29" s="277">
        <f t="shared" si="68"/>
        <v>0</v>
      </c>
      <c r="AL29" s="277">
        <f t="shared" si="69"/>
        <v>0</v>
      </c>
      <c r="AM29" s="277">
        <f t="shared" si="70"/>
        <v>0</v>
      </c>
      <c r="AN29" s="277">
        <f t="shared" si="71"/>
        <v>0</v>
      </c>
      <c r="AO29" s="277">
        <f t="shared" si="72"/>
        <v>0</v>
      </c>
      <c r="AP29" s="277">
        <f t="shared" si="21"/>
        <v>0</v>
      </c>
      <c r="AQ29" s="277">
        <f t="shared" si="22"/>
        <v>0</v>
      </c>
      <c r="AR29" s="277">
        <f t="shared" si="23"/>
        <v>0</v>
      </c>
      <c r="AS29" s="277">
        <f t="shared" si="24"/>
        <v>0</v>
      </c>
      <c r="AT29" s="277">
        <f t="shared" si="73"/>
        <v>0</v>
      </c>
      <c r="AU29" s="277">
        <f t="shared" si="74"/>
        <v>0</v>
      </c>
      <c r="AV29" s="277">
        <f t="shared" si="25"/>
        <v>0</v>
      </c>
      <c r="AW29" s="277">
        <f t="shared" si="26"/>
        <v>0</v>
      </c>
      <c r="AX29" s="277">
        <f t="shared" si="27"/>
        <v>0</v>
      </c>
      <c r="AY29" s="277">
        <f t="shared" si="28"/>
        <v>0</v>
      </c>
      <c r="AZ29" s="277">
        <f t="shared" si="29"/>
        <v>0</v>
      </c>
      <c r="BA29" s="277">
        <f t="shared" si="30"/>
        <v>0</v>
      </c>
      <c r="BB29" s="277">
        <f t="shared" si="31"/>
        <v>0</v>
      </c>
      <c r="BC29" s="277">
        <f t="shared" si="32"/>
        <v>0</v>
      </c>
      <c r="BD29" s="277">
        <f t="shared" si="33"/>
        <v>0</v>
      </c>
      <c r="BE29" s="277">
        <f t="shared" si="34"/>
        <v>0</v>
      </c>
      <c r="BF29" s="277">
        <f t="shared" si="35"/>
        <v>0</v>
      </c>
      <c r="BG29" s="277">
        <f t="shared" si="36"/>
        <v>0</v>
      </c>
      <c r="BH29" s="277">
        <f t="shared" si="75"/>
        <v>0</v>
      </c>
      <c r="BI29" s="277">
        <f t="shared" si="76"/>
        <v>0</v>
      </c>
      <c r="BJ29" s="277">
        <f t="shared" si="37"/>
        <v>0</v>
      </c>
      <c r="BK29" s="277">
        <f t="shared" si="38"/>
        <v>0</v>
      </c>
      <c r="BL29" s="277">
        <f t="shared" si="39"/>
        <v>0</v>
      </c>
      <c r="BM29" s="277">
        <f t="shared" si="40"/>
        <v>0</v>
      </c>
      <c r="BN29" s="277">
        <f t="shared" si="41"/>
        <v>0</v>
      </c>
      <c r="BO29" s="277">
        <f t="shared" si="42"/>
        <v>0</v>
      </c>
      <c r="BP29" s="277">
        <f t="shared" si="77"/>
        <v>0</v>
      </c>
      <c r="BQ29" s="277">
        <f t="shared" si="78"/>
        <v>0</v>
      </c>
      <c r="BR29" s="277">
        <f t="shared" si="43"/>
        <v>0</v>
      </c>
      <c r="BS29" s="277">
        <f t="shared" si="44"/>
        <v>0</v>
      </c>
      <c r="BT29" s="277">
        <f t="shared" si="79"/>
        <v>0</v>
      </c>
      <c r="BU29" s="277">
        <f t="shared" si="80"/>
        <v>0</v>
      </c>
      <c r="BV29" s="277">
        <f t="shared" si="81"/>
        <v>0</v>
      </c>
      <c r="BW29" s="277">
        <f t="shared" si="82"/>
        <v>0</v>
      </c>
      <c r="BX29" s="277">
        <f t="shared" si="45"/>
        <v>0</v>
      </c>
      <c r="BY29" s="277">
        <f t="shared" si="46"/>
        <v>0</v>
      </c>
      <c r="BZ29" s="277">
        <f t="shared" si="47"/>
        <v>0</v>
      </c>
      <c r="CA29" s="277">
        <f t="shared" si="48"/>
        <v>0</v>
      </c>
      <c r="CB29" s="277">
        <f t="shared" si="49"/>
        <v>0</v>
      </c>
      <c r="CC29" s="277">
        <f t="shared" si="50"/>
        <v>0</v>
      </c>
      <c r="CD29" s="277">
        <f t="shared" si="83"/>
        <v>0</v>
      </c>
      <c r="CE29" s="277">
        <f t="shared" si="84"/>
        <v>0</v>
      </c>
      <c r="CF29" s="277">
        <f t="shared" si="85"/>
        <v>0</v>
      </c>
      <c r="CG29" s="277">
        <f t="shared" si="86"/>
        <v>0</v>
      </c>
      <c r="CH29" s="277">
        <f t="shared" si="51"/>
        <v>0</v>
      </c>
      <c r="CI29" s="277">
        <f t="shared" si="52"/>
        <v>0</v>
      </c>
      <c r="CJ29" s="277">
        <f t="shared" si="87"/>
        <v>0</v>
      </c>
      <c r="CK29" s="277">
        <f t="shared" si="88"/>
        <v>0</v>
      </c>
      <c r="CL29" s="277">
        <f t="shared" si="53"/>
        <v>0</v>
      </c>
      <c r="CM29" s="277">
        <f t="shared" si="54"/>
        <v>0</v>
      </c>
      <c r="CN29" s="277">
        <f t="shared" si="55"/>
        <v>0</v>
      </c>
      <c r="CO29" s="277">
        <f t="shared" si="56"/>
        <v>0</v>
      </c>
      <c r="CP29" s="277">
        <f t="shared" si="89"/>
        <v>0</v>
      </c>
      <c r="CQ29" s="277">
        <f t="shared" si="90"/>
        <v>0</v>
      </c>
      <c r="CR29" s="277">
        <f t="shared" si="91"/>
        <v>0</v>
      </c>
      <c r="CS29" s="277">
        <f t="shared" si="92"/>
        <v>0</v>
      </c>
      <c r="CT29" s="277">
        <f t="shared" si="57"/>
        <v>0</v>
      </c>
      <c r="CU29" s="277">
        <f t="shared" si="58"/>
        <v>0</v>
      </c>
      <c r="CV29" s="277">
        <f t="shared" si="59"/>
        <v>0</v>
      </c>
      <c r="CW29" s="277">
        <f t="shared" si="60"/>
        <v>0</v>
      </c>
      <c r="CX29" s="277">
        <f t="shared" si="93"/>
        <v>0</v>
      </c>
      <c r="CY29" s="277">
        <f t="shared" si="94"/>
        <v>0</v>
      </c>
      <c r="CZ29" s="277">
        <f t="shared" si="95"/>
        <v>0</v>
      </c>
      <c r="DA29" s="277">
        <f t="shared" si="96"/>
        <v>0</v>
      </c>
    </row>
    <row r="30" spans="1:105" s="274" customFormat="1" ht="15" customHeight="1">
      <c r="A30" s="63" t="str">
        <f t="array" ref="A30">IF(C30&lt;&gt;0,SUM(($C$11:C30&lt;&gt;0)*1),"")</f>
        <v/>
      </c>
      <c r="B30" s="275"/>
      <c r="C30" s="275"/>
      <c r="D30" s="275"/>
      <c r="E30" s="365"/>
      <c r="F30" s="326"/>
      <c r="G30" s="328"/>
      <c r="H30" s="328"/>
      <c r="I30" s="63" t="str">
        <f t="shared" si="97"/>
        <v/>
      </c>
      <c r="J30" s="277">
        <f t="shared" si="61"/>
        <v>0</v>
      </c>
      <c r="K30" s="277">
        <f t="shared" si="62"/>
        <v>0</v>
      </c>
      <c r="L30" s="277">
        <f t="shared" si="1"/>
        <v>0</v>
      </c>
      <c r="M30" s="277">
        <f t="shared" si="2"/>
        <v>0</v>
      </c>
      <c r="N30" s="277">
        <f t="shared" si="3"/>
        <v>0</v>
      </c>
      <c r="O30" s="277">
        <f t="shared" si="4"/>
        <v>0</v>
      </c>
      <c r="P30" s="277">
        <f t="shared" si="5"/>
        <v>0</v>
      </c>
      <c r="Q30" s="277">
        <f t="shared" si="6"/>
        <v>0</v>
      </c>
      <c r="R30" s="277">
        <f t="shared" si="7"/>
        <v>0</v>
      </c>
      <c r="S30" s="277">
        <f t="shared" si="8"/>
        <v>0</v>
      </c>
      <c r="T30" s="277">
        <f t="shared" si="9"/>
        <v>0</v>
      </c>
      <c r="U30" s="277">
        <f t="shared" si="10"/>
        <v>0</v>
      </c>
      <c r="V30" s="277">
        <f t="shared" si="11"/>
        <v>0</v>
      </c>
      <c r="W30" s="277">
        <f t="shared" si="12"/>
        <v>0</v>
      </c>
      <c r="X30" s="277">
        <f t="shared" si="13"/>
        <v>0</v>
      </c>
      <c r="Y30" s="277">
        <f t="shared" si="14"/>
        <v>0</v>
      </c>
      <c r="Z30" s="277">
        <f t="shared" si="15"/>
        <v>0</v>
      </c>
      <c r="AA30" s="277">
        <f t="shared" si="16"/>
        <v>0</v>
      </c>
      <c r="AB30" s="277">
        <f t="shared" si="63"/>
        <v>0</v>
      </c>
      <c r="AC30" s="277">
        <f t="shared" si="64"/>
        <v>0</v>
      </c>
      <c r="AD30" s="277">
        <f t="shared" si="17"/>
        <v>0</v>
      </c>
      <c r="AE30" s="277">
        <f t="shared" si="18"/>
        <v>0</v>
      </c>
      <c r="AF30" s="277">
        <f t="shared" si="19"/>
        <v>0</v>
      </c>
      <c r="AG30" s="277">
        <f t="shared" si="20"/>
        <v>0</v>
      </c>
      <c r="AH30" s="277">
        <f t="shared" si="65"/>
        <v>0</v>
      </c>
      <c r="AI30" s="277">
        <f t="shared" si="66"/>
        <v>0</v>
      </c>
      <c r="AJ30" s="277">
        <f t="shared" si="67"/>
        <v>0</v>
      </c>
      <c r="AK30" s="277">
        <f t="shared" si="68"/>
        <v>0</v>
      </c>
      <c r="AL30" s="277">
        <f t="shared" si="69"/>
        <v>0</v>
      </c>
      <c r="AM30" s="277">
        <f t="shared" si="70"/>
        <v>0</v>
      </c>
      <c r="AN30" s="277">
        <f t="shared" si="71"/>
        <v>0</v>
      </c>
      <c r="AO30" s="277">
        <f t="shared" si="72"/>
        <v>0</v>
      </c>
      <c r="AP30" s="277">
        <f t="shared" si="21"/>
        <v>0</v>
      </c>
      <c r="AQ30" s="277">
        <f t="shared" si="22"/>
        <v>0</v>
      </c>
      <c r="AR30" s="277">
        <f t="shared" si="23"/>
        <v>0</v>
      </c>
      <c r="AS30" s="277">
        <f t="shared" si="24"/>
        <v>0</v>
      </c>
      <c r="AT30" s="277">
        <f t="shared" si="73"/>
        <v>0</v>
      </c>
      <c r="AU30" s="277">
        <f t="shared" si="74"/>
        <v>0</v>
      </c>
      <c r="AV30" s="277">
        <f t="shared" si="25"/>
        <v>0</v>
      </c>
      <c r="AW30" s="277">
        <f t="shared" si="26"/>
        <v>0</v>
      </c>
      <c r="AX30" s="277">
        <f t="shared" si="27"/>
        <v>0</v>
      </c>
      <c r="AY30" s="277">
        <f t="shared" si="28"/>
        <v>0</v>
      </c>
      <c r="AZ30" s="277">
        <f t="shared" si="29"/>
        <v>0</v>
      </c>
      <c r="BA30" s="277">
        <f t="shared" si="30"/>
        <v>0</v>
      </c>
      <c r="BB30" s="277">
        <f t="shared" si="31"/>
        <v>0</v>
      </c>
      <c r="BC30" s="277">
        <f t="shared" si="32"/>
        <v>0</v>
      </c>
      <c r="BD30" s="277">
        <f t="shared" si="33"/>
        <v>0</v>
      </c>
      <c r="BE30" s="277">
        <f t="shared" si="34"/>
        <v>0</v>
      </c>
      <c r="BF30" s="277">
        <f t="shared" si="35"/>
        <v>0</v>
      </c>
      <c r="BG30" s="277">
        <f t="shared" si="36"/>
        <v>0</v>
      </c>
      <c r="BH30" s="277">
        <f t="shared" si="75"/>
        <v>0</v>
      </c>
      <c r="BI30" s="277">
        <f t="shared" si="76"/>
        <v>0</v>
      </c>
      <c r="BJ30" s="277">
        <f t="shared" si="37"/>
        <v>0</v>
      </c>
      <c r="BK30" s="277">
        <f t="shared" si="38"/>
        <v>0</v>
      </c>
      <c r="BL30" s="277">
        <f t="shared" si="39"/>
        <v>0</v>
      </c>
      <c r="BM30" s="277">
        <f t="shared" si="40"/>
        <v>0</v>
      </c>
      <c r="BN30" s="277">
        <f t="shared" si="41"/>
        <v>0</v>
      </c>
      <c r="BO30" s="277">
        <f t="shared" si="42"/>
        <v>0</v>
      </c>
      <c r="BP30" s="277">
        <f t="shared" si="77"/>
        <v>0</v>
      </c>
      <c r="BQ30" s="277">
        <f t="shared" si="78"/>
        <v>0</v>
      </c>
      <c r="BR30" s="277">
        <f t="shared" si="43"/>
        <v>0</v>
      </c>
      <c r="BS30" s="277">
        <f t="shared" si="44"/>
        <v>0</v>
      </c>
      <c r="BT30" s="277">
        <f t="shared" si="79"/>
        <v>0</v>
      </c>
      <c r="BU30" s="277">
        <f t="shared" si="80"/>
        <v>0</v>
      </c>
      <c r="BV30" s="277">
        <f t="shared" si="81"/>
        <v>0</v>
      </c>
      <c r="BW30" s="277">
        <f t="shared" si="82"/>
        <v>0</v>
      </c>
      <c r="BX30" s="277">
        <f t="shared" si="45"/>
        <v>0</v>
      </c>
      <c r="BY30" s="277">
        <f t="shared" si="46"/>
        <v>0</v>
      </c>
      <c r="BZ30" s="277">
        <f t="shared" si="47"/>
        <v>0</v>
      </c>
      <c r="CA30" s="277">
        <f t="shared" si="48"/>
        <v>0</v>
      </c>
      <c r="CB30" s="277">
        <f t="shared" si="49"/>
        <v>0</v>
      </c>
      <c r="CC30" s="277">
        <f t="shared" si="50"/>
        <v>0</v>
      </c>
      <c r="CD30" s="277">
        <f t="shared" si="83"/>
        <v>0</v>
      </c>
      <c r="CE30" s="277">
        <f t="shared" si="84"/>
        <v>0</v>
      </c>
      <c r="CF30" s="277">
        <f t="shared" si="85"/>
        <v>0</v>
      </c>
      <c r="CG30" s="277">
        <f t="shared" si="86"/>
        <v>0</v>
      </c>
      <c r="CH30" s="277">
        <f t="shared" si="51"/>
        <v>0</v>
      </c>
      <c r="CI30" s="277">
        <f t="shared" si="52"/>
        <v>0</v>
      </c>
      <c r="CJ30" s="277">
        <f t="shared" si="87"/>
        <v>0</v>
      </c>
      <c r="CK30" s="277">
        <f t="shared" si="88"/>
        <v>0</v>
      </c>
      <c r="CL30" s="277">
        <f t="shared" si="53"/>
        <v>0</v>
      </c>
      <c r="CM30" s="277">
        <f t="shared" si="54"/>
        <v>0</v>
      </c>
      <c r="CN30" s="277">
        <f t="shared" si="55"/>
        <v>0</v>
      </c>
      <c r="CO30" s="277">
        <f t="shared" si="56"/>
        <v>0</v>
      </c>
      <c r="CP30" s="277">
        <f t="shared" si="89"/>
        <v>0</v>
      </c>
      <c r="CQ30" s="277">
        <f t="shared" si="90"/>
        <v>0</v>
      </c>
      <c r="CR30" s="277">
        <f t="shared" si="91"/>
        <v>0</v>
      </c>
      <c r="CS30" s="277">
        <f t="shared" si="92"/>
        <v>0</v>
      </c>
      <c r="CT30" s="277">
        <f t="shared" si="57"/>
        <v>0</v>
      </c>
      <c r="CU30" s="277">
        <f t="shared" si="58"/>
        <v>0</v>
      </c>
      <c r="CV30" s="277">
        <f t="shared" si="59"/>
        <v>0</v>
      </c>
      <c r="CW30" s="277">
        <f t="shared" si="60"/>
        <v>0</v>
      </c>
      <c r="CX30" s="277">
        <f t="shared" si="93"/>
        <v>0</v>
      </c>
      <c r="CY30" s="277">
        <f t="shared" si="94"/>
        <v>0</v>
      </c>
      <c r="CZ30" s="277">
        <f t="shared" si="95"/>
        <v>0</v>
      </c>
      <c r="DA30" s="277">
        <f t="shared" si="96"/>
        <v>0</v>
      </c>
    </row>
    <row r="31" spans="1:105" s="274" customFormat="1" ht="15" customHeight="1">
      <c r="A31" s="63" t="str">
        <f t="array" ref="A31">IF(C31&lt;&gt;0,SUM(($C$11:C31&lt;&gt;0)*1),"")</f>
        <v/>
      </c>
      <c r="B31" s="275"/>
      <c r="C31" s="275"/>
      <c r="D31" s="275"/>
      <c r="E31" s="365"/>
      <c r="F31" s="326"/>
      <c r="G31" s="328"/>
      <c r="H31" s="328"/>
      <c r="I31" s="63" t="str">
        <f t="shared" si="97"/>
        <v/>
      </c>
      <c r="J31" s="277">
        <f t="shared" si="61"/>
        <v>0</v>
      </c>
      <c r="K31" s="277">
        <f t="shared" si="62"/>
        <v>0</v>
      </c>
      <c r="L31" s="277">
        <f t="shared" si="1"/>
        <v>0</v>
      </c>
      <c r="M31" s="277">
        <f t="shared" si="2"/>
        <v>0</v>
      </c>
      <c r="N31" s="277">
        <f t="shared" si="3"/>
        <v>0</v>
      </c>
      <c r="O31" s="277">
        <f t="shared" si="4"/>
        <v>0</v>
      </c>
      <c r="P31" s="277">
        <f t="shared" si="5"/>
        <v>0</v>
      </c>
      <c r="Q31" s="277">
        <f t="shared" si="6"/>
        <v>0</v>
      </c>
      <c r="R31" s="277">
        <f t="shared" si="7"/>
        <v>0</v>
      </c>
      <c r="S31" s="277">
        <f t="shared" si="8"/>
        <v>0</v>
      </c>
      <c r="T31" s="277">
        <f t="shared" si="9"/>
        <v>0</v>
      </c>
      <c r="U31" s="277">
        <f t="shared" si="10"/>
        <v>0</v>
      </c>
      <c r="V31" s="277">
        <f t="shared" si="11"/>
        <v>0</v>
      </c>
      <c r="W31" s="277">
        <f t="shared" si="12"/>
        <v>0</v>
      </c>
      <c r="X31" s="277">
        <f t="shared" si="13"/>
        <v>0</v>
      </c>
      <c r="Y31" s="277">
        <f t="shared" si="14"/>
        <v>0</v>
      </c>
      <c r="Z31" s="277">
        <f t="shared" si="15"/>
        <v>0</v>
      </c>
      <c r="AA31" s="277">
        <f t="shared" si="16"/>
        <v>0</v>
      </c>
      <c r="AB31" s="277">
        <f t="shared" si="63"/>
        <v>0</v>
      </c>
      <c r="AC31" s="277">
        <f t="shared" si="64"/>
        <v>0</v>
      </c>
      <c r="AD31" s="277">
        <f t="shared" si="17"/>
        <v>0</v>
      </c>
      <c r="AE31" s="277">
        <f t="shared" si="18"/>
        <v>0</v>
      </c>
      <c r="AF31" s="277">
        <f t="shared" si="19"/>
        <v>0</v>
      </c>
      <c r="AG31" s="277">
        <f t="shared" si="20"/>
        <v>0</v>
      </c>
      <c r="AH31" s="277">
        <f t="shared" si="65"/>
        <v>0</v>
      </c>
      <c r="AI31" s="277">
        <f t="shared" si="66"/>
        <v>0</v>
      </c>
      <c r="AJ31" s="277">
        <f t="shared" si="67"/>
        <v>0</v>
      </c>
      <c r="AK31" s="277">
        <f t="shared" si="68"/>
        <v>0</v>
      </c>
      <c r="AL31" s="277">
        <f t="shared" si="69"/>
        <v>0</v>
      </c>
      <c r="AM31" s="277">
        <f t="shared" si="70"/>
        <v>0</v>
      </c>
      <c r="AN31" s="277">
        <f t="shared" si="71"/>
        <v>0</v>
      </c>
      <c r="AO31" s="277">
        <f t="shared" si="72"/>
        <v>0</v>
      </c>
      <c r="AP31" s="277">
        <f t="shared" si="21"/>
        <v>0</v>
      </c>
      <c r="AQ31" s="277">
        <f t="shared" si="22"/>
        <v>0</v>
      </c>
      <c r="AR31" s="277">
        <f t="shared" si="23"/>
        <v>0</v>
      </c>
      <c r="AS31" s="277">
        <f t="shared" si="24"/>
        <v>0</v>
      </c>
      <c r="AT31" s="277">
        <f t="shared" si="73"/>
        <v>0</v>
      </c>
      <c r="AU31" s="277">
        <f t="shared" si="74"/>
        <v>0</v>
      </c>
      <c r="AV31" s="277">
        <f t="shared" si="25"/>
        <v>0</v>
      </c>
      <c r="AW31" s="277">
        <f t="shared" si="26"/>
        <v>0</v>
      </c>
      <c r="AX31" s="277">
        <f t="shared" si="27"/>
        <v>0</v>
      </c>
      <c r="AY31" s="277">
        <f t="shared" si="28"/>
        <v>0</v>
      </c>
      <c r="AZ31" s="277">
        <f t="shared" si="29"/>
        <v>0</v>
      </c>
      <c r="BA31" s="277">
        <f t="shared" si="30"/>
        <v>0</v>
      </c>
      <c r="BB31" s="277">
        <f t="shared" si="31"/>
        <v>0</v>
      </c>
      <c r="BC31" s="277">
        <f t="shared" si="32"/>
        <v>0</v>
      </c>
      <c r="BD31" s="277">
        <f t="shared" si="33"/>
        <v>0</v>
      </c>
      <c r="BE31" s="277">
        <f t="shared" si="34"/>
        <v>0</v>
      </c>
      <c r="BF31" s="277">
        <f t="shared" si="35"/>
        <v>0</v>
      </c>
      <c r="BG31" s="277">
        <f t="shared" si="36"/>
        <v>0</v>
      </c>
      <c r="BH31" s="277">
        <f t="shared" si="75"/>
        <v>0</v>
      </c>
      <c r="BI31" s="277">
        <f t="shared" si="76"/>
        <v>0</v>
      </c>
      <c r="BJ31" s="277">
        <f t="shared" si="37"/>
        <v>0</v>
      </c>
      <c r="BK31" s="277">
        <f t="shared" si="38"/>
        <v>0</v>
      </c>
      <c r="BL31" s="277">
        <f t="shared" si="39"/>
        <v>0</v>
      </c>
      <c r="BM31" s="277">
        <f t="shared" si="40"/>
        <v>0</v>
      </c>
      <c r="BN31" s="277">
        <f t="shared" si="41"/>
        <v>0</v>
      </c>
      <c r="BO31" s="277">
        <f t="shared" si="42"/>
        <v>0</v>
      </c>
      <c r="BP31" s="277">
        <f t="shared" si="77"/>
        <v>0</v>
      </c>
      <c r="BQ31" s="277">
        <f t="shared" si="78"/>
        <v>0</v>
      </c>
      <c r="BR31" s="277">
        <f t="shared" si="43"/>
        <v>0</v>
      </c>
      <c r="BS31" s="277">
        <f t="shared" si="44"/>
        <v>0</v>
      </c>
      <c r="BT31" s="277">
        <f t="shared" si="79"/>
        <v>0</v>
      </c>
      <c r="BU31" s="277">
        <f t="shared" si="80"/>
        <v>0</v>
      </c>
      <c r="BV31" s="277">
        <f t="shared" si="81"/>
        <v>0</v>
      </c>
      <c r="BW31" s="277">
        <f t="shared" si="82"/>
        <v>0</v>
      </c>
      <c r="BX31" s="277">
        <f t="shared" si="45"/>
        <v>0</v>
      </c>
      <c r="BY31" s="277">
        <f t="shared" si="46"/>
        <v>0</v>
      </c>
      <c r="BZ31" s="277">
        <f t="shared" si="47"/>
        <v>0</v>
      </c>
      <c r="CA31" s="277">
        <f t="shared" si="48"/>
        <v>0</v>
      </c>
      <c r="CB31" s="277">
        <f t="shared" si="49"/>
        <v>0</v>
      </c>
      <c r="CC31" s="277">
        <f t="shared" si="50"/>
        <v>0</v>
      </c>
      <c r="CD31" s="277">
        <f t="shared" si="83"/>
        <v>0</v>
      </c>
      <c r="CE31" s="277">
        <f t="shared" si="84"/>
        <v>0</v>
      </c>
      <c r="CF31" s="277">
        <f t="shared" si="85"/>
        <v>0</v>
      </c>
      <c r="CG31" s="277">
        <f t="shared" si="86"/>
        <v>0</v>
      </c>
      <c r="CH31" s="277">
        <f t="shared" si="51"/>
        <v>0</v>
      </c>
      <c r="CI31" s="277">
        <f t="shared" si="52"/>
        <v>0</v>
      </c>
      <c r="CJ31" s="277">
        <f t="shared" si="87"/>
        <v>0</v>
      </c>
      <c r="CK31" s="277">
        <f t="shared" si="88"/>
        <v>0</v>
      </c>
      <c r="CL31" s="277">
        <f t="shared" si="53"/>
        <v>0</v>
      </c>
      <c r="CM31" s="277">
        <f t="shared" si="54"/>
        <v>0</v>
      </c>
      <c r="CN31" s="277">
        <f t="shared" si="55"/>
        <v>0</v>
      </c>
      <c r="CO31" s="277">
        <f t="shared" si="56"/>
        <v>0</v>
      </c>
      <c r="CP31" s="277">
        <f t="shared" si="89"/>
        <v>0</v>
      </c>
      <c r="CQ31" s="277">
        <f t="shared" si="90"/>
        <v>0</v>
      </c>
      <c r="CR31" s="277">
        <f t="shared" si="91"/>
        <v>0</v>
      </c>
      <c r="CS31" s="277">
        <f t="shared" si="92"/>
        <v>0</v>
      </c>
      <c r="CT31" s="277">
        <f t="shared" si="57"/>
        <v>0</v>
      </c>
      <c r="CU31" s="277">
        <f t="shared" si="58"/>
        <v>0</v>
      </c>
      <c r="CV31" s="277">
        <f t="shared" si="59"/>
        <v>0</v>
      </c>
      <c r="CW31" s="277">
        <f t="shared" si="60"/>
        <v>0</v>
      </c>
      <c r="CX31" s="277">
        <f t="shared" si="93"/>
        <v>0</v>
      </c>
      <c r="CY31" s="277">
        <f t="shared" si="94"/>
        <v>0</v>
      </c>
      <c r="CZ31" s="277">
        <f t="shared" si="95"/>
        <v>0</v>
      </c>
      <c r="DA31" s="277">
        <f t="shared" si="96"/>
        <v>0</v>
      </c>
    </row>
    <row r="32" spans="1:105" s="274" customFormat="1" ht="15" customHeight="1">
      <c r="A32" s="63" t="str">
        <f t="array" ref="A32">IF(C32&lt;&gt;0,SUM(($C$11:C32&lt;&gt;0)*1),"")</f>
        <v/>
      </c>
      <c r="B32" s="275"/>
      <c r="C32" s="275"/>
      <c r="D32" s="275"/>
      <c r="E32" s="365"/>
      <c r="F32" s="326"/>
      <c r="G32" s="328"/>
      <c r="H32" s="328"/>
      <c r="I32" s="63" t="str">
        <f t="shared" si="97"/>
        <v/>
      </c>
      <c r="J32" s="277">
        <f t="shared" si="61"/>
        <v>0</v>
      </c>
      <c r="K32" s="277">
        <f t="shared" si="62"/>
        <v>0</v>
      </c>
      <c r="L32" s="277">
        <f t="shared" si="1"/>
        <v>0</v>
      </c>
      <c r="M32" s="277">
        <f t="shared" si="2"/>
        <v>0</v>
      </c>
      <c r="N32" s="277">
        <f t="shared" si="3"/>
        <v>0</v>
      </c>
      <c r="O32" s="277">
        <f t="shared" si="4"/>
        <v>0</v>
      </c>
      <c r="P32" s="277">
        <f t="shared" si="5"/>
        <v>0</v>
      </c>
      <c r="Q32" s="277">
        <f t="shared" si="6"/>
        <v>0</v>
      </c>
      <c r="R32" s="277">
        <f t="shared" si="7"/>
        <v>0</v>
      </c>
      <c r="S32" s="277">
        <f t="shared" si="8"/>
        <v>0</v>
      </c>
      <c r="T32" s="277">
        <f t="shared" si="9"/>
        <v>0</v>
      </c>
      <c r="U32" s="277">
        <f t="shared" si="10"/>
        <v>0</v>
      </c>
      <c r="V32" s="277">
        <f t="shared" si="11"/>
        <v>0</v>
      </c>
      <c r="W32" s="277">
        <f t="shared" si="12"/>
        <v>0</v>
      </c>
      <c r="X32" s="277">
        <f t="shared" si="13"/>
        <v>0</v>
      </c>
      <c r="Y32" s="277">
        <f t="shared" si="14"/>
        <v>0</v>
      </c>
      <c r="Z32" s="277">
        <f t="shared" si="15"/>
        <v>0</v>
      </c>
      <c r="AA32" s="277">
        <f t="shared" si="16"/>
        <v>0</v>
      </c>
      <c r="AB32" s="277">
        <f t="shared" si="63"/>
        <v>0</v>
      </c>
      <c r="AC32" s="277">
        <f t="shared" si="64"/>
        <v>0</v>
      </c>
      <c r="AD32" s="277">
        <f t="shared" si="17"/>
        <v>0</v>
      </c>
      <c r="AE32" s="277">
        <f t="shared" si="18"/>
        <v>0</v>
      </c>
      <c r="AF32" s="277">
        <f t="shared" si="19"/>
        <v>0</v>
      </c>
      <c r="AG32" s="277">
        <f t="shared" si="20"/>
        <v>0</v>
      </c>
      <c r="AH32" s="277">
        <f t="shared" si="65"/>
        <v>0</v>
      </c>
      <c r="AI32" s="277">
        <f t="shared" si="66"/>
        <v>0</v>
      </c>
      <c r="AJ32" s="277">
        <f t="shared" si="67"/>
        <v>0</v>
      </c>
      <c r="AK32" s="277">
        <f t="shared" si="68"/>
        <v>0</v>
      </c>
      <c r="AL32" s="277">
        <f t="shared" si="69"/>
        <v>0</v>
      </c>
      <c r="AM32" s="277">
        <f t="shared" si="70"/>
        <v>0</v>
      </c>
      <c r="AN32" s="277">
        <f t="shared" si="71"/>
        <v>0</v>
      </c>
      <c r="AO32" s="277">
        <f t="shared" si="72"/>
        <v>0</v>
      </c>
      <c r="AP32" s="277">
        <f t="shared" si="21"/>
        <v>0</v>
      </c>
      <c r="AQ32" s="277">
        <f t="shared" si="22"/>
        <v>0</v>
      </c>
      <c r="AR32" s="277">
        <f t="shared" si="23"/>
        <v>0</v>
      </c>
      <c r="AS32" s="277">
        <f t="shared" si="24"/>
        <v>0</v>
      </c>
      <c r="AT32" s="277">
        <f t="shared" si="73"/>
        <v>0</v>
      </c>
      <c r="AU32" s="277">
        <f t="shared" si="74"/>
        <v>0</v>
      </c>
      <c r="AV32" s="277">
        <f t="shared" si="25"/>
        <v>0</v>
      </c>
      <c r="AW32" s="277">
        <f t="shared" si="26"/>
        <v>0</v>
      </c>
      <c r="AX32" s="277">
        <f t="shared" si="27"/>
        <v>0</v>
      </c>
      <c r="AY32" s="277">
        <f t="shared" si="28"/>
        <v>0</v>
      </c>
      <c r="AZ32" s="277">
        <f t="shared" si="29"/>
        <v>0</v>
      </c>
      <c r="BA32" s="277">
        <f t="shared" si="30"/>
        <v>0</v>
      </c>
      <c r="BB32" s="277">
        <f t="shared" si="31"/>
        <v>0</v>
      </c>
      <c r="BC32" s="277">
        <f t="shared" si="32"/>
        <v>0</v>
      </c>
      <c r="BD32" s="277">
        <f t="shared" si="33"/>
        <v>0</v>
      </c>
      <c r="BE32" s="277">
        <f t="shared" si="34"/>
        <v>0</v>
      </c>
      <c r="BF32" s="277">
        <f t="shared" si="35"/>
        <v>0</v>
      </c>
      <c r="BG32" s="277">
        <f t="shared" si="36"/>
        <v>0</v>
      </c>
      <c r="BH32" s="277">
        <f t="shared" si="75"/>
        <v>0</v>
      </c>
      <c r="BI32" s="277">
        <f t="shared" si="76"/>
        <v>0</v>
      </c>
      <c r="BJ32" s="277">
        <f t="shared" si="37"/>
        <v>0</v>
      </c>
      <c r="BK32" s="277">
        <f t="shared" si="38"/>
        <v>0</v>
      </c>
      <c r="BL32" s="277">
        <f t="shared" si="39"/>
        <v>0</v>
      </c>
      <c r="BM32" s="277">
        <f t="shared" si="40"/>
        <v>0</v>
      </c>
      <c r="BN32" s="277">
        <f t="shared" si="41"/>
        <v>0</v>
      </c>
      <c r="BO32" s="277">
        <f t="shared" si="42"/>
        <v>0</v>
      </c>
      <c r="BP32" s="277">
        <f t="shared" si="77"/>
        <v>0</v>
      </c>
      <c r="BQ32" s="277">
        <f t="shared" si="78"/>
        <v>0</v>
      </c>
      <c r="BR32" s="277">
        <f t="shared" si="43"/>
        <v>0</v>
      </c>
      <c r="BS32" s="277">
        <f t="shared" si="44"/>
        <v>0</v>
      </c>
      <c r="BT32" s="277">
        <f t="shared" si="79"/>
        <v>0</v>
      </c>
      <c r="BU32" s="277">
        <f t="shared" si="80"/>
        <v>0</v>
      </c>
      <c r="BV32" s="277">
        <f t="shared" si="81"/>
        <v>0</v>
      </c>
      <c r="BW32" s="277">
        <f t="shared" si="82"/>
        <v>0</v>
      </c>
      <c r="BX32" s="277">
        <f t="shared" si="45"/>
        <v>0</v>
      </c>
      <c r="BY32" s="277">
        <f t="shared" si="46"/>
        <v>0</v>
      </c>
      <c r="BZ32" s="277">
        <f t="shared" si="47"/>
        <v>0</v>
      </c>
      <c r="CA32" s="277">
        <f t="shared" si="48"/>
        <v>0</v>
      </c>
      <c r="CB32" s="277">
        <f t="shared" si="49"/>
        <v>0</v>
      </c>
      <c r="CC32" s="277">
        <f t="shared" si="50"/>
        <v>0</v>
      </c>
      <c r="CD32" s="277">
        <f t="shared" si="83"/>
        <v>0</v>
      </c>
      <c r="CE32" s="277">
        <f t="shared" si="84"/>
        <v>0</v>
      </c>
      <c r="CF32" s="277">
        <f t="shared" si="85"/>
        <v>0</v>
      </c>
      <c r="CG32" s="277">
        <f t="shared" si="86"/>
        <v>0</v>
      </c>
      <c r="CH32" s="277">
        <f t="shared" si="51"/>
        <v>0</v>
      </c>
      <c r="CI32" s="277">
        <f t="shared" si="52"/>
        <v>0</v>
      </c>
      <c r="CJ32" s="277">
        <f t="shared" si="87"/>
        <v>0</v>
      </c>
      <c r="CK32" s="277">
        <f t="shared" si="88"/>
        <v>0</v>
      </c>
      <c r="CL32" s="277">
        <f t="shared" si="53"/>
        <v>0</v>
      </c>
      <c r="CM32" s="277">
        <f t="shared" si="54"/>
        <v>0</v>
      </c>
      <c r="CN32" s="277">
        <f t="shared" si="55"/>
        <v>0</v>
      </c>
      <c r="CO32" s="277">
        <f t="shared" si="56"/>
        <v>0</v>
      </c>
      <c r="CP32" s="277">
        <f t="shared" si="89"/>
        <v>0</v>
      </c>
      <c r="CQ32" s="277">
        <f t="shared" si="90"/>
        <v>0</v>
      </c>
      <c r="CR32" s="277">
        <f t="shared" si="91"/>
        <v>0</v>
      </c>
      <c r="CS32" s="277">
        <f t="shared" si="92"/>
        <v>0</v>
      </c>
      <c r="CT32" s="277">
        <f t="shared" si="57"/>
        <v>0</v>
      </c>
      <c r="CU32" s="277">
        <f t="shared" si="58"/>
        <v>0</v>
      </c>
      <c r="CV32" s="277">
        <f t="shared" si="59"/>
        <v>0</v>
      </c>
      <c r="CW32" s="277">
        <f t="shared" si="60"/>
        <v>0</v>
      </c>
      <c r="CX32" s="277">
        <f t="shared" si="93"/>
        <v>0</v>
      </c>
      <c r="CY32" s="277">
        <f t="shared" si="94"/>
        <v>0</v>
      </c>
      <c r="CZ32" s="277">
        <f t="shared" si="95"/>
        <v>0</v>
      </c>
      <c r="DA32" s="277">
        <f t="shared" si="96"/>
        <v>0</v>
      </c>
    </row>
    <row r="33" spans="1:105" s="274" customFormat="1" ht="15" customHeight="1">
      <c r="A33" s="63" t="str">
        <f t="array" ref="A33">IF(C33&lt;&gt;0,SUM(($C$11:C33&lt;&gt;0)*1),"")</f>
        <v/>
      </c>
      <c r="B33" s="275"/>
      <c r="C33" s="275"/>
      <c r="D33" s="275"/>
      <c r="E33" s="365"/>
      <c r="F33" s="326"/>
      <c r="G33" s="328"/>
      <c r="H33" s="328"/>
      <c r="I33" s="63" t="str">
        <f t="shared" si="97"/>
        <v/>
      </c>
      <c r="J33" s="277">
        <f t="shared" si="61"/>
        <v>0</v>
      </c>
      <c r="K33" s="277">
        <f t="shared" si="62"/>
        <v>0</v>
      </c>
      <c r="L33" s="277">
        <f t="shared" si="1"/>
        <v>0</v>
      </c>
      <c r="M33" s="277">
        <f t="shared" si="2"/>
        <v>0</v>
      </c>
      <c r="N33" s="277">
        <f t="shared" si="3"/>
        <v>0</v>
      </c>
      <c r="O33" s="277">
        <f t="shared" si="4"/>
        <v>0</v>
      </c>
      <c r="P33" s="277">
        <f t="shared" si="5"/>
        <v>0</v>
      </c>
      <c r="Q33" s="277">
        <f t="shared" si="6"/>
        <v>0</v>
      </c>
      <c r="R33" s="277">
        <f t="shared" si="7"/>
        <v>0</v>
      </c>
      <c r="S33" s="277">
        <f t="shared" si="8"/>
        <v>0</v>
      </c>
      <c r="T33" s="277">
        <f t="shared" si="9"/>
        <v>0</v>
      </c>
      <c r="U33" s="277">
        <f t="shared" si="10"/>
        <v>0</v>
      </c>
      <c r="V33" s="277">
        <f t="shared" si="11"/>
        <v>0</v>
      </c>
      <c r="W33" s="277">
        <f t="shared" si="12"/>
        <v>0</v>
      </c>
      <c r="X33" s="277">
        <f t="shared" si="13"/>
        <v>0</v>
      </c>
      <c r="Y33" s="277">
        <f t="shared" si="14"/>
        <v>0</v>
      </c>
      <c r="Z33" s="277">
        <f t="shared" si="15"/>
        <v>0</v>
      </c>
      <c r="AA33" s="277">
        <f t="shared" si="16"/>
        <v>0</v>
      </c>
      <c r="AB33" s="277">
        <f t="shared" si="63"/>
        <v>0</v>
      </c>
      <c r="AC33" s="277">
        <f t="shared" si="64"/>
        <v>0</v>
      </c>
      <c r="AD33" s="277">
        <f t="shared" si="17"/>
        <v>0</v>
      </c>
      <c r="AE33" s="277">
        <f t="shared" si="18"/>
        <v>0</v>
      </c>
      <c r="AF33" s="277">
        <f t="shared" si="19"/>
        <v>0</v>
      </c>
      <c r="AG33" s="277">
        <f t="shared" si="20"/>
        <v>0</v>
      </c>
      <c r="AH33" s="277">
        <f t="shared" si="65"/>
        <v>0</v>
      </c>
      <c r="AI33" s="277">
        <f t="shared" si="66"/>
        <v>0</v>
      </c>
      <c r="AJ33" s="277">
        <f t="shared" si="67"/>
        <v>0</v>
      </c>
      <c r="AK33" s="277">
        <f t="shared" si="68"/>
        <v>0</v>
      </c>
      <c r="AL33" s="277">
        <f t="shared" si="69"/>
        <v>0</v>
      </c>
      <c r="AM33" s="277">
        <f t="shared" si="70"/>
        <v>0</v>
      </c>
      <c r="AN33" s="277">
        <f t="shared" si="71"/>
        <v>0</v>
      </c>
      <c r="AO33" s="277">
        <f t="shared" si="72"/>
        <v>0</v>
      </c>
      <c r="AP33" s="277">
        <f t="shared" si="21"/>
        <v>0</v>
      </c>
      <c r="AQ33" s="277">
        <f t="shared" si="22"/>
        <v>0</v>
      </c>
      <c r="AR33" s="277">
        <f t="shared" si="23"/>
        <v>0</v>
      </c>
      <c r="AS33" s="277">
        <f t="shared" si="24"/>
        <v>0</v>
      </c>
      <c r="AT33" s="277">
        <f t="shared" si="73"/>
        <v>0</v>
      </c>
      <c r="AU33" s="277">
        <f t="shared" si="74"/>
        <v>0</v>
      </c>
      <c r="AV33" s="277">
        <f t="shared" si="25"/>
        <v>0</v>
      </c>
      <c r="AW33" s="277">
        <f t="shared" si="26"/>
        <v>0</v>
      </c>
      <c r="AX33" s="277">
        <f t="shared" si="27"/>
        <v>0</v>
      </c>
      <c r="AY33" s="277">
        <f t="shared" si="28"/>
        <v>0</v>
      </c>
      <c r="AZ33" s="277">
        <f t="shared" si="29"/>
        <v>0</v>
      </c>
      <c r="BA33" s="277">
        <f t="shared" si="30"/>
        <v>0</v>
      </c>
      <c r="BB33" s="277">
        <f t="shared" si="31"/>
        <v>0</v>
      </c>
      <c r="BC33" s="277">
        <f t="shared" si="32"/>
        <v>0</v>
      </c>
      <c r="BD33" s="277">
        <f t="shared" si="33"/>
        <v>0</v>
      </c>
      <c r="BE33" s="277">
        <f t="shared" si="34"/>
        <v>0</v>
      </c>
      <c r="BF33" s="277">
        <f t="shared" si="35"/>
        <v>0</v>
      </c>
      <c r="BG33" s="277">
        <f t="shared" si="36"/>
        <v>0</v>
      </c>
      <c r="BH33" s="277">
        <f t="shared" si="75"/>
        <v>0</v>
      </c>
      <c r="BI33" s="277">
        <f t="shared" si="76"/>
        <v>0</v>
      </c>
      <c r="BJ33" s="277">
        <f t="shared" si="37"/>
        <v>0</v>
      </c>
      <c r="BK33" s="277">
        <f t="shared" si="38"/>
        <v>0</v>
      </c>
      <c r="BL33" s="277">
        <f t="shared" si="39"/>
        <v>0</v>
      </c>
      <c r="BM33" s="277">
        <f t="shared" si="40"/>
        <v>0</v>
      </c>
      <c r="BN33" s="277">
        <f t="shared" si="41"/>
        <v>0</v>
      </c>
      <c r="BO33" s="277">
        <f t="shared" si="42"/>
        <v>0</v>
      </c>
      <c r="BP33" s="277">
        <f t="shared" si="77"/>
        <v>0</v>
      </c>
      <c r="BQ33" s="277">
        <f t="shared" si="78"/>
        <v>0</v>
      </c>
      <c r="BR33" s="277">
        <f t="shared" si="43"/>
        <v>0</v>
      </c>
      <c r="BS33" s="277">
        <f t="shared" si="44"/>
        <v>0</v>
      </c>
      <c r="BT33" s="277">
        <f t="shared" si="79"/>
        <v>0</v>
      </c>
      <c r="BU33" s="277">
        <f t="shared" si="80"/>
        <v>0</v>
      </c>
      <c r="BV33" s="277">
        <f t="shared" si="81"/>
        <v>0</v>
      </c>
      <c r="BW33" s="277">
        <f t="shared" si="82"/>
        <v>0</v>
      </c>
      <c r="BX33" s="277">
        <f t="shared" si="45"/>
        <v>0</v>
      </c>
      <c r="BY33" s="277">
        <f t="shared" si="46"/>
        <v>0</v>
      </c>
      <c r="BZ33" s="277">
        <f t="shared" si="47"/>
        <v>0</v>
      </c>
      <c r="CA33" s="277">
        <f t="shared" si="48"/>
        <v>0</v>
      </c>
      <c r="CB33" s="277">
        <f t="shared" si="49"/>
        <v>0</v>
      </c>
      <c r="CC33" s="277">
        <f t="shared" si="50"/>
        <v>0</v>
      </c>
      <c r="CD33" s="277">
        <f t="shared" si="83"/>
        <v>0</v>
      </c>
      <c r="CE33" s="277">
        <f t="shared" si="84"/>
        <v>0</v>
      </c>
      <c r="CF33" s="277">
        <f t="shared" si="85"/>
        <v>0</v>
      </c>
      <c r="CG33" s="277">
        <f t="shared" si="86"/>
        <v>0</v>
      </c>
      <c r="CH33" s="277">
        <f t="shared" si="51"/>
        <v>0</v>
      </c>
      <c r="CI33" s="277">
        <f t="shared" si="52"/>
        <v>0</v>
      </c>
      <c r="CJ33" s="277">
        <f t="shared" si="87"/>
        <v>0</v>
      </c>
      <c r="CK33" s="277">
        <f t="shared" si="88"/>
        <v>0</v>
      </c>
      <c r="CL33" s="277">
        <f t="shared" si="53"/>
        <v>0</v>
      </c>
      <c r="CM33" s="277">
        <f t="shared" si="54"/>
        <v>0</v>
      </c>
      <c r="CN33" s="277">
        <f t="shared" si="55"/>
        <v>0</v>
      </c>
      <c r="CO33" s="277">
        <f t="shared" si="56"/>
        <v>0</v>
      </c>
      <c r="CP33" s="277">
        <f t="shared" si="89"/>
        <v>0</v>
      </c>
      <c r="CQ33" s="277">
        <f t="shared" si="90"/>
        <v>0</v>
      </c>
      <c r="CR33" s="277">
        <f t="shared" si="91"/>
        <v>0</v>
      </c>
      <c r="CS33" s="277">
        <f t="shared" si="92"/>
        <v>0</v>
      </c>
      <c r="CT33" s="277">
        <f t="shared" si="57"/>
        <v>0</v>
      </c>
      <c r="CU33" s="277">
        <f t="shared" si="58"/>
        <v>0</v>
      </c>
      <c r="CV33" s="277">
        <f t="shared" si="59"/>
        <v>0</v>
      </c>
      <c r="CW33" s="277">
        <f t="shared" si="60"/>
        <v>0</v>
      </c>
      <c r="CX33" s="277">
        <f t="shared" si="93"/>
        <v>0</v>
      </c>
      <c r="CY33" s="277">
        <f t="shared" si="94"/>
        <v>0</v>
      </c>
      <c r="CZ33" s="277">
        <f t="shared" si="95"/>
        <v>0</v>
      </c>
      <c r="DA33" s="277">
        <f t="shared" si="96"/>
        <v>0</v>
      </c>
    </row>
    <row r="34" spans="1:105" s="274" customFormat="1" ht="15" customHeight="1">
      <c r="A34" s="63" t="str">
        <f t="array" ref="A34">IF(C34&lt;&gt;0,SUM(($C$11:C34&lt;&gt;0)*1),"")</f>
        <v/>
      </c>
      <c r="B34" s="275"/>
      <c r="C34" s="275"/>
      <c r="D34" s="275"/>
      <c r="E34" s="365"/>
      <c r="F34" s="326"/>
      <c r="G34" s="328"/>
      <c r="H34" s="328"/>
      <c r="I34" s="63" t="str">
        <f t="shared" si="97"/>
        <v/>
      </c>
      <c r="J34" s="277">
        <f t="shared" si="61"/>
        <v>0</v>
      </c>
      <c r="K34" s="277">
        <f t="shared" si="62"/>
        <v>0</v>
      </c>
      <c r="L34" s="277">
        <f t="shared" si="1"/>
        <v>0</v>
      </c>
      <c r="M34" s="277">
        <f t="shared" si="2"/>
        <v>0</v>
      </c>
      <c r="N34" s="277">
        <f t="shared" si="3"/>
        <v>0</v>
      </c>
      <c r="O34" s="277">
        <f t="shared" si="4"/>
        <v>0</v>
      </c>
      <c r="P34" s="277">
        <f t="shared" si="5"/>
        <v>0</v>
      </c>
      <c r="Q34" s="277">
        <f t="shared" si="6"/>
        <v>0</v>
      </c>
      <c r="R34" s="277">
        <f t="shared" si="7"/>
        <v>0</v>
      </c>
      <c r="S34" s="277">
        <f t="shared" si="8"/>
        <v>0</v>
      </c>
      <c r="T34" s="277">
        <f t="shared" si="9"/>
        <v>0</v>
      </c>
      <c r="U34" s="277">
        <f t="shared" si="10"/>
        <v>0</v>
      </c>
      <c r="V34" s="277">
        <f t="shared" si="11"/>
        <v>0</v>
      </c>
      <c r="W34" s="277">
        <f t="shared" si="12"/>
        <v>0</v>
      </c>
      <c r="X34" s="277">
        <f t="shared" si="13"/>
        <v>0</v>
      </c>
      <c r="Y34" s="277">
        <f t="shared" si="14"/>
        <v>0</v>
      </c>
      <c r="Z34" s="277">
        <f t="shared" si="15"/>
        <v>0</v>
      </c>
      <c r="AA34" s="277">
        <f t="shared" si="16"/>
        <v>0</v>
      </c>
      <c r="AB34" s="277">
        <f t="shared" si="63"/>
        <v>0</v>
      </c>
      <c r="AC34" s="277">
        <f t="shared" si="64"/>
        <v>0</v>
      </c>
      <c r="AD34" s="277">
        <f t="shared" si="17"/>
        <v>0</v>
      </c>
      <c r="AE34" s="277">
        <f t="shared" si="18"/>
        <v>0</v>
      </c>
      <c r="AF34" s="277">
        <f t="shared" si="19"/>
        <v>0</v>
      </c>
      <c r="AG34" s="277">
        <f t="shared" si="20"/>
        <v>0</v>
      </c>
      <c r="AH34" s="277">
        <f t="shared" si="65"/>
        <v>0</v>
      </c>
      <c r="AI34" s="277">
        <f t="shared" si="66"/>
        <v>0</v>
      </c>
      <c r="AJ34" s="277">
        <f t="shared" si="67"/>
        <v>0</v>
      </c>
      <c r="AK34" s="277">
        <f t="shared" si="68"/>
        <v>0</v>
      </c>
      <c r="AL34" s="277">
        <f t="shared" si="69"/>
        <v>0</v>
      </c>
      <c r="AM34" s="277">
        <f t="shared" si="70"/>
        <v>0</v>
      </c>
      <c r="AN34" s="277">
        <f t="shared" si="71"/>
        <v>0</v>
      </c>
      <c r="AO34" s="277">
        <f t="shared" si="72"/>
        <v>0</v>
      </c>
      <c r="AP34" s="277">
        <f t="shared" si="21"/>
        <v>0</v>
      </c>
      <c r="AQ34" s="277">
        <f t="shared" si="22"/>
        <v>0</v>
      </c>
      <c r="AR34" s="277">
        <f t="shared" si="23"/>
        <v>0</v>
      </c>
      <c r="AS34" s="277">
        <f t="shared" si="24"/>
        <v>0</v>
      </c>
      <c r="AT34" s="277">
        <f t="shared" si="73"/>
        <v>0</v>
      </c>
      <c r="AU34" s="277">
        <f t="shared" si="74"/>
        <v>0</v>
      </c>
      <c r="AV34" s="277">
        <f t="shared" si="25"/>
        <v>0</v>
      </c>
      <c r="AW34" s="277">
        <f t="shared" si="26"/>
        <v>0</v>
      </c>
      <c r="AX34" s="277">
        <f t="shared" si="27"/>
        <v>0</v>
      </c>
      <c r="AY34" s="277">
        <f t="shared" si="28"/>
        <v>0</v>
      </c>
      <c r="AZ34" s="277">
        <f t="shared" si="29"/>
        <v>0</v>
      </c>
      <c r="BA34" s="277">
        <f t="shared" si="30"/>
        <v>0</v>
      </c>
      <c r="BB34" s="277">
        <f t="shared" si="31"/>
        <v>0</v>
      </c>
      <c r="BC34" s="277">
        <f t="shared" si="32"/>
        <v>0</v>
      </c>
      <c r="BD34" s="277">
        <f t="shared" si="33"/>
        <v>0</v>
      </c>
      <c r="BE34" s="277">
        <f t="shared" si="34"/>
        <v>0</v>
      </c>
      <c r="BF34" s="277">
        <f t="shared" si="35"/>
        <v>0</v>
      </c>
      <c r="BG34" s="277">
        <f t="shared" si="36"/>
        <v>0</v>
      </c>
      <c r="BH34" s="277">
        <f t="shared" si="75"/>
        <v>0</v>
      </c>
      <c r="BI34" s="277">
        <f t="shared" si="76"/>
        <v>0</v>
      </c>
      <c r="BJ34" s="277">
        <f t="shared" si="37"/>
        <v>0</v>
      </c>
      <c r="BK34" s="277">
        <f t="shared" si="38"/>
        <v>0</v>
      </c>
      <c r="BL34" s="277">
        <f t="shared" si="39"/>
        <v>0</v>
      </c>
      <c r="BM34" s="277">
        <f t="shared" si="40"/>
        <v>0</v>
      </c>
      <c r="BN34" s="277">
        <f t="shared" si="41"/>
        <v>0</v>
      </c>
      <c r="BO34" s="277">
        <f t="shared" si="42"/>
        <v>0</v>
      </c>
      <c r="BP34" s="277">
        <f t="shared" si="77"/>
        <v>0</v>
      </c>
      <c r="BQ34" s="277">
        <f t="shared" si="78"/>
        <v>0</v>
      </c>
      <c r="BR34" s="277">
        <f t="shared" si="43"/>
        <v>0</v>
      </c>
      <c r="BS34" s="277">
        <f t="shared" si="44"/>
        <v>0</v>
      </c>
      <c r="BT34" s="277">
        <f t="shared" si="79"/>
        <v>0</v>
      </c>
      <c r="BU34" s="277">
        <f t="shared" si="80"/>
        <v>0</v>
      </c>
      <c r="BV34" s="277">
        <f t="shared" si="81"/>
        <v>0</v>
      </c>
      <c r="BW34" s="277">
        <f t="shared" si="82"/>
        <v>0</v>
      </c>
      <c r="BX34" s="277">
        <f t="shared" si="45"/>
        <v>0</v>
      </c>
      <c r="BY34" s="277">
        <f t="shared" si="46"/>
        <v>0</v>
      </c>
      <c r="BZ34" s="277">
        <f t="shared" si="47"/>
        <v>0</v>
      </c>
      <c r="CA34" s="277">
        <f t="shared" si="48"/>
        <v>0</v>
      </c>
      <c r="CB34" s="277">
        <f t="shared" si="49"/>
        <v>0</v>
      </c>
      <c r="CC34" s="277">
        <f t="shared" si="50"/>
        <v>0</v>
      </c>
      <c r="CD34" s="277">
        <f t="shared" si="83"/>
        <v>0</v>
      </c>
      <c r="CE34" s="277">
        <f t="shared" si="84"/>
        <v>0</v>
      </c>
      <c r="CF34" s="277">
        <f t="shared" si="85"/>
        <v>0</v>
      </c>
      <c r="CG34" s="277">
        <f t="shared" si="86"/>
        <v>0</v>
      </c>
      <c r="CH34" s="277">
        <f t="shared" si="51"/>
        <v>0</v>
      </c>
      <c r="CI34" s="277">
        <f t="shared" si="52"/>
        <v>0</v>
      </c>
      <c r="CJ34" s="277">
        <f t="shared" si="87"/>
        <v>0</v>
      </c>
      <c r="CK34" s="277">
        <f t="shared" si="88"/>
        <v>0</v>
      </c>
      <c r="CL34" s="277">
        <f t="shared" si="53"/>
        <v>0</v>
      </c>
      <c r="CM34" s="277">
        <f t="shared" si="54"/>
        <v>0</v>
      </c>
      <c r="CN34" s="277">
        <f t="shared" si="55"/>
        <v>0</v>
      </c>
      <c r="CO34" s="277">
        <f t="shared" si="56"/>
        <v>0</v>
      </c>
      <c r="CP34" s="277">
        <f t="shared" si="89"/>
        <v>0</v>
      </c>
      <c r="CQ34" s="277">
        <f t="shared" si="90"/>
        <v>0</v>
      </c>
      <c r="CR34" s="277">
        <f t="shared" si="91"/>
        <v>0</v>
      </c>
      <c r="CS34" s="277">
        <f t="shared" si="92"/>
        <v>0</v>
      </c>
      <c r="CT34" s="277">
        <f t="shared" si="57"/>
        <v>0</v>
      </c>
      <c r="CU34" s="277">
        <f t="shared" si="58"/>
        <v>0</v>
      </c>
      <c r="CV34" s="277">
        <f t="shared" si="59"/>
        <v>0</v>
      </c>
      <c r="CW34" s="277">
        <f t="shared" si="60"/>
        <v>0</v>
      </c>
      <c r="CX34" s="277">
        <f t="shared" si="93"/>
        <v>0</v>
      </c>
      <c r="CY34" s="277">
        <f t="shared" si="94"/>
        <v>0</v>
      </c>
      <c r="CZ34" s="277">
        <f t="shared" si="95"/>
        <v>0</v>
      </c>
      <c r="DA34" s="277">
        <f t="shared" si="96"/>
        <v>0</v>
      </c>
    </row>
    <row r="35" spans="1:105" s="274" customFormat="1" ht="15" customHeight="1">
      <c r="A35" s="63" t="str">
        <f t="array" ref="A35">IF(C35&lt;&gt;0,SUM(($C$11:C35&lt;&gt;0)*1),"")</f>
        <v/>
      </c>
      <c r="B35" s="275"/>
      <c r="C35" s="275"/>
      <c r="D35" s="275"/>
      <c r="E35" s="365"/>
      <c r="F35" s="326"/>
      <c r="G35" s="328"/>
      <c r="H35" s="328"/>
      <c r="I35" s="63" t="str">
        <f t="shared" si="97"/>
        <v/>
      </c>
      <c r="J35" s="277">
        <f t="shared" si="61"/>
        <v>0</v>
      </c>
      <c r="K35" s="277">
        <f t="shared" si="62"/>
        <v>0</v>
      </c>
      <c r="L35" s="277">
        <f t="shared" si="1"/>
        <v>0</v>
      </c>
      <c r="M35" s="277">
        <f t="shared" si="2"/>
        <v>0</v>
      </c>
      <c r="N35" s="277">
        <f t="shared" si="3"/>
        <v>0</v>
      </c>
      <c r="O35" s="277">
        <f t="shared" si="4"/>
        <v>0</v>
      </c>
      <c r="P35" s="277">
        <f t="shared" si="5"/>
        <v>0</v>
      </c>
      <c r="Q35" s="277">
        <f t="shared" si="6"/>
        <v>0</v>
      </c>
      <c r="R35" s="277">
        <f t="shared" si="7"/>
        <v>0</v>
      </c>
      <c r="S35" s="277">
        <f t="shared" si="8"/>
        <v>0</v>
      </c>
      <c r="T35" s="277">
        <f t="shared" si="9"/>
        <v>0</v>
      </c>
      <c r="U35" s="277">
        <f t="shared" si="10"/>
        <v>0</v>
      </c>
      <c r="V35" s="277">
        <f t="shared" si="11"/>
        <v>0</v>
      </c>
      <c r="W35" s="277">
        <f t="shared" si="12"/>
        <v>0</v>
      </c>
      <c r="X35" s="277">
        <f t="shared" si="13"/>
        <v>0</v>
      </c>
      <c r="Y35" s="277">
        <f t="shared" si="14"/>
        <v>0</v>
      </c>
      <c r="Z35" s="277">
        <f t="shared" si="15"/>
        <v>0</v>
      </c>
      <c r="AA35" s="277">
        <f t="shared" si="16"/>
        <v>0</v>
      </c>
      <c r="AB35" s="277">
        <f t="shared" si="63"/>
        <v>0</v>
      </c>
      <c r="AC35" s="277">
        <f t="shared" si="64"/>
        <v>0</v>
      </c>
      <c r="AD35" s="277">
        <f t="shared" si="17"/>
        <v>0</v>
      </c>
      <c r="AE35" s="277">
        <f t="shared" si="18"/>
        <v>0</v>
      </c>
      <c r="AF35" s="277">
        <f t="shared" si="19"/>
        <v>0</v>
      </c>
      <c r="AG35" s="277">
        <f t="shared" si="20"/>
        <v>0</v>
      </c>
      <c r="AH35" s="277">
        <f t="shared" si="65"/>
        <v>0</v>
      </c>
      <c r="AI35" s="277">
        <f t="shared" si="66"/>
        <v>0</v>
      </c>
      <c r="AJ35" s="277">
        <f t="shared" si="67"/>
        <v>0</v>
      </c>
      <c r="AK35" s="277">
        <f t="shared" si="68"/>
        <v>0</v>
      </c>
      <c r="AL35" s="277">
        <f t="shared" si="69"/>
        <v>0</v>
      </c>
      <c r="AM35" s="277">
        <f t="shared" si="70"/>
        <v>0</v>
      </c>
      <c r="AN35" s="277">
        <f t="shared" si="71"/>
        <v>0</v>
      </c>
      <c r="AO35" s="277">
        <f t="shared" si="72"/>
        <v>0</v>
      </c>
      <c r="AP35" s="277">
        <f t="shared" si="21"/>
        <v>0</v>
      </c>
      <c r="AQ35" s="277">
        <f t="shared" si="22"/>
        <v>0</v>
      </c>
      <c r="AR35" s="277">
        <f t="shared" si="23"/>
        <v>0</v>
      </c>
      <c r="AS35" s="277">
        <f t="shared" si="24"/>
        <v>0</v>
      </c>
      <c r="AT35" s="277">
        <f t="shared" si="73"/>
        <v>0</v>
      </c>
      <c r="AU35" s="277">
        <f t="shared" si="74"/>
        <v>0</v>
      </c>
      <c r="AV35" s="277">
        <f t="shared" si="25"/>
        <v>0</v>
      </c>
      <c r="AW35" s="277">
        <f t="shared" si="26"/>
        <v>0</v>
      </c>
      <c r="AX35" s="277">
        <f t="shared" si="27"/>
        <v>0</v>
      </c>
      <c r="AY35" s="277">
        <f t="shared" si="28"/>
        <v>0</v>
      </c>
      <c r="AZ35" s="277">
        <f t="shared" si="29"/>
        <v>0</v>
      </c>
      <c r="BA35" s="277">
        <f t="shared" si="30"/>
        <v>0</v>
      </c>
      <c r="BB35" s="277">
        <f t="shared" si="31"/>
        <v>0</v>
      </c>
      <c r="BC35" s="277">
        <f t="shared" si="32"/>
        <v>0</v>
      </c>
      <c r="BD35" s="277">
        <f t="shared" si="33"/>
        <v>0</v>
      </c>
      <c r="BE35" s="277">
        <f t="shared" si="34"/>
        <v>0</v>
      </c>
      <c r="BF35" s="277">
        <f t="shared" si="35"/>
        <v>0</v>
      </c>
      <c r="BG35" s="277">
        <f t="shared" si="36"/>
        <v>0</v>
      </c>
      <c r="BH35" s="277">
        <f t="shared" si="75"/>
        <v>0</v>
      </c>
      <c r="BI35" s="277">
        <f t="shared" si="76"/>
        <v>0</v>
      </c>
      <c r="BJ35" s="277">
        <f t="shared" si="37"/>
        <v>0</v>
      </c>
      <c r="BK35" s="277">
        <f t="shared" si="38"/>
        <v>0</v>
      </c>
      <c r="BL35" s="277">
        <f t="shared" si="39"/>
        <v>0</v>
      </c>
      <c r="BM35" s="277">
        <f t="shared" si="40"/>
        <v>0</v>
      </c>
      <c r="BN35" s="277">
        <f t="shared" si="41"/>
        <v>0</v>
      </c>
      <c r="BO35" s="277">
        <f t="shared" si="42"/>
        <v>0</v>
      </c>
      <c r="BP35" s="277">
        <f t="shared" si="77"/>
        <v>0</v>
      </c>
      <c r="BQ35" s="277">
        <f t="shared" si="78"/>
        <v>0</v>
      </c>
      <c r="BR35" s="277">
        <f t="shared" si="43"/>
        <v>0</v>
      </c>
      <c r="BS35" s="277">
        <f t="shared" si="44"/>
        <v>0</v>
      </c>
      <c r="BT35" s="277">
        <f t="shared" si="79"/>
        <v>0</v>
      </c>
      <c r="BU35" s="277">
        <f t="shared" si="80"/>
        <v>0</v>
      </c>
      <c r="BV35" s="277">
        <f t="shared" si="81"/>
        <v>0</v>
      </c>
      <c r="BW35" s="277">
        <f t="shared" si="82"/>
        <v>0</v>
      </c>
      <c r="BX35" s="277">
        <f t="shared" si="45"/>
        <v>0</v>
      </c>
      <c r="BY35" s="277">
        <f t="shared" si="46"/>
        <v>0</v>
      </c>
      <c r="BZ35" s="277">
        <f t="shared" si="47"/>
        <v>0</v>
      </c>
      <c r="CA35" s="277">
        <f t="shared" si="48"/>
        <v>0</v>
      </c>
      <c r="CB35" s="277">
        <f t="shared" si="49"/>
        <v>0</v>
      </c>
      <c r="CC35" s="277">
        <f t="shared" si="50"/>
        <v>0</v>
      </c>
      <c r="CD35" s="277">
        <f t="shared" si="83"/>
        <v>0</v>
      </c>
      <c r="CE35" s="277">
        <f t="shared" si="84"/>
        <v>0</v>
      </c>
      <c r="CF35" s="277">
        <f t="shared" si="85"/>
        <v>0</v>
      </c>
      <c r="CG35" s="277">
        <f t="shared" si="86"/>
        <v>0</v>
      </c>
      <c r="CH35" s="277">
        <f t="shared" si="51"/>
        <v>0</v>
      </c>
      <c r="CI35" s="277">
        <f t="shared" si="52"/>
        <v>0</v>
      </c>
      <c r="CJ35" s="277">
        <f t="shared" si="87"/>
        <v>0</v>
      </c>
      <c r="CK35" s="277">
        <f t="shared" si="88"/>
        <v>0</v>
      </c>
      <c r="CL35" s="277">
        <f t="shared" si="53"/>
        <v>0</v>
      </c>
      <c r="CM35" s="277">
        <f t="shared" si="54"/>
        <v>0</v>
      </c>
      <c r="CN35" s="277">
        <f t="shared" si="55"/>
        <v>0</v>
      </c>
      <c r="CO35" s="277">
        <f t="shared" si="56"/>
        <v>0</v>
      </c>
      <c r="CP35" s="277">
        <f t="shared" si="89"/>
        <v>0</v>
      </c>
      <c r="CQ35" s="277">
        <f t="shared" si="90"/>
        <v>0</v>
      </c>
      <c r="CR35" s="277">
        <f t="shared" si="91"/>
        <v>0</v>
      </c>
      <c r="CS35" s="277">
        <f t="shared" si="92"/>
        <v>0</v>
      </c>
      <c r="CT35" s="277">
        <f t="shared" si="57"/>
        <v>0</v>
      </c>
      <c r="CU35" s="277">
        <f t="shared" si="58"/>
        <v>0</v>
      </c>
      <c r="CV35" s="277">
        <f t="shared" si="59"/>
        <v>0</v>
      </c>
      <c r="CW35" s="277">
        <f t="shared" si="60"/>
        <v>0</v>
      </c>
      <c r="CX35" s="277">
        <f t="shared" si="93"/>
        <v>0</v>
      </c>
      <c r="CY35" s="277">
        <f t="shared" si="94"/>
        <v>0</v>
      </c>
      <c r="CZ35" s="277">
        <f t="shared" si="95"/>
        <v>0</v>
      </c>
      <c r="DA35" s="277">
        <f t="shared" si="96"/>
        <v>0</v>
      </c>
    </row>
    <row r="36" spans="1:105" s="274" customFormat="1" ht="15" customHeight="1">
      <c r="A36" s="63" t="str">
        <f t="array" ref="A36">IF(C36&lt;&gt;0,SUM(($C$11:C36&lt;&gt;0)*1),"")</f>
        <v/>
      </c>
      <c r="B36" s="275"/>
      <c r="C36" s="275"/>
      <c r="D36" s="275"/>
      <c r="E36" s="365"/>
      <c r="F36" s="326"/>
      <c r="G36" s="328"/>
      <c r="H36" s="328"/>
      <c r="I36" s="63" t="str">
        <f t="shared" si="97"/>
        <v/>
      </c>
      <c r="J36" s="277">
        <f t="shared" si="61"/>
        <v>0</v>
      </c>
      <c r="K36" s="277">
        <f t="shared" si="62"/>
        <v>0</v>
      </c>
      <c r="L36" s="277">
        <f t="shared" si="1"/>
        <v>0</v>
      </c>
      <c r="M36" s="277">
        <f t="shared" si="2"/>
        <v>0</v>
      </c>
      <c r="N36" s="277">
        <f t="shared" si="3"/>
        <v>0</v>
      </c>
      <c r="O36" s="277">
        <f t="shared" si="4"/>
        <v>0</v>
      </c>
      <c r="P36" s="277">
        <f t="shared" si="5"/>
        <v>0</v>
      </c>
      <c r="Q36" s="277">
        <f t="shared" si="6"/>
        <v>0</v>
      </c>
      <c r="R36" s="277">
        <f t="shared" si="7"/>
        <v>0</v>
      </c>
      <c r="S36" s="277">
        <f t="shared" si="8"/>
        <v>0</v>
      </c>
      <c r="T36" s="277">
        <f t="shared" si="9"/>
        <v>0</v>
      </c>
      <c r="U36" s="277">
        <f t="shared" si="10"/>
        <v>0</v>
      </c>
      <c r="V36" s="277">
        <f t="shared" si="11"/>
        <v>0</v>
      </c>
      <c r="W36" s="277">
        <f t="shared" si="12"/>
        <v>0</v>
      </c>
      <c r="X36" s="277">
        <f t="shared" si="13"/>
        <v>0</v>
      </c>
      <c r="Y36" s="277">
        <f t="shared" si="14"/>
        <v>0</v>
      </c>
      <c r="Z36" s="277">
        <f t="shared" si="15"/>
        <v>0</v>
      </c>
      <c r="AA36" s="277">
        <f t="shared" si="16"/>
        <v>0</v>
      </c>
      <c r="AB36" s="277">
        <f t="shared" si="63"/>
        <v>0</v>
      </c>
      <c r="AC36" s="277">
        <f t="shared" si="64"/>
        <v>0</v>
      </c>
      <c r="AD36" s="277">
        <f t="shared" si="17"/>
        <v>0</v>
      </c>
      <c r="AE36" s="277">
        <f t="shared" si="18"/>
        <v>0</v>
      </c>
      <c r="AF36" s="277">
        <f t="shared" si="19"/>
        <v>0</v>
      </c>
      <c r="AG36" s="277">
        <f t="shared" si="20"/>
        <v>0</v>
      </c>
      <c r="AH36" s="277">
        <f t="shared" si="65"/>
        <v>0</v>
      </c>
      <c r="AI36" s="277">
        <f t="shared" si="66"/>
        <v>0</v>
      </c>
      <c r="AJ36" s="277">
        <f t="shared" si="67"/>
        <v>0</v>
      </c>
      <c r="AK36" s="277">
        <f t="shared" si="68"/>
        <v>0</v>
      </c>
      <c r="AL36" s="277">
        <f t="shared" si="69"/>
        <v>0</v>
      </c>
      <c r="AM36" s="277">
        <f t="shared" si="70"/>
        <v>0</v>
      </c>
      <c r="AN36" s="277">
        <f t="shared" si="71"/>
        <v>0</v>
      </c>
      <c r="AO36" s="277">
        <f t="shared" si="72"/>
        <v>0</v>
      </c>
      <c r="AP36" s="277">
        <f t="shared" si="21"/>
        <v>0</v>
      </c>
      <c r="AQ36" s="277">
        <f t="shared" si="22"/>
        <v>0</v>
      </c>
      <c r="AR36" s="277">
        <f t="shared" si="23"/>
        <v>0</v>
      </c>
      <c r="AS36" s="277">
        <f t="shared" si="24"/>
        <v>0</v>
      </c>
      <c r="AT36" s="277">
        <f t="shared" si="73"/>
        <v>0</v>
      </c>
      <c r="AU36" s="277">
        <f t="shared" si="74"/>
        <v>0</v>
      </c>
      <c r="AV36" s="277">
        <f t="shared" si="25"/>
        <v>0</v>
      </c>
      <c r="AW36" s="277">
        <f t="shared" si="26"/>
        <v>0</v>
      </c>
      <c r="AX36" s="277">
        <f t="shared" si="27"/>
        <v>0</v>
      </c>
      <c r="AY36" s="277">
        <f t="shared" si="28"/>
        <v>0</v>
      </c>
      <c r="AZ36" s="277">
        <f t="shared" si="29"/>
        <v>0</v>
      </c>
      <c r="BA36" s="277">
        <f t="shared" si="30"/>
        <v>0</v>
      </c>
      <c r="BB36" s="277">
        <f t="shared" si="31"/>
        <v>0</v>
      </c>
      <c r="BC36" s="277">
        <f t="shared" si="32"/>
        <v>0</v>
      </c>
      <c r="BD36" s="277">
        <f t="shared" si="33"/>
        <v>0</v>
      </c>
      <c r="BE36" s="277">
        <f t="shared" si="34"/>
        <v>0</v>
      </c>
      <c r="BF36" s="277">
        <f t="shared" si="35"/>
        <v>0</v>
      </c>
      <c r="BG36" s="277">
        <f t="shared" si="36"/>
        <v>0</v>
      </c>
      <c r="BH36" s="277">
        <f t="shared" si="75"/>
        <v>0</v>
      </c>
      <c r="BI36" s="277">
        <f t="shared" si="76"/>
        <v>0</v>
      </c>
      <c r="BJ36" s="277">
        <f t="shared" si="37"/>
        <v>0</v>
      </c>
      <c r="BK36" s="277">
        <f t="shared" si="38"/>
        <v>0</v>
      </c>
      <c r="BL36" s="277">
        <f t="shared" si="39"/>
        <v>0</v>
      </c>
      <c r="BM36" s="277">
        <f t="shared" si="40"/>
        <v>0</v>
      </c>
      <c r="BN36" s="277">
        <f t="shared" si="41"/>
        <v>0</v>
      </c>
      <c r="BO36" s="277">
        <f t="shared" si="42"/>
        <v>0</v>
      </c>
      <c r="BP36" s="277">
        <f t="shared" si="77"/>
        <v>0</v>
      </c>
      <c r="BQ36" s="277">
        <f t="shared" si="78"/>
        <v>0</v>
      </c>
      <c r="BR36" s="277">
        <f t="shared" si="43"/>
        <v>0</v>
      </c>
      <c r="BS36" s="277">
        <f t="shared" si="44"/>
        <v>0</v>
      </c>
      <c r="BT36" s="277">
        <f t="shared" si="79"/>
        <v>0</v>
      </c>
      <c r="BU36" s="277">
        <f t="shared" si="80"/>
        <v>0</v>
      </c>
      <c r="BV36" s="277">
        <f t="shared" si="81"/>
        <v>0</v>
      </c>
      <c r="BW36" s="277">
        <f t="shared" si="82"/>
        <v>0</v>
      </c>
      <c r="BX36" s="277">
        <f t="shared" si="45"/>
        <v>0</v>
      </c>
      <c r="BY36" s="277">
        <f t="shared" si="46"/>
        <v>0</v>
      </c>
      <c r="BZ36" s="277">
        <f t="shared" si="47"/>
        <v>0</v>
      </c>
      <c r="CA36" s="277">
        <f t="shared" si="48"/>
        <v>0</v>
      </c>
      <c r="CB36" s="277">
        <f t="shared" si="49"/>
        <v>0</v>
      </c>
      <c r="CC36" s="277">
        <f t="shared" si="50"/>
        <v>0</v>
      </c>
      <c r="CD36" s="277">
        <f t="shared" si="83"/>
        <v>0</v>
      </c>
      <c r="CE36" s="277">
        <f t="shared" si="84"/>
        <v>0</v>
      </c>
      <c r="CF36" s="277">
        <f t="shared" si="85"/>
        <v>0</v>
      </c>
      <c r="CG36" s="277">
        <f t="shared" si="86"/>
        <v>0</v>
      </c>
      <c r="CH36" s="277">
        <f t="shared" si="51"/>
        <v>0</v>
      </c>
      <c r="CI36" s="277">
        <f t="shared" si="52"/>
        <v>0</v>
      </c>
      <c r="CJ36" s="277">
        <f t="shared" si="87"/>
        <v>0</v>
      </c>
      <c r="CK36" s="277">
        <f t="shared" si="88"/>
        <v>0</v>
      </c>
      <c r="CL36" s="277">
        <f t="shared" si="53"/>
        <v>0</v>
      </c>
      <c r="CM36" s="277">
        <f t="shared" si="54"/>
        <v>0</v>
      </c>
      <c r="CN36" s="277">
        <f t="shared" si="55"/>
        <v>0</v>
      </c>
      <c r="CO36" s="277">
        <f t="shared" si="56"/>
        <v>0</v>
      </c>
      <c r="CP36" s="277">
        <f t="shared" si="89"/>
        <v>0</v>
      </c>
      <c r="CQ36" s="277">
        <f t="shared" si="90"/>
        <v>0</v>
      </c>
      <c r="CR36" s="277">
        <f t="shared" si="91"/>
        <v>0</v>
      </c>
      <c r="CS36" s="277">
        <f t="shared" si="92"/>
        <v>0</v>
      </c>
      <c r="CT36" s="277">
        <f t="shared" si="57"/>
        <v>0</v>
      </c>
      <c r="CU36" s="277">
        <f t="shared" si="58"/>
        <v>0</v>
      </c>
      <c r="CV36" s="277">
        <f t="shared" si="59"/>
        <v>0</v>
      </c>
      <c r="CW36" s="277">
        <f t="shared" si="60"/>
        <v>0</v>
      </c>
      <c r="CX36" s="277">
        <f t="shared" si="93"/>
        <v>0</v>
      </c>
      <c r="CY36" s="277">
        <f t="shared" si="94"/>
        <v>0</v>
      </c>
      <c r="CZ36" s="277">
        <f t="shared" si="95"/>
        <v>0</v>
      </c>
      <c r="DA36" s="277">
        <f t="shared" si="96"/>
        <v>0</v>
      </c>
    </row>
    <row r="37" spans="1:105" s="274" customFormat="1" ht="15" customHeight="1">
      <c r="A37" s="63" t="str">
        <f t="array" ref="A37">IF(C37&lt;&gt;0,SUM(($C$11:C37&lt;&gt;0)*1),"")</f>
        <v/>
      </c>
      <c r="B37" s="275"/>
      <c r="C37" s="275"/>
      <c r="D37" s="275"/>
      <c r="E37" s="365"/>
      <c r="F37" s="326"/>
      <c r="G37" s="328"/>
      <c r="H37" s="328"/>
      <c r="I37" s="63" t="str">
        <f t="shared" si="97"/>
        <v/>
      </c>
      <c r="J37" s="277">
        <f t="shared" si="61"/>
        <v>0</v>
      </c>
      <c r="K37" s="277">
        <f t="shared" si="62"/>
        <v>0</v>
      </c>
      <c r="L37" s="277">
        <f t="shared" si="1"/>
        <v>0</v>
      </c>
      <c r="M37" s="277">
        <f t="shared" si="2"/>
        <v>0</v>
      </c>
      <c r="N37" s="277">
        <f t="shared" si="3"/>
        <v>0</v>
      </c>
      <c r="O37" s="277">
        <f t="shared" si="4"/>
        <v>0</v>
      </c>
      <c r="P37" s="277">
        <f t="shared" si="5"/>
        <v>0</v>
      </c>
      <c r="Q37" s="277">
        <f t="shared" si="6"/>
        <v>0</v>
      </c>
      <c r="R37" s="277">
        <f t="shared" si="7"/>
        <v>0</v>
      </c>
      <c r="S37" s="277">
        <f t="shared" si="8"/>
        <v>0</v>
      </c>
      <c r="T37" s="277">
        <f t="shared" si="9"/>
        <v>0</v>
      </c>
      <c r="U37" s="277">
        <f t="shared" si="10"/>
        <v>0</v>
      </c>
      <c r="V37" s="277">
        <f t="shared" si="11"/>
        <v>0</v>
      </c>
      <c r="W37" s="277">
        <f t="shared" si="12"/>
        <v>0</v>
      </c>
      <c r="X37" s="277">
        <f t="shared" si="13"/>
        <v>0</v>
      </c>
      <c r="Y37" s="277">
        <f t="shared" si="14"/>
        <v>0</v>
      </c>
      <c r="Z37" s="277">
        <f t="shared" si="15"/>
        <v>0</v>
      </c>
      <c r="AA37" s="277">
        <f t="shared" si="16"/>
        <v>0</v>
      </c>
      <c r="AB37" s="277">
        <f t="shared" si="63"/>
        <v>0</v>
      </c>
      <c r="AC37" s="277">
        <f t="shared" si="64"/>
        <v>0</v>
      </c>
      <c r="AD37" s="277">
        <f t="shared" si="17"/>
        <v>0</v>
      </c>
      <c r="AE37" s="277">
        <f t="shared" si="18"/>
        <v>0</v>
      </c>
      <c r="AF37" s="277">
        <f t="shared" si="19"/>
        <v>0</v>
      </c>
      <c r="AG37" s="277">
        <f t="shared" si="20"/>
        <v>0</v>
      </c>
      <c r="AH37" s="277">
        <f t="shared" si="65"/>
        <v>0</v>
      </c>
      <c r="AI37" s="277">
        <f t="shared" si="66"/>
        <v>0</v>
      </c>
      <c r="AJ37" s="277">
        <f t="shared" si="67"/>
        <v>0</v>
      </c>
      <c r="AK37" s="277">
        <f t="shared" si="68"/>
        <v>0</v>
      </c>
      <c r="AL37" s="277">
        <f t="shared" si="69"/>
        <v>0</v>
      </c>
      <c r="AM37" s="277">
        <f t="shared" si="70"/>
        <v>0</v>
      </c>
      <c r="AN37" s="277">
        <f t="shared" si="71"/>
        <v>0</v>
      </c>
      <c r="AO37" s="277">
        <f t="shared" si="72"/>
        <v>0</v>
      </c>
      <c r="AP37" s="277">
        <f t="shared" si="21"/>
        <v>0</v>
      </c>
      <c r="AQ37" s="277">
        <f t="shared" si="22"/>
        <v>0</v>
      </c>
      <c r="AR37" s="277">
        <f t="shared" si="23"/>
        <v>0</v>
      </c>
      <c r="AS37" s="277">
        <f t="shared" si="24"/>
        <v>0</v>
      </c>
      <c r="AT37" s="277">
        <f t="shared" si="73"/>
        <v>0</v>
      </c>
      <c r="AU37" s="277">
        <f t="shared" si="74"/>
        <v>0</v>
      </c>
      <c r="AV37" s="277">
        <f t="shared" si="25"/>
        <v>0</v>
      </c>
      <c r="AW37" s="277">
        <f t="shared" si="26"/>
        <v>0</v>
      </c>
      <c r="AX37" s="277">
        <f t="shared" si="27"/>
        <v>0</v>
      </c>
      <c r="AY37" s="277">
        <f t="shared" si="28"/>
        <v>0</v>
      </c>
      <c r="AZ37" s="277">
        <f t="shared" si="29"/>
        <v>0</v>
      </c>
      <c r="BA37" s="277">
        <f t="shared" si="30"/>
        <v>0</v>
      </c>
      <c r="BB37" s="277">
        <f t="shared" si="31"/>
        <v>0</v>
      </c>
      <c r="BC37" s="277">
        <f t="shared" si="32"/>
        <v>0</v>
      </c>
      <c r="BD37" s="277">
        <f t="shared" si="33"/>
        <v>0</v>
      </c>
      <c r="BE37" s="277">
        <f t="shared" si="34"/>
        <v>0</v>
      </c>
      <c r="BF37" s="277">
        <f t="shared" si="35"/>
        <v>0</v>
      </c>
      <c r="BG37" s="277">
        <f t="shared" si="36"/>
        <v>0</v>
      </c>
      <c r="BH37" s="277">
        <f t="shared" si="75"/>
        <v>0</v>
      </c>
      <c r="BI37" s="277">
        <f t="shared" si="76"/>
        <v>0</v>
      </c>
      <c r="BJ37" s="277">
        <f t="shared" si="37"/>
        <v>0</v>
      </c>
      <c r="BK37" s="277">
        <f t="shared" si="38"/>
        <v>0</v>
      </c>
      <c r="BL37" s="277">
        <f t="shared" si="39"/>
        <v>0</v>
      </c>
      <c r="BM37" s="277">
        <f t="shared" si="40"/>
        <v>0</v>
      </c>
      <c r="BN37" s="277">
        <f t="shared" si="41"/>
        <v>0</v>
      </c>
      <c r="BO37" s="277">
        <f t="shared" si="42"/>
        <v>0</v>
      </c>
      <c r="BP37" s="277">
        <f t="shared" si="77"/>
        <v>0</v>
      </c>
      <c r="BQ37" s="277">
        <f t="shared" si="78"/>
        <v>0</v>
      </c>
      <c r="BR37" s="277">
        <f t="shared" si="43"/>
        <v>0</v>
      </c>
      <c r="BS37" s="277">
        <f t="shared" si="44"/>
        <v>0</v>
      </c>
      <c r="BT37" s="277">
        <f t="shared" si="79"/>
        <v>0</v>
      </c>
      <c r="BU37" s="277">
        <f t="shared" si="80"/>
        <v>0</v>
      </c>
      <c r="BV37" s="277">
        <f t="shared" si="81"/>
        <v>0</v>
      </c>
      <c r="BW37" s="277">
        <f t="shared" si="82"/>
        <v>0</v>
      </c>
      <c r="BX37" s="277">
        <f t="shared" si="45"/>
        <v>0</v>
      </c>
      <c r="BY37" s="277">
        <f t="shared" si="46"/>
        <v>0</v>
      </c>
      <c r="BZ37" s="277">
        <f t="shared" si="47"/>
        <v>0</v>
      </c>
      <c r="CA37" s="277">
        <f t="shared" si="48"/>
        <v>0</v>
      </c>
      <c r="CB37" s="277">
        <f t="shared" si="49"/>
        <v>0</v>
      </c>
      <c r="CC37" s="277">
        <f t="shared" si="50"/>
        <v>0</v>
      </c>
      <c r="CD37" s="277">
        <f t="shared" si="83"/>
        <v>0</v>
      </c>
      <c r="CE37" s="277">
        <f t="shared" si="84"/>
        <v>0</v>
      </c>
      <c r="CF37" s="277">
        <f t="shared" si="85"/>
        <v>0</v>
      </c>
      <c r="CG37" s="277">
        <f t="shared" si="86"/>
        <v>0</v>
      </c>
      <c r="CH37" s="277">
        <f t="shared" si="51"/>
        <v>0</v>
      </c>
      <c r="CI37" s="277">
        <f t="shared" si="52"/>
        <v>0</v>
      </c>
      <c r="CJ37" s="277">
        <f t="shared" si="87"/>
        <v>0</v>
      </c>
      <c r="CK37" s="277">
        <f t="shared" si="88"/>
        <v>0</v>
      </c>
      <c r="CL37" s="277">
        <f t="shared" si="53"/>
        <v>0</v>
      </c>
      <c r="CM37" s="277">
        <f t="shared" si="54"/>
        <v>0</v>
      </c>
      <c r="CN37" s="277">
        <f t="shared" si="55"/>
        <v>0</v>
      </c>
      <c r="CO37" s="277">
        <f t="shared" si="56"/>
        <v>0</v>
      </c>
      <c r="CP37" s="277">
        <f t="shared" si="89"/>
        <v>0</v>
      </c>
      <c r="CQ37" s="277">
        <f t="shared" si="90"/>
        <v>0</v>
      </c>
      <c r="CR37" s="277">
        <f t="shared" si="91"/>
        <v>0</v>
      </c>
      <c r="CS37" s="277">
        <f t="shared" si="92"/>
        <v>0</v>
      </c>
      <c r="CT37" s="277">
        <f t="shared" si="57"/>
        <v>0</v>
      </c>
      <c r="CU37" s="277">
        <f t="shared" si="58"/>
        <v>0</v>
      </c>
      <c r="CV37" s="277">
        <f t="shared" si="59"/>
        <v>0</v>
      </c>
      <c r="CW37" s="277">
        <f t="shared" si="60"/>
        <v>0</v>
      </c>
      <c r="CX37" s="277">
        <f t="shared" si="93"/>
        <v>0</v>
      </c>
      <c r="CY37" s="277">
        <f t="shared" si="94"/>
        <v>0</v>
      </c>
      <c r="CZ37" s="277">
        <f t="shared" si="95"/>
        <v>0</v>
      </c>
      <c r="DA37" s="277">
        <f t="shared" si="96"/>
        <v>0</v>
      </c>
    </row>
    <row r="38" spans="1:105" s="274" customFormat="1" ht="15" customHeight="1">
      <c r="A38" s="63" t="str">
        <f t="array" ref="A38">IF(C38&lt;&gt;0,SUM(($C$11:C38&lt;&gt;0)*1),"")</f>
        <v/>
      </c>
      <c r="B38" s="275"/>
      <c r="C38" s="275"/>
      <c r="D38" s="275"/>
      <c r="E38" s="365"/>
      <c r="F38" s="326"/>
      <c r="G38" s="328"/>
      <c r="H38" s="328"/>
      <c r="I38" s="63" t="str">
        <f t="shared" si="97"/>
        <v/>
      </c>
      <c r="J38" s="277">
        <f t="shared" si="61"/>
        <v>0</v>
      </c>
      <c r="K38" s="277">
        <f t="shared" si="62"/>
        <v>0</v>
      </c>
      <c r="L38" s="277">
        <f t="shared" si="1"/>
        <v>0</v>
      </c>
      <c r="M38" s="277">
        <f t="shared" si="2"/>
        <v>0</v>
      </c>
      <c r="N38" s="277">
        <f t="shared" si="3"/>
        <v>0</v>
      </c>
      <c r="O38" s="277">
        <f t="shared" si="4"/>
        <v>0</v>
      </c>
      <c r="P38" s="277">
        <f t="shared" si="5"/>
        <v>0</v>
      </c>
      <c r="Q38" s="277">
        <f t="shared" si="6"/>
        <v>0</v>
      </c>
      <c r="R38" s="277">
        <f t="shared" si="7"/>
        <v>0</v>
      </c>
      <c r="S38" s="277">
        <f t="shared" si="8"/>
        <v>0</v>
      </c>
      <c r="T38" s="277">
        <f t="shared" si="9"/>
        <v>0</v>
      </c>
      <c r="U38" s="277">
        <f t="shared" si="10"/>
        <v>0</v>
      </c>
      <c r="V38" s="277">
        <f t="shared" si="11"/>
        <v>0</v>
      </c>
      <c r="W38" s="277">
        <f t="shared" si="12"/>
        <v>0</v>
      </c>
      <c r="X38" s="277">
        <f t="shared" si="13"/>
        <v>0</v>
      </c>
      <c r="Y38" s="277">
        <f t="shared" si="14"/>
        <v>0</v>
      </c>
      <c r="Z38" s="277">
        <f t="shared" si="15"/>
        <v>0</v>
      </c>
      <c r="AA38" s="277">
        <f t="shared" si="16"/>
        <v>0</v>
      </c>
      <c r="AB38" s="277">
        <f t="shared" si="63"/>
        <v>0</v>
      </c>
      <c r="AC38" s="277">
        <f t="shared" si="64"/>
        <v>0</v>
      </c>
      <c r="AD38" s="277">
        <f t="shared" si="17"/>
        <v>0</v>
      </c>
      <c r="AE38" s="277">
        <f t="shared" si="18"/>
        <v>0</v>
      </c>
      <c r="AF38" s="277">
        <f t="shared" si="19"/>
        <v>0</v>
      </c>
      <c r="AG38" s="277">
        <f t="shared" si="20"/>
        <v>0</v>
      </c>
      <c r="AH38" s="277">
        <f t="shared" si="65"/>
        <v>0</v>
      </c>
      <c r="AI38" s="277">
        <f t="shared" si="66"/>
        <v>0</v>
      </c>
      <c r="AJ38" s="277">
        <f t="shared" si="67"/>
        <v>0</v>
      </c>
      <c r="AK38" s="277">
        <f t="shared" si="68"/>
        <v>0</v>
      </c>
      <c r="AL38" s="277">
        <f t="shared" si="69"/>
        <v>0</v>
      </c>
      <c r="AM38" s="277">
        <f t="shared" si="70"/>
        <v>0</v>
      </c>
      <c r="AN38" s="277">
        <f t="shared" si="71"/>
        <v>0</v>
      </c>
      <c r="AO38" s="277">
        <f t="shared" si="72"/>
        <v>0</v>
      </c>
      <c r="AP38" s="277">
        <f t="shared" si="21"/>
        <v>0</v>
      </c>
      <c r="AQ38" s="277">
        <f t="shared" si="22"/>
        <v>0</v>
      </c>
      <c r="AR38" s="277">
        <f t="shared" si="23"/>
        <v>0</v>
      </c>
      <c r="AS38" s="277">
        <f t="shared" si="24"/>
        <v>0</v>
      </c>
      <c r="AT38" s="277">
        <f t="shared" si="73"/>
        <v>0</v>
      </c>
      <c r="AU38" s="277">
        <f t="shared" si="74"/>
        <v>0</v>
      </c>
      <c r="AV38" s="277">
        <f t="shared" si="25"/>
        <v>0</v>
      </c>
      <c r="AW38" s="277">
        <f t="shared" si="26"/>
        <v>0</v>
      </c>
      <c r="AX38" s="277">
        <f t="shared" si="27"/>
        <v>0</v>
      </c>
      <c r="AY38" s="277">
        <f t="shared" si="28"/>
        <v>0</v>
      </c>
      <c r="AZ38" s="277">
        <f t="shared" si="29"/>
        <v>0</v>
      </c>
      <c r="BA38" s="277">
        <f t="shared" si="30"/>
        <v>0</v>
      </c>
      <c r="BB38" s="277">
        <f t="shared" si="31"/>
        <v>0</v>
      </c>
      <c r="BC38" s="277">
        <f t="shared" si="32"/>
        <v>0</v>
      </c>
      <c r="BD38" s="277">
        <f t="shared" si="33"/>
        <v>0</v>
      </c>
      <c r="BE38" s="277">
        <f t="shared" si="34"/>
        <v>0</v>
      </c>
      <c r="BF38" s="277">
        <f t="shared" si="35"/>
        <v>0</v>
      </c>
      <c r="BG38" s="277">
        <f t="shared" si="36"/>
        <v>0</v>
      </c>
      <c r="BH38" s="277">
        <f t="shared" si="75"/>
        <v>0</v>
      </c>
      <c r="BI38" s="277">
        <f t="shared" si="76"/>
        <v>0</v>
      </c>
      <c r="BJ38" s="277">
        <f t="shared" si="37"/>
        <v>0</v>
      </c>
      <c r="BK38" s="277">
        <f t="shared" si="38"/>
        <v>0</v>
      </c>
      <c r="BL38" s="277">
        <f t="shared" si="39"/>
        <v>0</v>
      </c>
      <c r="BM38" s="277">
        <f t="shared" si="40"/>
        <v>0</v>
      </c>
      <c r="BN38" s="277">
        <f t="shared" si="41"/>
        <v>0</v>
      </c>
      <c r="BO38" s="277">
        <f t="shared" si="42"/>
        <v>0</v>
      </c>
      <c r="BP38" s="277">
        <f t="shared" si="77"/>
        <v>0</v>
      </c>
      <c r="BQ38" s="277">
        <f t="shared" si="78"/>
        <v>0</v>
      </c>
      <c r="BR38" s="277">
        <f t="shared" si="43"/>
        <v>0</v>
      </c>
      <c r="BS38" s="277">
        <f t="shared" si="44"/>
        <v>0</v>
      </c>
      <c r="BT38" s="277">
        <f t="shared" si="79"/>
        <v>0</v>
      </c>
      <c r="BU38" s="277">
        <f t="shared" si="80"/>
        <v>0</v>
      </c>
      <c r="BV38" s="277">
        <f t="shared" si="81"/>
        <v>0</v>
      </c>
      <c r="BW38" s="277">
        <f t="shared" si="82"/>
        <v>0</v>
      </c>
      <c r="BX38" s="277">
        <f t="shared" si="45"/>
        <v>0</v>
      </c>
      <c r="BY38" s="277">
        <f t="shared" si="46"/>
        <v>0</v>
      </c>
      <c r="BZ38" s="277">
        <f t="shared" si="47"/>
        <v>0</v>
      </c>
      <c r="CA38" s="277">
        <f t="shared" si="48"/>
        <v>0</v>
      </c>
      <c r="CB38" s="277">
        <f t="shared" si="49"/>
        <v>0</v>
      </c>
      <c r="CC38" s="277">
        <f t="shared" si="50"/>
        <v>0</v>
      </c>
      <c r="CD38" s="277">
        <f t="shared" si="83"/>
        <v>0</v>
      </c>
      <c r="CE38" s="277">
        <f t="shared" si="84"/>
        <v>0</v>
      </c>
      <c r="CF38" s="277">
        <f t="shared" si="85"/>
        <v>0</v>
      </c>
      <c r="CG38" s="277">
        <f t="shared" si="86"/>
        <v>0</v>
      </c>
      <c r="CH38" s="277">
        <f t="shared" si="51"/>
        <v>0</v>
      </c>
      <c r="CI38" s="277">
        <f t="shared" si="52"/>
        <v>0</v>
      </c>
      <c r="CJ38" s="277">
        <f t="shared" si="87"/>
        <v>0</v>
      </c>
      <c r="CK38" s="277">
        <f t="shared" si="88"/>
        <v>0</v>
      </c>
      <c r="CL38" s="277">
        <f t="shared" si="53"/>
        <v>0</v>
      </c>
      <c r="CM38" s="277">
        <f t="shared" si="54"/>
        <v>0</v>
      </c>
      <c r="CN38" s="277">
        <f t="shared" si="55"/>
        <v>0</v>
      </c>
      <c r="CO38" s="277">
        <f t="shared" si="56"/>
        <v>0</v>
      </c>
      <c r="CP38" s="277">
        <f t="shared" si="89"/>
        <v>0</v>
      </c>
      <c r="CQ38" s="277">
        <f t="shared" si="90"/>
        <v>0</v>
      </c>
      <c r="CR38" s="277">
        <f t="shared" si="91"/>
        <v>0</v>
      </c>
      <c r="CS38" s="277">
        <f t="shared" si="92"/>
        <v>0</v>
      </c>
      <c r="CT38" s="277">
        <f t="shared" si="57"/>
        <v>0</v>
      </c>
      <c r="CU38" s="277">
        <f t="shared" si="58"/>
        <v>0</v>
      </c>
      <c r="CV38" s="277">
        <f t="shared" si="59"/>
        <v>0</v>
      </c>
      <c r="CW38" s="277">
        <f t="shared" si="60"/>
        <v>0</v>
      </c>
      <c r="CX38" s="277">
        <f t="shared" si="93"/>
        <v>0</v>
      </c>
      <c r="CY38" s="277">
        <f t="shared" si="94"/>
        <v>0</v>
      </c>
      <c r="CZ38" s="277">
        <f t="shared" si="95"/>
        <v>0</v>
      </c>
      <c r="DA38" s="277">
        <f t="shared" si="96"/>
        <v>0</v>
      </c>
    </row>
    <row r="39" spans="1:105" s="274" customFormat="1" ht="15" customHeight="1">
      <c r="A39" s="63" t="str">
        <f t="array" ref="A39">IF(C39&lt;&gt;0,SUM(($C$11:C39&lt;&gt;0)*1),"")</f>
        <v/>
      </c>
      <c r="B39" s="275"/>
      <c r="C39" s="275"/>
      <c r="D39" s="275"/>
      <c r="E39" s="365"/>
      <c r="F39" s="326"/>
      <c r="G39" s="328"/>
      <c r="H39" s="328"/>
      <c r="I39" s="63" t="str">
        <f t="shared" si="97"/>
        <v/>
      </c>
      <c r="J39" s="277">
        <f t="shared" si="61"/>
        <v>0</v>
      </c>
      <c r="K39" s="277">
        <f t="shared" si="62"/>
        <v>0</v>
      </c>
      <c r="L39" s="277">
        <f t="shared" si="1"/>
        <v>0</v>
      </c>
      <c r="M39" s="277">
        <f t="shared" si="2"/>
        <v>0</v>
      </c>
      <c r="N39" s="277">
        <f t="shared" si="3"/>
        <v>0</v>
      </c>
      <c r="O39" s="277">
        <f t="shared" si="4"/>
        <v>0</v>
      </c>
      <c r="P39" s="277">
        <f t="shared" si="5"/>
        <v>0</v>
      </c>
      <c r="Q39" s="277">
        <f t="shared" si="6"/>
        <v>0</v>
      </c>
      <c r="R39" s="277">
        <f t="shared" si="7"/>
        <v>0</v>
      </c>
      <c r="S39" s="277">
        <f t="shared" si="8"/>
        <v>0</v>
      </c>
      <c r="T39" s="277">
        <f t="shared" si="9"/>
        <v>0</v>
      </c>
      <c r="U39" s="277">
        <f t="shared" si="10"/>
        <v>0</v>
      </c>
      <c r="V39" s="277">
        <f t="shared" si="11"/>
        <v>0</v>
      </c>
      <c r="W39" s="277">
        <f t="shared" si="12"/>
        <v>0</v>
      </c>
      <c r="X39" s="277">
        <f t="shared" si="13"/>
        <v>0</v>
      </c>
      <c r="Y39" s="277">
        <f t="shared" si="14"/>
        <v>0</v>
      </c>
      <c r="Z39" s="277">
        <f t="shared" si="15"/>
        <v>0</v>
      </c>
      <c r="AA39" s="277">
        <f t="shared" si="16"/>
        <v>0</v>
      </c>
      <c r="AB39" s="277">
        <f t="shared" si="63"/>
        <v>0</v>
      </c>
      <c r="AC39" s="277">
        <f t="shared" si="64"/>
        <v>0</v>
      </c>
      <c r="AD39" s="277">
        <f t="shared" si="17"/>
        <v>0</v>
      </c>
      <c r="AE39" s="277">
        <f t="shared" si="18"/>
        <v>0</v>
      </c>
      <c r="AF39" s="277">
        <f t="shared" si="19"/>
        <v>0</v>
      </c>
      <c r="AG39" s="277">
        <f t="shared" si="20"/>
        <v>0</v>
      </c>
      <c r="AH39" s="277">
        <f t="shared" si="65"/>
        <v>0</v>
      </c>
      <c r="AI39" s="277">
        <f t="shared" si="66"/>
        <v>0</v>
      </c>
      <c r="AJ39" s="277">
        <f t="shared" si="67"/>
        <v>0</v>
      </c>
      <c r="AK39" s="277">
        <f t="shared" si="68"/>
        <v>0</v>
      </c>
      <c r="AL39" s="277">
        <f t="shared" si="69"/>
        <v>0</v>
      </c>
      <c r="AM39" s="277">
        <f t="shared" si="70"/>
        <v>0</v>
      </c>
      <c r="AN39" s="277">
        <f t="shared" si="71"/>
        <v>0</v>
      </c>
      <c r="AO39" s="277">
        <f t="shared" si="72"/>
        <v>0</v>
      </c>
      <c r="AP39" s="277">
        <f t="shared" si="21"/>
        <v>0</v>
      </c>
      <c r="AQ39" s="277">
        <f t="shared" si="22"/>
        <v>0</v>
      </c>
      <c r="AR39" s="277">
        <f t="shared" si="23"/>
        <v>0</v>
      </c>
      <c r="AS39" s="277">
        <f t="shared" si="24"/>
        <v>0</v>
      </c>
      <c r="AT39" s="277">
        <f t="shared" si="73"/>
        <v>0</v>
      </c>
      <c r="AU39" s="277">
        <f t="shared" si="74"/>
        <v>0</v>
      </c>
      <c r="AV39" s="277">
        <f t="shared" si="25"/>
        <v>0</v>
      </c>
      <c r="AW39" s="277">
        <f t="shared" si="26"/>
        <v>0</v>
      </c>
      <c r="AX39" s="277">
        <f t="shared" si="27"/>
        <v>0</v>
      </c>
      <c r="AY39" s="277">
        <f t="shared" si="28"/>
        <v>0</v>
      </c>
      <c r="AZ39" s="277">
        <f t="shared" si="29"/>
        <v>0</v>
      </c>
      <c r="BA39" s="277">
        <f t="shared" si="30"/>
        <v>0</v>
      </c>
      <c r="BB39" s="277">
        <f t="shared" si="31"/>
        <v>0</v>
      </c>
      <c r="BC39" s="277">
        <f t="shared" si="32"/>
        <v>0</v>
      </c>
      <c r="BD39" s="277">
        <f t="shared" si="33"/>
        <v>0</v>
      </c>
      <c r="BE39" s="277">
        <f t="shared" si="34"/>
        <v>0</v>
      </c>
      <c r="BF39" s="277">
        <f t="shared" si="35"/>
        <v>0</v>
      </c>
      <c r="BG39" s="277">
        <f t="shared" si="36"/>
        <v>0</v>
      </c>
      <c r="BH39" s="277">
        <f t="shared" si="75"/>
        <v>0</v>
      </c>
      <c r="BI39" s="277">
        <f t="shared" si="76"/>
        <v>0</v>
      </c>
      <c r="BJ39" s="277">
        <f t="shared" si="37"/>
        <v>0</v>
      </c>
      <c r="BK39" s="277">
        <f t="shared" si="38"/>
        <v>0</v>
      </c>
      <c r="BL39" s="277">
        <f t="shared" si="39"/>
        <v>0</v>
      </c>
      <c r="BM39" s="277">
        <f t="shared" si="40"/>
        <v>0</v>
      </c>
      <c r="BN39" s="277">
        <f t="shared" si="41"/>
        <v>0</v>
      </c>
      <c r="BO39" s="277">
        <f t="shared" si="42"/>
        <v>0</v>
      </c>
      <c r="BP39" s="277">
        <f t="shared" si="77"/>
        <v>0</v>
      </c>
      <c r="BQ39" s="277">
        <f t="shared" si="78"/>
        <v>0</v>
      </c>
      <c r="BR39" s="277">
        <f t="shared" si="43"/>
        <v>0</v>
      </c>
      <c r="BS39" s="277">
        <f t="shared" si="44"/>
        <v>0</v>
      </c>
      <c r="BT39" s="277">
        <f t="shared" si="79"/>
        <v>0</v>
      </c>
      <c r="BU39" s="277">
        <f t="shared" si="80"/>
        <v>0</v>
      </c>
      <c r="BV39" s="277">
        <f t="shared" si="81"/>
        <v>0</v>
      </c>
      <c r="BW39" s="277">
        <f t="shared" si="82"/>
        <v>0</v>
      </c>
      <c r="BX39" s="277">
        <f t="shared" si="45"/>
        <v>0</v>
      </c>
      <c r="BY39" s="277">
        <f t="shared" si="46"/>
        <v>0</v>
      </c>
      <c r="BZ39" s="277">
        <f t="shared" si="47"/>
        <v>0</v>
      </c>
      <c r="CA39" s="277">
        <f t="shared" si="48"/>
        <v>0</v>
      </c>
      <c r="CB39" s="277">
        <f t="shared" si="49"/>
        <v>0</v>
      </c>
      <c r="CC39" s="277">
        <f t="shared" si="50"/>
        <v>0</v>
      </c>
      <c r="CD39" s="277">
        <f t="shared" si="83"/>
        <v>0</v>
      </c>
      <c r="CE39" s="277">
        <f t="shared" si="84"/>
        <v>0</v>
      </c>
      <c r="CF39" s="277">
        <f t="shared" si="85"/>
        <v>0</v>
      </c>
      <c r="CG39" s="277">
        <f t="shared" si="86"/>
        <v>0</v>
      </c>
      <c r="CH39" s="277">
        <f t="shared" si="51"/>
        <v>0</v>
      </c>
      <c r="CI39" s="277">
        <f t="shared" si="52"/>
        <v>0</v>
      </c>
      <c r="CJ39" s="277">
        <f t="shared" si="87"/>
        <v>0</v>
      </c>
      <c r="CK39" s="277">
        <f t="shared" si="88"/>
        <v>0</v>
      </c>
      <c r="CL39" s="277">
        <f t="shared" si="53"/>
        <v>0</v>
      </c>
      <c r="CM39" s="277">
        <f t="shared" si="54"/>
        <v>0</v>
      </c>
      <c r="CN39" s="277">
        <f t="shared" si="55"/>
        <v>0</v>
      </c>
      <c r="CO39" s="277">
        <f t="shared" si="56"/>
        <v>0</v>
      </c>
      <c r="CP39" s="277">
        <f t="shared" si="89"/>
        <v>0</v>
      </c>
      <c r="CQ39" s="277">
        <f t="shared" si="90"/>
        <v>0</v>
      </c>
      <c r="CR39" s="277">
        <f t="shared" si="91"/>
        <v>0</v>
      </c>
      <c r="CS39" s="277">
        <f t="shared" si="92"/>
        <v>0</v>
      </c>
      <c r="CT39" s="277">
        <f t="shared" si="57"/>
        <v>0</v>
      </c>
      <c r="CU39" s="277">
        <f t="shared" si="58"/>
        <v>0</v>
      </c>
      <c r="CV39" s="277">
        <f t="shared" si="59"/>
        <v>0</v>
      </c>
      <c r="CW39" s="277">
        <f t="shared" si="60"/>
        <v>0</v>
      </c>
      <c r="CX39" s="277">
        <f t="shared" si="93"/>
        <v>0</v>
      </c>
      <c r="CY39" s="277">
        <f t="shared" si="94"/>
        <v>0</v>
      </c>
      <c r="CZ39" s="277">
        <f t="shared" si="95"/>
        <v>0</v>
      </c>
      <c r="DA39" s="277">
        <f t="shared" si="96"/>
        <v>0</v>
      </c>
    </row>
    <row r="40" spans="1:105" s="274" customFormat="1" ht="15" customHeight="1">
      <c r="A40" s="63">
        <f t="array" aca="1" ref="A40" ca="1">IF(C40&lt;&gt;0,SUM(($C$11:C40&lt;&gt;0)*1),"")</f>
        <v>2</v>
      </c>
      <c r="B40" s="275">
        <v>42551</v>
      </c>
      <c r="C40" s="278" t="s">
        <v>115</v>
      </c>
      <c r="D40" s="278">
        <f t="shared" ref="D40:D50" si="98">B40</f>
        <v>42551</v>
      </c>
      <c r="E40" s="968" t="s">
        <v>927</v>
      </c>
      <c r="F40" s="969">
        <f ca="1">AY52</f>
        <v>0</v>
      </c>
      <c r="G40" s="970" t="s">
        <v>932</v>
      </c>
      <c r="H40" s="970" t="s">
        <v>9</v>
      </c>
      <c r="I40" s="63">
        <f t="shared" ca="1" si="97"/>
        <v>2</v>
      </c>
      <c r="J40" s="277">
        <f t="shared" si="61"/>
        <v>0</v>
      </c>
      <c r="K40" s="277">
        <f t="shared" si="62"/>
        <v>0</v>
      </c>
      <c r="L40" s="277">
        <f t="shared" si="1"/>
        <v>0</v>
      </c>
      <c r="M40" s="277">
        <f t="shared" si="2"/>
        <v>0</v>
      </c>
      <c r="N40" s="277">
        <f t="shared" si="3"/>
        <v>0</v>
      </c>
      <c r="O40" s="277">
        <f t="shared" si="4"/>
        <v>0</v>
      </c>
      <c r="P40" s="277">
        <f t="shared" si="5"/>
        <v>0</v>
      </c>
      <c r="Q40" s="277">
        <f t="shared" si="6"/>
        <v>0</v>
      </c>
      <c r="R40" s="277">
        <f t="shared" si="7"/>
        <v>0</v>
      </c>
      <c r="S40" s="277">
        <f t="shared" ca="1" si="8"/>
        <v>0</v>
      </c>
      <c r="T40" s="277">
        <f t="shared" si="9"/>
        <v>0</v>
      </c>
      <c r="U40" s="277">
        <f t="shared" si="10"/>
        <v>0</v>
      </c>
      <c r="V40" s="277">
        <f t="shared" si="11"/>
        <v>0</v>
      </c>
      <c r="W40" s="277">
        <f t="shared" si="12"/>
        <v>0</v>
      </c>
      <c r="X40" s="277">
        <f t="shared" si="13"/>
        <v>0</v>
      </c>
      <c r="Y40" s="277">
        <f t="shared" si="14"/>
        <v>0</v>
      </c>
      <c r="Z40" s="277">
        <f t="shared" si="15"/>
        <v>0</v>
      </c>
      <c r="AA40" s="277">
        <f t="shared" si="16"/>
        <v>0</v>
      </c>
      <c r="AB40" s="277">
        <f t="shared" si="63"/>
        <v>0</v>
      </c>
      <c r="AC40" s="277">
        <f t="shared" si="64"/>
        <v>0</v>
      </c>
      <c r="AD40" s="277">
        <f t="shared" si="17"/>
        <v>0</v>
      </c>
      <c r="AE40" s="277">
        <f t="shared" si="18"/>
        <v>0</v>
      </c>
      <c r="AF40" s="277">
        <f t="shared" si="19"/>
        <v>0</v>
      </c>
      <c r="AG40" s="277">
        <f t="shared" si="20"/>
        <v>0</v>
      </c>
      <c r="AH40" s="277">
        <f t="shared" si="65"/>
        <v>0</v>
      </c>
      <c r="AI40" s="277">
        <f t="shared" si="66"/>
        <v>0</v>
      </c>
      <c r="AJ40" s="277">
        <f t="shared" si="67"/>
        <v>0</v>
      </c>
      <c r="AK40" s="277">
        <f t="shared" si="68"/>
        <v>0</v>
      </c>
      <c r="AL40" s="277">
        <f t="shared" si="69"/>
        <v>0</v>
      </c>
      <c r="AM40" s="277">
        <f t="shared" si="70"/>
        <v>0</v>
      </c>
      <c r="AN40" s="277">
        <f t="shared" si="71"/>
        <v>0</v>
      </c>
      <c r="AO40" s="277">
        <f t="shared" si="72"/>
        <v>0</v>
      </c>
      <c r="AP40" s="277">
        <f t="shared" si="21"/>
        <v>0</v>
      </c>
      <c r="AQ40" s="277">
        <f t="shared" si="22"/>
        <v>0</v>
      </c>
      <c r="AR40" s="277">
        <f t="shared" si="23"/>
        <v>0</v>
      </c>
      <c r="AS40" s="277">
        <f t="shared" si="24"/>
        <v>0</v>
      </c>
      <c r="AT40" s="277">
        <f t="shared" si="73"/>
        <v>0</v>
      </c>
      <c r="AU40" s="277">
        <f t="shared" si="74"/>
        <v>0</v>
      </c>
      <c r="AV40" s="277">
        <f t="shared" si="25"/>
        <v>0</v>
      </c>
      <c r="AW40" s="277">
        <f t="shared" si="26"/>
        <v>0</v>
      </c>
      <c r="AX40" s="277">
        <f t="shared" ca="1" si="27"/>
        <v>0</v>
      </c>
      <c r="AY40" s="277">
        <f t="shared" si="28"/>
        <v>0</v>
      </c>
      <c r="AZ40" s="277">
        <f t="shared" si="29"/>
        <v>0</v>
      </c>
      <c r="BA40" s="277">
        <f t="shared" si="30"/>
        <v>0</v>
      </c>
      <c r="BB40" s="277">
        <f t="shared" si="31"/>
        <v>0</v>
      </c>
      <c r="BC40" s="277">
        <f t="shared" si="32"/>
        <v>0</v>
      </c>
      <c r="BD40" s="277">
        <f t="shared" si="33"/>
        <v>0</v>
      </c>
      <c r="BE40" s="277">
        <f t="shared" si="34"/>
        <v>0</v>
      </c>
      <c r="BF40" s="277">
        <f t="shared" si="35"/>
        <v>0</v>
      </c>
      <c r="BG40" s="277">
        <f t="shared" si="36"/>
        <v>0</v>
      </c>
      <c r="BH40" s="277">
        <f t="shared" si="75"/>
        <v>0</v>
      </c>
      <c r="BI40" s="277">
        <f t="shared" si="76"/>
        <v>0</v>
      </c>
      <c r="BJ40" s="277">
        <f t="shared" si="37"/>
        <v>0</v>
      </c>
      <c r="BK40" s="277">
        <f t="shared" si="38"/>
        <v>0</v>
      </c>
      <c r="BL40" s="277">
        <f t="shared" si="39"/>
        <v>0</v>
      </c>
      <c r="BM40" s="277">
        <f t="shared" si="40"/>
        <v>0</v>
      </c>
      <c r="BN40" s="277">
        <f t="shared" si="41"/>
        <v>0</v>
      </c>
      <c r="BO40" s="277">
        <f t="shared" si="42"/>
        <v>0</v>
      </c>
      <c r="BP40" s="277">
        <f t="shared" si="77"/>
        <v>0</v>
      </c>
      <c r="BQ40" s="277">
        <f t="shared" si="78"/>
        <v>0</v>
      </c>
      <c r="BR40" s="277">
        <f t="shared" si="43"/>
        <v>0</v>
      </c>
      <c r="BS40" s="277">
        <f t="shared" si="44"/>
        <v>0</v>
      </c>
      <c r="BT40" s="277">
        <f t="shared" si="79"/>
        <v>0</v>
      </c>
      <c r="BU40" s="277">
        <f t="shared" si="80"/>
        <v>0</v>
      </c>
      <c r="BV40" s="277">
        <f t="shared" si="81"/>
        <v>0</v>
      </c>
      <c r="BW40" s="277">
        <f t="shared" si="82"/>
        <v>0</v>
      </c>
      <c r="BX40" s="277">
        <f t="shared" si="45"/>
        <v>0</v>
      </c>
      <c r="BY40" s="277">
        <f t="shared" si="46"/>
        <v>0</v>
      </c>
      <c r="BZ40" s="277">
        <f t="shared" si="47"/>
        <v>0</v>
      </c>
      <c r="CA40" s="277">
        <f t="shared" si="48"/>
        <v>0</v>
      </c>
      <c r="CB40" s="277">
        <f t="shared" si="49"/>
        <v>0</v>
      </c>
      <c r="CC40" s="277">
        <f t="shared" si="50"/>
        <v>0</v>
      </c>
      <c r="CD40" s="277">
        <f t="shared" si="83"/>
        <v>0</v>
      </c>
      <c r="CE40" s="277">
        <f t="shared" si="84"/>
        <v>0</v>
      </c>
      <c r="CF40" s="277">
        <f t="shared" si="85"/>
        <v>0</v>
      </c>
      <c r="CG40" s="277">
        <f t="shared" si="86"/>
        <v>0</v>
      </c>
      <c r="CH40" s="277">
        <f t="shared" si="51"/>
        <v>0</v>
      </c>
      <c r="CI40" s="277">
        <f t="shared" si="52"/>
        <v>0</v>
      </c>
      <c r="CJ40" s="277">
        <f t="shared" si="87"/>
        <v>0</v>
      </c>
      <c r="CK40" s="277">
        <f t="shared" si="88"/>
        <v>0</v>
      </c>
      <c r="CL40" s="277">
        <f t="shared" si="53"/>
        <v>0</v>
      </c>
      <c r="CM40" s="277">
        <f t="shared" si="54"/>
        <v>0</v>
      </c>
      <c r="CN40" s="277">
        <f t="shared" si="55"/>
        <v>0</v>
      </c>
      <c r="CO40" s="277">
        <f t="shared" si="56"/>
        <v>0</v>
      </c>
      <c r="CP40" s="277">
        <f t="shared" si="89"/>
        <v>0</v>
      </c>
      <c r="CQ40" s="277">
        <f t="shared" si="90"/>
        <v>0</v>
      </c>
      <c r="CR40" s="277">
        <f t="shared" si="91"/>
        <v>0</v>
      </c>
      <c r="CS40" s="277">
        <f t="shared" si="92"/>
        <v>0</v>
      </c>
      <c r="CT40" s="277">
        <f t="shared" si="57"/>
        <v>0</v>
      </c>
      <c r="CU40" s="277">
        <f t="shared" si="58"/>
        <v>0</v>
      </c>
      <c r="CV40" s="277">
        <f t="shared" si="59"/>
        <v>0</v>
      </c>
      <c r="CW40" s="277">
        <f t="shared" si="60"/>
        <v>0</v>
      </c>
      <c r="CX40" s="277">
        <f t="shared" si="93"/>
        <v>0</v>
      </c>
      <c r="CY40" s="277">
        <f t="shared" si="94"/>
        <v>0</v>
      </c>
      <c r="CZ40" s="277">
        <f t="shared" si="95"/>
        <v>0</v>
      </c>
      <c r="DA40" s="277">
        <f t="shared" si="96"/>
        <v>0</v>
      </c>
    </row>
    <row r="41" spans="1:105" s="274" customFormat="1" ht="15" customHeight="1">
      <c r="A41" s="63">
        <f t="array" aca="1" ref="A41" ca="1">IF(C41&lt;&gt;0,SUM(($C$11:C41&lt;&gt;0)*1),"")</f>
        <v>3</v>
      </c>
      <c r="B41" s="275">
        <v>42551</v>
      </c>
      <c r="C41" s="278" t="s">
        <v>115</v>
      </c>
      <c r="D41" s="278">
        <f t="shared" si="98"/>
        <v>42551</v>
      </c>
      <c r="E41" s="968" t="s">
        <v>928</v>
      </c>
      <c r="F41" s="969">
        <f ca="1">CL52</f>
        <v>0</v>
      </c>
      <c r="G41" s="970" t="s">
        <v>109</v>
      </c>
      <c r="H41" s="970" t="s">
        <v>294</v>
      </c>
      <c r="I41" s="63">
        <f t="shared" ca="1" si="97"/>
        <v>3</v>
      </c>
      <c r="J41" s="277">
        <f t="shared" si="61"/>
        <v>0</v>
      </c>
      <c r="K41" s="277">
        <f t="shared" si="62"/>
        <v>0</v>
      </c>
      <c r="L41" s="277">
        <f t="shared" si="1"/>
        <v>0</v>
      </c>
      <c r="M41" s="277">
        <f t="shared" si="2"/>
        <v>0</v>
      </c>
      <c r="N41" s="277">
        <f t="shared" si="3"/>
        <v>0</v>
      </c>
      <c r="O41" s="277">
        <f t="shared" si="4"/>
        <v>0</v>
      </c>
      <c r="P41" s="277">
        <f t="shared" si="5"/>
        <v>0</v>
      </c>
      <c r="Q41" s="277">
        <f t="shared" si="6"/>
        <v>0</v>
      </c>
      <c r="R41" s="277">
        <f t="shared" si="7"/>
        <v>0</v>
      </c>
      <c r="S41" s="277">
        <f t="shared" si="8"/>
        <v>0</v>
      </c>
      <c r="T41" s="277">
        <f t="shared" si="9"/>
        <v>0</v>
      </c>
      <c r="U41" s="277">
        <f t="shared" si="10"/>
        <v>0</v>
      </c>
      <c r="V41" s="277">
        <f t="shared" si="11"/>
        <v>0</v>
      </c>
      <c r="W41" s="277">
        <f t="shared" si="12"/>
        <v>0</v>
      </c>
      <c r="X41" s="277">
        <f t="shared" si="13"/>
        <v>0</v>
      </c>
      <c r="Y41" s="277">
        <f t="shared" si="14"/>
        <v>0</v>
      </c>
      <c r="Z41" s="277">
        <f t="shared" si="15"/>
        <v>0</v>
      </c>
      <c r="AA41" s="277">
        <f t="shared" si="16"/>
        <v>0</v>
      </c>
      <c r="AB41" s="277">
        <f t="shared" si="63"/>
        <v>0</v>
      </c>
      <c r="AC41" s="277">
        <f t="shared" si="64"/>
        <v>0</v>
      </c>
      <c r="AD41" s="277">
        <f t="shared" si="17"/>
        <v>0</v>
      </c>
      <c r="AE41" s="277">
        <f t="shared" si="18"/>
        <v>0</v>
      </c>
      <c r="AF41" s="277">
        <f t="shared" si="19"/>
        <v>0</v>
      </c>
      <c r="AG41" s="277">
        <f t="shared" si="20"/>
        <v>0</v>
      </c>
      <c r="AH41" s="277">
        <f t="shared" si="65"/>
        <v>0</v>
      </c>
      <c r="AI41" s="277">
        <f t="shared" si="66"/>
        <v>0</v>
      </c>
      <c r="AJ41" s="277">
        <f t="shared" si="67"/>
        <v>0</v>
      </c>
      <c r="AK41" s="277">
        <f t="shared" si="68"/>
        <v>0</v>
      </c>
      <c r="AL41" s="277">
        <f t="shared" si="69"/>
        <v>0</v>
      </c>
      <c r="AM41" s="277">
        <f t="shared" si="70"/>
        <v>0</v>
      </c>
      <c r="AN41" s="277">
        <f t="shared" si="71"/>
        <v>0</v>
      </c>
      <c r="AO41" s="277">
        <f t="shared" si="72"/>
        <v>0</v>
      </c>
      <c r="AP41" s="277">
        <f t="shared" si="21"/>
        <v>0</v>
      </c>
      <c r="AQ41" s="277">
        <f t="shared" si="22"/>
        <v>0</v>
      </c>
      <c r="AR41" s="277">
        <f t="shared" si="23"/>
        <v>0</v>
      </c>
      <c r="AS41" s="277">
        <f t="shared" si="24"/>
        <v>0</v>
      </c>
      <c r="AT41" s="277">
        <f t="shared" si="73"/>
        <v>0</v>
      </c>
      <c r="AU41" s="277">
        <f t="shared" si="74"/>
        <v>0</v>
      </c>
      <c r="AV41" s="277">
        <f t="shared" si="25"/>
        <v>0</v>
      </c>
      <c r="AW41" s="277">
        <f t="shared" si="26"/>
        <v>0</v>
      </c>
      <c r="AX41" s="277">
        <f t="shared" si="27"/>
        <v>0</v>
      </c>
      <c r="AY41" s="277">
        <f t="shared" si="28"/>
        <v>0</v>
      </c>
      <c r="AZ41" s="277">
        <f t="shared" si="29"/>
        <v>0</v>
      </c>
      <c r="BA41" s="277">
        <f t="shared" si="30"/>
        <v>0</v>
      </c>
      <c r="BB41" s="277">
        <f t="shared" si="31"/>
        <v>0</v>
      </c>
      <c r="BC41" s="277">
        <f t="shared" si="32"/>
        <v>0</v>
      </c>
      <c r="BD41" s="277">
        <f t="shared" si="33"/>
        <v>0</v>
      </c>
      <c r="BE41" s="277">
        <f t="shared" si="34"/>
        <v>0</v>
      </c>
      <c r="BF41" s="277">
        <f t="shared" si="35"/>
        <v>0</v>
      </c>
      <c r="BG41" s="277">
        <f t="shared" si="36"/>
        <v>0</v>
      </c>
      <c r="BH41" s="277">
        <f t="shared" si="75"/>
        <v>0</v>
      </c>
      <c r="BI41" s="277">
        <f t="shared" si="76"/>
        <v>0</v>
      </c>
      <c r="BJ41" s="277">
        <f t="shared" si="37"/>
        <v>0</v>
      </c>
      <c r="BK41" s="277">
        <f t="shared" si="38"/>
        <v>0</v>
      </c>
      <c r="BL41" s="277">
        <f t="shared" si="39"/>
        <v>0</v>
      </c>
      <c r="BM41" s="277">
        <f t="shared" si="40"/>
        <v>0</v>
      </c>
      <c r="BN41" s="277">
        <f t="shared" si="41"/>
        <v>0</v>
      </c>
      <c r="BO41" s="277">
        <f t="shared" si="42"/>
        <v>0</v>
      </c>
      <c r="BP41" s="277">
        <f t="shared" si="77"/>
        <v>0</v>
      </c>
      <c r="BQ41" s="277">
        <f t="shared" si="78"/>
        <v>0</v>
      </c>
      <c r="BR41" s="277">
        <f t="shared" si="43"/>
        <v>0</v>
      </c>
      <c r="BS41" s="277">
        <f t="shared" si="44"/>
        <v>0</v>
      </c>
      <c r="BT41" s="277">
        <f t="shared" si="79"/>
        <v>0</v>
      </c>
      <c r="BU41" s="277">
        <f t="shared" si="80"/>
        <v>0</v>
      </c>
      <c r="BV41" s="277">
        <f t="shared" si="81"/>
        <v>0</v>
      </c>
      <c r="BW41" s="277">
        <f t="shared" si="82"/>
        <v>0</v>
      </c>
      <c r="BX41" s="277">
        <f t="shared" si="45"/>
        <v>0</v>
      </c>
      <c r="BY41" s="277">
        <f t="shared" si="46"/>
        <v>0</v>
      </c>
      <c r="BZ41" s="277">
        <f t="shared" si="47"/>
        <v>0</v>
      </c>
      <c r="CA41" s="277">
        <f t="shared" si="48"/>
        <v>0</v>
      </c>
      <c r="CB41" s="277">
        <f t="shared" si="49"/>
        <v>0</v>
      </c>
      <c r="CC41" s="277">
        <f t="shared" si="50"/>
        <v>0</v>
      </c>
      <c r="CD41" s="277">
        <f t="shared" si="83"/>
        <v>0</v>
      </c>
      <c r="CE41" s="277">
        <f t="shared" si="84"/>
        <v>0</v>
      </c>
      <c r="CF41" s="277">
        <f t="shared" si="85"/>
        <v>0</v>
      </c>
      <c r="CG41" s="277">
        <f t="shared" si="86"/>
        <v>0</v>
      </c>
      <c r="CH41" s="277">
        <f t="shared" si="51"/>
        <v>0</v>
      </c>
      <c r="CI41" s="277">
        <f t="shared" si="52"/>
        <v>0</v>
      </c>
      <c r="CJ41" s="277">
        <f t="shared" si="87"/>
        <v>0</v>
      </c>
      <c r="CK41" s="277">
        <f t="shared" si="88"/>
        <v>0</v>
      </c>
      <c r="CL41" s="277">
        <f t="shared" si="53"/>
        <v>0</v>
      </c>
      <c r="CM41" s="277">
        <f t="shared" ca="1" si="54"/>
        <v>0</v>
      </c>
      <c r="CN41" s="277">
        <f t="shared" si="55"/>
        <v>0</v>
      </c>
      <c r="CO41" s="277">
        <f t="shared" si="56"/>
        <v>0</v>
      </c>
      <c r="CP41" s="277">
        <f t="shared" si="89"/>
        <v>0</v>
      </c>
      <c r="CQ41" s="277">
        <f t="shared" si="90"/>
        <v>0</v>
      </c>
      <c r="CR41" s="277">
        <f t="shared" si="91"/>
        <v>0</v>
      </c>
      <c r="CS41" s="277">
        <f t="shared" si="92"/>
        <v>0</v>
      </c>
      <c r="CT41" s="277">
        <f t="shared" si="57"/>
        <v>0</v>
      </c>
      <c r="CU41" s="277">
        <f t="shared" si="58"/>
        <v>0</v>
      </c>
      <c r="CV41" s="277">
        <f t="shared" si="59"/>
        <v>0</v>
      </c>
      <c r="CW41" s="277">
        <f t="shared" si="60"/>
        <v>0</v>
      </c>
      <c r="CX41" s="277">
        <f t="shared" si="93"/>
        <v>0</v>
      </c>
      <c r="CY41" s="277">
        <f t="shared" si="94"/>
        <v>0</v>
      </c>
      <c r="CZ41" s="277">
        <f t="shared" ca="1" si="95"/>
        <v>0</v>
      </c>
      <c r="DA41" s="277">
        <f t="shared" si="96"/>
        <v>0</v>
      </c>
    </row>
    <row r="42" spans="1:105" s="274" customFormat="1" ht="15" customHeight="1">
      <c r="A42" s="63">
        <f t="array" aca="1" ref="A42" ca="1">IF(C42&lt;&gt;0,SUM(($C$11:C42&lt;&gt;0)*1),"")</f>
        <v>4</v>
      </c>
      <c r="B42" s="275">
        <v>42551</v>
      </c>
      <c r="C42" s="278" t="s">
        <v>115</v>
      </c>
      <c r="D42" s="278">
        <f t="shared" si="98"/>
        <v>42551</v>
      </c>
      <c r="E42" s="968" t="s">
        <v>116</v>
      </c>
      <c r="F42" s="969">
        <f ca="1">CN52</f>
        <v>0</v>
      </c>
      <c r="G42" s="970" t="s">
        <v>109</v>
      </c>
      <c r="H42" s="970" t="s">
        <v>99</v>
      </c>
      <c r="I42" s="63">
        <f t="shared" ca="1" si="97"/>
        <v>4</v>
      </c>
      <c r="J42" s="277">
        <f t="shared" si="61"/>
        <v>0</v>
      </c>
      <c r="K42" s="277">
        <f t="shared" si="62"/>
        <v>0</v>
      </c>
      <c r="L42" s="277">
        <f t="shared" si="1"/>
        <v>0</v>
      </c>
      <c r="M42" s="277">
        <f t="shared" si="2"/>
        <v>0</v>
      </c>
      <c r="N42" s="277">
        <f t="shared" si="3"/>
        <v>0</v>
      </c>
      <c r="O42" s="277">
        <f t="shared" si="4"/>
        <v>0</v>
      </c>
      <c r="P42" s="277">
        <f t="shared" si="5"/>
        <v>0</v>
      </c>
      <c r="Q42" s="277">
        <f t="shared" si="6"/>
        <v>0</v>
      </c>
      <c r="R42" s="277">
        <f t="shared" si="7"/>
        <v>0</v>
      </c>
      <c r="S42" s="277">
        <f t="shared" si="8"/>
        <v>0</v>
      </c>
      <c r="T42" s="277">
        <f t="shared" si="9"/>
        <v>0</v>
      </c>
      <c r="U42" s="277">
        <f t="shared" si="10"/>
        <v>0</v>
      </c>
      <c r="V42" s="277">
        <f t="shared" si="11"/>
        <v>0</v>
      </c>
      <c r="W42" s="277">
        <f t="shared" si="12"/>
        <v>0</v>
      </c>
      <c r="X42" s="277">
        <f t="shared" si="13"/>
        <v>0</v>
      </c>
      <c r="Y42" s="277">
        <f t="shared" si="14"/>
        <v>0</v>
      </c>
      <c r="Z42" s="277">
        <f t="shared" si="15"/>
        <v>0</v>
      </c>
      <c r="AA42" s="277">
        <f t="shared" si="16"/>
        <v>0</v>
      </c>
      <c r="AB42" s="277">
        <f t="shared" si="63"/>
        <v>0</v>
      </c>
      <c r="AC42" s="277">
        <f t="shared" si="64"/>
        <v>0</v>
      </c>
      <c r="AD42" s="277">
        <f t="shared" si="17"/>
        <v>0</v>
      </c>
      <c r="AE42" s="277">
        <f t="shared" si="18"/>
        <v>0</v>
      </c>
      <c r="AF42" s="277">
        <f t="shared" si="19"/>
        <v>0</v>
      </c>
      <c r="AG42" s="277">
        <f t="shared" si="20"/>
        <v>0</v>
      </c>
      <c r="AH42" s="277">
        <f t="shared" si="65"/>
        <v>0</v>
      </c>
      <c r="AI42" s="277">
        <f t="shared" si="66"/>
        <v>0</v>
      </c>
      <c r="AJ42" s="277">
        <f t="shared" si="67"/>
        <v>0</v>
      </c>
      <c r="AK42" s="277">
        <f t="shared" si="68"/>
        <v>0</v>
      </c>
      <c r="AL42" s="277">
        <f t="shared" si="69"/>
        <v>0</v>
      </c>
      <c r="AM42" s="277">
        <f t="shared" si="70"/>
        <v>0</v>
      </c>
      <c r="AN42" s="277">
        <f t="shared" si="71"/>
        <v>0</v>
      </c>
      <c r="AO42" s="277">
        <f t="shared" si="72"/>
        <v>0</v>
      </c>
      <c r="AP42" s="277">
        <f t="shared" si="21"/>
        <v>0</v>
      </c>
      <c r="AQ42" s="277">
        <f t="shared" si="22"/>
        <v>0</v>
      </c>
      <c r="AR42" s="277">
        <f t="shared" si="23"/>
        <v>0</v>
      </c>
      <c r="AS42" s="277">
        <f t="shared" si="24"/>
        <v>0</v>
      </c>
      <c r="AT42" s="277">
        <f t="shared" si="73"/>
        <v>0</v>
      </c>
      <c r="AU42" s="277">
        <f t="shared" si="74"/>
        <v>0</v>
      </c>
      <c r="AV42" s="277">
        <f t="shared" si="25"/>
        <v>0</v>
      </c>
      <c r="AW42" s="277">
        <f t="shared" si="26"/>
        <v>0</v>
      </c>
      <c r="AX42" s="277">
        <f t="shared" si="27"/>
        <v>0</v>
      </c>
      <c r="AY42" s="277">
        <f t="shared" si="28"/>
        <v>0</v>
      </c>
      <c r="AZ42" s="277">
        <f t="shared" si="29"/>
        <v>0</v>
      </c>
      <c r="BA42" s="277">
        <f t="shared" si="30"/>
        <v>0</v>
      </c>
      <c r="BB42" s="277">
        <f t="shared" si="31"/>
        <v>0</v>
      </c>
      <c r="BC42" s="277">
        <f t="shared" si="32"/>
        <v>0</v>
      </c>
      <c r="BD42" s="277">
        <f t="shared" si="33"/>
        <v>0</v>
      </c>
      <c r="BE42" s="277">
        <f t="shared" si="34"/>
        <v>0</v>
      </c>
      <c r="BF42" s="277">
        <f t="shared" si="35"/>
        <v>0</v>
      </c>
      <c r="BG42" s="277">
        <f t="shared" si="36"/>
        <v>0</v>
      </c>
      <c r="BH42" s="277">
        <f t="shared" si="75"/>
        <v>0</v>
      </c>
      <c r="BI42" s="277">
        <f t="shared" si="76"/>
        <v>0</v>
      </c>
      <c r="BJ42" s="277">
        <f t="shared" si="37"/>
        <v>0</v>
      </c>
      <c r="BK42" s="277">
        <f t="shared" si="38"/>
        <v>0</v>
      </c>
      <c r="BL42" s="277">
        <f t="shared" si="39"/>
        <v>0</v>
      </c>
      <c r="BM42" s="277">
        <f t="shared" si="40"/>
        <v>0</v>
      </c>
      <c r="BN42" s="277">
        <f t="shared" si="41"/>
        <v>0</v>
      </c>
      <c r="BO42" s="277">
        <f t="shared" si="42"/>
        <v>0</v>
      </c>
      <c r="BP42" s="277">
        <f t="shared" si="77"/>
        <v>0</v>
      </c>
      <c r="BQ42" s="277">
        <f t="shared" si="78"/>
        <v>0</v>
      </c>
      <c r="BR42" s="277">
        <f t="shared" si="43"/>
        <v>0</v>
      </c>
      <c r="BS42" s="277">
        <f t="shared" si="44"/>
        <v>0</v>
      </c>
      <c r="BT42" s="277">
        <f t="shared" si="79"/>
        <v>0</v>
      </c>
      <c r="BU42" s="277">
        <f t="shared" si="80"/>
        <v>0</v>
      </c>
      <c r="BV42" s="277">
        <f t="shared" si="81"/>
        <v>0</v>
      </c>
      <c r="BW42" s="277">
        <f t="shared" si="82"/>
        <v>0</v>
      </c>
      <c r="BX42" s="277">
        <f t="shared" si="45"/>
        <v>0</v>
      </c>
      <c r="BY42" s="277">
        <f t="shared" si="46"/>
        <v>0</v>
      </c>
      <c r="BZ42" s="277">
        <f t="shared" si="47"/>
        <v>0</v>
      </c>
      <c r="CA42" s="277">
        <f t="shared" si="48"/>
        <v>0</v>
      </c>
      <c r="CB42" s="277">
        <f t="shared" si="49"/>
        <v>0</v>
      </c>
      <c r="CC42" s="277">
        <f t="shared" si="50"/>
        <v>0</v>
      </c>
      <c r="CD42" s="277">
        <f t="shared" si="83"/>
        <v>0</v>
      </c>
      <c r="CE42" s="277">
        <f t="shared" si="84"/>
        <v>0</v>
      </c>
      <c r="CF42" s="277">
        <f t="shared" si="85"/>
        <v>0</v>
      </c>
      <c r="CG42" s="277">
        <f t="shared" si="86"/>
        <v>0</v>
      </c>
      <c r="CH42" s="277">
        <f t="shared" si="51"/>
        <v>0</v>
      </c>
      <c r="CI42" s="277">
        <f t="shared" si="52"/>
        <v>0</v>
      </c>
      <c r="CJ42" s="277">
        <f t="shared" si="87"/>
        <v>0</v>
      </c>
      <c r="CK42" s="277">
        <f t="shared" si="88"/>
        <v>0</v>
      </c>
      <c r="CL42" s="277">
        <f t="shared" si="53"/>
        <v>0</v>
      </c>
      <c r="CM42" s="277">
        <f t="shared" si="54"/>
        <v>0</v>
      </c>
      <c r="CN42" s="277">
        <f t="shared" si="55"/>
        <v>0</v>
      </c>
      <c r="CO42" s="277">
        <f t="shared" ca="1" si="56"/>
        <v>0</v>
      </c>
      <c r="CP42" s="277">
        <f t="shared" si="89"/>
        <v>0</v>
      </c>
      <c r="CQ42" s="277">
        <f t="shared" si="90"/>
        <v>0</v>
      </c>
      <c r="CR42" s="277">
        <f t="shared" si="91"/>
        <v>0</v>
      </c>
      <c r="CS42" s="277">
        <f t="shared" si="92"/>
        <v>0</v>
      </c>
      <c r="CT42" s="277">
        <f t="shared" si="57"/>
        <v>0</v>
      </c>
      <c r="CU42" s="277">
        <f t="shared" si="58"/>
        <v>0</v>
      </c>
      <c r="CV42" s="277">
        <f t="shared" si="59"/>
        <v>0</v>
      </c>
      <c r="CW42" s="277">
        <f t="shared" si="60"/>
        <v>0</v>
      </c>
      <c r="CX42" s="277">
        <f t="shared" si="93"/>
        <v>0</v>
      </c>
      <c r="CY42" s="277">
        <f t="shared" si="94"/>
        <v>0</v>
      </c>
      <c r="CZ42" s="277">
        <f t="shared" ca="1" si="95"/>
        <v>0</v>
      </c>
      <c r="DA42" s="277">
        <f t="shared" si="96"/>
        <v>0</v>
      </c>
    </row>
    <row r="43" spans="1:105" s="274" customFormat="1" ht="15" customHeight="1">
      <c r="A43" s="63">
        <f t="array" aca="1" ref="A43" ca="1">IF(C43&lt;&gt;0,SUM(($C$11:C43&lt;&gt;0)*1),"")</f>
        <v>5</v>
      </c>
      <c r="B43" s="275">
        <v>42551</v>
      </c>
      <c r="C43" s="278" t="s">
        <v>115</v>
      </c>
      <c r="D43" s="278">
        <f t="shared" si="98"/>
        <v>42551</v>
      </c>
      <c r="E43" s="968" t="s">
        <v>929</v>
      </c>
      <c r="F43" s="969">
        <f ca="1">CP52</f>
        <v>0</v>
      </c>
      <c r="G43" s="970" t="s">
        <v>109</v>
      </c>
      <c r="H43" s="970" t="s">
        <v>591</v>
      </c>
      <c r="I43" s="63">
        <f t="shared" ca="1" si="97"/>
        <v>5</v>
      </c>
      <c r="J43" s="277">
        <f t="shared" si="61"/>
        <v>0</v>
      </c>
      <c r="K43" s="277">
        <f t="shared" si="62"/>
        <v>0</v>
      </c>
      <c r="L43" s="277">
        <f t="shared" si="1"/>
        <v>0</v>
      </c>
      <c r="M43" s="277">
        <f t="shared" si="2"/>
        <v>0</v>
      </c>
      <c r="N43" s="277">
        <f t="shared" si="3"/>
        <v>0</v>
      </c>
      <c r="O43" s="277">
        <f t="shared" si="4"/>
        <v>0</v>
      </c>
      <c r="P43" s="277">
        <f t="shared" si="5"/>
        <v>0</v>
      </c>
      <c r="Q43" s="277">
        <f t="shared" si="6"/>
        <v>0</v>
      </c>
      <c r="R43" s="277">
        <f t="shared" si="7"/>
        <v>0</v>
      </c>
      <c r="S43" s="277">
        <f t="shared" si="8"/>
        <v>0</v>
      </c>
      <c r="T43" s="277">
        <f t="shared" si="9"/>
        <v>0</v>
      </c>
      <c r="U43" s="277">
        <f t="shared" si="10"/>
        <v>0</v>
      </c>
      <c r="V43" s="277">
        <f t="shared" si="11"/>
        <v>0</v>
      </c>
      <c r="W43" s="277">
        <f t="shared" si="12"/>
        <v>0</v>
      </c>
      <c r="X43" s="277">
        <f t="shared" si="13"/>
        <v>0</v>
      </c>
      <c r="Y43" s="277">
        <f t="shared" si="14"/>
        <v>0</v>
      </c>
      <c r="Z43" s="277">
        <f t="shared" si="15"/>
        <v>0</v>
      </c>
      <c r="AA43" s="277">
        <f t="shared" si="16"/>
        <v>0</v>
      </c>
      <c r="AB43" s="277">
        <f t="shared" si="63"/>
        <v>0</v>
      </c>
      <c r="AC43" s="277">
        <f t="shared" si="64"/>
        <v>0</v>
      </c>
      <c r="AD43" s="277">
        <f t="shared" si="17"/>
        <v>0</v>
      </c>
      <c r="AE43" s="277">
        <f t="shared" si="18"/>
        <v>0</v>
      </c>
      <c r="AF43" s="277">
        <f t="shared" si="19"/>
        <v>0</v>
      </c>
      <c r="AG43" s="277">
        <f t="shared" si="20"/>
        <v>0</v>
      </c>
      <c r="AH43" s="277">
        <f t="shared" si="65"/>
        <v>0</v>
      </c>
      <c r="AI43" s="277">
        <f t="shared" si="66"/>
        <v>0</v>
      </c>
      <c r="AJ43" s="277">
        <f t="shared" si="67"/>
        <v>0</v>
      </c>
      <c r="AK43" s="277">
        <f t="shared" si="68"/>
        <v>0</v>
      </c>
      <c r="AL43" s="277">
        <f t="shared" si="69"/>
        <v>0</v>
      </c>
      <c r="AM43" s="277">
        <f t="shared" si="70"/>
        <v>0</v>
      </c>
      <c r="AN43" s="277">
        <f t="shared" si="71"/>
        <v>0</v>
      </c>
      <c r="AO43" s="277">
        <f t="shared" si="72"/>
        <v>0</v>
      </c>
      <c r="AP43" s="277">
        <f t="shared" si="21"/>
        <v>0</v>
      </c>
      <c r="AQ43" s="277">
        <f t="shared" si="22"/>
        <v>0</v>
      </c>
      <c r="AR43" s="277">
        <f t="shared" si="23"/>
        <v>0</v>
      </c>
      <c r="AS43" s="277">
        <f t="shared" si="24"/>
        <v>0</v>
      </c>
      <c r="AT43" s="277">
        <f t="shared" si="73"/>
        <v>0</v>
      </c>
      <c r="AU43" s="277">
        <f t="shared" si="74"/>
        <v>0</v>
      </c>
      <c r="AV43" s="277">
        <f t="shared" si="25"/>
        <v>0</v>
      </c>
      <c r="AW43" s="277">
        <f t="shared" si="26"/>
        <v>0</v>
      </c>
      <c r="AX43" s="277">
        <f t="shared" si="27"/>
        <v>0</v>
      </c>
      <c r="AY43" s="277">
        <f t="shared" si="28"/>
        <v>0</v>
      </c>
      <c r="AZ43" s="277">
        <f t="shared" si="29"/>
        <v>0</v>
      </c>
      <c r="BA43" s="277">
        <f t="shared" si="30"/>
        <v>0</v>
      </c>
      <c r="BB43" s="277">
        <f t="shared" si="31"/>
        <v>0</v>
      </c>
      <c r="BC43" s="277">
        <f t="shared" si="32"/>
        <v>0</v>
      </c>
      <c r="BD43" s="277">
        <f t="shared" si="33"/>
        <v>0</v>
      </c>
      <c r="BE43" s="277">
        <f t="shared" si="34"/>
        <v>0</v>
      </c>
      <c r="BF43" s="277">
        <f t="shared" si="35"/>
        <v>0</v>
      </c>
      <c r="BG43" s="277">
        <f t="shared" si="36"/>
        <v>0</v>
      </c>
      <c r="BH43" s="277">
        <f t="shared" si="75"/>
        <v>0</v>
      </c>
      <c r="BI43" s="277">
        <f t="shared" si="76"/>
        <v>0</v>
      </c>
      <c r="BJ43" s="277">
        <f t="shared" si="37"/>
        <v>0</v>
      </c>
      <c r="BK43" s="277">
        <f t="shared" si="38"/>
        <v>0</v>
      </c>
      <c r="BL43" s="277">
        <f t="shared" si="39"/>
        <v>0</v>
      </c>
      <c r="BM43" s="277">
        <f t="shared" si="40"/>
        <v>0</v>
      </c>
      <c r="BN43" s="277">
        <f t="shared" si="41"/>
        <v>0</v>
      </c>
      <c r="BO43" s="277">
        <f t="shared" si="42"/>
        <v>0</v>
      </c>
      <c r="BP43" s="277">
        <f t="shared" si="77"/>
        <v>0</v>
      </c>
      <c r="BQ43" s="277">
        <f t="shared" si="78"/>
        <v>0</v>
      </c>
      <c r="BR43" s="277">
        <f t="shared" si="43"/>
        <v>0</v>
      </c>
      <c r="BS43" s="277">
        <f t="shared" si="44"/>
        <v>0</v>
      </c>
      <c r="BT43" s="277">
        <f t="shared" si="79"/>
        <v>0</v>
      </c>
      <c r="BU43" s="277">
        <f t="shared" si="80"/>
        <v>0</v>
      </c>
      <c r="BV43" s="277">
        <f t="shared" si="81"/>
        <v>0</v>
      </c>
      <c r="BW43" s="277">
        <f t="shared" si="82"/>
        <v>0</v>
      </c>
      <c r="BX43" s="277">
        <f t="shared" si="45"/>
        <v>0</v>
      </c>
      <c r="BY43" s="277">
        <f t="shared" si="46"/>
        <v>0</v>
      </c>
      <c r="BZ43" s="277">
        <f t="shared" si="47"/>
        <v>0</v>
      </c>
      <c r="CA43" s="277">
        <f t="shared" si="48"/>
        <v>0</v>
      </c>
      <c r="CB43" s="277">
        <f t="shared" si="49"/>
        <v>0</v>
      </c>
      <c r="CC43" s="277">
        <f t="shared" si="50"/>
        <v>0</v>
      </c>
      <c r="CD43" s="277">
        <f t="shared" si="83"/>
        <v>0</v>
      </c>
      <c r="CE43" s="277">
        <f t="shared" si="84"/>
        <v>0</v>
      </c>
      <c r="CF43" s="277">
        <f t="shared" si="85"/>
        <v>0</v>
      </c>
      <c r="CG43" s="277">
        <f t="shared" si="86"/>
        <v>0</v>
      </c>
      <c r="CH43" s="277">
        <f t="shared" si="51"/>
        <v>0</v>
      </c>
      <c r="CI43" s="277">
        <f t="shared" si="52"/>
        <v>0</v>
      </c>
      <c r="CJ43" s="277">
        <f t="shared" si="87"/>
        <v>0</v>
      </c>
      <c r="CK43" s="277">
        <f t="shared" si="88"/>
        <v>0</v>
      </c>
      <c r="CL43" s="277">
        <f t="shared" si="53"/>
        <v>0</v>
      </c>
      <c r="CM43" s="277">
        <f t="shared" si="54"/>
        <v>0</v>
      </c>
      <c r="CN43" s="277">
        <f t="shared" si="55"/>
        <v>0</v>
      </c>
      <c r="CO43" s="277">
        <f t="shared" si="56"/>
        <v>0</v>
      </c>
      <c r="CP43" s="277">
        <f t="shared" si="89"/>
        <v>0</v>
      </c>
      <c r="CQ43" s="277">
        <f t="shared" ca="1" si="90"/>
        <v>0</v>
      </c>
      <c r="CR43" s="277">
        <f t="shared" si="91"/>
        <v>0</v>
      </c>
      <c r="CS43" s="277">
        <f t="shared" si="92"/>
        <v>0</v>
      </c>
      <c r="CT43" s="277">
        <f t="shared" si="57"/>
        <v>0</v>
      </c>
      <c r="CU43" s="277">
        <f t="shared" si="58"/>
        <v>0</v>
      </c>
      <c r="CV43" s="277">
        <f t="shared" si="59"/>
        <v>0</v>
      </c>
      <c r="CW43" s="277">
        <f t="shared" si="60"/>
        <v>0</v>
      </c>
      <c r="CX43" s="277">
        <f t="shared" si="93"/>
        <v>0</v>
      </c>
      <c r="CY43" s="277">
        <f t="shared" si="94"/>
        <v>0</v>
      </c>
      <c r="CZ43" s="277">
        <f t="shared" ca="1" si="95"/>
        <v>0</v>
      </c>
      <c r="DA43" s="277">
        <f t="shared" si="96"/>
        <v>0</v>
      </c>
    </row>
    <row r="44" spans="1:105" s="274" customFormat="1" ht="15" customHeight="1">
      <c r="A44" s="63">
        <f t="array" aca="1" ref="A44" ca="1">IF(C44&lt;&gt;0,SUM(($C$11:C44&lt;&gt;0)*1),"")</f>
        <v>6</v>
      </c>
      <c r="B44" s="275">
        <v>42551</v>
      </c>
      <c r="C44" s="278" t="s">
        <v>115</v>
      </c>
      <c r="D44" s="278">
        <f t="shared" si="98"/>
        <v>42551</v>
      </c>
      <c r="E44" s="968" t="s">
        <v>117</v>
      </c>
      <c r="F44" s="969">
        <f ca="1">CR52</f>
        <v>0</v>
      </c>
      <c r="G44" s="970" t="s">
        <v>109</v>
      </c>
      <c r="H44" s="970" t="s">
        <v>101</v>
      </c>
      <c r="I44" s="63">
        <f t="shared" ca="1" si="97"/>
        <v>6</v>
      </c>
      <c r="J44" s="277">
        <f t="shared" si="61"/>
        <v>0</v>
      </c>
      <c r="K44" s="277">
        <f t="shared" si="62"/>
        <v>0</v>
      </c>
      <c r="L44" s="277">
        <f t="shared" si="1"/>
        <v>0</v>
      </c>
      <c r="M44" s="277">
        <f t="shared" si="2"/>
        <v>0</v>
      </c>
      <c r="N44" s="277">
        <f t="shared" si="3"/>
        <v>0</v>
      </c>
      <c r="O44" s="277">
        <f t="shared" si="4"/>
        <v>0</v>
      </c>
      <c r="P44" s="277">
        <f t="shared" si="5"/>
        <v>0</v>
      </c>
      <c r="Q44" s="277">
        <f t="shared" si="6"/>
        <v>0</v>
      </c>
      <c r="R44" s="277">
        <f t="shared" si="7"/>
        <v>0</v>
      </c>
      <c r="S44" s="277">
        <f t="shared" si="8"/>
        <v>0</v>
      </c>
      <c r="T44" s="277">
        <f t="shared" si="9"/>
        <v>0</v>
      </c>
      <c r="U44" s="277">
        <f t="shared" si="10"/>
        <v>0</v>
      </c>
      <c r="V44" s="277">
        <f t="shared" si="11"/>
        <v>0</v>
      </c>
      <c r="W44" s="277">
        <f t="shared" si="12"/>
        <v>0</v>
      </c>
      <c r="X44" s="277">
        <f t="shared" si="13"/>
        <v>0</v>
      </c>
      <c r="Y44" s="277">
        <f t="shared" si="14"/>
        <v>0</v>
      </c>
      <c r="Z44" s="277">
        <f t="shared" si="15"/>
        <v>0</v>
      </c>
      <c r="AA44" s="277">
        <f t="shared" si="16"/>
        <v>0</v>
      </c>
      <c r="AB44" s="277">
        <f t="shared" si="63"/>
        <v>0</v>
      </c>
      <c r="AC44" s="277">
        <f t="shared" si="64"/>
        <v>0</v>
      </c>
      <c r="AD44" s="277">
        <f t="shared" si="17"/>
        <v>0</v>
      </c>
      <c r="AE44" s="277">
        <f t="shared" si="18"/>
        <v>0</v>
      </c>
      <c r="AF44" s="277">
        <f t="shared" si="19"/>
        <v>0</v>
      </c>
      <c r="AG44" s="277">
        <f t="shared" si="20"/>
        <v>0</v>
      </c>
      <c r="AH44" s="277">
        <f t="shared" si="65"/>
        <v>0</v>
      </c>
      <c r="AI44" s="277">
        <f t="shared" si="66"/>
        <v>0</v>
      </c>
      <c r="AJ44" s="277">
        <f t="shared" si="67"/>
        <v>0</v>
      </c>
      <c r="AK44" s="277">
        <f t="shared" si="68"/>
        <v>0</v>
      </c>
      <c r="AL44" s="277">
        <f t="shared" si="69"/>
        <v>0</v>
      </c>
      <c r="AM44" s="277">
        <f t="shared" si="70"/>
        <v>0</v>
      </c>
      <c r="AN44" s="277">
        <f t="shared" si="71"/>
        <v>0</v>
      </c>
      <c r="AO44" s="277">
        <f t="shared" si="72"/>
        <v>0</v>
      </c>
      <c r="AP44" s="277">
        <f t="shared" si="21"/>
        <v>0</v>
      </c>
      <c r="AQ44" s="277">
        <f t="shared" si="22"/>
        <v>0</v>
      </c>
      <c r="AR44" s="277">
        <f t="shared" si="23"/>
        <v>0</v>
      </c>
      <c r="AS44" s="277">
        <f t="shared" si="24"/>
        <v>0</v>
      </c>
      <c r="AT44" s="277">
        <f t="shared" si="73"/>
        <v>0</v>
      </c>
      <c r="AU44" s="277">
        <f t="shared" si="74"/>
        <v>0</v>
      </c>
      <c r="AV44" s="277">
        <f t="shared" si="25"/>
        <v>0</v>
      </c>
      <c r="AW44" s="277">
        <f t="shared" si="26"/>
        <v>0</v>
      </c>
      <c r="AX44" s="277">
        <f t="shared" si="27"/>
        <v>0</v>
      </c>
      <c r="AY44" s="277">
        <f t="shared" si="28"/>
        <v>0</v>
      </c>
      <c r="AZ44" s="277">
        <f t="shared" si="29"/>
        <v>0</v>
      </c>
      <c r="BA44" s="277">
        <f t="shared" si="30"/>
        <v>0</v>
      </c>
      <c r="BB44" s="277">
        <f t="shared" si="31"/>
        <v>0</v>
      </c>
      <c r="BC44" s="277">
        <f t="shared" si="32"/>
        <v>0</v>
      </c>
      <c r="BD44" s="277">
        <f t="shared" si="33"/>
        <v>0</v>
      </c>
      <c r="BE44" s="277">
        <f t="shared" si="34"/>
        <v>0</v>
      </c>
      <c r="BF44" s="277">
        <f t="shared" si="35"/>
        <v>0</v>
      </c>
      <c r="BG44" s="277">
        <f t="shared" si="36"/>
        <v>0</v>
      </c>
      <c r="BH44" s="277">
        <f t="shared" si="75"/>
        <v>0</v>
      </c>
      <c r="BI44" s="277">
        <f t="shared" si="76"/>
        <v>0</v>
      </c>
      <c r="BJ44" s="277">
        <f t="shared" si="37"/>
        <v>0</v>
      </c>
      <c r="BK44" s="277">
        <f t="shared" si="38"/>
        <v>0</v>
      </c>
      <c r="BL44" s="277">
        <f t="shared" si="39"/>
        <v>0</v>
      </c>
      <c r="BM44" s="277">
        <f t="shared" si="40"/>
        <v>0</v>
      </c>
      <c r="BN44" s="277">
        <f t="shared" si="41"/>
        <v>0</v>
      </c>
      <c r="BO44" s="277">
        <f t="shared" si="42"/>
        <v>0</v>
      </c>
      <c r="BP44" s="277">
        <f t="shared" si="77"/>
        <v>0</v>
      </c>
      <c r="BQ44" s="277">
        <f t="shared" si="78"/>
        <v>0</v>
      </c>
      <c r="BR44" s="277">
        <f t="shared" si="43"/>
        <v>0</v>
      </c>
      <c r="BS44" s="277">
        <f t="shared" si="44"/>
        <v>0</v>
      </c>
      <c r="BT44" s="277">
        <f t="shared" si="79"/>
        <v>0</v>
      </c>
      <c r="BU44" s="277">
        <f t="shared" si="80"/>
        <v>0</v>
      </c>
      <c r="BV44" s="277">
        <f t="shared" si="81"/>
        <v>0</v>
      </c>
      <c r="BW44" s="277">
        <f t="shared" si="82"/>
        <v>0</v>
      </c>
      <c r="BX44" s="277">
        <f t="shared" si="45"/>
        <v>0</v>
      </c>
      <c r="BY44" s="277">
        <f t="shared" si="46"/>
        <v>0</v>
      </c>
      <c r="BZ44" s="277">
        <f t="shared" si="47"/>
        <v>0</v>
      </c>
      <c r="CA44" s="277">
        <f t="shared" si="48"/>
        <v>0</v>
      </c>
      <c r="CB44" s="277">
        <f t="shared" si="49"/>
        <v>0</v>
      </c>
      <c r="CC44" s="277">
        <f t="shared" si="50"/>
        <v>0</v>
      </c>
      <c r="CD44" s="277">
        <f t="shared" si="83"/>
        <v>0</v>
      </c>
      <c r="CE44" s="277">
        <f t="shared" si="84"/>
        <v>0</v>
      </c>
      <c r="CF44" s="277">
        <f t="shared" si="85"/>
        <v>0</v>
      </c>
      <c r="CG44" s="277">
        <f t="shared" si="86"/>
        <v>0</v>
      </c>
      <c r="CH44" s="277">
        <f t="shared" si="51"/>
        <v>0</v>
      </c>
      <c r="CI44" s="277">
        <f t="shared" si="52"/>
        <v>0</v>
      </c>
      <c r="CJ44" s="277">
        <f t="shared" si="87"/>
        <v>0</v>
      </c>
      <c r="CK44" s="277">
        <f t="shared" si="88"/>
        <v>0</v>
      </c>
      <c r="CL44" s="277">
        <f t="shared" si="53"/>
        <v>0</v>
      </c>
      <c r="CM44" s="277">
        <f t="shared" si="54"/>
        <v>0</v>
      </c>
      <c r="CN44" s="277">
        <f t="shared" si="55"/>
        <v>0</v>
      </c>
      <c r="CO44" s="277">
        <f t="shared" si="56"/>
        <v>0</v>
      </c>
      <c r="CP44" s="277">
        <f t="shared" si="89"/>
        <v>0</v>
      </c>
      <c r="CQ44" s="277">
        <f t="shared" si="90"/>
        <v>0</v>
      </c>
      <c r="CR44" s="277">
        <f t="shared" si="91"/>
        <v>0</v>
      </c>
      <c r="CS44" s="277">
        <f t="shared" ca="1" si="92"/>
        <v>0</v>
      </c>
      <c r="CT44" s="277">
        <f t="shared" si="57"/>
        <v>0</v>
      </c>
      <c r="CU44" s="277">
        <f t="shared" si="58"/>
        <v>0</v>
      </c>
      <c r="CV44" s="277">
        <f t="shared" si="59"/>
        <v>0</v>
      </c>
      <c r="CW44" s="277">
        <f t="shared" si="60"/>
        <v>0</v>
      </c>
      <c r="CX44" s="277">
        <f t="shared" si="93"/>
        <v>0</v>
      </c>
      <c r="CY44" s="277">
        <f t="shared" si="94"/>
        <v>0</v>
      </c>
      <c r="CZ44" s="277">
        <f t="shared" ca="1" si="95"/>
        <v>0</v>
      </c>
      <c r="DA44" s="277">
        <f t="shared" si="96"/>
        <v>0</v>
      </c>
    </row>
    <row r="45" spans="1:105" s="274" customFormat="1" ht="15" customHeight="1">
      <c r="A45" s="63">
        <f t="array" aca="1" ref="A45" ca="1">IF(C45&lt;&gt;0,SUM(($C$11:C45&lt;&gt;0)*1),"")</f>
        <v>7</v>
      </c>
      <c r="B45" s="275">
        <v>42551</v>
      </c>
      <c r="C45" s="278" t="s">
        <v>115</v>
      </c>
      <c r="D45" s="278">
        <f t="shared" si="98"/>
        <v>42551</v>
      </c>
      <c r="E45" s="968" t="s">
        <v>214</v>
      </c>
      <c r="F45" s="969"/>
      <c r="G45" s="970" t="s">
        <v>109</v>
      </c>
      <c r="H45" s="970" t="s">
        <v>94</v>
      </c>
      <c r="I45" s="63">
        <f t="shared" ca="1" si="97"/>
        <v>7</v>
      </c>
      <c r="J45" s="277">
        <f t="shared" si="61"/>
        <v>0</v>
      </c>
      <c r="K45" s="277">
        <f t="shared" si="62"/>
        <v>0</v>
      </c>
      <c r="L45" s="277">
        <f t="shared" si="1"/>
        <v>0</v>
      </c>
      <c r="M45" s="277">
        <f t="shared" si="2"/>
        <v>0</v>
      </c>
      <c r="N45" s="277">
        <f t="shared" si="3"/>
        <v>0</v>
      </c>
      <c r="O45" s="277">
        <f t="shared" si="4"/>
        <v>0</v>
      </c>
      <c r="P45" s="277">
        <f t="shared" si="5"/>
        <v>0</v>
      </c>
      <c r="Q45" s="277">
        <f t="shared" si="6"/>
        <v>0</v>
      </c>
      <c r="R45" s="277">
        <f t="shared" si="7"/>
        <v>0</v>
      </c>
      <c r="S45" s="277">
        <f t="shared" si="8"/>
        <v>0</v>
      </c>
      <c r="T45" s="277">
        <f t="shared" si="9"/>
        <v>0</v>
      </c>
      <c r="U45" s="277">
        <f t="shared" si="10"/>
        <v>0</v>
      </c>
      <c r="V45" s="277">
        <f t="shared" si="11"/>
        <v>0</v>
      </c>
      <c r="W45" s="277">
        <f t="shared" si="12"/>
        <v>0</v>
      </c>
      <c r="X45" s="277">
        <f t="shared" si="13"/>
        <v>0</v>
      </c>
      <c r="Y45" s="277">
        <f t="shared" si="14"/>
        <v>0</v>
      </c>
      <c r="Z45" s="277">
        <f t="shared" si="15"/>
        <v>0</v>
      </c>
      <c r="AA45" s="277">
        <f t="shared" si="16"/>
        <v>0</v>
      </c>
      <c r="AB45" s="277">
        <f t="shared" si="63"/>
        <v>0</v>
      </c>
      <c r="AC45" s="277">
        <f t="shared" si="64"/>
        <v>0</v>
      </c>
      <c r="AD45" s="277">
        <f t="shared" si="17"/>
        <v>0</v>
      </c>
      <c r="AE45" s="277">
        <f t="shared" si="18"/>
        <v>0</v>
      </c>
      <c r="AF45" s="277">
        <f t="shared" si="19"/>
        <v>0</v>
      </c>
      <c r="AG45" s="277">
        <f t="shared" si="20"/>
        <v>0</v>
      </c>
      <c r="AH45" s="277">
        <f t="shared" si="65"/>
        <v>0</v>
      </c>
      <c r="AI45" s="277">
        <f t="shared" si="66"/>
        <v>0</v>
      </c>
      <c r="AJ45" s="277">
        <f t="shared" si="67"/>
        <v>0</v>
      </c>
      <c r="AK45" s="277">
        <f t="shared" si="68"/>
        <v>0</v>
      </c>
      <c r="AL45" s="277">
        <f t="shared" si="69"/>
        <v>0</v>
      </c>
      <c r="AM45" s="277">
        <f t="shared" si="70"/>
        <v>0</v>
      </c>
      <c r="AN45" s="277">
        <f t="shared" si="71"/>
        <v>0</v>
      </c>
      <c r="AO45" s="277">
        <f t="shared" si="72"/>
        <v>0</v>
      </c>
      <c r="AP45" s="277">
        <f t="shared" si="21"/>
        <v>0</v>
      </c>
      <c r="AQ45" s="277">
        <f t="shared" si="22"/>
        <v>0</v>
      </c>
      <c r="AR45" s="277">
        <f t="shared" si="23"/>
        <v>0</v>
      </c>
      <c r="AS45" s="277">
        <f t="shared" si="24"/>
        <v>0</v>
      </c>
      <c r="AT45" s="277">
        <f t="shared" si="73"/>
        <v>0</v>
      </c>
      <c r="AU45" s="277">
        <f t="shared" si="74"/>
        <v>0</v>
      </c>
      <c r="AV45" s="277">
        <f t="shared" si="25"/>
        <v>0</v>
      </c>
      <c r="AW45" s="277">
        <f t="shared" si="26"/>
        <v>0</v>
      </c>
      <c r="AX45" s="277">
        <f t="shared" si="27"/>
        <v>0</v>
      </c>
      <c r="AY45" s="277">
        <f t="shared" si="28"/>
        <v>0</v>
      </c>
      <c r="AZ45" s="277">
        <f t="shared" si="29"/>
        <v>0</v>
      </c>
      <c r="BA45" s="277">
        <f t="shared" si="30"/>
        <v>0</v>
      </c>
      <c r="BB45" s="277">
        <f t="shared" si="31"/>
        <v>0</v>
      </c>
      <c r="BC45" s="277">
        <f t="shared" si="32"/>
        <v>0</v>
      </c>
      <c r="BD45" s="277">
        <f t="shared" si="33"/>
        <v>0</v>
      </c>
      <c r="BE45" s="277">
        <f t="shared" si="34"/>
        <v>0</v>
      </c>
      <c r="BF45" s="277">
        <f t="shared" si="35"/>
        <v>0</v>
      </c>
      <c r="BG45" s="277">
        <f t="shared" si="36"/>
        <v>0</v>
      </c>
      <c r="BH45" s="277">
        <f t="shared" si="75"/>
        <v>0</v>
      </c>
      <c r="BI45" s="277">
        <f t="shared" si="76"/>
        <v>0</v>
      </c>
      <c r="BJ45" s="277">
        <f t="shared" si="37"/>
        <v>0</v>
      </c>
      <c r="BK45" s="277">
        <f t="shared" si="38"/>
        <v>0</v>
      </c>
      <c r="BL45" s="277">
        <f t="shared" si="39"/>
        <v>0</v>
      </c>
      <c r="BM45" s="277">
        <f t="shared" si="40"/>
        <v>0</v>
      </c>
      <c r="BN45" s="277">
        <f t="shared" si="41"/>
        <v>0</v>
      </c>
      <c r="BO45" s="277">
        <f t="shared" si="42"/>
        <v>0</v>
      </c>
      <c r="BP45" s="277">
        <f t="shared" si="77"/>
        <v>0</v>
      </c>
      <c r="BQ45" s="277">
        <f t="shared" si="78"/>
        <v>0</v>
      </c>
      <c r="BR45" s="277">
        <f t="shared" si="43"/>
        <v>0</v>
      </c>
      <c r="BS45" s="277">
        <f t="shared" si="44"/>
        <v>0</v>
      </c>
      <c r="BT45" s="277">
        <f t="shared" si="79"/>
        <v>0</v>
      </c>
      <c r="BU45" s="277">
        <f t="shared" si="80"/>
        <v>0</v>
      </c>
      <c r="BV45" s="277">
        <f t="shared" si="81"/>
        <v>0</v>
      </c>
      <c r="BW45" s="277">
        <f t="shared" si="82"/>
        <v>0</v>
      </c>
      <c r="BX45" s="277">
        <f t="shared" si="45"/>
        <v>0</v>
      </c>
      <c r="BY45" s="277">
        <f t="shared" si="46"/>
        <v>0</v>
      </c>
      <c r="BZ45" s="277">
        <f t="shared" si="47"/>
        <v>0</v>
      </c>
      <c r="CA45" s="277">
        <f t="shared" si="48"/>
        <v>0</v>
      </c>
      <c r="CB45" s="277">
        <f t="shared" si="49"/>
        <v>0</v>
      </c>
      <c r="CC45" s="277">
        <f t="shared" si="50"/>
        <v>0</v>
      </c>
      <c r="CD45" s="277">
        <f t="shared" si="83"/>
        <v>0</v>
      </c>
      <c r="CE45" s="277">
        <f t="shared" si="84"/>
        <v>0</v>
      </c>
      <c r="CF45" s="277">
        <f t="shared" si="85"/>
        <v>0</v>
      </c>
      <c r="CG45" s="277">
        <f t="shared" si="86"/>
        <v>0</v>
      </c>
      <c r="CH45" s="277">
        <f t="shared" si="51"/>
        <v>0</v>
      </c>
      <c r="CI45" s="277">
        <f t="shared" si="52"/>
        <v>0</v>
      </c>
      <c r="CJ45" s="277">
        <f t="shared" si="87"/>
        <v>0</v>
      </c>
      <c r="CK45" s="277">
        <f t="shared" si="88"/>
        <v>0</v>
      </c>
      <c r="CL45" s="277">
        <f t="shared" si="53"/>
        <v>0</v>
      </c>
      <c r="CM45" s="277">
        <f t="shared" si="54"/>
        <v>0</v>
      </c>
      <c r="CN45" s="277">
        <f t="shared" si="55"/>
        <v>0</v>
      </c>
      <c r="CO45" s="277">
        <f t="shared" si="56"/>
        <v>0</v>
      </c>
      <c r="CP45" s="277">
        <f t="shared" si="89"/>
        <v>0</v>
      </c>
      <c r="CQ45" s="277">
        <f t="shared" si="90"/>
        <v>0</v>
      </c>
      <c r="CR45" s="277">
        <f t="shared" si="91"/>
        <v>0</v>
      </c>
      <c r="CS45" s="277">
        <f t="shared" si="92"/>
        <v>0</v>
      </c>
      <c r="CT45" s="277">
        <f t="shared" si="57"/>
        <v>0</v>
      </c>
      <c r="CU45" s="277">
        <f t="shared" si="58"/>
        <v>0</v>
      </c>
      <c r="CV45" s="277">
        <f t="shared" si="59"/>
        <v>0</v>
      </c>
      <c r="CW45" s="277">
        <f t="shared" si="60"/>
        <v>0</v>
      </c>
      <c r="CX45" s="277">
        <f t="shared" si="93"/>
        <v>0</v>
      </c>
      <c r="CY45" s="277">
        <f t="shared" si="94"/>
        <v>0</v>
      </c>
      <c r="CZ45" s="277">
        <f t="shared" si="95"/>
        <v>0</v>
      </c>
      <c r="DA45" s="277">
        <f t="shared" si="96"/>
        <v>0</v>
      </c>
    </row>
    <row r="46" spans="1:105" s="274" customFormat="1" ht="15" customHeight="1">
      <c r="A46" s="63">
        <f t="array" aca="1" ref="A46" ca="1">IF(C46&lt;&gt;0,SUM(($C$11:C46&lt;&gt;0)*1),"")</f>
        <v>8</v>
      </c>
      <c r="B46" s="275">
        <v>42551</v>
      </c>
      <c r="C46" s="278" t="s">
        <v>115</v>
      </c>
      <c r="D46" s="278">
        <f t="shared" si="98"/>
        <v>42551</v>
      </c>
      <c r="E46" s="968" t="s">
        <v>118</v>
      </c>
      <c r="F46" s="969">
        <f ca="1">CI52</f>
        <v>0</v>
      </c>
      <c r="G46" s="970" t="s">
        <v>43</v>
      </c>
      <c r="H46" s="970" t="s">
        <v>109</v>
      </c>
      <c r="I46" s="63">
        <f t="shared" ca="1" si="97"/>
        <v>8</v>
      </c>
      <c r="J46" s="277">
        <f t="shared" si="61"/>
        <v>0</v>
      </c>
      <c r="K46" s="277">
        <f t="shared" si="62"/>
        <v>0</v>
      </c>
      <c r="L46" s="277">
        <f t="shared" si="1"/>
        <v>0</v>
      </c>
      <c r="M46" s="277">
        <f t="shared" si="2"/>
        <v>0</v>
      </c>
      <c r="N46" s="277">
        <f t="shared" si="3"/>
        <v>0</v>
      </c>
      <c r="O46" s="277">
        <f t="shared" si="4"/>
        <v>0</v>
      </c>
      <c r="P46" s="277">
        <f t="shared" si="5"/>
        <v>0</v>
      </c>
      <c r="Q46" s="277">
        <f t="shared" si="6"/>
        <v>0</v>
      </c>
      <c r="R46" s="277">
        <f t="shared" si="7"/>
        <v>0</v>
      </c>
      <c r="S46" s="277">
        <f t="shared" si="8"/>
        <v>0</v>
      </c>
      <c r="T46" s="277">
        <f t="shared" si="9"/>
        <v>0</v>
      </c>
      <c r="U46" s="277">
        <f t="shared" si="10"/>
        <v>0</v>
      </c>
      <c r="V46" s="277">
        <f t="shared" si="11"/>
        <v>0</v>
      </c>
      <c r="W46" s="277">
        <f t="shared" si="12"/>
        <v>0</v>
      </c>
      <c r="X46" s="277">
        <f t="shared" si="13"/>
        <v>0</v>
      </c>
      <c r="Y46" s="277">
        <f t="shared" si="14"/>
        <v>0</v>
      </c>
      <c r="Z46" s="277">
        <f t="shared" si="15"/>
        <v>0</v>
      </c>
      <c r="AA46" s="277">
        <f t="shared" si="16"/>
        <v>0</v>
      </c>
      <c r="AB46" s="277">
        <f t="shared" si="63"/>
        <v>0</v>
      </c>
      <c r="AC46" s="277">
        <f t="shared" si="64"/>
        <v>0</v>
      </c>
      <c r="AD46" s="277">
        <f t="shared" si="17"/>
        <v>0</v>
      </c>
      <c r="AE46" s="277">
        <f t="shared" si="18"/>
        <v>0</v>
      </c>
      <c r="AF46" s="277">
        <f t="shared" si="19"/>
        <v>0</v>
      </c>
      <c r="AG46" s="277">
        <f t="shared" si="20"/>
        <v>0</v>
      </c>
      <c r="AH46" s="277">
        <f t="shared" si="65"/>
        <v>0</v>
      </c>
      <c r="AI46" s="277">
        <f t="shared" si="66"/>
        <v>0</v>
      </c>
      <c r="AJ46" s="277">
        <f t="shared" si="67"/>
        <v>0</v>
      </c>
      <c r="AK46" s="277">
        <f t="shared" si="68"/>
        <v>0</v>
      </c>
      <c r="AL46" s="277">
        <f t="shared" si="69"/>
        <v>0</v>
      </c>
      <c r="AM46" s="277">
        <f t="shared" si="70"/>
        <v>0</v>
      </c>
      <c r="AN46" s="277">
        <f t="shared" si="71"/>
        <v>0</v>
      </c>
      <c r="AO46" s="277">
        <f t="shared" si="72"/>
        <v>0</v>
      </c>
      <c r="AP46" s="277">
        <f t="shared" si="21"/>
        <v>0</v>
      </c>
      <c r="AQ46" s="277">
        <f t="shared" si="22"/>
        <v>0</v>
      </c>
      <c r="AR46" s="277">
        <f t="shared" si="23"/>
        <v>0</v>
      </c>
      <c r="AS46" s="277">
        <f t="shared" si="24"/>
        <v>0</v>
      </c>
      <c r="AT46" s="277">
        <f t="shared" si="73"/>
        <v>0</v>
      </c>
      <c r="AU46" s="277">
        <f t="shared" si="74"/>
        <v>0</v>
      </c>
      <c r="AV46" s="277">
        <f t="shared" si="25"/>
        <v>0</v>
      </c>
      <c r="AW46" s="277">
        <f t="shared" si="26"/>
        <v>0</v>
      </c>
      <c r="AX46" s="277">
        <f t="shared" si="27"/>
        <v>0</v>
      </c>
      <c r="AY46" s="277">
        <f t="shared" si="28"/>
        <v>0</v>
      </c>
      <c r="AZ46" s="277">
        <f t="shared" si="29"/>
        <v>0</v>
      </c>
      <c r="BA46" s="277">
        <f t="shared" si="30"/>
        <v>0</v>
      </c>
      <c r="BB46" s="277">
        <f t="shared" si="31"/>
        <v>0</v>
      </c>
      <c r="BC46" s="277">
        <f t="shared" si="32"/>
        <v>0</v>
      </c>
      <c r="BD46" s="277">
        <f t="shared" si="33"/>
        <v>0</v>
      </c>
      <c r="BE46" s="277">
        <f t="shared" si="34"/>
        <v>0</v>
      </c>
      <c r="BF46" s="277">
        <f t="shared" si="35"/>
        <v>0</v>
      </c>
      <c r="BG46" s="277">
        <f t="shared" si="36"/>
        <v>0</v>
      </c>
      <c r="BH46" s="277">
        <f t="shared" si="75"/>
        <v>0</v>
      </c>
      <c r="BI46" s="277">
        <f t="shared" si="76"/>
        <v>0</v>
      </c>
      <c r="BJ46" s="277">
        <f t="shared" si="37"/>
        <v>0</v>
      </c>
      <c r="BK46" s="277">
        <f t="shared" si="38"/>
        <v>0</v>
      </c>
      <c r="BL46" s="277">
        <f t="shared" si="39"/>
        <v>0</v>
      </c>
      <c r="BM46" s="277">
        <f t="shared" si="40"/>
        <v>0</v>
      </c>
      <c r="BN46" s="277">
        <f t="shared" si="41"/>
        <v>0</v>
      </c>
      <c r="BO46" s="277">
        <f t="shared" si="42"/>
        <v>0</v>
      </c>
      <c r="BP46" s="277">
        <f t="shared" si="77"/>
        <v>0</v>
      </c>
      <c r="BQ46" s="277">
        <f t="shared" si="78"/>
        <v>0</v>
      </c>
      <c r="BR46" s="277">
        <f t="shared" si="43"/>
        <v>0</v>
      </c>
      <c r="BS46" s="277">
        <f t="shared" si="44"/>
        <v>0</v>
      </c>
      <c r="BT46" s="277">
        <f t="shared" si="79"/>
        <v>0</v>
      </c>
      <c r="BU46" s="277">
        <f t="shared" si="80"/>
        <v>0</v>
      </c>
      <c r="BV46" s="277">
        <f t="shared" si="81"/>
        <v>0</v>
      </c>
      <c r="BW46" s="277">
        <f t="shared" si="82"/>
        <v>0</v>
      </c>
      <c r="BX46" s="277">
        <f t="shared" si="45"/>
        <v>0</v>
      </c>
      <c r="BY46" s="277">
        <f t="shared" si="46"/>
        <v>0</v>
      </c>
      <c r="BZ46" s="277">
        <f t="shared" si="47"/>
        <v>0</v>
      </c>
      <c r="CA46" s="277">
        <f t="shared" si="48"/>
        <v>0</v>
      </c>
      <c r="CB46" s="277">
        <f t="shared" si="49"/>
        <v>0</v>
      </c>
      <c r="CC46" s="277">
        <f t="shared" si="50"/>
        <v>0</v>
      </c>
      <c r="CD46" s="277">
        <f t="shared" si="83"/>
        <v>0</v>
      </c>
      <c r="CE46" s="277">
        <f t="shared" si="84"/>
        <v>0</v>
      </c>
      <c r="CF46" s="277">
        <f t="shared" si="85"/>
        <v>0</v>
      </c>
      <c r="CG46" s="277">
        <f t="shared" si="86"/>
        <v>0</v>
      </c>
      <c r="CH46" s="277">
        <f t="shared" ca="1" si="51"/>
        <v>0</v>
      </c>
      <c r="CI46" s="277">
        <f t="shared" si="52"/>
        <v>0</v>
      </c>
      <c r="CJ46" s="277">
        <f t="shared" si="87"/>
        <v>0</v>
      </c>
      <c r="CK46" s="277">
        <f t="shared" si="88"/>
        <v>0</v>
      </c>
      <c r="CL46" s="277">
        <f t="shared" si="53"/>
        <v>0</v>
      </c>
      <c r="CM46" s="277">
        <f t="shared" si="54"/>
        <v>0</v>
      </c>
      <c r="CN46" s="277">
        <f t="shared" si="55"/>
        <v>0</v>
      </c>
      <c r="CO46" s="277">
        <f t="shared" si="56"/>
        <v>0</v>
      </c>
      <c r="CP46" s="277">
        <f t="shared" si="89"/>
        <v>0</v>
      </c>
      <c r="CQ46" s="277">
        <f t="shared" si="90"/>
        <v>0</v>
      </c>
      <c r="CR46" s="277">
        <f t="shared" si="91"/>
        <v>0</v>
      </c>
      <c r="CS46" s="277">
        <f t="shared" si="92"/>
        <v>0</v>
      </c>
      <c r="CT46" s="277">
        <f t="shared" si="57"/>
        <v>0</v>
      </c>
      <c r="CU46" s="277">
        <f t="shared" si="58"/>
        <v>0</v>
      </c>
      <c r="CV46" s="277">
        <f t="shared" si="59"/>
        <v>0</v>
      </c>
      <c r="CW46" s="277">
        <f t="shared" si="60"/>
        <v>0</v>
      </c>
      <c r="CX46" s="277">
        <f t="shared" si="93"/>
        <v>0</v>
      </c>
      <c r="CY46" s="277">
        <f t="shared" si="94"/>
        <v>0</v>
      </c>
      <c r="CZ46" s="277">
        <f t="shared" si="95"/>
        <v>0</v>
      </c>
      <c r="DA46" s="277">
        <f t="shared" ca="1" si="96"/>
        <v>0</v>
      </c>
    </row>
    <row r="47" spans="1:105" s="274" customFormat="1" ht="15" customHeight="1">
      <c r="A47" s="63">
        <f t="array" aca="1" ref="A47" ca="1">IF(C47&lt;&gt;0,SUM(($C$11:C47&lt;&gt;0)*1),"")</f>
        <v>9</v>
      </c>
      <c r="B47" s="275">
        <v>42551</v>
      </c>
      <c r="C47" s="278" t="s">
        <v>115</v>
      </c>
      <c r="D47" s="278">
        <f t="shared" si="98"/>
        <v>42551</v>
      </c>
      <c r="E47" s="968" t="s">
        <v>930</v>
      </c>
      <c r="F47" s="969">
        <f ca="1">CE52</f>
        <v>0</v>
      </c>
      <c r="G47" s="970" t="s">
        <v>296</v>
      </c>
      <c r="H47" s="970" t="s">
        <v>109</v>
      </c>
      <c r="I47" s="63">
        <f t="shared" ca="1" si="97"/>
        <v>9</v>
      </c>
      <c r="J47" s="277">
        <f t="shared" si="61"/>
        <v>0</v>
      </c>
      <c r="K47" s="277">
        <f t="shared" si="62"/>
        <v>0</v>
      </c>
      <c r="L47" s="277">
        <f t="shared" si="1"/>
        <v>0</v>
      </c>
      <c r="M47" s="277">
        <f t="shared" si="2"/>
        <v>0</v>
      </c>
      <c r="N47" s="277">
        <f t="shared" si="3"/>
        <v>0</v>
      </c>
      <c r="O47" s="277">
        <f t="shared" si="4"/>
        <v>0</v>
      </c>
      <c r="P47" s="277">
        <f t="shared" si="5"/>
        <v>0</v>
      </c>
      <c r="Q47" s="277">
        <f t="shared" si="6"/>
        <v>0</v>
      </c>
      <c r="R47" s="277">
        <f t="shared" si="7"/>
        <v>0</v>
      </c>
      <c r="S47" s="277">
        <f t="shared" si="8"/>
        <v>0</v>
      </c>
      <c r="T47" s="277">
        <f t="shared" si="9"/>
        <v>0</v>
      </c>
      <c r="U47" s="277">
        <f t="shared" si="10"/>
        <v>0</v>
      </c>
      <c r="V47" s="277">
        <f t="shared" si="11"/>
        <v>0</v>
      </c>
      <c r="W47" s="277">
        <f t="shared" si="12"/>
        <v>0</v>
      </c>
      <c r="X47" s="277">
        <f t="shared" si="13"/>
        <v>0</v>
      </c>
      <c r="Y47" s="277">
        <f t="shared" si="14"/>
        <v>0</v>
      </c>
      <c r="Z47" s="277">
        <f t="shared" si="15"/>
        <v>0</v>
      </c>
      <c r="AA47" s="277">
        <f t="shared" si="16"/>
        <v>0</v>
      </c>
      <c r="AB47" s="277">
        <f t="shared" si="63"/>
        <v>0</v>
      </c>
      <c r="AC47" s="277">
        <f t="shared" si="64"/>
        <v>0</v>
      </c>
      <c r="AD47" s="277">
        <f t="shared" si="17"/>
        <v>0</v>
      </c>
      <c r="AE47" s="277">
        <f t="shared" si="18"/>
        <v>0</v>
      </c>
      <c r="AF47" s="277">
        <f t="shared" si="19"/>
        <v>0</v>
      </c>
      <c r="AG47" s="277">
        <f t="shared" si="20"/>
        <v>0</v>
      </c>
      <c r="AH47" s="277">
        <f t="shared" si="65"/>
        <v>0</v>
      </c>
      <c r="AI47" s="277">
        <f t="shared" si="66"/>
        <v>0</v>
      </c>
      <c r="AJ47" s="277">
        <f t="shared" si="67"/>
        <v>0</v>
      </c>
      <c r="AK47" s="277">
        <f t="shared" si="68"/>
        <v>0</v>
      </c>
      <c r="AL47" s="277">
        <f t="shared" si="69"/>
        <v>0</v>
      </c>
      <c r="AM47" s="277">
        <f t="shared" si="70"/>
        <v>0</v>
      </c>
      <c r="AN47" s="277">
        <f t="shared" si="71"/>
        <v>0</v>
      </c>
      <c r="AO47" s="277">
        <f t="shared" si="72"/>
        <v>0</v>
      </c>
      <c r="AP47" s="277">
        <f t="shared" si="21"/>
        <v>0</v>
      </c>
      <c r="AQ47" s="277">
        <f t="shared" si="22"/>
        <v>0</v>
      </c>
      <c r="AR47" s="277">
        <f t="shared" si="23"/>
        <v>0</v>
      </c>
      <c r="AS47" s="277">
        <f t="shared" si="24"/>
        <v>0</v>
      </c>
      <c r="AT47" s="277">
        <f t="shared" si="73"/>
        <v>0</v>
      </c>
      <c r="AU47" s="277">
        <f t="shared" si="74"/>
        <v>0</v>
      </c>
      <c r="AV47" s="277">
        <f t="shared" si="25"/>
        <v>0</v>
      </c>
      <c r="AW47" s="277">
        <f t="shared" si="26"/>
        <v>0</v>
      </c>
      <c r="AX47" s="277">
        <f t="shared" si="27"/>
        <v>0</v>
      </c>
      <c r="AY47" s="277">
        <f t="shared" si="28"/>
        <v>0</v>
      </c>
      <c r="AZ47" s="277">
        <f t="shared" si="29"/>
        <v>0</v>
      </c>
      <c r="BA47" s="277">
        <f t="shared" si="30"/>
        <v>0</v>
      </c>
      <c r="BB47" s="277">
        <f t="shared" si="31"/>
        <v>0</v>
      </c>
      <c r="BC47" s="277">
        <f t="shared" si="32"/>
        <v>0</v>
      </c>
      <c r="BD47" s="277">
        <f t="shared" si="33"/>
        <v>0</v>
      </c>
      <c r="BE47" s="277">
        <f t="shared" si="34"/>
        <v>0</v>
      </c>
      <c r="BF47" s="277">
        <f t="shared" si="35"/>
        <v>0</v>
      </c>
      <c r="BG47" s="277">
        <f t="shared" si="36"/>
        <v>0</v>
      </c>
      <c r="BH47" s="277">
        <f t="shared" si="75"/>
        <v>0</v>
      </c>
      <c r="BI47" s="277">
        <f t="shared" si="76"/>
        <v>0</v>
      </c>
      <c r="BJ47" s="277">
        <f t="shared" si="37"/>
        <v>0</v>
      </c>
      <c r="BK47" s="277">
        <f t="shared" si="38"/>
        <v>0</v>
      </c>
      <c r="BL47" s="277">
        <f t="shared" si="39"/>
        <v>0</v>
      </c>
      <c r="BM47" s="277">
        <f t="shared" si="40"/>
        <v>0</v>
      </c>
      <c r="BN47" s="277">
        <f t="shared" si="41"/>
        <v>0</v>
      </c>
      <c r="BO47" s="277">
        <f t="shared" si="42"/>
        <v>0</v>
      </c>
      <c r="BP47" s="277">
        <f t="shared" si="77"/>
        <v>0</v>
      </c>
      <c r="BQ47" s="277">
        <f t="shared" si="78"/>
        <v>0</v>
      </c>
      <c r="BR47" s="277">
        <f t="shared" si="43"/>
        <v>0</v>
      </c>
      <c r="BS47" s="277">
        <f t="shared" si="44"/>
        <v>0</v>
      </c>
      <c r="BT47" s="277">
        <f t="shared" si="79"/>
        <v>0</v>
      </c>
      <c r="BU47" s="277">
        <f t="shared" si="80"/>
        <v>0</v>
      </c>
      <c r="BV47" s="277">
        <f t="shared" si="81"/>
        <v>0</v>
      </c>
      <c r="BW47" s="277">
        <f t="shared" si="82"/>
        <v>0</v>
      </c>
      <c r="BX47" s="277">
        <f t="shared" si="45"/>
        <v>0</v>
      </c>
      <c r="BY47" s="277">
        <f t="shared" si="46"/>
        <v>0</v>
      </c>
      <c r="BZ47" s="277">
        <f t="shared" si="47"/>
        <v>0</v>
      </c>
      <c r="CA47" s="277">
        <f t="shared" si="48"/>
        <v>0</v>
      </c>
      <c r="CB47" s="277">
        <f t="shared" si="49"/>
        <v>0</v>
      </c>
      <c r="CC47" s="277">
        <f t="shared" si="50"/>
        <v>0</v>
      </c>
      <c r="CD47" s="277">
        <f t="shared" ca="1" si="83"/>
        <v>0</v>
      </c>
      <c r="CE47" s="277">
        <f t="shared" si="84"/>
        <v>0</v>
      </c>
      <c r="CF47" s="277">
        <f t="shared" si="85"/>
        <v>0</v>
      </c>
      <c r="CG47" s="277">
        <f t="shared" si="86"/>
        <v>0</v>
      </c>
      <c r="CH47" s="277">
        <f t="shared" si="51"/>
        <v>0</v>
      </c>
      <c r="CI47" s="277">
        <f t="shared" si="52"/>
        <v>0</v>
      </c>
      <c r="CJ47" s="277">
        <f t="shared" si="87"/>
        <v>0</v>
      </c>
      <c r="CK47" s="277">
        <f t="shared" si="88"/>
        <v>0</v>
      </c>
      <c r="CL47" s="277">
        <f t="shared" si="53"/>
        <v>0</v>
      </c>
      <c r="CM47" s="277">
        <f t="shared" si="54"/>
        <v>0</v>
      </c>
      <c r="CN47" s="277">
        <f t="shared" si="55"/>
        <v>0</v>
      </c>
      <c r="CO47" s="277">
        <f t="shared" si="56"/>
        <v>0</v>
      </c>
      <c r="CP47" s="277">
        <f t="shared" si="89"/>
        <v>0</v>
      </c>
      <c r="CQ47" s="277">
        <f t="shared" si="90"/>
        <v>0</v>
      </c>
      <c r="CR47" s="277">
        <f t="shared" si="91"/>
        <v>0</v>
      </c>
      <c r="CS47" s="277">
        <f t="shared" si="92"/>
        <v>0</v>
      </c>
      <c r="CT47" s="277">
        <f t="shared" si="57"/>
        <v>0</v>
      </c>
      <c r="CU47" s="277">
        <f t="shared" si="58"/>
        <v>0</v>
      </c>
      <c r="CV47" s="277">
        <f t="shared" si="59"/>
        <v>0</v>
      </c>
      <c r="CW47" s="277">
        <f t="shared" si="60"/>
        <v>0</v>
      </c>
      <c r="CX47" s="277">
        <f t="shared" si="93"/>
        <v>0</v>
      </c>
      <c r="CY47" s="277">
        <f t="shared" si="94"/>
        <v>0</v>
      </c>
      <c r="CZ47" s="277">
        <f t="shared" si="95"/>
        <v>0</v>
      </c>
      <c r="DA47" s="277">
        <f t="shared" ca="1" si="96"/>
        <v>0</v>
      </c>
    </row>
    <row r="48" spans="1:105" s="274" customFormat="1" ht="15" customHeight="1">
      <c r="A48" s="63">
        <f t="array" aca="1" ref="A48" ca="1">IF(C48&lt;&gt;0,SUM(($C$11:C48&lt;&gt;0)*1),"")</f>
        <v>10</v>
      </c>
      <c r="B48" s="275">
        <v>42551</v>
      </c>
      <c r="C48" s="278" t="s">
        <v>115</v>
      </c>
      <c r="D48" s="278">
        <f t="shared" si="98"/>
        <v>42551</v>
      </c>
      <c r="E48" s="968" t="s">
        <v>931</v>
      </c>
      <c r="F48" s="969">
        <f ca="1">CG52</f>
        <v>0</v>
      </c>
      <c r="G48" s="970" t="s">
        <v>298</v>
      </c>
      <c r="H48" s="970" t="s">
        <v>109</v>
      </c>
      <c r="I48" s="63">
        <f t="shared" ca="1" si="97"/>
        <v>10</v>
      </c>
      <c r="J48" s="277">
        <f t="shared" si="61"/>
        <v>0</v>
      </c>
      <c r="K48" s="277">
        <f t="shared" si="62"/>
        <v>0</v>
      </c>
      <c r="L48" s="277">
        <f t="shared" si="1"/>
        <v>0</v>
      </c>
      <c r="M48" s="277">
        <f t="shared" si="2"/>
        <v>0</v>
      </c>
      <c r="N48" s="277">
        <f t="shared" si="3"/>
        <v>0</v>
      </c>
      <c r="O48" s="277">
        <f t="shared" si="4"/>
        <v>0</v>
      </c>
      <c r="P48" s="277">
        <f t="shared" si="5"/>
        <v>0</v>
      </c>
      <c r="Q48" s="277">
        <f t="shared" si="6"/>
        <v>0</v>
      </c>
      <c r="R48" s="277">
        <f t="shared" si="7"/>
        <v>0</v>
      </c>
      <c r="S48" s="277">
        <f t="shared" si="8"/>
        <v>0</v>
      </c>
      <c r="T48" s="277">
        <f t="shared" si="9"/>
        <v>0</v>
      </c>
      <c r="U48" s="277">
        <f t="shared" si="10"/>
        <v>0</v>
      </c>
      <c r="V48" s="277">
        <f t="shared" si="11"/>
        <v>0</v>
      </c>
      <c r="W48" s="277">
        <f t="shared" si="12"/>
        <v>0</v>
      </c>
      <c r="X48" s="277">
        <f t="shared" si="13"/>
        <v>0</v>
      </c>
      <c r="Y48" s="277">
        <f t="shared" si="14"/>
        <v>0</v>
      </c>
      <c r="Z48" s="277">
        <f t="shared" si="15"/>
        <v>0</v>
      </c>
      <c r="AA48" s="277">
        <f t="shared" si="16"/>
        <v>0</v>
      </c>
      <c r="AB48" s="277">
        <f t="shared" si="63"/>
        <v>0</v>
      </c>
      <c r="AC48" s="277">
        <f t="shared" si="64"/>
        <v>0</v>
      </c>
      <c r="AD48" s="277">
        <f t="shared" si="17"/>
        <v>0</v>
      </c>
      <c r="AE48" s="277">
        <f t="shared" si="18"/>
        <v>0</v>
      </c>
      <c r="AF48" s="277">
        <f t="shared" si="19"/>
        <v>0</v>
      </c>
      <c r="AG48" s="277">
        <f t="shared" si="20"/>
        <v>0</v>
      </c>
      <c r="AH48" s="277">
        <f t="shared" si="65"/>
        <v>0</v>
      </c>
      <c r="AI48" s="277">
        <f t="shared" si="66"/>
        <v>0</v>
      </c>
      <c r="AJ48" s="277">
        <f t="shared" si="67"/>
        <v>0</v>
      </c>
      <c r="AK48" s="277">
        <f t="shared" si="68"/>
        <v>0</v>
      </c>
      <c r="AL48" s="277">
        <f t="shared" si="69"/>
        <v>0</v>
      </c>
      <c r="AM48" s="277">
        <f t="shared" si="70"/>
        <v>0</v>
      </c>
      <c r="AN48" s="277">
        <f t="shared" si="71"/>
        <v>0</v>
      </c>
      <c r="AO48" s="277">
        <f t="shared" si="72"/>
        <v>0</v>
      </c>
      <c r="AP48" s="277">
        <f t="shared" si="21"/>
        <v>0</v>
      </c>
      <c r="AQ48" s="277">
        <f t="shared" si="22"/>
        <v>0</v>
      </c>
      <c r="AR48" s="277">
        <f t="shared" si="23"/>
        <v>0</v>
      </c>
      <c r="AS48" s="277">
        <f t="shared" si="24"/>
        <v>0</v>
      </c>
      <c r="AT48" s="277">
        <f t="shared" si="73"/>
        <v>0</v>
      </c>
      <c r="AU48" s="277">
        <f t="shared" si="74"/>
        <v>0</v>
      </c>
      <c r="AV48" s="277">
        <f t="shared" si="25"/>
        <v>0</v>
      </c>
      <c r="AW48" s="277">
        <f t="shared" si="26"/>
        <v>0</v>
      </c>
      <c r="AX48" s="277">
        <f t="shared" si="27"/>
        <v>0</v>
      </c>
      <c r="AY48" s="277">
        <f t="shared" si="28"/>
        <v>0</v>
      </c>
      <c r="AZ48" s="277">
        <f t="shared" si="29"/>
        <v>0</v>
      </c>
      <c r="BA48" s="277">
        <f t="shared" si="30"/>
        <v>0</v>
      </c>
      <c r="BB48" s="277">
        <f t="shared" si="31"/>
        <v>0</v>
      </c>
      <c r="BC48" s="277">
        <f t="shared" si="32"/>
        <v>0</v>
      </c>
      <c r="BD48" s="277">
        <f t="shared" si="33"/>
        <v>0</v>
      </c>
      <c r="BE48" s="277">
        <f t="shared" si="34"/>
        <v>0</v>
      </c>
      <c r="BF48" s="277">
        <f t="shared" si="35"/>
        <v>0</v>
      </c>
      <c r="BG48" s="277">
        <f t="shared" si="36"/>
        <v>0</v>
      </c>
      <c r="BH48" s="277">
        <f t="shared" si="75"/>
        <v>0</v>
      </c>
      <c r="BI48" s="277">
        <f t="shared" si="76"/>
        <v>0</v>
      </c>
      <c r="BJ48" s="277">
        <f t="shared" si="37"/>
        <v>0</v>
      </c>
      <c r="BK48" s="277">
        <f t="shared" si="38"/>
        <v>0</v>
      </c>
      <c r="BL48" s="277">
        <f t="shared" si="39"/>
        <v>0</v>
      </c>
      <c r="BM48" s="277">
        <f t="shared" si="40"/>
        <v>0</v>
      </c>
      <c r="BN48" s="277">
        <f t="shared" si="41"/>
        <v>0</v>
      </c>
      <c r="BO48" s="277">
        <f t="shared" si="42"/>
        <v>0</v>
      </c>
      <c r="BP48" s="277">
        <f t="shared" si="77"/>
        <v>0</v>
      </c>
      <c r="BQ48" s="277">
        <f t="shared" si="78"/>
        <v>0</v>
      </c>
      <c r="BR48" s="277">
        <f t="shared" si="43"/>
        <v>0</v>
      </c>
      <c r="BS48" s="277">
        <f t="shared" si="44"/>
        <v>0</v>
      </c>
      <c r="BT48" s="277">
        <f t="shared" si="79"/>
        <v>0</v>
      </c>
      <c r="BU48" s="277">
        <f t="shared" si="80"/>
        <v>0</v>
      </c>
      <c r="BV48" s="277">
        <f t="shared" si="81"/>
        <v>0</v>
      </c>
      <c r="BW48" s="277">
        <f t="shared" si="82"/>
        <v>0</v>
      </c>
      <c r="BX48" s="277">
        <f t="shared" si="45"/>
        <v>0</v>
      </c>
      <c r="BY48" s="277">
        <f t="shared" si="46"/>
        <v>0</v>
      </c>
      <c r="BZ48" s="277">
        <f t="shared" si="47"/>
        <v>0</v>
      </c>
      <c r="CA48" s="277">
        <f t="shared" si="48"/>
        <v>0</v>
      </c>
      <c r="CB48" s="277">
        <f t="shared" si="49"/>
        <v>0</v>
      </c>
      <c r="CC48" s="277">
        <f t="shared" si="50"/>
        <v>0</v>
      </c>
      <c r="CD48" s="277">
        <f t="shared" si="83"/>
        <v>0</v>
      </c>
      <c r="CE48" s="277">
        <f t="shared" si="84"/>
        <v>0</v>
      </c>
      <c r="CF48" s="277">
        <f t="shared" ca="1" si="85"/>
        <v>0</v>
      </c>
      <c r="CG48" s="277">
        <f t="shared" si="86"/>
        <v>0</v>
      </c>
      <c r="CH48" s="277">
        <f t="shared" si="51"/>
        <v>0</v>
      </c>
      <c r="CI48" s="277">
        <f t="shared" si="52"/>
        <v>0</v>
      </c>
      <c r="CJ48" s="277">
        <f t="shared" si="87"/>
        <v>0</v>
      </c>
      <c r="CK48" s="277">
        <f t="shared" si="88"/>
        <v>0</v>
      </c>
      <c r="CL48" s="277">
        <f t="shared" si="53"/>
        <v>0</v>
      </c>
      <c r="CM48" s="277">
        <f t="shared" si="54"/>
        <v>0</v>
      </c>
      <c r="CN48" s="277">
        <f t="shared" si="55"/>
        <v>0</v>
      </c>
      <c r="CO48" s="277">
        <f t="shared" si="56"/>
        <v>0</v>
      </c>
      <c r="CP48" s="277">
        <f t="shared" si="89"/>
        <v>0</v>
      </c>
      <c r="CQ48" s="277">
        <f t="shared" si="90"/>
        <v>0</v>
      </c>
      <c r="CR48" s="277">
        <f t="shared" si="91"/>
        <v>0</v>
      </c>
      <c r="CS48" s="277">
        <f t="shared" si="92"/>
        <v>0</v>
      </c>
      <c r="CT48" s="277">
        <f t="shared" si="57"/>
        <v>0</v>
      </c>
      <c r="CU48" s="277">
        <f t="shared" si="58"/>
        <v>0</v>
      </c>
      <c r="CV48" s="277">
        <f t="shared" si="59"/>
        <v>0</v>
      </c>
      <c r="CW48" s="277">
        <f t="shared" si="60"/>
        <v>0</v>
      </c>
      <c r="CX48" s="277">
        <f t="shared" si="93"/>
        <v>0</v>
      </c>
      <c r="CY48" s="277">
        <f t="shared" si="94"/>
        <v>0</v>
      </c>
      <c r="CZ48" s="277">
        <f t="shared" si="95"/>
        <v>0</v>
      </c>
      <c r="DA48" s="277">
        <f t="shared" ca="1" si="96"/>
        <v>0</v>
      </c>
    </row>
    <row r="49" spans="1:105" s="274" customFormat="1" ht="15" customHeight="1">
      <c r="A49" s="63">
        <f t="array" aca="1" ref="A49" ca="1">IF(C49&lt;&gt;0,SUM(($C$11:C49&lt;&gt;0)*1),"")</f>
        <v>11</v>
      </c>
      <c r="B49" s="275">
        <v>42551</v>
      </c>
      <c r="C49" s="278" t="s">
        <v>115</v>
      </c>
      <c r="D49" s="278">
        <f t="shared" si="98"/>
        <v>42551</v>
      </c>
      <c r="E49" s="968" t="s">
        <v>119</v>
      </c>
      <c r="F49" s="969">
        <f ca="1">CU52</f>
        <v>0</v>
      </c>
      <c r="G49" s="970" t="s">
        <v>103</v>
      </c>
      <c r="H49" s="970" t="s">
        <v>109</v>
      </c>
      <c r="I49" s="63">
        <f t="shared" ca="1" si="97"/>
        <v>11</v>
      </c>
      <c r="J49" s="277">
        <f t="shared" si="61"/>
        <v>0</v>
      </c>
      <c r="K49" s="277">
        <f t="shared" si="62"/>
        <v>0</v>
      </c>
      <c r="L49" s="277">
        <f t="shared" si="1"/>
        <v>0</v>
      </c>
      <c r="M49" s="277">
        <f t="shared" si="2"/>
        <v>0</v>
      </c>
      <c r="N49" s="277">
        <f t="shared" si="3"/>
        <v>0</v>
      </c>
      <c r="O49" s="277">
        <f t="shared" si="4"/>
        <v>0</v>
      </c>
      <c r="P49" s="277">
        <f t="shared" si="5"/>
        <v>0</v>
      </c>
      <c r="Q49" s="277">
        <f t="shared" si="6"/>
        <v>0</v>
      </c>
      <c r="R49" s="277">
        <f t="shared" si="7"/>
        <v>0</v>
      </c>
      <c r="S49" s="277">
        <f t="shared" si="8"/>
        <v>0</v>
      </c>
      <c r="T49" s="277">
        <f t="shared" si="9"/>
        <v>0</v>
      </c>
      <c r="U49" s="277">
        <f t="shared" si="10"/>
        <v>0</v>
      </c>
      <c r="V49" s="277">
        <f t="shared" si="11"/>
        <v>0</v>
      </c>
      <c r="W49" s="277">
        <f t="shared" si="12"/>
        <v>0</v>
      </c>
      <c r="X49" s="277">
        <f t="shared" si="13"/>
        <v>0</v>
      </c>
      <c r="Y49" s="277">
        <f t="shared" si="14"/>
        <v>0</v>
      </c>
      <c r="Z49" s="277">
        <f t="shared" si="15"/>
        <v>0</v>
      </c>
      <c r="AA49" s="277">
        <f t="shared" si="16"/>
        <v>0</v>
      </c>
      <c r="AB49" s="277">
        <f t="shared" si="63"/>
        <v>0</v>
      </c>
      <c r="AC49" s="277">
        <f t="shared" si="64"/>
        <v>0</v>
      </c>
      <c r="AD49" s="277">
        <f t="shared" si="17"/>
        <v>0</v>
      </c>
      <c r="AE49" s="277">
        <f t="shared" si="18"/>
        <v>0</v>
      </c>
      <c r="AF49" s="277">
        <f t="shared" si="19"/>
        <v>0</v>
      </c>
      <c r="AG49" s="277">
        <f t="shared" si="20"/>
        <v>0</v>
      </c>
      <c r="AH49" s="277">
        <f t="shared" si="65"/>
        <v>0</v>
      </c>
      <c r="AI49" s="277">
        <f t="shared" si="66"/>
        <v>0</v>
      </c>
      <c r="AJ49" s="277">
        <f t="shared" si="67"/>
        <v>0</v>
      </c>
      <c r="AK49" s="277">
        <f t="shared" si="68"/>
        <v>0</v>
      </c>
      <c r="AL49" s="277">
        <f t="shared" si="69"/>
        <v>0</v>
      </c>
      <c r="AM49" s="277">
        <f t="shared" si="70"/>
        <v>0</v>
      </c>
      <c r="AN49" s="277">
        <f t="shared" si="71"/>
        <v>0</v>
      </c>
      <c r="AO49" s="277">
        <f t="shared" si="72"/>
        <v>0</v>
      </c>
      <c r="AP49" s="277">
        <f t="shared" si="21"/>
        <v>0</v>
      </c>
      <c r="AQ49" s="277">
        <f t="shared" si="22"/>
        <v>0</v>
      </c>
      <c r="AR49" s="277">
        <f t="shared" si="23"/>
        <v>0</v>
      </c>
      <c r="AS49" s="277">
        <f t="shared" si="24"/>
        <v>0</v>
      </c>
      <c r="AT49" s="277">
        <f t="shared" si="73"/>
        <v>0</v>
      </c>
      <c r="AU49" s="277">
        <f t="shared" si="74"/>
        <v>0</v>
      </c>
      <c r="AV49" s="277">
        <f t="shared" si="25"/>
        <v>0</v>
      </c>
      <c r="AW49" s="277">
        <f t="shared" si="26"/>
        <v>0</v>
      </c>
      <c r="AX49" s="277">
        <f t="shared" si="27"/>
        <v>0</v>
      </c>
      <c r="AY49" s="277">
        <f t="shared" si="28"/>
        <v>0</v>
      </c>
      <c r="AZ49" s="277">
        <f t="shared" si="29"/>
        <v>0</v>
      </c>
      <c r="BA49" s="277">
        <f t="shared" si="30"/>
        <v>0</v>
      </c>
      <c r="BB49" s="277">
        <f t="shared" si="31"/>
        <v>0</v>
      </c>
      <c r="BC49" s="277">
        <f t="shared" si="32"/>
        <v>0</v>
      </c>
      <c r="BD49" s="277">
        <f t="shared" si="33"/>
        <v>0</v>
      </c>
      <c r="BE49" s="277">
        <f t="shared" si="34"/>
        <v>0</v>
      </c>
      <c r="BF49" s="277">
        <f t="shared" si="35"/>
        <v>0</v>
      </c>
      <c r="BG49" s="277">
        <f t="shared" si="36"/>
        <v>0</v>
      </c>
      <c r="BH49" s="277">
        <f t="shared" si="75"/>
        <v>0</v>
      </c>
      <c r="BI49" s="277">
        <f t="shared" si="76"/>
        <v>0</v>
      </c>
      <c r="BJ49" s="277">
        <f t="shared" si="37"/>
        <v>0</v>
      </c>
      <c r="BK49" s="277">
        <f t="shared" si="38"/>
        <v>0</v>
      </c>
      <c r="BL49" s="277">
        <f t="shared" si="39"/>
        <v>0</v>
      </c>
      <c r="BM49" s="277">
        <f t="shared" si="40"/>
        <v>0</v>
      </c>
      <c r="BN49" s="277">
        <f t="shared" si="41"/>
        <v>0</v>
      </c>
      <c r="BO49" s="277">
        <f t="shared" si="42"/>
        <v>0</v>
      </c>
      <c r="BP49" s="277">
        <f t="shared" si="77"/>
        <v>0</v>
      </c>
      <c r="BQ49" s="277">
        <f t="shared" si="78"/>
        <v>0</v>
      </c>
      <c r="BR49" s="277">
        <f t="shared" si="43"/>
        <v>0</v>
      </c>
      <c r="BS49" s="277">
        <f t="shared" si="44"/>
        <v>0</v>
      </c>
      <c r="BT49" s="277">
        <f t="shared" si="79"/>
        <v>0</v>
      </c>
      <c r="BU49" s="277">
        <f t="shared" si="80"/>
        <v>0</v>
      </c>
      <c r="BV49" s="277">
        <f t="shared" si="81"/>
        <v>0</v>
      </c>
      <c r="BW49" s="277">
        <f t="shared" si="82"/>
        <v>0</v>
      </c>
      <c r="BX49" s="277">
        <f t="shared" si="45"/>
        <v>0</v>
      </c>
      <c r="BY49" s="277">
        <f t="shared" si="46"/>
        <v>0</v>
      </c>
      <c r="BZ49" s="277">
        <f t="shared" si="47"/>
        <v>0</v>
      </c>
      <c r="CA49" s="277">
        <f t="shared" si="48"/>
        <v>0</v>
      </c>
      <c r="CB49" s="277">
        <f t="shared" si="49"/>
        <v>0</v>
      </c>
      <c r="CC49" s="277">
        <f t="shared" si="50"/>
        <v>0</v>
      </c>
      <c r="CD49" s="277">
        <f t="shared" si="83"/>
        <v>0</v>
      </c>
      <c r="CE49" s="277">
        <f t="shared" si="84"/>
        <v>0</v>
      </c>
      <c r="CF49" s="277">
        <f t="shared" si="85"/>
        <v>0</v>
      </c>
      <c r="CG49" s="277">
        <f t="shared" si="86"/>
        <v>0</v>
      </c>
      <c r="CH49" s="277">
        <f t="shared" si="51"/>
        <v>0</v>
      </c>
      <c r="CI49" s="277">
        <f t="shared" si="52"/>
        <v>0</v>
      </c>
      <c r="CJ49" s="277">
        <f t="shared" si="87"/>
        <v>0</v>
      </c>
      <c r="CK49" s="277">
        <f t="shared" si="88"/>
        <v>0</v>
      </c>
      <c r="CL49" s="277">
        <f t="shared" si="53"/>
        <v>0</v>
      </c>
      <c r="CM49" s="277">
        <f t="shared" si="54"/>
        <v>0</v>
      </c>
      <c r="CN49" s="277">
        <f t="shared" si="55"/>
        <v>0</v>
      </c>
      <c r="CO49" s="277">
        <f t="shared" si="56"/>
        <v>0</v>
      </c>
      <c r="CP49" s="277">
        <f t="shared" si="89"/>
        <v>0</v>
      </c>
      <c r="CQ49" s="277">
        <f t="shared" si="90"/>
        <v>0</v>
      </c>
      <c r="CR49" s="277">
        <f t="shared" si="91"/>
        <v>0</v>
      </c>
      <c r="CS49" s="277">
        <f t="shared" si="92"/>
        <v>0</v>
      </c>
      <c r="CT49" s="277">
        <f t="shared" ca="1" si="57"/>
        <v>0</v>
      </c>
      <c r="CU49" s="277">
        <f t="shared" si="58"/>
        <v>0</v>
      </c>
      <c r="CV49" s="277">
        <f t="shared" si="59"/>
        <v>0</v>
      </c>
      <c r="CW49" s="277">
        <f t="shared" si="60"/>
        <v>0</v>
      </c>
      <c r="CX49" s="277">
        <f t="shared" si="93"/>
        <v>0</v>
      </c>
      <c r="CY49" s="277">
        <f t="shared" si="94"/>
        <v>0</v>
      </c>
      <c r="CZ49" s="277">
        <f t="shared" si="95"/>
        <v>0</v>
      </c>
      <c r="DA49" s="277">
        <f t="shared" ca="1" si="96"/>
        <v>0</v>
      </c>
    </row>
    <row r="50" spans="1:105" s="274" customFormat="1" ht="15" customHeight="1">
      <c r="A50" s="63">
        <f t="array" aca="1" ref="A50" ca="1">IF(C50&lt;&gt;0,SUM(($C$11:C50&lt;&gt;0)*1),"")</f>
        <v>12</v>
      </c>
      <c r="B50" s="275">
        <v>42551</v>
      </c>
      <c r="C50" s="278" t="s">
        <v>115</v>
      </c>
      <c r="D50" s="278">
        <f t="shared" si="98"/>
        <v>42551</v>
      </c>
      <c r="E50" s="968" t="s">
        <v>120</v>
      </c>
      <c r="F50" s="969">
        <f ca="1">CV52</f>
        <v>0</v>
      </c>
      <c r="G50" s="970" t="s">
        <v>109</v>
      </c>
      <c r="H50" s="970" t="s">
        <v>105</v>
      </c>
      <c r="I50" s="63">
        <f t="shared" ca="1" si="97"/>
        <v>12</v>
      </c>
      <c r="J50" s="277">
        <f t="shared" si="61"/>
        <v>0</v>
      </c>
      <c r="K50" s="277">
        <f t="shared" si="62"/>
        <v>0</v>
      </c>
      <c r="L50" s="277">
        <f t="shared" si="1"/>
        <v>0</v>
      </c>
      <c r="M50" s="277">
        <f t="shared" si="2"/>
        <v>0</v>
      </c>
      <c r="N50" s="277">
        <f t="shared" si="3"/>
        <v>0</v>
      </c>
      <c r="O50" s="277">
        <f t="shared" si="4"/>
        <v>0</v>
      </c>
      <c r="P50" s="277">
        <f t="shared" si="5"/>
        <v>0</v>
      </c>
      <c r="Q50" s="277">
        <f t="shared" si="6"/>
        <v>0</v>
      </c>
      <c r="R50" s="277">
        <f t="shared" si="7"/>
        <v>0</v>
      </c>
      <c r="S50" s="277">
        <f t="shared" si="8"/>
        <v>0</v>
      </c>
      <c r="T50" s="277">
        <f t="shared" si="9"/>
        <v>0</v>
      </c>
      <c r="U50" s="277">
        <f t="shared" si="10"/>
        <v>0</v>
      </c>
      <c r="V50" s="277">
        <f t="shared" si="11"/>
        <v>0</v>
      </c>
      <c r="W50" s="277">
        <f t="shared" si="12"/>
        <v>0</v>
      </c>
      <c r="X50" s="277">
        <f t="shared" si="13"/>
        <v>0</v>
      </c>
      <c r="Y50" s="277">
        <f t="shared" si="14"/>
        <v>0</v>
      </c>
      <c r="Z50" s="277">
        <f t="shared" si="15"/>
        <v>0</v>
      </c>
      <c r="AA50" s="277">
        <f t="shared" si="16"/>
        <v>0</v>
      </c>
      <c r="AB50" s="277">
        <f t="shared" si="63"/>
        <v>0</v>
      </c>
      <c r="AC50" s="277">
        <f t="shared" si="64"/>
        <v>0</v>
      </c>
      <c r="AD50" s="277">
        <f t="shared" si="17"/>
        <v>0</v>
      </c>
      <c r="AE50" s="277">
        <f t="shared" si="18"/>
        <v>0</v>
      </c>
      <c r="AF50" s="277">
        <f t="shared" si="19"/>
        <v>0</v>
      </c>
      <c r="AG50" s="277">
        <f t="shared" si="20"/>
        <v>0</v>
      </c>
      <c r="AH50" s="277">
        <f t="shared" si="65"/>
        <v>0</v>
      </c>
      <c r="AI50" s="277">
        <f t="shared" si="66"/>
        <v>0</v>
      </c>
      <c r="AJ50" s="277">
        <f t="shared" si="67"/>
        <v>0</v>
      </c>
      <c r="AK50" s="277">
        <f t="shared" si="68"/>
        <v>0</v>
      </c>
      <c r="AL50" s="277">
        <f t="shared" si="69"/>
        <v>0</v>
      </c>
      <c r="AM50" s="277">
        <f t="shared" si="70"/>
        <v>0</v>
      </c>
      <c r="AN50" s="277">
        <f t="shared" si="71"/>
        <v>0</v>
      </c>
      <c r="AO50" s="277">
        <f t="shared" si="72"/>
        <v>0</v>
      </c>
      <c r="AP50" s="277">
        <f t="shared" si="21"/>
        <v>0</v>
      </c>
      <c r="AQ50" s="277">
        <f t="shared" si="22"/>
        <v>0</v>
      </c>
      <c r="AR50" s="277">
        <f t="shared" si="23"/>
        <v>0</v>
      </c>
      <c r="AS50" s="277">
        <f t="shared" si="24"/>
        <v>0</v>
      </c>
      <c r="AT50" s="277">
        <f t="shared" si="73"/>
        <v>0</v>
      </c>
      <c r="AU50" s="277">
        <f t="shared" si="74"/>
        <v>0</v>
      </c>
      <c r="AV50" s="277">
        <f t="shared" si="25"/>
        <v>0</v>
      </c>
      <c r="AW50" s="277">
        <f t="shared" si="26"/>
        <v>0</v>
      </c>
      <c r="AX50" s="277">
        <f t="shared" si="27"/>
        <v>0</v>
      </c>
      <c r="AY50" s="277">
        <f t="shared" si="28"/>
        <v>0</v>
      </c>
      <c r="AZ50" s="277">
        <f t="shared" si="29"/>
        <v>0</v>
      </c>
      <c r="BA50" s="277">
        <f t="shared" si="30"/>
        <v>0</v>
      </c>
      <c r="BB50" s="277">
        <f t="shared" si="31"/>
        <v>0</v>
      </c>
      <c r="BC50" s="277">
        <f t="shared" si="32"/>
        <v>0</v>
      </c>
      <c r="BD50" s="277">
        <f t="shared" si="33"/>
        <v>0</v>
      </c>
      <c r="BE50" s="277">
        <f t="shared" si="34"/>
        <v>0</v>
      </c>
      <c r="BF50" s="277">
        <f t="shared" si="35"/>
        <v>0</v>
      </c>
      <c r="BG50" s="277">
        <f t="shared" si="36"/>
        <v>0</v>
      </c>
      <c r="BH50" s="277">
        <f t="shared" si="75"/>
        <v>0</v>
      </c>
      <c r="BI50" s="277">
        <f t="shared" si="76"/>
        <v>0</v>
      </c>
      <c r="BJ50" s="277">
        <f t="shared" si="37"/>
        <v>0</v>
      </c>
      <c r="BK50" s="277">
        <f t="shared" si="38"/>
        <v>0</v>
      </c>
      <c r="BL50" s="277">
        <f t="shared" si="39"/>
        <v>0</v>
      </c>
      <c r="BM50" s="277">
        <f t="shared" si="40"/>
        <v>0</v>
      </c>
      <c r="BN50" s="277">
        <f t="shared" si="41"/>
        <v>0</v>
      </c>
      <c r="BO50" s="277">
        <f t="shared" si="42"/>
        <v>0</v>
      </c>
      <c r="BP50" s="277">
        <f t="shared" si="77"/>
        <v>0</v>
      </c>
      <c r="BQ50" s="277">
        <f t="shared" si="78"/>
        <v>0</v>
      </c>
      <c r="BR50" s="277">
        <f t="shared" si="43"/>
        <v>0</v>
      </c>
      <c r="BS50" s="277">
        <f t="shared" si="44"/>
        <v>0</v>
      </c>
      <c r="BT50" s="277">
        <f t="shared" si="79"/>
        <v>0</v>
      </c>
      <c r="BU50" s="277">
        <f t="shared" si="80"/>
        <v>0</v>
      </c>
      <c r="BV50" s="277">
        <f t="shared" si="81"/>
        <v>0</v>
      </c>
      <c r="BW50" s="277">
        <f t="shared" si="82"/>
        <v>0</v>
      </c>
      <c r="BX50" s="277">
        <f t="shared" si="45"/>
        <v>0</v>
      </c>
      <c r="BY50" s="277">
        <f t="shared" si="46"/>
        <v>0</v>
      </c>
      <c r="BZ50" s="277">
        <f t="shared" si="47"/>
        <v>0</v>
      </c>
      <c r="CA50" s="277">
        <f t="shared" si="48"/>
        <v>0</v>
      </c>
      <c r="CB50" s="277">
        <f t="shared" si="49"/>
        <v>0</v>
      </c>
      <c r="CC50" s="277">
        <f t="shared" si="50"/>
        <v>0</v>
      </c>
      <c r="CD50" s="277">
        <f t="shared" si="83"/>
        <v>0</v>
      </c>
      <c r="CE50" s="277">
        <f t="shared" si="84"/>
        <v>0</v>
      </c>
      <c r="CF50" s="277">
        <f t="shared" si="85"/>
        <v>0</v>
      </c>
      <c r="CG50" s="277">
        <f t="shared" si="86"/>
        <v>0</v>
      </c>
      <c r="CH50" s="277">
        <f t="shared" si="51"/>
        <v>0</v>
      </c>
      <c r="CI50" s="277">
        <f t="shared" si="52"/>
        <v>0</v>
      </c>
      <c r="CJ50" s="277">
        <f t="shared" si="87"/>
        <v>0</v>
      </c>
      <c r="CK50" s="277">
        <f t="shared" si="88"/>
        <v>0</v>
      </c>
      <c r="CL50" s="277">
        <f t="shared" si="53"/>
        <v>0</v>
      </c>
      <c r="CM50" s="277">
        <f t="shared" si="54"/>
        <v>0</v>
      </c>
      <c r="CN50" s="277">
        <f t="shared" si="55"/>
        <v>0</v>
      </c>
      <c r="CO50" s="277">
        <f t="shared" si="56"/>
        <v>0</v>
      </c>
      <c r="CP50" s="277">
        <f t="shared" si="89"/>
        <v>0</v>
      </c>
      <c r="CQ50" s="277">
        <f t="shared" si="90"/>
        <v>0</v>
      </c>
      <c r="CR50" s="277">
        <f t="shared" si="91"/>
        <v>0</v>
      </c>
      <c r="CS50" s="277">
        <f t="shared" si="92"/>
        <v>0</v>
      </c>
      <c r="CT50" s="277">
        <f t="shared" si="57"/>
        <v>0</v>
      </c>
      <c r="CU50" s="277">
        <f t="shared" si="58"/>
        <v>0</v>
      </c>
      <c r="CV50" s="277">
        <f t="shared" si="59"/>
        <v>0</v>
      </c>
      <c r="CW50" s="277">
        <f t="shared" ca="1" si="60"/>
        <v>0</v>
      </c>
      <c r="CX50" s="277">
        <f t="shared" si="93"/>
        <v>0</v>
      </c>
      <c r="CY50" s="277">
        <f t="shared" si="94"/>
        <v>0</v>
      </c>
      <c r="CZ50" s="277">
        <f t="shared" ca="1" si="95"/>
        <v>0</v>
      </c>
      <c r="DA50" s="277">
        <f t="shared" si="96"/>
        <v>0</v>
      </c>
    </row>
    <row r="51" spans="1:105" s="274" customFormat="1" ht="15" customHeight="1">
      <c r="A51" s="63" t="str">
        <f t="array" ref="A51">IF(C51&lt;&gt;0,SUM(($C$11:C51&lt;&gt;0)*1),"")</f>
        <v/>
      </c>
      <c r="B51" s="241"/>
      <c r="C51" s="279"/>
      <c r="D51" s="241"/>
      <c r="E51" s="276"/>
      <c r="F51" s="65"/>
      <c r="G51" s="280"/>
      <c r="H51" s="280"/>
      <c r="I51" s="63" t="str">
        <f>A51</f>
        <v/>
      </c>
      <c r="J51" s="277">
        <f>IF($G51="1111",$F51,0)</f>
        <v>0</v>
      </c>
      <c r="K51" s="277">
        <f>IF($H51="1111",$F51,0)</f>
        <v>0</v>
      </c>
      <c r="L51" s="277">
        <f>IF($G51="1121",$F51,0)</f>
        <v>0</v>
      </c>
      <c r="M51" s="277">
        <f>IF($H51="1121",$F51,0)</f>
        <v>0</v>
      </c>
      <c r="N51" s="277">
        <f>IF($G51="1122",$F51,0)</f>
        <v>0</v>
      </c>
      <c r="O51" s="277">
        <f>IF($H51="1122",$F51,0)</f>
        <v>0</v>
      </c>
      <c r="P51" s="277">
        <f>IF($G51="131",$F51,0)</f>
        <v>0</v>
      </c>
      <c r="Q51" s="277">
        <f>IF($H51="131",$F51,0)</f>
        <v>0</v>
      </c>
      <c r="R51" s="277">
        <f>IF($G51="1331",$F51,0)</f>
        <v>0</v>
      </c>
      <c r="S51" s="277">
        <f>IF($H51="1331",$F51,0)</f>
        <v>0</v>
      </c>
      <c r="T51" s="277">
        <f>IF($G51="1388",$F51,0)</f>
        <v>0</v>
      </c>
      <c r="U51" s="277">
        <f>IF($H51="1388",$F51,0)</f>
        <v>0</v>
      </c>
      <c r="V51" s="277">
        <f>IF($G51="141",$F51,0)</f>
        <v>0</v>
      </c>
      <c r="W51" s="277">
        <f>IF($H51="141",$F51,0)</f>
        <v>0</v>
      </c>
      <c r="X51" s="277">
        <f>IF($G51="1521",$F51,0)</f>
        <v>0</v>
      </c>
      <c r="Y51" s="277">
        <f>IF($H51="1521",$F51,0)</f>
        <v>0</v>
      </c>
      <c r="Z51" s="277">
        <f>IF($G51="1522",$F51,0)</f>
        <v>0</v>
      </c>
      <c r="AA51" s="277">
        <f>IF($H51="1522",$F51,0)</f>
        <v>0</v>
      </c>
      <c r="AB51" s="277">
        <f>IF($G51="153",$F51,0)</f>
        <v>0</v>
      </c>
      <c r="AC51" s="277">
        <f>IF($H51="153",$F51,0)</f>
        <v>0</v>
      </c>
      <c r="AD51" s="277">
        <f>IF($G51="154",$F51,0)</f>
        <v>0</v>
      </c>
      <c r="AE51" s="277">
        <f>IF($H51="154",$F51,0)</f>
        <v>0</v>
      </c>
      <c r="AF51" s="277">
        <f>IF($G51="155",$F51,0)</f>
        <v>0</v>
      </c>
      <c r="AG51" s="277">
        <f>IF($H51="155",$F51,0)</f>
        <v>0</v>
      </c>
      <c r="AH51" s="277">
        <f>IF($G51="2111",$F51,0)</f>
        <v>0</v>
      </c>
      <c r="AI51" s="277">
        <f>IF($H51="2111",$F51,0)</f>
        <v>0</v>
      </c>
      <c r="AJ51" s="277">
        <f>IF($G51="2112",$F51,0)</f>
        <v>0</v>
      </c>
      <c r="AK51" s="277">
        <f>IF($H51="2112",$F51,0)</f>
        <v>0</v>
      </c>
      <c r="AL51" s="277">
        <f>IF($G51="2113",$F51,0)</f>
        <v>0</v>
      </c>
      <c r="AM51" s="277">
        <f>IF($H51="2113",$F51,0)</f>
        <v>0</v>
      </c>
      <c r="AN51" s="277">
        <f>IF($G51="2131",$F51,0)</f>
        <v>0</v>
      </c>
      <c r="AO51" s="277">
        <f>IF($H51="2131",$F51,0)</f>
        <v>0</v>
      </c>
      <c r="AP51" s="277">
        <f>IF($G51="2141",$F51,0)</f>
        <v>0</v>
      </c>
      <c r="AQ51" s="277">
        <f>IF($H51="2141",$F51,0)</f>
        <v>0</v>
      </c>
      <c r="AR51" s="277">
        <f>IF($G51="2143",$F51,0)</f>
        <v>0</v>
      </c>
      <c r="AS51" s="277">
        <f>IF($H51="2143",$F51,0)</f>
        <v>0</v>
      </c>
      <c r="AT51" s="277">
        <f>IF($G51="2412",$F51,0)</f>
        <v>0</v>
      </c>
      <c r="AU51" s="277">
        <f>IF($H51="2412",$F51,0)</f>
        <v>0</v>
      </c>
      <c r="AV51" s="277">
        <f>IF($G51="331",$F51,0)</f>
        <v>0</v>
      </c>
      <c r="AW51" s="277">
        <f>IF($H51="331",$F51,0)</f>
        <v>0</v>
      </c>
      <c r="AX51" s="277">
        <f>IF($G51="33311",$F51,0)</f>
        <v>0</v>
      </c>
      <c r="AY51" s="277">
        <f>IF($H51="33311",$F51,0)</f>
        <v>0</v>
      </c>
      <c r="AZ51" s="277">
        <f>IF($G51="33312",$F51,0)</f>
        <v>0</v>
      </c>
      <c r="BA51" s="277">
        <f>IF($H51="33312",$F51,0)</f>
        <v>0</v>
      </c>
      <c r="BB51" s="277">
        <f>IF($G51="3333",$F51,0)</f>
        <v>0</v>
      </c>
      <c r="BC51" s="277">
        <f>IF($H51="3333",$F51,0)</f>
        <v>0</v>
      </c>
      <c r="BD51" s="277">
        <f>IF($G51="3334",$F51,0)</f>
        <v>0</v>
      </c>
      <c r="BE51" s="277">
        <f>IF($H51="3334",$F51,0)</f>
        <v>0</v>
      </c>
      <c r="BF51" s="277">
        <f>IF($G51="3335",$F51,0)</f>
        <v>0</v>
      </c>
      <c r="BG51" s="277">
        <f>IF($H51="3335",$F51,0)</f>
        <v>0</v>
      </c>
      <c r="BH51" s="277">
        <f>IF($G51="33382",$F51,0)</f>
        <v>0</v>
      </c>
      <c r="BI51" s="277">
        <f>IF($H51="33382",$F51,0)</f>
        <v>0</v>
      </c>
      <c r="BJ51" s="277">
        <f>IF($G51="3341",$F51,0)</f>
        <v>0</v>
      </c>
      <c r="BK51" s="277">
        <f>IF($H51="3341",$F51,0)</f>
        <v>0</v>
      </c>
      <c r="BL51" s="277">
        <f>IF($G51="3383",$F51,0)</f>
        <v>0</v>
      </c>
      <c r="BM51" s="277">
        <f>IF($H51="3383",$F51,0)</f>
        <v>0</v>
      </c>
      <c r="BN51" s="277">
        <f>IF($G51="3384",$F51,0)</f>
        <v>0</v>
      </c>
      <c r="BO51" s="277">
        <f>IF($H51="3384",$F51,0)</f>
        <v>0</v>
      </c>
      <c r="BP51" s="277">
        <f>IF($G51="3386",$F51,0)</f>
        <v>0</v>
      </c>
      <c r="BQ51" s="277">
        <f>IF($H51="3386",$F51,0)</f>
        <v>0</v>
      </c>
      <c r="BR51" s="277">
        <f>IF($G51="3388",$F51,0)</f>
        <v>0</v>
      </c>
      <c r="BS51" s="277">
        <f>IF($H51="3388",$F51,0)</f>
        <v>0</v>
      </c>
      <c r="BT51" s="277">
        <f>IF($G51="3411",$F51,0)</f>
        <v>0</v>
      </c>
      <c r="BU51" s="277">
        <f>IF($H51="3411",$F51,0)</f>
        <v>0</v>
      </c>
      <c r="BV51" s="277">
        <f>IF($G51="3412",$F51,0)</f>
        <v>0</v>
      </c>
      <c r="BW51" s="277">
        <f>IF($H51="3412",$F51,0)</f>
        <v>0</v>
      </c>
      <c r="BX51" s="277">
        <f>IF($G51="4111",$F51,0)</f>
        <v>0</v>
      </c>
      <c r="BY51" s="277">
        <f>IF($H51="4111",$F51,0)</f>
        <v>0</v>
      </c>
      <c r="BZ51" s="277">
        <f>IF($G51="4211",$F51,0)</f>
        <v>0</v>
      </c>
      <c r="CA51" s="277">
        <f>IF($H51="4211",$F51,0)</f>
        <v>0</v>
      </c>
      <c r="CB51" s="277">
        <f>IF($G51="4212",$F51,0)</f>
        <v>0</v>
      </c>
      <c r="CC51" s="277">
        <f>IF($H51="4212",$F51,0)</f>
        <v>0</v>
      </c>
      <c r="CD51" s="277">
        <f>IF($G51="5112N",$F51,0)</f>
        <v>0</v>
      </c>
      <c r="CE51" s="277">
        <f>IF($H51="5112N",$F51,0)</f>
        <v>0</v>
      </c>
      <c r="CF51" s="277">
        <f>IF($G51="5112X",$F51,0)</f>
        <v>0</v>
      </c>
      <c r="CG51" s="277">
        <f>IF($H51="5112X",$F51,0)</f>
        <v>0</v>
      </c>
      <c r="CH51" s="277">
        <f>IF($G51="515",$F51,0)</f>
        <v>0</v>
      </c>
      <c r="CI51" s="277">
        <f>IF($H51="515",$F51,0)</f>
        <v>0</v>
      </c>
      <c r="CJ51" s="277">
        <f>IF($G51="5213",$F51,0)</f>
        <v>0</v>
      </c>
      <c r="CK51" s="277">
        <f>IF($H51="5213",$F51,0)</f>
        <v>0</v>
      </c>
      <c r="CL51" s="277">
        <f>IF($G51="632",$F51,0)</f>
        <v>0</v>
      </c>
      <c r="CM51" s="277">
        <f>IF($H51="632",$F51,0)</f>
        <v>0</v>
      </c>
      <c r="CN51" s="277">
        <f>IF($G51="635",$F51,0)</f>
        <v>0</v>
      </c>
      <c r="CO51" s="277">
        <f>IF($H51="635",$F51,0)</f>
        <v>0</v>
      </c>
      <c r="CP51" s="277">
        <f>IF($G51="641",$F51,0)</f>
        <v>0</v>
      </c>
      <c r="CQ51" s="277">
        <f>IF($H51="641",$F51,0)</f>
        <v>0</v>
      </c>
      <c r="CR51" s="277">
        <f>IF($G51="642",$F51,0)</f>
        <v>0</v>
      </c>
      <c r="CS51" s="277">
        <f>IF($H51="642",$F51,0)</f>
        <v>0</v>
      </c>
      <c r="CT51" s="277">
        <f>IF($G51="711",$F51,0)</f>
        <v>0</v>
      </c>
      <c r="CU51" s="277">
        <f>IF($H51="711",$F51,0)</f>
        <v>0</v>
      </c>
      <c r="CV51" s="277">
        <f>IF($G51="811",$F51,0)</f>
        <v>0</v>
      </c>
      <c r="CW51" s="277">
        <f>IF($H51="811",$F51,0)</f>
        <v>0</v>
      </c>
      <c r="CX51" s="277">
        <f>IF($G51="821",$F51,0)</f>
        <v>0</v>
      </c>
      <c r="CY51" s="277">
        <f>IF($H51="821",$F51,0)</f>
        <v>0</v>
      </c>
      <c r="CZ51" s="277">
        <f>IF($G51="911",$F51,0)</f>
        <v>0</v>
      </c>
      <c r="DA51" s="277">
        <f>IF($H51="911",$F51,0)</f>
        <v>0</v>
      </c>
    </row>
    <row r="52" spans="1:105" s="274" customFormat="1" ht="15" customHeight="1">
      <c r="A52" s="281"/>
      <c r="B52" s="281"/>
      <c r="C52" s="281"/>
      <c r="D52" s="281"/>
      <c r="E52" s="276" t="s">
        <v>174</v>
      </c>
      <c r="F52" s="281"/>
      <c r="G52" s="280"/>
      <c r="H52" s="280"/>
      <c r="I52" s="281"/>
      <c r="J52" s="281">
        <f t="shared" ref="J52:AO52" ca="1" si="99">SUM(J11:J51)</f>
        <v>0</v>
      </c>
      <c r="K52" s="281">
        <f t="shared" ca="1" si="99"/>
        <v>0</v>
      </c>
      <c r="L52" s="281">
        <f t="shared" ca="1" si="99"/>
        <v>0</v>
      </c>
      <c r="M52" s="281">
        <f t="shared" ca="1" si="99"/>
        <v>0</v>
      </c>
      <c r="N52" s="281">
        <f t="shared" ca="1" si="99"/>
        <v>0</v>
      </c>
      <c r="O52" s="281">
        <f t="shared" ca="1" si="99"/>
        <v>0</v>
      </c>
      <c r="P52" s="281">
        <f t="shared" ca="1" si="99"/>
        <v>0</v>
      </c>
      <c r="Q52" s="281">
        <f t="shared" ca="1" si="99"/>
        <v>0</v>
      </c>
      <c r="R52" s="281">
        <f t="shared" ca="1" si="99"/>
        <v>0</v>
      </c>
      <c r="S52" s="281">
        <f t="shared" ca="1" si="99"/>
        <v>0</v>
      </c>
      <c r="T52" s="281">
        <f t="shared" ca="1" si="99"/>
        <v>0</v>
      </c>
      <c r="U52" s="281">
        <f t="shared" ca="1" si="99"/>
        <v>0</v>
      </c>
      <c r="V52" s="281">
        <f t="shared" ca="1" si="99"/>
        <v>0</v>
      </c>
      <c r="W52" s="281">
        <f t="shared" ca="1" si="99"/>
        <v>0</v>
      </c>
      <c r="X52" s="281">
        <f t="shared" ca="1" si="99"/>
        <v>0</v>
      </c>
      <c r="Y52" s="281">
        <f t="shared" ca="1" si="99"/>
        <v>0</v>
      </c>
      <c r="Z52" s="281">
        <f t="shared" ca="1" si="99"/>
        <v>0</v>
      </c>
      <c r="AA52" s="281">
        <f t="shared" ca="1" si="99"/>
        <v>0</v>
      </c>
      <c r="AB52" s="281">
        <f t="shared" ca="1" si="99"/>
        <v>0</v>
      </c>
      <c r="AC52" s="281">
        <f t="shared" ca="1" si="99"/>
        <v>0</v>
      </c>
      <c r="AD52" s="281">
        <f t="shared" ca="1" si="99"/>
        <v>0</v>
      </c>
      <c r="AE52" s="281">
        <f t="shared" ca="1" si="99"/>
        <v>0</v>
      </c>
      <c r="AF52" s="281">
        <f t="shared" ca="1" si="99"/>
        <v>0</v>
      </c>
      <c r="AG52" s="281">
        <f t="shared" ca="1" si="99"/>
        <v>0</v>
      </c>
      <c r="AH52" s="281">
        <f t="shared" ca="1" si="99"/>
        <v>0</v>
      </c>
      <c r="AI52" s="281">
        <f t="shared" ca="1" si="99"/>
        <v>0</v>
      </c>
      <c r="AJ52" s="281">
        <f t="shared" ca="1" si="99"/>
        <v>0</v>
      </c>
      <c r="AK52" s="281">
        <f t="shared" ca="1" si="99"/>
        <v>0</v>
      </c>
      <c r="AL52" s="281">
        <f t="shared" ca="1" si="99"/>
        <v>0</v>
      </c>
      <c r="AM52" s="281">
        <f t="shared" ca="1" si="99"/>
        <v>0</v>
      </c>
      <c r="AN52" s="281">
        <f t="shared" ca="1" si="99"/>
        <v>0</v>
      </c>
      <c r="AO52" s="281">
        <f t="shared" ca="1" si="99"/>
        <v>0</v>
      </c>
      <c r="AP52" s="281">
        <f t="shared" ref="AP52:BU52" ca="1" si="100">SUM(AP11:AP51)</f>
        <v>0</v>
      </c>
      <c r="AQ52" s="281">
        <f t="shared" ca="1" si="100"/>
        <v>0</v>
      </c>
      <c r="AR52" s="281">
        <f t="shared" ca="1" si="100"/>
        <v>0</v>
      </c>
      <c r="AS52" s="281">
        <f t="shared" ca="1" si="100"/>
        <v>0</v>
      </c>
      <c r="AT52" s="281">
        <f t="shared" ca="1" si="100"/>
        <v>0</v>
      </c>
      <c r="AU52" s="281">
        <f t="shared" ca="1" si="100"/>
        <v>0</v>
      </c>
      <c r="AV52" s="281">
        <f t="shared" ca="1" si="100"/>
        <v>0</v>
      </c>
      <c r="AW52" s="281">
        <f t="shared" ca="1" si="100"/>
        <v>0</v>
      </c>
      <c r="AX52" s="281">
        <f t="shared" ca="1" si="100"/>
        <v>0</v>
      </c>
      <c r="AY52" s="281">
        <f t="shared" ca="1" si="100"/>
        <v>0</v>
      </c>
      <c r="AZ52" s="281">
        <f t="shared" ca="1" si="100"/>
        <v>0</v>
      </c>
      <c r="BA52" s="281">
        <f t="shared" ca="1" si="100"/>
        <v>0</v>
      </c>
      <c r="BB52" s="281">
        <f t="shared" ca="1" si="100"/>
        <v>0</v>
      </c>
      <c r="BC52" s="281">
        <f t="shared" ca="1" si="100"/>
        <v>0</v>
      </c>
      <c r="BD52" s="281">
        <f t="shared" ca="1" si="100"/>
        <v>0</v>
      </c>
      <c r="BE52" s="281">
        <f t="shared" ca="1" si="100"/>
        <v>0</v>
      </c>
      <c r="BF52" s="281">
        <f t="shared" ca="1" si="100"/>
        <v>0</v>
      </c>
      <c r="BG52" s="281">
        <f t="shared" ca="1" si="100"/>
        <v>0</v>
      </c>
      <c r="BH52" s="281">
        <f t="shared" ca="1" si="100"/>
        <v>0</v>
      </c>
      <c r="BI52" s="281">
        <f t="shared" ca="1" si="100"/>
        <v>0</v>
      </c>
      <c r="BJ52" s="281">
        <f t="shared" ca="1" si="100"/>
        <v>0</v>
      </c>
      <c r="BK52" s="281">
        <f t="shared" ca="1" si="100"/>
        <v>0</v>
      </c>
      <c r="BL52" s="281">
        <f t="shared" ca="1" si="100"/>
        <v>0</v>
      </c>
      <c r="BM52" s="281">
        <f t="shared" ca="1" si="100"/>
        <v>0</v>
      </c>
      <c r="BN52" s="281">
        <f t="shared" ca="1" si="100"/>
        <v>0</v>
      </c>
      <c r="BO52" s="281">
        <f t="shared" ca="1" si="100"/>
        <v>0</v>
      </c>
      <c r="BP52" s="281">
        <f t="shared" ca="1" si="100"/>
        <v>0</v>
      </c>
      <c r="BQ52" s="281">
        <f t="shared" ca="1" si="100"/>
        <v>0</v>
      </c>
      <c r="BR52" s="281">
        <f t="shared" ca="1" si="100"/>
        <v>0</v>
      </c>
      <c r="BS52" s="281">
        <f t="shared" ca="1" si="100"/>
        <v>0</v>
      </c>
      <c r="BT52" s="281">
        <f t="shared" ca="1" si="100"/>
        <v>0</v>
      </c>
      <c r="BU52" s="281">
        <f t="shared" ca="1" si="100"/>
        <v>0</v>
      </c>
      <c r="BV52" s="281">
        <f t="shared" ref="BV52:DA52" ca="1" si="101">SUM(BV11:BV51)</f>
        <v>0</v>
      </c>
      <c r="BW52" s="281">
        <f t="shared" ca="1" si="101"/>
        <v>0</v>
      </c>
      <c r="BX52" s="281">
        <f t="shared" ca="1" si="101"/>
        <v>0</v>
      </c>
      <c r="BY52" s="281">
        <f t="shared" ca="1" si="101"/>
        <v>0</v>
      </c>
      <c r="BZ52" s="281">
        <f t="shared" ca="1" si="101"/>
        <v>0</v>
      </c>
      <c r="CA52" s="281">
        <f t="shared" ca="1" si="101"/>
        <v>0</v>
      </c>
      <c r="CB52" s="281">
        <f t="shared" ca="1" si="101"/>
        <v>0</v>
      </c>
      <c r="CC52" s="281">
        <f t="shared" ca="1" si="101"/>
        <v>0</v>
      </c>
      <c r="CD52" s="281">
        <f t="shared" ca="1" si="101"/>
        <v>0</v>
      </c>
      <c r="CE52" s="281">
        <f t="shared" ca="1" si="101"/>
        <v>0</v>
      </c>
      <c r="CF52" s="281">
        <f t="shared" ca="1" si="101"/>
        <v>0</v>
      </c>
      <c r="CG52" s="281">
        <f t="shared" ca="1" si="101"/>
        <v>0</v>
      </c>
      <c r="CH52" s="281">
        <f t="shared" ca="1" si="101"/>
        <v>0</v>
      </c>
      <c r="CI52" s="281">
        <f t="shared" ca="1" si="101"/>
        <v>0</v>
      </c>
      <c r="CJ52" s="281">
        <f t="shared" ca="1" si="101"/>
        <v>0</v>
      </c>
      <c r="CK52" s="281">
        <f t="shared" ca="1" si="101"/>
        <v>0</v>
      </c>
      <c r="CL52" s="281">
        <f t="shared" ca="1" si="101"/>
        <v>0</v>
      </c>
      <c r="CM52" s="281">
        <f t="shared" ca="1" si="101"/>
        <v>0</v>
      </c>
      <c r="CN52" s="281">
        <f t="shared" ca="1" si="101"/>
        <v>0</v>
      </c>
      <c r="CO52" s="281">
        <f t="shared" ca="1" si="101"/>
        <v>0</v>
      </c>
      <c r="CP52" s="281">
        <f t="shared" ca="1" si="101"/>
        <v>0</v>
      </c>
      <c r="CQ52" s="281">
        <f t="shared" ca="1" si="101"/>
        <v>0</v>
      </c>
      <c r="CR52" s="281">
        <f t="shared" ca="1" si="101"/>
        <v>0</v>
      </c>
      <c r="CS52" s="281">
        <f t="shared" ca="1" si="101"/>
        <v>0</v>
      </c>
      <c r="CT52" s="281">
        <f t="shared" ca="1" si="101"/>
        <v>0</v>
      </c>
      <c r="CU52" s="281">
        <f t="shared" ca="1" si="101"/>
        <v>0</v>
      </c>
      <c r="CV52" s="281">
        <f t="shared" ca="1" si="101"/>
        <v>0</v>
      </c>
      <c r="CW52" s="281">
        <f t="shared" ca="1" si="101"/>
        <v>0</v>
      </c>
      <c r="CX52" s="281">
        <f t="shared" ca="1" si="101"/>
        <v>0</v>
      </c>
      <c r="CY52" s="281">
        <f t="shared" ca="1" si="101"/>
        <v>0</v>
      </c>
      <c r="CZ52" s="281">
        <f t="shared" ca="1" si="101"/>
        <v>0</v>
      </c>
      <c r="DA52" s="281">
        <f t="shared" ca="1" si="101"/>
        <v>0</v>
      </c>
    </row>
    <row r="53" spans="1:105" s="274" customFormat="1" ht="15" customHeight="1">
      <c r="A53" s="282"/>
      <c r="B53" s="282"/>
      <c r="C53" s="282"/>
      <c r="D53" s="282"/>
      <c r="E53" s="283" t="s">
        <v>215</v>
      </c>
      <c r="F53" s="282"/>
      <c r="G53" s="284"/>
      <c r="H53" s="284"/>
      <c r="I53" s="282"/>
      <c r="J53" s="304">
        <f ca="1">MAX(J10+J52-K10-K52,0)</f>
        <v>3705039095</v>
      </c>
      <c r="K53" s="304">
        <f ca="1">MAX(K10+K52-J10-J52,0)</f>
        <v>0</v>
      </c>
      <c r="L53" s="304">
        <f ca="1">MAX(L10+L52-M10-M52,0)</f>
        <v>19829295</v>
      </c>
      <c r="M53" s="304">
        <f ca="1">MAX(M10+M52-L10-L52,0)</f>
        <v>0</v>
      </c>
      <c r="N53" s="304">
        <f ca="1">MAX(N10+N52-O10-O52,0)</f>
        <v>2236796790</v>
      </c>
      <c r="O53" s="304">
        <f ca="1">MAX(O10+O52-N10-N52,0)</f>
        <v>0</v>
      </c>
      <c r="P53" s="304">
        <f ca="1">MAX(P10+P52-Q10-Q52,0)</f>
        <v>3343381600</v>
      </c>
      <c r="Q53" s="304">
        <f ca="1">MAX(Q10+Q52-P10-P52,0)</f>
        <v>0</v>
      </c>
      <c r="R53" s="304">
        <f ca="1">MAX(R10+R52-S10-S52,0)</f>
        <v>162420936</v>
      </c>
      <c r="S53" s="304">
        <f ca="1">MAX(S10+S52-R10-R52,0)</f>
        <v>0</v>
      </c>
      <c r="T53" s="304">
        <f ca="1">MAX(T10+T52-U10-U52,0)</f>
        <v>1500000000</v>
      </c>
      <c r="U53" s="304">
        <f ca="1">MAX(U10+U52-T10-T52,0)</f>
        <v>0</v>
      </c>
      <c r="V53" s="304">
        <f ca="1">MAX(V10+V52-W10-W52,0)</f>
        <v>0</v>
      </c>
      <c r="W53" s="304">
        <f ca="1">MAX(W10+W52-V10-V52,0)</f>
        <v>0</v>
      </c>
      <c r="X53" s="304">
        <f ca="1">MAX(X10+X52-Y10-Y52,0)</f>
        <v>2772400000</v>
      </c>
      <c r="Y53" s="304">
        <f ca="1">MAX(Y10+Y52-X10-X52,0)</f>
        <v>0</v>
      </c>
      <c r="Z53" s="304">
        <f ca="1">MAX(Z10+Z52-AA10-AA52,0)</f>
        <v>526519887</v>
      </c>
      <c r="AA53" s="304">
        <f ca="1">MAX(AA10+AA52-Z10-Z52,0)</f>
        <v>0</v>
      </c>
      <c r="AB53" s="304">
        <f ca="1">MAX(AB10+AB52-AC10-AC52,0)</f>
        <v>0</v>
      </c>
      <c r="AC53" s="304">
        <f ca="1">MAX(AC10+AC52-AB10-AB52,0)</f>
        <v>0</v>
      </c>
      <c r="AD53" s="304">
        <f ca="1">MAX(AD10+AD52-AE10-AE52,0)</f>
        <v>0</v>
      </c>
      <c r="AE53" s="304">
        <f ca="1">MAX(AE10+AE52-AD10-AD52,0)</f>
        <v>0</v>
      </c>
      <c r="AF53" s="304">
        <f ca="1">MAX(AF10+AF52-AG10-AG52,0)</f>
        <v>9386323824</v>
      </c>
      <c r="AG53" s="304">
        <f ca="1">MAX(AG10+AG52-AF10-AF52,0)</f>
        <v>0</v>
      </c>
      <c r="AH53" s="304">
        <f ca="1">MAX(AH10+AH52-AI10-AI52,0)</f>
        <v>7490743648</v>
      </c>
      <c r="AI53" s="304">
        <f ca="1">MAX(AI10+AI52-AH10-AH52,0)</f>
        <v>0</v>
      </c>
      <c r="AJ53" s="304">
        <f ca="1">MAX(AJ10+AJ52-AK10-AK52,0)</f>
        <v>3807898863</v>
      </c>
      <c r="AK53" s="304">
        <f ca="1">MAX(AK10+AK52-AJ10-AJ52,0)</f>
        <v>0</v>
      </c>
      <c r="AL53" s="304">
        <f ca="1">MAX(AL10+AL52-AM10-AM52,0)</f>
        <v>3790918485</v>
      </c>
      <c r="AM53" s="304">
        <f ca="1">MAX(AM10+AM52-AL10-AL52,0)</f>
        <v>0</v>
      </c>
      <c r="AN53" s="304">
        <f ca="1">MAX(AN10+AN52-AO10-AO52,0)</f>
        <v>5405781300</v>
      </c>
      <c r="AO53" s="304">
        <f ca="1">MAX(AO10+AO52-AN10-AN52,0)</f>
        <v>0</v>
      </c>
      <c r="AP53" s="304">
        <f ca="1">MAX(AP10+AP52-AQ10-AQ52,0)</f>
        <v>0</v>
      </c>
      <c r="AQ53" s="304">
        <f ca="1">MAX(AQ10+AQ52-AP10-AP52,0)</f>
        <v>9132359256</v>
      </c>
      <c r="AR53" s="304">
        <f ca="1">MAX(AR10+AR52-AS10-AS52,0)</f>
        <v>0</v>
      </c>
      <c r="AS53" s="304">
        <f ca="1">MAX(AS10+AS52-AR10-AR52,0)</f>
        <v>600642360</v>
      </c>
      <c r="AT53" s="304">
        <f ca="1">MAX(AT10+AT52-AU10-AU52,0)</f>
        <v>0</v>
      </c>
      <c r="AU53" s="304">
        <f ca="1">MAX(AU10+AU52-AT10-AT52,0)</f>
        <v>0</v>
      </c>
      <c r="AV53" s="304">
        <f ca="1">MAX(AV10+AV52-AW10-AW52,0)</f>
        <v>0</v>
      </c>
      <c r="AW53" s="304">
        <f ca="1">MAX(AW10+AW52-AV10-AV52,0)</f>
        <v>476953252</v>
      </c>
      <c r="AX53" s="304">
        <f ca="1">MAX(AX10+AX52-AY10-AY52,0)</f>
        <v>0</v>
      </c>
      <c r="AY53" s="304">
        <f ca="1">MAX(AY10+AY52-AX10-AX52,0)</f>
        <v>0</v>
      </c>
      <c r="AZ53" s="304">
        <f ca="1">MAX(AZ10+AZ52-BA10-BA52,0)</f>
        <v>0</v>
      </c>
      <c r="BA53" s="304">
        <f ca="1">MAX(BA10+BA52-AZ10-AZ52,0)</f>
        <v>0</v>
      </c>
      <c r="BB53" s="304">
        <f ca="1">MAX(BB10+BB52-BC10-BC52,0)</f>
        <v>0</v>
      </c>
      <c r="BC53" s="304">
        <f ca="1">MAX(BC10+BC52-BB10-BB52,0)</f>
        <v>0</v>
      </c>
      <c r="BD53" s="304">
        <f ca="1">MAX(BD10+BD52-BE10-BE52,0)</f>
        <v>0</v>
      </c>
      <c r="BE53" s="304">
        <f ca="1">MAX(BE10+BE52-BD10-BD52,0)</f>
        <v>3313435</v>
      </c>
      <c r="BF53" s="304">
        <f ca="1">MAX(BF10+BF52-BG10-BG52,0)</f>
        <v>3389804</v>
      </c>
      <c r="BG53" s="304">
        <f ca="1">MAX(BG10+BG52-BF10-BF52,0)</f>
        <v>0</v>
      </c>
      <c r="BH53" s="304">
        <f ca="1">MAX(BH10+BH52-BI10-BI52,0)</f>
        <v>0</v>
      </c>
      <c r="BI53" s="304">
        <f ca="1">MAX(BI10+BI52-BH10-BH52,0)</f>
        <v>0</v>
      </c>
      <c r="BJ53" s="304">
        <f ca="1">MAX(BJ10+BJ52-BK10-BK52,0)</f>
        <v>0</v>
      </c>
      <c r="BK53" s="304">
        <f ca="1">MAX(BK10+BK52-BJ10-BJ52,0)</f>
        <v>0</v>
      </c>
      <c r="BL53" s="304">
        <f ca="1">MAX(BL10+BL52-BM10-BM52,0)</f>
        <v>0</v>
      </c>
      <c r="BM53" s="304">
        <f ca="1">MAX(BM10+BM52-BL10-BL52,0)</f>
        <v>40272309</v>
      </c>
      <c r="BN53" s="304">
        <f ca="1">MAX(BN10+BN52-BO10-BO52,0)</f>
        <v>0</v>
      </c>
      <c r="BO53" s="304">
        <f ca="1">MAX(BO10+BO52-BN10-BN52,0)</f>
        <v>6403142</v>
      </c>
      <c r="BP53" s="304">
        <f ca="1">MAX(BP10+BP52-BQ10-BQ52,0)</f>
        <v>0</v>
      </c>
      <c r="BQ53" s="304">
        <f ca="1">MAX(BQ10+BQ52-BP10-BP52,0)</f>
        <v>2761373</v>
      </c>
      <c r="BR53" s="304">
        <f ca="1">MAX(BR10+BR52-BS10-BS52,0)</f>
        <v>0</v>
      </c>
      <c r="BS53" s="304">
        <f ca="1">MAX(BS10+BS52-BR10-BR52,0)</f>
        <v>0</v>
      </c>
      <c r="BT53" s="304">
        <f ca="1">MAX(BT10+BT52-BU10-BU52,0)</f>
        <v>0</v>
      </c>
      <c r="BU53" s="304">
        <f ca="1">MAX(BU10+BU52-BT10-BT52,0)</f>
        <v>2169121879</v>
      </c>
      <c r="BV53" s="304">
        <f ca="1">MAX(BV10+BV52-BW10-BW52,0)</f>
        <v>0</v>
      </c>
      <c r="BW53" s="304">
        <f ca="1">MAX(BW10+BW52-BV10-BV52,0)</f>
        <v>21202920500</v>
      </c>
      <c r="BX53" s="304">
        <f ca="1">MAX(BX10+BX52-BY10-BY52,0)</f>
        <v>0</v>
      </c>
      <c r="BY53" s="304">
        <f ca="1">MAX(BY10+BY52-BX10-BX52,0)</f>
        <v>10000000000</v>
      </c>
      <c r="BZ53" s="304">
        <f ca="1">MAX(BZ10+BZ52-CA10-CA52,0)</f>
        <v>0</v>
      </c>
      <c r="CA53" s="304">
        <f ca="1">MAX(CA10+CA52-BZ10-BZ52,0)</f>
        <v>594397022.00000048</v>
      </c>
      <c r="CB53" s="304">
        <f ca="1">MAX(CB10+CB52-CC10-CC52,0)</f>
        <v>77701001</v>
      </c>
      <c r="CC53" s="304">
        <f ca="1">MAX(CC10+CC52-CB10-CB52,0)</f>
        <v>0</v>
      </c>
      <c r="CD53" s="304">
        <f ca="1">MAX(CD10+CD52-CE10-CE52,0)</f>
        <v>0</v>
      </c>
      <c r="CE53" s="304">
        <f ca="1">MAX(CE10+CE52-CD10-CD52,0)</f>
        <v>0</v>
      </c>
      <c r="CF53" s="304">
        <f ca="1">MAX(CF10+CF52-CG10-CG52,0)</f>
        <v>0</v>
      </c>
      <c r="CG53" s="304">
        <f ca="1">MAX(CG10+CG52-CF10-CF52,0)</f>
        <v>0</v>
      </c>
      <c r="CH53" s="304">
        <f ca="1">MAX(CH10+CH52-CI10-CI52,0)</f>
        <v>0</v>
      </c>
      <c r="CI53" s="304">
        <f ca="1">MAX(CI10+CI52-CH10-CH52,0)</f>
        <v>0</v>
      </c>
      <c r="CJ53" s="304">
        <f ca="1">MAX(CJ10+CJ52-CK10-CK52,0)</f>
        <v>0</v>
      </c>
      <c r="CK53" s="304">
        <f ca="1">MAX(CK10+CK52-CJ10-CJ52,0)</f>
        <v>0</v>
      </c>
      <c r="CL53" s="304">
        <f ca="1">MAX(CL10+CL52-CM10-CM52,0)</f>
        <v>0</v>
      </c>
      <c r="CM53" s="304">
        <f ca="1">MAX(CM10+CM52-CL10-CL52,0)</f>
        <v>0</v>
      </c>
      <c r="CN53" s="304">
        <f ca="1">MAX(CN10+CN52-CO10-CO52,0)</f>
        <v>0</v>
      </c>
      <c r="CO53" s="304">
        <f ca="1">MAX(CO10+CO52-CN10-CN52,0)</f>
        <v>0</v>
      </c>
      <c r="CP53" s="304">
        <f ca="1">MAX(CP10+CP52-CQ10-CQ52,0)</f>
        <v>0</v>
      </c>
      <c r="CQ53" s="304">
        <f ca="1">MAX(CQ10+CQ52-CP10-CP52,0)</f>
        <v>0</v>
      </c>
      <c r="CR53" s="304">
        <f ca="1">MAX(CR10+CR52-CS10-CS52,0)</f>
        <v>0</v>
      </c>
      <c r="CS53" s="304">
        <f ca="1">MAX(CS10+CS52-CR10-CR52,0)</f>
        <v>0</v>
      </c>
      <c r="CT53" s="304">
        <f ca="1">MAX(CT10+CT52-CU10-CU52,0)</f>
        <v>0</v>
      </c>
      <c r="CU53" s="304">
        <f ca="1">MAX(CU10+CU52-CT10-CT52,0)</f>
        <v>0</v>
      </c>
      <c r="CV53" s="304">
        <f ca="1">MAX(CV10+CV52-CW10-CW52,0)</f>
        <v>0</v>
      </c>
      <c r="CW53" s="304">
        <f ca="1">MAX(CW10+CW52-CV10-CV52,0)</f>
        <v>0</v>
      </c>
      <c r="CX53" s="304">
        <f ca="1">MAX(CX10+CX52-CY10-CY52,0)</f>
        <v>0</v>
      </c>
      <c r="CY53" s="304">
        <f ca="1">MAX(CY10+CY52-CX10-CX52,0)</f>
        <v>0</v>
      </c>
      <c r="CZ53" s="304">
        <f ca="1">MAX(CZ10+CZ52-DA10-DA52,0)</f>
        <v>0</v>
      </c>
      <c r="DA53" s="304">
        <f ca="1">MAX(DA10+DA52-CZ10-CZ52,0)</f>
        <v>0</v>
      </c>
    </row>
    <row r="54" spans="1:105" s="274" customFormat="1" ht="15" customHeight="1">
      <c r="A54" s="286"/>
      <c r="B54" s="286"/>
      <c r="C54" s="287"/>
      <c r="D54" s="286"/>
      <c r="E54" s="288" t="s">
        <v>216</v>
      </c>
      <c r="F54" s="286"/>
      <c r="G54" s="289"/>
      <c r="H54" s="289"/>
      <c r="I54" s="286"/>
      <c r="J54" s="286">
        <f ca="1">J52+'SC-I'!J54</f>
        <v>0</v>
      </c>
      <c r="K54" s="286">
        <f ca="1">K52+'SC-I'!K54</f>
        <v>0</v>
      </c>
      <c r="L54" s="286">
        <f ca="1">L52+'SC-I'!L54</f>
        <v>0</v>
      </c>
      <c r="M54" s="286">
        <f ca="1">M52+'SC-I'!M54</f>
        <v>0</v>
      </c>
      <c r="N54" s="286">
        <f ca="1">N52+'SC-I'!N54</f>
        <v>0</v>
      </c>
      <c r="O54" s="286">
        <f ca="1">O52+'SC-I'!O54</f>
        <v>0</v>
      </c>
      <c r="P54" s="286">
        <f ca="1">P52+'SC-I'!P54</f>
        <v>0</v>
      </c>
      <c r="Q54" s="286">
        <f ca="1">Q52+'SC-I'!Q54</f>
        <v>0</v>
      </c>
      <c r="R54" s="286">
        <f ca="1">R52+'SC-I'!R54</f>
        <v>0</v>
      </c>
      <c r="S54" s="286">
        <f ca="1">S52+'SC-I'!S54</f>
        <v>0</v>
      </c>
      <c r="T54" s="286">
        <f ca="1">T52+'SC-I'!T54</f>
        <v>0</v>
      </c>
      <c r="U54" s="286">
        <f ca="1">U52+'SC-I'!U54</f>
        <v>0</v>
      </c>
      <c r="V54" s="286">
        <f ca="1">V52+'SC-I'!V54</f>
        <v>0</v>
      </c>
      <c r="W54" s="286">
        <f ca="1">W52+'SC-I'!W54</f>
        <v>0</v>
      </c>
      <c r="X54" s="286">
        <f ca="1">X52+'SC-I'!X54</f>
        <v>0</v>
      </c>
      <c r="Y54" s="286">
        <f ca="1">Y52+'SC-I'!Y54</f>
        <v>0</v>
      </c>
      <c r="Z54" s="286">
        <f ca="1">Z52+'SC-I'!Z54</f>
        <v>0</v>
      </c>
      <c r="AA54" s="286">
        <f ca="1">AA52+'SC-I'!AA54</f>
        <v>0</v>
      </c>
      <c r="AB54" s="286">
        <f ca="1">AB52+'SC-I'!AB54</f>
        <v>0</v>
      </c>
      <c r="AC54" s="286">
        <f ca="1">AC52+'SC-I'!AC54</f>
        <v>0</v>
      </c>
      <c r="AD54" s="286">
        <f ca="1">AD52+'SC-I'!AD54</f>
        <v>0</v>
      </c>
      <c r="AE54" s="286">
        <f ca="1">AE52+'SC-I'!AE54</f>
        <v>0</v>
      </c>
      <c r="AF54" s="286">
        <f ca="1">AF52+'SC-I'!AF54</f>
        <v>0</v>
      </c>
      <c r="AG54" s="286">
        <f ca="1">AG52+'SC-I'!AG54</f>
        <v>0</v>
      </c>
      <c r="AH54" s="286">
        <f ca="1">AH52+'SC-I'!AH54</f>
        <v>0</v>
      </c>
      <c r="AI54" s="286">
        <f ca="1">AI52+'SC-I'!AI54</f>
        <v>0</v>
      </c>
      <c r="AJ54" s="286">
        <f ca="1">AJ52+'SC-I'!AJ54</f>
        <v>0</v>
      </c>
      <c r="AK54" s="286">
        <f ca="1">AK52+'SC-I'!AK54</f>
        <v>0</v>
      </c>
      <c r="AL54" s="286">
        <f ca="1">AL52+'SC-I'!AL54</f>
        <v>0</v>
      </c>
      <c r="AM54" s="286">
        <f ca="1">AM52+'SC-I'!AM54</f>
        <v>0</v>
      </c>
      <c r="AN54" s="286">
        <f ca="1">AN52+'SC-I'!AN54</f>
        <v>0</v>
      </c>
      <c r="AO54" s="286">
        <f ca="1">AO52+'SC-I'!AO54</f>
        <v>0</v>
      </c>
      <c r="AP54" s="286">
        <f ca="1">AP52+'SC-I'!AP54</f>
        <v>0</v>
      </c>
      <c r="AQ54" s="286">
        <f ca="1">AQ52+'SC-I'!AQ54</f>
        <v>0</v>
      </c>
      <c r="AR54" s="286">
        <f ca="1">AR52+'SC-I'!AR54</f>
        <v>0</v>
      </c>
      <c r="AS54" s="286">
        <f ca="1">AS52+'SC-I'!AS54</f>
        <v>0</v>
      </c>
      <c r="AT54" s="286">
        <f ca="1">AT52+'SC-I'!AT54</f>
        <v>0</v>
      </c>
      <c r="AU54" s="286">
        <f ca="1">AU52+'SC-I'!AU54</f>
        <v>0</v>
      </c>
      <c r="AV54" s="286">
        <f ca="1">AV52+'SC-I'!AV54</f>
        <v>0</v>
      </c>
      <c r="AW54" s="286">
        <f ca="1">AW52+'SC-I'!AW54</f>
        <v>0</v>
      </c>
      <c r="AX54" s="286">
        <f ca="1">AX52+'SC-I'!AX54</f>
        <v>0</v>
      </c>
      <c r="AY54" s="286">
        <f ca="1">AY52+'SC-I'!AY54</f>
        <v>0</v>
      </c>
      <c r="AZ54" s="286">
        <f ca="1">AZ52+'SC-I'!AZ54</f>
        <v>0</v>
      </c>
      <c r="BA54" s="286">
        <f ca="1">BA52+'SC-I'!BA54</f>
        <v>0</v>
      </c>
      <c r="BB54" s="286">
        <f ca="1">BB52+'SC-I'!BB54</f>
        <v>0</v>
      </c>
      <c r="BC54" s="286">
        <f ca="1">BC52+'SC-I'!BC54</f>
        <v>0</v>
      </c>
      <c r="BD54" s="286">
        <f ca="1">BD52+'SC-I'!BD54</f>
        <v>0</v>
      </c>
      <c r="BE54" s="286">
        <f ca="1">BE52+'SC-I'!BE54</f>
        <v>0</v>
      </c>
      <c r="BF54" s="286">
        <f ca="1">BF52+'SC-I'!BF54</f>
        <v>0</v>
      </c>
      <c r="BG54" s="286">
        <f ca="1">BG52+'SC-I'!BG54</f>
        <v>0</v>
      </c>
      <c r="BH54" s="286">
        <f ca="1">BH52+'SC-I'!BH54</f>
        <v>0</v>
      </c>
      <c r="BI54" s="286">
        <f ca="1">BI52+'SC-I'!BI54</f>
        <v>0</v>
      </c>
      <c r="BJ54" s="286">
        <f ca="1">BJ52+'SC-I'!BJ54</f>
        <v>0</v>
      </c>
      <c r="BK54" s="286">
        <f ca="1">BK52+'SC-I'!BK54</f>
        <v>0</v>
      </c>
      <c r="BL54" s="286">
        <f ca="1">BL52+'SC-I'!BL54</f>
        <v>0</v>
      </c>
      <c r="BM54" s="286">
        <f ca="1">BM52+'SC-I'!BM54</f>
        <v>0</v>
      </c>
      <c r="BN54" s="286">
        <f ca="1">BN52+'SC-I'!BN54</f>
        <v>0</v>
      </c>
      <c r="BO54" s="286">
        <f ca="1">BO52+'SC-I'!BO54</f>
        <v>0</v>
      </c>
      <c r="BP54" s="286">
        <f ca="1">BP52+'SC-I'!BP54</f>
        <v>0</v>
      </c>
      <c r="BQ54" s="286">
        <f ca="1">BQ52+'SC-I'!BQ54</f>
        <v>0</v>
      </c>
      <c r="BR54" s="286">
        <f ca="1">BR52+'SC-I'!BR54</f>
        <v>0</v>
      </c>
      <c r="BS54" s="286">
        <f ca="1">BS52+'SC-I'!BS54</f>
        <v>0</v>
      </c>
      <c r="BT54" s="286">
        <f ca="1">BT52+'SC-I'!BT54</f>
        <v>0</v>
      </c>
      <c r="BU54" s="286">
        <f ca="1">BU52+'SC-I'!BU54</f>
        <v>0</v>
      </c>
      <c r="BV54" s="286">
        <f ca="1">BV52+'SC-I'!BV54</f>
        <v>0</v>
      </c>
      <c r="BW54" s="286">
        <f ca="1">BW52+'SC-I'!BW54</f>
        <v>0</v>
      </c>
      <c r="BX54" s="286">
        <f ca="1">BX52+'SC-I'!BX54</f>
        <v>0</v>
      </c>
      <c r="BY54" s="286">
        <f ca="1">BY52+'SC-I'!BY54</f>
        <v>0</v>
      </c>
      <c r="BZ54" s="286">
        <f ca="1">BZ52+'SC-I'!BZ54</f>
        <v>0</v>
      </c>
      <c r="CA54" s="286">
        <f ca="1">CA52+'SC-I'!CA54</f>
        <v>107861885.00000048</v>
      </c>
      <c r="CB54" s="286">
        <f ca="1">CB52+'SC-I'!CB54</f>
        <v>107861885.00000048</v>
      </c>
      <c r="CC54" s="286">
        <f ca="1">CC52+'SC-I'!CC54</f>
        <v>0</v>
      </c>
      <c r="CD54" s="286">
        <f ca="1">CD52+'SC-I'!CD54</f>
        <v>0</v>
      </c>
      <c r="CE54" s="286">
        <f ca="1">CE52+'SC-I'!CE54</f>
        <v>0</v>
      </c>
      <c r="CF54" s="286">
        <f ca="1">CF52+'SC-I'!CF54</f>
        <v>0</v>
      </c>
      <c r="CG54" s="286">
        <f ca="1">CG52+'SC-I'!CG54</f>
        <v>0</v>
      </c>
      <c r="CH54" s="286">
        <f ca="1">CH52+'SC-I'!CH54</f>
        <v>0</v>
      </c>
      <c r="CI54" s="286">
        <f ca="1">CI52+'SC-I'!CI54</f>
        <v>0</v>
      </c>
      <c r="CJ54" s="286">
        <f ca="1">CJ52+'SC-I'!CJ54</f>
        <v>0</v>
      </c>
      <c r="CK54" s="286">
        <f ca="1">CK52+'SC-I'!CK54</f>
        <v>0</v>
      </c>
      <c r="CL54" s="286">
        <f ca="1">CL52+'SC-I'!CL54</f>
        <v>0</v>
      </c>
      <c r="CM54" s="286">
        <f ca="1">CM52+'SC-I'!CM54</f>
        <v>0</v>
      </c>
      <c r="CN54" s="286">
        <f ca="1">CN52+'SC-I'!CN54</f>
        <v>0</v>
      </c>
      <c r="CO54" s="286">
        <f ca="1">CO52+'SC-I'!CO54</f>
        <v>0</v>
      </c>
      <c r="CP54" s="286">
        <f ca="1">CP52+'SC-I'!CP54</f>
        <v>0</v>
      </c>
      <c r="CQ54" s="286">
        <f ca="1">CQ52+'SC-I'!CQ54</f>
        <v>0</v>
      </c>
      <c r="CR54" s="286">
        <f ca="1">CR52+'SC-I'!CR54</f>
        <v>0</v>
      </c>
      <c r="CS54" s="286">
        <f ca="1">CS52+'SC-I'!CS54</f>
        <v>0</v>
      </c>
      <c r="CT54" s="286">
        <f ca="1">CT52+'SC-I'!CT54</f>
        <v>0</v>
      </c>
      <c r="CU54" s="286">
        <f ca="1">CU52+'SC-I'!CU54</f>
        <v>0</v>
      </c>
      <c r="CV54" s="286">
        <f ca="1">CV52+'SC-I'!CV54</f>
        <v>0</v>
      </c>
      <c r="CW54" s="286">
        <f ca="1">CW52+'SC-I'!CW54</f>
        <v>0</v>
      </c>
      <c r="CX54" s="286">
        <f ca="1">CX52+'SC-I'!CX54</f>
        <v>0</v>
      </c>
      <c r="CY54" s="286">
        <f ca="1">CY52+'SC-I'!CY54</f>
        <v>0</v>
      </c>
      <c r="CZ54" s="286">
        <f ca="1">CZ52+'SC-I'!CZ54</f>
        <v>0</v>
      </c>
      <c r="DA54" s="286">
        <f ca="1">DA52+'SC-I'!DA54</f>
        <v>0</v>
      </c>
    </row>
    <row r="55" spans="1:105" ht="12" customHeight="1">
      <c r="B55" s="291"/>
      <c r="C55" s="292"/>
      <c r="D55" s="292"/>
      <c r="E55" s="292"/>
      <c r="F55" s="292"/>
      <c r="G55" s="293"/>
      <c r="H55" s="293"/>
      <c r="I55" s="292"/>
      <c r="J55" s="292"/>
      <c r="K55" s="292"/>
    </row>
    <row r="56" spans="1:105">
      <c r="M56" s="294"/>
      <c r="O56" s="294"/>
      <c r="Q56" s="294"/>
      <c r="R56" s="294"/>
      <c r="S56" s="294"/>
      <c r="T56" s="294"/>
      <c r="U56" s="294"/>
      <c r="V56" s="294"/>
      <c r="AM56" s="296"/>
      <c r="AN56" s="295" t="s">
        <v>230</v>
      </c>
      <c r="AO56" s="296"/>
      <c r="AP56" s="296"/>
      <c r="AQ56" s="296"/>
      <c r="AR56" s="297"/>
      <c r="AS56" s="297"/>
      <c r="AT56" s="296"/>
    </row>
    <row r="57" spans="1:105">
      <c r="M57" s="294"/>
      <c r="O57" s="294"/>
      <c r="Q57" s="294"/>
      <c r="R57" s="294"/>
      <c r="S57" s="294"/>
      <c r="T57" s="294"/>
      <c r="U57" s="294"/>
      <c r="V57" s="294"/>
      <c r="AM57" s="296"/>
      <c r="AN57" s="298" t="s">
        <v>220</v>
      </c>
      <c r="AO57" s="296"/>
      <c r="AP57" s="296"/>
      <c r="AQ57" s="296"/>
      <c r="AR57" s="297"/>
      <c r="AS57" s="297"/>
      <c r="AT57" s="296"/>
    </row>
    <row r="58" spans="1:105">
      <c r="M58" s="294"/>
      <c r="O58" s="294"/>
      <c r="Q58" s="294"/>
      <c r="R58" s="294"/>
      <c r="S58" s="294"/>
      <c r="T58" s="294"/>
      <c r="U58" s="294"/>
      <c r="V58" s="294"/>
      <c r="AL58" s="296"/>
      <c r="AM58" s="296"/>
      <c r="AN58" s="296"/>
      <c r="AO58" s="296"/>
      <c r="AP58" s="296"/>
      <c r="AQ58" s="296"/>
      <c r="AR58" s="296"/>
      <c r="AS58" s="296"/>
      <c r="AT58" s="297"/>
    </row>
    <row r="59" spans="1:105">
      <c r="M59" s="294"/>
      <c r="O59" s="294"/>
      <c r="Q59" s="294"/>
      <c r="R59" s="294"/>
      <c r="S59" s="294"/>
      <c r="T59" s="294"/>
      <c r="U59" s="294"/>
      <c r="V59" s="294"/>
      <c r="AL59" s="296"/>
      <c r="AM59" s="296"/>
      <c r="AN59" s="296"/>
      <c r="AO59" s="300" t="s">
        <v>11</v>
      </c>
      <c r="AQ59" s="296"/>
      <c r="AR59" s="296"/>
      <c r="AS59" s="296"/>
      <c r="AT59" s="297"/>
      <c r="AZ59" s="299" t="str">
        <f>"Ngày 30 tháng 06 năm 2015 "</f>
        <v xml:space="preserve">Ngày 30 tháng 06 năm 2015 </v>
      </c>
    </row>
    <row r="60" spans="1:105">
      <c r="M60" s="294"/>
      <c r="O60" s="294"/>
      <c r="Q60" s="294"/>
      <c r="R60" s="294"/>
      <c r="S60" s="294"/>
      <c r="T60" s="294"/>
      <c r="U60" s="294"/>
      <c r="V60" s="294"/>
      <c r="AL60" s="296"/>
      <c r="AN60" s="296"/>
      <c r="AO60" s="302" t="s">
        <v>13</v>
      </c>
      <c r="AQ60" s="296"/>
      <c r="AR60" s="296"/>
      <c r="AS60" s="301" t="s">
        <v>12</v>
      </c>
      <c r="AT60" s="297"/>
      <c r="AZ60" s="300" t="s">
        <v>131</v>
      </c>
    </row>
    <row r="61" spans="1:105">
      <c r="M61" s="294"/>
      <c r="O61" s="294"/>
      <c r="Q61" s="294"/>
      <c r="R61" s="294"/>
      <c r="S61" s="294"/>
      <c r="T61" s="294"/>
      <c r="U61" s="294"/>
      <c r="V61" s="294"/>
      <c r="AL61" s="296"/>
      <c r="AN61" s="296"/>
      <c r="AO61" s="296"/>
      <c r="AQ61" s="296"/>
      <c r="AR61" s="296"/>
      <c r="AS61" s="303" t="s">
        <v>13</v>
      </c>
      <c r="AT61" s="297"/>
      <c r="AZ61" s="302" t="s">
        <v>161</v>
      </c>
    </row>
    <row r="62" spans="1:105">
      <c r="M62" s="294"/>
      <c r="O62" s="294"/>
      <c r="Q62" s="294"/>
      <c r="R62" s="294"/>
      <c r="S62" s="294"/>
      <c r="T62" s="294"/>
      <c r="U62" s="294"/>
      <c r="V62" s="294"/>
      <c r="AL62" s="296"/>
      <c r="AN62" s="296"/>
      <c r="AO62" s="296"/>
      <c r="AP62" s="296"/>
      <c r="AQ62" s="296"/>
      <c r="AR62" s="296"/>
      <c r="AS62" s="296"/>
      <c r="AT62" s="297"/>
      <c r="AZ62" s="296"/>
    </row>
    <row r="63" spans="1:105">
      <c r="M63" s="294"/>
      <c r="O63" s="294"/>
      <c r="Q63" s="294"/>
      <c r="R63" s="294"/>
      <c r="S63" s="294"/>
      <c r="T63" s="294"/>
      <c r="U63" s="294"/>
      <c r="V63" s="294"/>
      <c r="AZ63" s="296"/>
    </row>
    <row r="64" spans="1:105">
      <c r="M64" s="294"/>
      <c r="O64" s="294"/>
      <c r="Q64" s="294"/>
      <c r="R64" s="294"/>
      <c r="S64" s="294"/>
      <c r="T64" s="294"/>
      <c r="U64" s="294"/>
      <c r="V64" s="294"/>
    </row>
    <row r="65" spans="13:22">
      <c r="M65" s="294"/>
      <c r="O65" s="294"/>
      <c r="Q65" s="294"/>
      <c r="R65" s="294"/>
      <c r="S65" s="294"/>
      <c r="T65" s="294"/>
      <c r="U65" s="294"/>
      <c r="V65" s="294"/>
    </row>
    <row r="66" spans="13:22">
      <c r="M66" s="294"/>
      <c r="O66" s="294"/>
      <c r="Q66" s="294"/>
      <c r="R66" s="294"/>
      <c r="S66" s="294"/>
      <c r="T66" s="294"/>
      <c r="U66" s="294"/>
      <c r="V66" s="294"/>
    </row>
    <row r="67" spans="13:22">
      <c r="M67" s="294"/>
      <c r="O67" s="294"/>
      <c r="Q67" s="294"/>
      <c r="R67" s="294"/>
      <c r="S67" s="294"/>
      <c r="T67" s="294"/>
      <c r="U67" s="294"/>
      <c r="V67" s="294"/>
    </row>
    <row r="68" spans="13:22">
      <c r="M68" s="294"/>
      <c r="O68" s="294"/>
      <c r="Q68" s="294"/>
      <c r="R68" s="294"/>
      <c r="S68" s="294"/>
      <c r="T68" s="294"/>
      <c r="U68" s="294"/>
      <c r="V68" s="294"/>
    </row>
    <row r="69" spans="13:22">
      <c r="M69" s="294"/>
      <c r="O69" s="294"/>
      <c r="Q69" s="294"/>
      <c r="R69" s="294"/>
      <c r="S69" s="294"/>
      <c r="T69" s="294"/>
      <c r="U69" s="294"/>
      <c r="V69" s="294"/>
    </row>
    <row r="70" spans="13:22">
      <c r="M70" s="294"/>
      <c r="O70" s="294"/>
      <c r="Q70" s="294"/>
      <c r="R70" s="294"/>
      <c r="S70" s="294"/>
      <c r="T70" s="294"/>
      <c r="U70" s="294"/>
      <c r="V70" s="294"/>
    </row>
    <row r="71" spans="13:22">
      <c r="M71" s="294"/>
      <c r="O71" s="294"/>
      <c r="Q71" s="294"/>
      <c r="R71" s="294"/>
      <c r="S71" s="294"/>
      <c r="T71" s="294"/>
      <c r="U71" s="294"/>
      <c r="V71" s="294"/>
    </row>
    <row r="72" spans="13:22">
      <c r="M72" s="294"/>
      <c r="O72" s="294"/>
      <c r="Q72" s="294"/>
      <c r="R72" s="294"/>
      <c r="S72" s="294"/>
      <c r="T72" s="294"/>
      <c r="U72" s="294"/>
      <c r="V72" s="294"/>
    </row>
    <row r="73" spans="13:22">
      <c r="M73" s="294"/>
      <c r="O73" s="294"/>
      <c r="Q73" s="294"/>
      <c r="R73" s="294"/>
      <c r="S73" s="294"/>
      <c r="T73" s="294"/>
      <c r="U73" s="294"/>
      <c r="V73" s="294"/>
    </row>
    <row r="74" spans="13:22">
      <c r="M74" s="294"/>
      <c r="O74" s="294"/>
      <c r="Q74" s="294"/>
      <c r="R74" s="294"/>
      <c r="S74" s="294"/>
      <c r="T74" s="294"/>
      <c r="U74" s="294"/>
      <c r="V74" s="294"/>
    </row>
    <row r="75" spans="13:22">
      <c r="M75" s="294"/>
      <c r="O75" s="294"/>
      <c r="Q75" s="294"/>
      <c r="R75" s="294"/>
      <c r="S75" s="294"/>
      <c r="T75" s="294"/>
      <c r="U75" s="294"/>
      <c r="V75" s="294"/>
    </row>
    <row r="76" spans="13:22">
      <c r="M76" s="294"/>
      <c r="O76" s="294"/>
      <c r="Q76" s="294"/>
      <c r="R76" s="294"/>
      <c r="S76" s="294"/>
      <c r="T76" s="294"/>
      <c r="U76" s="294"/>
      <c r="V76" s="294"/>
    </row>
    <row r="77" spans="13:22">
      <c r="M77" s="294"/>
      <c r="O77" s="294"/>
      <c r="Q77" s="294"/>
      <c r="R77" s="294"/>
      <c r="S77" s="294"/>
      <c r="T77" s="294"/>
      <c r="U77" s="294"/>
      <c r="V77" s="294"/>
    </row>
    <row r="78" spans="13:22">
      <c r="M78" s="294"/>
      <c r="O78" s="294"/>
      <c r="Q78" s="294"/>
      <c r="R78" s="294"/>
      <c r="S78" s="294"/>
      <c r="T78" s="294"/>
      <c r="U78" s="294"/>
      <c r="V78" s="294"/>
    </row>
    <row r="79" spans="13:22">
      <c r="M79" s="294"/>
      <c r="O79" s="294"/>
      <c r="Q79" s="294"/>
      <c r="R79" s="294"/>
      <c r="S79" s="294"/>
      <c r="T79" s="294"/>
      <c r="U79" s="294"/>
      <c r="V79" s="294"/>
    </row>
    <row r="80" spans="13:22">
      <c r="M80" s="294"/>
      <c r="O80" s="294"/>
      <c r="Q80" s="294"/>
      <c r="R80" s="294"/>
      <c r="S80" s="294"/>
      <c r="T80" s="294"/>
      <c r="U80" s="294"/>
      <c r="V80" s="294"/>
    </row>
    <row r="81" spans="13:22">
      <c r="M81" s="294"/>
      <c r="O81" s="294"/>
      <c r="Q81" s="294"/>
      <c r="R81" s="294"/>
      <c r="S81" s="294"/>
      <c r="T81" s="294"/>
      <c r="U81" s="294"/>
      <c r="V81" s="294"/>
    </row>
    <row r="82" spans="13:22">
      <c r="M82" s="294"/>
      <c r="O82" s="294"/>
      <c r="Q82" s="294"/>
      <c r="R82" s="294"/>
      <c r="S82" s="294"/>
      <c r="T82" s="294"/>
      <c r="U82" s="294"/>
      <c r="V82" s="294"/>
    </row>
    <row r="83" spans="13:22">
      <c r="M83" s="294"/>
      <c r="O83" s="294"/>
      <c r="Q83" s="294"/>
      <c r="R83" s="294"/>
      <c r="S83" s="294"/>
      <c r="T83" s="294"/>
      <c r="U83" s="294"/>
      <c r="V83" s="294"/>
    </row>
    <row r="84" spans="13:22">
      <c r="M84" s="294"/>
      <c r="O84" s="294"/>
      <c r="Q84" s="294"/>
      <c r="R84" s="294"/>
      <c r="S84" s="294"/>
      <c r="T84" s="294"/>
      <c r="U84" s="294"/>
      <c r="V84" s="294"/>
    </row>
    <row r="85" spans="13:22">
      <c r="M85" s="294"/>
      <c r="O85" s="294"/>
      <c r="Q85" s="294"/>
      <c r="R85" s="294"/>
      <c r="S85" s="294"/>
      <c r="T85" s="294"/>
      <c r="U85" s="294"/>
      <c r="V85" s="294"/>
    </row>
    <row r="86" spans="13:22">
      <c r="M86" s="294"/>
      <c r="O86" s="294"/>
      <c r="Q86" s="294"/>
      <c r="R86" s="294"/>
      <c r="S86" s="294"/>
      <c r="T86" s="294"/>
      <c r="U86" s="294"/>
      <c r="V86" s="294"/>
    </row>
    <row r="87" spans="13:22">
      <c r="M87" s="294"/>
      <c r="O87" s="294"/>
      <c r="Q87" s="294"/>
      <c r="R87" s="294"/>
      <c r="S87" s="294"/>
      <c r="T87" s="294"/>
      <c r="U87" s="294"/>
      <c r="V87" s="294"/>
    </row>
    <row r="88" spans="13:22">
      <c r="M88" s="294"/>
      <c r="O88" s="294"/>
      <c r="Q88" s="294"/>
      <c r="R88" s="294"/>
      <c r="S88" s="294"/>
      <c r="T88" s="294"/>
      <c r="U88" s="294"/>
      <c r="V88" s="294"/>
    </row>
    <row r="89" spans="13:22">
      <c r="M89" s="294"/>
      <c r="O89" s="294"/>
      <c r="Q89" s="294"/>
      <c r="R89" s="294"/>
      <c r="S89" s="294"/>
      <c r="T89" s="294"/>
      <c r="U89" s="294"/>
      <c r="V89" s="294"/>
    </row>
    <row r="90" spans="13:22">
      <c r="M90" s="294"/>
      <c r="O90" s="294"/>
      <c r="Q90" s="294"/>
      <c r="R90" s="294"/>
      <c r="S90" s="294"/>
      <c r="T90" s="294"/>
      <c r="U90" s="294"/>
      <c r="V90" s="294"/>
    </row>
    <row r="91" spans="13:22">
      <c r="M91" s="294"/>
      <c r="O91" s="294"/>
      <c r="Q91" s="294"/>
      <c r="R91" s="294"/>
      <c r="S91" s="294"/>
      <c r="T91" s="294"/>
      <c r="U91" s="294"/>
      <c r="V91" s="294"/>
    </row>
    <row r="92" spans="13:22">
      <c r="M92" s="294"/>
      <c r="O92" s="294"/>
      <c r="Q92" s="294"/>
      <c r="R92" s="294"/>
      <c r="S92" s="294"/>
      <c r="T92" s="294"/>
      <c r="U92" s="294"/>
      <c r="V92" s="294"/>
    </row>
    <row r="93" spans="13:22">
      <c r="M93" s="294"/>
      <c r="O93" s="294"/>
      <c r="Q93" s="294"/>
      <c r="R93" s="294"/>
      <c r="S93" s="294"/>
      <c r="T93" s="294"/>
      <c r="U93" s="294"/>
      <c r="V93" s="294"/>
    </row>
    <row r="94" spans="13:22">
      <c r="M94" s="294"/>
      <c r="O94" s="294"/>
      <c r="Q94" s="294"/>
      <c r="R94" s="294"/>
      <c r="S94" s="294"/>
      <c r="T94" s="294"/>
      <c r="U94" s="294"/>
      <c r="V94" s="294"/>
    </row>
    <row r="95" spans="13:22">
      <c r="M95" s="294"/>
      <c r="O95" s="294"/>
      <c r="Q95" s="294"/>
      <c r="R95" s="294"/>
      <c r="S95" s="294"/>
      <c r="T95" s="294"/>
      <c r="U95" s="294"/>
      <c r="V95" s="294"/>
    </row>
    <row r="96" spans="13:22">
      <c r="M96" s="294"/>
      <c r="O96" s="294"/>
      <c r="Q96" s="294"/>
      <c r="R96" s="294"/>
      <c r="S96" s="294"/>
      <c r="T96" s="294"/>
      <c r="U96" s="294"/>
      <c r="V96" s="294"/>
    </row>
    <row r="97" spans="13:22">
      <c r="M97" s="294"/>
      <c r="O97" s="294"/>
      <c r="Q97" s="294"/>
      <c r="R97" s="294"/>
      <c r="S97" s="294"/>
      <c r="T97" s="294"/>
      <c r="U97" s="294"/>
      <c r="V97" s="294"/>
    </row>
    <row r="98" spans="13:22">
      <c r="M98" s="294"/>
      <c r="O98" s="294"/>
      <c r="Q98" s="294"/>
      <c r="R98" s="294"/>
      <c r="S98" s="294"/>
      <c r="T98" s="294"/>
      <c r="U98" s="294"/>
      <c r="V98" s="294"/>
    </row>
    <row r="99" spans="13:22">
      <c r="M99" s="294"/>
      <c r="O99" s="294"/>
      <c r="Q99" s="294"/>
      <c r="R99" s="294"/>
      <c r="S99" s="294"/>
      <c r="T99" s="294"/>
      <c r="U99" s="294"/>
      <c r="V99" s="294"/>
    </row>
    <row r="100" spans="13:22">
      <c r="M100" s="294"/>
      <c r="O100" s="294"/>
      <c r="Q100" s="294"/>
      <c r="R100" s="294"/>
      <c r="S100" s="294"/>
      <c r="T100" s="294"/>
      <c r="U100" s="294"/>
      <c r="V100" s="294"/>
    </row>
    <row r="101" spans="13:22">
      <c r="M101" s="294"/>
      <c r="O101" s="294"/>
      <c r="Q101" s="294"/>
      <c r="R101" s="294"/>
      <c r="S101" s="294"/>
      <c r="T101" s="294"/>
      <c r="U101" s="294"/>
      <c r="V101" s="294"/>
    </row>
    <row r="102" spans="13:22">
      <c r="M102" s="294"/>
      <c r="O102" s="294"/>
      <c r="Q102" s="294"/>
      <c r="R102" s="294"/>
      <c r="S102" s="294"/>
      <c r="T102" s="294"/>
      <c r="U102" s="294"/>
      <c r="V102" s="294"/>
    </row>
    <row r="103" spans="13:22">
      <c r="M103" s="294"/>
      <c r="O103" s="294"/>
      <c r="Q103" s="294"/>
      <c r="R103" s="294"/>
      <c r="S103" s="294"/>
      <c r="T103" s="294"/>
      <c r="U103" s="294"/>
      <c r="V103" s="294"/>
    </row>
    <row r="104" spans="13:22">
      <c r="M104" s="294"/>
      <c r="O104" s="294"/>
      <c r="Q104" s="294"/>
      <c r="R104" s="294"/>
      <c r="S104" s="294"/>
      <c r="T104" s="294"/>
      <c r="U104" s="294"/>
      <c r="V104" s="294"/>
    </row>
    <row r="105" spans="13:22">
      <c r="M105" s="294"/>
      <c r="O105" s="294"/>
      <c r="Q105" s="294"/>
      <c r="R105" s="294"/>
      <c r="S105" s="294"/>
      <c r="T105" s="294"/>
      <c r="U105" s="294"/>
      <c r="V105" s="294"/>
    </row>
    <row r="106" spans="13:22">
      <c r="M106" s="294"/>
      <c r="O106" s="294"/>
      <c r="Q106" s="294"/>
      <c r="R106" s="294"/>
      <c r="S106" s="294"/>
      <c r="T106" s="294"/>
      <c r="U106" s="294"/>
      <c r="V106" s="294"/>
    </row>
    <row r="107" spans="13:22">
      <c r="M107" s="294"/>
      <c r="O107" s="294"/>
      <c r="Q107" s="294"/>
      <c r="R107" s="294"/>
      <c r="S107" s="294"/>
      <c r="T107" s="294"/>
      <c r="U107" s="294"/>
      <c r="V107" s="294"/>
    </row>
    <row r="108" spans="13:22">
      <c r="M108" s="294"/>
      <c r="O108" s="294"/>
      <c r="Q108" s="294"/>
      <c r="R108" s="294"/>
      <c r="S108" s="294"/>
      <c r="T108" s="294"/>
      <c r="U108" s="294"/>
      <c r="V108" s="294"/>
    </row>
    <row r="109" spans="13:22">
      <c r="M109" s="294"/>
      <c r="O109" s="294"/>
      <c r="Q109" s="294"/>
      <c r="R109" s="294"/>
      <c r="S109" s="294"/>
      <c r="T109" s="294"/>
      <c r="U109" s="294"/>
      <c r="V109" s="294"/>
    </row>
    <row r="110" spans="13:22">
      <c r="M110" s="294"/>
      <c r="O110" s="294"/>
      <c r="Q110" s="294"/>
      <c r="R110" s="294"/>
      <c r="S110" s="294"/>
      <c r="T110" s="294"/>
      <c r="U110" s="294"/>
      <c r="V110" s="294"/>
    </row>
    <row r="111" spans="13:22">
      <c r="M111" s="294"/>
      <c r="O111" s="294"/>
      <c r="Q111" s="294"/>
      <c r="R111" s="294"/>
      <c r="S111" s="294"/>
      <c r="T111" s="294"/>
      <c r="U111" s="294"/>
      <c r="V111" s="294"/>
    </row>
    <row r="112" spans="13:22">
      <c r="M112" s="294"/>
      <c r="O112" s="294"/>
      <c r="Q112" s="294"/>
      <c r="R112" s="294"/>
      <c r="S112" s="294"/>
      <c r="T112" s="294"/>
      <c r="U112" s="294"/>
      <c r="V112" s="294"/>
    </row>
    <row r="113" spans="13:22">
      <c r="M113" s="294"/>
      <c r="O113" s="294"/>
      <c r="Q113" s="294"/>
      <c r="R113" s="294"/>
      <c r="S113" s="294"/>
      <c r="T113" s="294"/>
      <c r="U113" s="294"/>
      <c r="V113" s="294"/>
    </row>
    <row r="114" spans="13:22">
      <c r="M114" s="294"/>
      <c r="O114" s="294"/>
      <c r="Q114" s="294"/>
      <c r="R114" s="294"/>
      <c r="S114" s="294"/>
      <c r="T114" s="294"/>
      <c r="U114" s="294"/>
      <c r="V114" s="294"/>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5" customWidth="1"/>
    <col min="2" max="2" width="8.28515625" style="255" customWidth="1"/>
    <col min="3" max="3" width="7.85546875" style="255" customWidth="1"/>
    <col min="4" max="4" width="8.28515625" style="255" customWidth="1"/>
    <col min="5" max="5" width="44.7109375" style="255" customWidth="1"/>
    <col min="6" max="6" width="15.140625" style="305" customWidth="1"/>
    <col min="7" max="8" width="5.85546875" style="256" customWidth="1"/>
    <col min="9" max="9" width="4.85546875" style="255" customWidth="1"/>
    <col min="10" max="10" width="13.28515625" style="255" customWidth="1"/>
    <col min="11" max="11" width="12.85546875" style="255" customWidth="1"/>
    <col min="12" max="15" width="13.42578125" style="255" customWidth="1"/>
    <col min="16" max="16" width="13.5703125" style="255" customWidth="1"/>
    <col min="17" max="17" width="13.28515625" style="255" customWidth="1"/>
    <col min="18" max="18" width="13.5703125" style="255" customWidth="1"/>
    <col min="19" max="19" width="11.42578125" style="255" customWidth="1"/>
    <col min="20" max="20" width="13.7109375" style="255" customWidth="1"/>
    <col min="21" max="21" width="4.42578125" style="255" customWidth="1"/>
    <col min="22" max="22" width="14.140625" style="255" customWidth="1"/>
    <col min="23" max="23" width="13.85546875" style="255" customWidth="1"/>
    <col min="24" max="24" width="5.42578125" style="255" customWidth="1"/>
    <col min="25" max="25" width="6.140625" style="255" customWidth="1"/>
    <col min="26" max="26" width="9.5703125" style="255" customWidth="1"/>
    <col min="27" max="27" width="9.7109375" style="255" customWidth="1"/>
    <col min="28" max="28" width="13" style="255" customWidth="1"/>
    <col min="29" max="29" width="12.85546875" style="255" customWidth="1"/>
    <col min="30" max="30" width="4.5703125" style="255" customWidth="1"/>
    <col min="31" max="31" width="13.85546875" style="255" customWidth="1"/>
    <col min="32" max="32" width="4.5703125" style="255" customWidth="1"/>
    <col min="33" max="33" width="13.85546875" style="255" customWidth="1"/>
    <col min="34" max="34" width="4.7109375" style="255" customWidth="1"/>
    <col min="35" max="35" width="12.5703125" style="255" customWidth="1"/>
    <col min="36" max="36" width="11.7109375" style="255" customWidth="1"/>
    <col min="37" max="37" width="5.28515625" style="255" customWidth="1"/>
    <col min="38" max="38" width="11.140625" style="255" customWidth="1"/>
    <col min="39" max="39" width="10.28515625" style="255" customWidth="1"/>
    <col min="40" max="40" width="9.5703125" style="255" customWidth="1"/>
    <col min="41" max="41" width="9.140625" style="255" customWidth="1"/>
    <col min="42" max="42" width="12.7109375" style="255" customWidth="1"/>
    <col min="43" max="43" width="12.5703125" style="255" customWidth="1"/>
    <col min="44" max="44" width="15.140625" style="255" customWidth="1"/>
    <col min="45" max="45" width="15.5703125" style="255" customWidth="1"/>
    <col min="46" max="47" width="10.85546875" style="255" customWidth="1"/>
    <col min="48" max="48" width="7" style="255" customWidth="1"/>
    <col min="49" max="49" width="7.7109375" style="255" customWidth="1"/>
    <col min="50" max="50" width="7.140625" style="255" customWidth="1"/>
    <col min="51" max="51" width="6.7109375" style="255" customWidth="1"/>
    <col min="52" max="52" width="14.7109375" style="255" customWidth="1"/>
    <col min="53" max="53" width="15.140625" style="255" customWidth="1"/>
    <col min="54" max="16384" width="9.140625" style="255"/>
  </cols>
  <sheetData>
    <row r="1" spans="1:105" ht="12.75" customHeight="1">
      <c r="A1" s="251"/>
      <c r="B1" s="252" t="s">
        <v>121</v>
      </c>
      <c r="C1" s="253"/>
      <c r="D1" s="253"/>
      <c r="E1" s="254"/>
      <c r="I1" s="253"/>
      <c r="K1" s="1256" t="s">
        <v>190</v>
      </c>
      <c r="L1" s="1256"/>
      <c r="M1" s="1256"/>
      <c r="N1" s="1256"/>
      <c r="O1" s="1256"/>
      <c r="P1" s="1256"/>
      <c r="Q1" s="1256"/>
      <c r="R1" s="254"/>
      <c r="T1" s="253"/>
      <c r="U1" s="253"/>
      <c r="V1" s="253"/>
      <c r="W1" s="253"/>
      <c r="X1" s="253"/>
      <c r="Y1" s="253"/>
      <c r="Z1" s="253"/>
      <c r="AA1" s="253"/>
      <c r="AB1" s="253"/>
      <c r="AC1" s="253"/>
      <c r="AD1" s="253"/>
      <c r="AE1" s="253"/>
      <c r="AF1" s="425"/>
      <c r="AG1" s="425"/>
      <c r="AH1" s="253"/>
      <c r="AI1" s="253"/>
      <c r="AJ1" s="253"/>
      <c r="AK1" s="253"/>
      <c r="AL1" s="253"/>
      <c r="AM1" s="253"/>
      <c r="AN1" s="253"/>
      <c r="AO1" s="253"/>
      <c r="AP1" s="254"/>
      <c r="AQ1" s="254"/>
      <c r="AR1" s="253"/>
      <c r="AS1" s="253"/>
      <c r="AT1" s="253"/>
      <c r="AU1" s="253"/>
      <c r="AV1" s="253"/>
      <c r="AW1" s="253"/>
      <c r="AX1" s="253"/>
      <c r="AY1" s="253"/>
      <c r="AZ1" s="253"/>
      <c r="BA1" s="253"/>
    </row>
    <row r="2" spans="1:105" ht="12.75" customHeight="1">
      <c r="A2" s="251"/>
      <c r="B2" s="252" t="s">
        <v>179</v>
      </c>
      <c r="C2" s="253"/>
      <c r="D2" s="253"/>
      <c r="E2" s="253"/>
      <c r="I2" s="257"/>
      <c r="K2" s="1257" t="s">
        <v>144</v>
      </c>
      <c r="L2" s="1257"/>
      <c r="M2" s="1257"/>
      <c r="N2" s="1257"/>
      <c r="O2" s="1257"/>
      <c r="P2" s="1257"/>
      <c r="Q2" s="1257"/>
      <c r="R2" s="258"/>
      <c r="T2" s="257"/>
      <c r="U2" s="257"/>
      <c r="V2" s="257"/>
      <c r="W2" s="257"/>
      <c r="X2" s="257"/>
      <c r="Y2" s="257"/>
      <c r="Z2" s="257"/>
      <c r="AA2" s="257"/>
      <c r="AB2" s="257"/>
      <c r="AC2" s="257"/>
      <c r="AD2" s="257"/>
      <c r="AE2" s="257"/>
      <c r="AF2" s="426"/>
      <c r="AG2" s="426"/>
      <c r="AH2" s="257"/>
      <c r="AI2" s="257"/>
      <c r="AJ2" s="257"/>
      <c r="AK2" s="257"/>
      <c r="AL2" s="257"/>
      <c r="AM2" s="257"/>
      <c r="AN2" s="257"/>
      <c r="AO2" s="257"/>
      <c r="AP2" s="258"/>
      <c r="AQ2" s="258"/>
      <c r="AR2" s="257"/>
      <c r="AS2" s="257"/>
      <c r="AT2" s="257"/>
      <c r="AU2" s="257"/>
      <c r="AV2" s="257"/>
      <c r="AW2" s="257"/>
      <c r="AX2" s="257"/>
      <c r="AY2" s="257"/>
      <c r="AZ2" s="257"/>
      <c r="BA2" s="257"/>
    </row>
    <row r="3" spans="1:105" ht="10.5" customHeight="1">
      <c r="A3" s="253"/>
      <c r="B3" s="253"/>
      <c r="C3" s="253"/>
      <c r="D3" s="253"/>
      <c r="E3" s="253"/>
      <c r="F3" s="306"/>
      <c r="G3" s="259"/>
      <c r="H3" s="259"/>
      <c r="I3" s="257"/>
      <c r="K3" s="1257"/>
      <c r="L3" s="1257"/>
      <c r="M3" s="1257"/>
      <c r="N3" s="1257"/>
      <c r="O3" s="1257"/>
      <c r="P3" s="1257"/>
      <c r="Q3" s="1257"/>
      <c r="R3" s="258"/>
      <c r="T3" s="257"/>
      <c r="U3" s="257"/>
      <c r="V3" s="257"/>
      <c r="W3" s="257"/>
      <c r="X3" s="257"/>
      <c r="Y3" s="257"/>
      <c r="Z3" s="257"/>
      <c r="AA3" s="257"/>
      <c r="AB3" s="257"/>
      <c r="AC3" s="257"/>
      <c r="AD3" s="257"/>
      <c r="AE3" s="257"/>
      <c r="AF3" s="426"/>
      <c r="AG3" s="426"/>
      <c r="AH3" s="257"/>
      <c r="AI3" s="257"/>
      <c r="AJ3" s="257"/>
      <c r="AK3" s="257"/>
      <c r="AL3" s="257"/>
      <c r="AM3" s="257"/>
      <c r="AN3" s="257"/>
      <c r="AO3" s="257"/>
      <c r="AP3" s="258"/>
      <c r="AQ3" s="258"/>
      <c r="AR3" s="257"/>
      <c r="AS3" s="257"/>
      <c r="AT3" s="257"/>
      <c r="AU3" s="257"/>
      <c r="AV3" s="257"/>
      <c r="AW3" s="257"/>
      <c r="AX3" s="257"/>
      <c r="AY3" s="257"/>
      <c r="AZ3" s="257"/>
      <c r="BA3" s="257"/>
    </row>
    <row r="4" spans="1:105" ht="19.5" customHeight="1">
      <c r="B4" s="1258" t="s">
        <v>112</v>
      </c>
      <c r="C4" s="1258"/>
      <c r="D4" s="1258"/>
      <c r="E4" s="1258"/>
      <c r="F4" s="1258"/>
      <c r="G4" s="1258"/>
      <c r="H4" s="1258"/>
      <c r="I4" s="1258"/>
      <c r="J4" s="1258"/>
      <c r="K4" s="1258"/>
      <c r="L4" s="1258"/>
      <c r="M4" s="1258"/>
      <c r="N4" s="1258"/>
      <c r="O4" s="1258"/>
      <c r="P4" s="1258"/>
      <c r="Q4" s="1258"/>
      <c r="R4" s="1258"/>
      <c r="S4" s="260"/>
      <c r="T4" s="262"/>
      <c r="U4" s="262"/>
      <c r="V4" s="262"/>
      <c r="W4" s="262"/>
      <c r="X4" s="262"/>
      <c r="Y4" s="262"/>
      <c r="Z4" s="262"/>
      <c r="AA4" s="262"/>
      <c r="AB4" s="262"/>
      <c r="AC4" s="262"/>
      <c r="AD4" s="262"/>
      <c r="AE4" s="262"/>
      <c r="AF4" s="262"/>
      <c r="AG4" s="262"/>
      <c r="AH4" s="262"/>
      <c r="AI4" s="262"/>
      <c r="AJ4" s="262"/>
      <c r="AK4" s="262"/>
      <c r="AL4" s="262"/>
      <c r="AM4" s="262"/>
      <c r="AN4" s="262"/>
      <c r="AO4" s="262"/>
      <c r="AP4" s="307"/>
      <c r="AQ4" s="307"/>
      <c r="AR4" s="262"/>
      <c r="AS4" s="262"/>
      <c r="AT4" s="262"/>
      <c r="AU4" s="262"/>
      <c r="AV4" s="262"/>
      <c r="AW4" s="262"/>
      <c r="AX4" s="262"/>
      <c r="AY4" s="262"/>
      <c r="AZ4" s="262"/>
      <c r="BA4" s="262"/>
    </row>
    <row r="5" spans="1:105" ht="15">
      <c r="B5" s="1259" t="s">
        <v>221</v>
      </c>
      <c r="C5" s="1259"/>
      <c r="D5" s="1259"/>
      <c r="E5" s="1259"/>
      <c r="F5" s="1259"/>
      <c r="G5" s="1259"/>
      <c r="H5" s="1259"/>
      <c r="I5" s="1259"/>
      <c r="J5" s="1259"/>
      <c r="K5" s="1259"/>
      <c r="L5" s="1259"/>
      <c r="M5" s="1259"/>
      <c r="N5" s="1259"/>
      <c r="O5" s="1259"/>
      <c r="P5" s="1259"/>
      <c r="Q5" s="1259"/>
      <c r="R5" s="1259"/>
      <c r="S5" s="263"/>
      <c r="AP5" s="263"/>
      <c r="AQ5" s="263"/>
    </row>
    <row r="7" spans="1:105" ht="13.5" customHeight="1">
      <c r="A7" s="1260" t="s">
        <v>37</v>
      </c>
      <c r="B7" s="1254" t="s">
        <v>22</v>
      </c>
      <c r="C7" s="1262" t="s">
        <v>1</v>
      </c>
      <c r="D7" s="1263"/>
      <c r="E7" s="1254" t="s">
        <v>0</v>
      </c>
      <c r="F7" s="1254" t="s">
        <v>113</v>
      </c>
      <c r="G7" s="1264" t="s">
        <v>114</v>
      </c>
      <c r="H7" s="1264"/>
      <c r="I7" s="1255" t="s">
        <v>37</v>
      </c>
      <c r="J7" s="1254" t="s">
        <v>192</v>
      </c>
      <c r="K7" s="1254"/>
      <c r="L7" s="1254" t="s">
        <v>193</v>
      </c>
      <c r="M7" s="1254"/>
      <c r="N7" s="1254" t="s">
        <v>268</v>
      </c>
      <c r="O7" s="1254"/>
      <c r="P7" s="1254" t="s">
        <v>970</v>
      </c>
      <c r="Q7" s="1254"/>
      <c r="R7" s="1254" t="s">
        <v>194</v>
      </c>
      <c r="S7" s="1254"/>
      <c r="T7" s="1254" t="s">
        <v>195</v>
      </c>
      <c r="U7" s="1254"/>
      <c r="V7" s="1254" t="s">
        <v>971</v>
      </c>
      <c r="W7" s="1254"/>
      <c r="X7" s="1254" t="s">
        <v>972</v>
      </c>
      <c r="Y7" s="1254"/>
      <c r="Z7" s="1254" t="s">
        <v>973</v>
      </c>
      <c r="AA7" s="1254"/>
      <c r="AB7" s="1254" t="s">
        <v>974</v>
      </c>
      <c r="AC7" s="1254"/>
      <c r="AD7" s="1254" t="s">
        <v>975</v>
      </c>
      <c r="AE7" s="1254"/>
      <c r="AF7" s="1254" t="s">
        <v>976</v>
      </c>
      <c r="AG7" s="1254"/>
      <c r="AH7" s="1254" t="s">
        <v>977</v>
      </c>
      <c r="AI7" s="1254"/>
      <c r="AJ7" s="1254" t="s">
        <v>978</v>
      </c>
      <c r="AK7" s="1254"/>
      <c r="AL7" s="1254" t="s">
        <v>979</v>
      </c>
      <c r="AM7" s="1254"/>
      <c r="AN7" s="1254" t="s">
        <v>980</v>
      </c>
      <c r="AO7" s="1254"/>
      <c r="AP7" s="1254" t="s">
        <v>981</v>
      </c>
      <c r="AQ7" s="1254"/>
      <c r="AR7" s="1254" t="s">
        <v>982</v>
      </c>
      <c r="AS7" s="1254"/>
      <c r="AT7" s="1254" t="s">
        <v>196</v>
      </c>
      <c r="AU7" s="1254"/>
      <c r="AV7" s="1254" t="s">
        <v>197</v>
      </c>
      <c r="AW7" s="1254"/>
      <c r="AX7" s="1254" t="s">
        <v>983</v>
      </c>
      <c r="AY7" s="1254"/>
      <c r="AZ7" s="1254" t="s">
        <v>984</v>
      </c>
      <c r="BA7" s="1254"/>
      <c r="BB7" s="1254" t="s">
        <v>985</v>
      </c>
      <c r="BC7" s="1254"/>
      <c r="BD7" s="1254" t="s">
        <v>198</v>
      </c>
      <c r="BE7" s="1254"/>
      <c r="BF7" s="1254" t="s">
        <v>986</v>
      </c>
      <c r="BG7" s="1254"/>
      <c r="BH7" s="1254" t="s">
        <v>199</v>
      </c>
      <c r="BI7" s="1254"/>
      <c r="BJ7" s="1254" t="s">
        <v>987</v>
      </c>
      <c r="BK7" s="1254"/>
      <c r="BL7" s="1254" t="s">
        <v>988</v>
      </c>
      <c r="BM7" s="1254"/>
      <c r="BN7" s="1254" t="s">
        <v>989</v>
      </c>
      <c r="BO7" s="1254"/>
      <c r="BP7" s="1254" t="s">
        <v>990</v>
      </c>
      <c r="BQ7" s="1254"/>
      <c r="BR7" s="1254" t="s">
        <v>200</v>
      </c>
      <c r="BS7" s="1254"/>
      <c r="BT7" s="1254" t="s">
        <v>201</v>
      </c>
      <c r="BU7" s="1254"/>
      <c r="BV7" s="1254" t="s">
        <v>263</v>
      </c>
      <c r="BW7" s="1254"/>
      <c r="BX7" s="1254" t="s">
        <v>202</v>
      </c>
      <c r="BY7" s="1254"/>
      <c r="BZ7" s="1254" t="s">
        <v>203</v>
      </c>
      <c r="CA7" s="1254"/>
      <c r="CB7" s="1254" t="s">
        <v>204</v>
      </c>
      <c r="CC7" s="1254"/>
      <c r="CD7" s="1254" t="s">
        <v>991</v>
      </c>
      <c r="CE7" s="1254"/>
      <c r="CF7" s="1254" t="s">
        <v>992</v>
      </c>
      <c r="CG7" s="1254"/>
      <c r="CH7" s="1254" t="s">
        <v>205</v>
      </c>
      <c r="CI7" s="1254"/>
      <c r="CJ7" s="1254" t="s">
        <v>993</v>
      </c>
      <c r="CK7" s="1254"/>
      <c r="CL7" s="1254" t="s">
        <v>994</v>
      </c>
      <c r="CM7" s="1254"/>
      <c r="CN7" s="1254" t="s">
        <v>206</v>
      </c>
      <c r="CO7" s="1254"/>
      <c r="CP7" s="1254" t="s">
        <v>995</v>
      </c>
      <c r="CQ7" s="1254"/>
      <c r="CR7" s="1254" t="s">
        <v>207</v>
      </c>
      <c r="CS7" s="1254"/>
      <c r="CT7" s="1254" t="s">
        <v>208</v>
      </c>
      <c r="CU7" s="1254"/>
      <c r="CV7" s="1254" t="s">
        <v>209</v>
      </c>
      <c r="CW7" s="1254"/>
      <c r="CX7" s="1254" t="s">
        <v>210</v>
      </c>
      <c r="CY7" s="1254"/>
      <c r="CZ7" s="1254" t="s">
        <v>211</v>
      </c>
      <c r="DA7" s="1254"/>
    </row>
    <row r="8" spans="1:105" ht="22.5" customHeight="1">
      <c r="A8" s="1261"/>
      <c r="B8" s="1254"/>
      <c r="C8" s="990" t="s">
        <v>17</v>
      </c>
      <c r="D8" s="989" t="s">
        <v>34</v>
      </c>
      <c r="E8" s="1254"/>
      <c r="F8" s="1254"/>
      <c r="G8" s="991" t="s">
        <v>24</v>
      </c>
      <c r="H8" s="991" t="s">
        <v>25</v>
      </c>
      <c r="I8" s="1255"/>
      <c r="J8" s="989" t="s">
        <v>24</v>
      </c>
      <c r="K8" s="989" t="s">
        <v>25</v>
      </c>
      <c r="L8" s="989" t="s">
        <v>24</v>
      </c>
      <c r="M8" s="989" t="s">
        <v>25</v>
      </c>
      <c r="N8" s="989" t="s">
        <v>24</v>
      </c>
      <c r="O8" s="989" t="s">
        <v>25</v>
      </c>
      <c r="P8" s="989" t="s">
        <v>24</v>
      </c>
      <c r="Q8" s="989" t="s">
        <v>25</v>
      </c>
      <c r="R8" s="989" t="s">
        <v>24</v>
      </c>
      <c r="S8" s="989" t="s">
        <v>25</v>
      </c>
      <c r="T8" s="989" t="s">
        <v>24</v>
      </c>
      <c r="U8" s="989" t="s">
        <v>25</v>
      </c>
      <c r="V8" s="989" t="s">
        <v>24</v>
      </c>
      <c r="W8" s="989" t="s">
        <v>25</v>
      </c>
      <c r="X8" s="989" t="s">
        <v>24</v>
      </c>
      <c r="Y8" s="989" t="s">
        <v>25</v>
      </c>
      <c r="Z8" s="989" t="s">
        <v>24</v>
      </c>
      <c r="AA8" s="989" t="s">
        <v>25</v>
      </c>
      <c r="AB8" s="989" t="s">
        <v>24</v>
      </c>
      <c r="AC8" s="989" t="s">
        <v>25</v>
      </c>
      <c r="AD8" s="989" t="s">
        <v>24</v>
      </c>
      <c r="AE8" s="989" t="s">
        <v>25</v>
      </c>
      <c r="AF8" s="989" t="s">
        <v>24</v>
      </c>
      <c r="AG8" s="989" t="s">
        <v>25</v>
      </c>
      <c r="AH8" s="989" t="s">
        <v>24</v>
      </c>
      <c r="AI8" s="989" t="s">
        <v>25</v>
      </c>
      <c r="AJ8" s="989" t="s">
        <v>24</v>
      </c>
      <c r="AK8" s="989" t="s">
        <v>25</v>
      </c>
      <c r="AL8" s="989" t="s">
        <v>24</v>
      </c>
      <c r="AM8" s="989" t="s">
        <v>25</v>
      </c>
      <c r="AN8" s="989" t="s">
        <v>24</v>
      </c>
      <c r="AO8" s="989" t="s">
        <v>25</v>
      </c>
      <c r="AP8" s="989" t="s">
        <v>24</v>
      </c>
      <c r="AQ8" s="989" t="s">
        <v>25</v>
      </c>
      <c r="AR8" s="989" t="s">
        <v>24</v>
      </c>
      <c r="AS8" s="989" t="s">
        <v>25</v>
      </c>
      <c r="AT8" s="989" t="s">
        <v>24</v>
      </c>
      <c r="AU8" s="989" t="s">
        <v>25</v>
      </c>
      <c r="AV8" s="989" t="s">
        <v>24</v>
      </c>
      <c r="AW8" s="989" t="s">
        <v>25</v>
      </c>
      <c r="AX8" s="989" t="s">
        <v>24</v>
      </c>
      <c r="AY8" s="989" t="s">
        <v>25</v>
      </c>
      <c r="AZ8" s="989" t="s">
        <v>24</v>
      </c>
      <c r="BA8" s="989" t="s">
        <v>25</v>
      </c>
      <c r="BB8" s="989" t="s">
        <v>24</v>
      </c>
      <c r="BC8" s="989" t="s">
        <v>25</v>
      </c>
      <c r="BD8" s="989" t="s">
        <v>24</v>
      </c>
      <c r="BE8" s="989" t="s">
        <v>25</v>
      </c>
      <c r="BF8" s="989" t="s">
        <v>24</v>
      </c>
      <c r="BG8" s="989" t="s">
        <v>25</v>
      </c>
      <c r="BH8" s="989" t="s">
        <v>24</v>
      </c>
      <c r="BI8" s="989" t="s">
        <v>25</v>
      </c>
      <c r="BJ8" s="989" t="s">
        <v>24</v>
      </c>
      <c r="BK8" s="989" t="s">
        <v>25</v>
      </c>
      <c r="BL8" s="989" t="s">
        <v>24</v>
      </c>
      <c r="BM8" s="989" t="s">
        <v>25</v>
      </c>
      <c r="BN8" s="989" t="s">
        <v>24</v>
      </c>
      <c r="BO8" s="989" t="s">
        <v>25</v>
      </c>
      <c r="BP8" s="989" t="s">
        <v>24</v>
      </c>
      <c r="BQ8" s="989" t="s">
        <v>25</v>
      </c>
      <c r="BR8" s="989" t="s">
        <v>24</v>
      </c>
      <c r="BS8" s="989" t="s">
        <v>25</v>
      </c>
      <c r="BT8" s="989" t="s">
        <v>24</v>
      </c>
      <c r="BU8" s="989" t="s">
        <v>25</v>
      </c>
      <c r="BV8" s="989" t="s">
        <v>24</v>
      </c>
      <c r="BW8" s="989" t="s">
        <v>25</v>
      </c>
      <c r="BX8" s="989" t="s">
        <v>24</v>
      </c>
      <c r="BY8" s="989" t="s">
        <v>25</v>
      </c>
      <c r="BZ8" s="989" t="s">
        <v>24</v>
      </c>
      <c r="CA8" s="989" t="s">
        <v>25</v>
      </c>
      <c r="CB8" s="989" t="s">
        <v>24</v>
      </c>
      <c r="CC8" s="989" t="s">
        <v>25</v>
      </c>
      <c r="CD8" s="989" t="s">
        <v>24</v>
      </c>
      <c r="CE8" s="989" t="s">
        <v>25</v>
      </c>
      <c r="CF8" s="989" t="s">
        <v>24</v>
      </c>
      <c r="CG8" s="989" t="s">
        <v>25</v>
      </c>
      <c r="CH8" s="989" t="s">
        <v>24</v>
      </c>
      <c r="CI8" s="989" t="s">
        <v>25</v>
      </c>
      <c r="CJ8" s="989" t="s">
        <v>24</v>
      </c>
      <c r="CK8" s="989" t="s">
        <v>25</v>
      </c>
      <c r="CL8" s="989" t="s">
        <v>24</v>
      </c>
      <c r="CM8" s="989" t="s">
        <v>25</v>
      </c>
      <c r="CN8" s="989" t="s">
        <v>24</v>
      </c>
      <c r="CO8" s="989" t="s">
        <v>25</v>
      </c>
      <c r="CP8" s="989" t="s">
        <v>24</v>
      </c>
      <c r="CQ8" s="989" t="s">
        <v>25</v>
      </c>
      <c r="CR8" s="989" t="s">
        <v>24</v>
      </c>
      <c r="CS8" s="989" t="s">
        <v>25</v>
      </c>
      <c r="CT8" s="989" t="s">
        <v>24</v>
      </c>
      <c r="CU8" s="989" t="s">
        <v>25</v>
      </c>
      <c r="CV8" s="989" t="s">
        <v>24</v>
      </c>
      <c r="CW8" s="989" t="s">
        <v>25</v>
      </c>
      <c r="CX8" s="989" t="s">
        <v>24</v>
      </c>
      <c r="CY8" s="989" t="s">
        <v>25</v>
      </c>
      <c r="CZ8" s="989" t="s">
        <v>24</v>
      </c>
      <c r="DA8" s="989" t="s">
        <v>25</v>
      </c>
    </row>
    <row r="9" spans="1:105" s="266" customFormat="1" ht="8.25" customHeight="1">
      <c r="A9" s="265">
        <v>1</v>
      </c>
      <c r="B9" s="265">
        <v>2</v>
      </c>
      <c r="C9" s="265">
        <v>3</v>
      </c>
      <c r="D9" s="265">
        <v>4</v>
      </c>
      <c r="E9" s="265">
        <v>5</v>
      </c>
      <c r="F9" s="265">
        <v>6</v>
      </c>
      <c r="G9" s="265">
        <v>7</v>
      </c>
      <c r="H9" s="265">
        <v>8</v>
      </c>
      <c r="I9" s="265">
        <v>9</v>
      </c>
      <c r="J9" s="265">
        <v>10</v>
      </c>
      <c r="K9" s="265">
        <v>11</v>
      </c>
      <c r="L9" s="265">
        <v>12</v>
      </c>
      <c r="M9" s="265">
        <v>13</v>
      </c>
      <c r="N9" s="265">
        <v>14</v>
      </c>
      <c r="O9" s="265">
        <v>15</v>
      </c>
      <c r="P9" s="265">
        <v>16</v>
      </c>
      <c r="Q9" s="265">
        <v>17</v>
      </c>
      <c r="R9" s="265">
        <v>18</v>
      </c>
      <c r="S9" s="265">
        <v>19</v>
      </c>
      <c r="T9" s="265">
        <v>20</v>
      </c>
      <c r="U9" s="265">
        <v>21</v>
      </c>
      <c r="V9" s="265">
        <v>22</v>
      </c>
      <c r="W9" s="265">
        <v>23</v>
      </c>
      <c r="X9" s="265">
        <v>24</v>
      </c>
      <c r="Y9" s="265">
        <v>25</v>
      </c>
      <c r="Z9" s="265">
        <v>26</v>
      </c>
      <c r="AA9" s="265">
        <v>27</v>
      </c>
      <c r="AB9" s="265">
        <v>28</v>
      </c>
      <c r="AC9" s="265">
        <v>29</v>
      </c>
      <c r="AD9" s="265">
        <v>30</v>
      </c>
      <c r="AE9" s="265">
        <v>31</v>
      </c>
      <c r="AF9" s="265">
        <v>32</v>
      </c>
      <c r="AG9" s="265">
        <v>33</v>
      </c>
      <c r="AH9" s="265">
        <v>34</v>
      </c>
      <c r="AI9" s="265">
        <v>35</v>
      </c>
      <c r="AJ9" s="265">
        <v>36</v>
      </c>
      <c r="AK9" s="265">
        <v>37</v>
      </c>
      <c r="AL9" s="265">
        <v>38</v>
      </c>
      <c r="AM9" s="265">
        <v>39</v>
      </c>
      <c r="AN9" s="265">
        <v>40</v>
      </c>
      <c r="AO9" s="265">
        <v>41</v>
      </c>
      <c r="AP9" s="265">
        <v>42</v>
      </c>
      <c r="AQ9" s="265">
        <v>43</v>
      </c>
      <c r="AR9" s="265">
        <v>44</v>
      </c>
      <c r="AS9" s="265">
        <v>45</v>
      </c>
      <c r="AT9" s="265">
        <v>46</v>
      </c>
      <c r="AU9" s="265">
        <v>47</v>
      </c>
      <c r="AV9" s="265">
        <v>48</v>
      </c>
      <c r="AW9" s="265">
        <v>49</v>
      </c>
      <c r="AX9" s="265">
        <v>50</v>
      </c>
      <c r="AY9" s="265">
        <v>51</v>
      </c>
      <c r="AZ9" s="265">
        <v>52</v>
      </c>
      <c r="BA9" s="265">
        <v>53</v>
      </c>
      <c r="BB9" s="265">
        <v>54</v>
      </c>
      <c r="BC9" s="265">
        <v>55</v>
      </c>
      <c r="BD9" s="265">
        <v>56</v>
      </c>
      <c r="BE9" s="265">
        <v>57</v>
      </c>
      <c r="BF9" s="265">
        <v>58</v>
      </c>
      <c r="BG9" s="265">
        <v>59</v>
      </c>
      <c r="BH9" s="265">
        <v>60</v>
      </c>
      <c r="BI9" s="265">
        <v>61</v>
      </c>
      <c r="BJ9" s="265">
        <v>62</v>
      </c>
      <c r="BK9" s="265">
        <v>63</v>
      </c>
      <c r="BL9" s="265">
        <v>64</v>
      </c>
      <c r="BM9" s="265">
        <v>65</v>
      </c>
      <c r="BN9" s="265">
        <v>66</v>
      </c>
      <c r="BO9" s="265">
        <v>67</v>
      </c>
      <c r="BP9" s="265">
        <v>68</v>
      </c>
      <c r="BQ9" s="265">
        <v>69</v>
      </c>
      <c r="BR9" s="265">
        <v>70</v>
      </c>
      <c r="BS9" s="265">
        <v>71</v>
      </c>
      <c r="BT9" s="265">
        <v>72</v>
      </c>
      <c r="BU9" s="265">
        <v>73</v>
      </c>
      <c r="BV9" s="265">
        <v>72</v>
      </c>
      <c r="BW9" s="265">
        <v>73</v>
      </c>
      <c r="BX9" s="265">
        <v>74</v>
      </c>
      <c r="BY9" s="265">
        <v>75</v>
      </c>
      <c r="BZ9" s="265">
        <v>76</v>
      </c>
      <c r="CA9" s="265">
        <v>77</v>
      </c>
      <c r="CB9" s="265">
        <v>78</v>
      </c>
      <c r="CC9" s="265">
        <v>79</v>
      </c>
      <c r="CD9" s="265">
        <v>80</v>
      </c>
      <c r="CE9" s="265">
        <v>81</v>
      </c>
      <c r="CF9" s="265">
        <v>82</v>
      </c>
      <c r="CG9" s="265">
        <v>83</v>
      </c>
      <c r="CH9" s="265">
        <v>84</v>
      </c>
      <c r="CI9" s="265">
        <v>85</v>
      </c>
      <c r="CJ9" s="265">
        <v>86</v>
      </c>
      <c r="CK9" s="265">
        <v>87</v>
      </c>
      <c r="CL9" s="265">
        <v>88</v>
      </c>
      <c r="CM9" s="265">
        <v>89</v>
      </c>
      <c r="CN9" s="265">
        <v>90</v>
      </c>
      <c r="CO9" s="265">
        <v>91</v>
      </c>
      <c r="CP9" s="265">
        <v>92</v>
      </c>
      <c r="CQ9" s="265">
        <v>93</v>
      </c>
      <c r="CR9" s="265">
        <v>94</v>
      </c>
      <c r="CS9" s="265">
        <v>95</v>
      </c>
      <c r="CT9" s="265">
        <v>96</v>
      </c>
      <c r="CU9" s="265">
        <v>97</v>
      </c>
      <c r="CV9" s="265">
        <v>98</v>
      </c>
      <c r="CW9" s="265">
        <v>99</v>
      </c>
      <c r="CX9" s="265">
        <v>100</v>
      </c>
      <c r="CY9" s="265">
        <v>101</v>
      </c>
      <c r="CZ9" s="265">
        <v>102</v>
      </c>
      <c r="DA9" s="265">
        <v>103</v>
      </c>
    </row>
    <row r="10" spans="1:105" s="274" customFormat="1" ht="12.75" customHeight="1">
      <c r="A10" s="63" t="str">
        <f t="array" ref="A10">IF(C10&lt;&gt;0,SUM(($C10:C$16&lt;&gt;0)*1),"")</f>
        <v/>
      </c>
      <c r="B10" s="267"/>
      <c r="C10" s="268"/>
      <c r="D10" s="267"/>
      <c r="E10" s="269" t="s">
        <v>212</v>
      </c>
      <c r="F10" s="270"/>
      <c r="G10" s="271"/>
      <c r="H10" s="271"/>
      <c r="I10" s="272"/>
      <c r="J10" s="273">
        <f ca="1">'SC-II'!J53</f>
        <v>3705039095</v>
      </c>
      <c r="K10" s="273">
        <f ca="1">'SC-II'!K53</f>
        <v>0</v>
      </c>
      <c r="L10" s="273">
        <f ca="1">'SC-II'!L53</f>
        <v>19829295</v>
      </c>
      <c r="M10" s="273">
        <f ca="1">'SC-II'!M53</f>
        <v>0</v>
      </c>
      <c r="N10" s="273">
        <f ca="1">'SC-II'!N53</f>
        <v>2236796790</v>
      </c>
      <c r="O10" s="273">
        <f ca="1">'SC-II'!O53</f>
        <v>0</v>
      </c>
      <c r="P10" s="273">
        <f ca="1">'SC-II'!P53</f>
        <v>3343381600</v>
      </c>
      <c r="Q10" s="273">
        <f ca="1">'SC-II'!Q53</f>
        <v>0</v>
      </c>
      <c r="R10" s="273">
        <f ca="1">'SC-II'!R53</f>
        <v>162420936</v>
      </c>
      <c r="S10" s="273">
        <f ca="1">'SC-II'!S53</f>
        <v>0</v>
      </c>
      <c r="T10" s="273">
        <f ca="1">'SC-II'!T53</f>
        <v>1500000000</v>
      </c>
      <c r="U10" s="273">
        <f ca="1">'SC-II'!U53</f>
        <v>0</v>
      </c>
      <c r="V10" s="273">
        <f ca="1">'SC-II'!V53</f>
        <v>0</v>
      </c>
      <c r="W10" s="273">
        <f ca="1">'SC-II'!W53</f>
        <v>0</v>
      </c>
      <c r="X10" s="273">
        <f ca="1">'SC-II'!X53</f>
        <v>2772400000</v>
      </c>
      <c r="Y10" s="273">
        <f ca="1">'SC-II'!Y53</f>
        <v>0</v>
      </c>
      <c r="Z10" s="273">
        <f ca="1">'SC-II'!Z53</f>
        <v>526519887</v>
      </c>
      <c r="AA10" s="273">
        <f ca="1">'SC-II'!AA53</f>
        <v>0</v>
      </c>
      <c r="AB10" s="273">
        <f ca="1">'SC-II'!AB53</f>
        <v>0</v>
      </c>
      <c r="AC10" s="273">
        <f ca="1">'SC-II'!AC53</f>
        <v>0</v>
      </c>
      <c r="AD10" s="273">
        <f ca="1">'SC-II'!AD53</f>
        <v>0</v>
      </c>
      <c r="AE10" s="273">
        <f ca="1">'SC-II'!AE53</f>
        <v>0</v>
      </c>
      <c r="AF10" s="273">
        <f ca="1">'SC-II'!AF53</f>
        <v>9386323824</v>
      </c>
      <c r="AG10" s="273">
        <f ca="1">'SC-II'!AG53</f>
        <v>0</v>
      </c>
      <c r="AH10" s="273">
        <f ca="1">'SC-II'!AH53</f>
        <v>7490743648</v>
      </c>
      <c r="AI10" s="273">
        <f ca="1">'SC-II'!AI53</f>
        <v>0</v>
      </c>
      <c r="AJ10" s="273">
        <f ca="1">'SC-II'!AJ53</f>
        <v>3807898863</v>
      </c>
      <c r="AK10" s="273">
        <f ca="1">'SC-II'!AK53</f>
        <v>0</v>
      </c>
      <c r="AL10" s="273">
        <f ca="1">'SC-II'!AL53</f>
        <v>3790918485</v>
      </c>
      <c r="AM10" s="273">
        <f ca="1">'SC-II'!AM53</f>
        <v>0</v>
      </c>
      <c r="AN10" s="273">
        <f ca="1">'SC-II'!AN53</f>
        <v>5405781300</v>
      </c>
      <c r="AO10" s="273">
        <f ca="1">'SC-II'!AO53</f>
        <v>0</v>
      </c>
      <c r="AP10" s="273">
        <f ca="1">'SC-II'!AP53</f>
        <v>0</v>
      </c>
      <c r="AQ10" s="273">
        <f ca="1">'SC-II'!AQ53</f>
        <v>9132359256</v>
      </c>
      <c r="AR10" s="273">
        <f ca="1">'SC-II'!AR53</f>
        <v>0</v>
      </c>
      <c r="AS10" s="273">
        <f ca="1">'SC-II'!AS53</f>
        <v>600642360</v>
      </c>
      <c r="AT10" s="273">
        <f ca="1">'SC-II'!AT53</f>
        <v>0</v>
      </c>
      <c r="AU10" s="273">
        <f ca="1">'SC-II'!AU53</f>
        <v>0</v>
      </c>
      <c r="AV10" s="273">
        <f ca="1">'SC-II'!AV53</f>
        <v>0</v>
      </c>
      <c r="AW10" s="273">
        <f ca="1">'SC-II'!AW53</f>
        <v>476953252</v>
      </c>
      <c r="AX10" s="273">
        <f ca="1">'SC-II'!AX53</f>
        <v>0</v>
      </c>
      <c r="AY10" s="273">
        <f ca="1">'SC-II'!AY53</f>
        <v>0</v>
      </c>
      <c r="AZ10" s="273">
        <f ca="1">'SC-II'!AZ53</f>
        <v>0</v>
      </c>
      <c r="BA10" s="273">
        <f ca="1">'SC-II'!BA53</f>
        <v>0</v>
      </c>
      <c r="BB10" s="273">
        <f ca="1">'SC-II'!BB53</f>
        <v>0</v>
      </c>
      <c r="BC10" s="273">
        <f ca="1">'SC-II'!BC53</f>
        <v>0</v>
      </c>
      <c r="BD10" s="273">
        <f ca="1">'SC-II'!BD53</f>
        <v>0</v>
      </c>
      <c r="BE10" s="273">
        <f ca="1">'SC-II'!BE53</f>
        <v>3313435</v>
      </c>
      <c r="BF10" s="273">
        <f ca="1">'SC-II'!BF53</f>
        <v>3389804</v>
      </c>
      <c r="BG10" s="273">
        <f ca="1">'SC-II'!BG53</f>
        <v>0</v>
      </c>
      <c r="BH10" s="273">
        <f ca="1">'SC-II'!BH53</f>
        <v>0</v>
      </c>
      <c r="BI10" s="273">
        <f ca="1">'SC-II'!BI53</f>
        <v>0</v>
      </c>
      <c r="BJ10" s="273">
        <f ca="1">'SC-II'!BJ53</f>
        <v>0</v>
      </c>
      <c r="BK10" s="273">
        <f ca="1">'SC-II'!BK53</f>
        <v>0</v>
      </c>
      <c r="BL10" s="273">
        <f ca="1">'SC-II'!BL53</f>
        <v>0</v>
      </c>
      <c r="BM10" s="273">
        <f ca="1">'SC-II'!BM53</f>
        <v>40272309</v>
      </c>
      <c r="BN10" s="273">
        <f ca="1">'SC-II'!BN53</f>
        <v>0</v>
      </c>
      <c r="BO10" s="273">
        <f ca="1">'SC-II'!BO53</f>
        <v>6403142</v>
      </c>
      <c r="BP10" s="273">
        <f ca="1">'SC-II'!BP53</f>
        <v>0</v>
      </c>
      <c r="BQ10" s="273">
        <f ca="1">'SC-II'!BQ53</f>
        <v>2761373</v>
      </c>
      <c r="BR10" s="273">
        <f ca="1">'SC-II'!BR53</f>
        <v>0</v>
      </c>
      <c r="BS10" s="273">
        <f ca="1">'SC-II'!BS53</f>
        <v>0</v>
      </c>
      <c r="BT10" s="273">
        <f ca="1">'SC-II'!BT53</f>
        <v>0</v>
      </c>
      <c r="BU10" s="273">
        <f ca="1">'SC-II'!BU53</f>
        <v>2169121879</v>
      </c>
      <c r="BV10" s="273">
        <f ca="1">'SC-II'!BV53</f>
        <v>0</v>
      </c>
      <c r="BW10" s="273">
        <f ca="1">'SC-II'!BW53</f>
        <v>21202920500</v>
      </c>
      <c r="BX10" s="273">
        <f ca="1">'SC-II'!BX53</f>
        <v>0</v>
      </c>
      <c r="BY10" s="273">
        <f ca="1">'SC-II'!BY53</f>
        <v>10000000000</v>
      </c>
      <c r="BZ10" s="273">
        <f ca="1">'SC-II'!BZ53</f>
        <v>0</v>
      </c>
      <c r="CA10" s="273">
        <f ca="1">'SC-II'!CA53</f>
        <v>594397022.00000048</v>
      </c>
      <c r="CB10" s="273">
        <f ca="1">'SC-II'!CB53</f>
        <v>77701001</v>
      </c>
      <c r="CC10" s="273">
        <f ca="1">'SC-II'!CC53</f>
        <v>0</v>
      </c>
      <c r="CD10" s="273">
        <f ca="1">'SC-II'!CD53</f>
        <v>0</v>
      </c>
      <c r="CE10" s="273">
        <f ca="1">'SC-II'!CE53</f>
        <v>0</v>
      </c>
      <c r="CF10" s="273">
        <f ca="1">'SC-II'!CF53</f>
        <v>0</v>
      </c>
      <c r="CG10" s="273">
        <f ca="1">'SC-II'!CG53</f>
        <v>0</v>
      </c>
      <c r="CH10" s="273">
        <f ca="1">'SC-II'!CH53</f>
        <v>0</v>
      </c>
      <c r="CI10" s="273">
        <f ca="1">'SC-II'!CI53</f>
        <v>0</v>
      </c>
      <c r="CJ10" s="273">
        <f ca="1">'SC-II'!CJ53</f>
        <v>0</v>
      </c>
      <c r="CK10" s="273">
        <f ca="1">'SC-II'!CK53</f>
        <v>0</v>
      </c>
      <c r="CL10" s="273">
        <f ca="1">'SC-II'!CL53</f>
        <v>0</v>
      </c>
      <c r="CM10" s="273">
        <f ca="1">'SC-II'!CM53</f>
        <v>0</v>
      </c>
      <c r="CN10" s="273">
        <f ca="1">'SC-II'!CN53</f>
        <v>0</v>
      </c>
      <c r="CO10" s="273">
        <f ca="1">'SC-II'!CO53</f>
        <v>0</v>
      </c>
      <c r="CP10" s="273">
        <f ca="1">'SC-II'!CP53</f>
        <v>0</v>
      </c>
      <c r="CQ10" s="273">
        <f ca="1">'SC-II'!CQ53</f>
        <v>0</v>
      </c>
      <c r="CR10" s="273">
        <f ca="1">'SC-II'!CR53</f>
        <v>0</v>
      </c>
      <c r="CS10" s="273">
        <f ca="1">'SC-II'!CS53</f>
        <v>0</v>
      </c>
      <c r="CT10" s="273">
        <f ca="1">'SC-II'!CT53</f>
        <v>0</v>
      </c>
      <c r="CU10" s="273">
        <f ca="1">'SC-II'!CU53</f>
        <v>0</v>
      </c>
      <c r="CV10" s="273">
        <f ca="1">'SC-II'!CV53</f>
        <v>0</v>
      </c>
      <c r="CW10" s="273">
        <f ca="1">'SC-II'!CW53</f>
        <v>0</v>
      </c>
      <c r="CX10" s="273">
        <f ca="1">'SC-II'!CX53</f>
        <v>0</v>
      </c>
      <c r="CY10" s="273">
        <f ca="1">'SC-II'!CY53</f>
        <v>0</v>
      </c>
      <c r="CZ10" s="273">
        <f ca="1">'SC-II'!CZ53</f>
        <v>0</v>
      </c>
      <c r="DA10" s="273">
        <f ca="1">'SC-II'!DA53</f>
        <v>0</v>
      </c>
    </row>
    <row r="11" spans="1:105" s="274" customFormat="1" ht="15.75" customHeight="1">
      <c r="A11" s="63">
        <f t="array" aca="1" ref="A11" ca="1">IF(C11&lt;&gt;0,SUM(($C$11:C11&lt;&gt;0)*1),"")</f>
        <v>1</v>
      </c>
      <c r="B11" s="275" t="str">
        <f ca="1">IF(ROWS($1:1)&gt;COUNT(Dong8),"",OFFSET(TH!C$1,SMALL(Dong8,ROWS($1:1)),))</f>
        <v/>
      </c>
      <c r="C11" s="275" t="str">
        <f ca="1">IF(ROWS($1:1)&gt;COUNT(Dong8),"",OFFSET(TH!D$1,SMALL(Dong8,ROWS($1:1)),))</f>
        <v/>
      </c>
      <c r="D11" s="275" t="str">
        <f ca="1">IF(ROWS($1:1)&gt;COUNT(Dong8),"",OFFSET(TH!E$1,SMALL(Dong8,ROWS($1:1)),))</f>
        <v/>
      </c>
      <c r="E11" s="365" t="str">
        <f ca="1">IF(ROWS($1:1)&gt;COUNT(Dong8),"",OFFSET(TH!F$1,SMALL(Dong8,ROWS($1:1)),))</f>
        <v/>
      </c>
      <c r="F11" s="326" t="str">
        <f ca="1">IF(ROWS($1:1)&gt;COUNT(Dong8),"",OFFSET(TH!M$1,SMALL(Dong8,ROWS($1:1)),))</f>
        <v/>
      </c>
      <c r="G11" s="328" t="str">
        <f ca="1">IF(ROWS($1:1)&gt;COUNT(Dong8),"",OFFSET(TH!N$1,SMALL(Dong8,ROWS($1:1)),))</f>
        <v/>
      </c>
      <c r="H11" s="328" t="str">
        <f ca="1">IF(ROWS($1:1)&gt;COUNT(Dong8),"",OFFSET(TH!O$1,SMALL(Dong8,ROWS($1:1)),))</f>
        <v/>
      </c>
      <c r="I11" s="63">
        <f t="shared" ref="I11:I26" ca="1" si="0">A11</f>
        <v>1</v>
      </c>
      <c r="J11" s="277">
        <f ca="1">IF($G11="1111",$F11,0)</f>
        <v>0</v>
      </c>
      <c r="K11" s="277">
        <f ca="1">IF($H11="1111",$F11,0)</f>
        <v>0</v>
      </c>
      <c r="L11" s="277">
        <f t="shared" ref="L11:L50" ca="1" si="1">IF($G11="1121",$F11,0)</f>
        <v>0</v>
      </c>
      <c r="M11" s="277">
        <f t="shared" ref="M11:M50" ca="1" si="2">IF($H11="1121",$F11,0)</f>
        <v>0</v>
      </c>
      <c r="N11" s="277">
        <f t="shared" ref="N11:N50" ca="1" si="3">IF($G11="1122",$F11,0)</f>
        <v>0</v>
      </c>
      <c r="O11" s="277">
        <f t="shared" ref="O11:O50" ca="1" si="4">IF($H11="1122",$F11,0)</f>
        <v>0</v>
      </c>
      <c r="P11" s="277">
        <f t="shared" ref="P11:P50" ca="1" si="5">IF($G11="131",$F11,0)</f>
        <v>0</v>
      </c>
      <c r="Q11" s="277">
        <f t="shared" ref="Q11:Q50" ca="1" si="6">IF($H11="131",$F11,0)</f>
        <v>0</v>
      </c>
      <c r="R11" s="277">
        <f t="shared" ref="R11:R50" ca="1" si="7">IF($G11="1331",$F11,0)</f>
        <v>0</v>
      </c>
      <c r="S11" s="277">
        <f t="shared" ref="S11:S50" ca="1" si="8">IF($H11="1331",$F11,0)</f>
        <v>0</v>
      </c>
      <c r="T11" s="277">
        <f t="shared" ref="T11:T50" ca="1" si="9">IF($G11="1388",$F11,0)</f>
        <v>0</v>
      </c>
      <c r="U11" s="277">
        <f t="shared" ref="U11:U50" ca="1" si="10">IF($H11="1388",$F11,0)</f>
        <v>0</v>
      </c>
      <c r="V11" s="277">
        <f t="shared" ref="V11:V50" ca="1" si="11">IF($G11="141",$F11,0)</f>
        <v>0</v>
      </c>
      <c r="W11" s="277">
        <f t="shared" ref="W11:W50" ca="1" si="12">IF($H11="141",$F11,0)</f>
        <v>0</v>
      </c>
      <c r="X11" s="277">
        <f t="shared" ref="X11:X50" ca="1" si="13">IF($G11="1521",$F11,0)</f>
        <v>0</v>
      </c>
      <c r="Y11" s="277">
        <f t="shared" ref="Y11:Y50" ca="1" si="14">IF($H11="1521",$F11,0)</f>
        <v>0</v>
      </c>
      <c r="Z11" s="277">
        <f t="shared" ref="Z11:Z50" ca="1" si="15">IF($G11="1522",$F11,0)</f>
        <v>0</v>
      </c>
      <c r="AA11" s="277">
        <f t="shared" ref="AA11:AA50" ca="1" si="16">IF($H11="1522",$F11,0)</f>
        <v>0</v>
      </c>
      <c r="AB11" s="277">
        <f ca="1">IF($G11="153",$F11,0)</f>
        <v>0</v>
      </c>
      <c r="AC11" s="277">
        <f ca="1">IF($H11="153",$F11,0)</f>
        <v>0</v>
      </c>
      <c r="AD11" s="277">
        <f t="shared" ref="AD11:AD50" ca="1" si="17">IF($G11="154",$F11,0)</f>
        <v>0</v>
      </c>
      <c r="AE11" s="277">
        <f t="shared" ref="AE11:AE50" ca="1" si="18">IF($H11="154",$F11,0)</f>
        <v>0</v>
      </c>
      <c r="AF11" s="277">
        <f t="shared" ref="AF11:AF50" ca="1" si="19">IF($G11="155",$F11,0)</f>
        <v>0</v>
      </c>
      <c r="AG11" s="277">
        <f t="shared" ref="AG11:AG50" ca="1" si="20">IF($H11="155",$F11,0)</f>
        <v>0</v>
      </c>
      <c r="AH11" s="277">
        <f ca="1">IF($G11="2111",$F11,0)</f>
        <v>0</v>
      </c>
      <c r="AI11" s="277">
        <f ca="1">IF($H11="2111",$F11,0)</f>
        <v>0</v>
      </c>
      <c r="AJ11" s="277">
        <f ca="1">IF($G11="2112",$F11,0)</f>
        <v>0</v>
      </c>
      <c r="AK11" s="277">
        <f ca="1">IF($H11="2112",$F11,0)</f>
        <v>0</v>
      </c>
      <c r="AL11" s="277">
        <f ca="1">IF($G11="2113",$F11,0)</f>
        <v>0</v>
      </c>
      <c r="AM11" s="277">
        <f ca="1">IF($H11="2113",$F11,0)</f>
        <v>0</v>
      </c>
      <c r="AN11" s="277">
        <f ca="1">IF($G11="2131",$F11,0)</f>
        <v>0</v>
      </c>
      <c r="AO11" s="277">
        <f ca="1">IF($H11="2131",$F11,0)</f>
        <v>0</v>
      </c>
      <c r="AP11" s="277">
        <f t="shared" ref="AP11:AP50" ca="1" si="21">IF($G11="2141",$F11,0)</f>
        <v>0</v>
      </c>
      <c r="AQ11" s="277">
        <f t="shared" ref="AQ11:AQ50" ca="1" si="22">IF($H11="2141",$F11,0)</f>
        <v>0</v>
      </c>
      <c r="AR11" s="277">
        <f t="shared" ref="AR11:AR50" ca="1" si="23">IF($G11="2143",$F11,0)</f>
        <v>0</v>
      </c>
      <c r="AS11" s="277">
        <f t="shared" ref="AS11:AS50" ca="1" si="24">IF($H11="2143",$F11,0)</f>
        <v>0</v>
      </c>
      <c r="AT11" s="277">
        <f ca="1">IF($G11="2412",$F11,0)</f>
        <v>0</v>
      </c>
      <c r="AU11" s="277">
        <f ca="1">IF($H11="2412",$F11,0)</f>
        <v>0</v>
      </c>
      <c r="AV11" s="277">
        <f t="shared" ref="AV11:AV50" ca="1" si="25">IF($G11="331",$F11,0)</f>
        <v>0</v>
      </c>
      <c r="AW11" s="277">
        <f t="shared" ref="AW11:AW50" ca="1" si="26">IF($H11="331",$F11,0)</f>
        <v>0</v>
      </c>
      <c r="AX11" s="277">
        <f t="shared" ref="AX11:AX50" ca="1" si="27">IF($G11="33311",$F11,0)</f>
        <v>0</v>
      </c>
      <c r="AY11" s="277">
        <f t="shared" ref="AY11:AY50" ca="1" si="28">IF($H11="33311",$F11,0)</f>
        <v>0</v>
      </c>
      <c r="AZ11" s="277">
        <f t="shared" ref="AZ11:AZ50" ca="1" si="29">IF($G11="33312",$F11,0)</f>
        <v>0</v>
      </c>
      <c r="BA11" s="277">
        <f t="shared" ref="BA11:BA50" ca="1" si="30">IF($H11="33312",$F11,0)</f>
        <v>0</v>
      </c>
      <c r="BB11" s="277">
        <f t="shared" ref="BB11:BB50" ca="1" si="31">IF($G11="3333",$F11,0)</f>
        <v>0</v>
      </c>
      <c r="BC11" s="277">
        <f t="shared" ref="BC11:BC50" ca="1" si="32">IF($H11="3333",$F11,0)</f>
        <v>0</v>
      </c>
      <c r="BD11" s="277">
        <f t="shared" ref="BD11:BD50" ca="1" si="33">IF($G11="3334",$F11,0)</f>
        <v>0</v>
      </c>
      <c r="BE11" s="277">
        <f t="shared" ref="BE11:BE50" ca="1" si="34">IF($H11="3334",$F11,0)</f>
        <v>0</v>
      </c>
      <c r="BF11" s="277">
        <f t="shared" ref="BF11:BF50" ca="1" si="35">IF($G11="3335",$F11,0)</f>
        <v>0</v>
      </c>
      <c r="BG11" s="277">
        <f t="shared" ref="BG11:BG50" ca="1" si="36">IF($H11="3335",$F11,0)</f>
        <v>0</v>
      </c>
      <c r="BH11" s="277">
        <f ca="1">IF($G11="33382",$F11,0)</f>
        <v>0</v>
      </c>
      <c r="BI11" s="277">
        <f ca="1">IF($H11="33382",$F11,0)</f>
        <v>0</v>
      </c>
      <c r="BJ11" s="277">
        <f t="shared" ref="BJ11:BJ50" ca="1" si="37">IF($G11="3341",$F11,0)</f>
        <v>0</v>
      </c>
      <c r="BK11" s="277">
        <f t="shared" ref="BK11:BK50" ca="1" si="38">IF($H11="3341",$F11,0)</f>
        <v>0</v>
      </c>
      <c r="BL11" s="277">
        <f t="shared" ref="BL11:BL50" ca="1" si="39">IF($G11="3383",$F11,0)</f>
        <v>0</v>
      </c>
      <c r="BM11" s="277">
        <f t="shared" ref="BM11:BM50" ca="1" si="40">IF($H11="3383",$F11,0)</f>
        <v>0</v>
      </c>
      <c r="BN11" s="277">
        <f t="shared" ref="BN11:BN50" ca="1" si="41">IF($G11="3384",$F11,0)</f>
        <v>0</v>
      </c>
      <c r="BO11" s="277">
        <f t="shared" ref="BO11:BO50" ca="1" si="42">IF($H11="3384",$F11,0)</f>
        <v>0</v>
      </c>
      <c r="BP11" s="277">
        <f ca="1">IF($G11="3386",$F11,0)</f>
        <v>0</v>
      </c>
      <c r="BQ11" s="277">
        <f ca="1">IF($H11="3386",$F11,0)</f>
        <v>0</v>
      </c>
      <c r="BR11" s="277">
        <f t="shared" ref="BR11:BR50" ca="1" si="43">IF($G11="3388",$F11,0)</f>
        <v>0</v>
      </c>
      <c r="BS11" s="277">
        <f t="shared" ref="BS11:BS50" ca="1" si="44">IF($H11="3388",$F11,0)</f>
        <v>0</v>
      </c>
      <c r="BT11" s="277">
        <f ca="1">IF($G11="3411",$F11,0)</f>
        <v>0</v>
      </c>
      <c r="BU11" s="277">
        <f ca="1">IF($H11="3411",$F11,0)</f>
        <v>0</v>
      </c>
      <c r="BV11" s="277">
        <f ca="1">IF($G11="3412",$F11,0)</f>
        <v>0</v>
      </c>
      <c r="BW11" s="277">
        <f ca="1">IF($H11="3412",$F11,0)</f>
        <v>0</v>
      </c>
      <c r="BX11" s="277">
        <f t="shared" ref="BX11:BX50" ca="1" si="45">IF($G11="4111",$F11,0)</f>
        <v>0</v>
      </c>
      <c r="BY11" s="277">
        <f t="shared" ref="BY11:BY50" ca="1" si="46">IF($H11="4111",$F11,0)</f>
        <v>0</v>
      </c>
      <c r="BZ11" s="277">
        <f t="shared" ref="BZ11:BZ50" ca="1" si="47">IF($G11="4211",$F11,0)</f>
        <v>0</v>
      </c>
      <c r="CA11" s="277">
        <f t="shared" ref="CA11:CA50" ca="1" si="48">IF($H11="4211",$F11,0)</f>
        <v>0</v>
      </c>
      <c r="CB11" s="277">
        <f t="shared" ref="CB11:CB50" ca="1" si="49">IF($G11="4212",$F11,0)</f>
        <v>0</v>
      </c>
      <c r="CC11" s="277">
        <f t="shared" ref="CC11:CC50" ca="1" si="50">IF($H11="4212",$F11,0)</f>
        <v>0</v>
      </c>
      <c r="CD11" s="277">
        <f ca="1">IF($G11="5112N",$F11,0)</f>
        <v>0</v>
      </c>
      <c r="CE11" s="277">
        <f ca="1">IF($H11="5112N",$F11,0)</f>
        <v>0</v>
      </c>
      <c r="CF11" s="277">
        <f ca="1">IF($G11="5112X",$F11,0)</f>
        <v>0</v>
      </c>
      <c r="CG11" s="277">
        <f ca="1">IF($H11="5112X",$F11,0)</f>
        <v>0</v>
      </c>
      <c r="CH11" s="277">
        <f t="shared" ref="CH11:CH50" ca="1" si="51">IF($G11="515",$F11,0)</f>
        <v>0</v>
      </c>
      <c r="CI11" s="277">
        <f t="shared" ref="CI11:CI50" ca="1" si="52">IF($H11="515",$F11,0)</f>
        <v>0</v>
      </c>
      <c r="CJ11" s="277">
        <f ca="1">IF($G11="5213",$F11,0)</f>
        <v>0</v>
      </c>
      <c r="CK11" s="277">
        <f ca="1">IF($H11="5213",$F11,0)</f>
        <v>0</v>
      </c>
      <c r="CL11" s="277">
        <f t="shared" ref="CL11:CL50" ca="1" si="53">IF($G11="632",$F11,0)</f>
        <v>0</v>
      </c>
      <c r="CM11" s="277">
        <f t="shared" ref="CM11:CM50" ca="1" si="54">IF($H11="632",$F11,0)</f>
        <v>0</v>
      </c>
      <c r="CN11" s="277">
        <f t="shared" ref="CN11:CN50" ca="1" si="55">IF($G11="635",$F11,0)</f>
        <v>0</v>
      </c>
      <c r="CO11" s="277">
        <f t="shared" ref="CO11:CO50" ca="1" si="56">IF($H11="635",$F11,0)</f>
        <v>0</v>
      </c>
      <c r="CP11" s="277">
        <f ca="1">IF($G11="641",$F11,0)</f>
        <v>0</v>
      </c>
      <c r="CQ11" s="277">
        <f ca="1">IF($H11="641",$F11,0)</f>
        <v>0</v>
      </c>
      <c r="CR11" s="277">
        <f ca="1">IF($G11="642",$F11,0)</f>
        <v>0</v>
      </c>
      <c r="CS11" s="277">
        <f ca="1">IF($H11="642",$F11,0)</f>
        <v>0</v>
      </c>
      <c r="CT11" s="277">
        <f t="shared" ref="CT11:CT50" ca="1" si="57">IF($G11="711",$F11,0)</f>
        <v>0</v>
      </c>
      <c r="CU11" s="277">
        <f t="shared" ref="CU11:CU50" ca="1" si="58">IF($H11="711",$F11,0)</f>
        <v>0</v>
      </c>
      <c r="CV11" s="277">
        <f t="shared" ref="CV11:CV50" ca="1" si="59">IF($G11="811",$F11,0)</f>
        <v>0</v>
      </c>
      <c r="CW11" s="277">
        <f t="shared" ref="CW11:CW50" ca="1" si="60">IF($H11="811",$F11,0)</f>
        <v>0</v>
      </c>
      <c r="CX11" s="277">
        <f ca="1">IF($G11="821",$F11,0)</f>
        <v>0</v>
      </c>
      <c r="CY11" s="277">
        <f ca="1">IF($H11="821",$F11,0)</f>
        <v>0</v>
      </c>
      <c r="CZ11" s="277">
        <f ca="1">IF($G11="911",$F11,0)</f>
        <v>0</v>
      </c>
      <c r="DA11" s="277">
        <f ca="1">IF($H11="911",$F11,0)</f>
        <v>0</v>
      </c>
    </row>
    <row r="12" spans="1:105" s="274" customFormat="1" ht="15.75" customHeight="1">
      <c r="A12" s="63" t="str">
        <f t="array" ref="A12">IF(C12&lt;&gt;0,SUM(($C$11:C12&lt;&gt;0)*1),"")</f>
        <v/>
      </c>
      <c r="B12" s="275"/>
      <c r="C12" s="275"/>
      <c r="D12" s="275"/>
      <c r="E12" s="365"/>
      <c r="F12" s="326"/>
      <c r="G12" s="328"/>
      <c r="H12" s="328"/>
      <c r="I12" s="63" t="str">
        <f t="shared" si="0"/>
        <v/>
      </c>
      <c r="J12" s="277">
        <f t="shared" ref="J12:J50" si="61">IF($G12="1111",$F12,0)</f>
        <v>0</v>
      </c>
      <c r="K12" s="277">
        <f t="shared" ref="K12:K50" si="62">IF($H12="1111",$F12,0)</f>
        <v>0</v>
      </c>
      <c r="L12" s="277">
        <f t="shared" si="1"/>
        <v>0</v>
      </c>
      <c r="M12" s="277">
        <f t="shared" si="2"/>
        <v>0</v>
      </c>
      <c r="N12" s="277">
        <f t="shared" si="3"/>
        <v>0</v>
      </c>
      <c r="O12" s="277">
        <f t="shared" si="4"/>
        <v>0</v>
      </c>
      <c r="P12" s="277">
        <f t="shared" si="5"/>
        <v>0</v>
      </c>
      <c r="Q12" s="277">
        <f t="shared" si="6"/>
        <v>0</v>
      </c>
      <c r="R12" s="277">
        <f t="shared" si="7"/>
        <v>0</v>
      </c>
      <c r="S12" s="277">
        <f t="shared" si="8"/>
        <v>0</v>
      </c>
      <c r="T12" s="277">
        <f t="shared" si="9"/>
        <v>0</v>
      </c>
      <c r="U12" s="277">
        <f t="shared" si="10"/>
        <v>0</v>
      </c>
      <c r="V12" s="277">
        <f t="shared" si="11"/>
        <v>0</v>
      </c>
      <c r="W12" s="277">
        <f t="shared" si="12"/>
        <v>0</v>
      </c>
      <c r="X12" s="277">
        <f t="shared" si="13"/>
        <v>0</v>
      </c>
      <c r="Y12" s="277">
        <f t="shared" si="14"/>
        <v>0</v>
      </c>
      <c r="Z12" s="277">
        <f t="shared" si="15"/>
        <v>0</v>
      </c>
      <c r="AA12" s="277">
        <f t="shared" si="16"/>
        <v>0</v>
      </c>
      <c r="AB12" s="277">
        <f t="shared" ref="AB12:AB50" si="63">IF($G12="153",$F12,0)</f>
        <v>0</v>
      </c>
      <c r="AC12" s="277">
        <f t="shared" ref="AC12:AC50" si="64">IF($H12="153",$F12,0)</f>
        <v>0</v>
      </c>
      <c r="AD12" s="277">
        <f t="shared" si="17"/>
        <v>0</v>
      </c>
      <c r="AE12" s="277">
        <f t="shared" si="18"/>
        <v>0</v>
      </c>
      <c r="AF12" s="277">
        <f t="shared" si="19"/>
        <v>0</v>
      </c>
      <c r="AG12" s="277">
        <f t="shared" si="20"/>
        <v>0</v>
      </c>
      <c r="AH12" s="277">
        <f t="shared" ref="AH12:AH50" si="65">IF($G12="2111",$F12,0)</f>
        <v>0</v>
      </c>
      <c r="AI12" s="277">
        <f t="shared" ref="AI12:AI50" si="66">IF($H12="2111",$F12,0)</f>
        <v>0</v>
      </c>
      <c r="AJ12" s="277">
        <f t="shared" ref="AJ12:AJ50" si="67">IF($G12="2112",$F12,0)</f>
        <v>0</v>
      </c>
      <c r="AK12" s="277">
        <f t="shared" ref="AK12:AK50" si="68">IF($H12="2112",$F12,0)</f>
        <v>0</v>
      </c>
      <c r="AL12" s="277">
        <f t="shared" ref="AL12:AL50" si="69">IF($G12="2113",$F12,0)</f>
        <v>0</v>
      </c>
      <c r="AM12" s="277">
        <f t="shared" ref="AM12:AM50" si="70">IF($H12="2113",$F12,0)</f>
        <v>0</v>
      </c>
      <c r="AN12" s="277">
        <f t="shared" ref="AN12:AN50" si="71">IF($G12="2131",$F12,0)</f>
        <v>0</v>
      </c>
      <c r="AO12" s="277">
        <f t="shared" ref="AO12:AO50" si="72">IF($H12="2131",$F12,0)</f>
        <v>0</v>
      </c>
      <c r="AP12" s="277">
        <f t="shared" si="21"/>
        <v>0</v>
      </c>
      <c r="AQ12" s="277">
        <f t="shared" si="22"/>
        <v>0</v>
      </c>
      <c r="AR12" s="277">
        <f t="shared" si="23"/>
        <v>0</v>
      </c>
      <c r="AS12" s="277">
        <f t="shared" si="24"/>
        <v>0</v>
      </c>
      <c r="AT12" s="277">
        <f t="shared" ref="AT12:AT50" si="73">IF($G12="2412",$F12,0)</f>
        <v>0</v>
      </c>
      <c r="AU12" s="277">
        <f t="shared" ref="AU12:AU50" si="74">IF($H12="2412",$F12,0)</f>
        <v>0</v>
      </c>
      <c r="AV12" s="277">
        <f t="shared" si="25"/>
        <v>0</v>
      </c>
      <c r="AW12" s="277">
        <f t="shared" si="26"/>
        <v>0</v>
      </c>
      <c r="AX12" s="277">
        <f t="shared" si="27"/>
        <v>0</v>
      </c>
      <c r="AY12" s="277">
        <f t="shared" si="28"/>
        <v>0</v>
      </c>
      <c r="AZ12" s="277">
        <f t="shared" si="29"/>
        <v>0</v>
      </c>
      <c r="BA12" s="277">
        <f t="shared" si="30"/>
        <v>0</v>
      </c>
      <c r="BB12" s="277">
        <f t="shared" si="31"/>
        <v>0</v>
      </c>
      <c r="BC12" s="277">
        <f t="shared" si="32"/>
        <v>0</v>
      </c>
      <c r="BD12" s="277">
        <f t="shared" si="33"/>
        <v>0</v>
      </c>
      <c r="BE12" s="277">
        <f t="shared" si="34"/>
        <v>0</v>
      </c>
      <c r="BF12" s="277">
        <f t="shared" si="35"/>
        <v>0</v>
      </c>
      <c r="BG12" s="277">
        <f t="shared" si="36"/>
        <v>0</v>
      </c>
      <c r="BH12" s="277">
        <f t="shared" ref="BH12:BH50" si="75">IF($G12="33382",$F12,0)</f>
        <v>0</v>
      </c>
      <c r="BI12" s="277">
        <f t="shared" ref="BI12:BI50" si="76">IF($H12="33382",$F12,0)</f>
        <v>0</v>
      </c>
      <c r="BJ12" s="277">
        <f t="shared" si="37"/>
        <v>0</v>
      </c>
      <c r="BK12" s="277">
        <f t="shared" si="38"/>
        <v>0</v>
      </c>
      <c r="BL12" s="277">
        <f t="shared" si="39"/>
        <v>0</v>
      </c>
      <c r="BM12" s="277">
        <f t="shared" si="40"/>
        <v>0</v>
      </c>
      <c r="BN12" s="277">
        <f t="shared" si="41"/>
        <v>0</v>
      </c>
      <c r="BO12" s="277">
        <f t="shared" si="42"/>
        <v>0</v>
      </c>
      <c r="BP12" s="277">
        <f t="shared" ref="BP12:BP50" si="77">IF($G12="3386",$F12,0)</f>
        <v>0</v>
      </c>
      <c r="BQ12" s="277">
        <f t="shared" ref="BQ12:BQ50" si="78">IF($H12="3386",$F12,0)</f>
        <v>0</v>
      </c>
      <c r="BR12" s="277">
        <f t="shared" si="43"/>
        <v>0</v>
      </c>
      <c r="BS12" s="277">
        <f t="shared" si="44"/>
        <v>0</v>
      </c>
      <c r="BT12" s="277">
        <f t="shared" ref="BT12:BT50" si="79">IF($G12="3411",$F12,0)</f>
        <v>0</v>
      </c>
      <c r="BU12" s="277">
        <f t="shared" ref="BU12:BU50" si="80">IF($H12="3411",$F12,0)</f>
        <v>0</v>
      </c>
      <c r="BV12" s="277">
        <f t="shared" ref="BV12:BV50" si="81">IF($G12="3412",$F12,0)</f>
        <v>0</v>
      </c>
      <c r="BW12" s="277">
        <f t="shared" ref="BW12:BW50" si="82">IF($H12="3412",$F12,0)</f>
        <v>0</v>
      </c>
      <c r="BX12" s="277">
        <f t="shared" si="45"/>
        <v>0</v>
      </c>
      <c r="BY12" s="277">
        <f t="shared" si="46"/>
        <v>0</v>
      </c>
      <c r="BZ12" s="277">
        <f t="shared" si="47"/>
        <v>0</v>
      </c>
      <c r="CA12" s="277">
        <f t="shared" si="48"/>
        <v>0</v>
      </c>
      <c r="CB12" s="277">
        <f t="shared" si="49"/>
        <v>0</v>
      </c>
      <c r="CC12" s="277">
        <f t="shared" si="50"/>
        <v>0</v>
      </c>
      <c r="CD12" s="277">
        <f t="shared" ref="CD12:CD50" si="83">IF($G12="5112N",$F12,0)</f>
        <v>0</v>
      </c>
      <c r="CE12" s="277">
        <f t="shared" ref="CE12:CE50" si="84">IF($H12="5112N",$F12,0)</f>
        <v>0</v>
      </c>
      <c r="CF12" s="277">
        <f t="shared" ref="CF12:CF50" si="85">IF($G12="5112X",$F12,0)</f>
        <v>0</v>
      </c>
      <c r="CG12" s="277">
        <f t="shared" ref="CG12:CG50" si="86">IF($H12="5112X",$F12,0)</f>
        <v>0</v>
      </c>
      <c r="CH12" s="277">
        <f t="shared" si="51"/>
        <v>0</v>
      </c>
      <c r="CI12" s="277">
        <f t="shared" si="52"/>
        <v>0</v>
      </c>
      <c r="CJ12" s="277">
        <f t="shared" ref="CJ12:CJ50" si="87">IF($G12="5213",$F12,0)</f>
        <v>0</v>
      </c>
      <c r="CK12" s="277">
        <f t="shared" ref="CK12:CK50" si="88">IF($H12="5213",$F12,0)</f>
        <v>0</v>
      </c>
      <c r="CL12" s="277">
        <f t="shared" si="53"/>
        <v>0</v>
      </c>
      <c r="CM12" s="277">
        <f t="shared" si="54"/>
        <v>0</v>
      </c>
      <c r="CN12" s="277">
        <f t="shared" si="55"/>
        <v>0</v>
      </c>
      <c r="CO12" s="277">
        <f t="shared" si="56"/>
        <v>0</v>
      </c>
      <c r="CP12" s="277">
        <f t="shared" ref="CP12:CP50" si="89">IF($G12="641",$F12,0)</f>
        <v>0</v>
      </c>
      <c r="CQ12" s="277">
        <f t="shared" ref="CQ12:CQ50" si="90">IF($H12="641",$F12,0)</f>
        <v>0</v>
      </c>
      <c r="CR12" s="277">
        <f t="shared" ref="CR12:CR50" si="91">IF($G12="642",$F12,0)</f>
        <v>0</v>
      </c>
      <c r="CS12" s="277">
        <f t="shared" ref="CS12:CS50" si="92">IF($H12="642",$F12,0)</f>
        <v>0</v>
      </c>
      <c r="CT12" s="277">
        <f t="shared" si="57"/>
        <v>0</v>
      </c>
      <c r="CU12" s="277">
        <f t="shared" si="58"/>
        <v>0</v>
      </c>
      <c r="CV12" s="277">
        <f t="shared" si="59"/>
        <v>0</v>
      </c>
      <c r="CW12" s="277">
        <f t="shared" si="60"/>
        <v>0</v>
      </c>
      <c r="CX12" s="277">
        <f t="shared" ref="CX12:CX50" si="93">IF($G12="821",$F12,0)</f>
        <v>0</v>
      </c>
      <c r="CY12" s="277">
        <f t="shared" ref="CY12:CY50" si="94">IF($H12="821",$F12,0)</f>
        <v>0</v>
      </c>
      <c r="CZ12" s="277">
        <f t="shared" ref="CZ12:CZ50" si="95">IF($G12="911",$F12,0)</f>
        <v>0</v>
      </c>
      <c r="DA12" s="277">
        <f t="shared" ref="DA12:DA50" si="96">IF($H12="911",$F12,0)</f>
        <v>0</v>
      </c>
    </row>
    <row r="13" spans="1:105" s="274" customFormat="1" ht="15.75" customHeight="1">
      <c r="A13" s="63" t="str">
        <f t="array" ref="A13">IF(C13&lt;&gt;0,SUM(($C$11:C13&lt;&gt;0)*1),"")</f>
        <v/>
      </c>
      <c r="B13" s="275"/>
      <c r="C13" s="275"/>
      <c r="D13" s="275"/>
      <c r="E13" s="365"/>
      <c r="F13" s="326"/>
      <c r="G13" s="328"/>
      <c r="H13" s="328"/>
      <c r="I13" s="63" t="str">
        <f t="shared" si="0"/>
        <v/>
      </c>
      <c r="J13" s="277">
        <f t="shared" si="61"/>
        <v>0</v>
      </c>
      <c r="K13" s="277">
        <f t="shared" si="62"/>
        <v>0</v>
      </c>
      <c r="L13" s="277">
        <f t="shared" si="1"/>
        <v>0</v>
      </c>
      <c r="M13" s="277">
        <f t="shared" si="2"/>
        <v>0</v>
      </c>
      <c r="N13" s="277">
        <f t="shared" si="3"/>
        <v>0</v>
      </c>
      <c r="O13" s="277">
        <f t="shared" si="4"/>
        <v>0</v>
      </c>
      <c r="P13" s="277">
        <f t="shared" si="5"/>
        <v>0</v>
      </c>
      <c r="Q13" s="277">
        <f t="shared" si="6"/>
        <v>0</v>
      </c>
      <c r="R13" s="277">
        <f t="shared" si="7"/>
        <v>0</v>
      </c>
      <c r="S13" s="277">
        <f t="shared" si="8"/>
        <v>0</v>
      </c>
      <c r="T13" s="277">
        <f t="shared" si="9"/>
        <v>0</v>
      </c>
      <c r="U13" s="277">
        <f t="shared" si="10"/>
        <v>0</v>
      </c>
      <c r="V13" s="277">
        <f t="shared" si="11"/>
        <v>0</v>
      </c>
      <c r="W13" s="277">
        <f t="shared" si="12"/>
        <v>0</v>
      </c>
      <c r="X13" s="277">
        <f t="shared" si="13"/>
        <v>0</v>
      </c>
      <c r="Y13" s="277">
        <f t="shared" si="14"/>
        <v>0</v>
      </c>
      <c r="Z13" s="277">
        <f t="shared" si="15"/>
        <v>0</v>
      </c>
      <c r="AA13" s="277">
        <f t="shared" si="16"/>
        <v>0</v>
      </c>
      <c r="AB13" s="277">
        <f t="shared" si="63"/>
        <v>0</v>
      </c>
      <c r="AC13" s="277">
        <f t="shared" si="64"/>
        <v>0</v>
      </c>
      <c r="AD13" s="277">
        <f t="shared" si="17"/>
        <v>0</v>
      </c>
      <c r="AE13" s="277">
        <f t="shared" si="18"/>
        <v>0</v>
      </c>
      <c r="AF13" s="277">
        <f t="shared" si="19"/>
        <v>0</v>
      </c>
      <c r="AG13" s="277">
        <f t="shared" si="20"/>
        <v>0</v>
      </c>
      <c r="AH13" s="277">
        <f t="shared" si="65"/>
        <v>0</v>
      </c>
      <c r="AI13" s="277">
        <f t="shared" si="66"/>
        <v>0</v>
      </c>
      <c r="AJ13" s="277">
        <f t="shared" si="67"/>
        <v>0</v>
      </c>
      <c r="AK13" s="277">
        <f t="shared" si="68"/>
        <v>0</v>
      </c>
      <c r="AL13" s="277">
        <f t="shared" si="69"/>
        <v>0</v>
      </c>
      <c r="AM13" s="277">
        <f t="shared" si="70"/>
        <v>0</v>
      </c>
      <c r="AN13" s="277">
        <f t="shared" si="71"/>
        <v>0</v>
      </c>
      <c r="AO13" s="277">
        <f t="shared" si="72"/>
        <v>0</v>
      </c>
      <c r="AP13" s="277">
        <f t="shared" si="21"/>
        <v>0</v>
      </c>
      <c r="AQ13" s="277">
        <f t="shared" si="22"/>
        <v>0</v>
      </c>
      <c r="AR13" s="277">
        <f t="shared" si="23"/>
        <v>0</v>
      </c>
      <c r="AS13" s="277">
        <f t="shared" si="24"/>
        <v>0</v>
      </c>
      <c r="AT13" s="277">
        <f t="shared" si="73"/>
        <v>0</v>
      </c>
      <c r="AU13" s="277">
        <f t="shared" si="74"/>
        <v>0</v>
      </c>
      <c r="AV13" s="277">
        <f t="shared" si="25"/>
        <v>0</v>
      </c>
      <c r="AW13" s="277">
        <f t="shared" si="26"/>
        <v>0</v>
      </c>
      <c r="AX13" s="277">
        <f t="shared" si="27"/>
        <v>0</v>
      </c>
      <c r="AY13" s="277">
        <f t="shared" si="28"/>
        <v>0</v>
      </c>
      <c r="AZ13" s="277">
        <f t="shared" si="29"/>
        <v>0</v>
      </c>
      <c r="BA13" s="277">
        <f t="shared" si="30"/>
        <v>0</v>
      </c>
      <c r="BB13" s="277">
        <f t="shared" si="31"/>
        <v>0</v>
      </c>
      <c r="BC13" s="277">
        <f t="shared" si="32"/>
        <v>0</v>
      </c>
      <c r="BD13" s="277">
        <f t="shared" si="33"/>
        <v>0</v>
      </c>
      <c r="BE13" s="277">
        <f t="shared" si="34"/>
        <v>0</v>
      </c>
      <c r="BF13" s="277">
        <f t="shared" si="35"/>
        <v>0</v>
      </c>
      <c r="BG13" s="277">
        <f t="shared" si="36"/>
        <v>0</v>
      </c>
      <c r="BH13" s="277">
        <f t="shared" si="75"/>
        <v>0</v>
      </c>
      <c r="BI13" s="277">
        <f t="shared" si="76"/>
        <v>0</v>
      </c>
      <c r="BJ13" s="277">
        <f t="shared" si="37"/>
        <v>0</v>
      </c>
      <c r="BK13" s="277">
        <f t="shared" si="38"/>
        <v>0</v>
      </c>
      <c r="BL13" s="277">
        <f t="shared" si="39"/>
        <v>0</v>
      </c>
      <c r="BM13" s="277">
        <f t="shared" si="40"/>
        <v>0</v>
      </c>
      <c r="BN13" s="277">
        <f t="shared" si="41"/>
        <v>0</v>
      </c>
      <c r="BO13" s="277">
        <f t="shared" si="42"/>
        <v>0</v>
      </c>
      <c r="BP13" s="277">
        <f t="shared" si="77"/>
        <v>0</v>
      </c>
      <c r="BQ13" s="277">
        <f t="shared" si="78"/>
        <v>0</v>
      </c>
      <c r="BR13" s="277">
        <f t="shared" si="43"/>
        <v>0</v>
      </c>
      <c r="BS13" s="277">
        <f t="shared" si="44"/>
        <v>0</v>
      </c>
      <c r="BT13" s="277">
        <f t="shared" si="79"/>
        <v>0</v>
      </c>
      <c r="BU13" s="277">
        <f t="shared" si="80"/>
        <v>0</v>
      </c>
      <c r="BV13" s="277">
        <f t="shared" si="81"/>
        <v>0</v>
      </c>
      <c r="BW13" s="277">
        <f t="shared" si="82"/>
        <v>0</v>
      </c>
      <c r="BX13" s="277">
        <f t="shared" si="45"/>
        <v>0</v>
      </c>
      <c r="BY13" s="277">
        <f t="shared" si="46"/>
        <v>0</v>
      </c>
      <c r="BZ13" s="277">
        <f t="shared" si="47"/>
        <v>0</v>
      </c>
      <c r="CA13" s="277">
        <f t="shared" si="48"/>
        <v>0</v>
      </c>
      <c r="CB13" s="277">
        <f t="shared" si="49"/>
        <v>0</v>
      </c>
      <c r="CC13" s="277">
        <f t="shared" si="50"/>
        <v>0</v>
      </c>
      <c r="CD13" s="277">
        <f t="shared" si="83"/>
        <v>0</v>
      </c>
      <c r="CE13" s="277">
        <f t="shared" si="84"/>
        <v>0</v>
      </c>
      <c r="CF13" s="277">
        <f t="shared" si="85"/>
        <v>0</v>
      </c>
      <c r="CG13" s="277">
        <f t="shared" si="86"/>
        <v>0</v>
      </c>
      <c r="CH13" s="277">
        <f t="shared" si="51"/>
        <v>0</v>
      </c>
      <c r="CI13" s="277">
        <f t="shared" si="52"/>
        <v>0</v>
      </c>
      <c r="CJ13" s="277">
        <f t="shared" si="87"/>
        <v>0</v>
      </c>
      <c r="CK13" s="277">
        <f t="shared" si="88"/>
        <v>0</v>
      </c>
      <c r="CL13" s="277">
        <f t="shared" si="53"/>
        <v>0</v>
      </c>
      <c r="CM13" s="277">
        <f t="shared" si="54"/>
        <v>0</v>
      </c>
      <c r="CN13" s="277">
        <f t="shared" si="55"/>
        <v>0</v>
      </c>
      <c r="CO13" s="277">
        <f t="shared" si="56"/>
        <v>0</v>
      </c>
      <c r="CP13" s="277">
        <f t="shared" si="89"/>
        <v>0</v>
      </c>
      <c r="CQ13" s="277">
        <f t="shared" si="90"/>
        <v>0</v>
      </c>
      <c r="CR13" s="277">
        <f t="shared" si="91"/>
        <v>0</v>
      </c>
      <c r="CS13" s="277">
        <f t="shared" si="92"/>
        <v>0</v>
      </c>
      <c r="CT13" s="277">
        <f t="shared" si="57"/>
        <v>0</v>
      </c>
      <c r="CU13" s="277">
        <f t="shared" si="58"/>
        <v>0</v>
      </c>
      <c r="CV13" s="277">
        <f t="shared" si="59"/>
        <v>0</v>
      </c>
      <c r="CW13" s="277">
        <f t="shared" si="60"/>
        <v>0</v>
      </c>
      <c r="CX13" s="277">
        <f t="shared" si="93"/>
        <v>0</v>
      </c>
      <c r="CY13" s="277">
        <f t="shared" si="94"/>
        <v>0</v>
      </c>
      <c r="CZ13" s="277">
        <f t="shared" si="95"/>
        <v>0</v>
      </c>
      <c r="DA13" s="277">
        <f t="shared" si="96"/>
        <v>0</v>
      </c>
    </row>
    <row r="14" spans="1:105" s="274" customFormat="1" ht="15.75" customHeight="1">
      <c r="A14" s="63" t="str">
        <f t="array" ref="A14">IF(C14&lt;&gt;0,SUM(($C$11:C14&lt;&gt;0)*1),"")</f>
        <v/>
      </c>
      <c r="B14" s="275"/>
      <c r="C14" s="275"/>
      <c r="D14" s="275"/>
      <c r="E14" s="365"/>
      <c r="F14" s="326"/>
      <c r="G14" s="328"/>
      <c r="H14" s="328"/>
      <c r="I14" s="63" t="str">
        <f t="shared" si="0"/>
        <v/>
      </c>
      <c r="J14" s="277">
        <f t="shared" si="61"/>
        <v>0</v>
      </c>
      <c r="K14" s="277">
        <f t="shared" si="62"/>
        <v>0</v>
      </c>
      <c r="L14" s="277">
        <f t="shared" si="1"/>
        <v>0</v>
      </c>
      <c r="M14" s="277">
        <f t="shared" si="2"/>
        <v>0</v>
      </c>
      <c r="N14" s="277">
        <f t="shared" si="3"/>
        <v>0</v>
      </c>
      <c r="O14" s="277">
        <f t="shared" si="4"/>
        <v>0</v>
      </c>
      <c r="P14" s="277">
        <f t="shared" si="5"/>
        <v>0</v>
      </c>
      <c r="Q14" s="277">
        <f t="shared" si="6"/>
        <v>0</v>
      </c>
      <c r="R14" s="277">
        <f t="shared" si="7"/>
        <v>0</v>
      </c>
      <c r="S14" s="277">
        <f t="shared" si="8"/>
        <v>0</v>
      </c>
      <c r="T14" s="277">
        <f t="shared" si="9"/>
        <v>0</v>
      </c>
      <c r="U14" s="277">
        <f t="shared" si="10"/>
        <v>0</v>
      </c>
      <c r="V14" s="277">
        <f t="shared" si="11"/>
        <v>0</v>
      </c>
      <c r="W14" s="277">
        <f t="shared" si="12"/>
        <v>0</v>
      </c>
      <c r="X14" s="277">
        <f t="shared" si="13"/>
        <v>0</v>
      </c>
      <c r="Y14" s="277">
        <f t="shared" si="14"/>
        <v>0</v>
      </c>
      <c r="Z14" s="277">
        <f t="shared" si="15"/>
        <v>0</v>
      </c>
      <c r="AA14" s="277">
        <f t="shared" si="16"/>
        <v>0</v>
      </c>
      <c r="AB14" s="277">
        <f t="shared" si="63"/>
        <v>0</v>
      </c>
      <c r="AC14" s="277">
        <f t="shared" si="64"/>
        <v>0</v>
      </c>
      <c r="AD14" s="277">
        <f t="shared" si="17"/>
        <v>0</v>
      </c>
      <c r="AE14" s="277">
        <f t="shared" si="18"/>
        <v>0</v>
      </c>
      <c r="AF14" s="277">
        <f t="shared" si="19"/>
        <v>0</v>
      </c>
      <c r="AG14" s="277">
        <f t="shared" si="20"/>
        <v>0</v>
      </c>
      <c r="AH14" s="277">
        <f t="shared" si="65"/>
        <v>0</v>
      </c>
      <c r="AI14" s="277">
        <f t="shared" si="66"/>
        <v>0</v>
      </c>
      <c r="AJ14" s="277">
        <f t="shared" si="67"/>
        <v>0</v>
      </c>
      <c r="AK14" s="277">
        <f t="shared" si="68"/>
        <v>0</v>
      </c>
      <c r="AL14" s="277">
        <f t="shared" si="69"/>
        <v>0</v>
      </c>
      <c r="AM14" s="277">
        <f t="shared" si="70"/>
        <v>0</v>
      </c>
      <c r="AN14" s="277">
        <f t="shared" si="71"/>
        <v>0</v>
      </c>
      <c r="AO14" s="277">
        <f t="shared" si="72"/>
        <v>0</v>
      </c>
      <c r="AP14" s="277">
        <f t="shared" si="21"/>
        <v>0</v>
      </c>
      <c r="AQ14" s="277">
        <f t="shared" si="22"/>
        <v>0</v>
      </c>
      <c r="AR14" s="277">
        <f t="shared" si="23"/>
        <v>0</v>
      </c>
      <c r="AS14" s="277">
        <f t="shared" si="24"/>
        <v>0</v>
      </c>
      <c r="AT14" s="277">
        <f t="shared" si="73"/>
        <v>0</v>
      </c>
      <c r="AU14" s="277">
        <f t="shared" si="74"/>
        <v>0</v>
      </c>
      <c r="AV14" s="277">
        <f t="shared" si="25"/>
        <v>0</v>
      </c>
      <c r="AW14" s="277">
        <f t="shared" si="26"/>
        <v>0</v>
      </c>
      <c r="AX14" s="277">
        <f t="shared" si="27"/>
        <v>0</v>
      </c>
      <c r="AY14" s="277">
        <f t="shared" si="28"/>
        <v>0</v>
      </c>
      <c r="AZ14" s="277">
        <f t="shared" si="29"/>
        <v>0</v>
      </c>
      <c r="BA14" s="277">
        <f t="shared" si="30"/>
        <v>0</v>
      </c>
      <c r="BB14" s="277">
        <f t="shared" si="31"/>
        <v>0</v>
      </c>
      <c r="BC14" s="277">
        <f t="shared" si="32"/>
        <v>0</v>
      </c>
      <c r="BD14" s="277">
        <f t="shared" si="33"/>
        <v>0</v>
      </c>
      <c r="BE14" s="277">
        <f t="shared" si="34"/>
        <v>0</v>
      </c>
      <c r="BF14" s="277">
        <f t="shared" si="35"/>
        <v>0</v>
      </c>
      <c r="BG14" s="277">
        <f t="shared" si="36"/>
        <v>0</v>
      </c>
      <c r="BH14" s="277">
        <f t="shared" si="75"/>
        <v>0</v>
      </c>
      <c r="BI14" s="277">
        <f t="shared" si="76"/>
        <v>0</v>
      </c>
      <c r="BJ14" s="277">
        <f t="shared" si="37"/>
        <v>0</v>
      </c>
      <c r="BK14" s="277">
        <f t="shared" si="38"/>
        <v>0</v>
      </c>
      <c r="BL14" s="277">
        <f t="shared" si="39"/>
        <v>0</v>
      </c>
      <c r="BM14" s="277">
        <f t="shared" si="40"/>
        <v>0</v>
      </c>
      <c r="BN14" s="277">
        <f t="shared" si="41"/>
        <v>0</v>
      </c>
      <c r="BO14" s="277">
        <f t="shared" si="42"/>
        <v>0</v>
      </c>
      <c r="BP14" s="277">
        <f t="shared" si="77"/>
        <v>0</v>
      </c>
      <c r="BQ14" s="277">
        <f t="shared" si="78"/>
        <v>0</v>
      </c>
      <c r="BR14" s="277">
        <f t="shared" si="43"/>
        <v>0</v>
      </c>
      <c r="BS14" s="277">
        <f t="shared" si="44"/>
        <v>0</v>
      </c>
      <c r="BT14" s="277">
        <f t="shared" si="79"/>
        <v>0</v>
      </c>
      <c r="BU14" s="277">
        <f t="shared" si="80"/>
        <v>0</v>
      </c>
      <c r="BV14" s="277">
        <f t="shared" si="81"/>
        <v>0</v>
      </c>
      <c r="BW14" s="277">
        <f t="shared" si="82"/>
        <v>0</v>
      </c>
      <c r="BX14" s="277">
        <f t="shared" si="45"/>
        <v>0</v>
      </c>
      <c r="BY14" s="277">
        <f t="shared" si="46"/>
        <v>0</v>
      </c>
      <c r="BZ14" s="277">
        <f t="shared" si="47"/>
        <v>0</v>
      </c>
      <c r="CA14" s="277">
        <f t="shared" si="48"/>
        <v>0</v>
      </c>
      <c r="CB14" s="277">
        <f t="shared" si="49"/>
        <v>0</v>
      </c>
      <c r="CC14" s="277">
        <f t="shared" si="50"/>
        <v>0</v>
      </c>
      <c r="CD14" s="277">
        <f t="shared" si="83"/>
        <v>0</v>
      </c>
      <c r="CE14" s="277">
        <f t="shared" si="84"/>
        <v>0</v>
      </c>
      <c r="CF14" s="277">
        <f t="shared" si="85"/>
        <v>0</v>
      </c>
      <c r="CG14" s="277">
        <f t="shared" si="86"/>
        <v>0</v>
      </c>
      <c r="CH14" s="277">
        <f t="shared" si="51"/>
        <v>0</v>
      </c>
      <c r="CI14" s="277">
        <f t="shared" si="52"/>
        <v>0</v>
      </c>
      <c r="CJ14" s="277">
        <f t="shared" si="87"/>
        <v>0</v>
      </c>
      <c r="CK14" s="277">
        <f t="shared" si="88"/>
        <v>0</v>
      </c>
      <c r="CL14" s="277">
        <f t="shared" si="53"/>
        <v>0</v>
      </c>
      <c r="CM14" s="277">
        <f t="shared" si="54"/>
        <v>0</v>
      </c>
      <c r="CN14" s="277">
        <f t="shared" si="55"/>
        <v>0</v>
      </c>
      <c r="CO14" s="277">
        <f t="shared" si="56"/>
        <v>0</v>
      </c>
      <c r="CP14" s="277">
        <f t="shared" si="89"/>
        <v>0</v>
      </c>
      <c r="CQ14" s="277">
        <f t="shared" si="90"/>
        <v>0</v>
      </c>
      <c r="CR14" s="277">
        <f t="shared" si="91"/>
        <v>0</v>
      </c>
      <c r="CS14" s="277">
        <f t="shared" si="92"/>
        <v>0</v>
      </c>
      <c r="CT14" s="277">
        <f t="shared" si="57"/>
        <v>0</v>
      </c>
      <c r="CU14" s="277">
        <f t="shared" si="58"/>
        <v>0</v>
      </c>
      <c r="CV14" s="277">
        <f t="shared" si="59"/>
        <v>0</v>
      </c>
      <c r="CW14" s="277">
        <f t="shared" si="60"/>
        <v>0</v>
      </c>
      <c r="CX14" s="277">
        <f t="shared" si="93"/>
        <v>0</v>
      </c>
      <c r="CY14" s="277">
        <f t="shared" si="94"/>
        <v>0</v>
      </c>
      <c r="CZ14" s="277">
        <f t="shared" si="95"/>
        <v>0</v>
      </c>
      <c r="DA14" s="277">
        <f t="shared" si="96"/>
        <v>0</v>
      </c>
    </row>
    <row r="15" spans="1:105" s="274" customFormat="1" ht="15.75" customHeight="1">
      <c r="A15" s="63" t="str">
        <f t="array" ref="A15">IF(C15&lt;&gt;0,SUM(($C$11:C15&lt;&gt;0)*1),"")</f>
        <v/>
      </c>
      <c r="B15" s="275"/>
      <c r="C15" s="275"/>
      <c r="D15" s="275"/>
      <c r="E15" s="365"/>
      <c r="F15" s="326"/>
      <c r="G15" s="328"/>
      <c r="H15" s="328"/>
      <c r="I15" s="63" t="str">
        <f t="shared" si="0"/>
        <v/>
      </c>
      <c r="J15" s="277">
        <f t="shared" si="61"/>
        <v>0</v>
      </c>
      <c r="K15" s="277">
        <f t="shared" si="62"/>
        <v>0</v>
      </c>
      <c r="L15" s="277">
        <f t="shared" si="1"/>
        <v>0</v>
      </c>
      <c r="M15" s="277">
        <f t="shared" si="2"/>
        <v>0</v>
      </c>
      <c r="N15" s="277">
        <f t="shared" si="3"/>
        <v>0</v>
      </c>
      <c r="O15" s="277">
        <f t="shared" si="4"/>
        <v>0</v>
      </c>
      <c r="P15" s="277">
        <f t="shared" si="5"/>
        <v>0</v>
      </c>
      <c r="Q15" s="277">
        <f t="shared" si="6"/>
        <v>0</v>
      </c>
      <c r="R15" s="277">
        <f t="shared" si="7"/>
        <v>0</v>
      </c>
      <c r="S15" s="277">
        <f t="shared" si="8"/>
        <v>0</v>
      </c>
      <c r="T15" s="277">
        <f t="shared" si="9"/>
        <v>0</v>
      </c>
      <c r="U15" s="277">
        <f t="shared" si="10"/>
        <v>0</v>
      </c>
      <c r="V15" s="277">
        <f t="shared" si="11"/>
        <v>0</v>
      </c>
      <c r="W15" s="277">
        <f t="shared" si="12"/>
        <v>0</v>
      </c>
      <c r="X15" s="277">
        <f t="shared" si="13"/>
        <v>0</v>
      </c>
      <c r="Y15" s="277">
        <f t="shared" si="14"/>
        <v>0</v>
      </c>
      <c r="Z15" s="277">
        <f t="shared" si="15"/>
        <v>0</v>
      </c>
      <c r="AA15" s="277">
        <f t="shared" si="16"/>
        <v>0</v>
      </c>
      <c r="AB15" s="277">
        <f t="shared" si="63"/>
        <v>0</v>
      </c>
      <c r="AC15" s="277">
        <f t="shared" si="64"/>
        <v>0</v>
      </c>
      <c r="AD15" s="277">
        <f t="shared" si="17"/>
        <v>0</v>
      </c>
      <c r="AE15" s="277">
        <f t="shared" si="18"/>
        <v>0</v>
      </c>
      <c r="AF15" s="277">
        <f t="shared" si="19"/>
        <v>0</v>
      </c>
      <c r="AG15" s="277">
        <f t="shared" si="20"/>
        <v>0</v>
      </c>
      <c r="AH15" s="277">
        <f t="shared" si="65"/>
        <v>0</v>
      </c>
      <c r="AI15" s="277">
        <f t="shared" si="66"/>
        <v>0</v>
      </c>
      <c r="AJ15" s="277">
        <f t="shared" si="67"/>
        <v>0</v>
      </c>
      <c r="AK15" s="277">
        <f t="shared" si="68"/>
        <v>0</v>
      </c>
      <c r="AL15" s="277">
        <f t="shared" si="69"/>
        <v>0</v>
      </c>
      <c r="AM15" s="277">
        <f t="shared" si="70"/>
        <v>0</v>
      </c>
      <c r="AN15" s="277">
        <f t="shared" si="71"/>
        <v>0</v>
      </c>
      <c r="AO15" s="277">
        <f t="shared" si="72"/>
        <v>0</v>
      </c>
      <c r="AP15" s="277">
        <f t="shared" si="21"/>
        <v>0</v>
      </c>
      <c r="AQ15" s="277">
        <f t="shared" si="22"/>
        <v>0</v>
      </c>
      <c r="AR15" s="277">
        <f t="shared" si="23"/>
        <v>0</v>
      </c>
      <c r="AS15" s="277">
        <f t="shared" si="24"/>
        <v>0</v>
      </c>
      <c r="AT15" s="277">
        <f t="shared" si="73"/>
        <v>0</v>
      </c>
      <c r="AU15" s="277">
        <f t="shared" si="74"/>
        <v>0</v>
      </c>
      <c r="AV15" s="277">
        <f t="shared" si="25"/>
        <v>0</v>
      </c>
      <c r="AW15" s="277">
        <f t="shared" si="26"/>
        <v>0</v>
      </c>
      <c r="AX15" s="277">
        <f t="shared" si="27"/>
        <v>0</v>
      </c>
      <c r="AY15" s="277">
        <f t="shared" si="28"/>
        <v>0</v>
      </c>
      <c r="AZ15" s="277">
        <f t="shared" si="29"/>
        <v>0</v>
      </c>
      <c r="BA15" s="277">
        <f t="shared" si="30"/>
        <v>0</v>
      </c>
      <c r="BB15" s="277">
        <f t="shared" si="31"/>
        <v>0</v>
      </c>
      <c r="BC15" s="277">
        <f t="shared" si="32"/>
        <v>0</v>
      </c>
      <c r="BD15" s="277">
        <f t="shared" si="33"/>
        <v>0</v>
      </c>
      <c r="BE15" s="277">
        <f t="shared" si="34"/>
        <v>0</v>
      </c>
      <c r="BF15" s="277">
        <f t="shared" si="35"/>
        <v>0</v>
      </c>
      <c r="BG15" s="277">
        <f t="shared" si="36"/>
        <v>0</v>
      </c>
      <c r="BH15" s="277">
        <f t="shared" si="75"/>
        <v>0</v>
      </c>
      <c r="BI15" s="277">
        <f t="shared" si="76"/>
        <v>0</v>
      </c>
      <c r="BJ15" s="277">
        <f t="shared" si="37"/>
        <v>0</v>
      </c>
      <c r="BK15" s="277">
        <f t="shared" si="38"/>
        <v>0</v>
      </c>
      <c r="BL15" s="277">
        <f t="shared" si="39"/>
        <v>0</v>
      </c>
      <c r="BM15" s="277">
        <f t="shared" si="40"/>
        <v>0</v>
      </c>
      <c r="BN15" s="277">
        <f t="shared" si="41"/>
        <v>0</v>
      </c>
      <c r="BO15" s="277">
        <f t="shared" si="42"/>
        <v>0</v>
      </c>
      <c r="BP15" s="277">
        <f t="shared" si="77"/>
        <v>0</v>
      </c>
      <c r="BQ15" s="277">
        <f t="shared" si="78"/>
        <v>0</v>
      </c>
      <c r="BR15" s="277">
        <f t="shared" si="43"/>
        <v>0</v>
      </c>
      <c r="BS15" s="277">
        <f t="shared" si="44"/>
        <v>0</v>
      </c>
      <c r="BT15" s="277">
        <f t="shared" si="79"/>
        <v>0</v>
      </c>
      <c r="BU15" s="277">
        <f t="shared" si="80"/>
        <v>0</v>
      </c>
      <c r="BV15" s="277">
        <f t="shared" si="81"/>
        <v>0</v>
      </c>
      <c r="BW15" s="277">
        <f t="shared" si="82"/>
        <v>0</v>
      </c>
      <c r="BX15" s="277">
        <f t="shared" si="45"/>
        <v>0</v>
      </c>
      <c r="BY15" s="277">
        <f t="shared" si="46"/>
        <v>0</v>
      </c>
      <c r="BZ15" s="277">
        <f t="shared" si="47"/>
        <v>0</v>
      </c>
      <c r="CA15" s="277">
        <f t="shared" si="48"/>
        <v>0</v>
      </c>
      <c r="CB15" s="277">
        <f t="shared" si="49"/>
        <v>0</v>
      </c>
      <c r="CC15" s="277">
        <f t="shared" si="50"/>
        <v>0</v>
      </c>
      <c r="CD15" s="277">
        <f t="shared" si="83"/>
        <v>0</v>
      </c>
      <c r="CE15" s="277">
        <f t="shared" si="84"/>
        <v>0</v>
      </c>
      <c r="CF15" s="277">
        <f t="shared" si="85"/>
        <v>0</v>
      </c>
      <c r="CG15" s="277">
        <f t="shared" si="86"/>
        <v>0</v>
      </c>
      <c r="CH15" s="277">
        <f t="shared" si="51"/>
        <v>0</v>
      </c>
      <c r="CI15" s="277">
        <f t="shared" si="52"/>
        <v>0</v>
      </c>
      <c r="CJ15" s="277">
        <f t="shared" si="87"/>
        <v>0</v>
      </c>
      <c r="CK15" s="277">
        <f t="shared" si="88"/>
        <v>0</v>
      </c>
      <c r="CL15" s="277">
        <f t="shared" si="53"/>
        <v>0</v>
      </c>
      <c r="CM15" s="277">
        <f t="shared" si="54"/>
        <v>0</v>
      </c>
      <c r="CN15" s="277">
        <f t="shared" si="55"/>
        <v>0</v>
      </c>
      <c r="CO15" s="277">
        <f t="shared" si="56"/>
        <v>0</v>
      </c>
      <c r="CP15" s="277">
        <f t="shared" si="89"/>
        <v>0</v>
      </c>
      <c r="CQ15" s="277">
        <f t="shared" si="90"/>
        <v>0</v>
      </c>
      <c r="CR15" s="277">
        <f t="shared" si="91"/>
        <v>0</v>
      </c>
      <c r="CS15" s="277">
        <f t="shared" si="92"/>
        <v>0</v>
      </c>
      <c r="CT15" s="277">
        <f t="shared" si="57"/>
        <v>0</v>
      </c>
      <c r="CU15" s="277">
        <f t="shared" si="58"/>
        <v>0</v>
      </c>
      <c r="CV15" s="277">
        <f t="shared" si="59"/>
        <v>0</v>
      </c>
      <c r="CW15" s="277">
        <f t="shared" si="60"/>
        <v>0</v>
      </c>
      <c r="CX15" s="277">
        <f t="shared" si="93"/>
        <v>0</v>
      </c>
      <c r="CY15" s="277">
        <f t="shared" si="94"/>
        <v>0</v>
      </c>
      <c r="CZ15" s="277">
        <f t="shared" si="95"/>
        <v>0</v>
      </c>
      <c r="DA15" s="277">
        <f t="shared" si="96"/>
        <v>0</v>
      </c>
    </row>
    <row r="16" spans="1:105" s="274" customFormat="1" ht="15.75" customHeight="1">
      <c r="A16" s="63" t="str">
        <f t="array" ref="A16">IF(C16&lt;&gt;0,SUM(($C$11:C16&lt;&gt;0)*1),"")</f>
        <v/>
      </c>
      <c r="B16" s="275"/>
      <c r="C16" s="275"/>
      <c r="D16" s="275"/>
      <c r="E16" s="365"/>
      <c r="F16" s="326"/>
      <c r="G16" s="328"/>
      <c r="H16" s="328"/>
      <c r="I16" s="63" t="str">
        <f t="shared" si="0"/>
        <v/>
      </c>
      <c r="J16" s="277">
        <f t="shared" si="61"/>
        <v>0</v>
      </c>
      <c r="K16" s="277">
        <f t="shared" si="62"/>
        <v>0</v>
      </c>
      <c r="L16" s="277">
        <f t="shared" si="1"/>
        <v>0</v>
      </c>
      <c r="M16" s="277">
        <f t="shared" si="2"/>
        <v>0</v>
      </c>
      <c r="N16" s="277">
        <f t="shared" si="3"/>
        <v>0</v>
      </c>
      <c r="O16" s="277">
        <f t="shared" si="4"/>
        <v>0</v>
      </c>
      <c r="P16" s="277">
        <f t="shared" si="5"/>
        <v>0</v>
      </c>
      <c r="Q16" s="277">
        <f t="shared" si="6"/>
        <v>0</v>
      </c>
      <c r="R16" s="277">
        <f t="shared" si="7"/>
        <v>0</v>
      </c>
      <c r="S16" s="277">
        <f t="shared" si="8"/>
        <v>0</v>
      </c>
      <c r="T16" s="277">
        <f t="shared" si="9"/>
        <v>0</v>
      </c>
      <c r="U16" s="277">
        <f t="shared" si="10"/>
        <v>0</v>
      </c>
      <c r="V16" s="277">
        <f t="shared" si="11"/>
        <v>0</v>
      </c>
      <c r="W16" s="277">
        <f t="shared" si="12"/>
        <v>0</v>
      </c>
      <c r="X16" s="277">
        <f t="shared" si="13"/>
        <v>0</v>
      </c>
      <c r="Y16" s="277">
        <f t="shared" si="14"/>
        <v>0</v>
      </c>
      <c r="Z16" s="277">
        <f t="shared" si="15"/>
        <v>0</v>
      </c>
      <c r="AA16" s="277">
        <f t="shared" si="16"/>
        <v>0</v>
      </c>
      <c r="AB16" s="277">
        <f t="shared" si="63"/>
        <v>0</v>
      </c>
      <c r="AC16" s="277">
        <f t="shared" si="64"/>
        <v>0</v>
      </c>
      <c r="AD16" s="277">
        <f t="shared" si="17"/>
        <v>0</v>
      </c>
      <c r="AE16" s="277">
        <f t="shared" si="18"/>
        <v>0</v>
      </c>
      <c r="AF16" s="277">
        <f t="shared" si="19"/>
        <v>0</v>
      </c>
      <c r="AG16" s="277">
        <f t="shared" si="20"/>
        <v>0</v>
      </c>
      <c r="AH16" s="277">
        <f t="shared" si="65"/>
        <v>0</v>
      </c>
      <c r="AI16" s="277">
        <f t="shared" si="66"/>
        <v>0</v>
      </c>
      <c r="AJ16" s="277">
        <f t="shared" si="67"/>
        <v>0</v>
      </c>
      <c r="AK16" s="277">
        <f t="shared" si="68"/>
        <v>0</v>
      </c>
      <c r="AL16" s="277">
        <f t="shared" si="69"/>
        <v>0</v>
      </c>
      <c r="AM16" s="277">
        <f t="shared" si="70"/>
        <v>0</v>
      </c>
      <c r="AN16" s="277">
        <f t="shared" si="71"/>
        <v>0</v>
      </c>
      <c r="AO16" s="277">
        <f t="shared" si="72"/>
        <v>0</v>
      </c>
      <c r="AP16" s="277">
        <f t="shared" si="21"/>
        <v>0</v>
      </c>
      <c r="AQ16" s="277">
        <f t="shared" si="22"/>
        <v>0</v>
      </c>
      <c r="AR16" s="277">
        <f t="shared" si="23"/>
        <v>0</v>
      </c>
      <c r="AS16" s="277">
        <f t="shared" si="24"/>
        <v>0</v>
      </c>
      <c r="AT16" s="277">
        <f t="shared" si="73"/>
        <v>0</v>
      </c>
      <c r="AU16" s="277">
        <f t="shared" si="74"/>
        <v>0</v>
      </c>
      <c r="AV16" s="277">
        <f t="shared" si="25"/>
        <v>0</v>
      </c>
      <c r="AW16" s="277">
        <f t="shared" si="26"/>
        <v>0</v>
      </c>
      <c r="AX16" s="277">
        <f t="shared" si="27"/>
        <v>0</v>
      </c>
      <c r="AY16" s="277">
        <f t="shared" si="28"/>
        <v>0</v>
      </c>
      <c r="AZ16" s="277">
        <f t="shared" si="29"/>
        <v>0</v>
      </c>
      <c r="BA16" s="277">
        <f t="shared" si="30"/>
        <v>0</v>
      </c>
      <c r="BB16" s="277">
        <f t="shared" si="31"/>
        <v>0</v>
      </c>
      <c r="BC16" s="277">
        <f t="shared" si="32"/>
        <v>0</v>
      </c>
      <c r="BD16" s="277">
        <f t="shared" si="33"/>
        <v>0</v>
      </c>
      <c r="BE16" s="277">
        <f t="shared" si="34"/>
        <v>0</v>
      </c>
      <c r="BF16" s="277">
        <f t="shared" si="35"/>
        <v>0</v>
      </c>
      <c r="BG16" s="277">
        <f t="shared" si="36"/>
        <v>0</v>
      </c>
      <c r="BH16" s="277">
        <f t="shared" si="75"/>
        <v>0</v>
      </c>
      <c r="BI16" s="277">
        <f t="shared" si="76"/>
        <v>0</v>
      </c>
      <c r="BJ16" s="277">
        <f t="shared" si="37"/>
        <v>0</v>
      </c>
      <c r="BK16" s="277">
        <f t="shared" si="38"/>
        <v>0</v>
      </c>
      <c r="BL16" s="277">
        <f t="shared" si="39"/>
        <v>0</v>
      </c>
      <c r="BM16" s="277">
        <f t="shared" si="40"/>
        <v>0</v>
      </c>
      <c r="BN16" s="277">
        <f t="shared" si="41"/>
        <v>0</v>
      </c>
      <c r="BO16" s="277">
        <f t="shared" si="42"/>
        <v>0</v>
      </c>
      <c r="BP16" s="277">
        <f t="shared" si="77"/>
        <v>0</v>
      </c>
      <c r="BQ16" s="277">
        <f t="shared" si="78"/>
        <v>0</v>
      </c>
      <c r="BR16" s="277">
        <f t="shared" si="43"/>
        <v>0</v>
      </c>
      <c r="BS16" s="277">
        <f t="shared" si="44"/>
        <v>0</v>
      </c>
      <c r="BT16" s="277">
        <f t="shared" si="79"/>
        <v>0</v>
      </c>
      <c r="BU16" s="277">
        <f t="shared" si="80"/>
        <v>0</v>
      </c>
      <c r="BV16" s="277">
        <f t="shared" si="81"/>
        <v>0</v>
      </c>
      <c r="BW16" s="277">
        <f t="shared" si="82"/>
        <v>0</v>
      </c>
      <c r="BX16" s="277">
        <f t="shared" si="45"/>
        <v>0</v>
      </c>
      <c r="BY16" s="277">
        <f t="shared" si="46"/>
        <v>0</v>
      </c>
      <c r="BZ16" s="277">
        <f t="shared" si="47"/>
        <v>0</v>
      </c>
      <c r="CA16" s="277">
        <f t="shared" si="48"/>
        <v>0</v>
      </c>
      <c r="CB16" s="277">
        <f t="shared" si="49"/>
        <v>0</v>
      </c>
      <c r="CC16" s="277">
        <f t="shared" si="50"/>
        <v>0</v>
      </c>
      <c r="CD16" s="277">
        <f t="shared" si="83"/>
        <v>0</v>
      </c>
      <c r="CE16" s="277">
        <f t="shared" si="84"/>
        <v>0</v>
      </c>
      <c r="CF16" s="277">
        <f t="shared" si="85"/>
        <v>0</v>
      </c>
      <c r="CG16" s="277">
        <f t="shared" si="86"/>
        <v>0</v>
      </c>
      <c r="CH16" s="277">
        <f t="shared" si="51"/>
        <v>0</v>
      </c>
      <c r="CI16" s="277">
        <f t="shared" si="52"/>
        <v>0</v>
      </c>
      <c r="CJ16" s="277">
        <f t="shared" si="87"/>
        <v>0</v>
      </c>
      <c r="CK16" s="277">
        <f t="shared" si="88"/>
        <v>0</v>
      </c>
      <c r="CL16" s="277">
        <f t="shared" si="53"/>
        <v>0</v>
      </c>
      <c r="CM16" s="277">
        <f t="shared" si="54"/>
        <v>0</v>
      </c>
      <c r="CN16" s="277">
        <f t="shared" si="55"/>
        <v>0</v>
      </c>
      <c r="CO16" s="277">
        <f t="shared" si="56"/>
        <v>0</v>
      </c>
      <c r="CP16" s="277">
        <f t="shared" si="89"/>
        <v>0</v>
      </c>
      <c r="CQ16" s="277">
        <f t="shared" si="90"/>
        <v>0</v>
      </c>
      <c r="CR16" s="277">
        <f t="shared" si="91"/>
        <v>0</v>
      </c>
      <c r="CS16" s="277">
        <f t="shared" si="92"/>
        <v>0</v>
      </c>
      <c r="CT16" s="277">
        <f t="shared" si="57"/>
        <v>0</v>
      </c>
      <c r="CU16" s="277">
        <f t="shared" si="58"/>
        <v>0</v>
      </c>
      <c r="CV16" s="277">
        <f t="shared" si="59"/>
        <v>0</v>
      </c>
      <c r="CW16" s="277">
        <f t="shared" si="60"/>
        <v>0</v>
      </c>
      <c r="CX16" s="277">
        <f t="shared" si="93"/>
        <v>0</v>
      </c>
      <c r="CY16" s="277">
        <f t="shared" si="94"/>
        <v>0</v>
      </c>
      <c r="CZ16" s="277">
        <f t="shared" si="95"/>
        <v>0</v>
      </c>
      <c r="DA16" s="277">
        <f t="shared" si="96"/>
        <v>0</v>
      </c>
    </row>
    <row r="17" spans="1:105" s="274" customFormat="1" ht="15.75" customHeight="1">
      <c r="A17" s="63" t="str">
        <f t="array" ref="A17">IF(C17&lt;&gt;0,SUM(($C$11:C17&lt;&gt;0)*1),"")</f>
        <v/>
      </c>
      <c r="B17" s="275"/>
      <c r="C17" s="275"/>
      <c r="D17" s="275"/>
      <c r="E17" s="365"/>
      <c r="F17" s="326"/>
      <c r="G17" s="328"/>
      <c r="H17" s="328"/>
      <c r="I17" s="63" t="str">
        <f t="shared" si="0"/>
        <v/>
      </c>
      <c r="J17" s="277">
        <f t="shared" si="61"/>
        <v>0</v>
      </c>
      <c r="K17" s="277">
        <f t="shared" si="62"/>
        <v>0</v>
      </c>
      <c r="L17" s="277">
        <f t="shared" si="1"/>
        <v>0</v>
      </c>
      <c r="M17" s="277">
        <f t="shared" si="2"/>
        <v>0</v>
      </c>
      <c r="N17" s="277">
        <f t="shared" si="3"/>
        <v>0</v>
      </c>
      <c r="O17" s="277">
        <f t="shared" si="4"/>
        <v>0</v>
      </c>
      <c r="P17" s="277">
        <f t="shared" si="5"/>
        <v>0</v>
      </c>
      <c r="Q17" s="277">
        <f t="shared" si="6"/>
        <v>0</v>
      </c>
      <c r="R17" s="277">
        <f t="shared" si="7"/>
        <v>0</v>
      </c>
      <c r="S17" s="277">
        <f t="shared" si="8"/>
        <v>0</v>
      </c>
      <c r="T17" s="277">
        <f t="shared" si="9"/>
        <v>0</v>
      </c>
      <c r="U17" s="277">
        <f t="shared" si="10"/>
        <v>0</v>
      </c>
      <c r="V17" s="277">
        <f t="shared" si="11"/>
        <v>0</v>
      </c>
      <c r="W17" s="277">
        <f t="shared" si="12"/>
        <v>0</v>
      </c>
      <c r="X17" s="277">
        <f t="shared" si="13"/>
        <v>0</v>
      </c>
      <c r="Y17" s="277">
        <f t="shared" si="14"/>
        <v>0</v>
      </c>
      <c r="Z17" s="277">
        <f t="shared" si="15"/>
        <v>0</v>
      </c>
      <c r="AA17" s="277">
        <f t="shared" si="16"/>
        <v>0</v>
      </c>
      <c r="AB17" s="277">
        <f t="shared" si="63"/>
        <v>0</v>
      </c>
      <c r="AC17" s="277">
        <f t="shared" si="64"/>
        <v>0</v>
      </c>
      <c r="AD17" s="277">
        <f t="shared" si="17"/>
        <v>0</v>
      </c>
      <c r="AE17" s="277">
        <f t="shared" si="18"/>
        <v>0</v>
      </c>
      <c r="AF17" s="277">
        <f t="shared" si="19"/>
        <v>0</v>
      </c>
      <c r="AG17" s="277">
        <f t="shared" si="20"/>
        <v>0</v>
      </c>
      <c r="AH17" s="277">
        <f t="shared" si="65"/>
        <v>0</v>
      </c>
      <c r="AI17" s="277">
        <f t="shared" si="66"/>
        <v>0</v>
      </c>
      <c r="AJ17" s="277">
        <f t="shared" si="67"/>
        <v>0</v>
      </c>
      <c r="AK17" s="277">
        <f t="shared" si="68"/>
        <v>0</v>
      </c>
      <c r="AL17" s="277">
        <f t="shared" si="69"/>
        <v>0</v>
      </c>
      <c r="AM17" s="277">
        <f t="shared" si="70"/>
        <v>0</v>
      </c>
      <c r="AN17" s="277">
        <f t="shared" si="71"/>
        <v>0</v>
      </c>
      <c r="AO17" s="277">
        <f t="shared" si="72"/>
        <v>0</v>
      </c>
      <c r="AP17" s="277">
        <f t="shared" si="21"/>
        <v>0</v>
      </c>
      <c r="AQ17" s="277">
        <f t="shared" si="22"/>
        <v>0</v>
      </c>
      <c r="AR17" s="277">
        <f t="shared" si="23"/>
        <v>0</v>
      </c>
      <c r="AS17" s="277">
        <f t="shared" si="24"/>
        <v>0</v>
      </c>
      <c r="AT17" s="277">
        <f t="shared" si="73"/>
        <v>0</v>
      </c>
      <c r="AU17" s="277">
        <f t="shared" si="74"/>
        <v>0</v>
      </c>
      <c r="AV17" s="277">
        <f t="shared" si="25"/>
        <v>0</v>
      </c>
      <c r="AW17" s="277">
        <f t="shared" si="26"/>
        <v>0</v>
      </c>
      <c r="AX17" s="277">
        <f t="shared" si="27"/>
        <v>0</v>
      </c>
      <c r="AY17" s="277">
        <f t="shared" si="28"/>
        <v>0</v>
      </c>
      <c r="AZ17" s="277">
        <f t="shared" si="29"/>
        <v>0</v>
      </c>
      <c r="BA17" s="277">
        <f t="shared" si="30"/>
        <v>0</v>
      </c>
      <c r="BB17" s="277">
        <f t="shared" si="31"/>
        <v>0</v>
      </c>
      <c r="BC17" s="277">
        <f t="shared" si="32"/>
        <v>0</v>
      </c>
      <c r="BD17" s="277">
        <f t="shared" si="33"/>
        <v>0</v>
      </c>
      <c r="BE17" s="277">
        <f t="shared" si="34"/>
        <v>0</v>
      </c>
      <c r="BF17" s="277">
        <f t="shared" si="35"/>
        <v>0</v>
      </c>
      <c r="BG17" s="277">
        <f t="shared" si="36"/>
        <v>0</v>
      </c>
      <c r="BH17" s="277">
        <f t="shared" si="75"/>
        <v>0</v>
      </c>
      <c r="BI17" s="277">
        <f t="shared" si="76"/>
        <v>0</v>
      </c>
      <c r="BJ17" s="277">
        <f t="shared" si="37"/>
        <v>0</v>
      </c>
      <c r="BK17" s="277">
        <f t="shared" si="38"/>
        <v>0</v>
      </c>
      <c r="BL17" s="277">
        <f t="shared" si="39"/>
        <v>0</v>
      </c>
      <c r="BM17" s="277">
        <f t="shared" si="40"/>
        <v>0</v>
      </c>
      <c r="BN17" s="277">
        <f t="shared" si="41"/>
        <v>0</v>
      </c>
      <c r="BO17" s="277">
        <f t="shared" si="42"/>
        <v>0</v>
      </c>
      <c r="BP17" s="277">
        <f t="shared" si="77"/>
        <v>0</v>
      </c>
      <c r="BQ17" s="277">
        <f t="shared" si="78"/>
        <v>0</v>
      </c>
      <c r="BR17" s="277">
        <f t="shared" si="43"/>
        <v>0</v>
      </c>
      <c r="BS17" s="277">
        <f t="shared" si="44"/>
        <v>0</v>
      </c>
      <c r="BT17" s="277">
        <f t="shared" si="79"/>
        <v>0</v>
      </c>
      <c r="BU17" s="277">
        <f t="shared" si="80"/>
        <v>0</v>
      </c>
      <c r="BV17" s="277">
        <f t="shared" si="81"/>
        <v>0</v>
      </c>
      <c r="BW17" s="277">
        <f t="shared" si="82"/>
        <v>0</v>
      </c>
      <c r="BX17" s="277">
        <f t="shared" si="45"/>
        <v>0</v>
      </c>
      <c r="BY17" s="277">
        <f t="shared" si="46"/>
        <v>0</v>
      </c>
      <c r="BZ17" s="277">
        <f t="shared" si="47"/>
        <v>0</v>
      </c>
      <c r="CA17" s="277">
        <f t="shared" si="48"/>
        <v>0</v>
      </c>
      <c r="CB17" s="277">
        <f t="shared" si="49"/>
        <v>0</v>
      </c>
      <c r="CC17" s="277">
        <f t="shared" si="50"/>
        <v>0</v>
      </c>
      <c r="CD17" s="277">
        <f t="shared" si="83"/>
        <v>0</v>
      </c>
      <c r="CE17" s="277">
        <f t="shared" si="84"/>
        <v>0</v>
      </c>
      <c r="CF17" s="277">
        <f t="shared" si="85"/>
        <v>0</v>
      </c>
      <c r="CG17" s="277">
        <f t="shared" si="86"/>
        <v>0</v>
      </c>
      <c r="CH17" s="277">
        <f t="shared" si="51"/>
        <v>0</v>
      </c>
      <c r="CI17" s="277">
        <f t="shared" si="52"/>
        <v>0</v>
      </c>
      <c r="CJ17" s="277">
        <f t="shared" si="87"/>
        <v>0</v>
      </c>
      <c r="CK17" s="277">
        <f t="shared" si="88"/>
        <v>0</v>
      </c>
      <c r="CL17" s="277">
        <f t="shared" si="53"/>
        <v>0</v>
      </c>
      <c r="CM17" s="277">
        <f t="shared" si="54"/>
        <v>0</v>
      </c>
      <c r="CN17" s="277">
        <f t="shared" si="55"/>
        <v>0</v>
      </c>
      <c r="CO17" s="277">
        <f t="shared" si="56"/>
        <v>0</v>
      </c>
      <c r="CP17" s="277">
        <f t="shared" si="89"/>
        <v>0</v>
      </c>
      <c r="CQ17" s="277">
        <f t="shared" si="90"/>
        <v>0</v>
      </c>
      <c r="CR17" s="277">
        <f t="shared" si="91"/>
        <v>0</v>
      </c>
      <c r="CS17" s="277">
        <f t="shared" si="92"/>
        <v>0</v>
      </c>
      <c r="CT17" s="277">
        <f t="shared" si="57"/>
        <v>0</v>
      </c>
      <c r="CU17" s="277">
        <f t="shared" si="58"/>
        <v>0</v>
      </c>
      <c r="CV17" s="277">
        <f t="shared" si="59"/>
        <v>0</v>
      </c>
      <c r="CW17" s="277">
        <f t="shared" si="60"/>
        <v>0</v>
      </c>
      <c r="CX17" s="277">
        <f t="shared" si="93"/>
        <v>0</v>
      </c>
      <c r="CY17" s="277">
        <f t="shared" si="94"/>
        <v>0</v>
      </c>
      <c r="CZ17" s="277">
        <f t="shared" si="95"/>
        <v>0</v>
      </c>
      <c r="DA17" s="277">
        <f t="shared" si="96"/>
        <v>0</v>
      </c>
    </row>
    <row r="18" spans="1:105" s="274" customFormat="1" ht="15.75" customHeight="1">
      <c r="A18" s="63" t="str">
        <f t="array" ref="A18">IF(C18&lt;&gt;0,SUM(($C$11:C18&lt;&gt;0)*1),"")</f>
        <v/>
      </c>
      <c r="B18" s="275"/>
      <c r="C18" s="275"/>
      <c r="D18" s="275"/>
      <c r="E18" s="365"/>
      <c r="F18" s="326"/>
      <c r="G18" s="328"/>
      <c r="H18" s="328"/>
      <c r="I18" s="63" t="str">
        <f t="shared" si="0"/>
        <v/>
      </c>
      <c r="J18" s="277">
        <f t="shared" si="61"/>
        <v>0</v>
      </c>
      <c r="K18" s="277">
        <f t="shared" si="62"/>
        <v>0</v>
      </c>
      <c r="L18" s="277">
        <f t="shared" si="1"/>
        <v>0</v>
      </c>
      <c r="M18" s="277">
        <f t="shared" si="2"/>
        <v>0</v>
      </c>
      <c r="N18" s="277">
        <f t="shared" si="3"/>
        <v>0</v>
      </c>
      <c r="O18" s="277">
        <f t="shared" si="4"/>
        <v>0</v>
      </c>
      <c r="P18" s="277">
        <f t="shared" si="5"/>
        <v>0</v>
      </c>
      <c r="Q18" s="277">
        <f t="shared" si="6"/>
        <v>0</v>
      </c>
      <c r="R18" s="277">
        <f t="shared" si="7"/>
        <v>0</v>
      </c>
      <c r="S18" s="277">
        <f t="shared" si="8"/>
        <v>0</v>
      </c>
      <c r="T18" s="277">
        <f t="shared" si="9"/>
        <v>0</v>
      </c>
      <c r="U18" s="277">
        <f t="shared" si="10"/>
        <v>0</v>
      </c>
      <c r="V18" s="277">
        <f t="shared" si="11"/>
        <v>0</v>
      </c>
      <c r="W18" s="277">
        <f t="shared" si="12"/>
        <v>0</v>
      </c>
      <c r="X18" s="277">
        <f t="shared" si="13"/>
        <v>0</v>
      </c>
      <c r="Y18" s="277">
        <f t="shared" si="14"/>
        <v>0</v>
      </c>
      <c r="Z18" s="277">
        <f t="shared" si="15"/>
        <v>0</v>
      </c>
      <c r="AA18" s="277">
        <f t="shared" si="16"/>
        <v>0</v>
      </c>
      <c r="AB18" s="277">
        <f t="shared" si="63"/>
        <v>0</v>
      </c>
      <c r="AC18" s="277">
        <f t="shared" si="64"/>
        <v>0</v>
      </c>
      <c r="AD18" s="277">
        <f t="shared" si="17"/>
        <v>0</v>
      </c>
      <c r="AE18" s="277">
        <f t="shared" si="18"/>
        <v>0</v>
      </c>
      <c r="AF18" s="277">
        <f t="shared" si="19"/>
        <v>0</v>
      </c>
      <c r="AG18" s="277">
        <f t="shared" si="20"/>
        <v>0</v>
      </c>
      <c r="AH18" s="277">
        <f t="shared" si="65"/>
        <v>0</v>
      </c>
      <c r="AI18" s="277">
        <f t="shared" si="66"/>
        <v>0</v>
      </c>
      <c r="AJ18" s="277">
        <f t="shared" si="67"/>
        <v>0</v>
      </c>
      <c r="AK18" s="277">
        <f t="shared" si="68"/>
        <v>0</v>
      </c>
      <c r="AL18" s="277">
        <f t="shared" si="69"/>
        <v>0</v>
      </c>
      <c r="AM18" s="277">
        <f t="shared" si="70"/>
        <v>0</v>
      </c>
      <c r="AN18" s="277">
        <f t="shared" si="71"/>
        <v>0</v>
      </c>
      <c r="AO18" s="277">
        <f t="shared" si="72"/>
        <v>0</v>
      </c>
      <c r="AP18" s="277">
        <f t="shared" si="21"/>
        <v>0</v>
      </c>
      <c r="AQ18" s="277">
        <f t="shared" si="22"/>
        <v>0</v>
      </c>
      <c r="AR18" s="277">
        <f t="shared" si="23"/>
        <v>0</v>
      </c>
      <c r="AS18" s="277">
        <f t="shared" si="24"/>
        <v>0</v>
      </c>
      <c r="AT18" s="277">
        <f t="shared" si="73"/>
        <v>0</v>
      </c>
      <c r="AU18" s="277">
        <f t="shared" si="74"/>
        <v>0</v>
      </c>
      <c r="AV18" s="277">
        <f t="shared" si="25"/>
        <v>0</v>
      </c>
      <c r="AW18" s="277">
        <f t="shared" si="26"/>
        <v>0</v>
      </c>
      <c r="AX18" s="277">
        <f t="shared" si="27"/>
        <v>0</v>
      </c>
      <c r="AY18" s="277">
        <f t="shared" si="28"/>
        <v>0</v>
      </c>
      <c r="AZ18" s="277">
        <f t="shared" si="29"/>
        <v>0</v>
      </c>
      <c r="BA18" s="277">
        <f t="shared" si="30"/>
        <v>0</v>
      </c>
      <c r="BB18" s="277">
        <f t="shared" si="31"/>
        <v>0</v>
      </c>
      <c r="BC18" s="277">
        <f t="shared" si="32"/>
        <v>0</v>
      </c>
      <c r="BD18" s="277">
        <f t="shared" si="33"/>
        <v>0</v>
      </c>
      <c r="BE18" s="277">
        <f t="shared" si="34"/>
        <v>0</v>
      </c>
      <c r="BF18" s="277">
        <f t="shared" si="35"/>
        <v>0</v>
      </c>
      <c r="BG18" s="277">
        <f t="shared" si="36"/>
        <v>0</v>
      </c>
      <c r="BH18" s="277">
        <f t="shared" si="75"/>
        <v>0</v>
      </c>
      <c r="BI18" s="277">
        <f t="shared" si="76"/>
        <v>0</v>
      </c>
      <c r="BJ18" s="277">
        <f t="shared" si="37"/>
        <v>0</v>
      </c>
      <c r="BK18" s="277">
        <f t="shared" si="38"/>
        <v>0</v>
      </c>
      <c r="BL18" s="277">
        <f t="shared" si="39"/>
        <v>0</v>
      </c>
      <c r="BM18" s="277">
        <f t="shared" si="40"/>
        <v>0</v>
      </c>
      <c r="BN18" s="277">
        <f t="shared" si="41"/>
        <v>0</v>
      </c>
      <c r="BO18" s="277">
        <f t="shared" si="42"/>
        <v>0</v>
      </c>
      <c r="BP18" s="277">
        <f t="shared" si="77"/>
        <v>0</v>
      </c>
      <c r="BQ18" s="277">
        <f t="shared" si="78"/>
        <v>0</v>
      </c>
      <c r="BR18" s="277">
        <f t="shared" si="43"/>
        <v>0</v>
      </c>
      <c r="BS18" s="277">
        <f t="shared" si="44"/>
        <v>0</v>
      </c>
      <c r="BT18" s="277">
        <f t="shared" si="79"/>
        <v>0</v>
      </c>
      <c r="BU18" s="277">
        <f t="shared" si="80"/>
        <v>0</v>
      </c>
      <c r="BV18" s="277">
        <f t="shared" si="81"/>
        <v>0</v>
      </c>
      <c r="BW18" s="277">
        <f t="shared" si="82"/>
        <v>0</v>
      </c>
      <c r="BX18" s="277">
        <f t="shared" si="45"/>
        <v>0</v>
      </c>
      <c r="BY18" s="277">
        <f t="shared" si="46"/>
        <v>0</v>
      </c>
      <c r="BZ18" s="277">
        <f t="shared" si="47"/>
        <v>0</v>
      </c>
      <c r="CA18" s="277">
        <f t="shared" si="48"/>
        <v>0</v>
      </c>
      <c r="CB18" s="277">
        <f t="shared" si="49"/>
        <v>0</v>
      </c>
      <c r="CC18" s="277">
        <f t="shared" si="50"/>
        <v>0</v>
      </c>
      <c r="CD18" s="277">
        <f t="shared" si="83"/>
        <v>0</v>
      </c>
      <c r="CE18" s="277">
        <f t="shared" si="84"/>
        <v>0</v>
      </c>
      <c r="CF18" s="277">
        <f t="shared" si="85"/>
        <v>0</v>
      </c>
      <c r="CG18" s="277">
        <f t="shared" si="86"/>
        <v>0</v>
      </c>
      <c r="CH18" s="277">
        <f t="shared" si="51"/>
        <v>0</v>
      </c>
      <c r="CI18" s="277">
        <f t="shared" si="52"/>
        <v>0</v>
      </c>
      <c r="CJ18" s="277">
        <f t="shared" si="87"/>
        <v>0</v>
      </c>
      <c r="CK18" s="277">
        <f t="shared" si="88"/>
        <v>0</v>
      </c>
      <c r="CL18" s="277">
        <f t="shared" si="53"/>
        <v>0</v>
      </c>
      <c r="CM18" s="277">
        <f t="shared" si="54"/>
        <v>0</v>
      </c>
      <c r="CN18" s="277">
        <f t="shared" si="55"/>
        <v>0</v>
      </c>
      <c r="CO18" s="277">
        <f t="shared" si="56"/>
        <v>0</v>
      </c>
      <c r="CP18" s="277">
        <f t="shared" si="89"/>
        <v>0</v>
      </c>
      <c r="CQ18" s="277">
        <f t="shared" si="90"/>
        <v>0</v>
      </c>
      <c r="CR18" s="277">
        <f t="shared" si="91"/>
        <v>0</v>
      </c>
      <c r="CS18" s="277">
        <f t="shared" si="92"/>
        <v>0</v>
      </c>
      <c r="CT18" s="277">
        <f t="shared" si="57"/>
        <v>0</v>
      </c>
      <c r="CU18" s="277">
        <f t="shared" si="58"/>
        <v>0</v>
      </c>
      <c r="CV18" s="277">
        <f t="shared" si="59"/>
        <v>0</v>
      </c>
      <c r="CW18" s="277">
        <f t="shared" si="60"/>
        <v>0</v>
      </c>
      <c r="CX18" s="277">
        <f t="shared" si="93"/>
        <v>0</v>
      </c>
      <c r="CY18" s="277">
        <f t="shared" si="94"/>
        <v>0</v>
      </c>
      <c r="CZ18" s="277">
        <f t="shared" si="95"/>
        <v>0</v>
      </c>
      <c r="DA18" s="277">
        <f t="shared" si="96"/>
        <v>0</v>
      </c>
    </row>
    <row r="19" spans="1:105" s="274" customFormat="1" ht="15.75" customHeight="1">
      <c r="A19" s="63" t="str">
        <f t="array" ref="A19">IF(C19&lt;&gt;0,SUM(($C$11:C19&lt;&gt;0)*1),"")</f>
        <v/>
      </c>
      <c r="B19" s="275"/>
      <c r="C19" s="275"/>
      <c r="D19" s="275"/>
      <c r="E19" s="365"/>
      <c r="F19" s="326"/>
      <c r="G19" s="328"/>
      <c r="H19" s="328"/>
      <c r="I19" s="63" t="str">
        <f t="shared" si="0"/>
        <v/>
      </c>
      <c r="J19" s="277">
        <f t="shared" si="61"/>
        <v>0</v>
      </c>
      <c r="K19" s="277">
        <f t="shared" si="62"/>
        <v>0</v>
      </c>
      <c r="L19" s="277">
        <f t="shared" si="1"/>
        <v>0</v>
      </c>
      <c r="M19" s="277">
        <f t="shared" si="2"/>
        <v>0</v>
      </c>
      <c r="N19" s="277">
        <f t="shared" si="3"/>
        <v>0</v>
      </c>
      <c r="O19" s="277">
        <f t="shared" si="4"/>
        <v>0</v>
      </c>
      <c r="P19" s="277">
        <f t="shared" si="5"/>
        <v>0</v>
      </c>
      <c r="Q19" s="277">
        <f t="shared" si="6"/>
        <v>0</v>
      </c>
      <c r="R19" s="277">
        <f t="shared" si="7"/>
        <v>0</v>
      </c>
      <c r="S19" s="277">
        <f t="shared" si="8"/>
        <v>0</v>
      </c>
      <c r="T19" s="277">
        <f t="shared" si="9"/>
        <v>0</v>
      </c>
      <c r="U19" s="277">
        <f t="shared" si="10"/>
        <v>0</v>
      </c>
      <c r="V19" s="277">
        <f t="shared" si="11"/>
        <v>0</v>
      </c>
      <c r="W19" s="277">
        <f t="shared" si="12"/>
        <v>0</v>
      </c>
      <c r="X19" s="277">
        <f t="shared" si="13"/>
        <v>0</v>
      </c>
      <c r="Y19" s="277">
        <f t="shared" si="14"/>
        <v>0</v>
      </c>
      <c r="Z19" s="277">
        <f t="shared" si="15"/>
        <v>0</v>
      </c>
      <c r="AA19" s="277">
        <f t="shared" si="16"/>
        <v>0</v>
      </c>
      <c r="AB19" s="277">
        <f t="shared" si="63"/>
        <v>0</v>
      </c>
      <c r="AC19" s="277">
        <f t="shared" si="64"/>
        <v>0</v>
      </c>
      <c r="AD19" s="277">
        <f t="shared" si="17"/>
        <v>0</v>
      </c>
      <c r="AE19" s="277">
        <f t="shared" si="18"/>
        <v>0</v>
      </c>
      <c r="AF19" s="277">
        <f t="shared" si="19"/>
        <v>0</v>
      </c>
      <c r="AG19" s="277">
        <f t="shared" si="20"/>
        <v>0</v>
      </c>
      <c r="AH19" s="277">
        <f t="shared" si="65"/>
        <v>0</v>
      </c>
      <c r="AI19" s="277">
        <f t="shared" si="66"/>
        <v>0</v>
      </c>
      <c r="AJ19" s="277">
        <f t="shared" si="67"/>
        <v>0</v>
      </c>
      <c r="AK19" s="277">
        <f t="shared" si="68"/>
        <v>0</v>
      </c>
      <c r="AL19" s="277">
        <f t="shared" si="69"/>
        <v>0</v>
      </c>
      <c r="AM19" s="277">
        <f t="shared" si="70"/>
        <v>0</v>
      </c>
      <c r="AN19" s="277">
        <f t="shared" si="71"/>
        <v>0</v>
      </c>
      <c r="AO19" s="277">
        <f t="shared" si="72"/>
        <v>0</v>
      </c>
      <c r="AP19" s="277">
        <f t="shared" si="21"/>
        <v>0</v>
      </c>
      <c r="AQ19" s="277">
        <f t="shared" si="22"/>
        <v>0</v>
      </c>
      <c r="AR19" s="277">
        <f t="shared" si="23"/>
        <v>0</v>
      </c>
      <c r="AS19" s="277">
        <f t="shared" si="24"/>
        <v>0</v>
      </c>
      <c r="AT19" s="277">
        <f t="shared" si="73"/>
        <v>0</v>
      </c>
      <c r="AU19" s="277">
        <f t="shared" si="74"/>
        <v>0</v>
      </c>
      <c r="AV19" s="277">
        <f t="shared" si="25"/>
        <v>0</v>
      </c>
      <c r="AW19" s="277">
        <f t="shared" si="26"/>
        <v>0</v>
      </c>
      <c r="AX19" s="277">
        <f t="shared" si="27"/>
        <v>0</v>
      </c>
      <c r="AY19" s="277">
        <f t="shared" si="28"/>
        <v>0</v>
      </c>
      <c r="AZ19" s="277">
        <f t="shared" si="29"/>
        <v>0</v>
      </c>
      <c r="BA19" s="277">
        <f t="shared" si="30"/>
        <v>0</v>
      </c>
      <c r="BB19" s="277">
        <f t="shared" si="31"/>
        <v>0</v>
      </c>
      <c r="BC19" s="277">
        <f t="shared" si="32"/>
        <v>0</v>
      </c>
      <c r="BD19" s="277">
        <f t="shared" si="33"/>
        <v>0</v>
      </c>
      <c r="BE19" s="277">
        <f t="shared" si="34"/>
        <v>0</v>
      </c>
      <c r="BF19" s="277">
        <f t="shared" si="35"/>
        <v>0</v>
      </c>
      <c r="BG19" s="277">
        <f t="shared" si="36"/>
        <v>0</v>
      </c>
      <c r="BH19" s="277">
        <f t="shared" si="75"/>
        <v>0</v>
      </c>
      <c r="BI19" s="277">
        <f t="shared" si="76"/>
        <v>0</v>
      </c>
      <c r="BJ19" s="277">
        <f t="shared" si="37"/>
        <v>0</v>
      </c>
      <c r="BK19" s="277">
        <f t="shared" si="38"/>
        <v>0</v>
      </c>
      <c r="BL19" s="277">
        <f t="shared" si="39"/>
        <v>0</v>
      </c>
      <c r="BM19" s="277">
        <f t="shared" si="40"/>
        <v>0</v>
      </c>
      <c r="BN19" s="277">
        <f t="shared" si="41"/>
        <v>0</v>
      </c>
      <c r="BO19" s="277">
        <f t="shared" si="42"/>
        <v>0</v>
      </c>
      <c r="BP19" s="277">
        <f t="shared" si="77"/>
        <v>0</v>
      </c>
      <c r="BQ19" s="277">
        <f t="shared" si="78"/>
        <v>0</v>
      </c>
      <c r="BR19" s="277">
        <f t="shared" si="43"/>
        <v>0</v>
      </c>
      <c r="BS19" s="277">
        <f t="shared" si="44"/>
        <v>0</v>
      </c>
      <c r="BT19" s="277">
        <f t="shared" si="79"/>
        <v>0</v>
      </c>
      <c r="BU19" s="277">
        <f t="shared" si="80"/>
        <v>0</v>
      </c>
      <c r="BV19" s="277">
        <f t="shared" si="81"/>
        <v>0</v>
      </c>
      <c r="BW19" s="277">
        <f t="shared" si="82"/>
        <v>0</v>
      </c>
      <c r="BX19" s="277">
        <f t="shared" si="45"/>
        <v>0</v>
      </c>
      <c r="BY19" s="277">
        <f t="shared" si="46"/>
        <v>0</v>
      </c>
      <c r="BZ19" s="277">
        <f t="shared" si="47"/>
        <v>0</v>
      </c>
      <c r="CA19" s="277">
        <f t="shared" si="48"/>
        <v>0</v>
      </c>
      <c r="CB19" s="277">
        <f t="shared" si="49"/>
        <v>0</v>
      </c>
      <c r="CC19" s="277">
        <f t="shared" si="50"/>
        <v>0</v>
      </c>
      <c r="CD19" s="277">
        <f t="shared" si="83"/>
        <v>0</v>
      </c>
      <c r="CE19" s="277">
        <f t="shared" si="84"/>
        <v>0</v>
      </c>
      <c r="CF19" s="277">
        <f t="shared" si="85"/>
        <v>0</v>
      </c>
      <c r="CG19" s="277">
        <f t="shared" si="86"/>
        <v>0</v>
      </c>
      <c r="CH19" s="277">
        <f t="shared" si="51"/>
        <v>0</v>
      </c>
      <c r="CI19" s="277">
        <f t="shared" si="52"/>
        <v>0</v>
      </c>
      <c r="CJ19" s="277">
        <f t="shared" si="87"/>
        <v>0</v>
      </c>
      <c r="CK19" s="277">
        <f t="shared" si="88"/>
        <v>0</v>
      </c>
      <c r="CL19" s="277">
        <f t="shared" si="53"/>
        <v>0</v>
      </c>
      <c r="CM19" s="277">
        <f t="shared" si="54"/>
        <v>0</v>
      </c>
      <c r="CN19" s="277">
        <f t="shared" si="55"/>
        <v>0</v>
      </c>
      <c r="CO19" s="277">
        <f t="shared" si="56"/>
        <v>0</v>
      </c>
      <c r="CP19" s="277">
        <f t="shared" si="89"/>
        <v>0</v>
      </c>
      <c r="CQ19" s="277">
        <f t="shared" si="90"/>
        <v>0</v>
      </c>
      <c r="CR19" s="277">
        <f t="shared" si="91"/>
        <v>0</v>
      </c>
      <c r="CS19" s="277">
        <f t="shared" si="92"/>
        <v>0</v>
      </c>
      <c r="CT19" s="277">
        <f t="shared" si="57"/>
        <v>0</v>
      </c>
      <c r="CU19" s="277">
        <f t="shared" si="58"/>
        <v>0</v>
      </c>
      <c r="CV19" s="277">
        <f t="shared" si="59"/>
        <v>0</v>
      </c>
      <c r="CW19" s="277">
        <f t="shared" si="60"/>
        <v>0</v>
      </c>
      <c r="CX19" s="277">
        <f t="shared" si="93"/>
        <v>0</v>
      </c>
      <c r="CY19" s="277">
        <f t="shared" si="94"/>
        <v>0</v>
      </c>
      <c r="CZ19" s="277">
        <f t="shared" si="95"/>
        <v>0</v>
      </c>
      <c r="DA19" s="277">
        <f t="shared" si="96"/>
        <v>0</v>
      </c>
    </row>
    <row r="20" spans="1:105" s="274" customFormat="1" ht="15.75" customHeight="1">
      <c r="A20" s="63" t="str">
        <f t="array" ref="A20">IF(C20&lt;&gt;0,SUM(($C$11:C20&lt;&gt;0)*1),"")</f>
        <v/>
      </c>
      <c r="B20" s="275"/>
      <c r="C20" s="275"/>
      <c r="D20" s="275"/>
      <c r="E20" s="365"/>
      <c r="F20" s="326"/>
      <c r="G20" s="328"/>
      <c r="H20" s="328"/>
      <c r="I20" s="63" t="str">
        <f t="shared" si="0"/>
        <v/>
      </c>
      <c r="J20" s="277">
        <f t="shared" si="61"/>
        <v>0</v>
      </c>
      <c r="K20" s="277">
        <f t="shared" si="62"/>
        <v>0</v>
      </c>
      <c r="L20" s="277">
        <f t="shared" si="1"/>
        <v>0</v>
      </c>
      <c r="M20" s="277">
        <f t="shared" si="2"/>
        <v>0</v>
      </c>
      <c r="N20" s="277">
        <f t="shared" si="3"/>
        <v>0</v>
      </c>
      <c r="O20" s="277">
        <f t="shared" si="4"/>
        <v>0</v>
      </c>
      <c r="P20" s="277">
        <f t="shared" si="5"/>
        <v>0</v>
      </c>
      <c r="Q20" s="277">
        <f t="shared" si="6"/>
        <v>0</v>
      </c>
      <c r="R20" s="277">
        <f t="shared" si="7"/>
        <v>0</v>
      </c>
      <c r="S20" s="277">
        <f t="shared" si="8"/>
        <v>0</v>
      </c>
      <c r="T20" s="277">
        <f t="shared" si="9"/>
        <v>0</v>
      </c>
      <c r="U20" s="277">
        <f t="shared" si="10"/>
        <v>0</v>
      </c>
      <c r="V20" s="277">
        <f t="shared" si="11"/>
        <v>0</v>
      </c>
      <c r="W20" s="277">
        <f t="shared" si="12"/>
        <v>0</v>
      </c>
      <c r="X20" s="277">
        <f t="shared" si="13"/>
        <v>0</v>
      </c>
      <c r="Y20" s="277">
        <f t="shared" si="14"/>
        <v>0</v>
      </c>
      <c r="Z20" s="277">
        <f t="shared" si="15"/>
        <v>0</v>
      </c>
      <c r="AA20" s="277">
        <f t="shared" si="16"/>
        <v>0</v>
      </c>
      <c r="AB20" s="277">
        <f t="shared" si="63"/>
        <v>0</v>
      </c>
      <c r="AC20" s="277">
        <f t="shared" si="64"/>
        <v>0</v>
      </c>
      <c r="AD20" s="277">
        <f t="shared" si="17"/>
        <v>0</v>
      </c>
      <c r="AE20" s="277">
        <f t="shared" si="18"/>
        <v>0</v>
      </c>
      <c r="AF20" s="277">
        <f t="shared" si="19"/>
        <v>0</v>
      </c>
      <c r="AG20" s="277">
        <f t="shared" si="20"/>
        <v>0</v>
      </c>
      <c r="AH20" s="277">
        <f t="shared" si="65"/>
        <v>0</v>
      </c>
      <c r="AI20" s="277">
        <f t="shared" si="66"/>
        <v>0</v>
      </c>
      <c r="AJ20" s="277">
        <f t="shared" si="67"/>
        <v>0</v>
      </c>
      <c r="AK20" s="277">
        <f t="shared" si="68"/>
        <v>0</v>
      </c>
      <c r="AL20" s="277">
        <f t="shared" si="69"/>
        <v>0</v>
      </c>
      <c r="AM20" s="277">
        <f t="shared" si="70"/>
        <v>0</v>
      </c>
      <c r="AN20" s="277">
        <f t="shared" si="71"/>
        <v>0</v>
      </c>
      <c r="AO20" s="277">
        <f t="shared" si="72"/>
        <v>0</v>
      </c>
      <c r="AP20" s="277">
        <f t="shared" si="21"/>
        <v>0</v>
      </c>
      <c r="AQ20" s="277">
        <f t="shared" si="22"/>
        <v>0</v>
      </c>
      <c r="AR20" s="277">
        <f t="shared" si="23"/>
        <v>0</v>
      </c>
      <c r="AS20" s="277">
        <f t="shared" si="24"/>
        <v>0</v>
      </c>
      <c r="AT20" s="277">
        <f t="shared" si="73"/>
        <v>0</v>
      </c>
      <c r="AU20" s="277">
        <f t="shared" si="74"/>
        <v>0</v>
      </c>
      <c r="AV20" s="277">
        <f t="shared" si="25"/>
        <v>0</v>
      </c>
      <c r="AW20" s="277">
        <f t="shared" si="26"/>
        <v>0</v>
      </c>
      <c r="AX20" s="277">
        <f t="shared" si="27"/>
        <v>0</v>
      </c>
      <c r="AY20" s="277">
        <f t="shared" si="28"/>
        <v>0</v>
      </c>
      <c r="AZ20" s="277">
        <f t="shared" si="29"/>
        <v>0</v>
      </c>
      <c r="BA20" s="277">
        <f t="shared" si="30"/>
        <v>0</v>
      </c>
      <c r="BB20" s="277">
        <f t="shared" si="31"/>
        <v>0</v>
      </c>
      <c r="BC20" s="277">
        <f t="shared" si="32"/>
        <v>0</v>
      </c>
      <c r="BD20" s="277">
        <f t="shared" si="33"/>
        <v>0</v>
      </c>
      <c r="BE20" s="277">
        <f t="shared" si="34"/>
        <v>0</v>
      </c>
      <c r="BF20" s="277">
        <f t="shared" si="35"/>
        <v>0</v>
      </c>
      <c r="BG20" s="277">
        <f t="shared" si="36"/>
        <v>0</v>
      </c>
      <c r="BH20" s="277">
        <f t="shared" si="75"/>
        <v>0</v>
      </c>
      <c r="BI20" s="277">
        <f t="shared" si="76"/>
        <v>0</v>
      </c>
      <c r="BJ20" s="277">
        <f t="shared" si="37"/>
        <v>0</v>
      </c>
      <c r="BK20" s="277">
        <f t="shared" si="38"/>
        <v>0</v>
      </c>
      <c r="BL20" s="277">
        <f t="shared" si="39"/>
        <v>0</v>
      </c>
      <c r="BM20" s="277">
        <f t="shared" si="40"/>
        <v>0</v>
      </c>
      <c r="BN20" s="277">
        <f t="shared" si="41"/>
        <v>0</v>
      </c>
      <c r="BO20" s="277">
        <f t="shared" si="42"/>
        <v>0</v>
      </c>
      <c r="BP20" s="277">
        <f t="shared" si="77"/>
        <v>0</v>
      </c>
      <c r="BQ20" s="277">
        <f t="shared" si="78"/>
        <v>0</v>
      </c>
      <c r="BR20" s="277">
        <f t="shared" si="43"/>
        <v>0</v>
      </c>
      <c r="BS20" s="277">
        <f t="shared" si="44"/>
        <v>0</v>
      </c>
      <c r="BT20" s="277">
        <f t="shared" si="79"/>
        <v>0</v>
      </c>
      <c r="BU20" s="277">
        <f t="shared" si="80"/>
        <v>0</v>
      </c>
      <c r="BV20" s="277">
        <f t="shared" si="81"/>
        <v>0</v>
      </c>
      <c r="BW20" s="277">
        <f t="shared" si="82"/>
        <v>0</v>
      </c>
      <c r="BX20" s="277">
        <f t="shared" si="45"/>
        <v>0</v>
      </c>
      <c r="BY20" s="277">
        <f t="shared" si="46"/>
        <v>0</v>
      </c>
      <c r="BZ20" s="277">
        <f t="shared" si="47"/>
        <v>0</v>
      </c>
      <c r="CA20" s="277">
        <f t="shared" si="48"/>
        <v>0</v>
      </c>
      <c r="CB20" s="277">
        <f t="shared" si="49"/>
        <v>0</v>
      </c>
      <c r="CC20" s="277">
        <f t="shared" si="50"/>
        <v>0</v>
      </c>
      <c r="CD20" s="277">
        <f t="shared" si="83"/>
        <v>0</v>
      </c>
      <c r="CE20" s="277">
        <f t="shared" si="84"/>
        <v>0</v>
      </c>
      <c r="CF20" s="277">
        <f t="shared" si="85"/>
        <v>0</v>
      </c>
      <c r="CG20" s="277">
        <f t="shared" si="86"/>
        <v>0</v>
      </c>
      <c r="CH20" s="277">
        <f t="shared" si="51"/>
        <v>0</v>
      </c>
      <c r="CI20" s="277">
        <f t="shared" si="52"/>
        <v>0</v>
      </c>
      <c r="CJ20" s="277">
        <f t="shared" si="87"/>
        <v>0</v>
      </c>
      <c r="CK20" s="277">
        <f t="shared" si="88"/>
        <v>0</v>
      </c>
      <c r="CL20" s="277">
        <f t="shared" si="53"/>
        <v>0</v>
      </c>
      <c r="CM20" s="277">
        <f t="shared" si="54"/>
        <v>0</v>
      </c>
      <c r="CN20" s="277">
        <f t="shared" si="55"/>
        <v>0</v>
      </c>
      <c r="CO20" s="277">
        <f t="shared" si="56"/>
        <v>0</v>
      </c>
      <c r="CP20" s="277">
        <f t="shared" si="89"/>
        <v>0</v>
      </c>
      <c r="CQ20" s="277">
        <f t="shared" si="90"/>
        <v>0</v>
      </c>
      <c r="CR20" s="277">
        <f t="shared" si="91"/>
        <v>0</v>
      </c>
      <c r="CS20" s="277">
        <f t="shared" si="92"/>
        <v>0</v>
      </c>
      <c r="CT20" s="277">
        <f t="shared" si="57"/>
        <v>0</v>
      </c>
      <c r="CU20" s="277">
        <f t="shared" si="58"/>
        <v>0</v>
      </c>
      <c r="CV20" s="277">
        <f t="shared" si="59"/>
        <v>0</v>
      </c>
      <c r="CW20" s="277">
        <f t="shared" si="60"/>
        <v>0</v>
      </c>
      <c r="CX20" s="277">
        <f t="shared" si="93"/>
        <v>0</v>
      </c>
      <c r="CY20" s="277">
        <f t="shared" si="94"/>
        <v>0</v>
      </c>
      <c r="CZ20" s="277">
        <f t="shared" si="95"/>
        <v>0</v>
      </c>
      <c r="DA20" s="277">
        <f t="shared" si="96"/>
        <v>0</v>
      </c>
    </row>
    <row r="21" spans="1:105" s="274" customFormat="1" ht="15.75" customHeight="1">
      <c r="A21" s="63" t="str">
        <f t="array" ref="A21">IF(C21&lt;&gt;0,SUM(($C$11:C21&lt;&gt;0)*1),"")</f>
        <v/>
      </c>
      <c r="B21" s="275"/>
      <c r="C21" s="275"/>
      <c r="D21" s="275"/>
      <c r="E21" s="365"/>
      <c r="F21" s="326"/>
      <c r="G21" s="328"/>
      <c r="H21" s="328"/>
      <c r="I21" s="63" t="str">
        <f t="shared" si="0"/>
        <v/>
      </c>
      <c r="J21" s="277">
        <f t="shared" si="61"/>
        <v>0</v>
      </c>
      <c r="K21" s="277">
        <f t="shared" si="62"/>
        <v>0</v>
      </c>
      <c r="L21" s="277">
        <f t="shared" si="1"/>
        <v>0</v>
      </c>
      <c r="M21" s="277">
        <f t="shared" si="2"/>
        <v>0</v>
      </c>
      <c r="N21" s="277">
        <f t="shared" si="3"/>
        <v>0</v>
      </c>
      <c r="O21" s="277">
        <f t="shared" si="4"/>
        <v>0</v>
      </c>
      <c r="P21" s="277">
        <f t="shared" si="5"/>
        <v>0</v>
      </c>
      <c r="Q21" s="277">
        <f t="shared" si="6"/>
        <v>0</v>
      </c>
      <c r="R21" s="277">
        <f t="shared" si="7"/>
        <v>0</v>
      </c>
      <c r="S21" s="277">
        <f t="shared" si="8"/>
        <v>0</v>
      </c>
      <c r="T21" s="277">
        <f t="shared" si="9"/>
        <v>0</v>
      </c>
      <c r="U21" s="277">
        <f t="shared" si="10"/>
        <v>0</v>
      </c>
      <c r="V21" s="277">
        <f t="shared" si="11"/>
        <v>0</v>
      </c>
      <c r="W21" s="277">
        <f t="shared" si="12"/>
        <v>0</v>
      </c>
      <c r="X21" s="277">
        <f t="shared" si="13"/>
        <v>0</v>
      </c>
      <c r="Y21" s="277">
        <f t="shared" si="14"/>
        <v>0</v>
      </c>
      <c r="Z21" s="277">
        <f t="shared" si="15"/>
        <v>0</v>
      </c>
      <c r="AA21" s="277">
        <f t="shared" si="16"/>
        <v>0</v>
      </c>
      <c r="AB21" s="277">
        <f t="shared" si="63"/>
        <v>0</v>
      </c>
      <c r="AC21" s="277">
        <f t="shared" si="64"/>
        <v>0</v>
      </c>
      <c r="AD21" s="277">
        <f t="shared" si="17"/>
        <v>0</v>
      </c>
      <c r="AE21" s="277">
        <f t="shared" si="18"/>
        <v>0</v>
      </c>
      <c r="AF21" s="277">
        <f t="shared" si="19"/>
        <v>0</v>
      </c>
      <c r="AG21" s="277">
        <f t="shared" si="20"/>
        <v>0</v>
      </c>
      <c r="AH21" s="277">
        <f t="shared" si="65"/>
        <v>0</v>
      </c>
      <c r="AI21" s="277">
        <f t="shared" si="66"/>
        <v>0</v>
      </c>
      <c r="AJ21" s="277">
        <f t="shared" si="67"/>
        <v>0</v>
      </c>
      <c r="AK21" s="277">
        <f t="shared" si="68"/>
        <v>0</v>
      </c>
      <c r="AL21" s="277">
        <f t="shared" si="69"/>
        <v>0</v>
      </c>
      <c r="AM21" s="277">
        <f t="shared" si="70"/>
        <v>0</v>
      </c>
      <c r="AN21" s="277">
        <f t="shared" si="71"/>
        <v>0</v>
      </c>
      <c r="AO21" s="277">
        <f t="shared" si="72"/>
        <v>0</v>
      </c>
      <c r="AP21" s="277">
        <f t="shared" si="21"/>
        <v>0</v>
      </c>
      <c r="AQ21" s="277">
        <f t="shared" si="22"/>
        <v>0</v>
      </c>
      <c r="AR21" s="277">
        <f t="shared" si="23"/>
        <v>0</v>
      </c>
      <c r="AS21" s="277">
        <f t="shared" si="24"/>
        <v>0</v>
      </c>
      <c r="AT21" s="277">
        <f t="shared" si="73"/>
        <v>0</v>
      </c>
      <c r="AU21" s="277">
        <f t="shared" si="74"/>
        <v>0</v>
      </c>
      <c r="AV21" s="277">
        <f t="shared" si="25"/>
        <v>0</v>
      </c>
      <c r="AW21" s="277">
        <f t="shared" si="26"/>
        <v>0</v>
      </c>
      <c r="AX21" s="277">
        <f t="shared" si="27"/>
        <v>0</v>
      </c>
      <c r="AY21" s="277">
        <f t="shared" si="28"/>
        <v>0</v>
      </c>
      <c r="AZ21" s="277">
        <f t="shared" si="29"/>
        <v>0</v>
      </c>
      <c r="BA21" s="277">
        <f t="shared" si="30"/>
        <v>0</v>
      </c>
      <c r="BB21" s="277">
        <f t="shared" si="31"/>
        <v>0</v>
      </c>
      <c r="BC21" s="277">
        <f t="shared" si="32"/>
        <v>0</v>
      </c>
      <c r="BD21" s="277">
        <f t="shared" si="33"/>
        <v>0</v>
      </c>
      <c r="BE21" s="277">
        <f t="shared" si="34"/>
        <v>0</v>
      </c>
      <c r="BF21" s="277">
        <f t="shared" si="35"/>
        <v>0</v>
      </c>
      <c r="BG21" s="277">
        <f t="shared" si="36"/>
        <v>0</v>
      </c>
      <c r="BH21" s="277">
        <f t="shared" si="75"/>
        <v>0</v>
      </c>
      <c r="BI21" s="277">
        <f t="shared" si="76"/>
        <v>0</v>
      </c>
      <c r="BJ21" s="277">
        <f t="shared" si="37"/>
        <v>0</v>
      </c>
      <c r="BK21" s="277">
        <f t="shared" si="38"/>
        <v>0</v>
      </c>
      <c r="BL21" s="277">
        <f t="shared" si="39"/>
        <v>0</v>
      </c>
      <c r="BM21" s="277">
        <f t="shared" si="40"/>
        <v>0</v>
      </c>
      <c r="BN21" s="277">
        <f t="shared" si="41"/>
        <v>0</v>
      </c>
      <c r="BO21" s="277">
        <f t="shared" si="42"/>
        <v>0</v>
      </c>
      <c r="BP21" s="277">
        <f t="shared" si="77"/>
        <v>0</v>
      </c>
      <c r="BQ21" s="277">
        <f t="shared" si="78"/>
        <v>0</v>
      </c>
      <c r="BR21" s="277">
        <f t="shared" si="43"/>
        <v>0</v>
      </c>
      <c r="BS21" s="277">
        <f t="shared" si="44"/>
        <v>0</v>
      </c>
      <c r="BT21" s="277">
        <f t="shared" si="79"/>
        <v>0</v>
      </c>
      <c r="BU21" s="277">
        <f t="shared" si="80"/>
        <v>0</v>
      </c>
      <c r="BV21" s="277">
        <f t="shared" si="81"/>
        <v>0</v>
      </c>
      <c r="BW21" s="277">
        <f t="shared" si="82"/>
        <v>0</v>
      </c>
      <c r="BX21" s="277">
        <f t="shared" si="45"/>
        <v>0</v>
      </c>
      <c r="BY21" s="277">
        <f t="shared" si="46"/>
        <v>0</v>
      </c>
      <c r="BZ21" s="277">
        <f t="shared" si="47"/>
        <v>0</v>
      </c>
      <c r="CA21" s="277">
        <f t="shared" si="48"/>
        <v>0</v>
      </c>
      <c r="CB21" s="277">
        <f t="shared" si="49"/>
        <v>0</v>
      </c>
      <c r="CC21" s="277">
        <f t="shared" si="50"/>
        <v>0</v>
      </c>
      <c r="CD21" s="277">
        <f t="shared" si="83"/>
        <v>0</v>
      </c>
      <c r="CE21" s="277">
        <f t="shared" si="84"/>
        <v>0</v>
      </c>
      <c r="CF21" s="277">
        <f t="shared" si="85"/>
        <v>0</v>
      </c>
      <c r="CG21" s="277">
        <f t="shared" si="86"/>
        <v>0</v>
      </c>
      <c r="CH21" s="277">
        <f t="shared" si="51"/>
        <v>0</v>
      </c>
      <c r="CI21" s="277">
        <f t="shared" si="52"/>
        <v>0</v>
      </c>
      <c r="CJ21" s="277">
        <f t="shared" si="87"/>
        <v>0</v>
      </c>
      <c r="CK21" s="277">
        <f t="shared" si="88"/>
        <v>0</v>
      </c>
      <c r="CL21" s="277">
        <f t="shared" si="53"/>
        <v>0</v>
      </c>
      <c r="CM21" s="277">
        <f t="shared" si="54"/>
        <v>0</v>
      </c>
      <c r="CN21" s="277">
        <f t="shared" si="55"/>
        <v>0</v>
      </c>
      <c r="CO21" s="277">
        <f t="shared" si="56"/>
        <v>0</v>
      </c>
      <c r="CP21" s="277">
        <f t="shared" si="89"/>
        <v>0</v>
      </c>
      <c r="CQ21" s="277">
        <f t="shared" si="90"/>
        <v>0</v>
      </c>
      <c r="CR21" s="277">
        <f t="shared" si="91"/>
        <v>0</v>
      </c>
      <c r="CS21" s="277">
        <f t="shared" si="92"/>
        <v>0</v>
      </c>
      <c r="CT21" s="277">
        <f t="shared" si="57"/>
        <v>0</v>
      </c>
      <c r="CU21" s="277">
        <f t="shared" si="58"/>
        <v>0</v>
      </c>
      <c r="CV21" s="277">
        <f t="shared" si="59"/>
        <v>0</v>
      </c>
      <c r="CW21" s="277">
        <f t="shared" si="60"/>
        <v>0</v>
      </c>
      <c r="CX21" s="277">
        <f t="shared" si="93"/>
        <v>0</v>
      </c>
      <c r="CY21" s="277">
        <f t="shared" si="94"/>
        <v>0</v>
      </c>
      <c r="CZ21" s="277">
        <f t="shared" si="95"/>
        <v>0</v>
      </c>
      <c r="DA21" s="277">
        <f t="shared" si="96"/>
        <v>0</v>
      </c>
    </row>
    <row r="22" spans="1:105" s="274" customFormat="1" ht="15.75" customHeight="1">
      <c r="A22" s="63" t="str">
        <f t="array" ref="A22">IF(C22&lt;&gt;0,SUM(($C$11:C22&lt;&gt;0)*1),"")</f>
        <v/>
      </c>
      <c r="B22" s="275"/>
      <c r="C22" s="275"/>
      <c r="D22" s="275"/>
      <c r="E22" s="365"/>
      <c r="F22" s="326"/>
      <c r="G22" s="328"/>
      <c r="H22" s="328"/>
      <c r="I22" s="63" t="str">
        <f t="shared" si="0"/>
        <v/>
      </c>
      <c r="J22" s="277">
        <f t="shared" si="61"/>
        <v>0</v>
      </c>
      <c r="K22" s="277">
        <f t="shared" si="62"/>
        <v>0</v>
      </c>
      <c r="L22" s="277">
        <f t="shared" si="1"/>
        <v>0</v>
      </c>
      <c r="M22" s="277">
        <f t="shared" si="2"/>
        <v>0</v>
      </c>
      <c r="N22" s="277">
        <f t="shared" si="3"/>
        <v>0</v>
      </c>
      <c r="O22" s="277">
        <f t="shared" si="4"/>
        <v>0</v>
      </c>
      <c r="P22" s="277">
        <f t="shared" si="5"/>
        <v>0</v>
      </c>
      <c r="Q22" s="277">
        <f t="shared" si="6"/>
        <v>0</v>
      </c>
      <c r="R22" s="277">
        <f t="shared" si="7"/>
        <v>0</v>
      </c>
      <c r="S22" s="277">
        <f t="shared" si="8"/>
        <v>0</v>
      </c>
      <c r="T22" s="277">
        <f t="shared" si="9"/>
        <v>0</v>
      </c>
      <c r="U22" s="277">
        <f t="shared" si="10"/>
        <v>0</v>
      </c>
      <c r="V22" s="277">
        <f t="shared" si="11"/>
        <v>0</v>
      </c>
      <c r="W22" s="277">
        <f t="shared" si="12"/>
        <v>0</v>
      </c>
      <c r="X22" s="277">
        <f t="shared" si="13"/>
        <v>0</v>
      </c>
      <c r="Y22" s="277">
        <f t="shared" si="14"/>
        <v>0</v>
      </c>
      <c r="Z22" s="277">
        <f t="shared" si="15"/>
        <v>0</v>
      </c>
      <c r="AA22" s="277">
        <f t="shared" si="16"/>
        <v>0</v>
      </c>
      <c r="AB22" s="277">
        <f t="shared" si="63"/>
        <v>0</v>
      </c>
      <c r="AC22" s="277">
        <f t="shared" si="64"/>
        <v>0</v>
      </c>
      <c r="AD22" s="277">
        <f t="shared" si="17"/>
        <v>0</v>
      </c>
      <c r="AE22" s="277">
        <f t="shared" si="18"/>
        <v>0</v>
      </c>
      <c r="AF22" s="277">
        <f t="shared" si="19"/>
        <v>0</v>
      </c>
      <c r="AG22" s="277">
        <f t="shared" si="20"/>
        <v>0</v>
      </c>
      <c r="AH22" s="277">
        <f t="shared" si="65"/>
        <v>0</v>
      </c>
      <c r="AI22" s="277">
        <f t="shared" si="66"/>
        <v>0</v>
      </c>
      <c r="AJ22" s="277">
        <f t="shared" si="67"/>
        <v>0</v>
      </c>
      <c r="AK22" s="277">
        <f t="shared" si="68"/>
        <v>0</v>
      </c>
      <c r="AL22" s="277">
        <f t="shared" si="69"/>
        <v>0</v>
      </c>
      <c r="AM22" s="277">
        <f t="shared" si="70"/>
        <v>0</v>
      </c>
      <c r="AN22" s="277">
        <f t="shared" si="71"/>
        <v>0</v>
      </c>
      <c r="AO22" s="277">
        <f t="shared" si="72"/>
        <v>0</v>
      </c>
      <c r="AP22" s="277">
        <f t="shared" si="21"/>
        <v>0</v>
      </c>
      <c r="AQ22" s="277">
        <f t="shared" si="22"/>
        <v>0</v>
      </c>
      <c r="AR22" s="277">
        <f t="shared" si="23"/>
        <v>0</v>
      </c>
      <c r="AS22" s="277">
        <f t="shared" si="24"/>
        <v>0</v>
      </c>
      <c r="AT22" s="277">
        <f t="shared" si="73"/>
        <v>0</v>
      </c>
      <c r="AU22" s="277">
        <f t="shared" si="74"/>
        <v>0</v>
      </c>
      <c r="AV22" s="277">
        <f t="shared" si="25"/>
        <v>0</v>
      </c>
      <c r="AW22" s="277">
        <f t="shared" si="26"/>
        <v>0</v>
      </c>
      <c r="AX22" s="277">
        <f t="shared" si="27"/>
        <v>0</v>
      </c>
      <c r="AY22" s="277">
        <f t="shared" si="28"/>
        <v>0</v>
      </c>
      <c r="AZ22" s="277">
        <f t="shared" si="29"/>
        <v>0</v>
      </c>
      <c r="BA22" s="277">
        <f t="shared" si="30"/>
        <v>0</v>
      </c>
      <c r="BB22" s="277">
        <f t="shared" si="31"/>
        <v>0</v>
      </c>
      <c r="BC22" s="277">
        <f t="shared" si="32"/>
        <v>0</v>
      </c>
      <c r="BD22" s="277">
        <f t="shared" si="33"/>
        <v>0</v>
      </c>
      <c r="BE22" s="277">
        <f t="shared" si="34"/>
        <v>0</v>
      </c>
      <c r="BF22" s="277">
        <f t="shared" si="35"/>
        <v>0</v>
      </c>
      <c r="BG22" s="277">
        <f t="shared" si="36"/>
        <v>0</v>
      </c>
      <c r="BH22" s="277">
        <f t="shared" si="75"/>
        <v>0</v>
      </c>
      <c r="BI22" s="277">
        <f t="shared" si="76"/>
        <v>0</v>
      </c>
      <c r="BJ22" s="277">
        <f t="shared" si="37"/>
        <v>0</v>
      </c>
      <c r="BK22" s="277">
        <f t="shared" si="38"/>
        <v>0</v>
      </c>
      <c r="BL22" s="277">
        <f t="shared" si="39"/>
        <v>0</v>
      </c>
      <c r="BM22" s="277">
        <f t="shared" si="40"/>
        <v>0</v>
      </c>
      <c r="BN22" s="277">
        <f t="shared" si="41"/>
        <v>0</v>
      </c>
      <c r="BO22" s="277">
        <f t="shared" si="42"/>
        <v>0</v>
      </c>
      <c r="BP22" s="277">
        <f t="shared" si="77"/>
        <v>0</v>
      </c>
      <c r="BQ22" s="277">
        <f t="shared" si="78"/>
        <v>0</v>
      </c>
      <c r="BR22" s="277">
        <f t="shared" si="43"/>
        <v>0</v>
      </c>
      <c r="BS22" s="277">
        <f t="shared" si="44"/>
        <v>0</v>
      </c>
      <c r="BT22" s="277">
        <f t="shared" si="79"/>
        <v>0</v>
      </c>
      <c r="BU22" s="277">
        <f t="shared" si="80"/>
        <v>0</v>
      </c>
      <c r="BV22" s="277">
        <f t="shared" si="81"/>
        <v>0</v>
      </c>
      <c r="BW22" s="277">
        <f t="shared" si="82"/>
        <v>0</v>
      </c>
      <c r="BX22" s="277">
        <f t="shared" si="45"/>
        <v>0</v>
      </c>
      <c r="BY22" s="277">
        <f t="shared" si="46"/>
        <v>0</v>
      </c>
      <c r="BZ22" s="277">
        <f t="shared" si="47"/>
        <v>0</v>
      </c>
      <c r="CA22" s="277">
        <f t="shared" si="48"/>
        <v>0</v>
      </c>
      <c r="CB22" s="277">
        <f t="shared" si="49"/>
        <v>0</v>
      </c>
      <c r="CC22" s="277">
        <f t="shared" si="50"/>
        <v>0</v>
      </c>
      <c r="CD22" s="277">
        <f t="shared" si="83"/>
        <v>0</v>
      </c>
      <c r="CE22" s="277">
        <f t="shared" si="84"/>
        <v>0</v>
      </c>
      <c r="CF22" s="277">
        <f t="shared" si="85"/>
        <v>0</v>
      </c>
      <c r="CG22" s="277">
        <f t="shared" si="86"/>
        <v>0</v>
      </c>
      <c r="CH22" s="277">
        <f t="shared" si="51"/>
        <v>0</v>
      </c>
      <c r="CI22" s="277">
        <f t="shared" si="52"/>
        <v>0</v>
      </c>
      <c r="CJ22" s="277">
        <f t="shared" si="87"/>
        <v>0</v>
      </c>
      <c r="CK22" s="277">
        <f t="shared" si="88"/>
        <v>0</v>
      </c>
      <c r="CL22" s="277">
        <f t="shared" si="53"/>
        <v>0</v>
      </c>
      <c r="CM22" s="277">
        <f t="shared" si="54"/>
        <v>0</v>
      </c>
      <c r="CN22" s="277">
        <f t="shared" si="55"/>
        <v>0</v>
      </c>
      <c r="CO22" s="277">
        <f t="shared" si="56"/>
        <v>0</v>
      </c>
      <c r="CP22" s="277">
        <f t="shared" si="89"/>
        <v>0</v>
      </c>
      <c r="CQ22" s="277">
        <f t="shared" si="90"/>
        <v>0</v>
      </c>
      <c r="CR22" s="277">
        <f t="shared" si="91"/>
        <v>0</v>
      </c>
      <c r="CS22" s="277">
        <f t="shared" si="92"/>
        <v>0</v>
      </c>
      <c r="CT22" s="277">
        <f t="shared" si="57"/>
        <v>0</v>
      </c>
      <c r="CU22" s="277">
        <f t="shared" si="58"/>
        <v>0</v>
      </c>
      <c r="CV22" s="277">
        <f t="shared" si="59"/>
        <v>0</v>
      </c>
      <c r="CW22" s="277">
        <f t="shared" si="60"/>
        <v>0</v>
      </c>
      <c r="CX22" s="277">
        <f t="shared" si="93"/>
        <v>0</v>
      </c>
      <c r="CY22" s="277">
        <f t="shared" si="94"/>
        <v>0</v>
      </c>
      <c r="CZ22" s="277">
        <f t="shared" si="95"/>
        <v>0</v>
      </c>
      <c r="DA22" s="277">
        <f t="shared" si="96"/>
        <v>0</v>
      </c>
    </row>
    <row r="23" spans="1:105" s="274" customFormat="1" ht="15.75" customHeight="1">
      <c r="A23" s="63" t="str">
        <f t="array" ref="A23">IF(C23&lt;&gt;0,SUM(($C$11:C23&lt;&gt;0)*1),"")</f>
        <v/>
      </c>
      <c r="B23" s="275"/>
      <c r="C23" s="275"/>
      <c r="D23" s="275"/>
      <c r="E23" s="365"/>
      <c r="F23" s="326"/>
      <c r="G23" s="328"/>
      <c r="H23" s="328"/>
      <c r="I23" s="63" t="str">
        <f t="shared" si="0"/>
        <v/>
      </c>
      <c r="J23" s="277">
        <f t="shared" si="61"/>
        <v>0</v>
      </c>
      <c r="K23" s="277">
        <f t="shared" si="62"/>
        <v>0</v>
      </c>
      <c r="L23" s="277">
        <f t="shared" si="1"/>
        <v>0</v>
      </c>
      <c r="M23" s="277">
        <f t="shared" si="2"/>
        <v>0</v>
      </c>
      <c r="N23" s="277">
        <f t="shared" si="3"/>
        <v>0</v>
      </c>
      <c r="O23" s="277">
        <f t="shared" si="4"/>
        <v>0</v>
      </c>
      <c r="P23" s="277">
        <f t="shared" si="5"/>
        <v>0</v>
      </c>
      <c r="Q23" s="277">
        <f t="shared" si="6"/>
        <v>0</v>
      </c>
      <c r="R23" s="277">
        <f t="shared" si="7"/>
        <v>0</v>
      </c>
      <c r="S23" s="277">
        <f t="shared" si="8"/>
        <v>0</v>
      </c>
      <c r="T23" s="277">
        <f t="shared" si="9"/>
        <v>0</v>
      </c>
      <c r="U23" s="277">
        <f t="shared" si="10"/>
        <v>0</v>
      </c>
      <c r="V23" s="277">
        <f t="shared" si="11"/>
        <v>0</v>
      </c>
      <c r="W23" s="277">
        <f t="shared" si="12"/>
        <v>0</v>
      </c>
      <c r="X23" s="277">
        <f t="shared" si="13"/>
        <v>0</v>
      </c>
      <c r="Y23" s="277">
        <f t="shared" si="14"/>
        <v>0</v>
      </c>
      <c r="Z23" s="277">
        <f t="shared" si="15"/>
        <v>0</v>
      </c>
      <c r="AA23" s="277">
        <f t="shared" si="16"/>
        <v>0</v>
      </c>
      <c r="AB23" s="277">
        <f t="shared" si="63"/>
        <v>0</v>
      </c>
      <c r="AC23" s="277">
        <f t="shared" si="64"/>
        <v>0</v>
      </c>
      <c r="AD23" s="277">
        <f t="shared" si="17"/>
        <v>0</v>
      </c>
      <c r="AE23" s="277">
        <f t="shared" si="18"/>
        <v>0</v>
      </c>
      <c r="AF23" s="277">
        <f t="shared" si="19"/>
        <v>0</v>
      </c>
      <c r="AG23" s="277">
        <f t="shared" si="20"/>
        <v>0</v>
      </c>
      <c r="AH23" s="277">
        <f t="shared" si="65"/>
        <v>0</v>
      </c>
      <c r="AI23" s="277">
        <f t="shared" si="66"/>
        <v>0</v>
      </c>
      <c r="AJ23" s="277">
        <f t="shared" si="67"/>
        <v>0</v>
      </c>
      <c r="AK23" s="277">
        <f t="shared" si="68"/>
        <v>0</v>
      </c>
      <c r="AL23" s="277">
        <f t="shared" si="69"/>
        <v>0</v>
      </c>
      <c r="AM23" s="277">
        <f t="shared" si="70"/>
        <v>0</v>
      </c>
      <c r="AN23" s="277">
        <f t="shared" si="71"/>
        <v>0</v>
      </c>
      <c r="AO23" s="277">
        <f t="shared" si="72"/>
        <v>0</v>
      </c>
      <c r="AP23" s="277">
        <f t="shared" si="21"/>
        <v>0</v>
      </c>
      <c r="AQ23" s="277">
        <f t="shared" si="22"/>
        <v>0</v>
      </c>
      <c r="AR23" s="277">
        <f t="shared" si="23"/>
        <v>0</v>
      </c>
      <c r="AS23" s="277">
        <f t="shared" si="24"/>
        <v>0</v>
      </c>
      <c r="AT23" s="277">
        <f t="shared" si="73"/>
        <v>0</v>
      </c>
      <c r="AU23" s="277">
        <f t="shared" si="74"/>
        <v>0</v>
      </c>
      <c r="AV23" s="277">
        <f t="shared" si="25"/>
        <v>0</v>
      </c>
      <c r="AW23" s="277">
        <f t="shared" si="26"/>
        <v>0</v>
      </c>
      <c r="AX23" s="277">
        <f t="shared" si="27"/>
        <v>0</v>
      </c>
      <c r="AY23" s="277">
        <f t="shared" si="28"/>
        <v>0</v>
      </c>
      <c r="AZ23" s="277">
        <f t="shared" si="29"/>
        <v>0</v>
      </c>
      <c r="BA23" s="277">
        <f t="shared" si="30"/>
        <v>0</v>
      </c>
      <c r="BB23" s="277">
        <f t="shared" si="31"/>
        <v>0</v>
      </c>
      <c r="BC23" s="277">
        <f t="shared" si="32"/>
        <v>0</v>
      </c>
      <c r="BD23" s="277">
        <f t="shared" si="33"/>
        <v>0</v>
      </c>
      <c r="BE23" s="277">
        <f t="shared" si="34"/>
        <v>0</v>
      </c>
      <c r="BF23" s="277">
        <f t="shared" si="35"/>
        <v>0</v>
      </c>
      <c r="BG23" s="277">
        <f t="shared" si="36"/>
        <v>0</v>
      </c>
      <c r="BH23" s="277">
        <f t="shared" si="75"/>
        <v>0</v>
      </c>
      <c r="BI23" s="277">
        <f t="shared" si="76"/>
        <v>0</v>
      </c>
      <c r="BJ23" s="277">
        <f t="shared" si="37"/>
        <v>0</v>
      </c>
      <c r="BK23" s="277">
        <f t="shared" si="38"/>
        <v>0</v>
      </c>
      <c r="BL23" s="277">
        <f t="shared" si="39"/>
        <v>0</v>
      </c>
      <c r="BM23" s="277">
        <f t="shared" si="40"/>
        <v>0</v>
      </c>
      <c r="BN23" s="277">
        <f t="shared" si="41"/>
        <v>0</v>
      </c>
      <c r="BO23" s="277">
        <f t="shared" si="42"/>
        <v>0</v>
      </c>
      <c r="BP23" s="277">
        <f t="shared" si="77"/>
        <v>0</v>
      </c>
      <c r="BQ23" s="277">
        <f t="shared" si="78"/>
        <v>0</v>
      </c>
      <c r="BR23" s="277">
        <f t="shared" si="43"/>
        <v>0</v>
      </c>
      <c r="BS23" s="277">
        <f t="shared" si="44"/>
        <v>0</v>
      </c>
      <c r="BT23" s="277">
        <f t="shared" si="79"/>
        <v>0</v>
      </c>
      <c r="BU23" s="277">
        <f t="shared" si="80"/>
        <v>0</v>
      </c>
      <c r="BV23" s="277">
        <f t="shared" si="81"/>
        <v>0</v>
      </c>
      <c r="BW23" s="277">
        <f t="shared" si="82"/>
        <v>0</v>
      </c>
      <c r="BX23" s="277">
        <f t="shared" si="45"/>
        <v>0</v>
      </c>
      <c r="BY23" s="277">
        <f t="shared" si="46"/>
        <v>0</v>
      </c>
      <c r="BZ23" s="277">
        <f t="shared" si="47"/>
        <v>0</v>
      </c>
      <c r="CA23" s="277">
        <f t="shared" si="48"/>
        <v>0</v>
      </c>
      <c r="CB23" s="277">
        <f t="shared" si="49"/>
        <v>0</v>
      </c>
      <c r="CC23" s="277">
        <f t="shared" si="50"/>
        <v>0</v>
      </c>
      <c r="CD23" s="277">
        <f t="shared" si="83"/>
        <v>0</v>
      </c>
      <c r="CE23" s="277">
        <f t="shared" si="84"/>
        <v>0</v>
      </c>
      <c r="CF23" s="277">
        <f t="shared" si="85"/>
        <v>0</v>
      </c>
      <c r="CG23" s="277">
        <f t="shared" si="86"/>
        <v>0</v>
      </c>
      <c r="CH23" s="277">
        <f t="shared" si="51"/>
        <v>0</v>
      </c>
      <c r="CI23" s="277">
        <f t="shared" si="52"/>
        <v>0</v>
      </c>
      <c r="CJ23" s="277">
        <f t="shared" si="87"/>
        <v>0</v>
      </c>
      <c r="CK23" s="277">
        <f t="shared" si="88"/>
        <v>0</v>
      </c>
      <c r="CL23" s="277">
        <f t="shared" si="53"/>
        <v>0</v>
      </c>
      <c r="CM23" s="277">
        <f t="shared" si="54"/>
        <v>0</v>
      </c>
      <c r="CN23" s="277">
        <f t="shared" si="55"/>
        <v>0</v>
      </c>
      <c r="CO23" s="277">
        <f t="shared" si="56"/>
        <v>0</v>
      </c>
      <c r="CP23" s="277">
        <f t="shared" si="89"/>
        <v>0</v>
      </c>
      <c r="CQ23" s="277">
        <f t="shared" si="90"/>
        <v>0</v>
      </c>
      <c r="CR23" s="277">
        <f t="shared" si="91"/>
        <v>0</v>
      </c>
      <c r="CS23" s="277">
        <f t="shared" si="92"/>
        <v>0</v>
      </c>
      <c r="CT23" s="277">
        <f t="shared" si="57"/>
        <v>0</v>
      </c>
      <c r="CU23" s="277">
        <f t="shared" si="58"/>
        <v>0</v>
      </c>
      <c r="CV23" s="277">
        <f t="shared" si="59"/>
        <v>0</v>
      </c>
      <c r="CW23" s="277">
        <f t="shared" si="60"/>
        <v>0</v>
      </c>
      <c r="CX23" s="277">
        <f t="shared" si="93"/>
        <v>0</v>
      </c>
      <c r="CY23" s="277">
        <f t="shared" si="94"/>
        <v>0</v>
      </c>
      <c r="CZ23" s="277">
        <f t="shared" si="95"/>
        <v>0</v>
      </c>
      <c r="DA23" s="277">
        <f t="shared" si="96"/>
        <v>0</v>
      </c>
    </row>
    <row r="24" spans="1:105" s="274" customFormat="1" ht="15.75" customHeight="1">
      <c r="A24" s="63" t="str">
        <f t="array" ref="A24">IF(C24&lt;&gt;0,SUM(($C$11:C24&lt;&gt;0)*1),"")</f>
        <v/>
      </c>
      <c r="B24" s="275"/>
      <c r="C24" s="275"/>
      <c r="D24" s="275"/>
      <c r="E24" s="365"/>
      <c r="F24" s="326"/>
      <c r="G24" s="328"/>
      <c r="H24" s="328"/>
      <c r="I24" s="63" t="str">
        <f t="shared" si="0"/>
        <v/>
      </c>
      <c r="J24" s="277">
        <f t="shared" si="61"/>
        <v>0</v>
      </c>
      <c r="K24" s="277">
        <f t="shared" si="62"/>
        <v>0</v>
      </c>
      <c r="L24" s="277">
        <f t="shared" si="1"/>
        <v>0</v>
      </c>
      <c r="M24" s="277">
        <f t="shared" si="2"/>
        <v>0</v>
      </c>
      <c r="N24" s="277">
        <f t="shared" si="3"/>
        <v>0</v>
      </c>
      <c r="O24" s="277">
        <f t="shared" si="4"/>
        <v>0</v>
      </c>
      <c r="P24" s="277">
        <f t="shared" si="5"/>
        <v>0</v>
      </c>
      <c r="Q24" s="277">
        <f t="shared" si="6"/>
        <v>0</v>
      </c>
      <c r="R24" s="277">
        <f t="shared" si="7"/>
        <v>0</v>
      </c>
      <c r="S24" s="277">
        <f t="shared" si="8"/>
        <v>0</v>
      </c>
      <c r="T24" s="277">
        <f t="shared" si="9"/>
        <v>0</v>
      </c>
      <c r="U24" s="277">
        <f t="shared" si="10"/>
        <v>0</v>
      </c>
      <c r="V24" s="277">
        <f t="shared" si="11"/>
        <v>0</v>
      </c>
      <c r="W24" s="277">
        <f t="shared" si="12"/>
        <v>0</v>
      </c>
      <c r="X24" s="277">
        <f t="shared" si="13"/>
        <v>0</v>
      </c>
      <c r="Y24" s="277">
        <f t="shared" si="14"/>
        <v>0</v>
      </c>
      <c r="Z24" s="277">
        <f t="shared" si="15"/>
        <v>0</v>
      </c>
      <c r="AA24" s="277">
        <f t="shared" si="16"/>
        <v>0</v>
      </c>
      <c r="AB24" s="277">
        <f t="shared" si="63"/>
        <v>0</v>
      </c>
      <c r="AC24" s="277">
        <f t="shared" si="64"/>
        <v>0</v>
      </c>
      <c r="AD24" s="277">
        <f t="shared" si="17"/>
        <v>0</v>
      </c>
      <c r="AE24" s="277">
        <f t="shared" si="18"/>
        <v>0</v>
      </c>
      <c r="AF24" s="277">
        <f t="shared" si="19"/>
        <v>0</v>
      </c>
      <c r="AG24" s="277">
        <f t="shared" si="20"/>
        <v>0</v>
      </c>
      <c r="AH24" s="277">
        <f t="shared" si="65"/>
        <v>0</v>
      </c>
      <c r="AI24" s="277">
        <f t="shared" si="66"/>
        <v>0</v>
      </c>
      <c r="AJ24" s="277">
        <f t="shared" si="67"/>
        <v>0</v>
      </c>
      <c r="AK24" s="277">
        <f t="shared" si="68"/>
        <v>0</v>
      </c>
      <c r="AL24" s="277">
        <f t="shared" si="69"/>
        <v>0</v>
      </c>
      <c r="AM24" s="277">
        <f t="shared" si="70"/>
        <v>0</v>
      </c>
      <c r="AN24" s="277">
        <f t="shared" si="71"/>
        <v>0</v>
      </c>
      <c r="AO24" s="277">
        <f t="shared" si="72"/>
        <v>0</v>
      </c>
      <c r="AP24" s="277">
        <f t="shared" si="21"/>
        <v>0</v>
      </c>
      <c r="AQ24" s="277">
        <f t="shared" si="22"/>
        <v>0</v>
      </c>
      <c r="AR24" s="277">
        <f t="shared" si="23"/>
        <v>0</v>
      </c>
      <c r="AS24" s="277">
        <f t="shared" si="24"/>
        <v>0</v>
      </c>
      <c r="AT24" s="277">
        <f t="shared" si="73"/>
        <v>0</v>
      </c>
      <c r="AU24" s="277">
        <f t="shared" si="74"/>
        <v>0</v>
      </c>
      <c r="AV24" s="277">
        <f t="shared" si="25"/>
        <v>0</v>
      </c>
      <c r="AW24" s="277">
        <f t="shared" si="26"/>
        <v>0</v>
      </c>
      <c r="AX24" s="277">
        <f t="shared" si="27"/>
        <v>0</v>
      </c>
      <c r="AY24" s="277">
        <f t="shared" si="28"/>
        <v>0</v>
      </c>
      <c r="AZ24" s="277">
        <f t="shared" si="29"/>
        <v>0</v>
      </c>
      <c r="BA24" s="277">
        <f t="shared" si="30"/>
        <v>0</v>
      </c>
      <c r="BB24" s="277">
        <f t="shared" si="31"/>
        <v>0</v>
      </c>
      <c r="BC24" s="277">
        <f t="shared" si="32"/>
        <v>0</v>
      </c>
      <c r="BD24" s="277">
        <f t="shared" si="33"/>
        <v>0</v>
      </c>
      <c r="BE24" s="277">
        <f t="shared" si="34"/>
        <v>0</v>
      </c>
      <c r="BF24" s="277">
        <f t="shared" si="35"/>
        <v>0</v>
      </c>
      <c r="BG24" s="277">
        <f t="shared" si="36"/>
        <v>0</v>
      </c>
      <c r="BH24" s="277">
        <f t="shared" si="75"/>
        <v>0</v>
      </c>
      <c r="BI24" s="277">
        <f t="shared" si="76"/>
        <v>0</v>
      </c>
      <c r="BJ24" s="277">
        <f t="shared" si="37"/>
        <v>0</v>
      </c>
      <c r="BK24" s="277">
        <f t="shared" si="38"/>
        <v>0</v>
      </c>
      <c r="BL24" s="277">
        <f t="shared" si="39"/>
        <v>0</v>
      </c>
      <c r="BM24" s="277">
        <f t="shared" si="40"/>
        <v>0</v>
      </c>
      <c r="BN24" s="277">
        <f t="shared" si="41"/>
        <v>0</v>
      </c>
      <c r="BO24" s="277">
        <f t="shared" si="42"/>
        <v>0</v>
      </c>
      <c r="BP24" s="277">
        <f t="shared" si="77"/>
        <v>0</v>
      </c>
      <c r="BQ24" s="277">
        <f t="shared" si="78"/>
        <v>0</v>
      </c>
      <c r="BR24" s="277">
        <f t="shared" si="43"/>
        <v>0</v>
      </c>
      <c r="BS24" s="277">
        <f t="shared" si="44"/>
        <v>0</v>
      </c>
      <c r="BT24" s="277">
        <f t="shared" si="79"/>
        <v>0</v>
      </c>
      <c r="BU24" s="277">
        <f t="shared" si="80"/>
        <v>0</v>
      </c>
      <c r="BV24" s="277">
        <f t="shared" si="81"/>
        <v>0</v>
      </c>
      <c r="BW24" s="277">
        <f t="shared" si="82"/>
        <v>0</v>
      </c>
      <c r="BX24" s="277">
        <f t="shared" si="45"/>
        <v>0</v>
      </c>
      <c r="BY24" s="277">
        <f t="shared" si="46"/>
        <v>0</v>
      </c>
      <c r="BZ24" s="277">
        <f t="shared" si="47"/>
        <v>0</v>
      </c>
      <c r="CA24" s="277">
        <f t="shared" si="48"/>
        <v>0</v>
      </c>
      <c r="CB24" s="277">
        <f t="shared" si="49"/>
        <v>0</v>
      </c>
      <c r="CC24" s="277">
        <f t="shared" si="50"/>
        <v>0</v>
      </c>
      <c r="CD24" s="277">
        <f t="shared" si="83"/>
        <v>0</v>
      </c>
      <c r="CE24" s="277">
        <f t="shared" si="84"/>
        <v>0</v>
      </c>
      <c r="CF24" s="277">
        <f t="shared" si="85"/>
        <v>0</v>
      </c>
      <c r="CG24" s="277">
        <f t="shared" si="86"/>
        <v>0</v>
      </c>
      <c r="CH24" s="277">
        <f t="shared" si="51"/>
        <v>0</v>
      </c>
      <c r="CI24" s="277">
        <f t="shared" si="52"/>
        <v>0</v>
      </c>
      <c r="CJ24" s="277">
        <f t="shared" si="87"/>
        <v>0</v>
      </c>
      <c r="CK24" s="277">
        <f t="shared" si="88"/>
        <v>0</v>
      </c>
      <c r="CL24" s="277">
        <f t="shared" si="53"/>
        <v>0</v>
      </c>
      <c r="CM24" s="277">
        <f t="shared" si="54"/>
        <v>0</v>
      </c>
      <c r="CN24" s="277">
        <f t="shared" si="55"/>
        <v>0</v>
      </c>
      <c r="CO24" s="277">
        <f t="shared" si="56"/>
        <v>0</v>
      </c>
      <c r="CP24" s="277">
        <f t="shared" si="89"/>
        <v>0</v>
      </c>
      <c r="CQ24" s="277">
        <f t="shared" si="90"/>
        <v>0</v>
      </c>
      <c r="CR24" s="277">
        <f t="shared" si="91"/>
        <v>0</v>
      </c>
      <c r="CS24" s="277">
        <f t="shared" si="92"/>
        <v>0</v>
      </c>
      <c r="CT24" s="277">
        <f t="shared" si="57"/>
        <v>0</v>
      </c>
      <c r="CU24" s="277">
        <f t="shared" si="58"/>
        <v>0</v>
      </c>
      <c r="CV24" s="277">
        <f t="shared" si="59"/>
        <v>0</v>
      </c>
      <c r="CW24" s="277">
        <f t="shared" si="60"/>
        <v>0</v>
      </c>
      <c r="CX24" s="277">
        <f t="shared" si="93"/>
        <v>0</v>
      </c>
      <c r="CY24" s="277">
        <f t="shared" si="94"/>
        <v>0</v>
      </c>
      <c r="CZ24" s="277">
        <f t="shared" si="95"/>
        <v>0</v>
      </c>
      <c r="DA24" s="277">
        <f t="shared" si="96"/>
        <v>0</v>
      </c>
    </row>
    <row r="25" spans="1:105" s="274" customFormat="1" ht="15.75" customHeight="1">
      <c r="A25" s="63" t="str">
        <f t="array" ref="A25">IF(C25&lt;&gt;0,SUM(($C$11:C25&lt;&gt;0)*1),"")</f>
        <v/>
      </c>
      <c r="B25" s="275"/>
      <c r="C25" s="275"/>
      <c r="D25" s="275"/>
      <c r="E25" s="365"/>
      <c r="F25" s="326"/>
      <c r="G25" s="328"/>
      <c r="H25" s="328"/>
      <c r="I25" s="63" t="str">
        <f t="shared" si="0"/>
        <v/>
      </c>
      <c r="J25" s="277">
        <f t="shared" si="61"/>
        <v>0</v>
      </c>
      <c r="K25" s="277">
        <f t="shared" si="62"/>
        <v>0</v>
      </c>
      <c r="L25" s="277">
        <f t="shared" si="1"/>
        <v>0</v>
      </c>
      <c r="M25" s="277">
        <f t="shared" si="2"/>
        <v>0</v>
      </c>
      <c r="N25" s="277">
        <f t="shared" si="3"/>
        <v>0</v>
      </c>
      <c r="O25" s="277">
        <f t="shared" si="4"/>
        <v>0</v>
      </c>
      <c r="P25" s="277">
        <f t="shared" si="5"/>
        <v>0</v>
      </c>
      <c r="Q25" s="277">
        <f t="shared" si="6"/>
        <v>0</v>
      </c>
      <c r="R25" s="277">
        <f t="shared" si="7"/>
        <v>0</v>
      </c>
      <c r="S25" s="277">
        <f t="shared" si="8"/>
        <v>0</v>
      </c>
      <c r="T25" s="277">
        <f t="shared" si="9"/>
        <v>0</v>
      </c>
      <c r="U25" s="277">
        <f t="shared" si="10"/>
        <v>0</v>
      </c>
      <c r="V25" s="277">
        <f t="shared" si="11"/>
        <v>0</v>
      </c>
      <c r="W25" s="277">
        <f t="shared" si="12"/>
        <v>0</v>
      </c>
      <c r="X25" s="277">
        <f t="shared" si="13"/>
        <v>0</v>
      </c>
      <c r="Y25" s="277">
        <f t="shared" si="14"/>
        <v>0</v>
      </c>
      <c r="Z25" s="277">
        <f t="shared" si="15"/>
        <v>0</v>
      </c>
      <c r="AA25" s="277">
        <f t="shared" si="16"/>
        <v>0</v>
      </c>
      <c r="AB25" s="277">
        <f t="shared" si="63"/>
        <v>0</v>
      </c>
      <c r="AC25" s="277">
        <f t="shared" si="64"/>
        <v>0</v>
      </c>
      <c r="AD25" s="277">
        <f t="shared" si="17"/>
        <v>0</v>
      </c>
      <c r="AE25" s="277">
        <f t="shared" si="18"/>
        <v>0</v>
      </c>
      <c r="AF25" s="277">
        <f t="shared" si="19"/>
        <v>0</v>
      </c>
      <c r="AG25" s="277">
        <f t="shared" si="20"/>
        <v>0</v>
      </c>
      <c r="AH25" s="277">
        <f t="shared" si="65"/>
        <v>0</v>
      </c>
      <c r="AI25" s="277">
        <f t="shared" si="66"/>
        <v>0</v>
      </c>
      <c r="AJ25" s="277">
        <f t="shared" si="67"/>
        <v>0</v>
      </c>
      <c r="AK25" s="277">
        <f t="shared" si="68"/>
        <v>0</v>
      </c>
      <c r="AL25" s="277">
        <f t="shared" si="69"/>
        <v>0</v>
      </c>
      <c r="AM25" s="277">
        <f t="shared" si="70"/>
        <v>0</v>
      </c>
      <c r="AN25" s="277">
        <f t="shared" si="71"/>
        <v>0</v>
      </c>
      <c r="AO25" s="277">
        <f t="shared" si="72"/>
        <v>0</v>
      </c>
      <c r="AP25" s="277">
        <f t="shared" si="21"/>
        <v>0</v>
      </c>
      <c r="AQ25" s="277">
        <f t="shared" si="22"/>
        <v>0</v>
      </c>
      <c r="AR25" s="277">
        <f t="shared" si="23"/>
        <v>0</v>
      </c>
      <c r="AS25" s="277">
        <f t="shared" si="24"/>
        <v>0</v>
      </c>
      <c r="AT25" s="277">
        <f t="shared" si="73"/>
        <v>0</v>
      </c>
      <c r="AU25" s="277">
        <f t="shared" si="74"/>
        <v>0</v>
      </c>
      <c r="AV25" s="277">
        <f t="shared" si="25"/>
        <v>0</v>
      </c>
      <c r="AW25" s="277">
        <f t="shared" si="26"/>
        <v>0</v>
      </c>
      <c r="AX25" s="277">
        <f t="shared" si="27"/>
        <v>0</v>
      </c>
      <c r="AY25" s="277">
        <f t="shared" si="28"/>
        <v>0</v>
      </c>
      <c r="AZ25" s="277">
        <f t="shared" si="29"/>
        <v>0</v>
      </c>
      <c r="BA25" s="277">
        <f t="shared" si="30"/>
        <v>0</v>
      </c>
      <c r="BB25" s="277">
        <f t="shared" si="31"/>
        <v>0</v>
      </c>
      <c r="BC25" s="277">
        <f t="shared" si="32"/>
        <v>0</v>
      </c>
      <c r="BD25" s="277">
        <f t="shared" si="33"/>
        <v>0</v>
      </c>
      <c r="BE25" s="277">
        <f t="shared" si="34"/>
        <v>0</v>
      </c>
      <c r="BF25" s="277">
        <f t="shared" si="35"/>
        <v>0</v>
      </c>
      <c r="BG25" s="277">
        <f t="shared" si="36"/>
        <v>0</v>
      </c>
      <c r="BH25" s="277">
        <f t="shared" si="75"/>
        <v>0</v>
      </c>
      <c r="BI25" s="277">
        <f t="shared" si="76"/>
        <v>0</v>
      </c>
      <c r="BJ25" s="277">
        <f t="shared" si="37"/>
        <v>0</v>
      </c>
      <c r="BK25" s="277">
        <f t="shared" si="38"/>
        <v>0</v>
      </c>
      <c r="BL25" s="277">
        <f t="shared" si="39"/>
        <v>0</v>
      </c>
      <c r="BM25" s="277">
        <f t="shared" si="40"/>
        <v>0</v>
      </c>
      <c r="BN25" s="277">
        <f t="shared" si="41"/>
        <v>0</v>
      </c>
      <c r="BO25" s="277">
        <f t="shared" si="42"/>
        <v>0</v>
      </c>
      <c r="BP25" s="277">
        <f t="shared" si="77"/>
        <v>0</v>
      </c>
      <c r="BQ25" s="277">
        <f t="shared" si="78"/>
        <v>0</v>
      </c>
      <c r="BR25" s="277">
        <f t="shared" si="43"/>
        <v>0</v>
      </c>
      <c r="BS25" s="277">
        <f t="shared" si="44"/>
        <v>0</v>
      </c>
      <c r="BT25" s="277">
        <f t="shared" si="79"/>
        <v>0</v>
      </c>
      <c r="BU25" s="277">
        <f t="shared" si="80"/>
        <v>0</v>
      </c>
      <c r="BV25" s="277">
        <f t="shared" si="81"/>
        <v>0</v>
      </c>
      <c r="BW25" s="277">
        <f t="shared" si="82"/>
        <v>0</v>
      </c>
      <c r="BX25" s="277">
        <f t="shared" si="45"/>
        <v>0</v>
      </c>
      <c r="BY25" s="277">
        <f t="shared" si="46"/>
        <v>0</v>
      </c>
      <c r="BZ25" s="277">
        <f t="shared" si="47"/>
        <v>0</v>
      </c>
      <c r="CA25" s="277">
        <f t="shared" si="48"/>
        <v>0</v>
      </c>
      <c r="CB25" s="277">
        <f t="shared" si="49"/>
        <v>0</v>
      </c>
      <c r="CC25" s="277">
        <f t="shared" si="50"/>
        <v>0</v>
      </c>
      <c r="CD25" s="277">
        <f t="shared" si="83"/>
        <v>0</v>
      </c>
      <c r="CE25" s="277">
        <f t="shared" si="84"/>
        <v>0</v>
      </c>
      <c r="CF25" s="277">
        <f t="shared" si="85"/>
        <v>0</v>
      </c>
      <c r="CG25" s="277">
        <f t="shared" si="86"/>
        <v>0</v>
      </c>
      <c r="CH25" s="277">
        <f t="shared" si="51"/>
        <v>0</v>
      </c>
      <c r="CI25" s="277">
        <f t="shared" si="52"/>
        <v>0</v>
      </c>
      <c r="CJ25" s="277">
        <f t="shared" si="87"/>
        <v>0</v>
      </c>
      <c r="CK25" s="277">
        <f t="shared" si="88"/>
        <v>0</v>
      </c>
      <c r="CL25" s="277">
        <f t="shared" si="53"/>
        <v>0</v>
      </c>
      <c r="CM25" s="277">
        <f t="shared" si="54"/>
        <v>0</v>
      </c>
      <c r="CN25" s="277">
        <f t="shared" si="55"/>
        <v>0</v>
      </c>
      <c r="CO25" s="277">
        <f t="shared" si="56"/>
        <v>0</v>
      </c>
      <c r="CP25" s="277">
        <f t="shared" si="89"/>
        <v>0</v>
      </c>
      <c r="CQ25" s="277">
        <f t="shared" si="90"/>
        <v>0</v>
      </c>
      <c r="CR25" s="277">
        <f t="shared" si="91"/>
        <v>0</v>
      </c>
      <c r="CS25" s="277">
        <f t="shared" si="92"/>
        <v>0</v>
      </c>
      <c r="CT25" s="277">
        <f t="shared" si="57"/>
        <v>0</v>
      </c>
      <c r="CU25" s="277">
        <f t="shared" si="58"/>
        <v>0</v>
      </c>
      <c r="CV25" s="277">
        <f t="shared" si="59"/>
        <v>0</v>
      </c>
      <c r="CW25" s="277">
        <f t="shared" si="60"/>
        <v>0</v>
      </c>
      <c r="CX25" s="277">
        <f t="shared" si="93"/>
        <v>0</v>
      </c>
      <c r="CY25" s="277">
        <f t="shared" si="94"/>
        <v>0</v>
      </c>
      <c r="CZ25" s="277">
        <f t="shared" si="95"/>
        <v>0</v>
      </c>
      <c r="DA25" s="277">
        <f t="shared" si="96"/>
        <v>0</v>
      </c>
    </row>
    <row r="26" spans="1:105" s="274" customFormat="1" ht="15.75" customHeight="1">
      <c r="A26" s="63" t="str">
        <f t="array" ref="A26">IF(C26&lt;&gt;0,SUM(($C$11:C26&lt;&gt;0)*1),"")</f>
        <v/>
      </c>
      <c r="B26" s="275"/>
      <c r="C26" s="275"/>
      <c r="D26" s="275"/>
      <c r="E26" s="365"/>
      <c r="F26" s="326"/>
      <c r="G26" s="328"/>
      <c r="H26" s="328"/>
      <c r="I26" s="63" t="str">
        <f t="shared" si="0"/>
        <v/>
      </c>
      <c r="J26" s="277">
        <f t="shared" si="61"/>
        <v>0</v>
      </c>
      <c r="K26" s="277">
        <f t="shared" si="62"/>
        <v>0</v>
      </c>
      <c r="L26" s="277">
        <f t="shared" si="1"/>
        <v>0</v>
      </c>
      <c r="M26" s="277">
        <f t="shared" si="2"/>
        <v>0</v>
      </c>
      <c r="N26" s="277">
        <f t="shared" si="3"/>
        <v>0</v>
      </c>
      <c r="O26" s="277">
        <f t="shared" si="4"/>
        <v>0</v>
      </c>
      <c r="P26" s="277">
        <f t="shared" si="5"/>
        <v>0</v>
      </c>
      <c r="Q26" s="277">
        <f t="shared" si="6"/>
        <v>0</v>
      </c>
      <c r="R26" s="277">
        <f t="shared" si="7"/>
        <v>0</v>
      </c>
      <c r="S26" s="277">
        <f t="shared" si="8"/>
        <v>0</v>
      </c>
      <c r="T26" s="277">
        <f t="shared" si="9"/>
        <v>0</v>
      </c>
      <c r="U26" s="277">
        <f t="shared" si="10"/>
        <v>0</v>
      </c>
      <c r="V26" s="277">
        <f t="shared" si="11"/>
        <v>0</v>
      </c>
      <c r="W26" s="277">
        <f t="shared" si="12"/>
        <v>0</v>
      </c>
      <c r="X26" s="277">
        <f t="shared" si="13"/>
        <v>0</v>
      </c>
      <c r="Y26" s="277">
        <f t="shared" si="14"/>
        <v>0</v>
      </c>
      <c r="Z26" s="277">
        <f t="shared" si="15"/>
        <v>0</v>
      </c>
      <c r="AA26" s="277">
        <f t="shared" si="16"/>
        <v>0</v>
      </c>
      <c r="AB26" s="277">
        <f t="shared" si="63"/>
        <v>0</v>
      </c>
      <c r="AC26" s="277">
        <f t="shared" si="64"/>
        <v>0</v>
      </c>
      <c r="AD26" s="277">
        <f t="shared" si="17"/>
        <v>0</v>
      </c>
      <c r="AE26" s="277">
        <f t="shared" si="18"/>
        <v>0</v>
      </c>
      <c r="AF26" s="277">
        <f t="shared" si="19"/>
        <v>0</v>
      </c>
      <c r="AG26" s="277">
        <f t="shared" si="20"/>
        <v>0</v>
      </c>
      <c r="AH26" s="277">
        <f t="shared" si="65"/>
        <v>0</v>
      </c>
      <c r="AI26" s="277">
        <f t="shared" si="66"/>
        <v>0</v>
      </c>
      <c r="AJ26" s="277">
        <f t="shared" si="67"/>
        <v>0</v>
      </c>
      <c r="AK26" s="277">
        <f t="shared" si="68"/>
        <v>0</v>
      </c>
      <c r="AL26" s="277">
        <f t="shared" si="69"/>
        <v>0</v>
      </c>
      <c r="AM26" s="277">
        <f t="shared" si="70"/>
        <v>0</v>
      </c>
      <c r="AN26" s="277">
        <f t="shared" si="71"/>
        <v>0</v>
      </c>
      <c r="AO26" s="277">
        <f t="shared" si="72"/>
        <v>0</v>
      </c>
      <c r="AP26" s="277">
        <f t="shared" si="21"/>
        <v>0</v>
      </c>
      <c r="AQ26" s="277">
        <f t="shared" si="22"/>
        <v>0</v>
      </c>
      <c r="AR26" s="277">
        <f t="shared" si="23"/>
        <v>0</v>
      </c>
      <c r="AS26" s="277">
        <f t="shared" si="24"/>
        <v>0</v>
      </c>
      <c r="AT26" s="277">
        <f t="shared" si="73"/>
        <v>0</v>
      </c>
      <c r="AU26" s="277">
        <f t="shared" si="74"/>
        <v>0</v>
      </c>
      <c r="AV26" s="277">
        <f t="shared" si="25"/>
        <v>0</v>
      </c>
      <c r="AW26" s="277">
        <f t="shared" si="26"/>
        <v>0</v>
      </c>
      <c r="AX26" s="277">
        <f t="shared" si="27"/>
        <v>0</v>
      </c>
      <c r="AY26" s="277">
        <f t="shared" si="28"/>
        <v>0</v>
      </c>
      <c r="AZ26" s="277">
        <f t="shared" si="29"/>
        <v>0</v>
      </c>
      <c r="BA26" s="277">
        <f t="shared" si="30"/>
        <v>0</v>
      </c>
      <c r="BB26" s="277">
        <f t="shared" si="31"/>
        <v>0</v>
      </c>
      <c r="BC26" s="277">
        <f t="shared" si="32"/>
        <v>0</v>
      </c>
      <c r="BD26" s="277">
        <f t="shared" si="33"/>
        <v>0</v>
      </c>
      <c r="BE26" s="277">
        <f t="shared" si="34"/>
        <v>0</v>
      </c>
      <c r="BF26" s="277">
        <f t="shared" si="35"/>
        <v>0</v>
      </c>
      <c r="BG26" s="277">
        <f t="shared" si="36"/>
        <v>0</v>
      </c>
      <c r="BH26" s="277">
        <f t="shared" si="75"/>
        <v>0</v>
      </c>
      <c r="BI26" s="277">
        <f t="shared" si="76"/>
        <v>0</v>
      </c>
      <c r="BJ26" s="277">
        <f t="shared" si="37"/>
        <v>0</v>
      </c>
      <c r="BK26" s="277">
        <f t="shared" si="38"/>
        <v>0</v>
      </c>
      <c r="BL26" s="277">
        <f t="shared" si="39"/>
        <v>0</v>
      </c>
      <c r="BM26" s="277">
        <f t="shared" si="40"/>
        <v>0</v>
      </c>
      <c r="BN26" s="277">
        <f t="shared" si="41"/>
        <v>0</v>
      </c>
      <c r="BO26" s="277">
        <f t="shared" si="42"/>
        <v>0</v>
      </c>
      <c r="BP26" s="277">
        <f t="shared" si="77"/>
        <v>0</v>
      </c>
      <c r="BQ26" s="277">
        <f t="shared" si="78"/>
        <v>0</v>
      </c>
      <c r="BR26" s="277">
        <f t="shared" si="43"/>
        <v>0</v>
      </c>
      <c r="BS26" s="277">
        <f t="shared" si="44"/>
        <v>0</v>
      </c>
      <c r="BT26" s="277">
        <f t="shared" si="79"/>
        <v>0</v>
      </c>
      <c r="BU26" s="277">
        <f t="shared" si="80"/>
        <v>0</v>
      </c>
      <c r="BV26" s="277">
        <f t="shared" si="81"/>
        <v>0</v>
      </c>
      <c r="BW26" s="277">
        <f t="shared" si="82"/>
        <v>0</v>
      </c>
      <c r="BX26" s="277">
        <f t="shared" si="45"/>
        <v>0</v>
      </c>
      <c r="BY26" s="277">
        <f t="shared" si="46"/>
        <v>0</v>
      </c>
      <c r="BZ26" s="277">
        <f t="shared" si="47"/>
        <v>0</v>
      </c>
      <c r="CA26" s="277">
        <f t="shared" si="48"/>
        <v>0</v>
      </c>
      <c r="CB26" s="277">
        <f t="shared" si="49"/>
        <v>0</v>
      </c>
      <c r="CC26" s="277">
        <f t="shared" si="50"/>
        <v>0</v>
      </c>
      <c r="CD26" s="277">
        <f t="shared" si="83"/>
        <v>0</v>
      </c>
      <c r="CE26" s="277">
        <f t="shared" si="84"/>
        <v>0</v>
      </c>
      <c r="CF26" s="277">
        <f t="shared" si="85"/>
        <v>0</v>
      </c>
      <c r="CG26" s="277">
        <f t="shared" si="86"/>
        <v>0</v>
      </c>
      <c r="CH26" s="277">
        <f t="shared" si="51"/>
        <v>0</v>
      </c>
      <c r="CI26" s="277">
        <f t="shared" si="52"/>
        <v>0</v>
      </c>
      <c r="CJ26" s="277">
        <f t="shared" si="87"/>
        <v>0</v>
      </c>
      <c r="CK26" s="277">
        <f t="shared" si="88"/>
        <v>0</v>
      </c>
      <c r="CL26" s="277">
        <f t="shared" si="53"/>
        <v>0</v>
      </c>
      <c r="CM26" s="277">
        <f t="shared" si="54"/>
        <v>0</v>
      </c>
      <c r="CN26" s="277">
        <f t="shared" si="55"/>
        <v>0</v>
      </c>
      <c r="CO26" s="277">
        <f t="shared" si="56"/>
        <v>0</v>
      </c>
      <c r="CP26" s="277">
        <f t="shared" si="89"/>
        <v>0</v>
      </c>
      <c r="CQ26" s="277">
        <f t="shared" si="90"/>
        <v>0</v>
      </c>
      <c r="CR26" s="277">
        <f t="shared" si="91"/>
        <v>0</v>
      </c>
      <c r="CS26" s="277">
        <f t="shared" si="92"/>
        <v>0</v>
      </c>
      <c r="CT26" s="277">
        <f t="shared" si="57"/>
        <v>0</v>
      </c>
      <c r="CU26" s="277">
        <f t="shared" si="58"/>
        <v>0</v>
      </c>
      <c r="CV26" s="277">
        <f t="shared" si="59"/>
        <v>0</v>
      </c>
      <c r="CW26" s="277">
        <f t="shared" si="60"/>
        <v>0</v>
      </c>
      <c r="CX26" s="277">
        <f t="shared" si="93"/>
        <v>0</v>
      </c>
      <c r="CY26" s="277">
        <f t="shared" si="94"/>
        <v>0</v>
      </c>
      <c r="CZ26" s="277">
        <f t="shared" si="95"/>
        <v>0</v>
      </c>
      <c r="DA26" s="277">
        <f t="shared" si="96"/>
        <v>0</v>
      </c>
    </row>
    <row r="27" spans="1:105" s="274" customFormat="1" ht="15.75" customHeight="1">
      <c r="A27" s="63" t="str">
        <f t="array" ref="A27">IF(C27&lt;&gt;0,SUM(($C$11:C27&lt;&gt;0)*1),"")</f>
        <v/>
      </c>
      <c r="B27" s="275"/>
      <c r="C27" s="275"/>
      <c r="D27" s="275"/>
      <c r="E27" s="365"/>
      <c r="F27" s="326"/>
      <c r="G27" s="328"/>
      <c r="H27" s="328"/>
      <c r="I27" s="63" t="str">
        <f>A27</f>
        <v/>
      </c>
      <c r="J27" s="277">
        <f t="shared" si="61"/>
        <v>0</v>
      </c>
      <c r="K27" s="277">
        <f t="shared" si="62"/>
        <v>0</v>
      </c>
      <c r="L27" s="277">
        <f t="shared" si="1"/>
        <v>0</v>
      </c>
      <c r="M27" s="277">
        <f t="shared" si="2"/>
        <v>0</v>
      </c>
      <c r="N27" s="277">
        <f t="shared" si="3"/>
        <v>0</v>
      </c>
      <c r="O27" s="277">
        <f t="shared" si="4"/>
        <v>0</v>
      </c>
      <c r="P27" s="277">
        <f t="shared" si="5"/>
        <v>0</v>
      </c>
      <c r="Q27" s="277">
        <f t="shared" si="6"/>
        <v>0</v>
      </c>
      <c r="R27" s="277">
        <f t="shared" si="7"/>
        <v>0</v>
      </c>
      <c r="S27" s="277">
        <f t="shared" si="8"/>
        <v>0</v>
      </c>
      <c r="T27" s="277">
        <f t="shared" si="9"/>
        <v>0</v>
      </c>
      <c r="U27" s="277">
        <f t="shared" si="10"/>
        <v>0</v>
      </c>
      <c r="V27" s="277">
        <f t="shared" si="11"/>
        <v>0</v>
      </c>
      <c r="W27" s="277">
        <f t="shared" si="12"/>
        <v>0</v>
      </c>
      <c r="X27" s="277">
        <f t="shared" si="13"/>
        <v>0</v>
      </c>
      <c r="Y27" s="277">
        <f t="shared" si="14"/>
        <v>0</v>
      </c>
      <c r="Z27" s="277">
        <f t="shared" si="15"/>
        <v>0</v>
      </c>
      <c r="AA27" s="277">
        <f t="shared" si="16"/>
        <v>0</v>
      </c>
      <c r="AB27" s="277">
        <f t="shared" si="63"/>
        <v>0</v>
      </c>
      <c r="AC27" s="277">
        <f t="shared" si="64"/>
        <v>0</v>
      </c>
      <c r="AD27" s="277">
        <f t="shared" si="17"/>
        <v>0</v>
      </c>
      <c r="AE27" s="277">
        <f t="shared" si="18"/>
        <v>0</v>
      </c>
      <c r="AF27" s="277">
        <f t="shared" si="19"/>
        <v>0</v>
      </c>
      <c r="AG27" s="277">
        <f t="shared" si="20"/>
        <v>0</v>
      </c>
      <c r="AH27" s="277">
        <f t="shared" si="65"/>
        <v>0</v>
      </c>
      <c r="AI27" s="277">
        <f t="shared" si="66"/>
        <v>0</v>
      </c>
      <c r="AJ27" s="277">
        <f t="shared" si="67"/>
        <v>0</v>
      </c>
      <c r="AK27" s="277">
        <f t="shared" si="68"/>
        <v>0</v>
      </c>
      <c r="AL27" s="277">
        <f t="shared" si="69"/>
        <v>0</v>
      </c>
      <c r="AM27" s="277">
        <f t="shared" si="70"/>
        <v>0</v>
      </c>
      <c r="AN27" s="277">
        <f t="shared" si="71"/>
        <v>0</v>
      </c>
      <c r="AO27" s="277">
        <f t="shared" si="72"/>
        <v>0</v>
      </c>
      <c r="AP27" s="277">
        <f t="shared" si="21"/>
        <v>0</v>
      </c>
      <c r="AQ27" s="277">
        <f t="shared" si="22"/>
        <v>0</v>
      </c>
      <c r="AR27" s="277">
        <f t="shared" si="23"/>
        <v>0</v>
      </c>
      <c r="AS27" s="277">
        <f t="shared" si="24"/>
        <v>0</v>
      </c>
      <c r="AT27" s="277">
        <f t="shared" si="73"/>
        <v>0</v>
      </c>
      <c r="AU27" s="277">
        <f t="shared" si="74"/>
        <v>0</v>
      </c>
      <c r="AV27" s="277">
        <f t="shared" si="25"/>
        <v>0</v>
      </c>
      <c r="AW27" s="277">
        <f t="shared" si="26"/>
        <v>0</v>
      </c>
      <c r="AX27" s="277">
        <f t="shared" si="27"/>
        <v>0</v>
      </c>
      <c r="AY27" s="277">
        <f t="shared" si="28"/>
        <v>0</v>
      </c>
      <c r="AZ27" s="277">
        <f t="shared" si="29"/>
        <v>0</v>
      </c>
      <c r="BA27" s="277">
        <f t="shared" si="30"/>
        <v>0</v>
      </c>
      <c r="BB27" s="277">
        <f t="shared" si="31"/>
        <v>0</v>
      </c>
      <c r="BC27" s="277">
        <f t="shared" si="32"/>
        <v>0</v>
      </c>
      <c r="BD27" s="277">
        <f t="shared" si="33"/>
        <v>0</v>
      </c>
      <c r="BE27" s="277">
        <f t="shared" si="34"/>
        <v>0</v>
      </c>
      <c r="BF27" s="277">
        <f t="shared" si="35"/>
        <v>0</v>
      </c>
      <c r="BG27" s="277">
        <f t="shared" si="36"/>
        <v>0</v>
      </c>
      <c r="BH27" s="277">
        <f t="shared" si="75"/>
        <v>0</v>
      </c>
      <c r="BI27" s="277">
        <f t="shared" si="76"/>
        <v>0</v>
      </c>
      <c r="BJ27" s="277">
        <f t="shared" si="37"/>
        <v>0</v>
      </c>
      <c r="BK27" s="277">
        <f t="shared" si="38"/>
        <v>0</v>
      </c>
      <c r="BL27" s="277">
        <f t="shared" si="39"/>
        <v>0</v>
      </c>
      <c r="BM27" s="277">
        <f t="shared" si="40"/>
        <v>0</v>
      </c>
      <c r="BN27" s="277">
        <f t="shared" si="41"/>
        <v>0</v>
      </c>
      <c r="BO27" s="277">
        <f t="shared" si="42"/>
        <v>0</v>
      </c>
      <c r="BP27" s="277">
        <f t="shared" si="77"/>
        <v>0</v>
      </c>
      <c r="BQ27" s="277">
        <f t="shared" si="78"/>
        <v>0</v>
      </c>
      <c r="BR27" s="277">
        <f t="shared" si="43"/>
        <v>0</v>
      </c>
      <c r="BS27" s="277">
        <f t="shared" si="44"/>
        <v>0</v>
      </c>
      <c r="BT27" s="277">
        <f t="shared" si="79"/>
        <v>0</v>
      </c>
      <c r="BU27" s="277">
        <f t="shared" si="80"/>
        <v>0</v>
      </c>
      <c r="BV27" s="277">
        <f t="shared" si="81"/>
        <v>0</v>
      </c>
      <c r="BW27" s="277">
        <f t="shared" si="82"/>
        <v>0</v>
      </c>
      <c r="BX27" s="277">
        <f t="shared" si="45"/>
        <v>0</v>
      </c>
      <c r="BY27" s="277">
        <f t="shared" si="46"/>
        <v>0</v>
      </c>
      <c r="BZ27" s="277">
        <f t="shared" si="47"/>
        <v>0</v>
      </c>
      <c r="CA27" s="277">
        <f t="shared" si="48"/>
        <v>0</v>
      </c>
      <c r="CB27" s="277">
        <f t="shared" si="49"/>
        <v>0</v>
      </c>
      <c r="CC27" s="277">
        <f t="shared" si="50"/>
        <v>0</v>
      </c>
      <c r="CD27" s="277">
        <f t="shared" si="83"/>
        <v>0</v>
      </c>
      <c r="CE27" s="277">
        <f t="shared" si="84"/>
        <v>0</v>
      </c>
      <c r="CF27" s="277">
        <f t="shared" si="85"/>
        <v>0</v>
      </c>
      <c r="CG27" s="277">
        <f t="shared" si="86"/>
        <v>0</v>
      </c>
      <c r="CH27" s="277">
        <f t="shared" si="51"/>
        <v>0</v>
      </c>
      <c r="CI27" s="277">
        <f t="shared" si="52"/>
        <v>0</v>
      </c>
      <c r="CJ27" s="277">
        <f t="shared" si="87"/>
        <v>0</v>
      </c>
      <c r="CK27" s="277">
        <f t="shared" si="88"/>
        <v>0</v>
      </c>
      <c r="CL27" s="277">
        <f t="shared" si="53"/>
        <v>0</v>
      </c>
      <c r="CM27" s="277">
        <f t="shared" si="54"/>
        <v>0</v>
      </c>
      <c r="CN27" s="277">
        <f t="shared" si="55"/>
        <v>0</v>
      </c>
      <c r="CO27" s="277">
        <f t="shared" si="56"/>
        <v>0</v>
      </c>
      <c r="CP27" s="277">
        <f t="shared" si="89"/>
        <v>0</v>
      </c>
      <c r="CQ27" s="277">
        <f t="shared" si="90"/>
        <v>0</v>
      </c>
      <c r="CR27" s="277">
        <f t="shared" si="91"/>
        <v>0</v>
      </c>
      <c r="CS27" s="277">
        <f t="shared" si="92"/>
        <v>0</v>
      </c>
      <c r="CT27" s="277">
        <f t="shared" si="57"/>
        <v>0</v>
      </c>
      <c r="CU27" s="277">
        <f t="shared" si="58"/>
        <v>0</v>
      </c>
      <c r="CV27" s="277">
        <f t="shared" si="59"/>
        <v>0</v>
      </c>
      <c r="CW27" s="277">
        <f t="shared" si="60"/>
        <v>0</v>
      </c>
      <c r="CX27" s="277">
        <f t="shared" si="93"/>
        <v>0</v>
      </c>
      <c r="CY27" s="277">
        <f t="shared" si="94"/>
        <v>0</v>
      </c>
      <c r="CZ27" s="277">
        <f t="shared" si="95"/>
        <v>0</v>
      </c>
      <c r="DA27" s="277">
        <f t="shared" si="96"/>
        <v>0</v>
      </c>
    </row>
    <row r="28" spans="1:105" s="274" customFormat="1" ht="15.75" customHeight="1">
      <c r="A28" s="63" t="str">
        <f t="array" ref="A28">IF(C28&lt;&gt;0,SUM(($C$11:C28&lt;&gt;0)*1),"")</f>
        <v/>
      </c>
      <c r="B28" s="275"/>
      <c r="C28" s="275"/>
      <c r="D28" s="275"/>
      <c r="E28" s="365"/>
      <c r="F28" s="326"/>
      <c r="G28" s="328"/>
      <c r="H28" s="328"/>
      <c r="I28" s="63" t="str">
        <f t="shared" ref="I28:I50" si="97">A28</f>
        <v/>
      </c>
      <c r="J28" s="277">
        <f t="shared" si="61"/>
        <v>0</v>
      </c>
      <c r="K28" s="277">
        <f t="shared" si="62"/>
        <v>0</v>
      </c>
      <c r="L28" s="277">
        <f t="shared" si="1"/>
        <v>0</v>
      </c>
      <c r="M28" s="277">
        <f t="shared" si="2"/>
        <v>0</v>
      </c>
      <c r="N28" s="277">
        <f t="shared" si="3"/>
        <v>0</v>
      </c>
      <c r="O28" s="277">
        <f t="shared" si="4"/>
        <v>0</v>
      </c>
      <c r="P28" s="277">
        <f t="shared" si="5"/>
        <v>0</v>
      </c>
      <c r="Q28" s="277">
        <f t="shared" si="6"/>
        <v>0</v>
      </c>
      <c r="R28" s="277">
        <f t="shared" si="7"/>
        <v>0</v>
      </c>
      <c r="S28" s="277">
        <f t="shared" si="8"/>
        <v>0</v>
      </c>
      <c r="T28" s="277">
        <f t="shared" si="9"/>
        <v>0</v>
      </c>
      <c r="U28" s="277">
        <f t="shared" si="10"/>
        <v>0</v>
      </c>
      <c r="V28" s="277">
        <f t="shared" si="11"/>
        <v>0</v>
      </c>
      <c r="W28" s="277">
        <f t="shared" si="12"/>
        <v>0</v>
      </c>
      <c r="X28" s="277">
        <f t="shared" si="13"/>
        <v>0</v>
      </c>
      <c r="Y28" s="277">
        <f t="shared" si="14"/>
        <v>0</v>
      </c>
      <c r="Z28" s="277">
        <f t="shared" si="15"/>
        <v>0</v>
      </c>
      <c r="AA28" s="277">
        <f t="shared" si="16"/>
        <v>0</v>
      </c>
      <c r="AB28" s="277">
        <f t="shared" si="63"/>
        <v>0</v>
      </c>
      <c r="AC28" s="277">
        <f t="shared" si="64"/>
        <v>0</v>
      </c>
      <c r="AD28" s="277">
        <f t="shared" si="17"/>
        <v>0</v>
      </c>
      <c r="AE28" s="277">
        <f t="shared" si="18"/>
        <v>0</v>
      </c>
      <c r="AF28" s="277">
        <f t="shared" si="19"/>
        <v>0</v>
      </c>
      <c r="AG28" s="277">
        <f t="shared" si="20"/>
        <v>0</v>
      </c>
      <c r="AH28" s="277">
        <f t="shared" si="65"/>
        <v>0</v>
      </c>
      <c r="AI28" s="277">
        <f t="shared" si="66"/>
        <v>0</v>
      </c>
      <c r="AJ28" s="277">
        <f t="shared" si="67"/>
        <v>0</v>
      </c>
      <c r="AK28" s="277">
        <f t="shared" si="68"/>
        <v>0</v>
      </c>
      <c r="AL28" s="277">
        <f t="shared" si="69"/>
        <v>0</v>
      </c>
      <c r="AM28" s="277">
        <f t="shared" si="70"/>
        <v>0</v>
      </c>
      <c r="AN28" s="277">
        <f t="shared" si="71"/>
        <v>0</v>
      </c>
      <c r="AO28" s="277">
        <f t="shared" si="72"/>
        <v>0</v>
      </c>
      <c r="AP28" s="277">
        <f t="shared" si="21"/>
        <v>0</v>
      </c>
      <c r="AQ28" s="277">
        <f t="shared" si="22"/>
        <v>0</v>
      </c>
      <c r="AR28" s="277">
        <f t="shared" si="23"/>
        <v>0</v>
      </c>
      <c r="AS28" s="277">
        <f t="shared" si="24"/>
        <v>0</v>
      </c>
      <c r="AT28" s="277">
        <f t="shared" si="73"/>
        <v>0</v>
      </c>
      <c r="AU28" s="277">
        <f t="shared" si="74"/>
        <v>0</v>
      </c>
      <c r="AV28" s="277">
        <f t="shared" si="25"/>
        <v>0</v>
      </c>
      <c r="AW28" s="277">
        <f t="shared" si="26"/>
        <v>0</v>
      </c>
      <c r="AX28" s="277">
        <f t="shared" si="27"/>
        <v>0</v>
      </c>
      <c r="AY28" s="277">
        <f t="shared" si="28"/>
        <v>0</v>
      </c>
      <c r="AZ28" s="277">
        <f t="shared" si="29"/>
        <v>0</v>
      </c>
      <c r="BA28" s="277">
        <f t="shared" si="30"/>
        <v>0</v>
      </c>
      <c r="BB28" s="277">
        <f t="shared" si="31"/>
        <v>0</v>
      </c>
      <c r="BC28" s="277">
        <f t="shared" si="32"/>
        <v>0</v>
      </c>
      <c r="BD28" s="277">
        <f t="shared" si="33"/>
        <v>0</v>
      </c>
      <c r="BE28" s="277">
        <f t="shared" si="34"/>
        <v>0</v>
      </c>
      <c r="BF28" s="277">
        <f t="shared" si="35"/>
        <v>0</v>
      </c>
      <c r="BG28" s="277">
        <f t="shared" si="36"/>
        <v>0</v>
      </c>
      <c r="BH28" s="277">
        <f t="shared" si="75"/>
        <v>0</v>
      </c>
      <c r="BI28" s="277">
        <f t="shared" si="76"/>
        <v>0</v>
      </c>
      <c r="BJ28" s="277">
        <f t="shared" si="37"/>
        <v>0</v>
      </c>
      <c r="BK28" s="277">
        <f t="shared" si="38"/>
        <v>0</v>
      </c>
      <c r="BL28" s="277">
        <f t="shared" si="39"/>
        <v>0</v>
      </c>
      <c r="BM28" s="277">
        <f t="shared" si="40"/>
        <v>0</v>
      </c>
      <c r="BN28" s="277">
        <f t="shared" si="41"/>
        <v>0</v>
      </c>
      <c r="BO28" s="277">
        <f t="shared" si="42"/>
        <v>0</v>
      </c>
      <c r="BP28" s="277">
        <f t="shared" si="77"/>
        <v>0</v>
      </c>
      <c r="BQ28" s="277">
        <f t="shared" si="78"/>
        <v>0</v>
      </c>
      <c r="BR28" s="277">
        <f t="shared" si="43"/>
        <v>0</v>
      </c>
      <c r="BS28" s="277">
        <f t="shared" si="44"/>
        <v>0</v>
      </c>
      <c r="BT28" s="277">
        <f t="shared" si="79"/>
        <v>0</v>
      </c>
      <c r="BU28" s="277">
        <f t="shared" si="80"/>
        <v>0</v>
      </c>
      <c r="BV28" s="277">
        <f t="shared" si="81"/>
        <v>0</v>
      </c>
      <c r="BW28" s="277">
        <f t="shared" si="82"/>
        <v>0</v>
      </c>
      <c r="BX28" s="277">
        <f t="shared" si="45"/>
        <v>0</v>
      </c>
      <c r="BY28" s="277">
        <f t="shared" si="46"/>
        <v>0</v>
      </c>
      <c r="BZ28" s="277">
        <f t="shared" si="47"/>
        <v>0</v>
      </c>
      <c r="CA28" s="277">
        <f t="shared" si="48"/>
        <v>0</v>
      </c>
      <c r="CB28" s="277">
        <f t="shared" si="49"/>
        <v>0</v>
      </c>
      <c r="CC28" s="277">
        <f t="shared" si="50"/>
        <v>0</v>
      </c>
      <c r="CD28" s="277">
        <f t="shared" si="83"/>
        <v>0</v>
      </c>
      <c r="CE28" s="277">
        <f t="shared" si="84"/>
        <v>0</v>
      </c>
      <c r="CF28" s="277">
        <f t="shared" si="85"/>
        <v>0</v>
      </c>
      <c r="CG28" s="277">
        <f t="shared" si="86"/>
        <v>0</v>
      </c>
      <c r="CH28" s="277">
        <f t="shared" si="51"/>
        <v>0</v>
      </c>
      <c r="CI28" s="277">
        <f t="shared" si="52"/>
        <v>0</v>
      </c>
      <c r="CJ28" s="277">
        <f t="shared" si="87"/>
        <v>0</v>
      </c>
      <c r="CK28" s="277">
        <f t="shared" si="88"/>
        <v>0</v>
      </c>
      <c r="CL28" s="277">
        <f t="shared" si="53"/>
        <v>0</v>
      </c>
      <c r="CM28" s="277">
        <f t="shared" si="54"/>
        <v>0</v>
      </c>
      <c r="CN28" s="277">
        <f t="shared" si="55"/>
        <v>0</v>
      </c>
      <c r="CO28" s="277">
        <f t="shared" si="56"/>
        <v>0</v>
      </c>
      <c r="CP28" s="277">
        <f t="shared" si="89"/>
        <v>0</v>
      </c>
      <c r="CQ28" s="277">
        <f t="shared" si="90"/>
        <v>0</v>
      </c>
      <c r="CR28" s="277">
        <f t="shared" si="91"/>
        <v>0</v>
      </c>
      <c r="CS28" s="277">
        <f t="shared" si="92"/>
        <v>0</v>
      </c>
      <c r="CT28" s="277">
        <f t="shared" si="57"/>
        <v>0</v>
      </c>
      <c r="CU28" s="277">
        <f t="shared" si="58"/>
        <v>0</v>
      </c>
      <c r="CV28" s="277">
        <f t="shared" si="59"/>
        <v>0</v>
      </c>
      <c r="CW28" s="277">
        <f t="shared" si="60"/>
        <v>0</v>
      </c>
      <c r="CX28" s="277">
        <f t="shared" si="93"/>
        <v>0</v>
      </c>
      <c r="CY28" s="277">
        <f t="shared" si="94"/>
        <v>0</v>
      </c>
      <c r="CZ28" s="277">
        <f t="shared" si="95"/>
        <v>0</v>
      </c>
      <c r="DA28" s="277">
        <f t="shared" si="96"/>
        <v>0</v>
      </c>
    </row>
    <row r="29" spans="1:105" s="274" customFormat="1" ht="15.75" customHeight="1">
      <c r="A29" s="63" t="str">
        <f t="array" ref="A29">IF(C29&lt;&gt;0,SUM(($C$11:C29&lt;&gt;0)*1),"")</f>
        <v/>
      </c>
      <c r="B29" s="275"/>
      <c r="C29" s="275"/>
      <c r="D29" s="275"/>
      <c r="E29" s="365"/>
      <c r="F29" s="326"/>
      <c r="G29" s="328"/>
      <c r="H29" s="328"/>
      <c r="I29" s="63" t="str">
        <f t="shared" si="97"/>
        <v/>
      </c>
      <c r="J29" s="277">
        <f t="shared" si="61"/>
        <v>0</v>
      </c>
      <c r="K29" s="277">
        <f t="shared" si="62"/>
        <v>0</v>
      </c>
      <c r="L29" s="277">
        <f t="shared" si="1"/>
        <v>0</v>
      </c>
      <c r="M29" s="277">
        <f t="shared" si="2"/>
        <v>0</v>
      </c>
      <c r="N29" s="277">
        <f t="shared" si="3"/>
        <v>0</v>
      </c>
      <c r="O29" s="277">
        <f t="shared" si="4"/>
        <v>0</v>
      </c>
      <c r="P29" s="277">
        <f t="shared" si="5"/>
        <v>0</v>
      </c>
      <c r="Q29" s="277">
        <f t="shared" si="6"/>
        <v>0</v>
      </c>
      <c r="R29" s="277">
        <f t="shared" si="7"/>
        <v>0</v>
      </c>
      <c r="S29" s="277">
        <f t="shared" si="8"/>
        <v>0</v>
      </c>
      <c r="T29" s="277">
        <f t="shared" si="9"/>
        <v>0</v>
      </c>
      <c r="U29" s="277">
        <f t="shared" si="10"/>
        <v>0</v>
      </c>
      <c r="V29" s="277">
        <f t="shared" si="11"/>
        <v>0</v>
      </c>
      <c r="W29" s="277">
        <f t="shared" si="12"/>
        <v>0</v>
      </c>
      <c r="X29" s="277">
        <f t="shared" si="13"/>
        <v>0</v>
      </c>
      <c r="Y29" s="277">
        <f t="shared" si="14"/>
        <v>0</v>
      </c>
      <c r="Z29" s="277">
        <f t="shared" si="15"/>
        <v>0</v>
      </c>
      <c r="AA29" s="277">
        <f t="shared" si="16"/>
        <v>0</v>
      </c>
      <c r="AB29" s="277">
        <f t="shared" si="63"/>
        <v>0</v>
      </c>
      <c r="AC29" s="277">
        <f t="shared" si="64"/>
        <v>0</v>
      </c>
      <c r="AD29" s="277">
        <f t="shared" si="17"/>
        <v>0</v>
      </c>
      <c r="AE29" s="277">
        <f t="shared" si="18"/>
        <v>0</v>
      </c>
      <c r="AF29" s="277">
        <f t="shared" si="19"/>
        <v>0</v>
      </c>
      <c r="AG29" s="277">
        <f t="shared" si="20"/>
        <v>0</v>
      </c>
      <c r="AH29" s="277">
        <f t="shared" si="65"/>
        <v>0</v>
      </c>
      <c r="AI29" s="277">
        <f t="shared" si="66"/>
        <v>0</v>
      </c>
      <c r="AJ29" s="277">
        <f t="shared" si="67"/>
        <v>0</v>
      </c>
      <c r="AK29" s="277">
        <f t="shared" si="68"/>
        <v>0</v>
      </c>
      <c r="AL29" s="277">
        <f t="shared" si="69"/>
        <v>0</v>
      </c>
      <c r="AM29" s="277">
        <f t="shared" si="70"/>
        <v>0</v>
      </c>
      <c r="AN29" s="277">
        <f t="shared" si="71"/>
        <v>0</v>
      </c>
      <c r="AO29" s="277">
        <f t="shared" si="72"/>
        <v>0</v>
      </c>
      <c r="AP29" s="277">
        <f t="shared" si="21"/>
        <v>0</v>
      </c>
      <c r="AQ29" s="277">
        <f t="shared" si="22"/>
        <v>0</v>
      </c>
      <c r="AR29" s="277">
        <f t="shared" si="23"/>
        <v>0</v>
      </c>
      <c r="AS29" s="277">
        <f t="shared" si="24"/>
        <v>0</v>
      </c>
      <c r="AT29" s="277">
        <f t="shared" si="73"/>
        <v>0</v>
      </c>
      <c r="AU29" s="277">
        <f t="shared" si="74"/>
        <v>0</v>
      </c>
      <c r="AV29" s="277">
        <f t="shared" si="25"/>
        <v>0</v>
      </c>
      <c r="AW29" s="277">
        <f t="shared" si="26"/>
        <v>0</v>
      </c>
      <c r="AX29" s="277">
        <f t="shared" si="27"/>
        <v>0</v>
      </c>
      <c r="AY29" s="277">
        <f t="shared" si="28"/>
        <v>0</v>
      </c>
      <c r="AZ29" s="277">
        <f t="shared" si="29"/>
        <v>0</v>
      </c>
      <c r="BA29" s="277">
        <f t="shared" si="30"/>
        <v>0</v>
      </c>
      <c r="BB29" s="277">
        <f t="shared" si="31"/>
        <v>0</v>
      </c>
      <c r="BC29" s="277">
        <f t="shared" si="32"/>
        <v>0</v>
      </c>
      <c r="BD29" s="277">
        <f t="shared" si="33"/>
        <v>0</v>
      </c>
      <c r="BE29" s="277">
        <f t="shared" si="34"/>
        <v>0</v>
      </c>
      <c r="BF29" s="277">
        <f t="shared" si="35"/>
        <v>0</v>
      </c>
      <c r="BG29" s="277">
        <f t="shared" si="36"/>
        <v>0</v>
      </c>
      <c r="BH29" s="277">
        <f t="shared" si="75"/>
        <v>0</v>
      </c>
      <c r="BI29" s="277">
        <f t="shared" si="76"/>
        <v>0</v>
      </c>
      <c r="BJ29" s="277">
        <f t="shared" si="37"/>
        <v>0</v>
      </c>
      <c r="BK29" s="277">
        <f t="shared" si="38"/>
        <v>0</v>
      </c>
      <c r="BL29" s="277">
        <f t="shared" si="39"/>
        <v>0</v>
      </c>
      <c r="BM29" s="277">
        <f t="shared" si="40"/>
        <v>0</v>
      </c>
      <c r="BN29" s="277">
        <f t="shared" si="41"/>
        <v>0</v>
      </c>
      <c r="BO29" s="277">
        <f t="shared" si="42"/>
        <v>0</v>
      </c>
      <c r="BP29" s="277">
        <f t="shared" si="77"/>
        <v>0</v>
      </c>
      <c r="BQ29" s="277">
        <f t="shared" si="78"/>
        <v>0</v>
      </c>
      <c r="BR29" s="277">
        <f t="shared" si="43"/>
        <v>0</v>
      </c>
      <c r="BS29" s="277">
        <f t="shared" si="44"/>
        <v>0</v>
      </c>
      <c r="BT29" s="277">
        <f t="shared" si="79"/>
        <v>0</v>
      </c>
      <c r="BU29" s="277">
        <f t="shared" si="80"/>
        <v>0</v>
      </c>
      <c r="BV29" s="277">
        <f t="shared" si="81"/>
        <v>0</v>
      </c>
      <c r="BW29" s="277">
        <f t="shared" si="82"/>
        <v>0</v>
      </c>
      <c r="BX29" s="277">
        <f t="shared" si="45"/>
        <v>0</v>
      </c>
      <c r="BY29" s="277">
        <f t="shared" si="46"/>
        <v>0</v>
      </c>
      <c r="BZ29" s="277">
        <f t="shared" si="47"/>
        <v>0</v>
      </c>
      <c r="CA29" s="277">
        <f t="shared" si="48"/>
        <v>0</v>
      </c>
      <c r="CB29" s="277">
        <f t="shared" si="49"/>
        <v>0</v>
      </c>
      <c r="CC29" s="277">
        <f t="shared" si="50"/>
        <v>0</v>
      </c>
      <c r="CD29" s="277">
        <f t="shared" si="83"/>
        <v>0</v>
      </c>
      <c r="CE29" s="277">
        <f t="shared" si="84"/>
        <v>0</v>
      </c>
      <c r="CF29" s="277">
        <f t="shared" si="85"/>
        <v>0</v>
      </c>
      <c r="CG29" s="277">
        <f t="shared" si="86"/>
        <v>0</v>
      </c>
      <c r="CH29" s="277">
        <f t="shared" si="51"/>
        <v>0</v>
      </c>
      <c r="CI29" s="277">
        <f t="shared" si="52"/>
        <v>0</v>
      </c>
      <c r="CJ29" s="277">
        <f t="shared" si="87"/>
        <v>0</v>
      </c>
      <c r="CK29" s="277">
        <f t="shared" si="88"/>
        <v>0</v>
      </c>
      <c r="CL29" s="277">
        <f t="shared" si="53"/>
        <v>0</v>
      </c>
      <c r="CM29" s="277">
        <f t="shared" si="54"/>
        <v>0</v>
      </c>
      <c r="CN29" s="277">
        <f t="shared" si="55"/>
        <v>0</v>
      </c>
      <c r="CO29" s="277">
        <f t="shared" si="56"/>
        <v>0</v>
      </c>
      <c r="CP29" s="277">
        <f t="shared" si="89"/>
        <v>0</v>
      </c>
      <c r="CQ29" s="277">
        <f t="shared" si="90"/>
        <v>0</v>
      </c>
      <c r="CR29" s="277">
        <f t="shared" si="91"/>
        <v>0</v>
      </c>
      <c r="CS29" s="277">
        <f t="shared" si="92"/>
        <v>0</v>
      </c>
      <c r="CT29" s="277">
        <f t="shared" si="57"/>
        <v>0</v>
      </c>
      <c r="CU29" s="277">
        <f t="shared" si="58"/>
        <v>0</v>
      </c>
      <c r="CV29" s="277">
        <f t="shared" si="59"/>
        <v>0</v>
      </c>
      <c r="CW29" s="277">
        <f t="shared" si="60"/>
        <v>0</v>
      </c>
      <c r="CX29" s="277">
        <f t="shared" si="93"/>
        <v>0</v>
      </c>
      <c r="CY29" s="277">
        <f t="shared" si="94"/>
        <v>0</v>
      </c>
      <c r="CZ29" s="277">
        <f t="shared" si="95"/>
        <v>0</v>
      </c>
      <c r="DA29" s="277">
        <f t="shared" si="96"/>
        <v>0</v>
      </c>
    </row>
    <row r="30" spans="1:105" s="274" customFormat="1" ht="15.75" customHeight="1">
      <c r="A30" s="63" t="str">
        <f t="array" ref="A30">IF(C30&lt;&gt;0,SUM(($C$11:C30&lt;&gt;0)*1),"")</f>
        <v/>
      </c>
      <c r="B30" s="275"/>
      <c r="C30" s="275"/>
      <c r="D30" s="275"/>
      <c r="E30" s="365"/>
      <c r="F30" s="326"/>
      <c r="G30" s="328"/>
      <c r="H30" s="328"/>
      <c r="I30" s="63" t="str">
        <f t="shared" si="97"/>
        <v/>
      </c>
      <c r="J30" s="277">
        <f t="shared" si="61"/>
        <v>0</v>
      </c>
      <c r="K30" s="277">
        <f t="shared" si="62"/>
        <v>0</v>
      </c>
      <c r="L30" s="277">
        <f t="shared" si="1"/>
        <v>0</v>
      </c>
      <c r="M30" s="277">
        <f t="shared" si="2"/>
        <v>0</v>
      </c>
      <c r="N30" s="277">
        <f t="shared" si="3"/>
        <v>0</v>
      </c>
      <c r="O30" s="277">
        <f t="shared" si="4"/>
        <v>0</v>
      </c>
      <c r="P30" s="277">
        <f t="shared" si="5"/>
        <v>0</v>
      </c>
      <c r="Q30" s="277">
        <f t="shared" si="6"/>
        <v>0</v>
      </c>
      <c r="R30" s="277">
        <f t="shared" si="7"/>
        <v>0</v>
      </c>
      <c r="S30" s="277">
        <f t="shared" si="8"/>
        <v>0</v>
      </c>
      <c r="T30" s="277">
        <f t="shared" si="9"/>
        <v>0</v>
      </c>
      <c r="U30" s="277">
        <f t="shared" si="10"/>
        <v>0</v>
      </c>
      <c r="V30" s="277">
        <f t="shared" si="11"/>
        <v>0</v>
      </c>
      <c r="W30" s="277">
        <f t="shared" si="12"/>
        <v>0</v>
      </c>
      <c r="X30" s="277">
        <f t="shared" si="13"/>
        <v>0</v>
      </c>
      <c r="Y30" s="277">
        <f t="shared" si="14"/>
        <v>0</v>
      </c>
      <c r="Z30" s="277">
        <f t="shared" si="15"/>
        <v>0</v>
      </c>
      <c r="AA30" s="277">
        <f t="shared" si="16"/>
        <v>0</v>
      </c>
      <c r="AB30" s="277">
        <f t="shared" si="63"/>
        <v>0</v>
      </c>
      <c r="AC30" s="277">
        <f t="shared" si="64"/>
        <v>0</v>
      </c>
      <c r="AD30" s="277">
        <f t="shared" si="17"/>
        <v>0</v>
      </c>
      <c r="AE30" s="277">
        <f t="shared" si="18"/>
        <v>0</v>
      </c>
      <c r="AF30" s="277">
        <f t="shared" si="19"/>
        <v>0</v>
      </c>
      <c r="AG30" s="277">
        <f t="shared" si="20"/>
        <v>0</v>
      </c>
      <c r="AH30" s="277">
        <f t="shared" si="65"/>
        <v>0</v>
      </c>
      <c r="AI30" s="277">
        <f t="shared" si="66"/>
        <v>0</v>
      </c>
      <c r="AJ30" s="277">
        <f t="shared" si="67"/>
        <v>0</v>
      </c>
      <c r="AK30" s="277">
        <f t="shared" si="68"/>
        <v>0</v>
      </c>
      <c r="AL30" s="277">
        <f t="shared" si="69"/>
        <v>0</v>
      </c>
      <c r="AM30" s="277">
        <f t="shared" si="70"/>
        <v>0</v>
      </c>
      <c r="AN30" s="277">
        <f t="shared" si="71"/>
        <v>0</v>
      </c>
      <c r="AO30" s="277">
        <f t="shared" si="72"/>
        <v>0</v>
      </c>
      <c r="AP30" s="277">
        <f t="shared" si="21"/>
        <v>0</v>
      </c>
      <c r="AQ30" s="277">
        <f t="shared" si="22"/>
        <v>0</v>
      </c>
      <c r="AR30" s="277">
        <f t="shared" si="23"/>
        <v>0</v>
      </c>
      <c r="AS30" s="277">
        <f t="shared" si="24"/>
        <v>0</v>
      </c>
      <c r="AT30" s="277">
        <f t="shared" si="73"/>
        <v>0</v>
      </c>
      <c r="AU30" s="277">
        <f t="shared" si="74"/>
        <v>0</v>
      </c>
      <c r="AV30" s="277">
        <f t="shared" si="25"/>
        <v>0</v>
      </c>
      <c r="AW30" s="277">
        <f t="shared" si="26"/>
        <v>0</v>
      </c>
      <c r="AX30" s="277">
        <f t="shared" si="27"/>
        <v>0</v>
      </c>
      <c r="AY30" s="277">
        <f t="shared" si="28"/>
        <v>0</v>
      </c>
      <c r="AZ30" s="277">
        <f t="shared" si="29"/>
        <v>0</v>
      </c>
      <c r="BA30" s="277">
        <f t="shared" si="30"/>
        <v>0</v>
      </c>
      <c r="BB30" s="277">
        <f t="shared" si="31"/>
        <v>0</v>
      </c>
      <c r="BC30" s="277">
        <f t="shared" si="32"/>
        <v>0</v>
      </c>
      <c r="BD30" s="277">
        <f t="shared" si="33"/>
        <v>0</v>
      </c>
      <c r="BE30" s="277">
        <f t="shared" si="34"/>
        <v>0</v>
      </c>
      <c r="BF30" s="277">
        <f t="shared" si="35"/>
        <v>0</v>
      </c>
      <c r="BG30" s="277">
        <f t="shared" si="36"/>
        <v>0</v>
      </c>
      <c r="BH30" s="277">
        <f t="shared" si="75"/>
        <v>0</v>
      </c>
      <c r="BI30" s="277">
        <f t="shared" si="76"/>
        <v>0</v>
      </c>
      <c r="BJ30" s="277">
        <f t="shared" si="37"/>
        <v>0</v>
      </c>
      <c r="BK30" s="277">
        <f t="shared" si="38"/>
        <v>0</v>
      </c>
      <c r="BL30" s="277">
        <f t="shared" si="39"/>
        <v>0</v>
      </c>
      <c r="BM30" s="277">
        <f t="shared" si="40"/>
        <v>0</v>
      </c>
      <c r="BN30" s="277">
        <f t="shared" si="41"/>
        <v>0</v>
      </c>
      <c r="BO30" s="277">
        <f t="shared" si="42"/>
        <v>0</v>
      </c>
      <c r="BP30" s="277">
        <f t="shared" si="77"/>
        <v>0</v>
      </c>
      <c r="BQ30" s="277">
        <f t="shared" si="78"/>
        <v>0</v>
      </c>
      <c r="BR30" s="277">
        <f t="shared" si="43"/>
        <v>0</v>
      </c>
      <c r="BS30" s="277">
        <f t="shared" si="44"/>
        <v>0</v>
      </c>
      <c r="BT30" s="277">
        <f t="shared" si="79"/>
        <v>0</v>
      </c>
      <c r="BU30" s="277">
        <f t="shared" si="80"/>
        <v>0</v>
      </c>
      <c r="BV30" s="277">
        <f t="shared" si="81"/>
        <v>0</v>
      </c>
      <c r="BW30" s="277">
        <f t="shared" si="82"/>
        <v>0</v>
      </c>
      <c r="BX30" s="277">
        <f t="shared" si="45"/>
        <v>0</v>
      </c>
      <c r="BY30" s="277">
        <f t="shared" si="46"/>
        <v>0</v>
      </c>
      <c r="BZ30" s="277">
        <f t="shared" si="47"/>
        <v>0</v>
      </c>
      <c r="CA30" s="277">
        <f t="shared" si="48"/>
        <v>0</v>
      </c>
      <c r="CB30" s="277">
        <f t="shared" si="49"/>
        <v>0</v>
      </c>
      <c r="CC30" s="277">
        <f t="shared" si="50"/>
        <v>0</v>
      </c>
      <c r="CD30" s="277">
        <f t="shared" si="83"/>
        <v>0</v>
      </c>
      <c r="CE30" s="277">
        <f t="shared" si="84"/>
        <v>0</v>
      </c>
      <c r="CF30" s="277">
        <f t="shared" si="85"/>
        <v>0</v>
      </c>
      <c r="CG30" s="277">
        <f t="shared" si="86"/>
        <v>0</v>
      </c>
      <c r="CH30" s="277">
        <f t="shared" si="51"/>
        <v>0</v>
      </c>
      <c r="CI30" s="277">
        <f t="shared" si="52"/>
        <v>0</v>
      </c>
      <c r="CJ30" s="277">
        <f t="shared" si="87"/>
        <v>0</v>
      </c>
      <c r="CK30" s="277">
        <f t="shared" si="88"/>
        <v>0</v>
      </c>
      <c r="CL30" s="277">
        <f t="shared" si="53"/>
        <v>0</v>
      </c>
      <c r="CM30" s="277">
        <f t="shared" si="54"/>
        <v>0</v>
      </c>
      <c r="CN30" s="277">
        <f t="shared" si="55"/>
        <v>0</v>
      </c>
      <c r="CO30" s="277">
        <f t="shared" si="56"/>
        <v>0</v>
      </c>
      <c r="CP30" s="277">
        <f t="shared" si="89"/>
        <v>0</v>
      </c>
      <c r="CQ30" s="277">
        <f t="shared" si="90"/>
        <v>0</v>
      </c>
      <c r="CR30" s="277">
        <f t="shared" si="91"/>
        <v>0</v>
      </c>
      <c r="CS30" s="277">
        <f t="shared" si="92"/>
        <v>0</v>
      </c>
      <c r="CT30" s="277">
        <f t="shared" si="57"/>
        <v>0</v>
      </c>
      <c r="CU30" s="277">
        <f t="shared" si="58"/>
        <v>0</v>
      </c>
      <c r="CV30" s="277">
        <f t="shared" si="59"/>
        <v>0</v>
      </c>
      <c r="CW30" s="277">
        <f t="shared" si="60"/>
        <v>0</v>
      </c>
      <c r="CX30" s="277">
        <f t="shared" si="93"/>
        <v>0</v>
      </c>
      <c r="CY30" s="277">
        <f t="shared" si="94"/>
        <v>0</v>
      </c>
      <c r="CZ30" s="277">
        <f t="shared" si="95"/>
        <v>0</v>
      </c>
      <c r="DA30" s="277">
        <f t="shared" si="96"/>
        <v>0</v>
      </c>
    </row>
    <row r="31" spans="1:105" s="274" customFormat="1" ht="15.75" customHeight="1">
      <c r="A31" s="63" t="str">
        <f t="array" ref="A31">IF(C31&lt;&gt;0,SUM(($C$11:C31&lt;&gt;0)*1),"")</f>
        <v/>
      </c>
      <c r="B31" s="275"/>
      <c r="C31" s="275"/>
      <c r="D31" s="275"/>
      <c r="E31" s="365"/>
      <c r="F31" s="326"/>
      <c r="G31" s="328"/>
      <c r="H31" s="328"/>
      <c r="I31" s="63" t="str">
        <f t="shared" si="97"/>
        <v/>
      </c>
      <c r="J31" s="277">
        <f t="shared" si="61"/>
        <v>0</v>
      </c>
      <c r="K31" s="277">
        <f t="shared" si="62"/>
        <v>0</v>
      </c>
      <c r="L31" s="277">
        <f t="shared" si="1"/>
        <v>0</v>
      </c>
      <c r="M31" s="277">
        <f t="shared" si="2"/>
        <v>0</v>
      </c>
      <c r="N31" s="277">
        <f t="shared" si="3"/>
        <v>0</v>
      </c>
      <c r="O31" s="277">
        <f t="shared" si="4"/>
        <v>0</v>
      </c>
      <c r="P31" s="277">
        <f t="shared" si="5"/>
        <v>0</v>
      </c>
      <c r="Q31" s="277">
        <f t="shared" si="6"/>
        <v>0</v>
      </c>
      <c r="R31" s="277">
        <f t="shared" si="7"/>
        <v>0</v>
      </c>
      <c r="S31" s="277">
        <f t="shared" si="8"/>
        <v>0</v>
      </c>
      <c r="T31" s="277">
        <f t="shared" si="9"/>
        <v>0</v>
      </c>
      <c r="U31" s="277">
        <f t="shared" si="10"/>
        <v>0</v>
      </c>
      <c r="V31" s="277">
        <f t="shared" si="11"/>
        <v>0</v>
      </c>
      <c r="W31" s="277">
        <f t="shared" si="12"/>
        <v>0</v>
      </c>
      <c r="X31" s="277">
        <f t="shared" si="13"/>
        <v>0</v>
      </c>
      <c r="Y31" s="277">
        <f t="shared" si="14"/>
        <v>0</v>
      </c>
      <c r="Z31" s="277">
        <f t="shared" si="15"/>
        <v>0</v>
      </c>
      <c r="AA31" s="277">
        <f t="shared" si="16"/>
        <v>0</v>
      </c>
      <c r="AB31" s="277">
        <f t="shared" si="63"/>
        <v>0</v>
      </c>
      <c r="AC31" s="277">
        <f t="shared" si="64"/>
        <v>0</v>
      </c>
      <c r="AD31" s="277">
        <f t="shared" si="17"/>
        <v>0</v>
      </c>
      <c r="AE31" s="277">
        <f t="shared" si="18"/>
        <v>0</v>
      </c>
      <c r="AF31" s="277">
        <f t="shared" si="19"/>
        <v>0</v>
      </c>
      <c r="AG31" s="277">
        <f t="shared" si="20"/>
        <v>0</v>
      </c>
      <c r="AH31" s="277">
        <f t="shared" si="65"/>
        <v>0</v>
      </c>
      <c r="AI31" s="277">
        <f t="shared" si="66"/>
        <v>0</v>
      </c>
      <c r="AJ31" s="277">
        <f t="shared" si="67"/>
        <v>0</v>
      </c>
      <c r="AK31" s="277">
        <f t="shared" si="68"/>
        <v>0</v>
      </c>
      <c r="AL31" s="277">
        <f t="shared" si="69"/>
        <v>0</v>
      </c>
      <c r="AM31" s="277">
        <f t="shared" si="70"/>
        <v>0</v>
      </c>
      <c r="AN31" s="277">
        <f t="shared" si="71"/>
        <v>0</v>
      </c>
      <c r="AO31" s="277">
        <f t="shared" si="72"/>
        <v>0</v>
      </c>
      <c r="AP31" s="277">
        <f t="shared" si="21"/>
        <v>0</v>
      </c>
      <c r="AQ31" s="277">
        <f t="shared" si="22"/>
        <v>0</v>
      </c>
      <c r="AR31" s="277">
        <f t="shared" si="23"/>
        <v>0</v>
      </c>
      <c r="AS31" s="277">
        <f t="shared" si="24"/>
        <v>0</v>
      </c>
      <c r="AT31" s="277">
        <f t="shared" si="73"/>
        <v>0</v>
      </c>
      <c r="AU31" s="277">
        <f t="shared" si="74"/>
        <v>0</v>
      </c>
      <c r="AV31" s="277">
        <f t="shared" si="25"/>
        <v>0</v>
      </c>
      <c r="AW31" s="277">
        <f t="shared" si="26"/>
        <v>0</v>
      </c>
      <c r="AX31" s="277">
        <f t="shared" si="27"/>
        <v>0</v>
      </c>
      <c r="AY31" s="277">
        <f t="shared" si="28"/>
        <v>0</v>
      </c>
      <c r="AZ31" s="277">
        <f t="shared" si="29"/>
        <v>0</v>
      </c>
      <c r="BA31" s="277">
        <f t="shared" si="30"/>
        <v>0</v>
      </c>
      <c r="BB31" s="277">
        <f t="shared" si="31"/>
        <v>0</v>
      </c>
      <c r="BC31" s="277">
        <f t="shared" si="32"/>
        <v>0</v>
      </c>
      <c r="BD31" s="277">
        <f t="shared" si="33"/>
        <v>0</v>
      </c>
      <c r="BE31" s="277">
        <f t="shared" si="34"/>
        <v>0</v>
      </c>
      <c r="BF31" s="277">
        <f t="shared" si="35"/>
        <v>0</v>
      </c>
      <c r="BG31" s="277">
        <f t="shared" si="36"/>
        <v>0</v>
      </c>
      <c r="BH31" s="277">
        <f t="shared" si="75"/>
        <v>0</v>
      </c>
      <c r="BI31" s="277">
        <f t="shared" si="76"/>
        <v>0</v>
      </c>
      <c r="BJ31" s="277">
        <f t="shared" si="37"/>
        <v>0</v>
      </c>
      <c r="BK31" s="277">
        <f t="shared" si="38"/>
        <v>0</v>
      </c>
      <c r="BL31" s="277">
        <f t="shared" si="39"/>
        <v>0</v>
      </c>
      <c r="BM31" s="277">
        <f t="shared" si="40"/>
        <v>0</v>
      </c>
      <c r="BN31" s="277">
        <f t="shared" si="41"/>
        <v>0</v>
      </c>
      <c r="BO31" s="277">
        <f t="shared" si="42"/>
        <v>0</v>
      </c>
      <c r="BP31" s="277">
        <f t="shared" si="77"/>
        <v>0</v>
      </c>
      <c r="BQ31" s="277">
        <f t="shared" si="78"/>
        <v>0</v>
      </c>
      <c r="BR31" s="277">
        <f t="shared" si="43"/>
        <v>0</v>
      </c>
      <c r="BS31" s="277">
        <f t="shared" si="44"/>
        <v>0</v>
      </c>
      <c r="BT31" s="277">
        <f t="shared" si="79"/>
        <v>0</v>
      </c>
      <c r="BU31" s="277">
        <f t="shared" si="80"/>
        <v>0</v>
      </c>
      <c r="BV31" s="277">
        <f t="shared" si="81"/>
        <v>0</v>
      </c>
      <c r="BW31" s="277">
        <f t="shared" si="82"/>
        <v>0</v>
      </c>
      <c r="BX31" s="277">
        <f t="shared" si="45"/>
        <v>0</v>
      </c>
      <c r="BY31" s="277">
        <f t="shared" si="46"/>
        <v>0</v>
      </c>
      <c r="BZ31" s="277">
        <f t="shared" si="47"/>
        <v>0</v>
      </c>
      <c r="CA31" s="277">
        <f t="shared" si="48"/>
        <v>0</v>
      </c>
      <c r="CB31" s="277">
        <f t="shared" si="49"/>
        <v>0</v>
      </c>
      <c r="CC31" s="277">
        <f t="shared" si="50"/>
        <v>0</v>
      </c>
      <c r="CD31" s="277">
        <f t="shared" si="83"/>
        <v>0</v>
      </c>
      <c r="CE31" s="277">
        <f t="shared" si="84"/>
        <v>0</v>
      </c>
      <c r="CF31" s="277">
        <f t="shared" si="85"/>
        <v>0</v>
      </c>
      <c r="CG31" s="277">
        <f t="shared" si="86"/>
        <v>0</v>
      </c>
      <c r="CH31" s="277">
        <f t="shared" si="51"/>
        <v>0</v>
      </c>
      <c r="CI31" s="277">
        <f t="shared" si="52"/>
        <v>0</v>
      </c>
      <c r="CJ31" s="277">
        <f t="shared" si="87"/>
        <v>0</v>
      </c>
      <c r="CK31" s="277">
        <f t="shared" si="88"/>
        <v>0</v>
      </c>
      <c r="CL31" s="277">
        <f t="shared" si="53"/>
        <v>0</v>
      </c>
      <c r="CM31" s="277">
        <f t="shared" si="54"/>
        <v>0</v>
      </c>
      <c r="CN31" s="277">
        <f t="shared" si="55"/>
        <v>0</v>
      </c>
      <c r="CO31" s="277">
        <f t="shared" si="56"/>
        <v>0</v>
      </c>
      <c r="CP31" s="277">
        <f t="shared" si="89"/>
        <v>0</v>
      </c>
      <c r="CQ31" s="277">
        <f t="shared" si="90"/>
        <v>0</v>
      </c>
      <c r="CR31" s="277">
        <f t="shared" si="91"/>
        <v>0</v>
      </c>
      <c r="CS31" s="277">
        <f t="shared" si="92"/>
        <v>0</v>
      </c>
      <c r="CT31" s="277">
        <f t="shared" si="57"/>
        <v>0</v>
      </c>
      <c r="CU31" s="277">
        <f t="shared" si="58"/>
        <v>0</v>
      </c>
      <c r="CV31" s="277">
        <f t="shared" si="59"/>
        <v>0</v>
      </c>
      <c r="CW31" s="277">
        <f t="shared" si="60"/>
        <v>0</v>
      </c>
      <c r="CX31" s="277">
        <f t="shared" si="93"/>
        <v>0</v>
      </c>
      <c r="CY31" s="277">
        <f t="shared" si="94"/>
        <v>0</v>
      </c>
      <c r="CZ31" s="277">
        <f t="shared" si="95"/>
        <v>0</v>
      </c>
      <c r="DA31" s="277">
        <f t="shared" si="96"/>
        <v>0</v>
      </c>
    </row>
    <row r="32" spans="1:105" s="274" customFormat="1" ht="15.75" customHeight="1">
      <c r="A32" s="63" t="str">
        <f t="array" ref="A32">IF(C32&lt;&gt;0,SUM(($C$11:C32&lt;&gt;0)*1),"")</f>
        <v/>
      </c>
      <c r="B32" s="275"/>
      <c r="C32" s="275"/>
      <c r="D32" s="275"/>
      <c r="E32" s="365"/>
      <c r="F32" s="326"/>
      <c r="G32" s="328"/>
      <c r="H32" s="328"/>
      <c r="I32" s="63" t="str">
        <f t="shared" si="97"/>
        <v/>
      </c>
      <c r="J32" s="277">
        <f t="shared" si="61"/>
        <v>0</v>
      </c>
      <c r="K32" s="277">
        <f t="shared" si="62"/>
        <v>0</v>
      </c>
      <c r="L32" s="277">
        <f t="shared" si="1"/>
        <v>0</v>
      </c>
      <c r="M32" s="277">
        <f t="shared" si="2"/>
        <v>0</v>
      </c>
      <c r="N32" s="277">
        <f t="shared" si="3"/>
        <v>0</v>
      </c>
      <c r="O32" s="277">
        <f t="shared" si="4"/>
        <v>0</v>
      </c>
      <c r="P32" s="277">
        <f t="shared" si="5"/>
        <v>0</v>
      </c>
      <c r="Q32" s="277">
        <f t="shared" si="6"/>
        <v>0</v>
      </c>
      <c r="R32" s="277">
        <f t="shared" si="7"/>
        <v>0</v>
      </c>
      <c r="S32" s="277">
        <f t="shared" si="8"/>
        <v>0</v>
      </c>
      <c r="T32" s="277">
        <f t="shared" si="9"/>
        <v>0</v>
      </c>
      <c r="U32" s="277">
        <f t="shared" si="10"/>
        <v>0</v>
      </c>
      <c r="V32" s="277">
        <f t="shared" si="11"/>
        <v>0</v>
      </c>
      <c r="W32" s="277">
        <f t="shared" si="12"/>
        <v>0</v>
      </c>
      <c r="X32" s="277">
        <f t="shared" si="13"/>
        <v>0</v>
      </c>
      <c r="Y32" s="277">
        <f t="shared" si="14"/>
        <v>0</v>
      </c>
      <c r="Z32" s="277">
        <f t="shared" si="15"/>
        <v>0</v>
      </c>
      <c r="AA32" s="277">
        <f t="shared" si="16"/>
        <v>0</v>
      </c>
      <c r="AB32" s="277">
        <f t="shared" si="63"/>
        <v>0</v>
      </c>
      <c r="AC32" s="277">
        <f t="shared" si="64"/>
        <v>0</v>
      </c>
      <c r="AD32" s="277">
        <f t="shared" si="17"/>
        <v>0</v>
      </c>
      <c r="AE32" s="277">
        <f t="shared" si="18"/>
        <v>0</v>
      </c>
      <c r="AF32" s="277">
        <f t="shared" si="19"/>
        <v>0</v>
      </c>
      <c r="AG32" s="277">
        <f t="shared" si="20"/>
        <v>0</v>
      </c>
      <c r="AH32" s="277">
        <f t="shared" si="65"/>
        <v>0</v>
      </c>
      <c r="AI32" s="277">
        <f t="shared" si="66"/>
        <v>0</v>
      </c>
      <c r="AJ32" s="277">
        <f t="shared" si="67"/>
        <v>0</v>
      </c>
      <c r="AK32" s="277">
        <f t="shared" si="68"/>
        <v>0</v>
      </c>
      <c r="AL32" s="277">
        <f t="shared" si="69"/>
        <v>0</v>
      </c>
      <c r="AM32" s="277">
        <f t="shared" si="70"/>
        <v>0</v>
      </c>
      <c r="AN32" s="277">
        <f t="shared" si="71"/>
        <v>0</v>
      </c>
      <c r="AO32" s="277">
        <f t="shared" si="72"/>
        <v>0</v>
      </c>
      <c r="AP32" s="277">
        <f t="shared" si="21"/>
        <v>0</v>
      </c>
      <c r="AQ32" s="277">
        <f t="shared" si="22"/>
        <v>0</v>
      </c>
      <c r="AR32" s="277">
        <f t="shared" si="23"/>
        <v>0</v>
      </c>
      <c r="AS32" s="277">
        <f t="shared" si="24"/>
        <v>0</v>
      </c>
      <c r="AT32" s="277">
        <f t="shared" si="73"/>
        <v>0</v>
      </c>
      <c r="AU32" s="277">
        <f t="shared" si="74"/>
        <v>0</v>
      </c>
      <c r="AV32" s="277">
        <f t="shared" si="25"/>
        <v>0</v>
      </c>
      <c r="AW32" s="277">
        <f t="shared" si="26"/>
        <v>0</v>
      </c>
      <c r="AX32" s="277">
        <f t="shared" si="27"/>
        <v>0</v>
      </c>
      <c r="AY32" s="277">
        <f t="shared" si="28"/>
        <v>0</v>
      </c>
      <c r="AZ32" s="277">
        <f t="shared" si="29"/>
        <v>0</v>
      </c>
      <c r="BA32" s="277">
        <f t="shared" si="30"/>
        <v>0</v>
      </c>
      <c r="BB32" s="277">
        <f t="shared" si="31"/>
        <v>0</v>
      </c>
      <c r="BC32" s="277">
        <f t="shared" si="32"/>
        <v>0</v>
      </c>
      <c r="BD32" s="277">
        <f t="shared" si="33"/>
        <v>0</v>
      </c>
      <c r="BE32" s="277">
        <f t="shared" si="34"/>
        <v>0</v>
      </c>
      <c r="BF32" s="277">
        <f t="shared" si="35"/>
        <v>0</v>
      </c>
      <c r="BG32" s="277">
        <f t="shared" si="36"/>
        <v>0</v>
      </c>
      <c r="BH32" s="277">
        <f t="shared" si="75"/>
        <v>0</v>
      </c>
      <c r="BI32" s="277">
        <f t="shared" si="76"/>
        <v>0</v>
      </c>
      <c r="BJ32" s="277">
        <f t="shared" si="37"/>
        <v>0</v>
      </c>
      <c r="BK32" s="277">
        <f t="shared" si="38"/>
        <v>0</v>
      </c>
      <c r="BL32" s="277">
        <f t="shared" si="39"/>
        <v>0</v>
      </c>
      <c r="BM32" s="277">
        <f t="shared" si="40"/>
        <v>0</v>
      </c>
      <c r="BN32" s="277">
        <f t="shared" si="41"/>
        <v>0</v>
      </c>
      <c r="BO32" s="277">
        <f t="shared" si="42"/>
        <v>0</v>
      </c>
      <c r="BP32" s="277">
        <f t="shared" si="77"/>
        <v>0</v>
      </c>
      <c r="BQ32" s="277">
        <f t="shared" si="78"/>
        <v>0</v>
      </c>
      <c r="BR32" s="277">
        <f t="shared" si="43"/>
        <v>0</v>
      </c>
      <c r="BS32" s="277">
        <f t="shared" si="44"/>
        <v>0</v>
      </c>
      <c r="BT32" s="277">
        <f t="shared" si="79"/>
        <v>0</v>
      </c>
      <c r="BU32" s="277">
        <f t="shared" si="80"/>
        <v>0</v>
      </c>
      <c r="BV32" s="277">
        <f t="shared" si="81"/>
        <v>0</v>
      </c>
      <c r="BW32" s="277">
        <f t="shared" si="82"/>
        <v>0</v>
      </c>
      <c r="BX32" s="277">
        <f t="shared" si="45"/>
        <v>0</v>
      </c>
      <c r="BY32" s="277">
        <f t="shared" si="46"/>
        <v>0</v>
      </c>
      <c r="BZ32" s="277">
        <f t="shared" si="47"/>
        <v>0</v>
      </c>
      <c r="CA32" s="277">
        <f t="shared" si="48"/>
        <v>0</v>
      </c>
      <c r="CB32" s="277">
        <f t="shared" si="49"/>
        <v>0</v>
      </c>
      <c r="CC32" s="277">
        <f t="shared" si="50"/>
        <v>0</v>
      </c>
      <c r="CD32" s="277">
        <f t="shared" si="83"/>
        <v>0</v>
      </c>
      <c r="CE32" s="277">
        <f t="shared" si="84"/>
        <v>0</v>
      </c>
      <c r="CF32" s="277">
        <f t="shared" si="85"/>
        <v>0</v>
      </c>
      <c r="CG32" s="277">
        <f t="shared" si="86"/>
        <v>0</v>
      </c>
      <c r="CH32" s="277">
        <f t="shared" si="51"/>
        <v>0</v>
      </c>
      <c r="CI32" s="277">
        <f t="shared" si="52"/>
        <v>0</v>
      </c>
      <c r="CJ32" s="277">
        <f t="shared" si="87"/>
        <v>0</v>
      </c>
      <c r="CK32" s="277">
        <f t="shared" si="88"/>
        <v>0</v>
      </c>
      <c r="CL32" s="277">
        <f t="shared" si="53"/>
        <v>0</v>
      </c>
      <c r="CM32" s="277">
        <f t="shared" si="54"/>
        <v>0</v>
      </c>
      <c r="CN32" s="277">
        <f t="shared" si="55"/>
        <v>0</v>
      </c>
      <c r="CO32" s="277">
        <f t="shared" si="56"/>
        <v>0</v>
      </c>
      <c r="CP32" s="277">
        <f t="shared" si="89"/>
        <v>0</v>
      </c>
      <c r="CQ32" s="277">
        <f t="shared" si="90"/>
        <v>0</v>
      </c>
      <c r="CR32" s="277">
        <f t="shared" si="91"/>
        <v>0</v>
      </c>
      <c r="CS32" s="277">
        <f t="shared" si="92"/>
        <v>0</v>
      </c>
      <c r="CT32" s="277">
        <f t="shared" si="57"/>
        <v>0</v>
      </c>
      <c r="CU32" s="277">
        <f t="shared" si="58"/>
        <v>0</v>
      </c>
      <c r="CV32" s="277">
        <f t="shared" si="59"/>
        <v>0</v>
      </c>
      <c r="CW32" s="277">
        <f t="shared" si="60"/>
        <v>0</v>
      </c>
      <c r="CX32" s="277">
        <f t="shared" si="93"/>
        <v>0</v>
      </c>
      <c r="CY32" s="277">
        <f t="shared" si="94"/>
        <v>0</v>
      </c>
      <c r="CZ32" s="277">
        <f t="shared" si="95"/>
        <v>0</v>
      </c>
      <c r="DA32" s="277">
        <f t="shared" si="96"/>
        <v>0</v>
      </c>
    </row>
    <row r="33" spans="1:105" s="274" customFormat="1" ht="15.75" customHeight="1">
      <c r="A33" s="63" t="str">
        <f t="array" ref="A33">IF(C33&lt;&gt;0,SUM(($C$11:C33&lt;&gt;0)*1),"")</f>
        <v/>
      </c>
      <c r="B33" s="275"/>
      <c r="C33" s="275"/>
      <c r="D33" s="275"/>
      <c r="E33" s="365"/>
      <c r="F33" s="326"/>
      <c r="G33" s="328"/>
      <c r="H33" s="328"/>
      <c r="I33" s="63" t="str">
        <f t="shared" si="97"/>
        <v/>
      </c>
      <c r="J33" s="277">
        <f t="shared" si="61"/>
        <v>0</v>
      </c>
      <c r="K33" s="277">
        <f t="shared" si="62"/>
        <v>0</v>
      </c>
      <c r="L33" s="277">
        <f t="shared" si="1"/>
        <v>0</v>
      </c>
      <c r="M33" s="277">
        <f t="shared" si="2"/>
        <v>0</v>
      </c>
      <c r="N33" s="277">
        <f t="shared" si="3"/>
        <v>0</v>
      </c>
      <c r="O33" s="277">
        <f t="shared" si="4"/>
        <v>0</v>
      </c>
      <c r="P33" s="277">
        <f t="shared" si="5"/>
        <v>0</v>
      </c>
      <c r="Q33" s="277">
        <f t="shared" si="6"/>
        <v>0</v>
      </c>
      <c r="R33" s="277">
        <f t="shared" si="7"/>
        <v>0</v>
      </c>
      <c r="S33" s="277">
        <f t="shared" si="8"/>
        <v>0</v>
      </c>
      <c r="T33" s="277">
        <f t="shared" si="9"/>
        <v>0</v>
      </c>
      <c r="U33" s="277">
        <f t="shared" si="10"/>
        <v>0</v>
      </c>
      <c r="V33" s="277">
        <f t="shared" si="11"/>
        <v>0</v>
      </c>
      <c r="W33" s="277">
        <f t="shared" si="12"/>
        <v>0</v>
      </c>
      <c r="X33" s="277">
        <f t="shared" si="13"/>
        <v>0</v>
      </c>
      <c r="Y33" s="277">
        <f t="shared" si="14"/>
        <v>0</v>
      </c>
      <c r="Z33" s="277">
        <f t="shared" si="15"/>
        <v>0</v>
      </c>
      <c r="AA33" s="277">
        <f t="shared" si="16"/>
        <v>0</v>
      </c>
      <c r="AB33" s="277">
        <f t="shared" si="63"/>
        <v>0</v>
      </c>
      <c r="AC33" s="277">
        <f t="shared" si="64"/>
        <v>0</v>
      </c>
      <c r="AD33" s="277">
        <f t="shared" si="17"/>
        <v>0</v>
      </c>
      <c r="AE33" s="277">
        <f t="shared" si="18"/>
        <v>0</v>
      </c>
      <c r="AF33" s="277">
        <f t="shared" si="19"/>
        <v>0</v>
      </c>
      <c r="AG33" s="277">
        <f t="shared" si="20"/>
        <v>0</v>
      </c>
      <c r="AH33" s="277">
        <f t="shared" si="65"/>
        <v>0</v>
      </c>
      <c r="AI33" s="277">
        <f t="shared" si="66"/>
        <v>0</v>
      </c>
      <c r="AJ33" s="277">
        <f t="shared" si="67"/>
        <v>0</v>
      </c>
      <c r="AK33" s="277">
        <f t="shared" si="68"/>
        <v>0</v>
      </c>
      <c r="AL33" s="277">
        <f t="shared" si="69"/>
        <v>0</v>
      </c>
      <c r="AM33" s="277">
        <f t="shared" si="70"/>
        <v>0</v>
      </c>
      <c r="AN33" s="277">
        <f t="shared" si="71"/>
        <v>0</v>
      </c>
      <c r="AO33" s="277">
        <f t="shared" si="72"/>
        <v>0</v>
      </c>
      <c r="AP33" s="277">
        <f t="shared" si="21"/>
        <v>0</v>
      </c>
      <c r="AQ33" s="277">
        <f t="shared" si="22"/>
        <v>0</v>
      </c>
      <c r="AR33" s="277">
        <f t="shared" si="23"/>
        <v>0</v>
      </c>
      <c r="AS33" s="277">
        <f t="shared" si="24"/>
        <v>0</v>
      </c>
      <c r="AT33" s="277">
        <f t="shared" si="73"/>
        <v>0</v>
      </c>
      <c r="AU33" s="277">
        <f t="shared" si="74"/>
        <v>0</v>
      </c>
      <c r="AV33" s="277">
        <f t="shared" si="25"/>
        <v>0</v>
      </c>
      <c r="AW33" s="277">
        <f t="shared" si="26"/>
        <v>0</v>
      </c>
      <c r="AX33" s="277">
        <f t="shared" si="27"/>
        <v>0</v>
      </c>
      <c r="AY33" s="277">
        <f t="shared" si="28"/>
        <v>0</v>
      </c>
      <c r="AZ33" s="277">
        <f t="shared" si="29"/>
        <v>0</v>
      </c>
      <c r="BA33" s="277">
        <f t="shared" si="30"/>
        <v>0</v>
      </c>
      <c r="BB33" s="277">
        <f t="shared" si="31"/>
        <v>0</v>
      </c>
      <c r="BC33" s="277">
        <f t="shared" si="32"/>
        <v>0</v>
      </c>
      <c r="BD33" s="277">
        <f t="shared" si="33"/>
        <v>0</v>
      </c>
      <c r="BE33" s="277">
        <f t="shared" si="34"/>
        <v>0</v>
      </c>
      <c r="BF33" s="277">
        <f t="shared" si="35"/>
        <v>0</v>
      </c>
      <c r="BG33" s="277">
        <f t="shared" si="36"/>
        <v>0</v>
      </c>
      <c r="BH33" s="277">
        <f t="shared" si="75"/>
        <v>0</v>
      </c>
      <c r="BI33" s="277">
        <f t="shared" si="76"/>
        <v>0</v>
      </c>
      <c r="BJ33" s="277">
        <f t="shared" si="37"/>
        <v>0</v>
      </c>
      <c r="BK33" s="277">
        <f t="shared" si="38"/>
        <v>0</v>
      </c>
      <c r="BL33" s="277">
        <f t="shared" si="39"/>
        <v>0</v>
      </c>
      <c r="BM33" s="277">
        <f t="shared" si="40"/>
        <v>0</v>
      </c>
      <c r="BN33" s="277">
        <f t="shared" si="41"/>
        <v>0</v>
      </c>
      <c r="BO33" s="277">
        <f t="shared" si="42"/>
        <v>0</v>
      </c>
      <c r="BP33" s="277">
        <f t="shared" si="77"/>
        <v>0</v>
      </c>
      <c r="BQ33" s="277">
        <f t="shared" si="78"/>
        <v>0</v>
      </c>
      <c r="BR33" s="277">
        <f t="shared" si="43"/>
        <v>0</v>
      </c>
      <c r="BS33" s="277">
        <f t="shared" si="44"/>
        <v>0</v>
      </c>
      <c r="BT33" s="277">
        <f t="shared" si="79"/>
        <v>0</v>
      </c>
      <c r="BU33" s="277">
        <f t="shared" si="80"/>
        <v>0</v>
      </c>
      <c r="BV33" s="277">
        <f t="shared" si="81"/>
        <v>0</v>
      </c>
      <c r="BW33" s="277">
        <f t="shared" si="82"/>
        <v>0</v>
      </c>
      <c r="BX33" s="277">
        <f t="shared" si="45"/>
        <v>0</v>
      </c>
      <c r="BY33" s="277">
        <f t="shared" si="46"/>
        <v>0</v>
      </c>
      <c r="BZ33" s="277">
        <f t="shared" si="47"/>
        <v>0</v>
      </c>
      <c r="CA33" s="277">
        <f t="shared" si="48"/>
        <v>0</v>
      </c>
      <c r="CB33" s="277">
        <f t="shared" si="49"/>
        <v>0</v>
      </c>
      <c r="CC33" s="277">
        <f t="shared" si="50"/>
        <v>0</v>
      </c>
      <c r="CD33" s="277">
        <f t="shared" si="83"/>
        <v>0</v>
      </c>
      <c r="CE33" s="277">
        <f t="shared" si="84"/>
        <v>0</v>
      </c>
      <c r="CF33" s="277">
        <f t="shared" si="85"/>
        <v>0</v>
      </c>
      <c r="CG33" s="277">
        <f t="shared" si="86"/>
        <v>0</v>
      </c>
      <c r="CH33" s="277">
        <f t="shared" si="51"/>
        <v>0</v>
      </c>
      <c r="CI33" s="277">
        <f t="shared" si="52"/>
        <v>0</v>
      </c>
      <c r="CJ33" s="277">
        <f t="shared" si="87"/>
        <v>0</v>
      </c>
      <c r="CK33" s="277">
        <f t="shared" si="88"/>
        <v>0</v>
      </c>
      <c r="CL33" s="277">
        <f t="shared" si="53"/>
        <v>0</v>
      </c>
      <c r="CM33" s="277">
        <f t="shared" si="54"/>
        <v>0</v>
      </c>
      <c r="CN33" s="277">
        <f t="shared" si="55"/>
        <v>0</v>
      </c>
      <c r="CO33" s="277">
        <f t="shared" si="56"/>
        <v>0</v>
      </c>
      <c r="CP33" s="277">
        <f t="shared" si="89"/>
        <v>0</v>
      </c>
      <c r="CQ33" s="277">
        <f t="shared" si="90"/>
        <v>0</v>
      </c>
      <c r="CR33" s="277">
        <f t="shared" si="91"/>
        <v>0</v>
      </c>
      <c r="CS33" s="277">
        <f t="shared" si="92"/>
        <v>0</v>
      </c>
      <c r="CT33" s="277">
        <f t="shared" si="57"/>
        <v>0</v>
      </c>
      <c r="CU33" s="277">
        <f t="shared" si="58"/>
        <v>0</v>
      </c>
      <c r="CV33" s="277">
        <f t="shared" si="59"/>
        <v>0</v>
      </c>
      <c r="CW33" s="277">
        <f t="shared" si="60"/>
        <v>0</v>
      </c>
      <c r="CX33" s="277">
        <f t="shared" si="93"/>
        <v>0</v>
      </c>
      <c r="CY33" s="277">
        <f t="shared" si="94"/>
        <v>0</v>
      </c>
      <c r="CZ33" s="277">
        <f t="shared" si="95"/>
        <v>0</v>
      </c>
      <c r="DA33" s="277">
        <f t="shared" si="96"/>
        <v>0</v>
      </c>
    </row>
    <row r="34" spans="1:105" s="274" customFormat="1" ht="15.75" customHeight="1">
      <c r="A34" s="63" t="str">
        <f t="array" ref="A34">IF(C34&lt;&gt;0,SUM(($C$11:C34&lt;&gt;0)*1),"")</f>
        <v/>
      </c>
      <c r="B34" s="275"/>
      <c r="C34" s="275"/>
      <c r="D34" s="275"/>
      <c r="E34" s="365"/>
      <c r="F34" s="326"/>
      <c r="G34" s="328"/>
      <c r="H34" s="328"/>
      <c r="I34" s="63" t="str">
        <f t="shared" si="97"/>
        <v/>
      </c>
      <c r="J34" s="277">
        <f t="shared" si="61"/>
        <v>0</v>
      </c>
      <c r="K34" s="277">
        <f t="shared" si="62"/>
        <v>0</v>
      </c>
      <c r="L34" s="277">
        <f t="shared" si="1"/>
        <v>0</v>
      </c>
      <c r="M34" s="277">
        <f t="shared" si="2"/>
        <v>0</v>
      </c>
      <c r="N34" s="277">
        <f t="shared" si="3"/>
        <v>0</v>
      </c>
      <c r="O34" s="277">
        <f t="shared" si="4"/>
        <v>0</v>
      </c>
      <c r="P34" s="277">
        <f t="shared" si="5"/>
        <v>0</v>
      </c>
      <c r="Q34" s="277">
        <f t="shared" si="6"/>
        <v>0</v>
      </c>
      <c r="R34" s="277">
        <f t="shared" si="7"/>
        <v>0</v>
      </c>
      <c r="S34" s="277">
        <f t="shared" si="8"/>
        <v>0</v>
      </c>
      <c r="T34" s="277">
        <f t="shared" si="9"/>
        <v>0</v>
      </c>
      <c r="U34" s="277">
        <f t="shared" si="10"/>
        <v>0</v>
      </c>
      <c r="V34" s="277">
        <f t="shared" si="11"/>
        <v>0</v>
      </c>
      <c r="W34" s="277">
        <f t="shared" si="12"/>
        <v>0</v>
      </c>
      <c r="X34" s="277">
        <f t="shared" si="13"/>
        <v>0</v>
      </c>
      <c r="Y34" s="277">
        <f t="shared" si="14"/>
        <v>0</v>
      </c>
      <c r="Z34" s="277">
        <f t="shared" si="15"/>
        <v>0</v>
      </c>
      <c r="AA34" s="277">
        <f t="shared" si="16"/>
        <v>0</v>
      </c>
      <c r="AB34" s="277">
        <f t="shared" si="63"/>
        <v>0</v>
      </c>
      <c r="AC34" s="277">
        <f t="shared" si="64"/>
        <v>0</v>
      </c>
      <c r="AD34" s="277">
        <f t="shared" si="17"/>
        <v>0</v>
      </c>
      <c r="AE34" s="277">
        <f t="shared" si="18"/>
        <v>0</v>
      </c>
      <c r="AF34" s="277">
        <f t="shared" si="19"/>
        <v>0</v>
      </c>
      <c r="AG34" s="277">
        <f t="shared" si="20"/>
        <v>0</v>
      </c>
      <c r="AH34" s="277">
        <f t="shared" si="65"/>
        <v>0</v>
      </c>
      <c r="AI34" s="277">
        <f t="shared" si="66"/>
        <v>0</v>
      </c>
      <c r="AJ34" s="277">
        <f t="shared" si="67"/>
        <v>0</v>
      </c>
      <c r="AK34" s="277">
        <f t="shared" si="68"/>
        <v>0</v>
      </c>
      <c r="AL34" s="277">
        <f t="shared" si="69"/>
        <v>0</v>
      </c>
      <c r="AM34" s="277">
        <f t="shared" si="70"/>
        <v>0</v>
      </c>
      <c r="AN34" s="277">
        <f t="shared" si="71"/>
        <v>0</v>
      </c>
      <c r="AO34" s="277">
        <f t="shared" si="72"/>
        <v>0</v>
      </c>
      <c r="AP34" s="277">
        <f t="shared" si="21"/>
        <v>0</v>
      </c>
      <c r="AQ34" s="277">
        <f t="shared" si="22"/>
        <v>0</v>
      </c>
      <c r="AR34" s="277">
        <f t="shared" si="23"/>
        <v>0</v>
      </c>
      <c r="AS34" s="277">
        <f t="shared" si="24"/>
        <v>0</v>
      </c>
      <c r="AT34" s="277">
        <f t="shared" si="73"/>
        <v>0</v>
      </c>
      <c r="AU34" s="277">
        <f t="shared" si="74"/>
        <v>0</v>
      </c>
      <c r="AV34" s="277">
        <f t="shared" si="25"/>
        <v>0</v>
      </c>
      <c r="AW34" s="277">
        <f t="shared" si="26"/>
        <v>0</v>
      </c>
      <c r="AX34" s="277">
        <f t="shared" si="27"/>
        <v>0</v>
      </c>
      <c r="AY34" s="277">
        <f t="shared" si="28"/>
        <v>0</v>
      </c>
      <c r="AZ34" s="277">
        <f t="shared" si="29"/>
        <v>0</v>
      </c>
      <c r="BA34" s="277">
        <f t="shared" si="30"/>
        <v>0</v>
      </c>
      <c r="BB34" s="277">
        <f t="shared" si="31"/>
        <v>0</v>
      </c>
      <c r="BC34" s="277">
        <f t="shared" si="32"/>
        <v>0</v>
      </c>
      <c r="BD34" s="277">
        <f t="shared" si="33"/>
        <v>0</v>
      </c>
      <c r="BE34" s="277">
        <f t="shared" si="34"/>
        <v>0</v>
      </c>
      <c r="BF34" s="277">
        <f t="shared" si="35"/>
        <v>0</v>
      </c>
      <c r="BG34" s="277">
        <f t="shared" si="36"/>
        <v>0</v>
      </c>
      <c r="BH34" s="277">
        <f t="shared" si="75"/>
        <v>0</v>
      </c>
      <c r="BI34" s="277">
        <f t="shared" si="76"/>
        <v>0</v>
      </c>
      <c r="BJ34" s="277">
        <f t="shared" si="37"/>
        <v>0</v>
      </c>
      <c r="BK34" s="277">
        <f t="shared" si="38"/>
        <v>0</v>
      </c>
      <c r="BL34" s="277">
        <f t="shared" si="39"/>
        <v>0</v>
      </c>
      <c r="BM34" s="277">
        <f t="shared" si="40"/>
        <v>0</v>
      </c>
      <c r="BN34" s="277">
        <f t="shared" si="41"/>
        <v>0</v>
      </c>
      <c r="BO34" s="277">
        <f t="shared" si="42"/>
        <v>0</v>
      </c>
      <c r="BP34" s="277">
        <f t="shared" si="77"/>
        <v>0</v>
      </c>
      <c r="BQ34" s="277">
        <f t="shared" si="78"/>
        <v>0</v>
      </c>
      <c r="BR34" s="277">
        <f t="shared" si="43"/>
        <v>0</v>
      </c>
      <c r="BS34" s="277">
        <f t="shared" si="44"/>
        <v>0</v>
      </c>
      <c r="BT34" s="277">
        <f t="shared" si="79"/>
        <v>0</v>
      </c>
      <c r="BU34" s="277">
        <f t="shared" si="80"/>
        <v>0</v>
      </c>
      <c r="BV34" s="277">
        <f t="shared" si="81"/>
        <v>0</v>
      </c>
      <c r="BW34" s="277">
        <f t="shared" si="82"/>
        <v>0</v>
      </c>
      <c r="BX34" s="277">
        <f t="shared" si="45"/>
        <v>0</v>
      </c>
      <c r="BY34" s="277">
        <f t="shared" si="46"/>
        <v>0</v>
      </c>
      <c r="BZ34" s="277">
        <f t="shared" si="47"/>
        <v>0</v>
      </c>
      <c r="CA34" s="277">
        <f t="shared" si="48"/>
        <v>0</v>
      </c>
      <c r="CB34" s="277">
        <f t="shared" si="49"/>
        <v>0</v>
      </c>
      <c r="CC34" s="277">
        <f t="shared" si="50"/>
        <v>0</v>
      </c>
      <c r="CD34" s="277">
        <f t="shared" si="83"/>
        <v>0</v>
      </c>
      <c r="CE34" s="277">
        <f t="shared" si="84"/>
        <v>0</v>
      </c>
      <c r="CF34" s="277">
        <f t="shared" si="85"/>
        <v>0</v>
      </c>
      <c r="CG34" s="277">
        <f t="shared" si="86"/>
        <v>0</v>
      </c>
      <c r="CH34" s="277">
        <f t="shared" si="51"/>
        <v>0</v>
      </c>
      <c r="CI34" s="277">
        <f t="shared" si="52"/>
        <v>0</v>
      </c>
      <c r="CJ34" s="277">
        <f t="shared" si="87"/>
        <v>0</v>
      </c>
      <c r="CK34" s="277">
        <f t="shared" si="88"/>
        <v>0</v>
      </c>
      <c r="CL34" s="277">
        <f t="shared" si="53"/>
        <v>0</v>
      </c>
      <c r="CM34" s="277">
        <f t="shared" si="54"/>
        <v>0</v>
      </c>
      <c r="CN34" s="277">
        <f t="shared" si="55"/>
        <v>0</v>
      </c>
      <c r="CO34" s="277">
        <f t="shared" si="56"/>
        <v>0</v>
      </c>
      <c r="CP34" s="277">
        <f t="shared" si="89"/>
        <v>0</v>
      </c>
      <c r="CQ34" s="277">
        <f t="shared" si="90"/>
        <v>0</v>
      </c>
      <c r="CR34" s="277">
        <f t="shared" si="91"/>
        <v>0</v>
      </c>
      <c r="CS34" s="277">
        <f t="shared" si="92"/>
        <v>0</v>
      </c>
      <c r="CT34" s="277">
        <f t="shared" si="57"/>
        <v>0</v>
      </c>
      <c r="CU34" s="277">
        <f t="shared" si="58"/>
        <v>0</v>
      </c>
      <c r="CV34" s="277">
        <f t="shared" si="59"/>
        <v>0</v>
      </c>
      <c r="CW34" s="277">
        <f t="shared" si="60"/>
        <v>0</v>
      </c>
      <c r="CX34" s="277">
        <f t="shared" si="93"/>
        <v>0</v>
      </c>
      <c r="CY34" s="277">
        <f t="shared" si="94"/>
        <v>0</v>
      </c>
      <c r="CZ34" s="277">
        <f t="shared" si="95"/>
        <v>0</v>
      </c>
      <c r="DA34" s="277">
        <f t="shared" si="96"/>
        <v>0</v>
      </c>
    </row>
    <row r="35" spans="1:105" s="274" customFormat="1" ht="15.75" customHeight="1">
      <c r="A35" s="63" t="str">
        <f t="array" ref="A35">IF(C35&lt;&gt;0,SUM(($C$11:C35&lt;&gt;0)*1),"")</f>
        <v/>
      </c>
      <c r="B35" s="275"/>
      <c r="C35" s="275"/>
      <c r="D35" s="275"/>
      <c r="E35" s="365"/>
      <c r="F35" s="326"/>
      <c r="G35" s="328"/>
      <c r="H35" s="328"/>
      <c r="I35" s="63" t="str">
        <f t="shared" si="97"/>
        <v/>
      </c>
      <c r="J35" s="277">
        <f t="shared" si="61"/>
        <v>0</v>
      </c>
      <c r="K35" s="277">
        <f t="shared" si="62"/>
        <v>0</v>
      </c>
      <c r="L35" s="277">
        <f t="shared" si="1"/>
        <v>0</v>
      </c>
      <c r="M35" s="277">
        <f t="shared" si="2"/>
        <v>0</v>
      </c>
      <c r="N35" s="277">
        <f t="shared" si="3"/>
        <v>0</v>
      </c>
      <c r="O35" s="277">
        <f t="shared" si="4"/>
        <v>0</v>
      </c>
      <c r="P35" s="277">
        <f t="shared" si="5"/>
        <v>0</v>
      </c>
      <c r="Q35" s="277">
        <f t="shared" si="6"/>
        <v>0</v>
      </c>
      <c r="R35" s="277">
        <f t="shared" si="7"/>
        <v>0</v>
      </c>
      <c r="S35" s="277">
        <f t="shared" si="8"/>
        <v>0</v>
      </c>
      <c r="T35" s="277">
        <f t="shared" si="9"/>
        <v>0</v>
      </c>
      <c r="U35" s="277">
        <f t="shared" si="10"/>
        <v>0</v>
      </c>
      <c r="V35" s="277">
        <f t="shared" si="11"/>
        <v>0</v>
      </c>
      <c r="W35" s="277">
        <f t="shared" si="12"/>
        <v>0</v>
      </c>
      <c r="X35" s="277">
        <f t="shared" si="13"/>
        <v>0</v>
      </c>
      <c r="Y35" s="277">
        <f t="shared" si="14"/>
        <v>0</v>
      </c>
      <c r="Z35" s="277">
        <f t="shared" si="15"/>
        <v>0</v>
      </c>
      <c r="AA35" s="277">
        <f t="shared" si="16"/>
        <v>0</v>
      </c>
      <c r="AB35" s="277">
        <f t="shared" si="63"/>
        <v>0</v>
      </c>
      <c r="AC35" s="277">
        <f t="shared" si="64"/>
        <v>0</v>
      </c>
      <c r="AD35" s="277">
        <f t="shared" si="17"/>
        <v>0</v>
      </c>
      <c r="AE35" s="277">
        <f t="shared" si="18"/>
        <v>0</v>
      </c>
      <c r="AF35" s="277">
        <f t="shared" si="19"/>
        <v>0</v>
      </c>
      <c r="AG35" s="277">
        <f t="shared" si="20"/>
        <v>0</v>
      </c>
      <c r="AH35" s="277">
        <f t="shared" si="65"/>
        <v>0</v>
      </c>
      <c r="AI35" s="277">
        <f t="shared" si="66"/>
        <v>0</v>
      </c>
      <c r="AJ35" s="277">
        <f t="shared" si="67"/>
        <v>0</v>
      </c>
      <c r="AK35" s="277">
        <f t="shared" si="68"/>
        <v>0</v>
      </c>
      <c r="AL35" s="277">
        <f t="shared" si="69"/>
        <v>0</v>
      </c>
      <c r="AM35" s="277">
        <f t="shared" si="70"/>
        <v>0</v>
      </c>
      <c r="AN35" s="277">
        <f t="shared" si="71"/>
        <v>0</v>
      </c>
      <c r="AO35" s="277">
        <f t="shared" si="72"/>
        <v>0</v>
      </c>
      <c r="AP35" s="277">
        <f t="shared" si="21"/>
        <v>0</v>
      </c>
      <c r="AQ35" s="277">
        <f t="shared" si="22"/>
        <v>0</v>
      </c>
      <c r="AR35" s="277">
        <f t="shared" si="23"/>
        <v>0</v>
      </c>
      <c r="AS35" s="277">
        <f t="shared" si="24"/>
        <v>0</v>
      </c>
      <c r="AT35" s="277">
        <f t="shared" si="73"/>
        <v>0</v>
      </c>
      <c r="AU35" s="277">
        <f t="shared" si="74"/>
        <v>0</v>
      </c>
      <c r="AV35" s="277">
        <f t="shared" si="25"/>
        <v>0</v>
      </c>
      <c r="AW35" s="277">
        <f t="shared" si="26"/>
        <v>0</v>
      </c>
      <c r="AX35" s="277">
        <f t="shared" si="27"/>
        <v>0</v>
      </c>
      <c r="AY35" s="277">
        <f t="shared" si="28"/>
        <v>0</v>
      </c>
      <c r="AZ35" s="277">
        <f t="shared" si="29"/>
        <v>0</v>
      </c>
      <c r="BA35" s="277">
        <f t="shared" si="30"/>
        <v>0</v>
      </c>
      <c r="BB35" s="277">
        <f t="shared" si="31"/>
        <v>0</v>
      </c>
      <c r="BC35" s="277">
        <f t="shared" si="32"/>
        <v>0</v>
      </c>
      <c r="BD35" s="277">
        <f t="shared" si="33"/>
        <v>0</v>
      </c>
      <c r="BE35" s="277">
        <f t="shared" si="34"/>
        <v>0</v>
      </c>
      <c r="BF35" s="277">
        <f t="shared" si="35"/>
        <v>0</v>
      </c>
      <c r="BG35" s="277">
        <f t="shared" si="36"/>
        <v>0</v>
      </c>
      <c r="BH35" s="277">
        <f t="shared" si="75"/>
        <v>0</v>
      </c>
      <c r="BI35" s="277">
        <f t="shared" si="76"/>
        <v>0</v>
      </c>
      <c r="BJ35" s="277">
        <f t="shared" si="37"/>
        <v>0</v>
      </c>
      <c r="BK35" s="277">
        <f t="shared" si="38"/>
        <v>0</v>
      </c>
      <c r="BL35" s="277">
        <f t="shared" si="39"/>
        <v>0</v>
      </c>
      <c r="BM35" s="277">
        <f t="shared" si="40"/>
        <v>0</v>
      </c>
      <c r="BN35" s="277">
        <f t="shared" si="41"/>
        <v>0</v>
      </c>
      <c r="BO35" s="277">
        <f t="shared" si="42"/>
        <v>0</v>
      </c>
      <c r="BP35" s="277">
        <f t="shared" si="77"/>
        <v>0</v>
      </c>
      <c r="BQ35" s="277">
        <f t="shared" si="78"/>
        <v>0</v>
      </c>
      <c r="BR35" s="277">
        <f t="shared" si="43"/>
        <v>0</v>
      </c>
      <c r="BS35" s="277">
        <f t="shared" si="44"/>
        <v>0</v>
      </c>
      <c r="BT35" s="277">
        <f t="shared" si="79"/>
        <v>0</v>
      </c>
      <c r="BU35" s="277">
        <f t="shared" si="80"/>
        <v>0</v>
      </c>
      <c r="BV35" s="277">
        <f t="shared" si="81"/>
        <v>0</v>
      </c>
      <c r="BW35" s="277">
        <f t="shared" si="82"/>
        <v>0</v>
      </c>
      <c r="BX35" s="277">
        <f t="shared" si="45"/>
        <v>0</v>
      </c>
      <c r="BY35" s="277">
        <f t="shared" si="46"/>
        <v>0</v>
      </c>
      <c r="BZ35" s="277">
        <f t="shared" si="47"/>
        <v>0</v>
      </c>
      <c r="CA35" s="277">
        <f t="shared" si="48"/>
        <v>0</v>
      </c>
      <c r="CB35" s="277">
        <f t="shared" si="49"/>
        <v>0</v>
      </c>
      <c r="CC35" s="277">
        <f t="shared" si="50"/>
        <v>0</v>
      </c>
      <c r="CD35" s="277">
        <f t="shared" si="83"/>
        <v>0</v>
      </c>
      <c r="CE35" s="277">
        <f t="shared" si="84"/>
        <v>0</v>
      </c>
      <c r="CF35" s="277">
        <f t="shared" si="85"/>
        <v>0</v>
      </c>
      <c r="CG35" s="277">
        <f t="shared" si="86"/>
        <v>0</v>
      </c>
      <c r="CH35" s="277">
        <f t="shared" si="51"/>
        <v>0</v>
      </c>
      <c r="CI35" s="277">
        <f t="shared" si="52"/>
        <v>0</v>
      </c>
      <c r="CJ35" s="277">
        <f t="shared" si="87"/>
        <v>0</v>
      </c>
      <c r="CK35" s="277">
        <f t="shared" si="88"/>
        <v>0</v>
      </c>
      <c r="CL35" s="277">
        <f t="shared" si="53"/>
        <v>0</v>
      </c>
      <c r="CM35" s="277">
        <f t="shared" si="54"/>
        <v>0</v>
      </c>
      <c r="CN35" s="277">
        <f t="shared" si="55"/>
        <v>0</v>
      </c>
      <c r="CO35" s="277">
        <f t="shared" si="56"/>
        <v>0</v>
      </c>
      <c r="CP35" s="277">
        <f t="shared" si="89"/>
        <v>0</v>
      </c>
      <c r="CQ35" s="277">
        <f t="shared" si="90"/>
        <v>0</v>
      </c>
      <c r="CR35" s="277">
        <f t="shared" si="91"/>
        <v>0</v>
      </c>
      <c r="CS35" s="277">
        <f t="shared" si="92"/>
        <v>0</v>
      </c>
      <c r="CT35" s="277">
        <f t="shared" si="57"/>
        <v>0</v>
      </c>
      <c r="CU35" s="277">
        <f t="shared" si="58"/>
        <v>0</v>
      </c>
      <c r="CV35" s="277">
        <f t="shared" si="59"/>
        <v>0</v>
      </c>
      <c r="CW35" s="277">
        <f t="shared" si="60"/>
        <v>0</v>
      </c>
      <c r="CX35" s="277">
        <f t="shared" si="93"/>
        <v>0</v>
      </c>
      <c r="CY35" s="277">
        <f t="shared" si="94"/>
        <v>0</v>
      </c>
      <c r="CZ35" s="277">
        <f t="shared" si="95"/>
        <v>0</v>
      </c>
      <c r="DA35" s="277">
        <f t="shared" si="96"/>
        <v>0</v>
      </c>
    </row>
    <row r="36" spans="1:105" s="274" customFormat="1" ht="15.75" customHeight="1">
      <c r="A36" s="63" t="str">
        <f t="array" ref="A36">IF(C36&lt;&gt;0,SUM(($C$11:C36&lt;&gt;0)*1),"")</f>
        <v/>
      </c>
      <c r="B36" s="275"/>
      <c r="C36" s="275"/>
      <c r="D36" s="275"/>
      <c r="E36" s="365"/>
      <c r="F36" s="326"/>
      <c r="G36" s="328"/>
      <c r="H36" s="328"/>
      <c r="I36" s="63" t="str">
        <f t="shared" si="97"/>
        <v/>
      </c>
      <c r="J36" s="277">
        <f t="shared" si="61"/>
        <v>0</v>
      </c>
      <c r="K36" s="277">
        <f t="shared" si="62"/>
        <v>0</v>
      </c>
      <c r="L36" s="277">
        <f t="shared" si="1"/>
        <v>0</v>
      </c>
      <c r="M36" s="277">
        <f t="shared" si="2"/>
        <v>0</v>
      </c>
      <c r="N36" s="277">
        <f t="shared" si="3"/>
        <v>0</v>
      </c>
      <c r="O36" s="277">
        <f t="shared" si="4"/>
        <v>0</v>
      </c>
      <c r="P36" s="277">
        <f t="shared" si="5"/>
        <v>0</v>
      </c>
      <c r="Q36" s="277">
        <f t="shared" si="6"/>
        <v>0</v>
      </c>
      <c r="R36" s="277">
        <f t="shared" si="7"/>
        <v>0</v>
      </c>
      <c r="S36" s="277">
        <f t="shared" si="8"/>
        <v>0</v>
      </c>
      <c r="T36" s="277">
        <f t="shared" si="9"/>
        <v>0</v>
      </c>
      <c r="U36" s="277">
        <f t="shared" si="10"/>
        <v>0</v>
      </c>
      <c r="V36" s="277">
        <f t="shared" si="11"/>
        <v>0</v>
      </c>
      <c r="W36" s="277">
        <f t="shared" si="12"/>
        <v>0</v>
      </c>
      <c r="X36" s="277">
        <f t="shared" si="13"/>
        <v>0</v>
      </c>
      <c r="Y36" s="277">
        <f t="shared" si="14"/>
        <v>0</v>
      </c>
      <c r="Z36" s="277">
        <f t="shared" si="15"/>
        <v>0</v>
      </c>
      <c r="AA36" s="277">
        <f t="shared" si="16"/>
        <v>0</v>
      </c>
      <c r="AB36" s="277">
        <f t="shared" si="63"/>
        <v>0</v>
      </c>
      <c r="AC36" s="277">
        <f t="shared" si="64"/>
        <v>0</v>
      </c>
      <c r="AD36" s="277">
        <f t="shared" si="17"/>
        <v>0</v>
      </c>
      <c r="AE36" s="277">
        <f t="shared" si="18"/>
        <v>0</v>
      </c>
      <c r="AF36" s="277">
        <f t="shared" si="19"/>
        <v>0</v>
      </c>
      <c r="AG36" s="277">
        <f t="shared" si="20"/>
        <v>0</v>
      </c>
      <c r="AH36" s="277">
        <f t="shared" si="65"/>
        <v>0</v>
      </c>
      <c r="AI36" s="277">
        <f t="shared" si="66"/>
        <v>0</v>
      </c>
      <c r="AJ36" s="277">
        <f t="shared" si="67"/>
        <v>0</v>
      </c>
      <c r="AK36" s="277">
        <f t="shared" si="68"/>
        <v>0</v>
      </c>
      <c r="AL36" s="277">
        <f t="shared" si="69"/>
        <v>0</v>
      </c>
      <c r="AM36" s="277">
        <f t="shared" si="70"/>
        <v>0</v>
      </c>
      <c r="AN36" s="277">
        <f t="shared" si="71"/>
        <v>0</v>
      </c>
      <c r="AO36" s="277">
        <f t="shared" si="72"/>
        <v>0</v>
      </c>
      <c r="AP36" s="277">
        <f t="shared" si="21"/>
        <v>0</v>
      </c>
      <c r="AQ36" s="277">
        <f t="shared" si="22"/>
        <v>0</v>
      </c>
      <c r="AR36" s="277">
        <f t="shared" si="23"/>
        <v>0</v>
      </c>
      <c r="AS36" s="277">
        <f t="shared" si="24"/>
        <v>0</v>
      </c>
      <c r="AT36" s="277">
        <f t="shared" si="73"/>
        <v>0</v>
      </c>
      <c r="AU36" s="277">
        <f t="shared" si="74"/>
        <v>0</v>
      </c>
      <c r="AV36" s="277">
        <f t="shared" si="25"/>
        <v>0</v>
      </c>
      <c r="AW36" s="277">
        <f t="shared" si="26"/>
        <v>0</v>
      </c>
      <c r="AX36" s="277">
        <f t="shared" si="27"/>
        <v>0</v>
      </c>
      <c r="AY36" s="277">
        <f t="shared" si="28"/>
        <v>0</v>
      </c>
      <c r="AZ36" s="277">
        <f t="shared" si="29"/>
        <v>0</v>
      </c>
      <c r="BA36" s="277">
        <f t="shared" si="30"/>
        <v>0</v>
      </c>
      <c r="BB36" s="277">
        <f t="shared" si="31"/>
        <v>0</v>
      </c>
      <c r="BC36" s="277">
        <f t="shared" si="32"/>
        <v>0</v>
      </c>
      <c r="BD36" s="277">
        <f t="shared" si="33"/>
        <v>0</v>
      </c>
      <c r="BE36" s="277">
        <f t="shared" si="34"/>
        <v>0</v>
      </c>
      <c r="BF36" s="277">
        <f t="shared" si="35"/>
        <v>0</v>
      </c>
      <c r="BG36" s="277">
        <f t="shared" si="36"/>
        <v>0</v>
      </c>
      <c r="BH36" s="277">
        <f t="shared" si="75"/>
        <v>0</v>
      </c>
      <c r="BI36" s="277">
        <f t="shared" si="76"/>
        <v>0</v>
      </c>
      <c r="BJ36" s="277">
        <f t="shared" si="37"/>
        <v>0</v>
      </c>
      <c r="BK36" s="277">
        <f t="shared" si="38"/>
        <v>0</v>
      </c>
      <c r="BL36" s="277">
        <f t="shared" si="39"/>
        <v>0</v>
      </c>
      <c r="BM36" s="277">
        <f t="shared" si="40"/>
        <v>0</v>
      </c>
      <c r="BN36" s="277">
        <f t="shared" si="41"/>
        <v>0</v>
      </c>
      <c r="BO36" s="277">
        <f t="shared" si="42"/>
        <v>0</v>
      </c>
      <c r="BP36" s="277">
        <f t="shared" si="77"/>
        <v>0</v>
      </c>
      <c r="BQ36" s="277">
        <f t="shared" si="78"/>
        <v>0</v>
      </c>
      <c r="BR36" s="277">
        <f t="shared" si="43"/>
        <v>0</v>
      </c>
      <c r="BS36" s="277">
        <f t="shared" si="44"/>
        <v>0</v>
      </c>
      <c r="BT36" s="277">
        <f t="shared" si="79"/>
        <v>0</v>
      </c>
      <c r="BU36" s="277">
        <f t="shared" si="80"/>
        <v>0</v>
      </c>
      <c r="BV36" s="277">
        <f t="shared" si="81"/>
        <v>0</v>
      </c>
      <c r="BW36" s="277">
        <f t="shared" si="82"/>
        <v>0</v>
      </c>
      <c r="BX36" s="277">
        <f t="shared" si="45"/>
        <v>0</v>
      </c>
      <c r="BY36" s="277">
        <f t="shared" si="46"/>
        <v>0</v>
      </c>
      <c r="BZ36" s="277">
        <f t="shared" si="47"/>
        <v>0</v>
      </c>
      <c r="CA36" s="277">
        <f t="shared" si="48"/>
        <v>0</v>
      </c>
      <c r="CB36" s="277">
        <f t="shared" si="49"/>
        <v>0</v>
      </c>
      <c r="CC36" s="277">
        <f t="shared" si="50"/>
        <v>0</v>
      </c>
      <c r="CD36" s="277">
        <f t="shared" si="83"/>
        <v>0</v>
      </c>
      <c r="CE36" s="277">
        <f t="shared" si="84"/>
        <v>0</v>
      </c>
      <c r="CF36" s="277">
        <f t="shared" si="85"/>
        <v>0</v>
      </c>
      <c r="CG36" s="277">
        <f t="shared" si="86"/>
        <v>0</v>
      </c>
      <c r="CH36" s="277">
        <f t="shared" si="51"/>
        <v>0</v>
      </c>
      <c r="CI36" s="277">
        <f t="shared" si="52"/>
        <v>0</v>
      </c>
      <c r="CJ36" s="277">
        <f t="shared" si="87"/>
        <v>0</v>
      </c>
      <c r="CK36" s="277">
        <f t="shared" si="88"/>
        <v>0</v>
      </c>
      <c r="CL36" s="277">
        <f t="shared" si="53"/>
        <v>0</v>
      </c>
      <c r="CM36" s="277">
        <f t="shared" si="54"/>
        <v>0</v>
      </c>
      <c r="CN36" s="277">
        <f t="shared" si="55"/>
        <v>0</v>
      </c>
      <c r="CO36" s="277">
        <f t="shared" si="56"/>
        <v>0</v>
      </c>
      <c r="CP36" s="277">
        <f t="shared" si="89"/>
        <v>0</v>
      </c>
      <c r="CQ36" s="277">
        <f t="shared" si="90"/>
        <v>0</v>
      </c>
      <c r="CR36" s="277">
        <f t="shared" si="91"/>
        <v>0</v>
      </c>
      <c r="CS36" s="277">
        <f t="shared" si="92"/>
        <v>0</v>
      </c>
      <c r="CT36" s="277">
        <f t="shared" si="57"/>
        <v>0</v>
      </c>
      <c r="CU36" s="277">
        <f t="shared" si="58"/>
        <v>0</v>
      </c>
      <c r="CV36" s="277">
        <f t="shared" si="59"/>
        <v>0</v>
      </c>
      <c r="CW36" s="277">
        <f t="shared" si="60"/>
        <v>0</v>
      </c>
      <c r="CX36" s="277">
        <f t="shared" si="93"/>
        <v>0</v>
      </c>
      <c r="CY36" s="277">
        <f t="shared" si="94"/>
        <v>0</v>
      </c>
      <c r="CZ36" s="277">
        <f t="shared" si="95"/>
        <v>0</v>
      </c>
      <c r="DA36" s="277">
        <f t="shared" si="96"/>
        <v>0</v>
      </c>
    </row>
    <row r="37" spans="1:105" s="274" customFormat="1" ht="15.75" customHeight="1">
      <c r="A37" s="63" t="str">
        <f t="array" ref="A37">IF(C37&lt;&gt;0,SUM(($C$11:C37&lt;&gt;0)*1),"")</f>
        <v/>
      </c>
      <c r="B37" s="275"/>
      <c r="C37" s="275"/>
      <c r="D37" s="275"/>
      <c r="E37" s="365"/>
      <c r="F37" s="326"/>
      <c r="G37" s="328"/>
      <c r="H37" s="328"/>
      <c r="I37" s="63" t="str">
        <f t="shared" si="97"/>
        <v/>
      </c>
      <c r="J37" s="277">
        <f t="shared" si="61"/>
        <v>0</v>
      </c>
      <c r="K37" s="277">
        <f t="shared" si="62"/>
        <v>0</v>
      </c>
      <c r="L37" s="277">
        <f t="shared" si="1"/>
        <v>0</v>
      </c>
      <c r="M37" s="277">
        <f t="shared" si="2"/>
        <v>0</v>
      </c>
      <c r="N37" s="277">
        <f t="shared" si="3"/>
        <v>0</v>
      </c>
      <c r="O37" s="277">
        <f t="shared" si="4"/>
        <v>0</v>
      </c>
      <c r="P37" s="277">
        <f t="shared" si="5"/>
        <v>0</v>
      </c>
      <c r="Q37" s="277">
        <f t="shared" si="6"/>
        <v>0</v>
      </c>
      <c r="R37" s="277">
        <f t="shared" si="7"/>
        <v>0</v>
      </c>
      <c r="S37" s="277">
        <f t="shared" si="8"/>
        <v>0</v>
      </c>
      <c r="T37" s="277">
        <f t="shared" si="9"/>
        <v>0</v>
      </c>
      <c r="U37" s="277">
        <f t="shared" si="10"/>
        <v>0</v>
      </c>
      <c r="V37" s="277">
        <f t="shared" si="11"/>
        <v>0</v>
      </c>
      <c r="W37" s="277">
        <f t="shared" si="12"/>
        <v>0</v>
      </c>
      <c r="X37" s="277">
        <f t="shared" si="13"/>
        <v>0</v>
      </c>
      <c r="Y37" s="277">
        <f t="shared" si="14"/>
        <v>0</v>
      </c>
      <c r="Z37" s="277">
        <f t="shared" si="15"/>
        <v>0</v>
      </c>
      <c r="AA37" s="277">
        <f t="shared" si="16"/>
        <v>0</v>
      </c>
      <c r="AB37" s="277">
        <f t="shared" si="63"/>
        <v>0</v>
      </c>
      <c r="AC37" s="277">
        <f t="shared" si="64"/>
        <v>0</v>
      </c>
      <c r="AD37" s="277">
        <f t="shared" si="17"/>
        <v>0</v>
      </c>
      <c r="AE37" s="277">
        <f t="shared" si="18"/>
        <v>0</v>
      </c>
      <c r="AF37" s="277">
        <f t="shared" si="19"/>
        <v>0</v>
      </c>
      <c r="AG37" s="277">
        <f t="shared" si="20"/>
        <v>0</v>
      </c>
      <c r="AH37" s="277">
        <f t="shared" si="65"/>
        <v>0</v>
      </c>
      <c r="AI37" s="277">
        <f t="shared" si="66"/>
        <v>0</v>
      </c>
      <c r="AJ37" s="277">
        <f t="shared" si="67"/>
        <v>0</v>
      </c>
      <c r="AK37" s="277">
        <f t="shared" si="68"/>
        <v>0</v>
      </c>
      <c r="AL37" s="277">
        <f t="shared" si="69"/>
        <v>0</v>
      </c>
      <c r="AM37" s="277">
        <f t="shared" si="70"/>
        <v>0</v>
      </c>
      <c r="AN37" s="277">
        <f t="shared" si="71"/>
        <v>0</v>
      </c>
      <c r="AO37" s="277">
        <f t="shared" si="72"/>
        <v>0</v>
      </c>
      <c r="AP37" s="277">
        <f t="shared" si="21"/>
        <v>0</v>
      </c>
      <c r="AQ37" s="277">
        <f t="shared" si="22"/>
        <v>0</v>
      </c>
      <c r="AR37" s="277">
        <f t="shared" si="23"/>
        <v>0</v>
      </c>
      <c r="AS37" s="277">
        <f t="shared" si="24"/>
        <v>0</v>
      </c>
      <c r="AT37" s="277">
        <f t="shared" si="73"/>
        <v>0</v>
      </c>
      <c r="AU37" s="277">
        <f t="shared" si="74"/>
        <v>0</v>
      </c>
      <c r="AV37" s="277">
        <f t="shared" si="25"/>
        <v>0</v>
      </c>
      <c r="AW37" s="277">
        <f t="shared" si="26"/>
        <v>0</v>
      </c>
      <c r="AX37" s="277">
        <f t="shared" si="27"/>
        <v>0</v>
      </c>
      <c r="AY37" s="277">
        <f t="shared" si="28"/>
        <v>0</v>
      </c>
      <c r="AZ37" s="277">
        <f t="shared" si="29"/>
        <v>0</v>
      </c>
      <c r="BA37" s="277">
        <f t="shared" si="30"/>
        <v>0</v>
      </c>
      <c r="BB37" s="277">
        <f t="shared" si="31"/>
        <v>0</v>
      </c>
      <c r="BC37" s="277">
        <f t="shared" si="32"/>
        <v>0</v>
      </c>
      <c r="BD37" s="277">
        <f t="shared" si="33"/>
        <v>0</v>
      </c>
      <c r="BE37" s="277">
        <f t="shared" si="34"/>
        <v>0</v>
      </c>
      <c r="BF37" s="277">
        <f t="shared" si="35"/>
        <v>0</v>
      </c>
      <c r="BG37" s="277">
        <f t="shared" si="36"/>
        <v>0</v>
      </c>
      <c r="BH37" s="277">
        <f t="shared" si="75"/>
        <v>0</v>
      </c>
      <c r="BI37" s="277">
        <f t="shared" si="76"/>
        <v>0</v>
      </c>
      <c r="BJ37" s="277">
        <f t="shared" si="37"/>
        <v>0</v>
      </c>
      <c r="BK37" s="277">
        <f t="shared" si="38"/>
        <v>0</v>
      </c>
      <c r="BL37" s="277">
        <f t="shared" si="39"/>
        <v>0</v>
      </c>
      <c r="BM37" s="277">
        <f t="shared" si="40"/>
        <v>0</v>
      </c>
      <c r="BN37" s="277">
        <f t="shared" si="41"/>
        <v>0</v>
      </c>
      <c r="BO37" s="277">
        <f t="shared" si="42"/>
        <v>0</v>
      </c>
      <c r="BP37" s="277">
        <f t="shared" si="77"/>
        <v>0</v>
      </c>
      <c r="BQ37" s="277">
        <f t="shared" si="78"/>
        <v>0</v>
      </c>
      <c r="BR37" s="277">
        <f t="shared" si="43"/>
        <v>0</v>
      </c>
      <c r="BS37" s="277">
        <f t="shared" si="44"/>
        <v>0</v>
      </c>
      <c r="BT37" s="277">
        <f t="shared" si="79"/>
        <v>0</v>
      </c>
      <c r="BU37" s="277">
        <f t="shared" si="80"/>
        <v>0</v>
      </c>
      <c r="BV37" s="277">
        <f t="shared" si="81"/>
        <v>0</v>
      </c>
      <c r="BW37" s="277">
        <f t="shared" si="82"/>
        <v>0</v>
      </c>
      <c r="BX37" s="277">
        <f t="shared" si="45"/>
        <v>0</v>
      </c>
      <c r="BY37" s="277">
        <f t="shared" si="46"/>
        <v>0</v>
      </c>
      <c r="BZ37" s="277">
        <f t="shared" si="47"/>
        <v>0</v>
      </c>
      <c r="CA37" s="277">
        <f t="shared" si="48"/>
        <v>0</v>
      </c>
      <c r="CB37" s="277">
        <f t="shared" si="49"/>
        <v>0</v>
      </c>
      <c r="CC37" s="277">
        <f t="shared" si="50"/>
        <v>0</v>
      </c>
      <c r="CD37" s="277">
        <f t="shared" si="83"/>
        <v>0</v>
      </c>
      <c r="CE37" s="277">
        <f t="shared" si="84"/>
        <v>0</v>
      </c>
      <c r="CF37" s="277">
        <f t="shared" si="85"/>
        <v>0</v>
      </c>
      <c r="CG37" s="277">
        <f t="shared" si="86"/>
        <v>0</v>
      </c>
      <c r="CH37" s="277">
        <f t="shared" si="51"/>
        <v>0</v>
      </c>
      <c r="CI37" s="277">
        <f t="shared" si="52"/>
        <v>0</v>
      </c>
      <c r="CJ37" s="277">
        <f t="shared" si="87"/>
        <v>0</v>
      </c>
      <c r="CK37" s="277">
        <f t="shared" si="88"/>
        <v>0</v>
      </c>
      <c r="CL37" s="277">
        <f t="shared" si="53"/>
        <v>0</v>
      </c>
      <c r="CM37" s="277">
        <f t="shared" si="54"/>
        <v>0</v>
      </c>
      <c r="CN37" s="277">
        <f t="shared" si="55"/>
        <v>0</v>
      </c>
      <c r="CO37" s="277">
        <f t="shared" si="56"/>
        <v>0</v>
      </c>
      <c r="CP37" s="277">
        <f t="shared" si="89"/>
        <v>0</v>
      </c>
      <c r="CQ37" s="277">
        <f t="shared" si="90"/>
        <v>0</v>
      </c>
      <c r="CR37" s="277">
        <f t="shared" si="91"/>
        <v>0</v>
      </c>
      <c r="CS37" s="277">
        <f t="shared" si="92"/>
        <v>0</v>
      </c>
      <c r="CT37" s="277">
        <f t="shared" si="57"/>
        <v>0</v>
      </c>
      <c r="CU37" s="277">
        <f t="shared" si="58"/>
        <v>0</v>
      </c>
      <c r="CV37" s="277">
        <f t="shared" si="59"/>
        <v>0</v>
      </c>
      <c r="CW37" s="277">
        <f t="shared" si="60"/>
        <v>0</v>
      </c>
      <c r="CX37" s="277">
        <f t="shared" si="93"/>
        <v>0</v>
      </c>
      <c r="CY37" s="277">
        <f t="shared" si="94"/>
        <v>0</v>
      </c>
      <c r="CZ37" s="277">
        <f t="shared" si="95"/>
        <v>0</v>
      </c>
      <c r="DA37" s="277">
        <f t="shared" si="96"/>
        <v>0</v>
      </c>
    </row>
    <row r="38" spans="1:105" s="274" customFormat="1" ht="15.75" customHeight="1">
      <c r="A38" s="63" t="str">
        <f t="array" ref="A38">IF(C38&lt;&gt;0,SUM(($C$11:C38&lt;&gt;0)*1),"")</f>
        <v/>
      </c>
      <c r="B38" s="275"/>
      <c r="C38" s="275"/>
      <c r="D38" s="275"/>
      <c r="E38" s="365"/>
      <c r="F38" s="326"/>
      <c r="G38" s="328"/>
      <c r="H38" s="328"/>
      <c r="I38" s="63" t="str">
        <f t="shared" si="97"/>
        <v/>
      </c>
      <c r="J38" s="277">
        <f t="shared" si="61"/>
        <v>0</v>
      </c>
      <c r="K38" s="277">
        <f t="shared" si="62"/>
        <v>0</v>
      </c>
      <c r="L38" s="277">
        <f t="shared" si="1"/>
        <v>0</v>
      </c>
      <c r="M38" s="277">
        <f t="shared" si="2"/>
        <v>0</v>
      </c>
      <c r="N38" s="277">
        <f t="shared" si="3"/>
        <v>0</v>
      </c>
      <c r="O38" s="277">
        <f t="shared" si="4"/>
        <v>0</v>
      </c>
      <c r="P38" s="277">
        <f t="shared" si="5"/>
        <v>0</v>
      </c>
      <c r="Q38" s="277">
        <f t="shared" si="6"/>
        <v>0</v>
      </c>
      <c r="R38" s="277">
        <f t="shared" si="7"/>
        <v>0</v>
      </c>
      <c r="S38" s="277">
        <f t="shared" si="8"/>
        <v>0</v>
      </c>
      <c r="T38" s="277">
        <f t="shared" si="9"/>
        <v>0</v>
      </c>
      <c r="U38" s="277">
        <f t="shared" si="10"/>
        <v>0</v>
      </c>
      <c r="V38" s="277">
        <f t="shared" si="11"/>
        <v>0</v>
      </c>
      <c r="W38" s="277">
        <f t="shared" si="12"/>
        <v>0</v>
      </c>
      <c r="X38" s="277">
        <f t="shared" si="13"/>
        <v>0</v>
      </c>
      <c r="Y38" s="277">
        <f t="shared" si="14"/>
        <v>0</v>
      </c>
      <c r="Z38" s="277">
        <f t="shared" si="15"/>
        <v>0</v>
      </c>
      <c r="AA38" s="277">
        <f t="shared" si="16"/>
        <v>0</v>
      </c>
      <c r="AB38" s="277">
        <f t="shared" si="63"/>
        <v>0</v>
      </c>
      <c r="AC38" s="277">
        <f t="shared" si="64"/>
        <v>0</v>
      </c>
      <c r="AD38" s="277">
        <f t="shared" si="17"/>
        <v>0</v>
      </c>
      <c r="AE38" s="277">
        <f t="shared" si="18"/>
        <v>0</v>
      </c>
      <c r="AF38" s="277">
        <f t="shared" si="19"/>
        <v>0</v>
      </c>
      <c r="AG38" s="277">
        <f t="shared" si="20"/>
        <v>0</v>
      </c>
      <c r="AH38" s="277">
        <f t="shared" si="65"/>
        <v>0</v>
      </c>
      <c r="AI38" s="277">
        <f t="shared" si="66"/>
        <v>0</v>
      </c>
      <c r="AJ38" s="277">
        <f t="shared" si="67"/>
        <v>0</v>
      </c>
      <c r="AK38" s="277">
        <f t="shared" si="68"/>
        <v>0</v>
      </c>
      <c r="AL38" s="277">
        <f t="shared" si="69"/>
        <v>0</v>
      </c>
      <c r="AM38" s="277">
        <f t="shared" si="70"/>
        <v>0</v>
      </c>
      <c r="AN38" s="277">
        <f t="shared" si="71"/>
        <v>0</v>
      </c>
      <c r="AO38" s="277">
        <f t="shared" si="72"/>
        <v>0</v>
      </c>
      <c r="AP38" s="277">
        <f t="shared" si="21"/>
        <v>0</v>
      </c>
      <c r="AQ38" s="277">
        <f t="shared" si="22"/>
        <v>0</v>
      </c>
      <c r="AR38" s="277">
        <f t="shared" si="23"/>
        <v>0</v>
      </c>
      <c r="AS38" s="277">
        <f t="shared" si="24"/>
        <v>0</v>
      </c>
      <c r="AT38" s="277">
        <f t="shared" si="73"/>
        <v>0</v>
      </c>
      <c r="AU38" s="277">
        <f t="shared" si="74"/>
        <v>0</v>
      </c>
      <c r="AV38" s="277">
        <f t="shared" si="25"/>
        <v>0</v>
      </c>
      <c r="AW38" s="277">
        <f t="shared" si="26"/>
        <v>0</v>
      </c>
      <c r="AX38" s="277">
        <f t="shared" si="27"/>
        <v>0</v>
      </c>
      <c r="AY38" s="277">
        <f t="shared" si="28"/>
        <v>0</v>
      </c>
      <c r="AZ38" s="277">
        <f t="shared" si="29"/>
        <v>0</v>
      </c>
      <c r="BA38" s="277">
        <f t="shared" si="30"/>
        <v>0</v>
      </c>
      <c r="BB38" s="277">
        <f t="shared" si="31"/>
        <v>0</v>
      </c>
      <c r="BC38" s="277">
        <f t="shared" si="32"/>
        <v>0</v>
      </c>
      <c r="BD38" s="277">
        <f t="shared" si="33"/>
        <v>0</v>
      </c>
      <c r="BE38" s="277">
        <f t="shared" si="34"/>
        <v>0</v>
      </c>
      <c r="BF38" s="277">
        <f t="shared" si="35"/>
        <v>0</v>
      </c>
      <c r="BG38" s="277">
        <f t="shared" si="36"/>
        <v>0</v>
      </c>
      <c r="BH38" s="277">
        <f t="shared" si="75"/>
        <v>0</v>
      </c>
      <c r="BI38" s="277">
        <f t="shared" si="76"/>
        <v>0</v>
      </c>
      <c r="BJ38" s="277">
        <f t="shared" si="37"/>
        <v>0</v>
      </c>
      <c r="BK38" s="277">
        <f t="shared" si="38"/>
        <v>0</v>
      </c>
      <c r="BL38" s="277">
        <f t="shared" si="39"/>
        <v>0</v>
      </c>
      <c r="BM38" s="277">
        <f t="shared" si="40"/>
        <v>0</v>
      </c>
      <c r="BN38" s="277">
        <f t="shared" si="41"/>
        <v>0</v>
      </c>
      <c r="BO38" s="277">
        <f t="shared" si="42"/>
        <v>0</v>
      </c>
      <c r="BP38" s="277">
        <f t="shared" si="77"/>
        <v>0</v>
      </c>
      <c r="BQ38" s="277">
        <f t="shared" si="78"/>
        <v>0</v>
      </c>
      <c r="BR38" s="277">
        <f t="shared" si="43"/>
        <v>0</v>
      </c>
      <c r="BS38" s="277">
        <f t="shared" si="44"/>
        <v>0</v>
      </c>
      <c r="BT38" s="277">
        <f t="shared" si="79"/>
        <v>0</v>
      </c>
      <c r="BU38" s="277">
        <f t="shared" si="80"/>
        <v>0</v>
      </c>
      <c r="BV38" s="277">
        <f t="shared" si="81"/>
        <v>0</v>
      </c>
      <c r="BW38" s="277">
        <f t="shared" si="82"/>
        <v>0</v>
      </c>
      <c r="BX38" s="277">
        <f t="shared" si="45"/>
        <v>0</v>
      </c>
      <c r="BY38" s="277">
        <f t="shared" si="46"/>
        <v>0</v>
      </c>
      <c r="BZ38" s="277">
        <f t="shared" si="47"/>
        <v>0</v>
      </c>
      <c r="CA38" s="277">
        <f t="shared" si="48"/>
        <v>0</v>
      </c>
      <c r="CB38" s="277">
        <f t="shared" si="49"/>
        <v>0</v>
      </c>
      <c r="CC38" s="277">
        <f t="shared" si="50"/>
        <v>0</v>
      </c>
      <c r="CD38" s="277">
        <f t="shared" si="83"/>
        <v>0</v>
      </c>
      <c r="CE38" s="277">
        <f t="shared" si="84"/>
        <v>0</v>
      </c>
      <c r="CF38" s="277">
        <f t="shared" si="85"/>
        <v>0</v>
      </c>
      <c r="CG38" s="277">
        <f t="shared" si="86"/>
        <v>0</v>
      </c>
      <c r="CH38" s="277">
        <f t="shared" si="51"/>
        <v>0</v>
      </c>
      <c r="CI38" s="277">
        <f t="shared" si="52"/>
        <v>0</v>
      </c>
      <c r="CJ38" s="277">
        <f t="shared" si="87"/>
        <v>0</v>
      </c>
      <c r="CK38" s="277">
        <f t="shared" si="88"/>
        <v>0</v>
      </c>
      <c r="CL38" s="277">
        <f t="shared" si="53"/>
        <v>0</v>
      </c>
      <c r="CM38" s="277">
        <f t="shared" si="54"/>
        <v>0</v>
      </c>
      <c r="CN38" s="277">
        <f t="shared" si="55"/>
        <v>0</v>
      </c>
      <c r="CO38" s="277">
        <f t="shared" si="56"/>
        <v>0</v>
      </c>
      <c r="CP38" s="277">
        <f t="shared" si="89"/>
        <v>0</v>
      </c>
      <c r="CQ38" s="277">
        <f t="shared" si="90"/>
        <v>0</v>
      </c>
      <c r="CR38" s="277">
        <f t="shared" si="91"/>
        <v>0</v>
      </c>
      <c r="CS38" s="277">
        <f t="shared" si="92"/>
        <v>0</v>
      </c>
      <c r="CT38" s="277">
        <f t="shared" si="57"/>
        <v>0</v>
      </c>
      <c r="CU38" s="277">
        <f t="shared" si="58"/>
        <v>0</v>
      </c>
      <c r="CV38" s="277">
        <f t="shared" si="59"/>
        <v>0</v>
      </c>
      <c r="CW38" s="277">
        <f t="shared" si="60"/>
        <v>0</v>
      </c>
      <c r="CX38" s="277">
        <f t="shared" si="93"/>
        <v>0</v>
      </c>
      <c r="CY38" s="277">
        <f t="shared" si="94"/>
        <v>0</v>
      </c>
      <c r="CZ38" s="277">
        <f t="shared" si="95"/>
        <v>0</v>
      </c>
      <c r="DA38" s="277">
        <f t="shared" si="96"/>
        <v>0</v>
      </c>
    </row>
    <row r="39" spans="1:105" s="274" customFormat="1" ht="15.75" customHeight="1">
      <c r="A39" s="63" t="str">
        <f t="array" ref="A39">IF(C39&lt;&gt;0,SUM(($C$11:C39&lt;&gt;0)*1),"")</f>
        <v/>
      </c>
      <c r="B39" s="275"/>
      <c r="C39" s="275"/>
      <c r="D39" s="275"/>
      <c r="E39" s="365"/>
      <c r="F39" s="326"/>
      <c r="G39" s="328"/>
      <c r="H39" s="328"/>
      <c r="I39" s="63" t="str">
        <f t="shared" si="97"/>
        <v/>
      </c>
      <c r="J39" s="277">
        <f t="shared" si="61"/>
        <v>0</v>
      </c>
      <c r="K39" s="277">
        <f t="shared" si="62"/>
        <v>0</v>
      </c>
      <c r="L39" s="277">
        <f t="shared" si="1"/>
        <v>0</v>
      </c>
      <c r="M39" s="277">
        <f t="shared" si="2"/>
        <v>0</v>
      </c>
      <c r="N39" s="277">
        <f t="shared" si="3"/>
        <v>0</v>
      </c>
      <c r="O39" s="277">
        <f t="shared" si="4"/>
        <v>0</v>
      </c>
      <c r="P39" s="277">
        <f t="shared" si="5"/>
        <v>0</v>
      </c>
      <c r="Q39" s="277">
        <f t="shared" si="6"/>
        <v>0</v>
      </c>
      <c r="R39" s="277">
        <f t="shared" si="7"/>
        <v>0</v>
      </c>
      <c r="S39" s="277">
        <f t="shared" si="8"/>
        <v>0</v>
      </c>
      <c r="T39" s="277">
        <f t="shared" si="9"/>
        <v>0</v>
      </c>
      <c r="U39" s="277">
        <f t="shared" si="10"/>
        <v>0</v>
      </c>
      <c r="V39" s="277">
        <f t="shared" si="11"/>
        <v>0</v>
      </c>
      <c r="W39" s="277">
        <f t="shared" si="12"/>
        <v>0</v>
      </c>
      <c r="X39" s="277">
        <f t="shared" si="13"/>
        <v>0</v>
      </c>
      <c r="Y39" s="277">
        <f t="shared" si="14"/>
        <v>0</v>
      </c>
      <c r="Z39" s="277">
        <f t="shared" si="15"/>
        <v>0</v>
      </c>
      <c r="AA39" s="277">
        <f t="shared" si="16"/>
        <v>0</v>
      </c>
      <c r="AB39" s="277">
        <f t="shared" si="63"/>
        <v>0</v>
      </c>
      <c r="AC39" s="277">
        <f t="shared" si="64"/>
        <v>0</v>
      </c>
      <c r="AD39" s="277">
        <f t="shared" si="17"/>
        <v>0</v>
      </c>
      <c r="AE39" s="277">
        <f t="shared" si="18"/>
        <v>0</v>
      </c>
      <c r="AF39" s="277">
        <f t="shared" si="19"/>
        <v>0</v>
      </c>
      <c r="AG39" s="277">
        <f t="shared" si="20"/>
        <v>0</v>
      </c>
      <c r="AH39" s="277">
        <f t="shared" si="65"/>
        <v>0</v>
      </c>
      <c r="AI39" s="277">
        <f t="shared" si="66"/>
        <v>0</v>
      </c>
      <c r="AJ39" s="277">
        <f t="shared" si="67"/>
        <v>0</v>
      </c>
      <c r="AK39" s="277">
        <f t="shared" si="68"/>
        <v>0</v>
      </c>
      <c r="AL39" s="277">
        <f t="shared" si="69"/>
        <v>0</v>
      </c>
      <c r="AM39" s="277">
        <f t="shared" si="70"/>
        <v>0</v>
      </c>
      <c r="AN39" s="277">
        <f t="shared" si="71"/>
        <v>0</v>
      </c>
      <c r="AO39" s="277">
        <f t="shared" si="72"/>
        <v>0</v>
      </c>
      <c r="AP39" s="277">
        <f t="shared" si="21"/>
        <v>0</v>
      </c>
      <c r="AQ39" s="277">
        <f t="shared" si="22"/>
        <v>0</v>
      </c>
      <c r="AR39" s="277">
        <f t="shared" si="23"/>
        <v>0</v>
      </c>
      <c r="AS39" s="277">
        <f t="shared" si="24"/>
        <v>0</v>
      </c>
      <c r="AT39" s="277">
        <f t="shared" si="73"/>
        <v>0</v>
      </c>
      <c r="AU39" s="277">
        <f t="shared" si="74"/>
        <v>0</v>
      </c>
      <c r="AV39" s="277">
        <f t="shared" si="25"/>
        <v>0</v>
      </c>
      <c r="AW39" s="277">
        <f t="shared" si="26"/>
        <v>0</v>
      </c>
      <c r="AX39" s="277">
        <f t="shared" si="27"/>
        <v>0</v>
      </c>
      <c r="AY39" s="277">
        <f t="shared" si="28"/>
        <v>0</v>
      </c>
      <c r="AZ39" s="277">
        <f t="shared" si="29"/>
        <v>0</v>
      </c>
      <c r="BA39" s="277">
        <f t="shared" si="30"/>
        <v>0</v>
      </c>
      <c r="BB39" s="277">
        <f t="shared" si="31"/>
        <v>0</v>
      </c>
      <c r="BC39" s="277">
        <f t="shared" si="32"/>
        <v>0</v>
      </c>
      <c r="BD39" s="277">
        <f t="shared" si="33"/>
        <v>0</v>
      </c>
      <c r="BE39" s="277">
        <f t="shared" si="34"/>
        <v>0</v>
      </c>
      <c r="BF39" s="277">
        <f t="shared" si="35"/>
        <v>0</v>
      </c>
      <c r="BG39" s="277">
        <f t="shared" si="36"/>
        <v>0</v>
      </c>
      <c r="BH39" s="277">
        <f t="shared" si="75"/>
        <v>0</v>
      </c>
      <c r="BI39" s="277">
        <f t="shared" si="76"/>
        <v>0</v>
      </c>
      <c r="BJ39" s="277">
        <f t="shared" si="37"/>
        <v>0</v>
      </c>
      <c r="BK39" s="277">
        <f t="shared" si="38"/>
        <v>0</v>
      </c>
      <c r="BL39" s="277">
        <f t="shared" si="39"/>
        <v>0</v>
      </c>
      <c r="BM39" s="277">
        <f t="shared" si="40"/>
        <v>0</v>
      </c>
      <c r="BN39" s="277">
        <f t="shared" si="41"/>
        <v>0</v>
      </c>
      <c r="BO39" s="277">
        <f t="shared" si="42"/>
        <v>0</v>
      </c>
      <c r="BP39" s="277">
        <f t="shared" si="77"/>
        <v>0</v>
      </c>
      <c r="BQ39" s="277">
        <f t="shared" si="78"/>
        <v>0</v>
      </c>
      <c r="BR39" s="277">
        <f t="shared" si="43"/>
        <v>0</v>
      </c>
      <c r="BS39" s="277">
        <f t="shared" si="44"/>
        <v>0</v>
      </c>
      <c r="BT39" s="277">
        <f t="shared" si="79"/>
        <v>0</v>
      </c>
      <c r="BU39" s="277">
        <f t="shared" si="80"/>
        <v>0</v>
      </c>
      <c r="BV39" s="277">
        <f t="shared" si="81"/>
        <v>0</v>
      </c>
      <c r="BW39" s="277">
        <f t="shared" si="82"/>
        <v>0</v>
      </c>
      <c r="BX39" s="277">
        <f t="shared" si="45"/>
        <v>0</v>
      </c>
      <c r="BY39" s="277">
        <f t="shared" si="46"/>
        <v>0</v>
      </c>
      <c r="BZ39" s="277">
        <f t="shared" si="47"/>
        <v>0</v>
      </c>
      <c r="CA39" s="277">
        <f t="shared" si="48"/>
        <v>0</v>
      </c>
      <c r="CB39" s="277">
        <f t="shared" si="49"/>
        <v>0</v>
      </c>
      <c r="CC39" s="277">
        <f t="shared" si="50"/>
        <v>0</v>
      </c>
      <c r="CD39" s="277">
        <f t="shared" si="83"/>
        <v>0</v>
      </c>
      <c r="CE39" s="277">
        <f t="shared" si="84"/>
        <v>0</v>
      </c>
      <c r="CF39" s="277">
        <f t="shared" si="85"/>
        <v>0</v>
      </c>
      <c r="CG39" s="277">
        <f t="shared" si="86"/>
        <v>0</v>
      </c>
      <c r="CH39" s="277">
        <f t="shared" si="51"/>
        <v>0</v>
      </c>
      <c r="CI39" s="277">
        <f t="shared" si="52"/>
        <v>0</v>
      </c>
      <c r="CJ39" s="277">
        <f t="shared" si="87"/>
        <v>0</v>
      </c>
      <c r="CK39" s="277">
        <f t="shared" si="88"/>
        <v>0</v>
      </c>
      <c r="CL39" s="277">
        <f t="shared" si="53"/>
        <v>0</v>
      </c>
      <c r="CM39" s="277">
        <f t="shared" si="54"/>
        <v>0</v>
      </c>
      <c r="CN39" s="277">
        <f t="shared" si="55"/>
        <v>0</v>
      </c>
      <c r="CO39" s="277">
        <f t="shared" si="56"/>
        <v>0</v>
      </c>
      <c r="CP39" s="277">
        <f t="shared" si="89"/>
        <v>0</v>
      </c>
      <c r="CQ39" s="277">
        <f t="shared" si="90"/>
        <v>0</v>
      </c>
      <c r="CR39" s="277">
        <f t="shared" si="91"/>
        <v>0</v>
      </c>
      <c r="CS39" s="277">
        <f t="shared" si="92"/>
        <v>0</v>
      </c>
      <c r="CT39" s="277">
        <f t="shared" si="57"/>
        <v>0</v>
      </c>
      <c r="CU39" s="277">
        <f t="shared" si="58"/>
        <v>0</v>
      </c>
      <c r="CV39" s="277">
        <f t="shared" si="59"/>
        <v>0</v>
      </c>
      <c r="CW39" s="277">
        <f t="shared" si="60"/>
        <v>0</v>
      </c>
      <c r="CX39" s="277">
        <f t="shared" si="93"/>
        <v>0</v>
      </c>
      <c r="CY39" s="277">
        <f t="shared" si="94"/>
        <v>0</v>
      </c>
      <c r="CZ39" s="277">
        <f t="shared" si="95"/>
        <v>0</v>
      </c>
      <c r="DA39" s="277">
        <f t="shared" si="96"/>
        <v>0</v>
      </c>
    </row>
    <row r="40" spans="1:105" s="274" customFormat="1" ht="15.75" customHeight="1">
      <c r="A40" s="63">
        <f t="array" aca="1" ref="A40" ca="1">IF(C40&lt;&gt;0,SUM(($C$11:C40&lt;&gt;0)*1),"")</f>
        <v>2</v>
      </c>
      <c r="B40" s="275">
        <v>42643</v>
      </c>
      <c r="C40" s="278" t="s">
        <v>115</v>
      </c>
      <c r="D40" s="278">
        <f t="shared" ref="D40:D50" si="98">B40</f>
        <v>42643</v>
      </c>
      <c r="E40" s="968" t="s">
        <v>927</v>
      </c>
      <c r="F40" s="969">
        <f ca="1">AY52</f>
        <v>0</v>
      </c>
      <c r="G40" s="970" t="s">
        <v>932</v>
      </c>
      <c r="H40" s="970" t="s">
        <v>9</v>
      </c>
      <c r="I40" s="63">
        <f t="shared" ca="1" si="97"/>
        <v>2</v>
      </c>
      <c r="J40" s="277">
        <f t="shared" si="61"/>
        <v>0</v>
      </c>
      <c r="K40" s="277">
        <f t="shared" si="62"/>
        <v>0</v>
      </c>
      <c r="L40" s="277">
        <f t="shared" si="1"/>
        <v>0</v>
      </c>
      <c r="M40" s="277">
        <f t="shared" si="2"/>
        <v>0</v>
      </c>
      <c r="N40" s="277">
        <f t="shared" si="3"/>
        <v>0</v>
      </c>
      <c r="O40" s="277">
        <f t="shared" si="4"/>
        <v>0</v>
      </c>
      <c r="P40" s="277">
        <f t="shared" si="5"/>
        <v>0</v>
      </c>
      <c r="Q40" s="277">
        <f t="shared" si="6"/>
        <v>0</v>
      </c>
      <c r="R40" s="277">
        <f t="shared" si="7"/>
        <v>0</v>
      </c>
      <c r="S40" s="277">
        <f t="shared" ca="1" si="8"/>
        <v>0</v>
      </c>
      <c r="T40" s="277">
        <f t="shared" si="9"/>
        <v>0</v>
      </c>
      <c r="U40" s="277">
        <f t="shared" si="10"/>
        <v>0</v>
      </c>
      <c r="V40" s="277">
        <f t="shared" si="11"/>
        <v>0</v>
      </c>
      <c r="W40" s="277">
        <f t="shared" si="12"/>
        <v>0</v>
      </c>
      <c r="X40" s="277">
        <f t="shared" si="13"/>
        <v>0</v>
      </c>
      <c r="Y40" s="277">
        <f t="shared" si="14"/>
        <v>0</v>
      </c>
      <c r="Z40" s="277">
        <f t="shared" si="15"/>
        <v>0</v>
      </c>
      <c r="AA40" s="277">
        <f t="shared" si="16"/>
        <v>0</v>
      </c>
      <c r="AB40" s="277">
        <f t="shared" si="63"/>
        <v>0</v>
      </c>
      <c r="AC40" s="277">
        <f t="shared" si="64"/>
        <v>0</v>
      </c>
      <c r="AD40" s="277">
        <f t="shared" si="17"/>
        <v>0</v>
      </c>
      <c r="AE40" s="277">
        <f t="shared" si="18"/>
        <v>0</v>
      </c>
      <c r="AF40" s="277">
        <f t="shared" si="19"/>
        <v>0</v>
      </c>
      <c r="AG40" s="277">
        <f t="shared" si="20"/>
        <v>0</v>
      </c>
      <c r="AH40" s="277">
        <f t="shared" si="65"/>
        <v>0</v>
      </c>
      <c r="AI40" s="277">
        <f t="shared" si="66"/>
        <v>0</v>
      </c>
      <c r="AJ40" s="277">
        <f t="shared" si="67"/>
        <v>0</v>
      </c>
      <c r="AK40" s="277">
        <f t="shared" si="68"/>
        <v>0</v>
      </c>
      <c r="AL40" s="277">
        <f t="shared" si="69"/>
        <v>0</v>
      </c>
      <c r="AM40" s="277">
        <f t="shared" si="70"/>
        <v>0</v>
      </c>
      <c r="AN40" s="277">
        <f t="shared" si="71"/>
        <v>0</v>
      </c>
      <c r="AO40" s="277">
        <f t="shared" si="72"/>
        <v>0</v>
      </c>
      <c r="AP40" s="277">
        <f t="shared" si="21"/>
        <v>0</v>
      </c>
      <c r="AQ40" s="277">
        <f t="shared" si="22"/>
        <v>0</v>
      </c>
      <c r="AR40" s="277">
        <f t="shared" si="23"/>
        <v>0</v>
      </c>
      <c r="AS40" s="277">
        <f t="shared" si="24"/>
        <v>0</v>
      </c>
      <c r="AT40" s="277">
        <f t="shared" si="73"/>
        <v>0</v>
      </c>
      <c r="AU40" s="277">
        <f t="shared" si="74"/>
        <v>0</v>
      </c>
      <c r="AV40" s="277">
        <f t="shared" si="25"/>
        <v>0</v>
      </c>
      <c r="AW40" s="277">
        <f t="shared" si="26"/>
        <v>0</v>
      </c>
      <c r="AX40" s="277">
        <f t="shared" ca="1" si="27"/>
        <v>0</v>
      </c>
      <c r="AY40" s="277">
        <f t="shared" si="28"/>
        <v>0</v>
      </c>
      <c r="AZ40" s="277">
        <f t="shared" si="29"/>
        <v>0</v>
      </c>
      <c r="BA40" s="277">
        <f t="shared" si="30"/>
        <v>0</v>
      </c>
      <c r="BB40" s="277">
        <f t="shared" si="31"/>
        <v>0</v>
      </c>
      <c r="BC40" s="277">
        <f t="shared" si="32"/>
        <v>0</v>
      </c>
      <c r="BD40" s="277">
        <f t="shared" si="33"/>
        <v>0</v>
      </c>
      <c r="BE40" s="277">
        <f t="shared" si="34"/>
        <v>0</v>
      </c>
      <c r="BF40" s="277">
        <f t="shared" si="35"/>
        <v>0</v>
      </c>
      <c r="BG40" s="277">
        <f t="shared" si="36"/>
        <v>0</v>
      </c>
      <c r="BH40" s="277">
        <f t="shared" si="75"/>
        <v>0</v>
      </c>
      <c r="BI40" s="277">
        <f t="shared" si="76"/>
        <v>0</v>
      </c>
      <c r="BJ40" s="277">
        <f t="shared" si="37"/>
        <v>0</v>
      </c>
      <c r="BK40" s="277">
        <f t="shared" si="38"/>
        <v>0</v>
      </c>
      <c r="BL40" s="277">
        <f t="shared" si="39"/>
        <v>0</v>
      </c>
      <c r="BM40" s="277">
        <f t="shared" si="40"/>
        <v>0</v>
      </c>
      <c r="BN40" s="277">
        <f t="shared" si="41"/>
        <v>0</v>
      </c>
      <c r="BO40" s="277">
        <f t="shared" si="42"/>
        <v>0</v>
      </c>
      <c r="BP40" s="277">
        <f t="shared" si="77"/>
        <v>0</v>
      </c>
      <c r="BQ40" s="277">
        <f t="shared" si="78"/>
        <v>0</v>
      </c>
      <c r="BR40" s="277">
        <f t="shared" si="43"/>
        <v>0</v>
      </c>
      <c r="BS40" s="277">
        <f t="shared" si="44"/>
        <v>0</v>
      </c>
      <c r="BT40" s="277">
        <f t="shared" si="79"/>
        <v>0</v>
      </c>
      <c r="BU40" s="277">
        <f t="shared" si="80"/>
        <v>0</v>
      </c>
      <c r="BV40" s="277">
        <f t="shared" si="81"/>
        <v>0</v>
      </c>
      <c r="BW40" s="277">
        <f t="shared" si="82"/>
        <v>0</v>
      </c>
      <c r="BX40" s="277">
        <f t="shared" si="45"/>
        <v>0</v>
      </c>
      <c r="BY40" s="277">
        <f t="shared" si="46"/>
        <v>0</v>
      </c>
      <c r="BZ40" s="277">
        <f t="shared" si="47"/>
        <v>0</v>
      </c>
      <c r="CA40" s="277">
        <f t="shared" si="48"/>
        <v>0</v>
      </c>
      <c r="CB40" s="277">
        <f t="shared" si="49"/>
        <v>0</v>
      </c>
      <c r="CC40" s="277">
        <f t="shared" si="50"/>
        <v>0</v>
      </c>
      <c r="CD40" s="277">
        <f t="shared" si="83"/>
        <v>0</v>
      </c>
      <c r="CE40" s="277">
        <f t="shared" si="84"/>
        <v>0</v>
      </c>
      <c r="CF40" s="277">
        <f t="shared" si="85"/>
        <v>0</v>
      </c>
      <c r="CG40" s="277">
        <f t="shared" si="86"/>
        <v>0</v>
      </c>
      <c r="CH40" s="277">
        <f t="shared" si="51"/>
        <v>0</v>
      </c>
      <c r="CI40" s="277">
        <f t="shared" si="52"/>
        <v>0</v>
      </c>
      <c r="CJ40" s="277">
        <f t="shared" si="87"/>
        <v>0</v>
      </c>
      <c r="CK40" s="277">
        <f t="shared" si="88"/>
        <v>0</v>
      </c>
      <c r="CL40" s="277">
        <f t="shared" si="53"/>
        <v>0</v>
      </c>
      <c r="CM40" s="277">
        <f t="shared" si="54"/>
        <v>0</v>
      </c>
      <c r="CN40" s="277">
        <f t="shared" si="55"/>
        <v>0</v>
      </c>
      <c r="CO40" s="277">
        <f t="shared" si="56"/>
        <v>0</v>
      </c>
      <c r="CP40" s="277">
        <f t="shared" si="89"/>
        <v>0</v>
      </c>
      <c r="CQ40" s="277">
        <f t="shared" si="90"/>
        <v>0</v>
      </c>
      <c r="CR40" s="277">
        <f t="shared" si="91"/>
        <v>0</v>
      </c>
      <c r="CS40" s="277">
        <f t="shared" si="92"/>
        <v>0</v>
      </c>
      <c r="CT40" s="277">
        <f t="shared" si="57"/>
        <v>0</v>
      </c>
      <c r="CU40" s="277">
        <f t="shared" si="58"/>
        <v>0</v>
      </c>
      <c r="CV40" s="277">
        <f t="shared" si="59"/>
        <v>0</v>
      </c>
      <c r="CW40" s="277">
        <f t="shared" si="60"/>
        <v>0</v>
      </c>
      <c r="CX40" s="277">
        <f t="shared" si="93"/>
        <v>0</v>
      </c>
      <c r="CY40" s="277">
        <f t="shared" si="94"/>
        <v>0</v>
      </c>
      <c r="CZ40" s="277">
        <f t="shared" si="95"/>
        <v>0</v>
      </c>
      <c r="DA40" s="277">
        <f t="shared" si="96"/>
        <v>0</v>
      </c>
    </row>
    <row r="41" spans="1:105" s="274" customFormat="1" ht="15.75" customHeight="1">
      <c r="A41" s="63">
        <f t="array" aca="1" ref="A41" ca="1">IF(C41&lt;&gt;0,SUM(($C$11:C41&lt;&gt;0)*1),"")</f>
        <v>3</v>
      </c>
      <c r="B41" s="275">
        <v>42643</v>
      </c>
      <c r="C41" s="278" t="s">
        <v>115</v>
      </c>
      <c r="D41" s="278">
        <f t="shared" si="98"/>
        <v>42643</v>
      </c>
      <c r="E41" s="968" t="s">
        <v>928</v>
      </c>
      <c r="F41" s="969">
        <f ca="1">CL52</f>
        <v>0</v>
      </c>
      <c r="G41" s="970" t="s">
        <v>109</v>
      </c>
      <c r="H41" s="970" t="s">
        <v>294</v>
      </c>
      <c r="I41" s="63">
        <f t="shared" ca="1" si="97"/>
        <v>3</v>
      </c>
      <c r="J41" s="277">
        <f t="shared" si="61"/>
        <v>0</v>
      </c>
      <c r="K41" s="277">
        <f t="shared" si="62"/>
        <v>0</v>
      </c>
      <c r="L41" s="277">
        <f t="shared" si="1"/>
        <v>0</v>
      </c>
      <c r="M41" s="277">
        <f t="shared" si="2"/>
        <v>0</v>
      </c>
      <c r="N41" s="277">
        <f t="shared" si="3"/>
        <v>0</v>
      </c>
      <c r="O41" s="277">
        <f t="shared" si="4"/>
        <v>0</v>
      </c>
      <c r="P41" s="277">
        <f t="shared" si="5"/>
        <v>0</v>
      </c>
      <c r="Q41" s="277">
        <f t="shared" si="6"/>
        <v>0</v>
      </c>
      <c r="R41" s="277">
        <f t="shared" si="7"/>
        <v>0</v>
      </c>
      <c r="S41" s="277">
        <f t="shared" si="8"/>
        <v>0</v>
      </c>
      <c r="T41" s="277">
        <f t="shared" si="9"/>
        <v>0</v>
      </c>
      <c r="U41" s="277">
        <f t="shared" si="10"/>
        <v>0</v>
      </c>
      <c r="V41" s="277">
        <f t="shared" si="11"/>
        <v>0</v>
      </c>
      <c r="W41" s="277">
        <f t="shared" si="12"/>
        <v>0</v>
      </c>
      <c r="X41" s="277">
        <f t="shared" si="13"/>
        <v>0</v>
      </c>
      <c r="Y41" s="277">
        <f t="shared" si="14"/>
        <v>0</v>
      </c>
      <c r="Z41" s="277">
        <f t="shared" si="15"/>
        <v>0</v>
      </c>
      <c r="AA41" s="277">
        <f t="shared" si="16"/>
        <v>0</v>
      </c>
      <c r="AB41" s="277">
        <f t="shared" si="63"/>
        <v>0</v>
      </c>
      <c r="AC41" s="277">
        <f t="shared" si="64"/>
        <v>0</v>
      </c>
      <c r="AD41" s="277">
        <f t="shared" si="17"/>
        <v>0</v>
      </c>
      <c r="AE41" s="277">
        <f t="shared" si="18"/>
        <v>0</v>
      </c>
      <c r="AF41" s="277">
        <f t="shared" si="19"/>
        <v>0</v>
      </c>
      <c r="AG41" s="277">
        <f t="shared" si="20"/>
        <v>0</v>
      </c>
      <c r="AH41" s="277">
        <f t="shared" si="65"/>
        <v>0</v>
      </c>
      <c r="AI41" s="277">
        <f t="shared" si="66"/>
        <v>0</v>
      </c>
      <c r="AJ41" s="277">
        <f t="shared" si="67"/>
        <v>0</v>
      </c>
      <c r="AK41" s="277">
        <f t="shared" si="68"/>
        <v>0</v>
      </c>
      <c r="AL41" s="277">
        <f t="shared" si="69"/>
        <v>0</v>
      </c>
      <c r="AM41" s="277">
        <f t="shared" si="70"/>
        <v>0</v>
      </c>
      <c r="AN41" s="277">
        <f t="shared" si="71"/>
        <v>0</v>
      </c>
      <c r="AO41" s="277">
        <f t="shared" si="72"/>
        <v>0</v>
      </c>
      <c r="AP41" s="277">
        <f t="shared" si="21"/>
        <v>0</v>
      </c>
      <c r="AQ41" s="277">
        <f t="shared" si="22"/>
        <v>0</v>
      </c>
      <c r="AR41" s="277">
        <f t="shared" si="23"/>
        <v>0</v>
      </c>
      <c r="AS41" s="277">
        <f t="shared" si="24"/>
        <v>0</v>
      </c>
      <c r="AT41" s="277">
        <f t="shared" si="73"/>
        <v>0</v>
      </c>
      <c r="AU41" s="277">
        <f t="shared" si="74"/>
        <v>0</v>
      </c>
      <c r="AV41" s="277">
        <f t="shared" si="25"/>
        <v>0</v>
      </c>
      <c r="AW41" s="277">
        <f t="shared" si="26"/>
        <v>0</v>
      </c>
      <c r="AX41" s="277">
        <f t="shared" si="27"/>
        <v>0</v>
      </c>
      <c r="AY41" s="277">
        <f t="shared" si="28"/>
        <v>0</v>
      </c>
      <c r="AZ41" s="277">
        <f t="shared" si="29"/>
        <v>0</v>
      </c>
      <c r="BA41" s="277">
        <f t="shared" si="30"/>
        <v>0</v>
      </c>
      <c r="BB41" s="277">
        <f t="shared" si="31"/>
        <v>0</v>
      </c>
      <c r="BC41" s="277">
        <f t="shared" si="32"/>
        <v>0</v>
      </c>
      <c r="BD41" s="277">
        <f t="shared" si="33"/>
        <v>0</v>
      </c>
      <c r="BE41" s="277">
        <f t="shared" si="34"/>
        <v>0</v>
      </c>
      <c r="BF41" s="277">
        <f t="shared" si="35"/>
        <v>0</v>
      </c>
      <c r="BG41" s="277">
        <f t="shared" si="36"/>
        <v>0</v>
      </c>
      <c r="BH41" s="277">
        <f t="shared" si="75"/>
        <v>0</v>
      </c>
      <c r="BI41" s="277">
        <f t="shared" si="76"/>
        <v>0</v>
      </c>
      <c r="BJ41" s="277">
        <f t="shared" si="37"/>
        <v>0</v>
      </c>
      <c r="BK41" s="277">
        <f t="shared" si="38"/>
        <v>0</v>
      </c>
      <c r="BL41" s="277">
        <f t="shared" si="39"/>
        <v>0</v>
      </c>
      <c r="BM41" s="277">
        <f t="shared" si="40"/>
        <v>0</v>
      </c>
      <c r="BN41" s="277">
        <f t="shared" si="41"/>
        <v>0</v>
      </c>
      <c r="BO41" s="277">
        <f t="shared" si="42"/>
        <v>0</v>
      </c>
      <c r="BP41" s="277">
        <f t="shared" si="77"/>
        <v>0</v>
      </c>
      <c r="BQ41" s="277">
        <f t="shared" si="78"/>
        <v>0</v>
      </c>
      <c r="BR41" s="277">
        <f t="shared" si="43"/>
        <v>0</v>
      </c>
      <c r="BS41" s="277">
        <f t="shared" si="44"/>
        <v>0</v>
      </c>
      <c r="BT41" s="277">
        <f t="shared" si="79"/>
        <v>0</v>
      </c>
      <c r="BU41" s="277">
        <f t="shared" si="80"/>
        <v>0</v>
      </c>
      <c r="BV41" s="277">
        <f t="shared" si="81"/>
        <v>0</v>
      </c>
      <c r="BW41" s="277">
        <f t="shared" si="82"/>
        <v>0</v>
      </c>
      <c r="BX41" s="277">
        <f t="shared" si="45"/>
        <v>0</v>
      </c>
      <c r="BY41" s="277">
        <f t="shared" si="46"/>
        <v>0</v>
      </c>
      <c r="BZ41" s="277">
        <f t="shared" si="47"/>
        <v>0</v>
      </c>
      <c r="CA41" s="277">
        <f t="shared" si="48"/>
        <v>0</v>
      </c>
      <c r="CB41" s="277">
        <f t="shared" si="49"/>
        <v>0</v>
      </c>
      <c r="CC41" s="277">
        <f t="shared" si="50"/>
        <v>0</v>
      </c>
      <c r="CD41" s="277">
        <f t="shared" si="83"/>
        <v>0</v>
      </c>
      <c r="CE41" s="277">
        <f t="shared" si="84"/>
        <v>0</v>
      </c>
      <c r="CF41" s="277">
        <f t="shared" si="85"/>
        <v>0</v>
      </c>
      <c r="CG41" s="277">
        <f t="shared" si="86"/>
        <v>0</v>
      </c>
      <c r="CH41" s="277">
        <f t="shared" si="51"/>
        <v>0</v>
      </c>
      <c r="CI41" s="277">
        <f t="shared" si="52"/>
        <v>0</v>
      </c>
      <c r="CJ41" s="277">
        <f t="shared" si="87"/>
        <v>0</v>
      </c>
      <c r="CK41" s="277">
        <f t="shared" si="88"/>
        <v>0</v>
      </c>
      <c r="CL41" s="277">
        <f t="shared" si="53"/>
        <v>0</v>
      </c>
      <c r="CM41" s="277">
        <f t="shared" ca="1" si="54"/>
        <v>0</v>
      </c>
      <c r="CN41" s="277">
        <f t="shared" si="55"/>
        <v>0</v>
      </c>
      <c r="CO41" s="277">
        <f t="shared" si="56"/>
        <v>0</v>
      </c>
      <c r="CP41" s="277">
        <f t="shared" si="89"/>
        <v>0</v>
      </c>
      <c r="CQ41" s="277">
        <f t="shared" si="90"/>
        <v>0</v>
      </c>
      <c r="CR41" s="277">
        <f t="shared" si="91"/>
        <v>0</v>
      </c>
      <c r="CS41" s="277">
        <f t="shared" si="92"/>
        <v>0</v>
      </c>
      <c r="CT41" s="277">
        <f t="shared" si="57"/>
        <v>0</v>
      </c>
      <c r="CU41" s="277">
        <f t="shared" si="58"/>
        <v>0</v>
      </c>
      <c r="CV41" s="277">
        <f t="shared" si="59"/>
        <v>0</v>
      </c>
      <c r="CW41" s="277">
        <f t="shared" si="60"/>
        <v>0</v>
      </c>
      <c r="CX41" s="277">
        <f t="shared" si="93"/>
        <v>0</v>
      </c>
      <c r="CY41" s="277">
        <f t="shared" si="94"/>
        <v>0</v>
      </c>
      <c r="CZ41" s="277">
        <f t="shared" ca="1" si="95"/>
        <v>0</v>
      </c>
      <c r="DA41" s="277">
        <f t="shared" si="96"/>
        <v>0</v>
      </c>
    </row>
    <row r="42" spans="1:105" s="274" customFormat="1" ht="15.75" customHeight="1">
      <c r="A42" s="63">
        <f t="array" aca="1" ref="A42" ca="1">IF(C42&lt;&gt;0,SUM(($C$11:C42&lt;&gt;0)*1),"")</f>
        <v>4</v>
      </c>
      <c r="B42" s="275">
        <v>42643</v>
      </c>
      <c r="C42" s="278" t="s">
        <v>115</v>
      </c>
      <c r="D42" s="278">
        <f t="shared" si="98"/>
        <v>42643</v>
      </c>
      <c r="E42" s="968" t="s">
        <v>116</v>
      </c>
      <c r="F42" s="969">
        <f ca="1">CN52</f>
        <v>0</v>
      </c>
      <c r="G42" s="970" t="s">
        <v>109</v>
      </c>
      <c r="H42" s="970" t="s">
        <v>99</v>
      </c>
      <c r="I42" s="63">
        <f t="shared" ca="1" si="97"/>
        <v>4</v>
      </c>
      <c r="J42" s="277">
        <f t="shared" si="61"/>
        <v>0</v>
      </c>
      <c r="K42" s="277">
        <f t="shared" si="62"/>
        <v>0</v>
      </c>
      <c r="L42" s="277">
        <f t="shared" si="1"/>
        <v>0</v>
      </c>
      <c r="M42" s="277">
        <f t="shared" si="2"/>
        <v>0</v>
      </c>
      <c r="N42" s="277">
        <f t="shared" si="3"/>
        <v>0</v>
      </c>
      <c r="O42" s="277">
        <f t="shared" si="4"/>
        <v>0</v>
      </c>
      <c r="P42" s="277">
        <f t="shared" si="5"/>
        <v>0</v>
      </c>
      <c r="Q42" s="277">
        <f t="shared" si="6"/>
        <v>0</v>
      </c>
      <c r="R42" s="277">
        <f t="shared" si="7"/>
        <v>0</v>
      </c>
      <c r="S42" s="277">
        <f t="shared" si="8"/>
        <v>0</v>
      </c>
      <c r="T42" s="277">
        <f t="shared" si="9"/>
        <v>0</v>
      </c>
      <c r="U42" s="277">
        <f t="shared" si="10"/>
        <v>0</v>
      </c>
      <c r="V42" s="277">
        <f t="shared" si="11"/>
        <v>0</v>
      </c>
      <c r="W42" s="277">
        <f t="shared" si="12"/>
        <v>0</v>
      </c>
      <c r="X42" s="277">
        <f t="shared" si="13"/>
        <v>0</v>
      </c>
      <c r="Y42" s="277">
        <f t="shared" si="14"/>
        <v>0</v>
      </c>
      <c r="Z42" s="277">
        <f t="shared" si="15"/>
        <v>0</v>
      </c>
      <c r="AA42" s="277">
        <f t="shared" si="16"/>
        <v>0</v>
      </c>
      <c r="AB42" s="277">
        <f t="shared" si="63"/>
        <v>0</v>
      </c>
      <c r="AC42" s="277">
        <f t="shared" si="64"/>
        <v>0</v>
      </c>
      <c r="AD42" s="277">
        <f t="shared" si="17"/>
        <v>0</v>
      </c>
      <c r="AE42" s="277">
        <f t="shared" si="18"/>
        <v>0</v>
      </c>
      <c r="AF42" s="277">
        <f t="shared" si="19"/>
        <v>0</v>
      </c>
      <c r="AG42" s="277">
        <f t="shared" si="20"/>
        <v>0</v>
      </c>
      <c r="AH42" s="277">
        <f t="shared" si="65"/>
        <v>0</v>
      </c>
      <c r="AI42" s="277">
        <f t="shared" si="66"/>
        <v>0</v>
      </c>
      <c r="AJ42" s="277">
        <f t="shared" si="67"/>
        <v>0</v>
      </c>
      <c r="AK42" s="277">
        <f t="shared" si="68"/>
        <v>0</v>
      </c>
      <c r="AL42" s="277">
        <f t="shared" si="69"/>
        <v>0</v>
      </c>
      <c r="AM42" s="277">
        <f t="shared" si="70"/>
        <v>0</v>
      </c>
      <c r="AN42" s="277">
        <f t="shared" si="71"/>
        <v>0</v>
      </c>
      <c r="AO42" s="277">
        <f t="shared" si="72"/>
        <v>0</v>
      </c>
      <c r="AP42" s="277">
        <f t="shared" si="21"/>
        <v>0</v>
      </c>
      <c r="AQ42" s="277">
        <f t="shared" si="22"/>
        <v>0</v>
      </c>
      <c r="AR42" s="277">
        <f t="shared" si="23"/>
        <v>0</v>
      </c>
      <c r="AS42" s="277">
        <f t="shared" si="24"/>
        <v>0</v>
      </c>
      <c r="AT42" s="277">
        <f t="shared" si="73"/>
        <v>0</v>
      </c>
      <c r="AU42" s="277">
        <f t="shared" si="74"/>
        <v>0</v>
      </c>
      <c r="AV42" s="277">
        <f t="shared" si="25"/>
        <v>0</v>
      </c>
      <c r="AW42" s="277">
        <f t="shared" si="26"/>
        <v>0</v>
      </c>
      <c r="AX42" s="277">
        <f t="shared" si="27"/>
        <v>0</v>
      </c>
      <c r="AY42" s="277">
        <f t="shared" si="28"/>
        <v>0</v>
      </c>
      <c r="AZ42" s="277">
        <f t="shared" si="29"/>
        <v>0</v>
      </c>
      <c r="BA42" s="277">
        <f t="shared" si="30"/>
        <v>0</v>
      </c>
      <c r="BB42" s="277">
        <f t="shared" si="31"/>
        <v>0</v>
      </c>
      <c r="BC42" s="277">
        <f t="shared" si="32"/>
        <v>0</v>
      </c>
      <c r="BD42" s="277">
        <f t="shared" si="33"/>
        <v>0</v>
      </c>
      <c r="BE42" s="277">
        <f t="shared" si="34"/>
        <v>0</v>
      </c>
      <c r="BF42" s="277">
        <f t="shared" si="35"/>
        <v>0</v>
      </c>
      <c r="BG42" s="277">
        <f t="shared" si="36"/>
        <v>0</v>
      </c>
      <c r="BH42" s="277">
        <f t="shared" si="75"/>
        <v>0</v>
      </c>
      <c r="BI42" s="277">
        <f t="shared" si="76"/>
        <v>0</v>
      </c>
      <c r="BJ42" s="277">
        <f t="shared" si="37"/>
        <v>0</v>
      </c>
      <c r="BK42" s="277">
        <f t="shared" si="38"/>
        <v>0</v>
      </c>
      <c r="BL42" s="277">
        <f t="shared" si="39"/>
        <v>0</v>
      </c>
      <c r="BM42" s="277">
        <f t="shared" si="40"/>
        <v>0</v>
      </c>
      <c r="BN42" s="277">
        <f t="shared" si="41"/>
        <v>0</v>
      </c>
      <c r="BO42" s="277">
        <f t="shared" si="42"/>
        <v>0</v>
      </c>
      <c r="BP42" s="277">
        <f t="shared" si="77"/>
        <v>0</v>
      </c>
      <c r="BQ42" s="277">
        <f t="shared" si="78"/>
        <v>0</v>
      </c>
      <c r="BR42" s="277">
        <f t="shared" si="43"/>
        <v>0</v>
      </c>
      <c r="BS42" s="277">
        <f t="shared" si="44"/>
        <v>0</v>
      </c>
      <c r="BT42" s="277">
        <f t="shared" si="79"/>
        <v>0</v>
      </c>
      <c r="BU42" s="277">
        <f t="shared" si="80"/>
        <v>0</v>
      </c>
      <c r="BV42" s="277">
        <f t="shared" si="81"/>
        <v>0</v>
      </c>
      <c r="BW42" s="277">
        <f t="shared" si="82"/>
        <v>0</v>
      </c>
      <c r="BX42" s="277">
        <f t="shared" si="45"/>
        <v>0</v>
      </c>
      <c r="BY42" s="277">
        <f t="shared" si="46"/>
        <v>0</v>
      </c>
      <c r="BZ42" s="277">
        <f t="shared" si="47"/>
        <v>0</v>
      </c>
      <c r="CA42" s="277">
        <f t="shared" si="48"/>
        <v>0</v>
      </c>
      <c r="CB42" s="277">
        <f t="shared" si="49"/>
        <v>0</v>
      </c>
      <c r="CC42" s="277">
        <f t="shared" si="50"/>
        <v>0</v>
      </c>
      <c r="CD42" s="277">
        <f t="shared" si="83"/>
        <v>0</v>
      </c>
      <c r="CE42" s="277">
        <f t="shared" si="84"/>
        <v>0</v>
      </c>
      <c r="CF42" s="277">
        <f t="shared" si="85"/>
        <v>0</v>
      </c>
      <c r="CG42" s="277">
        <f t="shared" si="86"/>
        <v>0</v>
      </c>
      <c r="CH42" s="277">
        <f t="shared" si="51"/>
        <v>0</v>
      </c>
      <c r="CI42" s="277">
        <f t="shared" si="52"/>
        <v>0</v>
      </c>
      <c r="CJ42" s="277">
        <f t="shared" si="87"/>
        <v>0</v>
      </c>
      <c r="CK42" s="277">
        <f t="shared" si="88"/>
        <v>0</v>
      </c>
      <c r="CL42" s="277">
        <f t="shared" si="53"/>
        <v>0</v>
      </c>
      <c r="CM42" s="277">
        <f t="shared" si="54"/>
        <v>0</v>
      </c>
      <c r="CN42" s="277">
        <f t="shared" si="55"/>
        <v>0</v>
      </c>
      <c r="CO42" s="277">
        <f t="shared" ca="1" si="56"/>
        <v>0</v>
      </c>
      <c r="CP42" s="277">
        <f t="shared" si="89"/>
        <v>0</v>
      </c>
      <c r="CQ42" s="277">
        <f t="shared" si="90"/>
        <v>0</v>
      </c>
      <c r="CR42" s="277">
        <f t="shared" si="91"/>
        <v>0</v>
      </c>
      <c r="CS42" s="277">
        <f t="shared" si="92"/>
        <v>0</v>
      </c>
      <c r="CT42" s="277">
        <f t="shared" si="57"/>
        <v>0</v>
      </c>
      <c r="CU42" s="277">
        <f t="shared" si="58"/>
        <v>0</v>
      </c>
      <c r="CV42" s="277">
        <f t="shared" si="59"/>
        <v>0</v>
      </c>
      <c r="CW42" s="277">
        <f t="shared" si="60"/>
        <v>0</v>
      </c>
      <c r="CX42" s="277">
        <f t="shared" si="93"/>
        <v>0</v>
      </c>
      <c r="CY42" s="277">
        <f t="shared" si="94"/>
        <v>0</v>
      </c>
      <c r="CZ42" s="277">
        <f t="shared" ca="1" si="95"/>
        <v>0</v>
      </c>
      <c r="DA42" s="277">
        <f t="shared" si="96"/>
        <v>0</v>
      </c>
    </row>
    <row r="43" spans="1:105" s="274" customFormat="1" ht="15.75" customHeight="1">
      <c r="A43" s="63">
        <f t="array" aca="1" ref="A43" ca="1">IF(C43&lt;&gt;0,SUM(($C$11:C43&lt;&gt;0)*1),"")</f>
        <v>5</v>
      </c>
      <c r="B43" s="275">
        <v>42643</v>
      </c>
      <c r="C43" s="278" t="s">
        <v>115</v>
      </c>
      <c r="D43" s="278">
        <f t="shared" si="98"/>
        <v>42643</v>
      </c>
      <c r="E43" s="968" t="s">
        <v>929</v>
      </c>
      <c r="F43" s="969">
        <f ca="1">CP52</f>
        <v>0</v>
      </c>
      <c r="G43" s="970" t="s">
        <v>109</v>
      </c>
      <c r="H43" s="970" t="s">
        <v>591</v>
      </c>
      <c r="I43" s="63">
        <f t="shared" ca="1" si="97"/>
        <v>5</v>
      </c>
      <c r="J43" s="277">
        <f t="shared" si="61"/>
        <v>0</v>
      </c>
      <c r="K43" s="277">
        <f t="shared" si="62"/>
        <v>0</v>
      </c>
      <c r="L43" s="277">
        <f t="shared" si="1"/>
        <v>0</v>
      </c>
      <c r="M43" s="277">
        <f t="shared" si="2"/>
        <v>0</v>
      </c>
      <c r="N43" s="277">
        <f t="shared" si="3"/>
        <v>0</v>
      </c>
      <c r="O43" s="277">
        <f t="shared" si="4"/>
        <v>0</v>
      </c>
      <c r="P43" s="277">
        <f t="shared" si="5"/>
        <v>0</v>
      </c>
      <c r="Q43" s="277">
        <f t="shared" si="6"/>
        <v>0</v>
      </c>
      <c r="R43" s="277">
        <f t="shared" si="7"/>
        <v>0</v>
      </c>
      <c r="S43" s="277">
        <f t="shared" si="8"/>
        <v>0</v>
      </c>
      <c r="T43" s="277">
        <f t="shared" si="9"/>
        <v>0</v>
      </c>
      <c r="U43" s="277">
        <f t="shared" si="10"/>
        <v>0</v>
      </c>
      <c r="V43" s="277">
        <f t="shared" si="11"/>
        <v>0</v>
      </c>
      <c r="W43" s="277">
        <f t="shared" si="12"/>
        <v>0</v>
      </c>
      <c r="X43" s="277">
        <f t="shared" si="13"/>
        <v>0</v>
      </c>
      <c r="Y43" s="277">
        <f t="shared" si="14"/>
        <v>0</v>
      </c>
      <c r="Z43" s="277">
        <f t="shared" si="15"/>
        <v>0</v>
      </c>
      <c r="AA43" s="277">
        <f t="shared" si="16"/>
        <v>0</v>
      </c>
      <c r="AB43" s="277">
        <f t="shared" si="63"/>
        <v>0</v>
      </c>
      <c r="AC43" s="277">
        <f t="shared" si="64"/>
        <v>0</v>
      </c>
      <c r="AD43" s="277">
        <f t="shared" si="17"/>
        <v>0</v>
      </c>
      <c r="AE43" s="277">
        <f t="shared" si="18"/>
        <v>0</v>
      </c>
      <c r="AF43" s="277">
        <f t="shared" si="19"/>
        <v>0</v>
      </c>
      <c r="AG43" s="277">
        <f t="shared" si="20"/>
        <v>0</v>
      </c>
      <c r="AH43" s="277">
        <f t="shared" si="65"/>
        <v>0</v>
      </c>
      <c r="AI43" s="277">
        <f t="shared" si="66"/>
        <v>0</v>
      </c>
      <c r="AJ43" s="277">
        <f t="shared" si="67"/>
        <v>0</v>
      </c>
      <c r="AK43" s="277">
        <f t="shared" si="68"/>
        <v>0</v>
      </c>
      <c r="AL43" s="277">
        <f t="shared" si="69"/>
        <v>0</v>
      </c>
      <c r="AM43" s="277">
        <f t="shared" si="70"/>
        <v>0</v>
      </c>
      <c r="AN43" s="277">
        <f t="shared" si="71"/>
        <v>0</v>
      </c>
      <c r="AO43" s="277">
        <f t="shared" si="72"/>
        <v>0</v>
      </c>
      <c r="AP43" s="277">
        <f t="shared" si="21"/>
        <v>0</v>
      </c>
      <c r="AQ43" s="277">
        <f t="shared" si="22"/>
        <v>0</v>
      </c>
      <c r="AR43" s="277">
        <f t="shared" si="23"/>
        <v>0</v>
      </c>
      <c r="AS43" s="277">
        <f t="shared" si="24"/>
        <v>0</v>
      </c>
      <c r="AT43" s="277">
        <f t="shared" si="73"/>
        <v>0</v>
      </c>
      <c r="AU43" s="277">
        <f t="shared" si="74"/>
        <v>0</v>
      </c>
      <c r="AV43" s="277">
        <f t="shared" si="25"/>
        <v>0</v>
      </c>
      <c r="AW43" s="277">
        <f t="shared" si="26"/>
        <v>0</v>
      </c>
      <c r="AX43" s="277">
        <f t="shared" si="27"/>
        <v>0</v>
      </c>
      <c r="AY43" s="277">
        <f t="shared" si="28"/>
        <v>0</v>
      </c>
      <c r="AZ43" s="277">
        <f t="shared" si="29"/>
        <v>0</v>
      </c>
      <c r="BA43" s="277">
        <f t="shared" si="30"/>
        <v>0</v>
      </c>
      <c r="BB43" s="277">
        <f t="shared" si="31"/>
        <v>0</v>
      </c>
      <c r="BC43" s="277">
        <f t="shared" si="32"/>
        <v>0</v>
      </c>
      <c r="BD43" s="277">
        <f t="shared" si="33"/>
        <v>0</v>
      </c>
      <c r="BE43" s="277">
        <f t="shared" si="34"/>
        <v>0</v>
      </c>
      <c r="BF43" s="277">
        <f t="shared" si="35"/>
        <v>0</v>
      </c>
      <c r="BG43" s="277">
        <f t="shared" si="36"/>
        <v>0</v>
      </c>
      <c r="BH43" s="277">
        <f t="shared" si="75"/>
        <v>0</v>
      </c>
      <c r="BI43" s="277">
        <f t="shared" si="76"/>
        <v>0</v>
      </c>
      <c r="BJ43" s="277">
        <f t="shared" si="37"/>
        <v>0</v>
      </c>
      <c r="BK43" s="277">
        <f t="shared" si="38"/>
        <v>0</v>
      </c>
      <c r="BL43" s="277">
        <f t="shared" si="39"/>
        <v>0</v>
      </c>
      <c r="BM43" s="277">
        <f t="shared" si="40"/>
        <v>0</v>
      </c>
      <c r="BN43" s="277">
        <f t="shared" si="41"/>
        <v>0</v>
      </c>
      <c r="BO43" s="277">
        <f t="shared" si="42"/>
        <v>0</v>
      </c>
      <c r="BP43" s="277">
        <f t="shared" si="77"/>
        <v>0</v>
      </c>
      <c r="BQ43" s="277">
        <f t="shared" si="78"/>
        <v>0</v>
      </c>
      <c r="BR43" s="277">
        <f t="shared" si="43"/>
        <v>0</v>
      </c>
      <c r="BS43" s="277">
        <f t="shared" si="44"/>
        <v>0</v>
      </c>
      <c r="BT43" s="277">
        <f t="shared" si="79"/>
        <v>0</v>
      </c>
      <c r="BU43" s="277">
        <f t="shared" si="80"/>
        <v>0</v>
      </c>
      <c r="BV43" s="277">
        <f t="shared" si="81"/>
        <v>0</v>
      </c>
      <c r="BW43" s="277">
        <f t="shared" si="82"/>
        <v>0</v>
      </c>
      <c r="BX43" s="277">
        <f t="shared" si="45"/>
        <v>0</v>
      </c>
      <c r="BY43" s="277">
        <f t="shared" si="46"/>
        <v>0</v>
      </c>
      <c r="BZ43" s="277">
        <f t="shared" si="47"/>
        <v>0</v>
      </c>
      <c r="CA43" s="277">
        <f t="shared" si="48"/>
        <v>0</v>
      </c>
      <c r="CB43" s="277">
        <f t="shared" si="49"/>
        <v>0</v>
      </c>
      <c r="CC43" s="277">
        <f t="shared" si="50"/>
        <v>0</v>
      </c>
      <c r="CD43" s="277">
        <f t="shared" si="83"/>
        <v>0</v>
      </c>
      <c r="CE43" s="277">
        <f t="shared" si="84"/>
        <v>0</v>
      </c>
      <c r="CF43" s="277">
        <f t="shared" si="85"/>
        <v>0</v>
      </c>
      <c r="CG43" s="277">
        <f t="shared" si="86"/>
        <v>0</v>
      </c>
      <c r="CH43" s="277">
        <f t="shared" si="51"/>
        <v>0</v>
      </c>
      <c r="CI43" s="277">
        <f t="shared" si="52"/>
        <v>0</v>
      </c>
      <c r="CJ43" s="277">
        <f t="shared" si="87"/>
        <v>0</v>
      </c>
      <c r="CK43" s="277">
        <f t="shared" si="88"/>
        <v>0</v>
      </c>
      <c r="CL43" s="277">
        <f t="shared" si="53"/>
        <v>0</v>
      </c>
      <c r="CM43" s="277">
        <f t="shared" si="54"/>
        <v>0</v>
      </c>
      <c r="CN43" s="277">
        <f t="shared" si="55"/>
        <v>0</v>
      </c>
      <c r="CO43" s="277">
        <f t="shared" si="56"/>
        <v>0</v>
      </c>
      <c r="CP43" s="277">
        <f t="shared" si="89"/>
        <v>0</v>
      </c>
      <c r="CQ43" s="277">
        <f t="shared" ca="1" si="90"/>
        <v>0</v>
      </c>
      <c r="CR43" s="277">
        <f t="shared" si="91"/>
        <v>0</v>
      </c>
      <c r="CS43" s="277">
        <f t="shared" si="92"/>
        <v>0</v>
      </c>
      <c r="CT43" s="277">
        <f t="shared" si="57"/>
        <v>0</v>
      </c>
      <c r="CU43" s="277">
        <f t="shared" si="58"/>
        <v>0</v>
      </c>
      <c r="CV43" s="277">
        <f t="shared" si="59"/>
        <v>0</v>
      </c>
      <c r="CW43" s="277">
        <f t="shared" si="60"/>
        <v>0</v>
      </c>
      <c r="CX43" s="277">
        <f t="shared" si="93"/>
        <v>0</v>
      </c>
      <c r="CY43" s="277">
        <f t="shared" si="94"/>
        <v>0</v>
      </c>
      <c r="CZ43" s="277">
        <f t="shared" ca="1" si="95"/>
        <v>0</v>
      </c>
      <c r="DA43" s="277">
        <f t="shared" si="96"/>
        <v>0</v>
      </c>
    </row>
    <row r="44" spans="1:105" s="274" customFormat="1" ht="15.75" customHeight="1">
      <c r="A44" s="63">
        <f t="array" aca="1" ref="A44" ca="1">IF(C44&lt;&gt;0,SUM(($C$11:C44&lt;&gt;0)*1),"")</f>
        <v>6</v>
      </c>
      <c r="B44" s="275">
        <v>42643</v>
      </c>
      <c r="C44" s="278" t="s">
        <v>115</v>
      </c>
      <c r="D44" s="278">
        <f t="shared" si="98"/>
        <v>42643</v>
      </c>
      <c r="E44" s="968" t="s">
        <v>117</v>
      </c>
      <c r="F44" s="969">
        <f ca="1">CR52</f>
        <v>0</v>
      </c>
      <c r="G44" s="970" t="s">
        <v>109</v>
      </c>
      <c r="H44" s="970" t="s">
        <v>101</v>
      </c>
      <c r="I44" s="63">
        <f t="shared" ca="1" si="97"/>
        <v>6</v>
      </c>
      <c r="J44" s="277">
        <f t="shared" si="61"/>
        <v>0</v>
      </c>
      <c r="K44" s="277">
        <f t="shared" si="62"/>
        <v>0</v>
      </c>
      <c r="L44" s="277">
        <f t="shared" si="1"/>
        <v>0</v>
      </c>
      <c r="M44" s="277">
        <f t="shared" si="2"/>
        <v>0</v>
      </c>
      <c r="N44" s="277">
        <f t="shared" si="3"/>
        <v>0</v>
      </c>
      <c r="O44" s="277">
        <f t="shared" si="4"/>
        <v>0</v>
      </c>
      <c r="P44" s="277">
        <f t="shared" si="5"/>
        <v>0</v>
      </c>
      <c r="Q44" s="277">
        <f t="shared" si="6"/>
        <v>0</v>
      </c>
      <c r="R44" s="277">
        <f t="shared" si="7"/>
        <v>0</v>
      </c>
      <c r="S44" s="277">
        <f t="shared" si="8"/>
        <v>0</v>
      </c>
      <c r="T44" s="277">
        <f t="shared" si="9"/>
        <v>0</v>
      </c>
      <c r="U44" s="277">
        <f t="shared" si="10"/>
        <v>0</v>
      </c>
      <c r="V44" s="277">
        <f t="shared" si="11"/>
        <v>0</v>
      </c>
      <c r="W44" s="277">
        <f t="shared" si="12"/>
        <v>0</v>
      </c>
      <c r="X44" s="277">
        <f t="shared" si="13"/>
        <v>0</v>
      </c>
      <c r="Y44" s="277">
        <f t="shared" si="14"/>
        <v>0</v>
      </c>
      <c r="Z44" s="277">
        <f t="shared" si="15"/>
        <v>0</v>
      </c>
      <c r="AA44" s="277">
        <f t="shared" si="16"/>
        <v>0</v>
      </c>
      <c r="AB44" s="277">
        <f t="shared" si="63"/>
        <v>0</v>
      </c>
      <c r="AC44" s="277">
        <f t="shared" si="64"/>
        <v>0</v>
      </c>
      <c r="AD44" s="277">
        <f t="shared" si="17"/>
        <v>0</v>
      </c>
      <c r="AE44" s="277">
        <f t="shared" si="18"/>
        <v>0</v>
      </c>
      <c r="AF44" s="277">
        <f t="shared" si="19"/>
        <v>0</v>
      </c>
      <c r="AG44" s="277">
        <f t="shared" si="20"/>
        <v>0</v>
      </c>
      <c r="AH44" s="277">
        <f t="shared" si="65"/>
        <v>0</v>
      </c>
      <c r="AI44" s="277">
        <f t="shared" si="66"/>
        <v>0</v>
      </c>
      <c r="AJ44" s="277">
        <f t="shared" si="67"/>
        <v>0</v>
      </c>
      <c r="AK44" s="277">
        <f t="shared" si="68"/>
        <v>0</v>
      </c>
      <c r="AL44" s="277">
        <f t="shared" si="69"/>
        <v>0</v>
      </c>
      <c r="AM44" s="277">
        <f t="shared" si="70"/>
        <v>0</v>
      </c>
      <c r="AN44" s="277">
        <f t="shared" si="71"/>
        <v>0</v>
      </c>
      <c r="AO44" s="277">
        <f t="shared" si="72"/>
        <v>0</v>
      </c>
      <c r="AP44" s="277">
        <f t="shared" si="21"/>
        <v>0</v>
      </c>
      <c r="AQ44" s="277">
        <f t="shared" si="22"/>
        <v>0</v>
      </c>
      <c r="AR44" s="277">
        <f t="shared" si="23"/>
        <v>0</v>
      </c>
      <c r="AS44" s="277">
        <f t="shared" si="24"/>
        <v>0</v>
      </c>
      <c r="AT44" s="277">
        <f t="shared" si="73"/>
        <v>0</v>
      </c>
      <c r="AU44" s="277">
        <f t="shared" si="74"/>
        <v>0</v>
      </c>
      <c r="AV44" s="277">
        <f t="shared" si="25"/>
        <v>0</v>
      </c>
      <c r="AW44" s="277">
        <f t="shared" si="26"/>
        <v>0</v>
      </c>
      <c r="AX44" s="277">
        <f t="shared" si="27"/>
        <v>0</v>
      </c>
      <c r="AY44" s="277">
        <f t="shared" si="28"/>
        <v>0</v>
      </c>
      <c r="AZ44" s="277">
        <f t="shared" si="29"/>
        <v>0</v>
      </c>
      <c r="BA44" s="277">
        <f t="shared" si="30"/>
        <v>0</v>
      </c>
      <c r="BB44" s="277">
        <f t="shared" si="31"/>
        <v>0</v>
      </c>
      <c r="BC44" s="277">
        <f t="shared" si="32"/>
        <v>0</v>
      </c>
      <c r="BD44" s="277">
        <f t="shared" si="33"/>
        <v>0</v>
      </c>
      <c r="BE44" s="277">
        <f t="shared" si="34"/>
        <v>0</v>
      </c>
      <c r="BF44" s="277">
        <f t="shared" si="35"/>
        <v>0</v>
      </c>
      <c r="BG44" s="277">
        <f t="shared" si="36"/>
        <v>0</v>
      </c>
      <c r="BH44" s="277">
        <f t="shared" si="75"/>
        <v>0</v>
      </c>
      <c r="BI44" s="277">
        <f t="shared" si="76"/>
        <v>0</v>
      </c>
      <c r="BJ44" s="277">
        <f t="shared" si="37"/>
        <v>0</v>
      </c>
      <c r="BK44" s="277">
        <f t="shared" si="38"/>
        <v>0</v>
      </c>
      <c r="BL44" s="277">
        <f t="shared" si="39"/>
        <v>0</v>
      </c>
      <c r="BM44" s="277">
        <f t="shared" si="40"/>
        <v>0</v>
      </c>
      <c r="BN44" s="277">
        <f t="shared" si="41"/>
        <v>0</v>
      </c>
      <c r="BO44" s="277">
        <f t="shared" si="42"/>
        <v>0</v>
      </c>
      <c r="BP44" s="277">
        <f t="shared" si="77"/>
        <v>0</v>
      </c>
      <c r="BQ44" s="277">
        <f t="shared" si="78"/>
        <v>0</v>
      </c>
      <c r="BR44" s="277">
        <f t="shared" si="43"/>
        <v>0</v>
      </c>
      <c r="BS44" s="277">
        <f t="shared" si="44"/>
        <v>0</v>
      </c>
      <c r="BT44" s="277">
        <f t="shared" si="79"/>
        <v>0</v>
      </c>
      <c r="BU44" s="277">
        <f t="shared" si="80"/>
        <v>0</v>
      </c>
      <c r="BV44" s="277">
        <f t="shared" si="81"/>
        <v>0</v>
      </c>
      <c r="BW44" s="277">
        <f t="shared" si="82"/>
        <v>0</v>
      </c>
      <c r="BX44" s="277">
        <f t="shared" si="45"/>
        <v>0</v>
      </c>
      <c r="BY44" s="277">
        <f t="shared" si="46"/>
        <v>0</v>
      </c>
      <c r="BZ44" s="277">
        <f t="shared" si="47"/>
        <v>0</v>
      </c>
      <c r="CA44" s="277">
        <f t="shared" si="48"/>
        <v>0</v>
      </c>
      <c r="CB44" s="277">
        <f t="shared" si="49"/>
        <v>0</v>
      </c>
      <c r="CC44" s="277">
        <f t="shared" si="50"/>
        <v>0</v>
      </c>
      <c r="CD44" s="277">
        <f t="shared" si="83"/>
        <v>0</v>
      </c>
      <c r="CE44" s="277">
        <f t="shared" si="84"/>
        <v>0</v>
      </c>
      <c r="CF44" s="277">
        <f t="shared" si="85"/>
        <v>0</v>
      </c>
      <c r="CG44" s="277">
        <f t="shared" si="86"/>
        <v>0</v>
      </c>
      <c r="CH44" s="277">
        <f t="shared" si="51"/>
        <v>0</v>
      </c>
      <c r="CI44" s="277">
        <f t="shared" si="52"/>
        <v>0</v>
      </c>
      <c r="CJ44" s="277">
        <f t="shared" si="87"/>
        <v>0</v>
      </c>
      <c r="CK44" s="277">
        <f t="shared" si="88"/>
        <v>0</v>
      </c>
      <c r="CL44" s="277">
        <f t="shared" si="53"/>
        <v>0</v>
      </c>
      <c r="CM44" s="277">
        <f t="shared" si="54"/>
        <v>0</v>
      </c>
      <c r="CN44" s="277">
        <f t="shared" si="55"/>
        <v>0</v>
      </c>
      <c r="CO44" s="277">
        <f t="shared" si="56"/>
        <v>0</v>
      </c>
      <c r="CP44" s="277">
        <f t="shared" si="89"/>
        <v>0</v>
      </c>
      <c r="CQ44" s="277">
        <f t="shared" si="90"/>
        <v>0</v>
      </c>
      <c r="CR44" s="277">
        <f t="shared" si="91"/>
        <v>0</v>
      </c>
      <c r="CS44" s="277">
        <f t="shared" ca="1" si="92"/>
        <v>0</v>
      </c>
      <c r="CT44" s="277">
        <f t="shared" si="57"/>
        <v>0</v>
      </c>
      <c r="CU44" s="277">
        <f t="shared" si="58"/>
        <v>0</v>
      </c>
      <c r="CV44" s="277">
        <f t="shared" si="59"/>
        <v>0</v>
      </c>
      <c r="CW44" s="277">
        <f t="shared" si="60"/>
        <v>0</v>
      </c>
      <c r="CX44" s="277">
        <f t="shared" si="93"/>
        <v>0</v>
      </c>
      <c r="CY44" s="277">
        <f t="shared" si="94"/>
        <v>0</v>
      </c>
      <c r="CZ44" s="277">
        <f t="shared" ca="1" si="95"/>
        <v>0</v>
      </c>
      <c r="DA44" s="277">
        <f t="shared" si="96"/>
        <v>0</v>
      </c>
    </row>
    <row r="45" spans="1:105" s="274" customFormat="1" ht="15.75" customHeight="1">
      <c r="A45" s="63">
        <f t="array" aca="1" ref="A45" ca="1">IF(C45&lt;&gt;0,SUM(($C$11:C45&lt;&gt;0)*1),"")</f>
        <v>7</v>
      </c>
      <c r="B45" s="275">
        <v>42643</v>
      </c>
      <c r="C45" s="278" t="s">
        <v>115</v>
      </c>
      <c r="D45" s="278">
        <f t="shared" si="98"/>
        <v>42643</v>
      </c>
      <c r="E45" s="968" t="s">
        <v>214</v>
      </c>
      <c r="F45" s="969"/>
      <c r="G45" s="970" t="s">
        <v>109</v>
      </c>
      <c r="H45" s="970" t="s">
        <v>94</v>
      </c>
      <c r="I45" s="63">
        <f t="shared" ca="1" si="97"/>
        <v>7</v>
      </c>
      <c r="J45" s="277">
        <f t="shared" si="61"/>
        <v>0</v>
      </c>
      <c r="K45" s="277">
        <f t="shared" si="62"/>
        <v>0</v>
      </c>
      <c r="L45" s="277">
        <f t="shared" si="1"/>
        <v>0</v>
      </c>
      <c r="M45" s="277">
        <f t="shared" si="2"/>
        <v>0</v>
      </c>
      <c r="N45" s="277">
        <f t="shared" si="3"/>
        <v>0</v>
      </c>
      <c r="O45" s="277">
        <f t="shared" si="4"/>
        <v>0</v>
      </c>
      <c r="P45" s="277">
        <f t="shared" si="5"/>
        <v>0</v>
      </c>
      <c r="Q45" s="277">
        <f t="shared" si="6"/>
        <v>0</v>
      </c>
      <c r="R45" s="277">
        <f t="shared" si="7"/>
        <v>0</v>
      </c>
      <c r="S45" s="277">
        <f t="shared" si="8"/>
        <v>0</v>
      </c>
      <c r="T45" s="277">
        <f t="shared" si="9"/>
        <v>0</v>
      </c>
      <c r="U45" s="277">
        <f t="shared" si="10"/>
        <v>0</v>
      </c>
      <c r="V45" s="277">
        <f t="shared" si="11"/>
        <v>0</v>
      </c>
      <c r="W45" s="277">
        <f t="shared" si="12"/>
        <v>0</v>
      </c>
      <c r="X45" s="277">
        <f t="shared" si="13"/>
        <v>0</v>
      </c>
      <c r="Y45" s="277">
        <f t="shared" si="14"/>
        <v>0</v>
      </c>
      <c r="Z45" s="277">
        <f t="shared" si="15"/>
        <v>0</v>
      </c>
      <c r="AA45" s="277">
        <f t="shared" si="16"/>
        <v>0</v>
      </c>
      <c r="AB45" s="277">
        <f t="shared" si="63"/>
        <v>0</v>
      </c>
      <c r="AC45" s="277">
        <f t="shared" si="64"/>
        <v>0</v>
      </c>
      <c r="AD45" s="277">
        <f t="shared" si="17"/>
        <v>0</v>
      </c>
      <c r="AE45" s="277">
        <f t="shared" si="18"/>
        <v>0</v>
      </c>
      <c r="AF45" s="277">
        <f t="shared" si="19"/>
        <v>0</v>
      </c>
      <c r="AG45" s="277">
        <f t="shared" si="20"/>
        <v>0</v>
      </c>
      <c r="AH45" s="277">
        <f t="shared" si="65"/>
        <v>0</v>
      </c>
      <c r="AI45" s="277">
        <f t="shared" si="66"/>
        <v>0</v>
      </c>
      <c r="AJ45" s="277">
        <f t="shared" si="67"/>
        <v>0</v>
      </c>
      <c r="AK45" s="277">
        <f t="shared" si="68"/>
        <v>0</v>
      </c>
      <c r="AL45" s="277">
        <f t="shared" si="69"/>
        <v>0</v>
      </c>
      <c r="AM45" s="277">
        <f t="shared" si="70"/>
        <v>0</v>
      </c>
      <c r="AN45" s="277">
        <f t="shared" si="71"/>
        <v>0</v>
      </c>
      <c r="AO45" s="277">
        <f t="shared" si="72"/>
        <v>0</v>
      </c>
      <c r="AP45" s="277">
        <f t="shared" si="21"/>
        <v>0</v>
      </c>
      <c r="AQ45" s="277">
        <f t="shared" si="22"/>
        <v>0</v>
      </c>
      <c r="AR45" s="277">
        <f t="shared" si="23"/>
        <v>0</v>
      </c>
      <c r="AS45" s="277">
        <f t="shared" si="24"/>
        <v>0</v>
      </c>
      <c r="AT45" s="277">
        <f t="shared" si="73"/>
        <v>0</v>
      </c>
      <c r="AU45" s="277">
        <f t="shared" si="74"/>
        <v>0</v>
      </c>
      <c r="AV45" s="277">
        <f t="shared" si="25"/>
        <v>0</v>
      </c>
      <c r="AW45" s="277">
        <f t="shared" si="26"/>
        <v>0</v>
      </c>
      <c r="AX45" s="277">
        <f t="shared" si="27"/>
        <v>0</v>
      </c>
      <c r="AY45" s="277">
        <f t="shared" si="28"/>
        <v>0</v>
      </c>
      <c r="AZ45" s="277">
        <f t="shared" si="29"/>
        <v>0</v>
      </c>
      <c r="BA45" s="277">
        <f t="shared" si="30"/>
        <v>0</v>
      </c>
      <c r="BB45" s="277">
        <f t="shared" si="31"/>
        <v>0</v>
      </c>
      <c r="BC45" s="277">
        <f t="shared" si="32"/>
        <v>0</v>
      </c>
      <c r="BD45" s="277">
        <f t="shared" si="33"/>
        <v>0</v>
      </c>
      <c r="BE45" s="277">
        <f t="shared" si="34"/>
        <v>0</v>
      </c>
      <c r="BF45" s="277">
        <f t="shared" si="35"/>
        <v>0</v>
      </c>
      <c r="BG45" s="277">
        <f t="shared" si="36"/>
        <v>0</v>
      </c>
      <c r="BH45" s="277">
        <f t="shared" si="75"/>
        <v>0</v>
      </c>
      <c r="BI45" s="277">
        <f t="shared" si="76"/>
        <v>0</v>
      </c>
      <c r="BJ45" s="277">
        <f t="shared" si="37"/>
        <v>0</v>
      </c>
      <c r="BK45" s="277">
        <f t="shared" si="38"/>
        <v>0</v>
      </c>
      <c r="BL45" s="277">
        <f t="shared" si="39"/>
        <v>0</v>
      </c>
      <c r="BM45" s="277">
        <f t="shared" si="40"/>
        <v>0</v>
      </c>
      <c r="BN45" s="277">
        <f t="shared" si="41"/>
        <v>0</v>
      </c>
      <c r="BO45" s="277">
        <f t="shared" si="42"/>
        <v>0</v>
      </c>
      <c r="BP45" s="277">
        <f t="shared" si="77"/>
        <v>0</v>
      </c>
      <c r="BQ45" s="277">
        <f t="shared" si="78"/>
        <v>0</v>
      </c>
      <c r="BR45" s="277">
        <f t="shared" si="43"/>
        <v>0</v>
      </c>
      <c r="BS45" s="277">
        <f t="shared" si="44"/>
        <v>0</v>
      </c>
      <c r="BT45" s="277">
        <f t="shared" si="79"/>
        <v>0</v>
      </c>
      <c r="BU45" s="277">
        <f t="shared" si="80"/>
        <v>0</v>
      </c>
      <c r="BV45" s="277">
        <f t="shared" si="81"/>
        <v>0</v>
      </c>
      <c r="BW45" s="277">
        <f t="shared" si="82"/>
        <v>0</v>
      </c>
      <c r="BX45" s="277">
        <f t="shared" si="45"/>
        <v>0</v>
      </c>
      <c r="BY45" s="277">
        <f t="shared" si="46"/>
        <v>0</v>
      </c>
      <c r="BZ45" s="277">
        <f t="shared" si="47"/>
        <v>0</v>
      </c>
      <c r="CA45" s="277">
        <f t="shared" si="48"/>
        <v>0</v>
      </c>
      <c r="CB45" s="277">
        <f t="shared" si="49"/>
        <v>0</v>
      </c>
      <c r="CC45" s="277">
        <f t="shared" si="50"/>
        <v>0</v>
      </c>
      <c r="CD45" s="277">
        <f t="shared" si="83"/>
        <v>0</v>
      </c>
      <c r="CE45" s="277">
        <f t="shared" si="84"/>
        <v>0</v>
      </c>
      <c r="CF45" s="277">
        <f t="shared" si="85"/>
        <v>0</v>
      </c>
      <c r="CG45" s="277">
        <f t="shared" si="86"/>
        <v>0</v>
      </c>
      <c r="CH45" s="277">
        <f t="shared" si="51"/>
        <v>0</v>
      </c>
      <c r="CI45" s="277">
        <f t="shared" si="52"/>
        <v>0</v>
      </c>
      <c r="CJ45" s="277">
        <f t="shared" si="87"/>
        <v>0</v>
      </c>
      <c r="CK45" s="277">
        <f t="shared" si="88"/>
        <v>0</v>
      </c>
      <c r="CL45" s="277">
        <f t="shared" si="53"/>
        <v>0</v>
      </c>
      <c r="CM45" s="277">
        <f t="shared" si="54"/>
        <v>0</v>
      </c>
      <c r="CN45" s="277">
        <f t="shared" si="55"/>
        <v>0</v>
      </c>
      <c r="CO45" s="277">
        <f t="shared" si="56"/>
        <v>0</v>
      </c>
      <c r="CP45" s="277">
        <f t="shared" si="89"/>
        <v>0</v>
      </c>
      <c r="CQ45" s="277">
        <f t="shared" si="90"/>
        <v>0</v>
      </c>
      <c r="CR45" s="277">
        <f t="shared" si="91"/>
        <v>0</v>
      </c>
      <c r="CS45" s="277">
        <f t="shared" si="92"/>
        <v>0</v>
      </c>
      <c r="CT45" s="277">
        <f t="shared" si="57"/>
        <v>0</v>
      </c>
      <c r="CU45" s="277">
        <f t="shared" si="58"/>
        <v>0</v>
      </c>
      <c r="CV45" s="277">
        <f t="shared" si="59"/>
        <v>0</v>
      </c>
      <c r="CW45" s="277">
        <f t="shared" si="60"/>
        <v>0</v>
      </c>
      <c r="CX45" s="277">
        <f t="shared" si="93"/>
        <v>0</v>
      </c>
      <c r="CY45" s="277">
        <f t="shared" si="94"/>
        <v>0</v>
      </c>
      <c r="CZ45" s="277">
        <f t="shared" si="95"/>
        <v>0</v>
      </c>
      <c r="DA45" s="277">
        <f t="shared" si="96"/>
        <v>0</v>
      </c>
    </row>
    <row r="46" spans="1:105" s="274" customFormat="1" ht="15.75" customHeight="1">
      <c r="A46" s="63">
        <f t="array" aca="1" ref="A46" ca="1">IF(C46&lt;&gt;0,SUM(($C$11:C46&lt;&gt;0)*1),"")</f>
        <v>8</v>
      </c>
      <c r="B46" s="275">
        <v>42643</v>
      </c>
      <c r="C46" s="278" t="s">
        <v>115</v>
      </c>
      <c r="D46" s="278">
        <f t="shared" si="98"/>
        <v>42643</v>
      </c>
      <c r="E46" s="968" t="s">
        <v>118</v>
      </c>
      <c r="F46" s="969">
        <f ca="1">CI52</f>
        <v>0</v>
      </c>
      <c r="G46" s="970" t="s">
        <v>43</v>
      </c>
      <c r="H46" s="970" t="s">
        <v>109</v>
      </c>
      <c r="I46" s="63">
        <f t="shared" ca="1" si="97"/>
        <v>8</v>
      </c>
      <c r="J46" s="277">
        <f t="shared" si="61"/>
        <v>0</v>
      </c>
      <c r="K46" s="277">
        <f t="shared" si="62"/>
        <v>0</v>
      </c>
      <c r="L46" s="277">
        <f t="shared" si="1"/>
        <v>0</v>
      </c>
      <c r="M46" s="277">
        <f t="shared" si="2"/>
        <v>0</v>
      </c>
      <c r="N46" s="277">
        <f t="shared" si="3"/>
        <v>0</v>
      </c>
      <c r="O46" s="277">
        <f t="shared" si="4"/>
        <v>0</v>
      </c>
      <c r="P46" s="277">
        <f t="shared" si="5"/>
        <v>0</v>
      </c>
      <c r="Q46" s="277">
        <f t="shared" si="6"/>
        <v>0</v>
      </c>
      <c r="R46" s="277">
        <f t="shared" si="7"/>
        <v>0</v>
      </c>
      <c r="S46" s="277">
        <f t="shared" si="8"/>
        <v>0</v>
      </c>
      <c r="T46" s="277">
        <f t="shared" si="9"/>
        <v>0</v>
      </c>
      <c r="U46" s="277">
        <f t="shared" si="10"/>
        <v>0</v>
      </c>
      <c r="V46" s="277">
        <f t="shared" si="11"/>
        <v>0</v>
      </c>
      <c r="W46" s="277">
        <f t="shared" si="12"/>
        <v>0</v>
      </c>
      <c r="X46" s="277">
        <f t="shared" si="13"/>
        <v>0</v>
      </c>
      <c r="Y46" s="277">
        <f t="shared" si="14"/>
        <v>0</v>
      </c>
      <c r="Z46" s="277">
        <f t="shared" si="15"/>
        <v>0</v>
      </c>
      <c r="AA46" s="277">
        <f t="shared" si="16"/>
        <v>0</v>
      </c>
      <c r="AB46" s="277">
        <f t="shared" si="63"/>
        <v>0</v>
      </c>
      <c r="AC46" s="277">
        <f t="shared" si="64"/>
        <v>0</v>
      </c>
      <c r="AD46" s="277">
        <f t="shared" si="17"/>
        <v>0</v>
      </c>
      <c r="AE46" s="277">
        <f t="shared" si="18"/>
        <v>0</v>
      </c>
      <c r="AF46" s="277">
        <f t="shared" si="19"/>
        <v>0</v>
      </c>
      <c r="AG46" s="277">
        <f t="shared" si="20"/>
        <v>0</v>
      </c>
      <c r="AH46" s="277">
        <f t="shared" si="65"/>
        <v>0</v>
      </c>
      <c r="AI46" s="277">
        <f t="shared" si="66"/>
        <v>0</v>
      </c>
      <c r="AJ46" s="277">
        <f t="shared" si="67"/>
        <v>0</v>
      </c>
      <c r="AK46" s="277">
        <f t="shared" si="68"/>
        <v>0</v>
      </c>
      <c r="AL46" s="277">
        <f t="shared" si="69"/>
        <v>0</v>
      </c>
      <c r="AM46" s="277">
        <f t="shared" si="70"/>
        <v>0</v>
      </c>
      <c r="AN46" s="277">
        <f t="shared" si="71"/>
        <v>0</v>
      </c>
      <c r="AO46" s="277">
        <f t="shared" si="72"/>
        <v>0</v>
      </c>
      <c r="AP46" s="277">
        <f t="shared" si="21"/>
        <v>0</v>
      </c>
      <c r="AQ46" s="277">
        <f t="shared" si="22"/>
        <v>0</v>
      </c>
      <c r="AR46" s="277">
        <f t="shared" si="23"/>
        <v>0</v>
      </c>
      <c r="AS46" s="277">
        <f t="shared" si="24"/>
        <v>0</v>
      </c>
      <c r="AT46" s="277">
        <f t="shared" si="73"/>
        <v>0</v>
      </c>
      <c r="AU46" s="277">
        <f t="shared" si="74"/>
        <v>0</v>
      </c>
      <c r="AV46" s="277">
        <f t="shared" si="25"/>
        <v>0</v>
      </c>
      <c r="AW46" s="277">
        <f t="shared" si="26"/>
        <v>0</v>
      </c>
      <c r="AX46" s="277">
        <f t="shared" si="27"/>
        <v>0</v>
      </c>
      <c r="AY46" s="277">
        <f t="shared" si="28"/>
        <v>0</v>
      </c>
      <c r="AZ46" s="277">
        <f t="shared" si="29"/>
        <v>0</v>
      </c>
      <c r="BA46" s="277">
        <f t="shared" si="30"/>
        <v>0</v>
      </c>
      <c r="BB46" s="277">
        <f t="shared" si="31"/>
        <v>0</v>
      </c>
      <c r="BC46" s="277">
        <f t="shared" si="32"/>
        <v>0</v>
      </c>
      <c r="BD46" s="277">
        <f t="shared" si="33"/>
        <v>0</v>
      </c>
      <c r="BE46" s="277">
        <f t="shared" si="34"/>
        <v>0</v>
      </c>
      <c r="BF46" s="277">
        <f t="shared" si="35"/>
        <v>0</v>
      </c>
      <c r="BG46" s="277">
        <f t="shared" si="36"/>
        <v>0</v>
      </c>
      <c r="BH46" s="277">
        <f t="shared" si="75"/>
        <v>0</v>
      </c>
      <c r="BI46" s="277">
        <f t="shared" si="76"/>
        <v>0</v>
      </c>
      <c r="BJ46" s="277">
        <f t="shared" si="37"/>
        <v>0</v>
      </c>
      <c r="BK46" s="277">
        <f t="shared" si="38"/>
        <v>0</v>
      </c>
      <c r="BL46" s="277">
        <f t="shared" si="39"/>
        <v>0</v>
      </c>
      <c r="BM46" s="277">
        <f t="shared" si="40"/>
        <v>0</v>
      </c>
      <c r="BN46" s="277">
        <f t="shared" si="41"/>
        <v>0</v>
      </c>
      <c r="BO46" s="277">
        <f t="shared" si="42"/>
        <v>0</v>
      </c>
      <c r="BP46" s="277">
        <f t="shared" si="77"/>
        <v>0</v>
      </c>
      <c r="BQ46" s="277">
        <f t="shared" si="78"/>
        <v>0</v>
      </c>
      <c r="BR46" s="277">
        <f t="shared" si="43"/>
        <v>0</v>
      </c>
      <c r="BS46" s="277">
        <f t="shared" si="44"/>
        <v>0</v>
      </c>
      <c r="BT46" s="277">
        <f t="shared" si="79"/>
        <v>0</v>
      </c>
      <c r="BU46" s="277">
        <f t="shared" si="80"/>
        <v>0</v>
      </c>
      <c r="BV46" s="277">
        <f t="shared" si="81"/>
        <v>0</v>
      </c>
      <c r="BW46" s="277">
        <f t="shared" si="82"/>
        <v>0</v>
      </c>
      <c r="BX46" s="277">
        <f t="shared" si="45"/>
        <v>0</v>
      </c>
      <c r="BY46" s="277">
        <f t="shared" si="46"/>
        <v>0</v>
      </c>
      <c r="BZ46" s="277">
        <f t="shared" si="47"/>
        <v>0</v>
      </c>
      <c r="CA46" s="277">
        <f t="shared" si="48"/>
        <v>0</v>
      </c>
      <c r="CB46" s="277">
        <f t="shared" si="49"/>
        <v>0</v>
      </c>
      <c r="CC46" s="277">
        <f t="shared" si="50"/>
        <v>0</v>
      </c>
      <c r="CD46" s="277">
        <f t="shared" si="83"/>
        <v>0</v>
      </c>
      <c r="CE46" s="277">
        <f t="shared" si="84"/>
        <v>0</v>
      </c>
      <c r="CF46" s="277">
        <f t="shared" si="85"/>
        <v>0</v>
      </c>
      <c r="CG46" s="277">
        <f t="shared" si="86"/>
        <v>0</v>
      </c>
      <c r="CH46" s="277">
        <f t="shared" ca="1" si="51"/>
        <v>0</v>
      </c>
      <c r="CI46" s="277">
        <f t="shared" si="52"/>
        <v>0</v>
      </c>
      <c r="CJ46" s="277">
        <f t="shared" si="87"/>
        <v>0</v>
      </c>
      <c r="CK46" s="277">
        <f t="shared" si="88"/>
        <v>0</v>
      </c>
      <c r="CL46" s="277">
        <f t="shared" si="53"/>
        <v>0</v>
      </c>
      <c r="CM46" s="277">
        <f t="shared" si="54"/>
        <v>0</v>
      </c>
      <c r="CN46" s="277">
        <f t="shared" si="55"/>
        <v>0</v>
      </c>
      <c r="CO46" s="277">
        <f t="shared" si="56"/>
        <v>0</v>
      </c>
      <c r="CP46" s="277">
        <f t="shared" si="89"/>
        <v>0</v>
      </c>
      <c r="CQ46" s="277">
        <f t="shared" si="90"/>
        <v>0</v>
      </c>
      <c r="CR46" s="277">
        <f t="shared" si="91"/>
        <v>0</v>
      </c>
      <c r="CS46" s="277">
        <f t="shared" si="92"/>
        <v>0</v>
      </c>
      <c r="CT46" s="277">
        <f t="shared" si="57"/>
        <v>0</v>
      </c>
      <c r="CU46" s="277">
        <f t="shared" si="58"/>
        <v>0</v>
      </c>
      <c r="CV46" s="277">
        <f t="shared" si="59"/>
        <v>0</v>
      </c>
      <c r="CW46" s="277">
        <f t="shared" si="60"/>
        <v>0</v>
      </c>
      <c r="CX46" s="277">
        <f t="shared" si="93"/>
        <v>0</v>
      </c>
      <c r="CY46" s="277">
        <f t="shared" si="94"/>
        <v>0</v>
      </c>
      <c r="CZ46" s="277">
        <f t="shared" si="95"/>
        <v>0</v>
      </c>
      <c r="DA46" s="277">
        <f t="shared" ca="1" si="96"/>
        <v>0</v>
      </c>
    </row>
    <row r="47" spans="1:105" s="274" customFormat="1" ht="15.75" customHeight="1">
      <c r="A47" s="63">
        <f t="array" aca="1" ref="A47" ca="1">IF(C47&lt;&gt;0,SUM(($C$11:C47&lt;&gt;0)*1),"")</f>
        <v>9</v>
      </c>
      <c r="B47" s="275">
        <v>42643</v>
      </c>
      <c r="C47" s="278" t="s">
        <v>115</v>
      </c>
      <c r="D47" s="278">
        <f t="shared" si="98"/>
        <v>42643</v>
      </c>
      <c r="E47" s="968" t="s">
        <v>930</v>
      </c>
      <c r="F47" s="969">
        <f ca="1">CE52</f>
        <v>0</v>
      </c>
      <c r="G47" s="970" t="s">
        <v>296</v>
      </c>
      <c r="H47" s="970" t="s">
        <v>109</v>
      </c>
      <c r="I47" s="63">
        <f t="shared" ca="1" si="97"/>
        <v>9</v>
      </c>
      <c r="J47" s="277">
        <f t="shared" si="61"/>
        <v>0</v>
      </c>
      <c r="K47" s="277">
        <f t="shared" si="62"/>
        <v>0</v>
      </c>
      <c r="L47" s="277">
        <f t="shared" si="1"/>
        <v>0</v>
      </c>
      <c r="M47" s="277">
        <f t="shared" si="2"/>
        <v>0</v>
      </c>
      <c r="N47" s="277">
        <f t="shared" si="3"/>
        <v>0</v>
      </c>
      <c r="O47" s="277">
        <f t="shared" si="4"/>
        <v>0</v>
      </c>
      <c r="P47" s="277">
        <f t="shared" si="5"/>
        <v>0</v>
      </c>
      <c r="Q47" s="277">
        <f t="shared" si="6"/>
        <v>0</v>
      </c>
      <c r="R47" s="277">
        <f t="shared" si="7"/>
        <v>0</v>
      </c>
      <c r="S47" s="277">
        <f t="shared" si="8"/>
        <v>0</v>
      </c>
      <c r="T47" s="277">
        <f t="shared" si="9"/>
        <v>0</v>
      </c>
      <c r="U47" s="277">
        <f t="shared" si="10"/>
        <v>0</v>
      </c>
      <c r="V47" s="277">
        <f t="shared" si="11"/>
        <v>0</v>
      </c>
      <c r="W47" s="277">
        <f t="shared" si="12"/>
        <v>0</v>
      </c>
      <c r="X47" s="277">
        <f t="shared" si="13"/>
        <v>0</v>
      </c>
      <c r="Y47" s="277">
        <f t="shared" si="14"/>
        <v>0</v>
      </c>
      <c r="Z47" s="277">
        <f t="shared" si="15"/>
        <v>0</v>
      </c>
      <c r="AA47" s="277">
        <f t="shared" si="16"/>
        <v>0</v>
      </c>
      <c r="AB47" s="277">
        <f t="shared" si="63"/>
        <v>0</v>
      </c>
      <c r="AC47" s="277">
        <f t="shared" si="64"/>
        <v>0</v>
      </c>
      <c r="AD47" s="277">
        <f t="shared" si="17"/>
        <v>0</v>
      </c>
      <c r="AE47" s="277">
        <f t="shared" si="18"/>
        <v>0</v>
      </c>
      <c r="AF47" s="277">
        <f t="shared" si="19"/>
        <v>0</v>
      </c>
      <c r="AG47" s="277">
        <f t="shared" si="20"/>
        <v>0</v>
      </c>
      <c r="AH47" s="277">
        <f t="shared" si="65"/>
        <v>0</v>
      </c>
      <c r="AI47" s="277">
        <f t="shared" si="66"/>
        <v>0</v>
      </c>
      <c r="AJ47" s="277">
        <f t="shared" si="67"/>
        <v>0</v>
      </c>
      <c r="AK47" s="277">
        <f t="shared" si="68"/>
        <v>0</v>
      </c>
      <c r="AL47" s="277">
        <f t="shared" si="69"/>
        <v>0</v>
      </c>
      <c r="AM47" s="277">
        <f t="shared" si="70"/>
        <v>0</v>
      </c>
      <c r="AN47" s="277">
        <f t="shared" si="71"/>
        <v>0</v>
      </c>
      <c r="AO47" s="277">
        <f t="shared" si="72"/>
        <v>0</v>
      </c>
      <c r="AP47" s="277">
        <f t="shared" si="21"/>
        <v>0</v>
      </c>
      <c r="AQ47" s="277">
        <f t="shared" si="22"/>
        <v>0</v>
      </c>
      <c r="AR47" s="277">
        <f t="shared" si="23"/>
        <v>0</v>
      </c>
      <c r="AS47" s="277">
        <f t="shared" si="24"/>
        <v>0</v>
      </c>
      <c r="AT47" s="277">
        <f t="shared" si="73"/>
        <v>0</v>
      </c>
      <c r="AU47" s="277">
        <f t="shared" si="74"/>
        <v>0</v>
      </c>
      <c r="AV47" s="277">
        <f t="shared" si="25"/>
        <v>0</v>
      </c>
      <c r="AW47" s="277">
        <f t="shared" si="26"/>
        <v>0</v>
      </c>
      <c r="AX47" s="277">
        <f t="shared" si="27"/>
        <v>0</v>
      </c>
      <c r="AY47" s="277">
        <f t="shared" si="28"/>
        <v>0</v>
      </c>
      <c r="AZ47" s="277">
        <f t="shared" si="29"/>
        <v>0</v>
      </c>
      <c r="BA47" s="277">
        <f t="shared" si="30"/>
        <v>0</v>
      </c>
      <c r="BB47" s="277">
        <f t="shared" si="31"/>
        <v>0</v>
      </c>
      <c r="BC47" s="277">
        <f t="shared" si="32"/>
        <v>0</v>
      </c>
      <c r="BD47" s="277">
        <f t="shared" si="33"/>
        <v>0</v>
      </c>
      <c r="BE47" s="277">
        <f t="shared" si="34"/>
        <v>0</v>
      </c>
      <c r="BF47" s="277">
        <f t="shared" si="35"/>
        <v>0</v>
      </c>
      <c r="BG47" s="277">
        <f t="shared" si="36"/>
        <v>0</v>
      </c>
      <c r="BH47" s="277">
        <f t="shared" si="75"/>
        <v>0</v>
      </c>
      <c r="BI47" s="277">
        <f t="shared" si="76"/>
        <v>0</v>
      </c>
      <c r="BJ47" s="277">
        <f t="shared" si="37"/>
        <v>0</v>
      </c>
      <c r="BK47" s="277">
        <f t="shared" si="38"/>
        <v>0</v>
      </c>
      <c r="BL47" s="277">
        <f t="shared" si="39"/>
        <v>0</v>
      </c>
      <c r="BM47" s="277">
        <f t="shared" si="40"/>
        <v>0</v>
      </c>
      <c r="BN47" s="277">
        <f t="shared" si="41"/>
        <v>0</v>
      </c>
      <c r="BO47" s="277">
        <f t="shared" si="42"/>
        <v>0</v>
      </c>
      <c r="BP47" s="277">
        <f t="shared" si="77"/>
        <v>0</v>
      </c>
      <c r="BQ47" s="277">
        <f t="shared" si="78"/>
        <v>0</v>
      </c>
      <c r="BR47" s="277">
        <f t="shared" si="43"/>
        <v>0</v>
      </c>
      <c r="BS47" s="277">
        <f t="shared" si="44"/>
        <v>0</v>
      </c>
      <c r="BT47" s="277">
        <f t="shared" si="79"/>
        <v>0</v>
      </c>
      <c r="BU47" s="277">
        <f t="shared" si="80"/>
        <v>0</v>
      </c>
      <c r="BV47" s="277">
        <f t="shared" si="81"/>
        <v>0</v>
      </c>
      <c r="BW47" s="277">
        <f t="shared" si="82"/>
        <v>0</v>
      </c>
      <c r="BX47" s="277">
        <f t="shared" si="45"/>
        <v>0</v>
      </c>
      <c r="BY47" s="277">
        <f t="shared" si="46"/>
        <v>0</v>
      </c>
      <c r="BZ47" s="277">
        <f t="shared" si="47"/>
        <v>0</v>
      </c>
      <c r="CA47" s="277">
        <f t="shared" si="48"/>
        <v>0</v>
      </c>
      <c r="CB47" s="277">
        <f t="shared" si="49"/>
        <v>0</v>
      </c>
      <c r="CC47" s="277">
        <f t="shared" si="50"/>
        <v>0</v>
      </c>
      <c r="CD47" s="277">
        <f t="shared" ca="1" si="83"/>
        <v>0</v>
      </c>
      <c r="CE47" s="277">
        <f t="shared" si="84"/>
        <v>0</v>
      </c>
      <c r="CF47" s="277">
        <f t="shared" si="85"/>
        <v>0</v>
      </c>
      <c r="CG47" s="277">
        <f t="shared" si="86"/>
        <v>0</v>
      </c>
      <c r="CH47" s="277">
        <f t="shared" si="51"/>
        <v>0</v>
      </c>
      <c r="CI47" s="277">
        <f t="shared" si="52"/>
        <v>0</v>
      </c>
      <c r="CJ47" s="277">
        <f t="shared" si="87"/>
        <v>0</v>
      </c>
      <c r="CK47" s="277">
        <f t="shared" si="88"/>
        <v>0</v>
      </c>
      <c r="CL47" s="277">
        <f t="shared" si="53"/>
        <v>0</v>
      </c>
      <c r="CM47" s="277">
        <f t="shared" si="54"/>
        <v>0</v>
      </c>
      <c r="CN47" s="277">
        <f t="shared" si="55"/>
        <v>0</v>
      </c>
      <c r="CO47" s="277">
        <f t="shared" si="56"/>
        <v>0</v>
      </c>
      <c r="CP47" s="277">
        <f t="shared" si="89"/>
        <v>0</v>
      </c>
      <c r="CQ47" s="277">
        <f t="shared" si="90"/>
        <v>0</v>
      </c>
      <c r="CR47" s="277">
        <f t="shared" si="91"/>
        <v>0</v>
      </c>
      <c r="CS47" s="277">
        <f t="shared" si="92"/>
        <v>0</v>
      </c>
      <c r="CT47" s="277">
        <f t="shared" si="57"/>
        <v>0</v>
      </c>
      <c r="CU47" s="277">
        <f t="shared" si="58"/>
        <v>0</v>
      </c>
      <c r="CV47" s="277">
        <f t="shared" si="59"/>
        <v>0</v>
      </c>
      <c r="CW47" s="277">
        <f t="shared" si="60"/>
        <v>0</v>
      </c>
      <c r="CX47" s="277">
        <f t="shared" si="93"/>
        <v>0</v>
      </c>
      <c r="CY47" s="277">
        <f t="shared" si="94"/>
        <v>0</v>
      </c>
      <c r="CZ47" s="277">
        <f t="shared" si="95"/>
        <v>0</v>
      </c>
      <c r="DA47" s="277">
        <f t="shared" ca="1" si="96"/>
        <v>0</v>
      </c>
    </row>
    <row r="48" spans="1:105" s="274" customFormat="1" ht="15.75" customHeight="1">
      <c r="A48" s="63">
        <f t="array" aca="1" ref="A48" ca="1">IF(C48&lt;&gt;0,SUM(($C$11:C48&lt;&gt;0)*1),"")</f>
        <v>10</v>
      </c>
      <c r="B48" s="275">
        <v>42643</v>
      </c>
      <c r="C48" s="278" t="s">
        <v>115</v>
      </c>
      <c r="D48" s="278">
        <f t="shared" si="98"/>
        <v>42643</v>
      </c>
      <c r="E48" s="968" t="s">
        <v>931</v>
      </c>
      <c r="F48" s="969">
        <f ca="1">CG52</f>
        <v>0</v>
      </c>
      <c r="G48" s="970" t="s">
        <v>298</v>
      </c>
      <c r="H48" s="970" t="s">
        <v>109</v>
      </c>
      <c r="I48" s="63">
        <f t="shared" ca="1" si="97"/>
        <v>10</v>
      </c>
      <c r="J48" s="277">
        <f t="shared" si="61"/>
        <v>0</v>
      </c>
      <c r="K48" s="277">
        <f t="shared" si="62"/>
        <v>0</v>
      </c>
      <c r="L48" s="277">
        <f t="shared" si="1"/>
        <v>0</v>
      </c>
      <c r="M48" s="277">
        <f t="shared" si="2"/>
        <v>0</v>
      </c>
      <c r="N48" s="277">
        <f t="shared" si="3"/>
        <v>0</v>
      </c>
      <c r="O48" s="277">
        <f t="shared" si="4"/>
        <v>0</v>
      </c>
      <c r="P48" s="277">
        <f t="shared" si="5"/>
        <v>0</v>
      </c>
      <c r="Q48" s="277">
        <f t="shared" si="6"/>
        <v>0</v>
      </c>
      <c r="R48" s="277">
        <f t="shared" si="7"/>
        <v>0</v>
      </c>
      <c r="S48" s="277">
        <f t="shared" si="8"/>
        <v>0</v>
      </c>
      <c r="T48" s="277">
        <f t="shared" si="9"/>
        <v>0</v>
      </c>
      <c r="U48" s="277">
        <f t="shared" si="10"/>
        <v>0</v>
      </c>
      <c r="V48" s="277">
        <f t="shared" si="11"/>
        <v>0</v>
      </c>
      <c r="W48" s="277">
        <f t="shared" si="12"/>
        <v>0</v>
      </c>
      <c r="X48" s="277">
        <f t="shared" si="13"/>
        <v>0</v>
      </c>
      <c r="Y48" s="277">
        <f t="shared" si="14"/>
        <v>0</v>
      </c>
      <c r="Z48" s="277">
        <f t="shared" si="15"/>
        <v>0</v>
      </c>
      <c r="AA48" s="277">
        <f t="shared" si="16"/>
        <v>0</v>
      </c>
      <c r="AB48" s="277">
        <f t="shared" si="63"/>
        <v>0</v>
      </c>
      <c r="AC48" s="277">
        <f t="shared" si="64"/>
        <v>0</v>
      </c>
      <c r="AD48" s="277">
        <f t="shared" si="17"/>
        <v>0</v>
      </c>
      <c r="AE48" s="277">
        <f t="shared" si="18"/>
        <v>0</v>
      </c>
      <c r="AF48" s="277">
        <f t="shared" si="19"/>
        <v>0</v>
      </c>
      <c r="AG48" s="277">
        <f t="shared" si="20"/>
        <v>0</v>
      </c>
      <c r="AH48" s="277">
        <f t="shared" si="65"/>
        <v>0</v>
      </c>
      <c r="AI48" s="277">
        <f t="shared" si="66"/>
        <v>0</v>
      </c>
      <c r="AJ48" s="277">
        <f t="shared" si="67"/>
        <v>0</v>
      </c>
      <c r="AK48" s="277">
        <f t="shared" si="68"/>
        <v>0</v>
      </c>
      <c r="AL48" s="277">
        <f t="shared" si="69"/>
        <v>0</v>
      </c>
      <c r="AM48" s="277">
        <f t="shared" si="70"/>
        <v>0</v>
      </c>
      <c r="AN48" s="277">
        <f t="shared" si="71"/>
        <v>0</v>
      </c>
      <c r="AO48" s="277">
        <f t="shared" si="72"/>
        <v>0</v>
      </c>
      <c r="AP48" s="277">
        <f t="shared" si="21"/>
        <v>0</v>
      </c>
      <c r="AQ48" s="277">
        <f t="shared" si="22"/>
        <v>0</v>
      </c>
      <c r="AR48" s="277">
        <f t="shared" si="23"/>
        <v>0</v>
      </c>
      <c r="AS48" s="277">
        <f t="shared" si="24"/>
        <v>0</v>
      </c>
      <c r="AT48" s="277">
        <f t="shared" si="73"/>
        <v>0</v>
      </c>
      <c r="AU48" s="277">
        <f t="shared" si="74"/>
        <v>0</v>
      </c>
      <c r="AV48" s="277">
        <f t="shared" si="25"/>
        <v>0</v>
      </c>
      <c r="AW48" s="277">
        <f t="shared" si="26"/>
        <v>0</v>
      </c>
      <c r="AX48" s="277">
        <f t="shared" si="27"/>
        <v>0</v>
      </c>
      <c r="AY48" s="277">
        <f t="shared" si="28"/>
        <v>0</v>
      </c>
      <c r="AZ48" s="277">
        <f t="shared" si="29"/>
        <v>0</v>
      </c>
      <c r="BA48" s="277">
        <f t="shared" si="30"/>
        <v>0</v>
      </c>
      <c r="BB48" s="277">
        <f t="shared" si="31"/>
        <v>0</v>
      </c>
      <c r="BC48" s="277">
        <f t="shared" si="32"/>
        <v>0</v>
      </c>
      <c r="BD48" s="277">
        <f t="shared" si="33"/>
        <v>0</v>
      </c>
      <c r="BE48" s="277">
        <f t="shared" si="34"/>
        <v>0</v>
      </c>
      <c r="BF48" s="277">
        <f t="shared" si="35"/>
        <v>0</v>
      </c>
      <c r="BG48" s="277">
        <f t="shared" si="36"/>
        <v>0</v>
      </c>
      <c r="BH48" s="277">
        <f t="shared" si="75"/>
        <v>0</v>
      </c>
      <c r="BI48" s="277">
        <f t="shared" si="76"/>
        <v>0</v>
      </c>
      <c r="BJ48" s="277">
        <f t="shared" si="37"/>
        <v>0</v>
      </c>
      <c r="BK48" s="277">
        <f t="shared" si="38"/>
        <v>0</v>
      </c>
      <c r="BL48" s="277">
        <f t="shared" si="39"/>
        <v>0</v>
      </c>
      <c r="BM48" s="277">
        <f t="shared" si="40"/>
        <v>0</v>
      </c>
      <c r="BN48" s="277">
        <f t="shared" si="41"/>
        <v>0</v>
      </c>
      <c r="BO48" s="277">
        <f t="shared" si="42"/>
        <v>0</v>
      </c>
      <c r="BP48" s="277">
        <f t="shared" si="77"/>
        <v>0</v>
      </c>
      <c r="BQ48" s="277">
        <f t="shared" si="78"/>
        <v>0</v>
      </c>
      <c r="BR48" s="277">
        <f t="shared" si="43"/>
        <v>0</v>
      </c>
      <c r="BS48" s="277">
        <f t="shared" si="44"/>
        <v>0</v>
      </c>
      <c r="BT48" s="277">
        <f t="shared" si="79"/>
        <v>0</v>
      </c>
      <c r="BU48" s="277">
        <f t="shared" si="80"/>
        <v>0</v>
      </c>
      <c r="BV48" s="277">
        <f t="shared" si="81"/>
        <v>0</v>
      </c>
      <c r="BW48" s="277">
        <f t="shared" si="82"/>
        <v>0</v>
      </c>
      <c r="BX48" s="277">
        <f t="shared" si="45"/>
        <v>0</v>
      </c>
      <c r="BY48" s="277">
        <f t="shared" si="46"/>
        <v>0</v>
      </c>
      <c r="BZ48" s="277">
        <f t="shared" si="47"/>
        <v>0</v>
      </c>
      <c r="CA48" s="277">
        <f t="shared" si="48"/>
        <v>0</v>
      </c>
      <c r="CB48" s="277">
        <f t="shared" si="49"/>
        <v>0</v>
      </c>
      <c r="CC48" s="277">
        <f t="shared" si="50"/>
        <v>0</v>
      </c>
      <c r="CD48" s="277">
        <f t="shared" si="83"/>
        <v>0</v>
      </c>
      <c r="CE48" s="277">
        <f t="shared" si="84"/>
        <v>0</v>
      </c>
      <c r="CF48" s="277">
        <f t="shared" ca="1" si="85"/>
        <v>0</v>
      </c>
      <c r="CG48" s="277">
        <f t="shared" si="86"/>
        <v>0</v>
      </c>
      <c r="CH48" s="277">
        <f t="shared" si="51"/>
        <v>0</v>
      </c>
      <c r="CI48" s="277">
        <f t="shared" si="52"/>
        <v>0</v>
      </c>
      <c r="CJ48" s="277">
        <f t="shared" si="87"/>
        <v>0</v>
      </c>
      <c r="CK48" s="277">
        <f t="shared" si="88"/>
        <v>0</v>
      </c>
      <c r="CL48" s="277">
        <f t="shared" si="53"/>
        <v>0</v>
      </c>
      <c r="CM48" s="277">
        <f t="shared" si="54"/>
        <v>0</v>
      </c>
      <c r="CN48" s="277">
        <f t="shared" si="55"/>
        <v>0</v>
      </c>
      <c r="CO48" s="277">
        <f t="shared" si="56"/>
        <v>0</v>
      </c>
      <c r="CP48" s="277">
        <f t="shared" si="89"/>
        <v>0</v>
      </c>
      <c r="CQ48" s="277">
        <f t="shared" si="90"/>
        <v>0</v>
      </c>
      <c r="CR48" s="277">
        <f t="shared" si="91"/>
        <v>0</v>
      </c>
      <c r="CS48" s="277">
        <f t="shared" si="92"/>
        <v>0</v>
      </c>
      <c r="CT48" s="277">
        <f t="shared" si="57"/>
        <v>0</v>
      </c>
      <c r="CU48" s="277">
        <f t="shared" si="58"/>
        <v>0</v>
      </c>
      <c r="CV48" s="277">
        <f t="shared" si="59"/>
        <v>0</v>
      </c>
      <c r="CW48" s="277">
        <f t="shared" si="60"/>
        <v>0</v>
      </c>
      <c r="CX48" s="277">
        <f t="shared" si="93"/>
        <v>0</v>
      </c>
      <c r="CY48" s="277">
        <f t="shared" si="94"/>
        <v>0</v>
      </c>
      <c r="CZ48" s="277">
        <f t="shared" si="95"/>
        <v>0</v>
      </c>
      <c r="DA48" s="277">
        <f t="shared" ca="1" si="96"/>
        <v>0</v>
      </c>
    </row>
    <row r="49" spans="1:105" s="274" customFormat="1" ht="15.75" customHeight="1">
      <c r="A49" s="63">
        <f t="array" aca="1" ref="A49" ca="1">IF(C49&lt;&gt;0,SUM(($C$11:C49&lt;&gt;0)*1),"")</f>
        <v>11</v>
      </c>
      <c r="B49" s="275">
        <v>42643</v>
      </c>
      <c r="C49" s="278" t="s">
        <v>115</v>
      </c>
      <c r="D49" s="278">
        <f t="shared" si="98"/>
        <v>42643</v>
      </c>
      <c r="E49" s="968" t="s">
        <v>119</v>
      </c>
      <c r="F49" s="969">
        <f ca="1">CU52</f>
        <v>0</v>
      </c>
      <c r="G49" s="970" t="s">
        <v>103</v>
      </c>
      <c r="H49" s="970" t="s">
        <v>109</v>
      </c>
      <c r="I49" s="63">
        <f t="shared" ca="1" si="97"/>
        <v>11</v>
      </c>
      <c r="J49" s="277">
        <f t="shared" si="61"/>
        <v>0</v>
      </c>
      <c r="K49" s="277">
        <f t="shared" si="62"/>
        <v>0</v>
      </c>
      <c r="L49" s="277">
        <f t="shared" si="1"/>
        <v>0</v>
      </c>
      <c r="M49" s="277">
        <f t="shared" si="2"/>
        <v>0</v>
      </c>
      <c r="N49" s="277">
        <f t="shared" si="3"/>
        <v>0</v>
      </c>
      <c r="O49" s="277">
        <f t="shared" si="4"/>
        <v>0</v>
      </c>
      <c r="P49" s="277">
        <f t="shared" si="5"/>
        <v>0</v>
      </c>
      <c r="Q49" s="277">
        <f t="shared" si="6"/>
        <v>0</v>
      </c>
      <c r="R49" s="277">
        <f t="shared" si="7"/>
        <v>0</v>
      </c>
      <c r="S49" s="277">
        <f t="shared" si="8"/>
        <v>0</v>
      </c>
      <c r="T49" s="277">
        <f t="shared" si="9"/>
        <v>0</v>
      </c>
      <c r="U49" s="277">
        <f t="shared" si="10"/>
        <v>0</v>
      </c>
      <c r="V49" s="277">
        <f t="shared" si="11"/>
        <v>0</v>
      </c>
      <c r="W49" s="277">
        <f t="shared" si="12"/>
        <v>0</v>
      </c>
      <c r="X49" s="277">
        <f t="shared" si="13"/>
        <v>0</v>
      </c>
      <c r="Y49" s="277">
        <f t="shared" si="14"/>
        <v>0</v>
      </c>
      <c r="Z49" s="277">
        <f t="shared" si="15"/>
        <v>0</v>
      </c>
      <c r="AA49" s="277">
        <f t="shared" si="16"/>
        <v>0</v>
      </c>
      <c r="AB49" s="277">
        <f t="shared" si="63"/>
        <v>0</v>
      </c>
      <c r="AC49" s="277">
        <f t="shared" si="64"/>
        <v>0</v>
      </c>
      <c r="AD49" s="277">
        <f t="shared" si="17"/>
        <v>0</v>
      </c>
      <c r="AE49" s="277">
        <f t="shared" si="18"/>
        <v>0</v>
      </c>
      <c r="AF49" s="277">
        <f t="shared" si="19"/>
        <v>0</v>
      </c>
      <c r="AG49" s="277">
        <f t="shared" si="20"/>
        <v>0</v>
      </c>
      <c r="AH49" s="277">
        <f t="shared" si="65"/>
        <v>0</v>
      </c>
      <c r="AI49" s="277">
        <f t="shared" si="66"/>
        <v>0</v>
      </c>
      <c r="AJ49" s="277">
        <f t="shared" si="67"/>
        <v>0</v>
      </c>
      <c r="AK49" s="277">
        <f t="shared" si="68"/>
        <v>0</v>
      </c>
      <c r="AL49" s="277">
        <f t="shared" si="69"/>
        <v>0</v>
      </c>
      <c r="AM49" s="277">
        <f t="shared" si="70"/>
        <v>0</v>
      </c>
      <c r="AN49" s="277">
        <f t="shared" si="71"/>
        <v>0</v>
      </c>
      <c r="AO49" s="277">
        <f t="shared" si="72"/>
        <v>0</v>
      </c>
      <c r="AP49" s="277">
        <f t="shared" si="21"/>
        <v>0</v>
      </c>
      <c r="AQ49" s="277">
        <f t="shared" si="22"/>
        <v>0</v>
      </c>
      <c r="AR49" s="277">
        <f t="shared" si="23"/>
        <v>0</v>
      </c>
      <c r="AS49" s="277">
        <f t="shared" si="24"/>
        <v>0</v>
      </c>
      <c r="AT49" s="277">
        <f t="shared" si="73"/>
        <v>0</v>
      </c>
      <c r="AU49" s="277">
        <f t="shared" si="74"/>
        <v>0</v>
      </c>
      <c r="AV49" s="277">
        <f t="shared" si="25"/>
        <v>0</v>
      </c>
      <c r="AW49" s="277">
        <f t="shared" si="26"/>
        <v>0</v>
      </c>
      <c r="AX49" s="277">
        <f t="shared" si="27"/>
        <v>0</v>
      </c>
      <c r="AY49" s="277">
        <f t="shared" si="28"/>
        <v>0</v>
      </c>
      <c r="AZ49" s="277">
        <f t="shared" si="29"/>
        <v>0</v>
      </c>
      <c r="BA49" s="277">
        <f t="shared" si="30"/>
        <v>0</v>
      </c>
      <c r="BB49" s="277">
        <f t="shared" si="31"/>
        <v>0</v>
      </c>
      <c r="BC49" s="277">
        <f t="shared" si="32"/>
        <v>0</v>
      </c>
      <c r="BD49" s="277">
        <f t="shared" si="33"/>
        <v>0</v>
      </c>
      <c r="BE49" s="277">
        <f t="shared" si="34"/>
        <v>0</v>
      </c>
      <c r="BF49" s="277">
        <f t="shared" si="35"/>
        <v>0</v>
      </c>
      <c r="BG49" s="277">
        <f t="shared" si="36"/>
        <v>0</v>
      </c>
      <c r="BH49" s="277">
        <f t="shared" si="75"/>
        <v>0</v>
      </c>
      <c r="BI49" s="277">
        <f t="shared" si="76"/>
        <v>0</v>
      </c>
      <c r="BJ49" s="277">
        <f t="shared" si="37"/>
        <v>0</v>
      </c>
      <c r="BK49" s="277">
        <f t="shared" si="38"/>
        <v>0</v>
      </c>
      <c r="BL49" s="277">
        <f t="shared" si="39"/>
        <v>0</v>
      </c>
      <c r="BM49" s="277">
        <f t="shared" si="40"/>
        <v>0</v>
      </c>
      <c r="BN49" s="277">
        <f t="shared" si="41"/>
        <v>0</v>
      </c>
      <c r="BO49" s="277">
        <f t="shared" si="42"/>
        <v>0</v>
      </c>
      <c r="BP49" s="277">
        <f t="shared" si="77"/>
        <v>0</v>
      </c>
      <c r="BQ49" s="277">
        <f t="shared" si="78"/>
        <v>0</v>
      </c>
      <c r="BR49" s="277">
        <f t="shared" si="43"/>
        <v>0</v>
      </c>
      <c r="BS49" s="277">
        <f t="shared" si="44"/>
        <v>0</v>
      </c>
      <c r="BT49" s="277">
        <f t="shared" si="79"/>
        <v>0</v>
      </c>
      <c r="BU49" s="277">
        <f t="shared" si="80"/>
        <v>0</v>
      </c>
      <c r="BV49" s="277">
        <f t="shared" si="81"/>
        <v>0</v>
      </c>
      <c r="BW49" s="277">
        <f t="shared" si="82"/>
        <v>0</v>
      </c>
      <c r="BX49" s="277">
        <f t="shared" si="45"/>
        <v>0</v>
      </c>
      <c r="BY49" s="277">
        <f t="shared" si="46"/>
        <v>0</v>
      </c>
      <c r="BZ49" s="277">
        <f t="shared" si="47"/>
        <v>0</v>
      </c>
      <c r="CA49" s="277">
        <f t="shared" si="48"/>
        <v>0</v>
      </c>
      <c r="CB49" s="277">
        <f t="shared" si="49"/>
        <v>0</v>
      </c>
      <c r="CC49" s="277">
        <f t="shared" si="50"/>
        <v>0</v>
      </c>
      <c r="CD49" s="277">
        <f t="shared" si="83"/>
        <v>0</v>
      </c>
      <c r="CE49" s="277">
        <f t="shared" si="84"/>
        <v>0</v>
      </c>
      <c r="CF49" s="277">
        <f t="shared" si="85"/>
        <v>0</v>
      </c>
      <c r="CG49" s="277">
        <f t="shared" si="86"/>
        <v>0</v>
      </c>
      <c r="CH49" s="277">
        <f t="shared" si="51"/>
        <v>0</v>
      </c>
      <c r="CI49" s="277">
        <f t="shared" si="52"/>
        <v>0</v>
      </c>
      <c r="CJ49" s="277">
        <f t="shared" si="87"/>
        <v>0</v>
      </c>
      <c r="CK49" s="277">
        <f t="shared" si="88"/>
        <v>0</v>
      </c>
      <c r="CL49" s="277">
        <f t="shared" si="53"/>
        <v>0</v>
      </c>
      <c r="CM49" s="277">
        <f t="shared" si="54"/>
        <v>0</v>
      </c>
      <c r="CN49" s="277">
        <f t="shared" si="55"/>
        <v>0</v>
      </c>
      <c r="CO49" s="277">
        <f t="shared" si="56"/>
        <v>0</v>
      </c>
      <c r="CP49" s="277">
        <f t="shared" si="89"/>
        <v>0</v>
      </c>
      <c r="CQ49" s="277">
        <f t="shared" si="90"/>
        <v>0</v>
      </c>
      <c r="CR49" s="277">
        <f t="shared" si="91"/>
        <v>0</v>
      </c>
      <c r="CS49" s="277">
        <f t="shared" si="92"/>
        <v>0</v>
      </c>
      <c r="CT49" s="277">
        <f t="shared" ca="1" si="57"/>
        <v>0</v>
      </c>
      <c r="CU49" s="277">
        <f t="shared" si="58"/>
        <v>0</v>
      </c>
      <c r="CV49" s="277">
        <f t="shared" si="59"/>
        <v>0</v>
      </c>
      <c r="CW49" s="277">
        <f t="shared" si="60"/>
        <v>0</v>
      </c>
      <c r="CX49" s="277">
        <f t="shared" si="93"/>
        <v>0</v>
      </c>
      <c r="CY49" s="277">
        <f t="shared" si="94"/>
        <v>0</v>
      </c>
      <c r="CZ49" s="277">
        <f t="shared" si="95"/>
        <v>0</v>
      </c>
      <c r="DA49" s="277">
        <f t="shared" ca="1" si="96"/>
        <v>0</v>
      </c>
    </row>
    <row r="50" spans="1:105" s="274" customFormat="1" ht="15.75" customHeight="1">
      <c r="A50" s="63">
        <f t="array" aca="1" ref="A50" ca="1">IF(C50&lt;&gt;0,SUM(($C$11:C50&lt;&gt;0)*1),"")</f>
        <v>12</v>
      </c>
      <c r="B50" s="275">
        <v>42643</v>
      </c>
      <c r="C50" s="278" t="s">
        <v>115</v>
      </c>
      <c r="D50" s="278">
        <f t="shared" si="98"/>
        <v>42643</v>
      </c>
      <c r="E50" s="968" t="s">
        <v>120</v>
      </c>
      <c r="F50" s="969">
        <f ca="1">CV52</f>
        <v>0</v>
      </c>
      <c r="G50" s="970" t="s">
        <v>109</v>
      </c>
      <c r="H50" s="970" t="s">
        <v>105</v>
      </c>
      <c r="I50" s="63">
        <f t="shared" ca="1" si="97"/>
        <v>12</v>
      </c>
      <c r="J50" s="277">
        <f t="shared" si="61"/>
        <v>0</v>
      </c>
      <c r="K50" s="277">
        <f t="shared" si="62"/>
        <v>0</v>
      </c>
      <c r="L50" s="277">
        <f t="shared" si="1"/>
        <v>0</v>
      </c>
      <c r="M50" s="277">
        <f t="shared" si="2"/>
        <v>0</v>
      </c>
      <c r="N50" s="277">
        <f t="shared" si="3"/>
        <v>0</v>
      </c>
      <c r="O50" s="277">
        <f t="shared" si="4"/>
        <v>0</v>
      </c>
      <c r="P50" s="277">
        <f t="shared" si="5"/>
        <v>0</v>
      </c>
      <c r="Q50" s="277">
        <f t="shared" si="6"/>
        <v>0</v>
      </c>
      <c r="R50" s="277">
        <f t="shared" si="7"/>
        <v>0</v>
      </c>
      <c r="S50" s="277">
        <f t="shared" si="8"/>
        <v>0</v>
      </c>
      <c r="T50" s="277">
        <f t="shared" si="9"/>
        <v>0</v>
      </c>
      <c r="U50" s="277">
        <f t="shared" si="10"/>
        <v>0</v>
      </c>
      <c r="V50" s="277">
        <f t="shared" si="11"/>
        <v>0</v>
      </c>
      <c r="W50" s="277">
        <f t="shared" si="12"/>
        <v>0</v>
      </c>
      <c r="X50" s="277">
        <f t="shared" si="13"/>
        <v>0</v>
      </c>
      <c r="Y50" s="277">
        <f t="shared" si="14"/>
        <v>0</v>
      </c>
      <c r="Z50" s="277">
        <f t="shared" si="15"/>
        <v>0</v>
      </c>
      <c r="AA50" s="277">
        <f t="shared" si="16"/>
        <v>0</v>
      </c>
      <c r="AB50" s="277">
        <f t="shared" si="63"/>
        <v>0</v>
      </c>
      <c r="AC50" s="277">
        <f t="shared" si="64"/>
        <v>0</v>
      </c>
      <c r="AD50" s="277">
        <f t="shared" si="17"/>
        <v>0</v>
      </c>
      <c r="AE50" s="277">
        <f t="shared" si="18"/>
        <v>0</v>
      </c>
      <c r="AF50" s="277">
        <f t="shared" si="19"/>
        <v>0</v>
      </c>
      <c r="AG50" s="277">
        <f t="shared" si="20"/>
        <v>0</v>
      </c>
      <c r="AH50" s="277">
        <f t="shared" si="65"/>
        <v>0</v>
      </c>
      <c r="AI50" s="277">
        <f t="shared" si="66"/>
        <v>0</v>
      </c>
      <c r="AJ50" s="277">
        <f t="shared" si="67"/>
        <v>0</v>
      </c>
      <c r="AK50" s="277">
        <f t="shared" si="68"/>
        <v>0</v>
      </c>
      <c r="AL50" s="277">
        <f t="shared" si="69"/>
        <v>0</v>
      </c>
      <c r="AM50" s="277">
        <f t="shared" si="70"/>
        <v>0</v>
      </c>
      <c r="AN50" s="277">
        <f t="shared" si="71"/>
        <v>0</v>
      </c>
      <c r="AO50" s="277">
        <f t="shared" si="72"/>
        <v>0</v>
      </c>
      <c r="AP50" s="277">
        <f t="shared" si="21"/>
        <v>0</v>
      </c>
      <c r="AQ50" s="277">
        <f t="shared" si="22"/>
        <v>0</v>
      </c>
      <c r="AR50" s="277">
        <f t="shared" si="23"/>
        <v>0</v>
      </c>
      <c r="AS50" s="277">
        <f t="shared" si="24"/>
        <v>0</v>
      </c>
      <c r="AT50" s="277">
        <f t="shared" si="73"/>
        <v>0</v>
      </c>
      <c r="AU50" s="277">
        <f t="shared" si="74"/>
        <v>0</v>
      </c>
      <c r="AV50" s="277">
        <f t="shared" si="25"/>
        <v>0</v>
      </c>
      <c r="AW50" s="277">
        <f t="shared" si="26"/>
        <v>0</v>
      </c>
      <c r="AX50" s="277">
        <f t="shared" si="27"/>
        <v>0</v>
      </c>
      <c r="AY50" s="277">
        <f t="shared" si="28"/>
        <v>0</v>
      </c>
      <c r="AZ50" s="277">
        <f t="shared" si="29"/>
        <v>0</v>
      </c>
      <c r="BA50" s="277">
        <f t="shared" si="30"/>
        <v>0</v>
      </c>
      <c r="BB50" s="277">
        <f t="shared" si="31"/>
        <v>0</v>
      </c>
      <c r="BC50" s="277">
        <f t="shared" si="32"/>
        <v>0</v>
      </c>
      <c r="BD50" s="277">
        <f t="shared" si="33"/>
        <v>0</v>
      </c>
      <c r="BE50" s="277">
        <f t="shared" si="34"/>
        <v>0</v>
      </c>
      <c r="BF50" s="277">
        <f t="shared" si="35"/>
        <v>0</v>
      </c>
      <c r="BG50" s="277">
        <f t="shared" si="36"/>
        <v>0</v>
      </c>
      <c r="BH50" s="277">
        <f t="shared" si="75"/>
        <v>0</v>
      </c>
      <c r="BI50" s="277">
        <f t="shared" si="76"/>
        <v>0</v>
      </c>
      <c r="BJ50" s="277">
        <f t="shared" si="37"/>
        <v>0</v>
      </c>
      <c r="BK50" s="277">
        <f t="shared" si="38"/>
        <v>0</v>
      </c>
      <c r="BL50" s="277">
        <f t="shared" si="39"/>
        <v>0</v>
      </c>
      <c r="BM50" s="277">
        <f t="shared" si="40"/>
        <v>0</v>
      </c>
      <c r="BN50" s="277">
        <f t="shared" si="41"/>
        <v>0</v>
      </c>
      <c r="BO50" s="277">
        <f t="shared" si="42"/>
        <v>0</v>
      </c>
      <c r="BP50" s="277">
        <f t="shared" si="77"/>
        <v>0</v>
      </c>
      <c r="BQ50" s="277">
        <f t="shared" si="78"/>
        <v>0</v>
      </c>
      <c r="BR50" s="277">
        <f t="shared" si="43"/>
        <v>0</v>
      </c>
      <c r="BS50" s="277">
        <f t="shared" si="44"/>
        <v>0</v>
      </c>
      <c r="BT50" s="277">
        <f t="shared" si="79"/>
        <v>0</v>
      </c>
      <c r="BU50" s="277">
        <f t="shared" si="80"/>
        <v>0</v>
      </c>
      <c r="BV50" s="277">
        <f t="shared" si="81"/>
        <v>0</v>
      </c>
      <c r="BW50" s="277">
        <f t="shared" si="82"/>
        <v>0</v>
      </c>
      <c r="BX50" s="277">
        <f t="shared" si="45"/>
        <v>0</v>
      </c>
      <c r="BY50" s="277">
        <f t="shared" si="46"/>
        <v>0</v>
      </c>
      <c r="BZ50" s="277">
        <f t="shared" si="47"/>
        <v>0</v>
      </c>
      <c r="CA50" s="277">
        <f t="shared" si="48"/>
        <v>0</v>
      </c>
      <c r="CB50" s="277">
        <f t="shared" si="49"/>
        <v>0</v>
      </c>
      <c r="CC50" s="277">
        <f t="shared" si="50"/>
        <v>0</v>
      </c>
      <c r="CD50" s="277">
        <f t="shared" si="83"/>
        <v>0</v>
      </c>
      <c r="CE50" s="277">
        <f t="shared" si="84"/>
        <v>0</v>
      </c>
      <c r="CF50" s="277">
        <f t="shared" si="85"/>
        <v>0</v>
      </c>
      <c r="CG50" s="277">
        <f t="shared" si="86"/>
        <v>0</v>
      </c>
      <c r="CH50" s="277">
        <f t="shared" si="51"/>
        <v>0</v>
      </c>
      <c r="CI50" s="277">
        <f t="shared" si="52"/>
        <v>0</v>
      </c>
      <c r="CJ50" s="277">
        <f t="shared" si="87"/>
        <v>0</v>
      </c>
      <c r="CK50" s="277">
        <f t="shared" si="88"/>
        <v>0</v>
      </c>
      <c r="CL50" s="277">
        <f t="shared" si="53"/>
        <v>0</v>
      </c>
      <c r="CM50" s="277">
        <f t="shared" si="54"/>
        <v>0</v>
      </c>
      <c r="CN50" s="277">
        <f t="shared" si="55"/>
        <v>0</v>
      </c>
      <c r="CO50" s="277">
        <f t="shared" si="56"/>
        <v>0</v>
      </c>
      <c r="CP50" s="277">
        <f t="shared" si="89"/>
        <v>0</v>
      </c>
      <c r="CQ50" s="277">
        <f t="shared" si="90"/>
        <v>0</v>
      </c>
      <c r="CR50" s="277">
        <f t="shared" si="91"/>
        <v>0</v>
      </c>
      <c r="CS50" s="277">
        <f t="shared" si="92"/>
        <v>0</v>
      </c>
      <c r="CT50" s="277">
        <f t="shared" si="57"/>
        <v>0</v>
      </c>
      <c r="CU50" s="277">
        <f t="shared" si="58"/>
        <v>0</v>
      </c>
      <c r="CV50" s="277">
        <f t="shared" si="59"/>
        <v>0</v>
      </c>
      <c r="CW50" s="277">
        <f t="shared" ca="1" si="60"/>
        <v>0</v>
      </c>
      <c r="CX50" s="277">
        <f t="shared" si="93"/>
        <v>0</v>
      </c>
      <c r="CY50" s="277">
        <f t="shared" si="94"/>
        <v>0</v>
      </c>
      <c r="CZ50" s="277">
        <f t="shared" ca="1" si="95"/>
        <v>0</v>
      </c>
      <c r="DA50" s="277">
        <f t="shared" si="96"/>
        <v>0</v>
      </c>
    </row>
    <row r="51" spans="1:105" s="274" customFormat="1" ht="15.75" customHeight="1">
      <c r="A51" s="63" t="str">
        <f t="array" ref="A51">IF(C51&lt;&gt;0,SUM(($C$11:C51&lt;&gt;0)*1),"")</f>
        <v/>
      </c>
      <c r="B51" s="241"/>
      <c r="C51" s="279"/>
      <c r="D51" s="241"/>
      <c r="E51" s="276"/>
      <c r="F51" s="65"/>
      <c r="G51" s="280"/>
      <c r="H51" s="280"/>
      <c r="I51" s="63" t="str">
        <f>A51</f>
        <v/>
      </c>
      <c r="J51" s="277">
        <f>IF($G51="1111",$F51,0)</f>
        <v>0</v>
      </c>
      <c r="K51" s="277">
        <f>IF($H51="1111",$F51,0)</f>
        <v>0</v>
      </c>
      <c r="L51" s="277">
        <f>IF($G51="1121",$F51,0)</f>
        <v>0</v>
      </c>
      <c r="M51" s="277">
        <f>IF($H51="1121",$F51,0)</f>
        <v>0</v>
      </c>
      <c r="N51" s="277">
        <f>IF($G51="1122",$F51,0)</f>
        <v>0</v>
      </c>
      <c r="O51" s="277">
        <f>IF($H51="1122",$F51,0)</f>
        <v>0</v>
      </c>
      <c r="P51" s="277">
        <f>IF($G51="131",$F51,0)</f>
        <v>0</v>
      </c>
      <c r="Q51" s="277">
        <f>IF($H51="131",$F51,0)</f>
        <v>0</v>
      </c>
      <c r="R51" s="277">
        <f>IF($G51="1331",$F51,0)</f>
        <v>0</v>
      </c>
      <c r="S51" s="277">
        <f>IF($H51="1331",$F51,0)</f>
        <v>0</v>
      </c>
      <c r="T51" s="277">
        <f>IF($G51="1388",$F51,0)</f>
        <v>0</v>
      </c>
      <c r="U51" s="277">
        <f>IF($H51="1388",$F51,0)</f>
        <v>0</v>
      </c>
      <c r="V51" s="277">
        <f>IF($G51="141",$F51,0)</f>
        <v>0</v>
      </c>
      <c r="W51" s="277">
        <f>IF($H51="141",$F51,0)</f>
        <v>0</v>
      </c>
      <c r="X51" s="277">
        <f>IF($G51="1521",$F51,0)</f>
        <v>0</v>
      </c>
      <c r="Y51" s="277">
        <f>IF($H51="1521",$F51,0)</f>
        <v>0</v>
      </c>
      <c r="Z51" s="277">
        <f>IF($G51="1522",$F51,0)</f>
        <v>0</v>
      </c>
      <c r="AA51" s="277">
        <f>IF($H51="1522",$F51,0)</f>
        <v>0</v>
      </c>
      <c r="AB51" s="277">
        <f>IF($G51="153",$F51,0)</f>
        <v>0</v>
      </c>
      <c r="AC51" s="277">
        <f>IF($H51="153",$F51,0)</f>
        <v>0</v>
      </c>
      <c r="AD51" s="277">
        <f>IF($G51="154",$F51,0)</f>
        <v>0</v>
      </c>
      <c r="AE51" s="277">
        <f>IF($H51="154",$F51,0)</f>
        <v>0</v>
      </c>
      <c r="AF51" s="277">
        <f>IF($G51="155",$F51,0)</f>
        <v>0</v>
      </c>
      <c r="AG51" s="277">
        <f>IF($H51="155",$F51,0)</f>
        <v>0</v>
      </c>
      <c r="AH51" s="277">
        <f>IF($G51="2111",$F51,0)</f>
        <v>0</v>
      </c>
      <c r="AI51" s="277">
        <f>IF($H51="2111",$F51,0)</f>
        <v>0</v>
      </c>
      <c r="AJ51" s="277">
        <f>IF($G51="2112",$F51,0)</f>
        <v>0</v>
      </c>
      <c r="AK51" s="277">
        <f>IF($H51="2112",$F51,0)</f>
        <v>0</v>
      </c>
      <c r="AL51" s="277">
        <f>IF($G51="2113",$F51,0)</f>
        <v>0</v>
      </c>
      <c r="AM51" s="277">
        <f>IF($H51="2113",$F51,0)</f>
        <v>0</v>
      </c>
      <c r="AN51" s="277">
        <f>IF($G51="2131",$F51,0)</f>
        <v>0</v>
      </c>
      <c r="AO51" s="277">
        <f>IF($H51="2131",$F51,0)</f>
        <v>0</v>
      </c>
      <c r="AP51" s="277">
        <f>IF($G51="2141",$F51,0)</f>
        <v>0</v>
      </c>
      <c r="AQ51" s="277">
        <f>IF($H51="2141",$F51,0)</f>
        <v>0</v>
      </c>
      <c r="AR51" s="277">
        <f>IF($G51="2143",$F51,0)</f>
        <v>0</v>
      </c>
      <c r="AS51" s="277">
        <f>IF($H51="2143",$F51,0)</f>
        <v>0</v>
      </c>
      <c r="AT51" s="277">
        <f>IF($G51="2412",$F51,0)</f>
        <v>0</v>
      </c>
      <c r="AU51" s="277">
        <f>IF($H51="2412",$F51,0)</f>
        <v>0</v>
      </c>
      <c r="AV51" s="277">
        <f>IF($G51="331",$F51,0)</f>
        <v>0</v>
      </c>
      <c r="AW51" s="277">
        <f>IF($H51="331",$F51,0)</f>
        <v>0</v>
      </c>
      <c r="AX51" s="277">
        <f>IF($G51="33311",$F51,0)</f>
        <v>0</v>
      </c>
      <c r="AY51" s="277">
        <f>IF($H51="33311",$F51,0)</f>
        <v>0</v>
      </c>
      <c r="AZ51" s="277">
        <f>IF($G51="33312",$F51,0)</f>
        <v>0</v>
      </c>
      <c r="BA51" s="277">
        <f>IF($H51="33312",$F51,0)</f>
        <v>0</v>
      </c>
      <c r="BB51" s="277">
        <f>IF($G51="3333",$F51,0)</f>
        <v>0</v>
      </c>
      <c r="BC51" s="277">
        <f>IF($H51="3333",$F51,0)</f>
        <v>0</v>
      </c>
      <c r="BD51" s="277">
        <f>IF($G51="3334",$F51,0)</f>
        <v>0</v>
      </c>
      <c r="BE51" s="277">
        <f>IF($H51="3334",$F51,0)</f>
        <v>0</v>
      </c>
      <c r="BF51" s="277">
        <f>IF($G51="3335",$F51,0)</f>
        <v>0</v>
      </c>
      <c r="BG51" s="277">
        <f>IF($H51="3335",$F51,0)</f>
        <v>0</v>
      </c>
      <c r="BH51" s="277">
        <f>IF($G51="33382",$F51,0)</f>
        <v>0</v>
      </c>
      <c r="BI51" s="277">
        <f>IF($H51="33382",$F51,0)</f>
        <v>0</v>
      </c>
      <c r="BJ51" s="277">
        <f>IF($G51="3341",$F51,0)</f>
        <v>0</v>
      </c>
      <c r="BK51" s="277">
        <f>IF($H51="3341",$F51,0)</f>
        <v>0</v>
      </c>
      <c r="BL51" s="277">
        <f>IF($G51="3383",$F51,0)</f>
        <v>0</v>
      </c>
      <c r="BM51" s="277">
        <f>IF($H51="3383",$F51,0)</f>
        <v>0</v>
      </c>
      <c r="BN51" s="277">
        <f>IF($G51="3384",$F51,0)</f>
        <v>0</v>
      </c>
      <c r="BO51" s="277">
        <f>IF($H51="3384",$F51,0)</f>
        <v>0</v>
      </c>
      <c r="BP51" s="277">
        <f>IF($G51="3386",$F51,0)</f>
        <v>0</v>
      </c>
      <c r="BQ51" s="277">
        <f>IF($H51="3386",$F51,0)</f>
        <v>0</v>
      </c>
      <c r="BR51" s="277">
        <f>IF($G51="3388",$F51,0)</f>
        <v>0</v>
      </c>
      <c r="BS51" s="277">
        <f>IF($H51="3388",$F51,0)</f>
        <v>0</v>
      </c>
      <c r="BT51" s="277">
        <f>IF($G51="3411",$F51,0)</f>
        <v>0</v>
      </c>
      <c r="BU51" s="277">
        <f>IF($H51="3411",$F51,0)</f>
        <v>0</v>
      </c>
      <c r="BV51" s="277">
        <f>IF($G51="3412",$F51,0)</f>
        <v>0</v>
      </c>
      <c r="BW51" s="277">
        <f>IF($H51="3412",$F51,0)</f>
        <v>0</v>
      </c>
      <c r="BX51" s="277">
        <f>IF($G51="4111",$F51,0)</f>
        <v>0</v>
      </c>
      <c r="BY51" s="277">
        <f>IF($H51="4111",$F51,0)</f>
        <v>0</v>
      </c>
      <c r="BZ51" s="277">
        <f>IF($G51="4211",$F51,0)</f>
        <v>0</v>
      </c>
      <c r="CA51" s="277">
        <f>IF($H51="4211",$F51,0)</f>
        <v>0</v>
      </c>
      <c r="CB51" s="277">
        <f>IF($G51="4212",$F51,0)</f>
        <v>0</v>
      </c>
      <c r="CC51" s="277">
        <f>IF($H51="4212",$F51,0)</f>
        <v>0</v>
      </c>
      <c r="CD51" s="277">
        <f>IF($G51="5112N",$F51,0)</f>
        <v>0</v>
      </c>
      <c r="CE51" s="277">
        <f>IF($H51="5112N",$F51,0)</f>
        <v>0</v>
      </c>
      <c r="CF51" s="277">
        <f>IF($G51="5112X",$F51,0)</f>
        <v>0</v>
      </c>
      <c r="CG51" s="277">
        <f>IF($H51="5112X",$F51,0)</f>
        <v>0</v>
      </c>
      <c r="CH51" s="277">
        <f>IF($G51="515",$F51,0)</f>
        <v>0</v>
      </c>
      <c r="CI51" s="277">
        <f>IF($H51="515",$F51,0)</f>
        <v>0</v>
      </c>
      <c r="CJ51" s="277">
        <f>IF($G51="5213",$F51,0)</f>
        <v>0</v>
      </c>
      <c r="CK51" s="277">
        <f>IF($H51="5213",$F51,0)</f>
        <v>0</v>
      </c>
      <c r="CL51" s="277">
        <f>IF($G51="632",$F51,0)</f>
        <v>0</v>
      </c>
      <c r="CM51" s="277">
        <f>IF($H51="632",$F51,0)</f>
        <v>0</v>
      </c>
      <c r="CN51" s="277">
        <f>IF($G51="635",$F51,0)</f>
        <v>0</v>
      </c>
      <c r="CO51" s="277">
        <f>IF($H51="635",$F51,0)</f>
        <v>0</v>
      </c>
      <c r="CP51" s="277">
        <f>IF($G51="641",$F51,0)</f>
        <v>0</v>
      </c>
      <c r="CQ51" s="277">
        <f>IF($H51="641",$F51,0)</f>
        <v>0</v>
      </c>
      <c r="CR51" s="277">
        <f>IF($G51="642",$F51,0)</f>
        <v>0</v>
      </c>
      <c r="CS51" s="277">
        <f>IF($H51="642",$F51,0)</f>
        <v>0</v>
      </c>
      <c r="CT51" s="277">
        <f>IF($G51="711",$F51,0)</f>
        <v>0</v>
      </c>
      <c r="CU51" s="277">
        <f>IF($H51="711",$F51,0)</f>
        <v>0</v>
      </c>
      <c r="CV51" s="277">
        <f>IF($G51="811",$F51,0)</f>
        <v>0</v>
      </c>
      <c r="CW51" s="277">
        <f>IF($H51="811",$F51,0)</f>
        <v>0</v>
      </c>
      <c r="CX51" s="277">
        <f>IF($G51="821",$F51,0)</f>
        <v>0</v>
      </c>
      <c r="CY51" s="277">
        <f>IF($H51="821",$F51,0)</f>
        <v>0</v>
      </c>
      <c r="CZ51" s="277">
        <f>IF($G51="911",$F51,0)</f>
        <v>0</v>
      </c>
      <c r="DA51" s="277">
        <f>IF($H51="911",$F51,0)</f>
        <v>0</v>
      </c>
    </row>
    <row r="52" spans="1:105" s="274" customFormat="1" ht="15.75" customHeight="1">
      <c r="A52" s="281"/>
      <c r="B52" s="281"/>
      <c r="C52" s="308"/>
      <c r="D52" s="281"/>
      <c r="E52" s="276" t="s">
        <v>174</v>
      </c>
      <c r="F52" s="281"/>
      <c r="G52" s="280"/>
      <c r="H52" s="280"/>
      <c r="I52" s="281"/>
      <c r="J52" s="281">
        <f t="shared" ref="J52:AO52" ca="1" si="99">SUM(J11:J51)</f>
        <v>0</v>
      </c>
      <c r="K52" s="281">
        <f t="shared" ca="1" si="99"/>
        <v>0</v>
      </c>
      <c r="L52" s="281">
        <f t="shared" ca="1" si="99"/>
        <v>0</v>
      </c>
      <c r="M52" s="281">
        <f t="shared" ca="1" si="99"/>
        <v>0</v>
      </c>
      <c r="N52" s="281">
        <f t="shared" ca="1" si="99"/>
        <v>0</v>
      </c>
      <c r="O52" s="281">
        <f t="shared" ca="1" si="99"/>
        <v>0</v>
      </c>
      <c r="P52" s="281">
        <f t="shared" ca="1" si="99"/>
        <v>0</v>
      </c>
      <c r="Q52" s="281">
        <f t="shared" ca="1" si="99"/>
        <v>0</v>
      </c>
      <c r="R52" s="281">
        <f t="shared" ca="1" si="99"/>
        <v>0</v>
      </c>
      <c r="S52" s="281">
        <f t="shared" ca="1" si="99"/>
        <v>0</v>
      </c>
      <c r="T52" s="281">
        <f t="shared" ca="1" si="99"/>
        <v>0</v>
      </c>
      <c r="U52" s="281">
        <f t="shared" ca="1" si="99"/>
        <v>0</v>
      </c>
      <c r="V52" s="281">
        <f t="shared" ca="1" si="99"/>
        <v>0</v>
      </c>
      <c r="W52" s="281">
        <f t="shared" ca="1" si="99"/>
        <v>0</v>
      </c>
      <c r="X52" s="281">
        <f t="shared" ca="1" si="99"/>
        <v>0</v>
      </c>
      <c r="Y52" s="281">
        <f t="shared" ca="1" si="99"/>
        <v>0</v>
      </c>
      <c r="Z52" s="281">
        <f t="shared" ca="1" si="99"/>
        <v>0</v>
      </c>
      <c r="AA52" s="281">
        <f t="shared" ca="1" si="99"/>
        <v>0</v>
      </c>
      <c r="AB52" s="281">
        <f t="shared" ca="1" si="99"/>
        <v>0</v>
      </c>
      <c r="AC52" s="281">
        <f t="shared" ca="1" si="99"/>
        <v>0</v>
      </c>
      <c r="AD52" s="281">
        <f t="shared" ca="1" si="99"/>
        <v>0</v>
      </c>
      <c r="AE52" s="281">
        <f t="shared" ca="1" si="99"/>
        <v>0</v>
      </c>
      <c r="AF52" s="281">
        <f t="shared" ca="1" si="99"/>
        <v>0</v>
      </c>
      <c r="AG52" s="281">
        <f t="shared" ca="1" si="99"/>
        <v>0</v>
      </c>
      <c r="AH52" s="281">
        <f t="shared" ca="1" si="99"/>
        <v>0</v>
      </c>
      <c r="AI52" s="281">
        <f t="shared" ca="1" si="99"/>
        <v>0</v>
      </c>
      <c r="AJ52" s="281">
        <f t="shared" ca="1" si="99"/>
        <v>0</v>
      </c>
      <c r="AK52" s="281">
        <f t="shared" ca="1" si="99"/>
        <v>0</v>
      </c>
      <c r="AL52" s="281">
        <f t="shared" ca="1" si="99"/>
        <v>0</v>
      </c>
      <c r="AM52" s="281">
        <f t="shared" ca="1" si="99"/>
        <v>0</v>
      </c>
      <c r="AN52" s="281">
        <f t="shared" ca="1" si="99"/>
        <v>0</v>
      </c>
      <c r="AO52" s="281">
        <f t="shared" ca="1" si="99"/>
        <v>0</v>
      </c>
      <c r="AP52" s="281">
        <f t="shared" ref="AP52:BU52" ca="1" si="100">SUM(AP11:AP51)</f>
        <v>0</v>
      </c>
      <c r="AQ52" s="281">
        <f t="shared" ca="1" si="100"/>
        <v>0</v>
      </c>
      <c r="AR52" s="281">
        <f t="shared" ca="1" si="100"/>
        <v>0</v>
      </c>
      <c r="AS52" s="281">
        <f t="shared" ca="1" si="100"/>
        <v>0</v>
      </c>
      <c r="AT52" s="281">
        <f t="shared" ca="1" si="100"/>
        <v>0</v>
      </c>
      <c r="AU52" s="281">
        <f t="shared" ca="1" si="100"/>
        <v>0</v>
      </c>
      <c r="AV52" s="281">
        <f t="shared" ca="1" si="100"/>
        <v>0</v>
      </c>
      <c r="AW52" s="281">
        <f t="shared" ca="1" si="100"/>
        <v>0</v>
      </c>
      <c r="AX52" s="281">
        <f t="shared" ca="1" si="100"/>
        <v>0</v>
      </c>
      <c r="AY52" s="281">
        <f t="shared" ca="1" si="100"/>
        <v>0</v>
      </c>
      <c r="AZ52" s="281">
        <f t="shared" ca="1" si="100"/>
        <v>0</v>
      </c>
      <c r="BA52" s="281">
        <f t="shared" ca="1" si="100"/>
        <v>0</v>
      </c>
      <c r="BB52" s="281">
        <f t="shared" ca="1" si="100"/>
        <v>0</v>
      </c>
      <c r="BC52" s="281">
        <f t="shared" ca="1" si="100"/>
        <v>0</v>
      </c>
      <c r="BD52" s="281">
        <f t="shared" ca="1" si="100"/>
        <v>0</v>
      </c>
      <c r="BE52" s="281">
        <f t="shared" ca="1" si="100"/>
        <v>0</v>
      </c>
      <c r="BF52" s="281">
        <f t="shared" ca="1" si="100"/>
        <v>0</v>
      </c>
      <c r="BG52" s="281">
        <f t="shared" ca="1" si="100"/>
        <v>0</v>
      </c>
      <c r="BH52" s="281">
        <f t="shared" ca="1" si="100"/>
        <v>0</v>
      </c>
      <c r="BI52" s="281">
        <f t="shared" ca="1" si="100"/>
        <v>0</v>
      </c>
      <c r="BJ52" s="281">
        <f t="shared" ca="1" si="100"/>
        <v>0</v>
      </c>
      <c r="BK52" s="281">
        <f t="shared" ca="1" si="100"/>
        <v>0</v>
      </c>
      <c r="BL52" s="281">
        <f t="shared" ca="1" si="100"/>
        <v>0</v>
      </c>
      <c r="BM52" s="281">
        <f t="shared" ca="1" si="100"/>
        <v>0</v>
      </c>
      <c r="BN52" s="281">
        <f t="shared" ca="1" si="100"/>
        <v>0</v>
      </c>
      <c r="BO52" s="281">
        <f t="shared" ca="1" si="100"/>
        <v>0</v>
      </c>
      <c r="BP52" s="281">
        <f t="shared" ca="1" si="100"/>
        <v>0</v>
      </c>
      <c r="BQ52" s="281">
        <f t="shared" ca="1" si="100"/>
        <v>0</v>
      </c>
      <c r="BR52" s="281">
        <f t="shared" ca="1" si="100"/>
        <v>0</v>
      </c>
      <c r="BS52" s="281">
        <f t="shared" ca="1" si="100"/>
        <v>0</v>
      </c>
      <c r="BT52" s="281">
        <f t="shared" ca="1" si="100"/>
        <v>0</v>
      </c>
      <c r="BU52" s="281">
        <f t="shared" ca="1" si="100"/>
        <v>0</v>
      </c>
      <c r="BV52" s="281">
        <f t="shared" ref="BV52:DA52" ca="1" si="101">SUM(BV11:BV51)</f>
        <v>0</v>
      </c>
      <c r="BW52" s="281">
        <f t="shared" ca="1" si="101"/>
        <v>0</v>
      </c>
      <c r="BX52" s="281">
        <f t="shared" ca="1" si="101"/>
        <v>0</v>
      </c>
      <c r="BY52" s="281">
        <f t="shared" ca="1" si="101"/>
        <v>0</v>
      </c>
      <c r="BZ52" s="281">
        <f t="shared" ca="1" si="101"/>
        <v>0</v>
      </c>
      <c r="CA52" s="281">
        <f t="shared" ca="1" si="101"/>
        <v>0</v>
      </c>
      <c r="CB52" s="281">
        <f t="shared" ca="1" si="101"/>
        <v>0</v>
      </c>
      <c r="CC52" s="281">
        <f t="shared" ca="1" si="101"/>
        <v>0</v>
      </c>
      <c r="CD52" s="281">
        <f t="shared" ca="1" si="101"/>
        <v>0</v>
      </c>
      <c r="CE52" s="281">
        <f t="shared" ca="1" si="101"/>
        <v>0</v>
      </c>
      <c r="CF52" s="281">
        <f t="shared" ca="1" si="101"/>
        <v>0</v>
      </c>
      <c r="CG52" s="281">
        <f t="shared" ca="1" si="101"/>
        <v>0</v>
      </c>
      <c r="CH52" s="281">
        <f t="shared" ca="1" si="101"/>
        <v>0</v>
      </c>
      <c r="CI52" s="281">
        <f t="shared" ca="1" si="101"/>
        <v>0</v>
      </c>
      <c r="CJ52" s="281">
        <f t="shared" ca="1" si="101"/>
        <v>0</v>
      </c>
      <c r="CK52" s="281">
        <f t="shared" ca="1" si="101"/>
        <v>0</v>
      </c>
      <c r="CL52" s="281">
        <f t="shared" ca="1" si="101"/>
        <v>0</v>
      </c>
      <c r="CM52" s="281">
        <f t="shared" ca="1" si="101"/>
        <v>0</v>
      </c>
      <c r="CN52" s="281">
        <f t="shared" ca="1" si="101"/>
        <v>0</v>
      </c>
      <c r="CO52" s="281">
        <f t="shared" ca="1" si="101"/>
        <v>0</v>
      </c>
      <c r="CP52" s="281">
        <f t="shared" ca="1" si="101"/>
        <v>0</v>
      </c>
      <c r="CQ52" s="281">
        <f t="shared" ca="1" si="101"/>
        <v>0</v>
      </c>
      <c r="CR52" s="281">
        <f t="shared" ca="1" si="101"/>
        <v>0</v>
      </c>
      <c r="CS52" s="281">
        <f t="shared" ca="1" si="101"/>
        <v>0</v>
      </c>
      <c r="CT52" s="281">
        <f t="shared" ca="1" si="101"/>
        <v>0</v>
      </c>
      <c r="CU52" s="281">
        <f t="shared" ca="1" si="101"/>
        <v>0</v>
      </c>
      <c r="CV52" s="281">
        <f t="shared" ca="1" si="101"/>
        <v>0</v>
      </c>
      <c r="CW52" s="281">
        <f t="shared" ca="1" si="101"/>
        <v>0</v>
      </c>
      <c r="CX52" s="281">
        <f t="shared" ca="1" si="101"/>
        <v>0</v>
      </c>
      <c r="CY52" s="281">
        <f t="shared" ca="1" si="101"/>
        <v>0</v>
      </c>
      <c r="CZ52" s="281">
        <f t="shared" ca="1" si="101"/>
        <v>0</v>
      </c>
      <c r="DA52" s="281">
        <f t="shared" ca="1" si="101"/>
        <v>0</v>
      </c>
    </row>
    <row r="53" spans="1:105" s="274" customFormat="1" ht="15.75" customHeight="1">
      <c r="A53" s="282"/>
      <c r="B53" s="282"/>
      <c r="C53" s="282"/>
      <c r="D53" s="282"/>
      <c r="E53" s="283" t="s">
        <v>215</v>
      </c>
      <c r="F53" s="282"/>
      <c r="G53" s="284"/>
      <c r="H53" s="284"/>
      <c r="I53" s="282"/>
      <c r="J53" s="304">
        <f ca="1">MAX(J10+J52-K10-K52,0)</f>
        <v>3705039095</v>
      </c>
      <c r="K53" s="304">
        <f ca="1">MAX(K10+K52-J10-J52,0)</f>
        <v>0</v>
      </c>
      <c r="L53" s="304">
        <f ca="1">MAX(L10+L52-M10-M52,0)</f>
        <v>19829295</v>
      </c>
      <c r="M53" s="304">
        <f ca="1">MAX(M10+M52-L10-L52,0)</f>
        <v>0</v>
      </c>
      <c r="N53" s="304">
        <f ca="1">MAX(N10+N52-O10-O52,0)</f>
        <v>2236796790</v>
      </c>
      <c r="O53" s="304">
        <f ca="1">MAX(O10+O52-N10-N52,0)</f>
        <v>0</v>
      </c>
      <c r="P53" s="304">
        <f ca="1">MAX(P10+P52-Q10-Q52,0)</f>
        <v>3343381600</v>
      </c>
      <c r="Q53" s="304">
        <f ca="1">MAX(Q10+Q52-P10-P52,0)</f>
        <v>0</v>
      </c>
      <c r="R53" s="304">
        <f ca="1">MAX(R10+R52-S10-S52,0)</f>
        <v>162420936</v>
      </c>
      <c r="S53" s="304">
        <f ca="1">MAX(S10+S52-R10-R52,0)</f>
        <v>0</v>
      </c>
      <c r="T53" s="304">
        <f ca="1">MAX(T10+T52-U10-U52,0)</f>
        <v>1500000000</v>
      </c>
      <c r="U53" s="304">
        <f ca="1">MAX(U10+U52-T10-T52,0)</f>
        <v>0</v>
      </c>
      <c r="V53" s="304">
        <f ca="1">MAX(V10+V52-W10-W52,0)</f>
        <v>0</v>
      </c>
      <c r="W53" s="304">
        <f ca="1">MAX(W10+W52-V10-V52,0)</f>
        <v>0</v>
      </c>
      <c r="X53" s="304">
        <f ca="1">MAX(X10+X52-Y10-Y52,0)</f>
        <v>2772400000</v>
      </c>
      <c r="Y53" s="304">
        <f ca="1">MAX(Y10+Y52-X10-X52,0)</f>
        <v>0</v>
      </c>
      <c r="Z53" s="304">
        <f ca="1">MAX(Z10+Z52-AA10-AA52,0)</f>
        <v>526519887</v>
      </c>
      <c r="AA53" s="304">
        <f ca="1">MAX(AA10+AA52-Z10-Z52,0)</f>
        <v>0</v>
      </c>
      <c r="AB53" s="304">
        <f ca="1">MAX(AB10+AB52-AC10-AC52,0)</f>
        <v>0</v>
      </c>
      <c r="AC53" s="304">
        <f ca="1">MAX(AC10+AC52-AB10-AB52,0)</f>
        <v>0</v>
      </c>
      <c r="AD53" s="304">
        <f ca="1">MAX(AD10+AD52-AE10-AE52,0)</f>
        <v>0</v>
      </c>
      <c r="AE53" s="304">
        <f ca="1">MAX(AE10+AE52-AD10-AD52,0)</f>
        <v>0</v>
      </c>
      <c r="AF53" s="304">
        <f ca="1">MAX(AF10+AF52-AG10-AG52,0)</f>
        <v>9386323824</v>
      </c>
      <c r="AG53" s="304">
        <f ca="1">MAX(AG10+AG52-AF10-AF52,0)</f>
        <v>0</v>
      </c>
      <c r="AH53" s="304">
        <f ca="1">MAX(AH10+AH52-AI10-AI52,0)</f>
        <v>7490743648</v>
      </c>
      <c r="AI53" s="304">
        <f ca="1">MAX(AI10+AI52-AH10-AH52,0)</f>
        <v>0</v>
      </c>
      <c r="AJ53" s="304">
        <f ca="1">MAX(AJ10+AJ52-AK10-AK52,0)</f>
        <v>3807898863</v>
      </c>
      <c r="AK53" s="304">
        <f ca="1">MAX(AK10+AK52-AJ10-AJ52,0)</f>
        <v>0</v>
      </c>
      <c r="AL53" s="304">
        <f ca="1">MAX(AL10+AL52-AM10-AM52,0)</f>
        <v>3790918485</v>
      </c>
      <c r="AM53" s="304">
        <f ca="1">MAX(AM10+AM52-AL10-AL52,0)</f>
        <v>0</v>
      </c>
      <c r="AN53" s="304">
        <f ca="1">MAX(AN10+AN52-AO10-AO52,0)</f>
        <v>5405781300</v>
      </c>
      <c r="AO53" s="304">
        <f ca="1">MAX(AO10+AO52-AN10-AN52,0)</f>
        <v>0</v>
      </c>
      <c r="AP53" s="304">
        <f ca="1">MAX(AP10+AP52-AQ10-AQ52,0)</f>
        <v>0</v>
      </c>
      <c r="AQ53" s="304">
        <f ca="1">MAX(AQ10+AQ52-AP10-AP52,0)</f>
        <v>9132359256</v>
      </c>
      <c r="AR53" s="304">
        <f ca="1">MAX(AR10+AR52-AS10-AS52,0)</f>
        <v>0</v>
      </c>
      <c r="AS53" s="304">
        <f ca="1">MAX(AS10+AS52-AR10-AR52,0)</f>
        <v>600642360</v>
      </c>
      <c r="AT53" s="304">
        <f ca="1">MAX(AT10+AT52-AU10-AU52,0)</f>
        <v>0</v>
      </c>
      <c r="AU53" s="304">
        <f ca="1">MAX(AU10+AU52-AT10-AT52,0)</f>
        <v>0</v>
      </c>
      <c r="AV53" s="304">
        <f ca="1">MAX(AV10+AV52-AW10-AW52,0)</f>
        <v>0</v>
      </c>
      <c r="AW53" s="304">
        <f ca="1">MAX(AW10+AW52-AV10-AV52,0)</f>
        <v>476953252</v>
      </c>
      <c r="AX53" s="304">
        <f ca="1">MAX(AX10+AX52-AY10-AY52,0)</f>
        <v>0</v>
      </c>
      <c r="AY53" s="304">
        <f ca="1">MAX(AY10+AY52-AX10-AX52,0)</f>
        <v>0</v>
      </c>
      <c r="AZ53" s="304">
        <f ca="1">MAX(AZ10+AZ52-BA10-BA52,0)</f>
        <v>0</v>
      </c>
      <c r="BA53" s="304">
        <f ca="1">MAX(BA10+BA52-AZ10-AZ52,0)</f>
        <v>0</v>
      </c>
      <c r="BB53" s="304">
        <f ca="1">MAX(BB10+BB52-BC10-BC52,0)</f>
        <v>0</v>
      </c>
      <c r="BC53" s="304">
        <f ca="1">MAX(BC10+BC52-BB10-BB52,0)</f>
        <v>0</v>
      </c>
      <c r="BD53" s="304">
        <f ca="1">MAX(BD10+BD52-BE10-BE52,0)</f>
        <v>0</v>
      </c>
      <c r="BE53" s="304">
        <f ca="1">MAX(BE10+BE52-BD10-BD52,0)</f>
        <v>3313435</v>
      </c>
      <c r="BF53" s="304">
        <f ca="1">MAX(BF10+BF52-BG10-BG52,0)</f>
        <v>3389804</v>
      </c>
      <c r="BG53" s="304">
        <f ca="1">MAX(BG10+BG52-BF10-BF52,0)</f>
        <v>0</v>
      </c>
      <c r="BH53" s="304">
        <f ca="1">MAX(BH10+BH52-BI10-BI52,0)</f>
        <v>0</v>
      </c>
      <c r="BI53" s="304">
        <f ca="1">MAX(BI10+BI52-BH10-BH52,0)</f>
        <v>0</v>
      </c>
      <c r="BJ53" s="304">
        <f ca="1">MAX(BJ10+BJ52-BK10-BK52,0)</f>
        <v>0</v>
      </c>
      <c r="BK53" s="304">
        <f ca="1">MAX(BK10+BK52-BJ10-BJ52,0)</f>
        <v>0</v>
      </c>
      <c r="BL53" s="304">
        <f ca="1">MAX(BL10+BL52-BM10-BM52,0)</f>
        <v>0</v>
      </c>
      <c r="BM53" s="304">
        <f ca="1">MAX(BM10+BM52-BL10-BL52,0)</f>
        <v>40272309</v>
      </c>
      <c r="BN53" s="304">
        <f ca="1">MAX(BN10+BN52-BO10-BO52,0)</f>
        <v>0</v>
      </c>
      <c r="BO53" s="304">
        <f ca="1">MAX(BO10+BO52-BN10-BN52,0)</f>
        <v>6403142</v>
      </c>
      <c r="BP53" s="304">
        <f ca="1">MAX(BP10+BP52-BQ10-BQ52,0)</f>
        <v>0</v>
      </c>
      <c r="BQ53" s="304">
        <f ca="1">MAX(BQ10+BQ52-BP10-BP52,0)</f>
        <v>2761373</v>
      </c>
      <c r="BR53" s="304">
        <f ca="1">MAX(BR10+BR52-BS10-BS52,0)</f>
        <v>0</v>
      </c>
      <c r="BS53" s="304">
        <f ca="1">MAX(BS10+BS52-BR10-BR52,0)</f>
        <v>0</v>
      </c>
      <c r="BT53" s="304">
        <f ca="1">MAX(BT10+BT52-BU10-BU52,0)</f>
        <v>0</v>
      </c>
      <c r="BU53" s="304">
        <f ca="1">MAX(BU10+BU52-BT10-BT52,0)</f>
        <v>2169121879</v>
      </c>
      <c r="BV53" s="304">
        <f ca="1">MAX(BV10+BV52-BW10-BW52,0)</f>
        <v>0</v>
      </c>
      <c r="BW53" s="304">
        <f ca="1">MAX(BW10+BW52-BV10-BV52,0)</f>
        <v>21202920500</v>
      </c>
      <c r="BX53" s="304">
        <f ca="1">MAX(BX10+BX52-BY10-BY52,0)</f>
        <v>0</v>
      </c>
      <c r="BY53" s="304">
        <f ca="1">MAX(BY10+BY52-BX10-BX52,0)</f>
        <v>10000000000</v>
      </c>
      <c r="BZ53" s="304">
        <f ca="1">MAX(BZ10+BZ52-CA10-CA52,0)</f>
        <v>0</v>
      </c>
      <c r="CA53" s="304">
        <f ca="1">MAX(CA10+CA52-BZ10-BZ52,0)</f>
        <v>594397022.00000048</v>
      </c>
      <c r="CB53" s="304">
        <f ca="1">MAX(CB10+CB52-CC10-CC52,0)</f>
        <v>77701001</v>
      </c>
      <c r="CC53" s="304">
        <f ca="1">MAX(CC10+CC52-CB10-CB52,0)</f>
        <v>0</v>
      </c>
      <c r="CD53" s="304">
        <f ca="1">MAX(CD10+CD52-CE10-CE52,0)</f>
        <v>0</v>
      </c>
      <c r="CE53" s="304">
        <f ca="1">MAX(CE10+CE52-CD10-CD52,0)</f>
        <v>0</v>
      </c>
      <c r="CF53" s="304">
        <f ca="1">MAX(CF10+CF52-CG10-CG52,0)</f>
        <v>0</v>
      </c>
      <c r="CG53" s="304">
        <f ca="1">MAX(CG10+CG52-CF10-CF52,0)</f>
        <v>0</v>
      </c>
      <c r="CH53" s="304">
        <f ca="1">MAX(CH10+CH52-CI10-CI52,0)</f>
        <v>0</v>
      </c>
      <c r="CI53" s="304">
        <f ca="1">MAX(CI10+CI52-CH10-CH52,0)</f>
        <v>0</v>
      </c>
      <c r="CJ53" s="304">
        <f ca="1">MAX(CJ10+CJ52-CK10-CK52,0)</f>
        <v>0</v>
      </c>
      <c r="CK53" s="304">
        <f ca="1">MAX(CK10+CK52-CJ10-CJ52,0)</f>
        <v>0</v>
      </c>
      <c r="CL53" s="304">
        <f ca="1">MAX(CL10+CL52-CM10-CM52,0)</f>
        <v>0</v>
      </c>
      <c r="CM53" s="304">
        <f ca="1">MAX(CM10+CM52-CL10-CL52,0)</f>
        <v>0</v>
      </c>
      <c r="CN53" s="304">
        <f ca="1">MAX(CN10+CN52-CO10-CO52,0)</f>
        <v>0</v>
      </c>
      <c r="CO53" s="304">
        <f ca="1">MAX(CO10+CO52-CN10-CN52,0)</f>
        <v>0</v>
      </c>
      <c r="CP53" s="304">
        <f ca="1">MAX(CP10+CP52-CQ10-CQ52,0)</f>
        <v>0</v>
      </c>
      <c r="CQ53" s="304">
        <f ca="1">MAX(CQ10+CQ52-CP10-CP52,0)</f>
        <v>0</v>
      </c>
      <c r="CR53" s="304">
        <f ca="1">MAX(CR10+CR52-CS10-CS52,0)</f>
        <v>0</v>
      </c>
      <c r="CS53" s="304">
        <f ca="1">MAX(CS10+CS52-CR10-CR52,0)</f>
        <v>0</v>
      </c>
      <c r="CT53" s="304">
        <f ca="1">MAX(CT10+CT52-CU10-CU52,0)</f>
        <v>0</v>
      </c>
      <c r="CU53" s="304">
        <f ca="1">MAX(CU10+CU52-CT10-CT52,0)</f>
        <v>0</v>
      </c>
      <c r="CV53" s="304">
        <f ca="1">MAX(CV10+CV52-CW10-CW52,0)</f>
        <v>0</v>
      </c>
      <c r="CW53" s="304">
        <f ca="1">MAX(CW10+CW52-CV10-CV52,0)</f>
        <v>0</v>
      </c>
      <c r="CX53" s="304">
        <f ca="1">MAX(CX10+CX52-CY10-CY52,0)</f>
        <v>0</v>
      </c>
      <c r="CY53" s="304">
        <f ca="1">MAX(CY10+CY52-CX10-CX52,0)</f>
        <v>0</v>
      </c>
      <c r="CZ53" s="304">
        <f ca="1">MAX(CZ10+CZ52-DA10-DA52,0)</f>
        <v>0</v>
      </c>
      <c r="DA53" s="304">
        <f ca="1">MAX(DA10+DA52-CZ10-CZ52,0)</f>
        <v>0</v>
      </c>
    </row>
    <row r="54" spans="1:105" s="274" customFormat="1" ht="15.75" customHeight="1">
      <c r="A54" s="286"/>
      <c r="B54" s="286"/>
      <c r="C54" s="287"/>
      <c r="D54" s="286"/>
      <c r="E54" s="288" t="s">
        <v>216</v>
      </c>
      <c r="F54" s="286"/>
      <c r="G54" s="289"/>
      <c r="H54" s="289"/>
      <c r="I54" s="286"/>
      <c r="J54" s="286">
        <f ca="1">J52+'SC-II'!J54</f>
        <v>0</v>
      </c>
      <c r="K54" s="286">
        <f ca="1">K52+'SC-II'!K54</f>
        <v>0</v>
      </c>
      <c r="L54" s="286">
        <f ca="1">L52+'SC-II'!L54</f>
        <v>0</v>
      </c>
      <c r="M54" s="286">
        <f ca="1">M52+'SC-II'!M54</f>
        <v>0</v>
      </c>
      <c r="N54" s="286">
        <f ca="1">N52+'SC-II'!N54</f>
        <v>0</v>
      </c>
      <c r="O54" s="286">
        <f ca="1">O52+'SC-II'!O54</f>
        <v>0</v>
      </c>
      <c r="P54" s="286">
        <f ca="1">P52+'SC-II'!P54</f>
        <v>0</v>
      </c>
      <c r="Q54" s="286">
        <f ca="1">Q52+'SC-II'!Q54</f>
        <v>0</v>
      </c>
      <c r="R54" s="286">
        <f ca="1">R52+'SC-II'!R54</f>
        <v>0</v>
      </c>
      <c r="S54" s="286">
        <f ca="1">S52+'SC-II'!S54</f>
        <v>0</v>
      </c>
      <c r="T54" s="286">
        <f ca="1">T52+'SC-II'!T54</f>
        <v>0</v>
      </c>
      <c r="U54" s="286">
        <f ca="1">U52+'SC-II'!U54</f>
        <v>0</v>
      </c>
      <c r="V54" s="286">
        <f ca="1">V52+'SC-II'!V54</f>
        <v>0</v>
      </c>
      <c r="W54" s="286">
        <f ca="1">W52+'SC-II'!W54</f>
        <v>0</v>
      </c>
      <c r="X54" s="286">
        <f ca="1">X52+'SC-II'!X54</f>
        <v>0</v>
      </c>
      <c r="Y54" s="286">
        <f ca="1">Y52+'SC-II'!Y54</f>
        <v>0</v>
      </c>
      <c r="Z54" s="286">
        <f ca="1">Z52+'SC-II'!Z54</f>
        <v>0</v>
      </c>
      <c r="AA54" s="286">
        <f ca="1">AA52+'SC-II'!AA54</f>
        <v>0</v>
      </c>
      <c r="AB54" s="286">
        <f ca="1">AB52+'SC-II'!AB54</f>
        <v>0</v>
      </c>
      <c r="AC54" s="286">
        <f ca="1">AC52+'SC-II'!AC54</f>
        <v>0</v>
      </c>
      <c r="AD54" s="286">
        <f ca="1">AD52+'SC-II'!AD54</f>
        <v>0</v>
      </c>
      <c r="AE54" s="286">
        <f ca="1">AE52+'SC-II'!AE54</f>
        <v>0</v>
      </c>
      <c r="AF54" s="286">
        <f ca="1">AF52+'SC-II'!AF54</f>
        <v>0</v>
      </c>
      <c r="AG54" s="286">
        <f ca="1">AG52+'SC-II'!AG54</f>
        <v>0</v>
      </c>
      <c r="AH54" s="286">
        <f ca="1">AH52+'SC-II'!AH54</f>
        <v>0</v>
      </c>
      <c r="AI54" s="286">
        <f ca="1">AI52+'SC-II'!AI54</f>
        <v>0</v>
      </c>
      <c r="AJ54" s="286">
        <f ca="1">AJ52+'SC-II'!AJ54</f>
        <v>0</v>
      </c>
      <c r="AK54" s="286">
        <f ca="1">AK52+'SC-II'!AK54</f>
        <v>0</v>
      </c>
      <c r="AL54" s="286">
        <f ca="1">AL52+'SC-II'!AL54</f>
        <v>0</v>
      </c>
      <c r="AM54" s="286">
        <f ca="1">AM52+'SC-II'!AM54</f>
        <v>0</v>
      </c>
      <c r="AN54" s="286">
        <f ca="1">AN52+'SC-II'!AN54</f>
        <v>0</v>
      </c>
      <c r="AO54" s="286">
        <f ca="1">AO52+'SC-II'!AO54</f>
        <v>0</v>
      </c>
      <c r="AP54" s="286">
        <f ca="1">AP52+'SC-II'!AP54</f>
        <v>0</v>
      </c>
      <c r="AQ54" s="286">
        <f ca="1">AQ52+'SC-II'!AQ54</f>
        <v>0</v>
      </c>
      <c r="AR54" s="286">
        <f ca="1">AR52+'SC-II'!AR54</f>
        <v>0</v>
      </c>
      <c r="AS54" s="286">
        <f ca="1">AS52+'SC-II'!AS54</f>
        <v>0</v>
      </c>
      <c r="AT54" s="286">
        <f ca="1">AT52+'SC-II'!AT54</f>
        <v>0</v>
      </c>
      <c r="AU54" s="286">
        <f ca="1">AU52+'SC-II'!AU54</f>
        <v>0</v>
      </c>
      <c r="AV54" s="286">
        <f ca="1">AV52+'SC-II'!AV54</f>
        <v>0</v>
      </c>
      <c r="AW54" s="286">
        <f ca="1">AW52+'SC-II'!AW54</f>
        <v>0</v>
      </c>
      <c r="AX54" s="286">
        <f ca="1">AX52+'SC-II'!AX54</f>
        <v>0</v>
      </c>
      <c r="AY54" s="286">
        <f ca="1">AY52+'SC-II'!AY54</f>
        <v>0</v>
      </c>
      <c r="AZ54" s="286">
        <f ca="1">AZ52+'SC-II'!AZ54</f>
        <v>0</v>
      </c>
      <c r="BA54" s="286">
        <f ca="1">BA52+'SC-II'!BA54</f>
        <v>0</v>
      </c>
      <c r="BB54" s="286">
        <f ca="1">BB52+'SC-II'!BB54</f>
        <v>0</v>
      </c>
      <c r="BC54" s="286">
        <f ca="1">BC52+'SC-II'!BC54</f>
        <v>0</v>
      </c>
      <c r="BD54" s="286">
        <f ca="1">BD52+'SC-II'!BD54</f>
        <v>0</v>
      </c>
      <c r="BE54" s="286">
        <f ca="1">BE52+'SC-II'!BE54</f>
        <v>0</v>
      </c>
      <c r="BF54" s="286">
        <f ca="1">BF52+'SC-II'!BF54</f>
        <v>0</v>
      </c>
      <c r="BG54" s="286">
        <f ca="1">BG52+'SC-II'!BG54</f>
        <v>0</v>
      </c>
      <c r="BH54" s="286">
        <f ca="1">BH52+'SC-II'!BH54</f>
        <v>0</v>
      </c>
      <c r="BI54" s="286">
        <f ca="1">BI52+'SC-II'!BI54</f>
        <v>0</v>
      </c>
      <c r="BJ54" s="286">
        <f ca="1">BJ52+'SC-II'!BJ54</f>
        <v>0</v>
      </c>
      <c r="BK54" s="286">
        <f ca="1">BK52+'SC-II'!BK54</f>
        <v>0</v>
      </c>
      <c r="BL54" s="286">
        <f ca="1">BL52+'SC-II'!BL54</f>
        <v>0</v>
      </c>
      <c r="BM54" s="286">
        <f ca="1">BM52+'SC-II'!BM54</f>
        <v>0</v>
      </c>
      <c r="BN54" s="286">
        <f ca="1">BN52+'SC-II'!BN54</f>
        <v>0</v>
      </c>
      <c r="BO54" s="286">
        <f ca="1">BO52+'SC-II'!BO54</f>
        <v>0</v>
      </c>
      <c r="BP54" s="286">
        <f ca="1">BP52+'SC-II'!BP54</f>
        <v>0</v>
      </c>
      <c r="BQ54" s="286">
        <f ca="1">BQ52+'SC-II'!BQ54</f>
        <v>0</v>
      </c>
      <c r="BR54" s="286">
        <f ca="1">BR52+'SC-II'!BR54</f>
        <v>0</v>
      </c>
      <c r="BS54" s="286">
        <f ca="1">BS52+'SC-II'!BS54</f>
        <v>0</v>
      </c>
      <c r="BT54" s="286">
        <f ca="1">BT52+'SC-II'!BT54</f>
        <v>0</v>
      </c>
      <c r="BU54" s="286">
        <f ca="1">BU52+'SC-II'!BU54</f>
        <v>0</v>
      </c>
      <c r="BV54" s="286">
        <f ca="1">BV52+'SC-II'!BV54</f>
        <v>0</v>
      </c>
      <c r="BW54" s="286">
        <f ca="1">BW52+'SC-II'!BW54</f>
        <v>0</v>
      </c>
      <c r="BX54" s="286">
        <f ca="1">BX52+'SC-II'!BX54</f>
        <v>0</v>
      </c>
      <c r="BY54" s="286">
        <f ca="1">BY52+'SC-II'!BY54</f>
        <v>0</v>
      </c>
      <c r="BZ54" s="286">
        <f ca="1">BZ52+'SC-II'!BZ54</f>
        <v>0</v>
      </c>
      <c r="CA54" s="286">
        <f ca="1">CA52+'SC-II'!CA54</f>
        <v>107861885.00000048</v>
      </c>
      <c r="CB54" s="286">
        <f ca="1">CB52+'SC-II'!CB54</f>
        <v>107861885.00000048</v>
      </c>
      <c r="CC54" s="286">
        <f ca="1">CC52+'SC-II'!CC54</f>
        <v>0</v>
      </c>
      <c r="CD54" s="286">
        <f ca="1">CD52+'SC-II'!CD54</f>
        <v>0</v>
      </c>
      <c r="CE54" s="286">
        <f ca="1">CE52+'SC-II'!CE54</f>
        <v>0</v>
      </c>
      <c r="CF54" s="286">
        <f ca="1">CF52+'SC-II'!CF54</f>
        <v>0</v>
      </c>
      <c r="CG54" s="286">
        <f ca="1">CG52+'SC-II'!CG54</f>
        <v>0</v>
      </c>
      <c r="CH54" s="286">
        <f ca="1">CH52+'SC-II'!CH54</f>
        <v>0</v>
      </c>
      <c r="CI54" s="286">
        <f ca="1">CI52+'SC-II'!CI54</f>
        <v>0</v>
      </c>
      <c r="CJ54" s="286">
        <f ca="1">CJ52+'SC-II'!CJ54</f>
        <v>0</v>
      </c>
      <c r="CK54" s="286">
        <f ca="1">CK52+'SC-II'!CK54</f>
        <v>0</v>
      </c>
      <c r="CL54" s="286">
        <f ca="1">CL52+'SC-II'!CL54</f>
        <v>0</v>
      </c>
      <c r="CM54" s="286">
        <f ca="1">CM52+'SC-II'!CM54</f>
        <v>0</v>
      </c>
      <c r="CN54" s="286">
        <f ca="1">CN52+'SC-II'!CN54</f>
        <v>0</v>
      </c>
      <c r="CO54" s="286">
        <f ca="1">CO52+'SC-II'!CO54</f>
        <v>0</v>
      </c>
      <c r="CP54" s="286">
        <f ca="1">CP52+'SC-II'!CP54</f>
        <v>0</v>
      </c>
      <c r="CQ54" s="286">
        <f ca="1">CQ52+'SC-II'!CQ54</f>
        <v>0</v>
      </c>
      <c r="CR54" s="286">
        <f ca="1">CR52+'SC-II'!CR54</f>
        <v>0</v>
      </c>
      <c r="CS54" s="286">
        <f ca="1">CS52+'SC-II'!CS54</f>
        <v>0</v>
      </c>
      <c r="CT54" s="286">
        <f ca="1">CT52+'SC-II'!CT54</f>
        <v>0</v>
      </c>
      <c r="CU54" s="286">
        <f ca="1">CU52+'SC-II'!CU54</f>
        <v>0</v>
      </c>
      <c r="CV54" s="286">
        <f ca="1">CV52+'SC-II'!CV54</f>
        <v>0</v>
      </c>
      <c r="CW54" s="286">
        <f ca="1">CW52+'SC-II'!CW54</f>
        <v>0</v>
      </c>
      <c r="CX54" s="286">
        <f ca="1">CX52+'SC-II'!CX54</f>
        <v>0</v>
      </c>
      <c r="CY54" s="286">
        <f ca="1">CY52+'SC-II'!CY54</f>
        <v>0</v>
      </c>
      <c r="CZ54" s="286">
        <f ca="1">CZ52+'SC-II'!CZ54</f>
        <v>0</v>
      </c>
      <c r="DA54" s="286">
        <f ca="1">DA52+'SC-II'!DA54</f>
        <v>0</v>
      </c>
    </row>
    <row r="55" spans="1:105" ht="12" customHeight="1">
      <c r="B55" s="291"/>
      <c r="C55" s="292"/>
      <c r="D55" s="292"/>
      <c r="E55" s="292"/>
      <c r="F55" s="292"/>
      <c r="G55" s="293"/>
      <c r="H55" s="293"/>
      <c r="I55" s="292"/>
      <c r="J55" s="292"/>
      <c r="K55" s="292"/>
      <c r="AR55" s="291"/>
      <c r="AS55" s="291"/>
      <c r="AT55" s="292"/>
      <c r="AU55" s="292"/>
      <c r="AV55" s="292"/>
      <c r="AW55" s="293"/>
      <c r="AX55" s="293"/>
      <c r="AY55" s="293"/>
      <c r="AZ55" s="293"/>
      <c r="BA55" s="309"/>
    </row>
    <row r="56" spans="1:105">
      <c r="F56" s="255"/>
      <c r="M56" s="294"/>
      <c r="O56" s="294"/>
      <c r="Q56" s="294"/>
      <c r="R56" s="294"/>
      <c r="S56" s="294"/>
      <c r="T56" s="294"/>
      <c r="U56" s="294"/>
      <c r="V56" s="294"/>
      <c r="AL56" s="295" t="s">
        <v>231</v>
      </c>
      <c r="AM56" s="296"/>
      <c r="AN56" s="296"/>
      <c r="AO56" s="296"/>
      <c r="AP56" s="296"/>
      <c r="AQ56" s="296"/>
      <c r="AR56" s="297"/>
      <c r="AS56" s="297"/>
      <c r="AT56" s="296"/>
    </row>
    <row r="57" spans="1:105">
      <c r="F57" s="255"/>
      <c r="M57" s="294"/>
      <c r="O57" s="294"/>
      <c r="Q57" s="294"/>
      <c r="R57" s="294"/>
      <c r="S57" s="294"/>
      <c r="T57" s="294"/>
      <c r="U57" s="294"/>
      <c r="V57" s="294"/>
      <c r="AL57" s="298" t="s">
        <v>222</v>
      </c>
      <c r="AM57" s="296"/>
      <c r="AN57" s="296"/>
      <c r="AO57" s="296"/>
      <c r="AP57" s="296"/>
      <c r="AQ57" s="296"/>
      <c r="AR57" s="297"/>
      <c r="AS57" s="297"/>
      <c r="AT57" s="296"/>
    </row>
    <row r="58" spans="1:105">
      <c r="F58" s="255"/>
      <c r="M58" s="294"/>
      <c r="O58" s="294"/>
      <c r="Q58" s="294"/>
      <c r="R58" s="294"/>
      <c r="S58" s="294"/>
      <c r="T58" s="294"/>
      <c r="U58" s="294"/>
      <c r="V58" s="294"/>
      <c r="AL58" s="296"/>
      <c r="AM58" s="296"/>
      <c r="AN58" s="296"/>
      <c r="AO58" s="296"/>
      <c r="AP58" s="296"/>
      <c r="AQ58" s="296"/>
      <c r="AR58" s="296"/>
      <c r="AS58" s="296"/>
      <c r="AT58" s="297"/>
    </row>
    <row r="59" spans="1:105">
      <c r="F59" s="255"/>
      <c r="M59" s="294"/>
      <c r="O59" s="294"/>
      <c r="Q59" s="294"/>
      <c r="R59" s="294"/>
      <c r="S59" s="294"/>
      <c r="T59" s="294"/>
      <c r="U59" s="294"/>
      <c r="V59" s="294"/>
      <c r="AL59" s="296"/>
      <c r="AM59" s="296"/>
      <c r="AN59" s="296"/>
      <c r="AO59" s="296"/>
      <c r="AP59" s="296"/>
      <c r="AQ59" s="296"/>
      <c r="AR59" s="296"/>
      <c r="AS59" s="296"/>
      <c r="AT59" s="297"/>
      <c r="AZ59" s="299" t="str">
        <f>"Ngày 30 tháng 09 năm 2015 "</f>
        <v xml:space="preserve">Ngày 30 tháng 09 năm 2015 </v>
      </c>
    </row>
    <row r="60" spans="1:105">
      <c r="F60" s="255"/>
      <c r="M60" s="294"/>
      <c r="O60" s="294"/>
      <c r="Q60" s="294"/>
      <c r="R60" s="294"/>
      <c r="S60" s="294"/>
      <c r="T60" s="294"/>
      <c r="U60" s="294"/>
      <c r="V60" s="294"/>
      <c r="AL60" s="296"/>
      <c r="AM60" s="300" t="s">
        <v>11</v>
      </c>
      <c r="AN60" s="296"/>
      <c r="AO60" s="296"/>
      <c r="AP60" s="296"/>
      <c r="AQ60" s="296"/>
      <c r="AR60" s="296"/>
      <c r="AS60" s="301" t="s">
        <v>12</v>
      </c>
      <c r="AT60" s="297"/>
      <c r="AZ60" s="300" t="s">
        <v>131</v>
      </c>
    </row>
    <row r="61" spans="1:105">
      <c r="F61" s="255"/>
      <c r="M61" s="294"/>
      <c r="O61" s="294"/>
      <c r="Q61" s="294"/>
      <c r="R61" s="294"/>
      <c r="S61" s="294"/>
      <c r="T61" s="294"/>
      <c r="U61" s="294"/>
      <c r="V61" s="294"/>
      <c r="AL61" s="296"/>
      <c r="AM61" s="302" t="s">
        <v>13</v>
      </c>
      <c r="AN61" s="296"/>
      <c r="AO61" s="296"/>
      <c r="AP61" s="296"/>
      <c r="AQ61" s="296"/>
      <c r="AR61" s="296"/>
      <c r="AS61" s="303" t="s">
        <v>13</v>
      </c>
      <c r="AT61" s="297"/>
      <c r="AZ61" s="302" t="s">
        <v>161</v>
      </c>
    </row>
    <row r="62" spans="1:105">
      <c r="F62" s="255"/>
      <c r="M62" s="294"/>
      <c r="O62" s="294"/>
      <c r="Q62" s="294"/>
      <c r="R62" s="294"/>
      <c r="S62" s="294"/>
      <c r="T62" s="294"/>
      <c r="U62" s="294"/>
      <c r="V62" s="294"/>
      <c r="AL62" s="296"/>
      <c r="AM62" s="296"/>
      <c r="AN62" s="296"/>
      <c r="AO62" s="296"/>
      <c r="AP62" s="296"/>
      <c r="AQ62" s="296"/>
      <c r="AR62" s="296"/>
      <c r="AS62" s="296"/>
      <c r="AT62" s="297"/>
      <c r="AZ62" s="296"/>
    </row>
    <row r="63" spans="1:105">
      <c r="F63" s="255"/>
      <c r="M63" s="294"/>
      <c r="O63" s="294"/>
      <c r="Q63" s="294"/>
      <c r="R63" s="294"/>
      <c r="S63" s="294"/>
      <c r="T63" s="294"/>
      <c r="U63" s="294"/>
      <c r="V63" s="294"/>
      <c r="AZ63" s="296"/>
    </row>
    <row r="64" spans="1:105">
      <c r="F64" s="255"/>
      <c r="M64" s="294"/>
      <c r="O64" s="294"/>
      <c r="Q64" s="294"/>
      <c r="R64" s="294"/>
      <c r="S64" s="294"/>
      <c r="T64" s="294"/>
      <c r="U64" s="294"/>
      <c r="V64" s="294"/>
    </row>
    <row r="65" spans="6:22">
      <c r="F65" s="255"/>
      <c r="M65" s="294"/>
      <c r="O65" s="294"/>
      <c r="Q65" s="294"/>
      <c r="R65" s="294"/>
      <c r="S65" s="294"/>
      <c r="T65" s="294"/>
      <c r="U65" s="294"/>
      <c r="V65" s="294"/>
    </row>
    <row r="66" spans="6:22">
      <c r="F66" s="255"/>
      <c r="M66" s="294"/>
      <c r="O66" s="294"/>
      <c r="Q66" s="294"/>
      <c r="R66" s="294"/>
      <c r="S66" s="294"/>
      <c r="T66" s="294"/>
      <c r="U66" s="294"/>
      <c r="V66" s="294"/>
    </row>
    <row r="67" spans="6:22">
      <c r="F67" s="255"/>
      <c r="M67" s="294"/>
      <c r="O67" s="294"/>
      <c r="Q67" s="294"/>
      <c r="R67" s="294"/>
      <c r="S67" s="294"/>
      <c r="T67" s="294"/>
      <c r="U67" s="294"/>
      <c r="V67" s="294"/>
    </row>
    <row r="68" spans="6:22">
      <c r="F68" s="255"/>
      <c r="M68" s="294"/>
      <c r="O68" s="294"/>
      <c r="Q68" s="294"/>
      <c r="R68" s="294"/>
      <c r="S68" s="294"/>
      <c r="T68" s="294"/>
      <c r="U68" s="294"/>
      <c r="V68" s="294"/>
    </row>
    <row r="69" spans="6:22">
      <c r="F69" s="255"/>
      <c r="M69" s="294"/>
      <c r="O69" s="294"/>
      <c r="Q69" s="294"/>
      <c r="R69" s="294"/>
      <c r="S69" s="294"/>
      <c r="T69" s="294"/>
      <c r="U69" s="294"/>
      <c r="V69" s="294"/>
    </row>
    <row r="78" spans="6:22">
      <c r="R78" s="294"/>
    </row>
    <row r="79" spans="6:22">
      <c r="R79" s="294"/>
    </row>
    <row r="80" spans="6:22">
      <c r="M80" s="294"/>
      <c r="O80" s="294"/>
      <c r="P80" s="294"/>
      <c r="Q80" s="294"/>
      <c r="R80" s="294"/>
    </row>
    <row r="81" spans="13:18">
      <c r="M81" s="294"/>
      <c r="O81" s="294"/>
      <c r="P81" s="294"/>
      <c r="Q81" s="294"/>
      <c r="R81" s="294"/>
    </row>
    <row r="82" spans="13:18">
      <c r="M82" s="294"/>
      <c r="O82" s="294"/>
      <c r="P82" s="294"/>
      <c r="Q82" s="294"/>
    </row>
    <row r="83" spans="13:18">
      <c r="M83" s="294"/>
      <c r="O83" s="294"/>
      <c r="P83" s="294"/>
      <c r="Q83" s="294"/>
    </row>
    <row r="85" spans="13:18">
      <c r="M85" s="294"/>
      <c r="O85" s="294"/>
      <c r="P85" s="294"/>
      <c r="Q85" s="294"/>
      <c r="R85" s="294"/>
    </row>
    <row r="86" spans="13:18">
      <c r="M86" s="294"/>
      <c r="O86" s="294"/>
      <c r="P86" s="294"/>
      <c r="Q86" s="294"/>
      <c r="R86" s="294"/>
    </row>
    <row r="93" spans="13:18">
      <c r="M93" s="294"/>
      <c r="O93" s="294"/>
      <c r="P93" s="294"/>
      <c r="Q93" s="294"/>
      <c r="R93" s="294"/>
    </row>
    <row r="94" spans="13:18">
      <c r="M94" s="294"/>
      <c r="O94" s="294"/>
      <c r="P94" s="294"/>
      <c r="Q94" s="294"/>
      <c r="R94" s="294"/>
    </row>
    <row r="95" spans="13:18">
      <c r="M95" s="294"/>
      <c r="O95" s="294"/>
      <c r="P95" s="294"/>
      <c r="Q95" s="294"/>
      <c r="R95" s="294"/>
    </row>
    <row r="99" spans="13:18">
      <c r="M99" s="294"/>
      <c r="O99" s="294"/>
      <c r="P99" s="294"/>
      <c r="Q99" s="294"/>
      <c r="R99" s="294"/>
    </row>
    <row r="100" spans="13:18">
      <c r="M100" s="294"/>
      <c r="O100" s="294"/>
      <c r="P100" s="294"/>
      <c r="Q100" s="294"/>
      <c r="R100" s="294"/>
    </row>
    <row r="101" spans="13:18">
      <c r="M101" s="294"/>
      <c r="O101" s="294"/>
      <c r="P101" s="294"/>
      <c r="Q101" s="294"/>
      <c r="R101" s="294"/>
    </row>
    <row r="102" spans="13:18">
      <c r="M102" s="294"/>
      <c r="O102" s="294"/>
      <c r="P102" s="294"/>
      <c r="Q102" s="294"/>
      <c r="R102" s="294"/>
    </row>
    <row r="103" spans="13:18">
      <c r="M103" s="294"/>
      <c r="O103" s="294"/>
      <c r="P103" s="294"/>
      <c r="Q103" s="294"/>
      <c r="R103" s="294"/>
    </row>
    <row r="104" spans="13:18">
      <c r="M104" s="294"/>
      <c r="O104" s="294"/>
      <c r="P104" s="294"/>
      <c r="Q104" s="294"/>
      <c r="R104" s="294"/>
    </row>
    <row r="105" spans="13:18">
      <c r="M105" s="294"/>
      <c r="O105" s="294"/>
      <c r="P105" s="294"/>
      <c r="Q105" s="294"/>
      <c r="R105" s="294"/>
    </row>
    <row r="106" spans="13:18">
      <c r="M106" s="294"/>
      <c r="O106" s="294"/>
      <c r="P106" s="294"/>
      <c r="Q106" s="294"/>
      <c r="R106" s="294"/>
    </row>
    <row r="107" spans="13:18">
      <c r="M107" s="294"/>
      <c r="O107" s="294"/>
      <c r="P107" s="294"/>
      <c r="Q107" s="294"/>
      <c r="R107" s="294"/>
    </row>
    <row r="108" spans="13:18">
      <c r="M108" s="294"/>
      <c r="O108" s="294"/>
      <c r="P108" s="294"/>
      <c r="Q108" s="294"/>
      <c r="R108" s="294"/>
    </row>
    <row r="109" spans="13:18">
      <c r="M109" s="294"/>
      <c r="O109" s="294"/>
      <c r="P109" s="294"/>
      <c r="Q109" s="294"/>
      <c r="R109" s="294"/>
    </row>
    <row r="110" spans="13:18">
      <c r="M110" s="294"/>
      <c r="O110" s="294"/>
      <c r="P110" s="294"/>
      <c r="Q110" s="294"/>
      <c r="R110" s="294"/>
    </row>
    <row r="111" spans="13:18">
      <c r="M111" s="294"/>
      <c r="O111" s="294"/>
      <c r="P111" s="294"/>
      <c r="Q111" s="294"/>
      <c r="R111" s="294"/>
    </row>
    <row r="112" spans="13:18">
      <c r="M112" s="294"/>
      <c r="O112" s="294"/>
      <c r="P112" s="294"/>
      <c r="Q112" s="294"/>
      <c r="R112" s="294"/>
    </row>
    <row r="113" spans="13:18">
      <c r="M113" s="294"/>
      <c r="O113" s="294"/>
      <c r="P113" s="294"/>
      <c r="Q113" s="294"/>
      <c r="R113" s="294"/>
    </row>
    <row r="114" spans="13:18">
      <c r="M114" s="294"/>
      <c r="O114" s="294"/>
      <c r="P114" s="294"/>
      <c r="Q114" s="294"/>
      <c r="R114" s="294"/>
    </row>
    <row r="115" spans="13:18">
      <c r="M115" s="294"/>
      <c r="O115" s="294"/>
      <c r="P115" s="294"/>
      <c r="Q115" s="294"/>
      <c r="R115" s="294"/>
    </row>
    <row r="116" spans="13:18">
      <c r="M116" s="294"/>
      <c r="O116" s="294"/>
      <c r="P116" s="294"/>
      <c r="Q116" s="294"/>
      <c r="R116" s="294"/>
    </row>
    <row r="117" spans="13:18">
      <c r="M117" s="294"/>
      <c r="O117" s="294"/>
      <c r="P117" s="294"/>
      <c r="Q117" s="294"/>
      <c r="R117" s="294"/>
    </row>
    <row r="118" spans="13:18">
      <c r="M118" s="294"/>
      <c r="O118" s="294"/>
      <c r="P118" s="294"/>
      <c r="Q118" s="294"/>
      <c r="R118" s="294"/>
    </row>
    <row r="119" spans="13:18">
      <c r="M119" s="294"/>
      <c r="O119" s="294"/>
      <c r="P119" s="294"/>
      <c r="Q119" s="294"/>
      <c r="R119" s="294"/>
    </row>
    <row r="120" spans="13:18">
      <c r="M120" s="294"/>
      <c r="O120" s="294"/>
      <c r="P120" s="294"/>
      <c r="Q120" s="294"/>
      <c r="R120" s="294"/>
    </row>
    <row r="121" spans="13:18">
      <c r="M121" s="294"/>
      <c r="O121" s="294"/>
      <c r="P121" s="294"/>
      <c r="Q121" s="294"/>
      <c r="R121" s="294"/>
    </row>
    <row r="122" spans="13:18">
      <c r="M122" s="294"/>
      <c r="O122" s="294"/>
      <c r="P122" s="294"/>
      <c r="Q122" s="294"/>
      <c r="R122" s="294"/>
    </row>
    <row r="123" spans="13:18">
      <c r="M123" s="294"/>
      <c r="O123" s="294"/>
      <c r="P123" s="294"/>
      <c r="Q123" s="294"/>
      <c r="R123" s="294"/>
    </row>
    <row r="124" spans="13:18">
      <c r="M124" s="294"/>
      <c r="O124" s="294"/>
      <c r="P124" s="294"/>
      <c r="Q124" s="294"/>
      <c r="R124" s="294"/>
    </row>
    <row r="125" spans="13:18">
      <c r="M125" s="294"/>
      <c r="O125" s="294"/>
      <c r="P125" s="294"/>
      <c r="Q125" s="294"/>
      <c r="R125" s="294"/>
    </row>
    <row r="126" spans="13:18">
      <c r="M126" s="294"/>
      <c r="O126" s="294"/>
      <c r="P126" s="294"/>
      <c r="Q126" s="294"/>
      <c r="R126" s="294"/>
    </row>
    <row r="127" spans="13:18">
      <c r="M127" s="294"/>
      <c r="O127" s="294"/>
      <c r="P127" s="294"/>
      <c r="Q127" s="294"/>
      <c r="R127" s="294"/>
    </row>
    <row r="128" spans="13:18">
      <c r="M128" s="294"/>
      <c r="O128" s="294"/>
      <c r="P128" s="294"/>
      <c r="Q128" s="294"/>
      <c r="R128" s="294"/>
    </row>
    <row r="129" spans="13:18">
      <c r="M129" s="294"/>
      <c r="O129" s="294"/>
      <c r="P129" s="294"/>
      <c r="Q129" s="294"/>
      <c r="R129" s="294"/>
    </row>
    <row r="130" spans="13:18">
      <c r="M130" s="294"/>
      <c r="O130" s="294"/>
      <c r="P130" s="294"/>
      <c r="Q130" s="294"/>
      <c r="R130" s="294"/>
    </row>
    <row r="131" spans="13:18">
      <c r="M131" s="294"/>
      <c r="O131" s="294"/>
      <c r="P131" s="294"/>
      <c r="Q131" s="294"/>
      <c r="R131" s="294"/>
    </row>
    <row r="132" spans="13:18">
      <c r="M132" s="294"/>
      <c r="O132" s="294"/>
      <c r="P132" s="294"/>
      <c r="Q132" s="294"/>
      <c r="R132" s="294"/>
    </row>
    <row r="133" spans="13:18">
      <c r="M133" s="294"/>
      <c r="O133" s="294"/>
      <c r="P133" s="294"/>
      <c r="Q133" s="294"/>
      <c r="R133" s="294"/>
    </row>
    <row r="134" spans="13:18">
      <c r="M134" s="294"/>
      <c r="O134" s="294"/>
      <c r="P134" s="294"/>
      <c r="Q134" s="294"/>
      <c r="R134" s="294"/>
    </row>
    <row r="135" spans="13:18">
      <c r="M135" s="294"/>
      <c r="O135" s="294"/>
      <c r="P135" s="294"/>
      <c r="Q135" s="294"/>
      <c r="R135" s="294"/>
    </row>
    <row r="136" spans="13:18">
      <c r="M136" s="294"/>
      <c r="O136" s="294"/>
      <c r="P136" s="294"/>
      <c r="Q136" s="294"/>
      <c r="R136" s="294"/>
    </row>
    <row r="137" spans="13:18">
      <c r="M137" s="294"/>
      <c r="O137" s="294"/>
      <c r="P137" s="294"/>
      <c r="Q137" s="294"/>
      <c r="R137" s="294"/>
    </row>
    <row r="138" spans="13:18">
      <c r="M138" s="294"/>
      <c r="O138" s="294"/>
      <c r="P138" s="294"/>
      <c r="Q138" s="294"/>
      <c r="R138" s="294"/>
    </row>
    <row r="139" spans="13:18">
      <c r="M139" s="294"/>
      <c r="O139" s="294"/>
      <c r="P139" s="294"/>
      <c r="Q139" s="294"/>
      <c r="R139" s="294"/>
    </row>
    <row r="140" spans="13:18">
      <c r="M140" s="294"/>
      <c r="O140" s="294"/>
      <c r="P140" s="294"/>
      <c r="Q140" s="294"/>
      <c r="R140" s="294"/>
    </row>
    <row r="141" spans="13:18">
      <c r="M141" s="294"/>
      <c r="O141" s="294"/>
      <c r="P141" s="294"/>
      <c r="Q141" s="294"/>
      <c r="R141" s="294"/>
    </row>
    <row r="142" spans="13:18">
      <c r="M142" s="294"/>
      <c r="O142" s="294"/>
      <c r="P142" s="294"/>
      <c r="Q142" s="294"/>
      <c r="R142" s="294"/>
    </row>
    <row r="143" spans="13:18">
      <c r="M143" s="294"/>
      <c r="O143" s="294"/>
      <c r="P143" s="294"/>
      <c r="Q143" s="294"/>
      <c r="R143" s="294"/>
    </row>
    <row r="144" spans="13:18">
      <c r="M144" s="294"/>
      <c r="O144" s="294"/>
      <c r="P144" s="294"/>
      <c r="Q144" s="294"/>
      <c r="R144" s="294"/>
    </row>
    <row r="145" spans="13:18">
      <c r="M145" s="294"/>
      <c r="O145" s="294"/>
      <c r="P145" s="294"/>
      <c r="Q145" s="294"/>
      <c r="R145" s="294"/>
    </row>
    <row r="146" spans="13:18">
      <c r="M146" s="294"/>
      <c r="O146" s="294"/>
      <c r="P146" s="294"/>
      <c r="Q146" s="294"/>
      <c r="R146" s="294"/>
    </row>
    <row r="147" spans="13:18">
      <c r="M147" s="294"/>
      <c r="O147" s="294"/>
      <c r="P147" s="294"/>
      <c r="Q147" s="294"/>
      <c r="R147" s="294"/>
    </row>
    <row r="148" spans="13:18">
      <c r="M148" s="294"/>
      <c r="O148" s="294"/>
      <c r="P148" s="294"/>
      <c r="Q148" s="294"/>
      <c r="R148" s="294"/>
    </row>
    <row r="149" spans="13:18">
      <c r="M149" s="294"/>
      <c r="O149" s="294"/>
      <c r="P149" s="294"/>
      <c r="Q149" s="294"/>
      <c r="R149" s="294"/>
    </row>
    <row r="150" spans="13:18">
      <c r="M150" s="294"/>
      <c r="O150" s="294"/>
      <c r="P150" s="294"/>
      <c r="Q150" s="294"/>
      <c r="R150" s="294"/>
    </row>
    <row r="151" spans="13:18">
      <c r="M151" s="294"/>
      <c r="O151" s="294"/>
      <c r="P151" s="294"/>
      <c r="Q151" s="294"/>
      <c r="R151" s="294"/>
    </row>
    <row r="152" spans="13:18">
      <c r="M152" s="294"/>
      <c r="O152" s="294"/>
      <c r="P152" s="294"/>
      <c r="Q152" s="294"/>
      <c r="R152" s="294"/>
    </row>
    <row r="153" spans="13:18">
      <c r="M153" s="294"/>
      <c r="O153" s="294"/>
      <c r="P153" s="294"/>
      <c r="Q153" s="294"/>
      <c r="R153" s="294"/>
    </row>
    <row r="154" spans="13:18">
      <c r="M154" s="294"/>
      <c r="O154" s="294"/>
      <c r="P154" s="294"/>
      <c r="Q154" s="294"/>
      <c r="R154" s="294"/>
    </row>
    <row r="155" spans="13:18">
      <c r="M155" s="294"/>
      <c r="O155" s="294"/>
      <c r="P155" s="294"/>
      <c r="Q155" s="294"/>
      <c r="R155" s="294"/>
    </row>
    <row r="156" spans="13:18">
      <c r="M156" s="294"/>
      <c r="O156" s="294"/>
      <c r="P156" s="294"/>
      <c r="Q156" s="294"/>
      <c r="R156" s="294"/>
    </row>
    <row r="157" spans="13:18">
      <c r="M157" s="294"/>
      <c r="O157" s="294"/>
      <c r="P157" s="294"/>
      <c r="Q157" s="294"/>
      <c r="R157" s="294"/>
    </row>
    <row r="158" spans="13:18">
      <c r="M158" s="294"/>
      <c r="O158" s="294"/>
      <c r="P158" s="294"/>
      <c r="Q158" s="294"/>
      <c r="R158" s="294"/>
    </row>
    <row r="159" spans="13:18">
      <c r="M159" s="294"/>
      <c r="O159" s="294"/>
      <c r="P159" s="294"/>
      <c r="Q159" s="294"/>
      <c r="R159" s="294"/>
    </row>
    <row r="160" spans="13:18">
      <c r="M160" s="294"/>
      <c r="O160" s="294"/>
      <c r="P160" s="294"/>
      <c r="Q160" s="294"/>
      <c r="R160" s="294"/>
    </row>
    <row r="161" spans="13:18">
      <c r="M161" s="294"/>
      <c r="O161" s="294"/>
      <c r="P161" s="294"/>
      <c r="Q161" s="294"/>
      <c r="R161" s="294"/>
    </row>
    <row r="162" spans="13:18">
      <c r="M162" s="294"/>
      <c r="O162" s="294"/>
      <c r="P162" s="294"/>
      <c r="Q162" s="294"/>
      <c r="R162" s="294"/>
    </row>
    <row r="163" spans="13:18">
      <c r="M163" s="294"/>
      <c r="O163" s="294"/>
      <c r="P163" s="294"/>
      <c r="Q163" s="294"/>
      <c r="R163" s="294"/>
    </row>
    <row r="164" spans="13:18">
      <c r="M164" s="294"/>
      <c r="O164" s="294"/>
      <c r="P164" s="294"/>
      <c r="Q164" s="294"/>
      <c r="R164" s="294"/>
    </row>
    <row r="165" spans="13:18">
      <c r="M165" s="294"/>
      <c r="O165" s="294"/>
      <c r="P165" s="294"/>
      <c r="Q165" s="294"/>
      <c r="R165" s="294"/>
    </row>
    <row r="166" spans="13:18">
      <c r="M166" s="294"/>
      <c r="O166" s="294"/>
      <c r="P166" s="294"/>
      <c r="Q166" s="294"/>
      <c r="R166" s="294"/>
    </row>
    <row r="167" spans="13:18">
      <c r="M167" s="294"/>
      <c r="O167" s="294"/>
      <c r="P167" s="294"/>
      <c r="Q167" s="294"/>
      <c r="R167" s="294"/>
    </row>
    <row r="168" spans="13:18">
      <c r="M168" s="294"/>
      <c r="O168" s="294"/>
      <c r="P168" s="294"/>
      <c r="Q168" s="294"/>
      <c r="R168" s="294"/>
    </row>
    <row r="169" spans="13:18">
      <c r="M169" s="294"/>
      <c r="O169" s="294"/>
      <c r="P169" s="294"/>
      <c r="Q169" s="294"/>
      <c r="R169" s="294"/>
    </row>
    <row r="170" spans="13:18">
      <c r="M170" s="294"/>
      <c r="O170" s="294"/>
      <c r="P170" s="294"/>
      <c r="Q170" s="294"/>
      <c r="R170" s="294"/>
    </row>
    <row r="171" spans="13:18">
      <c r="M171" s="294"/>
      <c r="O171" s="294"/>
      <c r="P171" s="294"/>
      <c r="Q171" s="294"/>
      <c r="R171" s="294"/>
    </row>
    <row r="172" spans="13:18">
      <c r="M172" s="294"/>
      <c r="O172" s="294"/>
      <c r="P172" s="294"/>
      <c r="Q172" s="294"/>
      <c r="R172" s="294"/>
    </row>
    <row r="173" spans="13:18">
      <c r="M173" s="294"/>
      <c r="O173" s="294"/>
      <c r="P173" s="294"/>
      <c r="Q173" s="294"/>
      <c r="R173" s="294"/>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5" customWidth="1"/>
    <col min="2" max="2" width="8.42578125" style="255" customWidth="1"/>
    <col min="3" max="3" width="7.85546875" style="255" customWidth="1"/>
    <col min="4" max="4" width="8.7109375" style="255" customWidth="1"/>
    <col min="5" max="5" width="44" style="255" customWidth="1"/>
    <col min="6" max="6" width="13.5703125" style="255" customWidth="1"/>
    <col min="7" max="8" width="5.85546875" style="256" customWidth="1"/>
    <col min="9" max="9" width="4.85546875" style="255" customWidth="1"/>
    <col min="10" max="10" width="13.140625" style="255" customWidth="1"/>
    <col min="11" max="11" width="13.28515625" style="255" customWidth="1"/>
    <col min="12" max="12" width="13.7109375" style="255" customWidth="1"/>
    <col min="13" max="13" width="14" style="255" customWidth="1"/>
    <col min="14" max="14" width="13.7109375" style="255" customWidth="1"/>
    <col min="15" max="15" width="14" style="255" customWidth="1"/>
    <col min="16" max="16" width="12.7109375" style="255" customWidth="1"/>
    <col min="17" max="17" width="14.5703125" style="255" customWidth="1"/>
    <col min="18" max="18" width="13.28515625" style="255" customWidth="1"/>
    <col min="19" max="19" width="13" style="255" customWidth="1"/>
    <col min="20" max="20" width="14" style="255" customWidth="1"/>
    <col min="21" max="21" width="5" style="255" customWidth="1"/>
    <col min="22" max="22" width="13.7109375" style="255" customWidth="1"/>
    <col min="23" max="23" width="13.42578125" style="255" customWidth="1"/>
    <col min="24" max="24" width="6.140625" style="255" customWidth="1"/>
    <col min="25" max="25" width="7.140625" style="255" customWidth="1"/>
    <col min="26" max="27" width="9.42578125" style="255" customWidth="1"/>
    <col min="28" max="28" width="11.140625" style="255" customWidth="1"/>
    <col min="29" max="29" width="13" style="255" customWidth="1"/>
    <col min="30" max="30" width="4.5703125" style="255" customWidth="1"/>
    <col min="31" max="31" width="13.5703125" style="255" customWidth="1"/>
    <col min="32" max="32" width="4.5703125" style="255" customWidth="1"/>
    <col min="33" max="33" width="13.5703125" style="255" customWidth="1"/>
    <col min="34" max="34" width="4.42578125" style="255" customWidth="1"/>
    <col min="35" max="35" width="12.7109375" style="255" customWidth="1"/>
    <col min="36" max="36" width="11.140625" style="255" customWidth="1"/>
    <col min="37" max="37" width="4.7109375" style="255" customWidth="1"/>
    <col min="38" max="38" width="12.28515625" style="255" customWidth="1"/>
    <col min="39" max="39" width="11.42578125" style="255" customWidth="1"/>
    <col min="40" max="40" width="11.28515625" style="255" customWidth="1"/>
    <col min="41" max="41" width="11.140625" style="255" customWidth="1"/>
    <col min="42" max="43" width="12.5703125" style="255" customWidth="1"/>
    <col min="44" max="44" width="13.42578125" style="255" customWidth="1"/>
    <col min="45" max="45" width="12.7109375" style="255" customWidth="1"/>
    <col min="46" max="46" width="11.85546875" style="255" customWidth="1"/>
    <col min="47" max="47" width="11.5703125" style="255" customWidth="1"/>
    <col min="48" max="48" width="7.5703125" style="255" customWidth="1"/>
    <col min="49" max="49" width="8.140625" style="255" customWidth="1"/>
    <col min="50" max="50" width="7.5703125" style="255" customWidth="1"/>
    <col min="51" max="51" width="7.42578125" style="255" customWidth="1"/>
    <col min="52" max="53" width="13.140625" style="255" customWidth="1"/>
    <col min="54" max="16384" width="9.140625" style="255"/>
  </cols>
  <sheetData>
    <row r="1" spans="1:105" ht="12.75" customHeight="1">
      <c r="A1" s="251"/>
      <c r="B1" s="252" t="s">
        <v>121</v>
      </c>
      <c r="C1" s="253"/>
      <c r="D1" s="253"/>
      <c r="E1" s="254"/>
      <c r="I1" s="253"/>
      <c r="L1" s="1256" t="s">
        <v>190</v>
      </c>
      <c r="M1" s="1256"/>
      <c r="N1" s="1256"/>
      <c r="O1" s="1256"/>
      <c r="P1" s="1256"/>
      <c r="Q1" s="1256"/>
      <c r="R1" s="354"/>
      <c r="T1" s="253"/>
      <c r="U1" s="253"/>
      <c r="V1" s="253"/>
      <c r="W1" s="253"/>
      <c r="X1" s="253"/>
      <c r="Y1" s="253"/>
      <c r="Z1" s="253"/>
      <c r="AA1" s="253"/>
      <c r="AB1" s="253"/>
      <c r="AC1" s="253"/>
      <c r="AD1" s="253"/>
      <c r="AE1" s="253"/>
      <c r="AF1" s="425"/>
      <c r="AG1" s="425"/>
      <c r="AH1" s="253"/>
      <c r="AI1" s="253"/>
      <c r="AJ1" s="253"/>
      <c r="AK1" s="253"/>
      <c r="AL1" s="253"/>
      <c r="AM1" s="253"/>
      <c r="AN1" s="253"/>
      <c r="AO1" s="253"/>
      <c r="AP1" s="253"/>
      <c r="AQ1" s="253"/>
      <c r="AR1" s="253"/>
      <c r="AS1" s="253"/>
      <c r="AT1" s="253"/>
      <c r="AU1" s="253"/>
      <c r="AV1" s="253"/>
      <c r="AW1" s="253"/>
      <c r="AX1" s="253"/>
      <c r="AY1" s="253"/>
      <c r="AZ1" s="253"/>
      <c r="BA1" s="253"/>
    </row>
    <row r="2" spans="1:105" ht="12.75" customHeight="1">
      <c r="A2" s="251"/>
      <c r="B2" s="252" t="s">
        <v>179</v>
      </c>
      <c r="C2" s="253"/>
      <c r="D2" s="253"/>
      <c r="E2" s="253"/>
      <c r="I2" s="257"/>
      <c r="L2" s="1257" t="s">
        <v>144</v>
      </c>
      <c r="M2" s="1257"/>
      <c r="N2" s="1257"/>
      <c r="O2" s="1257"/>
      <c r="P2" s="1257"/>
      <c r="Q2" s="1257"/>
      <c r="R2" s="355"/>
      <c r="T2" s="257"/>
      <c r="U2" s="257"/>
      <c r="V2" s="257"/>
      <c r="W2" s="257"/>
      <c r="X2" s="257"/>
      <c r="Y2" s="257"/>
      <c r="Z2" s="257"/>
      <c r="AA2" s="257"/>
      <c r="AB2" s="257"/>
      <c r="AC2" s="257"/>
      <c r="AD2" s="257"/>
      <c r="AE2" s="257"/>
      <c r="AF2" s="426"/>
      <c r="AG2" s="426"/>
      <c r="AH2" s="257"/>
      <c r="AI2" s="257"/>
      <c r="AJ2" s="257"/>
      <c r="AK2" s="257"/>
      <c r="AL2" s="257"/>
      <c r="AM2" s="257"/>
      <c r="AN2" s="257"/>
      <c r="AO2" s="257"/>
      <c r="AP2" s="257"/>
      <c r="AQ2" s="257"/>
      <c r="AR2" s="257"/>
      <c r="AS2" s="257"/>
      <c r="AT2" s="257"/>
      <c r="AU2" s="257"/>
      <c r="AV2" s="257"/>
      <c r="AW2" s="257"/>
      <c r="AX2" s="257"/>
      <c r="AY2" s="257"/>
      <c r="AZ2" s="257"/>
      <c r="BA2" s="257"/>
    </row>
    <row r="3" spans="1:105" ht="10.5" customHeight="1">
      <c r="A3" s="253"/>
      <c r="B3" s="253"/>
      <c r="C3" s="253"/>
      <c r="D3" s="253"/>
      <c r="E3" s="253"/>
      <c r="F3" s="257"/>
      <c r="G3" s="259"/>
      <c r="H3" s="259"/>
      <c r="I3" s="257"/>
      <c r="L3" s="1257"/>
      <c r="M3" s="1257"/>
      <c r="N3" s="1257"/>
      <c r="O3" s="1257"/>
      <c r="P3" s="1257"/>
      <c r="Q3" s="1257"/>
      <c r="R3" s="355"/>
      <c r="T3" s="257"/>
      <c r="U3" s="257"/>
      <c r="V3" s="257"/>
      <c r="W3" s="257"/>
      <c r="X3" s="257"/>
      <c r="Y3" s="257"/>
      <c r="Z3" s="257"/>
      <c r="AA3" s="257"/>
      <c r="AB3" s="257"/>
      <c r="AC3" s="257"/>
      <c r="AD3" s="257"/>
      <c r="AE3" s="257"/>
      <c r="AF3" s="426"/>
      <c r="AG3" s="426"/>
      <c r="AH3" s="257"/>
      <c r="AI3" s="257"/>
      <c r="AJ3" s="257"/>
      <c r="AK3" s="257"/>
      <c r="AL3" s="257"/>
      <c r="AM3" s="257"/>
      <c r="AN3" s="257"/>
      <c r="AO3" s="257"/>
      <c r="AP3" s="257"/>
      <c r="AQ3" s="257"/>
      <c r="AR3" s="257"/>
      <c r="AS3" s="257"/>
      <c r="AT3" s="257"/>
      <c r="AU3" s="257"/>
      <c r="AV3" s="257"/>
      <c r="AW3" s="257"/>
      <c r="AX3" s="257"/>
      <c r="AY3" s="257"/>
      <c r="AZ3" s="257"/>
      <c r="BA3" s="257"/>
    </row>
    <row r="4" spans="1:105" ht="19.5" customHeight="1">
      <c r="B4" s="1258" t="s">
        <v>112</v>
      </c>
      <c r="C4" s="1258"/>
      <c r="D4" s="1258"/>
      <c r="E4" s="1258"/>
      <c r="F4" s="1258"/>
      <c r="G4" s="1258"/>
      <c r="H4" s="1258"/>
      <c r="I4" s="1258"/>
      <c r="J4" s="1258"/>
      <c r="K4" s="1258"/>
      <c r="L4" s="1258"/>
      <c r="M4" s="1258"/>
      <c r="N4" s="1258"/>
      <c r="O4" s="1258"/>
      <c r="P4" s="1258"/>
      <c r="Q4" s="1258"/>
      <c r="R4" s="1258"/>
      <c r="S4" s="260"/>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row>
    <row r="5" spans="1:105" ht="15">
      <c r="B5" s="1259" t="s">
        <v>223</v>
      </c>
      <c r="C5" s="1259"/>
      <c r="D5" s="1259"/>
      <c r="E5" s="1259"/>
      <c r="F5" s="1259"/>
      <c r="G5" s="1259"/>
      <c r="H5" s="1259"/>
      <c r="I5" s="1259"/>
      <c r="J5" s="1259"/>
      <c r="K5" s="1259"/>
      <c r="L5" s="1259"/>
      <c r="M5" s="1259"/>
      <c r="N5" s="1259"/>
      <c r="O5" s="1259"/>
      <c r="P5" s="1259"/>
      <c r="Q5" s="1259"/>
      <c r="R5" s="1259"/>
      <c r="S5" s="263"/>
    </row>
    <row r="7" spans="1:105" ht="13.5" customHeight="1">
      <c r="A7" s="1260" t="s">
        <v>37</v>
      </c>
      <c r="B7" s="1254" t="s">
        <v>22</v>
      </c>
      <c r="C7" s="1262" t="s">
        <v>1</v>
      </c>
      <c r="D7" s="1263"/>
      <c r="E7" s="1254" t="s">
        <v>0</v>
      </c>
      <c r="F7" s="1254" t="s">
        <v>113</v>
      </c>
      <c r="G7" s="1264" t="s">
        <v>114</v>
      </c>
      <c r="H7" s="1264"/>
      <c r="I7" s="1255" t="s">
        <v>37</v>
      </c>
      <c r="J7" s="1254" t="s">
        <v>192</v>
      </c>
      <c r="K7" s="1254"/>
      <c r="L7" s="1254" t="s">
        <v>193</v>
      </c>
      <c r="M7" s="1254"/>
      <c r="N7" s="1254" t="s">
        <v>268</v>
      </c>
      <c r="O7" s="1254"/>
      <c r="P7" s="1254" t="s">
        <v>970</v>
      </c>
      <c r="Q7" s="1254"/>
      <c r="R7" s="1254" t="s">
        <v>194</v>
      </c>
      <c r="S7" s="1254"/>
      <c r="T7" s="1254" t="s">
        <v>195</v>
      </c>
      <c r="U7" s="1254"/>
      <c r="V7" s="1254" t="s">
        <v>971</v>
      </c>
      <c r="W7" s="1254"/>
      <c r="X7" s="1254" t="s">
        <v>972</v>
      </c>
      <c r="Y7" s="1254"/>
      <c r="Z7" s="1254" t="s">
        <v>973</v>
      </c>
      <c r="AA7" s="1254"/>
      <c r="AB7" s="1254" t="s">
        <v>974</v>
      </c>
      <c r="AC7" s="1254"/>
      <c r="AD7" s="1254" t="s">
        <v>975</v>
      </c>
      <c r="AE7" s="1254"/>
      <c r="AF7" s="1254" t="s">
        <v>976</v>
      </c>
      <c r="AG7" s="1254"/>
      <c r="AH7" s="1254" t="s">
        <v>977</v>
      </c>
      <c r="AI7" s="1254"/>
      <c r="AJ7" s="1254" t="s">
        <v>978</v>
      </c>
      <c r="AK7" s="1254"/>
      <c r="AL7" s="1254" t="s">
        <v>979</v>
      </c>
      <c r="AM7" s="1254"/>
      <c r="AN7" s="1254" t="s">
        <v>980</v>
      </c>
      <c r="AO7" s="1254"/>
      <c r="AP7" s="1254" t="s">
        <v>981</v>
      </c>
      <c r="AQ7" s="1254"/>
      <c r="AR7" s="1254" t="s">
        <v>982</v>
      </c>
      <c r="AS7" s="1254"/>
      <c r="AT7" s="1254" t="s">
        <v>196</v>
      </c>
      <c r="AU7" s="1254"/>
      <c r="AV7" s="1254" t="s">
        <v>197</v>
      </c>
      <c r="AW7" s="1254"/>
      <c r="AX7" s="1254" t="s">
        <v>983</v>
      </c>
      <c r="AY7" s="1254"/>
      <c r="AZ7" s="1254" t="s">
        <v>984</v>
      </c>
      <c r="BA7" s="1254"/>
      <c r="BB7" s="1254" t="s">
        <v>985</v>
      </c>
      <c r="BC7" s="1254"/>
      <c r="BD7" s="1254" t="s">
        <v>198</v>
      </c>
      <c r="BE7" s="1254"/>
      <c r="BF7" s="1254" t="s">
        <v>986</v>
      </c>
      <c r="BG7" s="1254"/>
      <c r="BH7" s="1254" t="s">
        <v>199</v>
      </c>
      <c r="BI7" s="1254"/>
      <c r="BJ7" s="1254" t="s">
        <v>987</v>
      </c>
      <c r="BK7" s="1254"/>
      <c r="BL7" s="1254" t="s">
        <v>988</v>
      </c>
      <c r="BM7" s="1254"/>
      <c r="BN7" s="1254" t="s">
        <v>989</v>
      </c>
      <c r="BO7" s="1254"/>
      <c r="BP7" s="1254" t="s">
        <v>990</v>
      </c>
      <c r="BQ7" s="1254"/>
      <c r="BR7" s="1254" t="s">
        <v>200</v>
      </c>
      <c r="BS7" s="1254"/>
      <c r="BT7" s="1254" t="s">
        <v>201</v>
      </c>
      <c r="BU7" s="1254"/>
      <c r="BV7" s="1254" t="s">
        <v>263</v>
      </c>
      <c r="BW7" s="1254"/>
      <c r="BX7" s="1254" t="s">
        <v>202</v>
      </c>
      <c r="BY7" s="1254"/>
      <c r="BZ7" s="1254" t="s">
        <v>203</v>
      </c>
      <c r="CA7" s="1254"/>
      <c r="CB7" s="1254" t="s">
        <v>204</v>
      </c>
      <c r="CC7" s="1254"/>
      <c r="CD7" s="1254" t="s">
        <v>991</v>
      </c>
      <c r="CE7" s="1254"/>
      <c r="CF7" s="1254" t="s">
        <v>992</v>
      </c>
      <c r="CG7" s="1254"/>
      <c r="CH7" s="1254" t="s">
        <v>205</v>
      </c>
      <c r="CI7" s="1254"/>
      <c r="CJ7" s="1254" t="s">
        <v>993</v>
      </c>
      <c r="CK7" s="1254"/>
      <c r="CL7" s="1254" t="s">
        <v>994</v>
      </c>
      <c r="CM7" s="1254"/>
      <c r="CN7" s="1254" t="s">
        <v>206</v>
      </c>
      <c r="CO7" s="1254"/>
      <c r="CP7" s="1254" t="s">
        <v>995</v>
      </c>
      <c r="CQ7" s="1254"/>
      <c r="CR7" s="1254" t="s">
        <v>207</v>
      </c>
      <c r="CS7" s="1254"/>
      <c r="CT7" s="1254" t="s">
        <v>208</v>
      </c>
      <c r="CU7" s="1254"/>
      <c r="CV7" s="1254" t="s">
        <v>209</v>
      </c>
      <c r="CW7" s="1254"/>
      <c r="CX7" s="1254" t="s">
        <v>210</v>
      </c>
      <c r="CY7" s="1254"/>
      <c r="CZ7" s="1254" t="s">
        <v>211</v>
      </c>
      <c r="DA7" s="1254"/>
    </row>
    <row r="8" spans="1:105" ht="22.5" customHeight="1">
      <c r="A8" s="1261"/>
      <c r="B8" s="1254"/>
      <c r="C8" s="990" t="s">
        <v>17</v>
      </c>
      <c r="D8" s="989" t="s">
        <v>34</v>
      </c>
      <c r="E8" s="1254"/>
      <c r="F8" s="1254"/>
      <c r="G8" s="991" t="s">
        <v>24</v>
      </c>
      <c r="H8" s="991" t="s">
        <v>25</v>
      </c>
      <c r="I8" s="1255"/>
      <c r="J8" s="989" t="s">
        <v>24</v>
      </c>
      <c r="K8" s="989" t="s">
        <v>25</v>
      </c>
      <c r="L8" s="989" t="s">
        <v>24</v>
      </c>
      <c r="M8" s="989" t="s">
        <v>25</v>
      </c>
      <c r="N8" s="989" t="s">
        <v>24</v>
      </c>
      <c r="O8" s="989" t="s">
        <v>25</v>
      </c>
      <c r="P8" s="989" t="s">
        <v>24</v>
      </c>
      <c r="Q8" s="989" t="s">
        <v>25</v>
      </c>
      <c r="R8" s="989" t="s">
        <v>24</v>
      </c>
      <c r="S8" s="989" t="s">
        <v>25</v>
      </c>
      <c r="T8" s="989" t="s">
        <v>24</v>
      </c>
      <c r="U8" s="989" t="s">
        <v>25</v>
      </c>
      <c r="V8" s="989" t="s">
        <v>24</v>
      </c>
      <c r="W8" s="989" t="s">
        <v>25</v>
      </c>
      <c r="X8" s="989" t="s">
        <v>24</v>
      </c>
      <c r="Y8" s="989" t="s">
        <v>25</v>
      </c>
      <c r="Z8" s="989" t="s">
        <v>24</v>
      </c>
      <c r="AA8" s="989" t="s">
        <v>25</v>
      </c>
      <c r="AB8" s="989" t="s">
        <v>24</v>
      </c>
      <c r="AC8" s="989" t="s">
        <v>25</v>
      </c>
      <c r="AD8" s="989" t="s">
        <v>24</v>
      </c>
      <c r="AE8" s="989" t="s">
        <v>25</v>
      </c>
      <c r="AF8" s="989" t="s">
        <v>24</v>
      </c>
      <c r="AG8" s="989" t="s">
        <v>25</v>
      </c>
      <c r="AH8" s="989" t="s">
        <v>24</v>
      </c>
      <c r="AI8" s="989" t="s">
        <v>25</v>
      </c>
      <c r="AJ8" s="989" t="s">
        <v>24</v>
      </c>
      <c r="AK8" s="989" t="s">
        <v>25</v>
      </c>
      <c r="AL8" s="989" t="s">
        <v>24</v>
      </c>
      <c r="AM8" s="989" t="s">
        <v>25</v>
      </c>
      <c r="AN8" s="989" t="s">
        <v>24</v>
      </c>
      <c r="AO8" s="989" t="s">
        <v>25</v>
      </c>
      <c r="AP8" s="989" t="s">
        <v>24</v>
      </c>
      <c r="AQ8" s="989" t="s">
        <v>25</v>
      </c>
      <c r="AR8" s="989" t="s">
        <v>24</v>
      </c>
      <c r="AS8" s="989" t="s">
        <v>25</v>
      </c>
      <c r="AT8" s="989" t="s">
        <v>24</v>
      </c>
      <c r="AU8" s="989" t="s">
        <v>25</v>
      </c>
      <c r="AV8" s="989" t="s">
        <v>24</v>
      </c>
      <c r="AW8" s="989" t="s">
        <v>25</v>
      </c>
      <c r="AX8" s="989" t="s">
        <v>24</v>
      </c>
      <c r="AY8" s="989" t="s">
        <v>25</v>
      </c>
      <c r="AZ8" s="989" t="s">
        <v>24</v>
      </c>
      <c r="BA8" s="989" t="s">
        <v>25</v>
      </c>
      <c r="BB8" s="989" t="s">
        <v>24</v>
      </c>
      <c r="BC8" s="989" t="s">
        <v>25</v>
      </c>
      <c r="BD8" s="989" t="s">
        <v>24</v>
      </c>
      <c r="BE8" s="989" t="s">
        <v>25</v>
      </c>
      <c r="BF8" s="989" t="s">
        <v>24</v>
      </c>
      <c r="BG8" s="989" t="s">
        <v>25</v>
      </c>
      <c r="BH8" s="989" t="s">
        <v>24</v>
      </c>
      <c r="BI8" s="989" t="s">
        <v>25</v>
      </c>
      <c r="BJ8" s="989" t="s">
        <v>24</v>
      </c>
      <c r="BK8" s="989" t="s">
        <v>25</v>
      </c>
      <c r="BL8" s="989" t="s">
        <v>24</v>
      </c>
      <c r="BM8" s="989" t="s">
        <v>25</v>
      </c>
      <c r="BN8" s="989" t="s">
        <v>24</v>
      </c>
      <c r="BO8" s="989" t="s">
        <v>25</v>
      </c>
      <c r="BP8" s="989" t="s">
        <v>24</v>
      </c>
      <c r="BQ8" s="989" t="s">
        <v>25</v>
      </c>
      <c r="BR8" s="989" t="s">
        <v>24</v>
      </c>
      <c r="BS8" s="989" t="s">
        <v>25</v>
      </c>
      <c r="BT8" s="989" t="s">
        <v>24</v>
      </c>
      <c r="BU8" s="989" t="s">
        <v>25</v>
      </c>
      <c r="BV8" s="989" t="s">
        <v>24</v>
      </c>
      <c r="BW8" s="989" t="s">
        <v>25</v>
      </c>
      <c r="BX8" s="989" t="s">
        <v>24</v>
      </c>
      <c r="BY8" s="989" t="s">
        <v>25</v>
      </c>
      <c r="BZ8" s="989" t="s">
        <v>24</v>
      </c>
      <c r="CA8" s="989" t="s">
        <v>25</v>
      </c>
      <c r="CB8" s="989" t="s">
        <v>24</v>
      </c>
      <c r="CC8" s="989" t="s">
        <v>25</v>
      </c>
      <c r="CD8" s="989" t="s">
        <v>24</v>
      </c>
      <c r="CE8" s="989" t="s">
        <v>25</v>
      </c>
      <c r="CF8" s="989" t="s">
        <v>24</v>
      </c>
      <c r="CG8" s="989" t="s">
        <v>25</v>
      </c>
      <c r="CH8" s="989" t="s">
        <v>24</v>
      </c>
      <c r="CI8" s="989" t="s">
        <v>25</v>
      </c>
      <c r="CJ8" s="989" t="s">
        <v>24</v>
      </c>
      <c r="CK8" s="989" t="s">
        <v>25</v>
      </c>
      <c r="CL8" s="989" t="s">
        <v>24</v>
      </c>
      <c r="CM8" s="989" t="s">
        <v>25</v>
      </c>
      <c r="CN8" s="989" t="s">
        <v>24</v>
      </c>
      <c r="CO8" s="989" t="s">
        <v>25</v>
      </c>
      <c r="CP8" s="989" t="s">
        <v>24</v>
      </c>
      <c r="CQ8" s="989" t="s">
        <v>25</v>
      </c>
      <c r="CR8" s="989" t="s">
        <v>24</v>
      </c>
      <c r="CS8" s="989" t="s">
        <v>25</v>
      </c>
      <c r="CT8" s="989" t="s">
        <v>24</v>
      </c>
      <c r="CU8" s="989" t="s">
        <v>25</v>
      </c>
      <c r="CV8" s="989" t="s">
        <v>24</v>
      </c>
      <c r="CW8" s="989" t="s">
        <v>25</v>
      </c>
      <c r="CX8" s="989" t="s">
        <v>24</v>
      </c>
      <c r="CY8" s="989" t="s">
        <v>25</v>
      </c>
      <c r="CZ8" s="989" t="s">
        <v>24</v>
      </c>
      <c r="DA8" s="989" t="s">
        <v>25</v>
      </c>
    </row>
    <row r="9" spans="1:105" s="266" customFormat="1" ht="8.25" customHeight="1">
      <c r="A9" s="265">
        <v>1</v>
      </c>
      <c r="B9" s="265">
        <v>2</v>
      </c>
      <c r="C9" s="265">
        <v>3</v>
      </c>
      <c r="D9" s="265">
        <v>4</v>
      </c>
      <c r="E9" s="265">
        <v>5</v>
      </c>
      <c r="F9" s="265">
        <v>6</v>
      </c>
      <c r="G9" s="265">
        <v>7</v>
      </c>
      <c r="H9" s="265">
        <v>8</v>
      </c>
      <c r="I9" s="265">
        <v>9</v>
      </c>
      <c r="J9" s="265">
        <v>10</v>
      </c>
      <c r="K9" s="265">
        <v>11</v>
      </c>
      <c r="L9" s="265">
        <v>12</v>
      </c>
      <c r="M9" s="265">
        <v>13</v>
      </c>
      <c r="N9" s="265">
        <v>14</v>
      </c>
      <c r="O9" s="265">
        <v>15</v>
      </c>
      <c r="P9" s="265">
        <v>16</v>
      </c>
      <c r="Q9" s="265">
        <v>17</v>
      </c>
      <c r="R9" s="265">
        <v>18</v>
      </c>
      <c r="S9" s="265">
        <v>19</v>
      </c>
      <c r="T9" s="265">
        <v>20</v>
      </c>
      <c r="U9" s="265">
        <v>21</v>
      </c>
      <c r="V9" s="265">
        <v>22</v>
      </c>
      <c r="W9" s="265">
        <v>23</v>
      </c>
      <c r="X9" s="265">
        <v>24</v>
      </c>
      <c r="Y9" s="265">
        <v>25</v>
      </c>
      <c r="Z9" s="265">
        <v>26</v>
      </c>
      <c r="AA9" s="265">
        <v>27</v>
      </c>
      <c r="AB9" s="265">
        <v>28</v>
      </c>
      <c r="AC9" s="265">
        <v>29</v>
      </c>
      <c r="AD9" s="265">
        <v>30</v>
      </c>
      <c r="AE9" s="265">
        <v>31</v>
      </c>
      <c r="AF9" s="265">
        <v>32</v>
      </c>
      <c r="AG9" s="265">
        <v>33</v>
      </c>
      <c r="AH9" s="265">
        <v>34</v>
      </c>
      <c r="AI9" s="265">
        <v>35</v>
      </c>
      <c r="AJ9" s="265">
        <v>36</v>
      </c>
      <c r="AK9" s="265">
        <v>37</v>
      </c>
      <c r="AL9" s="265">
        <v>38</v>
      </c>
      <c r="AM9" s="265">
        <v>39</v>
      </c>
      <c r="AN9" s="265">
        <v>40</v>
      </c>
      <c r="AO9" s="265">
        <v>41</v>
      </c>
      <c r="AP9" s="265">
        <v>42</v>
      </c>
      <c r="AQ9" s="265">
        <v>43</v>
      </c>
      <c r="AR9" s="265">
        <v>44</v>
      </c>
      <c r="AS9" s="265">
        <v>45</v>
      </c>
      <c r="AT9" s="265">
        <v>46</v>
      </c>
      <c r="AU9" s="265">
        <v>47</v>
      </c>
      <c r="AV9" s="265">
        <v>48</v>
      </c>
      <c r="AW9" s="265">
        <v>49</v>
      </c>
      <c r="AX9" s="265">
        <v>50</v>
      </c>
      <c r="AY9" s="265">
        <v>51</v>
      </c>
      <c r="AZ9" s="265">
        <v>52</v>
      </c>
      <c r="BA9" s="265">
        <v>53</v>
      </c>
      <c r="BB9" s="265">
        <v>54</v>
      </c>
      <c r="BC9" s="265">
        <v>55</v>
      </c>
      <c r="BD9" s="265">
        <v>56</v>
      </c>
      <c r="BE9" s="265">
        <v>57</v>
      </c>
      <c r="BF9" s="265">
        <v>58</v>
      </c>
      <c r="BG9" s="265">
        <v>59</v>
      </c>
      <c r="BH9" s="265">
        <v>60</v>
      </c>
      <c r="BI9" s="265">
        <v>61</v>
      </c>
      <c r="BJ9" s="265">
        <v>62</v>
      </c>
      <c r="BK9" s="265">
        <v>63</v>
      </c>
      <c r="BL9" s="265">
        <v>64</v>
      </c>
      <c r="BM9" s="265">
        <v>65</v>
      </c>
      <c r="BN9" s="265">
        <v>66</v>
      </c>
      <c r="BO9" s="265">
        <v>67</v>
      </c>
      <c r="BP9" s="265">
        <v>68</v>
      </c>
      <c r="BQ9" s="265">
        <v>69</v>
      </c>
      <c r="BR9" s="265">
        <v>70</v>
      </c>
      <c r="BS9" s="265">
        <v>71</v>
      </c>
      <c r="BT9" s="265">
        <v>72</v>
      </c>
      <c r="BU9" s="265">
        <v>73</v>
      </c>
      <c r="BV9" s="265">
        <v>72</v>
      </c>
      <c r="BW9" s="265">
        <v>73</v>
      </c>
      <c r="BX9" s="265">
        <v>74</v>
      </c>
      <c r="BY9" s="265">
        <v>75</v>
      </c>
      <c r="BZ9" s="265">
        <v>76</v>
      </c>
      <c r="CA9" s="265">
        <v>77</v>
      </c>
      <c r="CB9" s="265">
        <v>78</v>
      </c>
      <c r="CC9" s="265">
        <v>79</v>
      </c>
      <c r="CD9" s="265">
        <v>80</v>
      </c>
      <c r="CE9" s="265">
        <v>81</v>
      </c>
      <c r="CF9" s="265">
        <v>82</v>
      </c>
      <c r="CG9" s="265">
        <v>83</v>
      </c>
      <c r="CH9" s="265">
        <v>84</v>
      </c>
      <c r="CI9" s="265">
        <v>85</v>
      </c>
      <c r="CJ9" s="265">
        <v>86</v>
      </c>
      <c r="CK9" s="265">
        <v>87</v>
      </c>
      <c r="CL9" s="265">
        <v>88</v>
      </c>
      <c r="CM9" s="265">
        <v>89</v>
      </c>
      <c r="CN9" s="265">
        <v>90</v>
      </c>
      <c r="CO9" s="265">
        <v>91</v>
      </c>
      <c r="CP9" s="265">
        <v>92</v>
      </c>
      <c r="CQ9" s="265">
        <v>93</v>
      </c>
      <c r="CR9" s="265">
        <v>94</v>
      </c>
      <c r="CS9" s="265">
        <v>95</v>
      </c>
      <c r="CT9" s="265">
        <v>96</v>
      </c>
      <c r="CU9" s="265">
        <v>97</v>
      </c>
      <c r="CV9" s="265">
        <v>98</v>
      </c>
      <c r="CW9" s="265">
        <v>99</v>
      </c>
      <c r="CX9" s="265">
        <v>100</v>
      </c>
      <c r="CY9" s="265">
        <v>101</v>
      </c>
      <c r="CZ9" s="265">
        <v>102</v>
      </c>
      <c r="DA9" s="265">
        <v>103</v>
      </c>
    </row>
    <row r="10" spans="1:105" s="274" customFormat="1" ht="12.75" customHeight="1">
      <c r="A10" s="63" t="str">
        <f t="array" ref="A10">IF(C10&lt;&gt;0,SUM(($C10:C$16&lt;&gt;0)*1),"")</f>
        <v/>
      </c>
      <c r="B10" s="267"/>
      <c r="C10" s="268"/>
      <c r="D10" s="267"/>
      <c r="E10" s="269" t="s">
        <v>212</v>
      </c>
      <c r="F10" s="270"/>
      <c r="G10" s="271"/>
      <c r="H10" s="271"/>
      <c r="I10" s="272"/>
      <c r="J10" s="273">
        <f ca="1">'SC-III'!J53</f>
        <v>3705039095</v>
      </c>
      <c r="K10" s="273">
        <f ca="1">'SC-III'!K53</f>
        <v>0</v>
      </c>
      <c r="L10" s="273">
        <f ca="1">'SC-III'!L53</f>
        <v>19829295</v>
      </c>
      <c r="M10" s="273">
        <f ca="1">'SC-III'!M53</f>
        <v>0</v>
      </c>
      <c r="N10" s="273">
        <f ca="1">'SC-III'!N53</f>
        <v>2236796790</v>
      </c>
      <c r="O10" s="273">
        <f ca="1">'SC-III'!O53</f>
        <v>0</v>
      </c>
      <c r="P10" s="273">
        <f ca="1">'SC-III'!P53</f>
        <v>3343381600</v>
      </c>
      <c r="Q10" s="273">
        <f ca="1">'SC-III'!Q53</f>
        <v>0</v>
      </c>
      <c r="R10" s="273">
        <f ca="1">'SC-III'!R53</f>
        <v>162420936</v>
      </c>
      <c r="S10" s="273">
        <f ca="1">'SC-III'!S53</f>
        <v>0</v>
      </c>
      <c r="T10" s="273">
        <f ca="1">'SC-III'!T53</f>
        <v>1500000000</v>
      </c>
      <c r="U10" s="273">
        <f ca="1">'SC-III'!U53</f>
        <v>0</v>
      </c>
      <c r="V10" s="273">
        <f ca="1">'SC-III'!V53</f>
        <v>0</v>
      </c>
      <c r="W10" s="273">
        <f ca="1">'SC-III'!W53</f>
        <v>0</v>
      </c>
      <c r="X10" s="273">
        <f ca="1">'SC-III'!X53</f>
        <v>2772400000</v>
      </c>
      <c r="Y10" s="273">
        <f ca="1">'SC-III'!Y53</f>
        <v>0</v>
      </c>
      <c r="Z10" s="273">
        <f ca="1">'SC-III'!Z53</f>
        <v>526519887</v>
      </c>
      <c r="AA10" s="273">
        <f ca="1">'SC-III'!AA53</f>
        <v>0</v>
      </c>
      <c r="AB10" s="273">
        <f ca="1">'SC-III'!AB53</f>
        <v>0</v>
      </c>
      <c r="AC10" s="273">
        <f ca="1">'SC-III'!AC53</f>
        <v>0</v>
      </c>
      <c r="AD10" s="273">
        <f ca="1">'SC-III'!AD53</f>
        <v>0</v>
      </c>
      <c r="AE10" s="273">
        <f ca="1">'SC-III'!AE53</f>
        <v>0</v>
      </c>
      <c r="AF10" s="273">
        <f ca="1">'SC-III'!AF53</f>
        <v>9386323824</v>
      </c>
      <c r="AG10" s="273">
        <f ca="1">'SC-III'!AG53</f>
        <v>0</v>
      </c>
      <c r="AH10" s="273">
        <f ca="1">'SC-III'!AH53</f>
        <v>7490743648</v>
      </c>
      <c r="AI10" s="273">
        <f ca="1">'SC-III'!AI53</f>
        <v>0</v>
      </c>
      <c r="AJ10" s="273">
        <f ca="1">'SC-III'!AJ53</f>
        <v>3807898863</v>
      </c>
      <c r="AK10" s="273">
        <f ca="1">'SC-III'!AK53</f>
        <v>0</v>
      </c>
      <c r="AL10" s="273">
        <f ca="1">'SC-III'!AL53</f>
        <v>3790918485</v>
      </c>
      <c r="AM10" s="273">
        <f ca="1">'SC-III'!AM53</f>
        <v>0</v>
      </c>
      <c r="AN10" s="273">
        <f ca="1">'SC-III'!AN53</f>
        <v>5405781300</v>
      </c>
      <c r="AO10" s="273">
        <f ca="1">'SC-III'!AO53</f>
        <v>0</v>
      </c>
      <c r="AP10" s="273">
        <f ca="1">'SC-III'!AP53</f>
        <v>0</v>
      </c>
      <c r="AQ10" s="273">
        <f ca="1">'SC-III'!AQ53</f>
        <v>9132359256</v>
      </c>
      <c r="AR10" s="273">
        <f ca="1">'SC-III'!AR53</f>
        <v>0</v>
      </c>
      <c r="AS10" s="273">
        <f ca="1">'SC-III'!AS53</f>
        <v>600642360</v>
      </c>
      <c r="AT10" s="273">
        <f ca="1">'SC-III'!AT53</f>
        <v>0</v>
      </c>
      <c r="AU10" s="273">
        <f ca="1">'SC-III'!AU53</f>
        <v>0</v>
      </c>
      <c r="AV10" s="273">
        <f ca="1">'SC-III'!AV53</f>
        <v>0</v>
      </c>
      <c r="AW10" s="273">
        <f ca="1">'SC-III'!AW53</f>
        <v>476953252</v>
      </c>
      <c r="AX10" s="273">
        <f ca="1">'SC-III'!AX53</f>
        <v>0</v>
      </c>
      <c r="AY10" s="273">
        <f ca="1">'SC-III'!AY53</f>
        <v>0</v>
      </c>
      <c r="AZ10" s="273">
        <f ca="1">'SC-III'!AZ53</f>
        <v>0</v>
      </c>
      <c r="BA10" s="273">
        <f ca="1">'SC-III'!BA53</f>
        <v>0</v>
      </c>
      <c r="BB10" s="273">
        <f ca="1">'SC-III'!BB53</f>
        <v>0</v>
      </c>
      <c r="BC10" s="273">
        <f ca="1">'SC-III'!BC53</f>
        <v>0</v>
      </c>
      <c r="BD10" s="273">
        <f ca="1">'SC-III'!BD53</f>
        <v>0</v>
      </c>
      <c r="BE10" s="273">
        <f ca="1">'SC-III'!BE53</f>
        <v>3313435</v>
      </c>
      <c r="BF10" s="273">
        <f ca="1">'SC-III'!BF53</f>
        <v>3389804</v>
      </c>
      <c r="BG10" s="273">
        <f ca="1">'SC-III'!BG53</f>
        <v>0</v>
      </c>
      <c r="BH10" s="273">
        <f ca="1">'SC-III'!BH53</f>
        <v>0</v>
      </c>
      <c r="BI10" s="273">
        <f ca="1">'SC-III'!BI53</f>
        <v>0</v>
      </c>
      <c r="BJ10" s="273">
        <f ca="1">'SC-III'!BJ53</f>
        <v>0</v>
      </c>
      <c r="BK10" s="273">
        <f ca="1">'SC-III'!BK53</f>
        <v>0</v>
      </c>
      <c r="BL10" s="273">
        <f ca="1">'SC-III'!BL53</f>
        <v>0</v>
      </c>
      <c r="BM10" s="273">
        <f ca="1">'SC-III'!BM53</f>
        <v>40272309</v>
      </c>
      <c r="BN10" s="273">
        <f ca="1">'SC-III'!BN53</f>
        <v>0</v>
      </c>
      <c r="BO10" s="273">
        <f ca="1">'SC-III'!BO53</f>
        <v>6403142</v>
      </c>
      <c r="BP10" s="273">
        <f ca="1">'SC-III'!BP53</f>
        <v>0</v>
      </c>
      <c r="BQ10" s="273">
        <f ca="1">'SC-III'!BQ53</f>
        <v>2761373</v>
      </c>
      <c r="BR10" s="273">
        <f ca="1">'SC-III'!BR53</f>
        <v>0</v>
      </c>
      <c r="BS10" s="273">
        <f ca="1">'SC-III'!BS53</f>
        <v>0</v>
      </c>
      <c r="BT10" s="273">
        <f ca="1">'SC-III'!BT53</f>
        <v>0</v>
      </c>
      <c r="BU10" s="273">
        <f ca="1">'SC-III'!BU53</f>
        <v>2169121879</v>
      </c>
      <c r="BV10" s="273">
        <f ca="1">'SC-III'!BV53</f>
        <v>0</v>
      </c>
      <c r="BW10" s="273">
        <f ca="1">'SC-III'!BW53</f>
        <v>21202920500</v>
      </c>
      <c r="BX10" s="273">
        <f ca="1">'SC-III'!BX53</f>
        <v>0</v>
      </c>
      <c r="BY10" s="273">
        <f ca="1">'SC-III'!BY53</f>
        <v>10000000000</v>
      </c>
      <c r="BZ10" s="273">
        <f ca="1">'SC-III'!BZ53</f>
        <v>0</v>
      </c>
      <c r="CA10" s="273">
        <f ca="1">'SC-III'!CA53</f>
        <v>594397022.00000048</v>
      </c>
      <c r="CB10" s="273">
        <f ca="1">'SC-III'!CB53</f>
        <v>77701001</v>
      </c>
      <c r="CC10" s="273">
        <f ca="1">'SC-III'!CC53</f>
        <v>0</v>
      </c>
      <c r="CD10" s="273">
        <f ca="1">'SC-III'!CD53</f>
        <v>0</v>
      </c>
      <c r="CE10" s="273">
        <f ca="1">'SC-III'!CE53</f>
        <v>0</v>
      </c>
      <c r="CF10" s="273">
        <f ca="1">'SC-III'!CF53</f>
        <v>0</v>
      </c>
      <c r="CG10" s="273">
        <f ca="1">'SC-III'!CG53</f>
        <v>0</v>
      </c>
      <c r="CH10" s="273">
        <f ca="1">'SC-III'!CH53</f>
        <v>0</v>
      </c>
      <c r="CI10" s="273">
        <f ca="1">'SC-III'!CI53</f>
        <v>0</v>
      </c>
      <c r="CJ10" s="273">
        <f ca="1">'SC-III'!CJ53</f>
        <v>0</v>
      </c>
      <c r="CK10" s="273">
        <f ca="1">'SC-III'!CK53</f>
        <v>0</v>
      </c>
      <c r="CL10" s="273">
        <f ca="1">'SC-III'!CL53</f>
        <v>0</v>
      </c>
      <c r="CM10" s="273">
        <f ca="1">'SC-III'!CM53</f>
        <v>0</v>
      </c>
      <c r="CN10" s="273">
        <f ca="1">'SC-III'!CN53</f>
        <v>0</v>
      </c>
      <c r="CO10" s="273">
        <f ca="1">'SC-III'!CO53</f>
        <v>0</v>
      </c>
      <c r="CP10" s="273">
        <f ca="1">'SC-III'!CP53</f>
        <v>0</v>
      </c>
      <c r="CQ10" s="273">
        <f ca="1">'SC-III'!CQ53</f>
        <v>0</v>
      </c>
      <c r="CR10" s="273">
        <f ca="1">'SC-III'!CR53</f>
        <v>0</v>
      </c>
      <c r="CS10" s="273">
        <f ca="1">'SC-III'!CS53</f>
        <v>0</v>
      </c>
      <c r="CT10" s="273">
        <f ca="1">'SC-III'!CT53</f>
        <v>0</v>
      </c>
      <c r="CU10" s="273">
        <f ca="1">'SC-III'!CU53</f>
        <v>0</v>
      </c>
      <c r="CV10" s="273">
        <f ca="1">'SC-III'!CV53</f>
        <v>0</v>
      </c>
      <c r="CW10" s="273">
        <f ca="1">'SC-III'!CW53</f>
        <v>0</v>
      </c>
      <c r="CX10" s="273">
        <f ca="1">'SC-III'!CX53</f>
        <v>0</v>
      </c>
      <c r="CY10" s="273">
        <f ca="1">'SC-III'!CY53</f>
        <v>0</v>
      </c>
      <c r="CZ10" s="273">
        <f ca="1">'SC-III'!CZ53</f>
        <v>0</v>
      </c>
      <c r="DA10" s="273">
        <f ca="1">'SC-III'!DA53</f>
        <v>0</v>
      </c>
    </row>
    <row r="11" spans="1:105" s="274" customFormat="1" ht="16.5" customHeight="1">
      <c r="A11" s="63">
        <f t="array" aca="1" ref="A11" ca="1">IF(C11&lt;&gt;0,SUM(($C$11:C11&lt;&gt;0)*1),"")</f>
        <v>1</v>
      </c>
      <c r="B11" s="275" t="str">
        <f ca="1">IF(ROWS($1:1)&gt;COUNT(Dong9),"",OFFSET(TH!C$1,SMALL(Dong9,ROWS($1:1)),))</f>
        <v/>
      </c>
      <c r="C11" s="275" t="str">
        <f ca="1">IF(ROWS($1:1)&gt;COUNT(Dong9),"",OFFSET(TH!D$1,SMALL(Dong9,ROWS($1:1)),))</f>
        <v/>
      </c>
      <c r="D11" s="275" t="str">
        <f ca="1">IF(ROWS($1:1)&gt;COUNT(Dong9),"",OFFSET(TH!E$1,SMALL(Dong9,ROWS($1:1)),))</f>
        <v/>
      </c>
      <c r="E11" s="365" t="str">
        <f ca="1">IF(ROWS($1:1)&gt;COUNT(Dong9),"",OFFSET(TH!F$1,SMALL(Dong9,ROWS($1:1)),))</f>
        <v/>
      </c>
      <c r="F11" s="326" t="str">
        <f ca="1">IF(ROWS($1:1)&gt;COUNT(Dong9),"",OFFSET(TH!M$1,SMALL(Dong9,ROWS($1:1)),))</f>
        <v/>
      </c>
      <c r="G11" s="328" t="str">
        <f ca="1">IF(ROWS($1:1)&gt;COUNT(Dong9),"",OFFSET(TH!N$1,SMALL(Dong9,ROWS($1:1)),))</f>
        <v/>
      </c>
      <c r="H11" s="328" t="str">
        <f ca="1">IF(ROWS($1:1)&gt;COUNT(Dong9),"",OFFSET(TH!O$1,SMALL(Dong9,ROWS($1:1)),))</f>
        <v/>
      </c>
      <c r="I11" s="63">
        <f t="shared" ref="I11:I50" ca="1" si="0">A11</f>
        <v>1</v>
      </c>
      <c r="J11" s="277">
        <f ca="1">IF($G11="1111",$F11,0)</f>
        <v>0</v>
      </c>
      <c r="K11" s="277">
        <f ca="1">IF($H11="1111",$F11,0)</f>
        <v>0</v>
      </c>
      <c r="L11" s="277">
        <f t="shared" ref="L11:L50" ca="1" si="1">IF($G11="1121",$F11,0)</f>
        <v>0</v>
      </c>
      <c r="M11" s="277">
        <f t="shared" ref="M11:M50" ca="1" si="2">IF($H11="1121",$F11,0)</f>
        <v>0</v>
      </c>
      <c r="N11" s="277">
        <f t="shared" ref="N11:N50" ca="1" si="3">IF($G11="1122",$F11,0)</f>
        <v>0</v>
      </c>
      <c r="O11" s="277">
        <f t="shared" ref="O11:O50" ca="1" si="4">IF($H11="1122",$F11,0)</f>
        <v>0</v>
      </c>
      <c r="P11" s="277">
        <f t="shared" ref="P11:P50" ca="1" si="5">IF($G11="131",$F11,0)</f>
        <v>0</v>
      </c>
      <c r="Q11" s="277">
        <f t="shared" ref="Q11:Q50" ca="1" si="6">IF($H11="131",$F11,0)</f>
        <v>0</v>
      </c>
      <c r="R11" s="277">
        <f t="shared" ref="R11:R50" ca="1" si="7">IF($G11="1331",$F11,0)</f>
        <v>0</v>
      </c>
      <c r="S11" s="277">
        <f t="shared" ref="S11:S50" ca="1" si="8">IF($H11="1331",$F11,0)</f>
        <v>0</v>
      </c>
      <c r="T11" s="277">
        <f t="shared" ref="T11:T50" ca="1" si="9">IF($G11="1388",$F11,0)</f>
        <v>0</v>
      </c>
      <c r="U11" s="277">
        <f t="shared" ref="U11:U50" ca="1" si="10">IF($H11="1388",$F11,0)</f>
        <v>0</v>
      </c>
      <c r="V11" s="277">
        <f t="shared" ref="V11:V50" ca="1" si="11">IF($G11="141",$F11,0)</f>
        <v>0</v>
      </c>
      <c r="W11" s="277">
        <f t="shared" ref="W11:W50" ca="1" si="12">IF($H11="141",$F11,0)</f>
        <v>0</v>
      </c>
      <c r="X11" s="277">
        <f t="shared" ref="X11:X50" ca="1" si="13">IF($G11="1521",$F11,0)</f>
        <v>0</v>
      </c>
      <c r="Y11" s="277">
        <f t="shared" ref="Y11:Y50" ca="1" si="14">IF($H11="1521",$F11,0)</f>
        <v>0</v>
      </c>
      <c r="Z11" s="277">
        <f t="shared" ref="Z11:Z50" ca="1" si="15">IF($G11="1522",$F11,0)</f>
        <v>0</v>
      </c>
      <c r="AA11" s="277">
        <f t="shared" ref="AA11:AA50" ca="1" si="16">IF($H11="1522",$F11,0)</f>
        <v>0</v>
      </c>
      <c r="AB11" s="277">
        <f ca="1">IF($G11="153",$F11,0)</f>
        <v>0</v>
      </c>
      <c r="AC11" s="277">
        <f ca="1">IF($H11="153",$F11,0)</f>
        <v>0</v>
      </c>
      <c r="AD11" s="277">
        <f t="shared" ref="AD11:AD50" ca="1" si="17">IF($G11="154",$F11,0)</f>
        <v>0</v>
      </c>
      <c r="AE11" s="277">
        <f t="shared" ref="AE11:AE50" ca="1" si="18">IF($H11="154",$F11,0)</f>
        <v>0</v>
      </c>
      <c r="AF11" s="277">
        <f t="shared" ref="AF11:AF50" ca="1" si="19">IF($G11="155",$F11,0)</f>
        <v>0</v>
      </c>
      <c r="AG11" s="277">
        <f t="shared" ref="AG11:AG50" ca="1" si="20">IF($H11="155",$F11,0)</f>
        <v>0</v>
      </c>
      <c r="AH11" s="277">
        <f ca="1">IF($G11="2111",$F11,0)</f>
        <v>0</v>
      </c>
      <c r="AI11" s="277">
        <f ca="1">IF($H11="2111",$F11,0)</f>
        <v>0</v>
      </c>
      <c r="AJ11" s="277">
        <f ca="1">IF($G11="2112",$F11,0)</f>
        <v>0</v>
      </c>
      <c r="AK11" s="277">
        <f ca="1">IF($H11="2112",$F11,0)</f>
        <v>0</v>
      </c>
      <c r="AL11" s="277">
        <f ca="1">IF($G11="2113",$F11,0)</f>
        <v>0</v>
      </c>
      <c r="AM11" s="277">
        <f ca="1">IF($H11="2113",$F11,0)</f>
        <v>0</v>
      </c>
      <c r="AN11" s="277">
        <f ca="1">IF($G11="2131",$F11,0)</f>
        <v>0</v>
      </c>
      <c r="AO11" s="277">
        <f ca="1">IF($H11="2131",$F11,0)</f>
        <v>0</v>
      </c>
      <c r="AP11" s="277">
        <f t="shared" ref="AP11:AP50" ca="1" si="21">IF($G11="2141",$F11,0)</f>
        <v>0</v>
      </c>
      <c r="AQ11" s="277">
        <f t="shared" ref="AQ11:AQ50" ca="1" si="22">IF($H11="2141",$F11,0)</f>
        <v>0</v>
      </c>
      <c r="AR11" s="277">
        <f t="shared" ref="AR11:AR50" ca="1" si="23">IF($G11="2143",$F11,0)</f>
        <v>0</v>
      </c>
      <c r="AS11" s="277">
        <f t="shared" ref="AS11:AS50" ca="1" si="24">IF($H11="2143",$F11,0)</f>
        <v>0</v>
      </c>
      <c r="AT11" s="277">
        <f ca="1">IF($G11="2412",$F11,0)</f>
        <v>0</v>
      </c>
      <c r="AU11" s="277">
        <f ca="1">IF($H11="2412",$F11,0)</f>
        <v>0</v>
      </c>
      <c r="AV11" s="277">
        <f t="shared" ref="AV11:AV50" ca="1" si="25">IF($G11="331",$F11,0)</f>
        <v>0</v>
      </c>
      <c r="AW11" s="277">
        <f t="shared" ref="AW11:AW50" ca="1" si="26">IF($H11="331",$F11,0)</f>
        <v>0</v>
      </c>
      <c r="AX11" s="277">
        <f t="shared" ref="AX11:AX50" ca="1" si="27">IF($G11="33311",$F11,0)</f>
        <v>0</v>
      </c>
      <c r="AY11" s="277">
        <f t="shared" ref="AY11:AY50" ca="1" si="28">IF($H11="33311",$F11,0)</f>
        <v>0</v>
      </c>
      <c r="AZ11" s="277">
        <f t="shared" ref="AZ11:AZ50" ca="1" si="29">IF($G11="33312",$F11,0)</f>
        <v>0</v>
      </c>
      <c r="BA11" s="277">
        <f t="shared" ref="BA11:BA50" ca="1" si="30">IF($H11="33312",$F11,0)</f>
        <v>0</v>
      </c>
      <c r="BB11" s="277">
        <f t="shared" ref="BB11:BB50" ca="1" si="31">IF($G11="3333",$F11,0)</f>
        <v>0</v>
      </c>
      <c r="BC11" s="277">
        <f t="shared" ref="BC11:BC50" ca="1" si="32">IF($H11="3333",$F11,0)</f>
        <v>0</v>
      </c>
      <c r="BD11" s="277">
        <f t="shared" ref="BD11:BD50" ca="1" si="33">IF($G11="3334",$F11,0)</f>
        <v>0</v>
      </c>
      <c r="BE11" s="277">
        <f t="shared" ref="BE11:BE50" ca="1" si="34">IF($H11="3334",$F11,0)</f>
        <v>0</v>
      </c>
      <c r="BF11" s="277">
        <f t="shared" ref="BF11:BF50" ca="1" si="35">IF($G11="3335",$F11,0)</f>
        <v>0</v>
      </c>
      <c r="BG11" s="277">
        <f t="shared" ref="BG11:BG50" ca="1" si="36">IF($H11="3335",$F11,0)</f>
        <v>0</v>
      </c>
      <c r="BH11" s="277">
        <f ca="1">IF($G11="33382",$F11,0)</f>
        <v>0</v>
      </c>
      <c r="BI11" s="277">
        <f ca="1">IF($H11="33382",$F11,0)</f>
        <v>0</v>
      </c>
      <c r="BJ11" s="277">
        <f t="shared" ref="BJ11:BJ50" ca="1" si="37">IF($G11="3341",$F11,0)</f>
        <v>0</v>
      </c>
      <c r="BK11" s="277">
        <f t="shared" ref="BK11:BK50" ca="1" si="38">IF($H11="3341",$F11,0)</f>
        <v>0</v>
      </c>
      <c r="BL11" s="277">
        <f t="shared" ref="BL11:BL50" ca="1" si="39">IF($G11="3383",$F11,0)</f>
        <v>0</v>
      </c>
      <c r="BM11" s="277">
        <f t="shared" ref="BM11:BM50" ca="1" si="40">IF($H11="3383",$F11,0)</f>
        <v>0</v>
      </c>
      <c r="BN11" s="277">
        <f t="shared" ref="BN11:BN50" ca="1" si="41">IF($G11="3384",$F11,0)</f>
        <v>0</v>
      </c>
      <c r="BO11" s="277">
        <f t="shared" ref="BO11:BO50" ca="1" si="42">IF($H11="3384",$F11,0)</f>
        <v>0</v>
      </c>
      <c r="BP11" s="277">
        <f ca="1">IF($G11="3386",$F11,0)</f>
        <v>0</v>
      </c>
      <c r="BQ11" s="277">
        <f ca="1">IF($H11="3386",$F11,0)</f>
        <v>0</v>
      </c>
      <c r="BR11" s="277">
        <f t="shared" ref="BR11:BR50" ca="1" si="43">IF($G11="3388",$F11,0)</f>
        <v>0</v>
      </c>
      <c r="BS11" s="277">
        <f t="shared" ref="BS11:BS50" ca="1" si="44">IF($H11="3388",$F11,0)</f>
        <v>0</v>
      </c>
      <c r="BT11" s="277">
        <f ca="1">IF($G11="3411",$F11,0)</f>
        <v>0</v>
      </c>
      <c r="BU11" s="277">
        <f ca="1">IF($H11="3411",$F11,0)</f>
        <v>0</v>
      </c>
      <c r="BV11" s="277">
        <f ca="1">IF($G11="3412",$F11,0)</f>
        <v>0</v>
      </c>
      <c r="BW11" s="277">
        <f ca="1">IF($H11="3412",$F11,0)</f>
        <v>0</v>
      </c>
      <c r="BX11" s="277">
        <f t="shared" ref="BX11:BX50" ca="1" si="45">IF($G11="4111",$F11,0)</f>
        <v>0</v>
      </c>
      <c r="BY11" s="277">
        <f t="shared" ref="BY11:BY50" ca="1" si="46">IF($H11="4111",$F11,0)</f>
        <v>0</v>
      </c>
      <c r="BZ11" s="277">
        <f t="shared" ref="BZ11:BZ50" ca="1" si="47">IF($G11="4211",$F11,0)</f>
        <v>0</v>
      </c>
      <c r="CA11" s="277">
        <f t="shared" ref="CA11:CA50" ca="1" si="48">IF($H11="4211",$F11,0)</f>
        <v>0</v>
      </c>
      <c r="CB11" s="277">
        <f t="shared" ref="CB11:CB50" ca="1" si="49">IF($G11="4212",$F11,0)</f>
        <v>0</v>
      </c>
      <c r="CC11" s="277">
        <f t="shared" ref="CC11:CC50" ca="1" si="50">IF($H11="4212",$F11,0)</f>
        <v>0</v>
      </c>
      <c r="CD11" s="277">
        <f ca="1">IF($G11="5112N",$F11,0)</f>
        <v>0</v>
      </c>
      <c r="CE11" s="277">
        <f ca="1">IF($H11="5112N",$F11,0)</f>
        <v>0</v>
      </c>
      <c r="CF11" s="277">
        <f ca="1">IF($G11="5112X",$F11,0)</f>
        <v>0</v>
      </c>
      <c r="CG11" s="277">
        <f ca="1">IF($H11="5112X",$F11,0)</f>
        <v>0</v>
      </c>
      <c r="CH11" s="277">
        <f t="shared" ref="CH11:CH50" ca="1" si="51">IF($G11="515",$F11,0)</f>
        <v>0</v>
      </c>
      <c r="CI11" s="277">
        <f t="shared" ref="CI11:CI50" ca="1" si="52">IF($H11="515",$F11,0)</f>
        <v>0</v>
      </c>
      <c r="CJ11" s="277">
        <f ca="1">IF($G11="5213",$F11,0)</f>
        <v>0</v>
      </c>
      <c r="CK11" s="277">
        <f ca="1">IF($H11="5213",$F11,0)</f>
        <v>0</v>
      </c>
      <c r="CL11" s="277">
        <f t="shared" ref="CL11:CL50" ca="1" si="53">IF($G11="632",$F11,0)</f>
        <v>0</v>
      </c>
      <c r="CM11" s="277">
        <f t="shared" ref="CM11:CM50" ca="1" si="54">IF($H11="632",$F11,0)</f>
        <v>0</v>
      </c>
      <c r="CN11" s="277">
        <f t="shared" ref="CN11:CN50" ca="1" si="55">IF($G11="635",$F11,0)</f>
        <v>0</v>
      </c>
      <c r="CO11" s="277">
        <f t="shared" ref="CO11:CO50" ca="1" si="56">IF($H11="635",$F11,0)</f>
        <v>0</v>
      </c>
      <c r="CP11" s="277">
        <f ca="1">IF($G11="641",$F11,0)</f>
        <v>0</v>
      </c>
      <c r="CQ11" s="277">
        <f ca="1">IF($H11="641",$F11,0)</f>
        <v>0</v>
      </c>
      <c r="CR11" s="277">
        <f ca="1">IF($G11="642",$F11,0)</f>
        <v>0</v>
      </c>
      <c r="CS11" s="277">
        <f ca="1">IF($H11="642",$F11,0)</f>
        <v>0</v>
      </c>
      <c r="CT11" s="277">
        <f t="shared" ref="CT11:CT50" ca="1" si="57">IF($G11="711",$F11,0)</f>
        <v>0</v>
      </c>
      <c r="CU11" s="277">
        <f t="shared" ref="CU11:CU50" ca="1" si="58">IF($H11="711",$F11,0)</f>
        <v>0</v>
      </c>
      <c r="CV11" s="277">
        <f t="shared" ref="CV11:CV50" ca="1" si="59">IF($G11="811",$F11,0)</f>
        <v>0</v>
      </c>
      <c r="CW11" s="277">
        <f t="shared" ref="CW11:CW50" ca="1" si="60">IF($H11="811",$F11,0)</f>
        <v>0</v>
      </c>
      <c r="CX11" s="277">
        <f ca="1">IF($G11="821",$F11,0)</f>
        <v>0</v>
      </c>
      <c r="CY11" s="277">
        <f ca="1">IF($H11="821",$F11,0)</f>
        <v>0</v>
      </c>
      <c r="CZ11" s="277">
        <f ca="1">IF($G11="911",$F11,0)</f>
        <v>0</v>
      </c>
      <c r="DA11" s="277">
        <f ca="1">IF($H11="911",$F11,0)</f>
        <v>0</v>
      </c>
    </row>
    <row r="12" spans="1:105" s="274" customFormat="1" ht="16.5" customHeight="1">
      <c r="A12" s="63" t="str">
        <f t="array" ref="A12">IF(C12&lt;&gt;0,SUM(($C$11:C12&lt;&gt;0)*1),"")</f>
        <v/>
      </c>
      <c r="B12" s="275"/>
      <c r="C12" s="275"/>
      <c r="D12" s="275"/>
      <c r="E12" s="365"/>
      <c r="F12" s="326"/>
      <c r="G12" s="328"/>
      <c r="H12" s="328"/>
      <c r="I12" s="63" t="str">
        <f t="shared" si="0"/>
        <v/>
      </c>
      <c r="J12" s="277">
        <f t="shared" ref="J12:J50" si="61">IF($G12="1111",$F12,0)</f>
        <v>0</v>
      </c>
      <c r="K12" s="277">
        <f t="shared" ref="K12:K50" si="62">IF($H12="1111",$F12,0)</f>
        <v>0</v>
      </c>
      <c r="L12" s="277">
        <f t="shared" si="1"/>
        <v>0</v>
      </c>
      <c r="M12" s="277">
        <f t="shared" si="2"/>
        <v>0</v>
      </c>
      <c r="N12" s="277">
        <f t="shared" si="3"/>
        <v>0</v>
      </c>
      <c r="O12" s="277">
        <f t="shared" si="4"/>
        <v>0</v>
      </c>
      <c r="P12" s="277">
        <f t="shared" si="5"/>
        <v>0</v>
      </c>
      <c r="Q12" s="277">
        <f t="shared" si="6"/>
        <v>0</v>
      </c>
      <c r="R12" s="277">
        <f t="shared" si="7"/>
        <v>0</v>
      </c>
      <c r="S12" s="277">
        <f t="shared" si="8"/>
        <v>0</v>
      </c>
      <c r="T12" s="277">
        <f t="shared" si="9"/>
        <v>0</v>
      </c>
      <c r="U12" s="277">
        <f t="shared" si="10"/>
        <v>0</v>
      </c>
      <c r="V12" s="277">
        <f t="shared" si="11"/>
        <v>0</v>
      </c>
      <c r="W12" s="277">
        <f t="shared" si="12"/>
        <v>0</v>
      </c>
      <c r="X12" s="277">
        <f t="shared" si="13"/>
        <v>0</v>
      </c>
      <c r="Y12" s="277">
        <f t="shared" si="14"/>
        <v>0</v>
      </c>
      <c r="Z12" s="277">
        <f t="shared" si="15"/>
        <v>0</v>
      </c>
      <c r="AA12" s="277">
        <f t="shared" si="16"/>
        <v>0</v>
      </c>
      <c r="AB12" s="277">
        <f t="shared" ref="AB12:AB50" si="63">IF($G12="153",$F12,0)</f>
        <v>0</v>
      </c>
      <c r="AC12" s="277">
        <f t="shared" ref="AC12:AC50" si="64">IF($H12="153",$F12,0)</f>
        <v>0</v>
      </c>
      <c r="AD12" s="277">
        <f t="shared" si="17"/>
        <v>0</v>
      </c>
      <c r="AE12" s="277">
        <f t="shared" si="18"/>
        <v>0</v>
      </c>
      <c r="AF12" s="277">
        <f t="shared" si="19"/>
        <v>0</v>
      </c>
      <c r="AG12" s="277">
        <f t="shared" si="20"/>
        <v>0</v>
      </c>
      <c r="AH12" s="277">
        <f t="shared" ref="AH12:AH50" si="65">IF($G12="2111",$F12,0)</f>
        <v>0</v>
      </c>
      <c r="AI12" s="277">
        <f t="shared" ref="AI12:AI50" si="66">IF($H12="2111",$F12,0)</f>
        <v>0</v>
      </c>
      <c r="AJ12" s="277">
        <f t="shared" ref="AJ12:AJ50" si="67">IF($G12="2112",$F12,0)</f>
        <v>0</v>
      </c>
      <c r="AK12" s="277">
        <f t="shared" ref="AK12:AK50" si="68">IF($H12="2112",$F12,0)</f>
        <v>0</v>
      </c>
      <c r="AL12" s="277">
        <f t="shared" ref="AL12:AL50" si="69">IF($G12="2113",$F12,0)</f>
        <v>0</v>
      </c>
      <c r="AM12" s="277">
        <f t="shared" ref="AM12:AM50" si="70">IF($H12="2113",$F12,0)</f>
        <v>0</v>
      </c>
      <c r="AN12" s="277">
        <f t="shared" ref="AN12:AN50" si="71">IF($G12="2131",$F12,0)</f>
        <v>0</v>
      </c>
      <c r="AO12" s="277">
        <f t="shared" ref="AO12:AO50" si="72">IF($H12="2131",$F12,0)</f>
        <v>0</v>
      </c>
      <c r="AP12" s="277">
        <f t="shared" si="21"/>
        <v>0</v>
      </c>
      <c r="AQ12" s="277">
        <f t="shared" si="22"/>
        <v>0</v>
      </c>
      <c r="AR12" s="277">
        <f t="shared" si="23"/>
        <v>0</v>
      </c>
      <c r="AS12" s="277">
        <f t="shared" si="24"/>
        <v>0</v>
      </c>
      <c r="AT12" s="277">
        <f t="shared" ref="AT12:AT50" si="73">IF($G12="2412",$F12,0)</f>
        <v>0</v>
      </c>
      <c r="AU12" s="277">
        <f t="shared" ref="AU12:AU50" si="74">IF($H12="2412",$F12,0)</f>
        <v>0</v>
      </c>
      <c r="AV12" s="277">
        <f t="shared" si="25"/>
        <v>0</v>
      </c>
      <c r="AW12" s="277">
        <f t="shared" si="26"/>
        <v>0</v>
      </c>
      <c r="AX12" s="277">
        <f t="shared" si="27"/>
        <v>0</v>
      </c>
      <c r="AY12" s="277">
        <f t="shared" si="28"/>
        <v>0</v>
      </c>
      <c r="AZ12" s="277">
        <f t="shared" si="29"/>
        <v>0</v>
      </c>
      <c r="BA12" s="277">
        <f t="shared" si="30"/>
        <v>0</v>
      </c>
      <c r="BB12" s="277">
        <f t="shared" si="31"/>
        <v>0</v>
      </c>
      <c r="BC12" s="277">
        <f t="shared" si="32"/>
        <v>0</v>
      </c>
      <c r="BD12" s="277">
        <f t="shared" si="33"/>
        <v>0</v>
      </c>
      <c r="BE12" s="277">
        <f t="shared" si="34"/>
        <v>0</v>
      </c>
      <c r="BF12" s="277">
        <f t="shared" si="35"/>
        <v>0</v>
      </c>
      <c r="BG12" s="277">
        <f t="shared" si="36"/>
        <v>0</v>
      </c>
      <c r="BH12" s="277">
        <f t="shared" ref="BH12:BH50" si="75">IF($G12="33382",$F12,0)</f>
        <v>0</v>
      </c>
      <c r="BI12" s="277">
        <f t="shared" ref="BI12:BI50" si="76">IF($H12="33382",$F12,0)</f>
        <v>0</v>
      </c>
      <c r="BJ12" s="277">
        <f t="shared" si="37"/>
        <v>0</v>
      </c>
      <c r="BK12" s="277">
        <f t="shared" si="38"/>
        <v>0</v>
      </c>
      <c r="BL12" s="277">
        <f t="shared" si="39"/>
        <v>0</v>
      </c>
      <c r="BM12" s="277">
        <f t="shared" si="40"/>
        <v>0</v>
      </c>
      <c r="BN12" s="277">
        <f t="shared" si="41"/>
        <v>0</v>
      </c>
      <c r="BO12" s="277">
        <f t="shared" si="42"/>
        <v>0</v>
      </c>
      <c r="BP12" s="277">
        <f t="shared" ref="BP12:BP50" si="77">IF($G12="3386",$F12,0)</f>
        <v>0</v>
      </c>
      <c r="BQ12" s="277">
        <f t="shared" ref="BQ12:BQ50" si="78">IF($H12="3386",$F12,0)</f>
        <v>0</v>
      </c>
      <c r="BR12" s="277">
        <f t="shared" si="43"/>
        <v>0</v>
      </c>
      <c r="BS12" s="277">
        <f t="shared" si="44"/>
        <v>0</v>
      </c>
      <c r="BT12" s="277">
        <f t="shared" ref="BT12:BT50" si="79">IF($G12="3411",$F12,0)</f>
        <v>0</v>
      </c>
      <c r="BU12" s="277">
        <f t="shared" ref="BU12:BU50" si="80">IF($H12="3411",$F12,0)</f>
        <v>0</v>
      </c>
      <c r="BV12" s="277">
        <f t="shared" ref="BV12:BV50" si="81">IF($G12="3412",$F12,0)</f>
        <v>0</v>
      </c>
      <c r="BW12" s="277">
        <f t="shared" ref="BW12:BW50" si="82">IF($H12="3412",$F12,0)</f>
        <v>0</v>
      </c>
      <c r="BX12" s="277">
        <f t="shared" si="45"/>
        <v>0</v>
      </c>
      <c r="BY12" s="277">
        <f t="shared" si="46"/>
        <v>0</v>
      </c>
      <c r="BZ12" s="277">
        <f t="shared" si="47"/>
        <v>0</v>
      </c>
      <c r="CA12" s="277">
        <f t="shared" si="48"/>
        <v>0</v>
      </c>
      <c r="CB12" s="277">
        <f t="shared" si="49"/>
        <v>0</v>
      </c>
      <c r="CC12" s="277">
        <f t="shared" si="50"/>
        <v>0</v>
      </c>
      <c r="CD12" s="277">
        <f t="shared" ref="CD12:CD50" si="83">IF($G12="5112N",$F12,0)</f>
        <v>0</v>
      </c>
      <c r="CE12" s="277">
        <f t="shared" ref="CE12:CE50" si="84">IF($H12="5112N",$F12,0)</f>
        <v>0</v>
      </c>
      <c r="CF12" s="277">
        <f t="shared" ref="CF12:CF50" si="85">IF($G12="5112X",$F12,0)</f>
        <v>0</v>
      </c>
      <c r="CG12" s="277">
        <f t="shared" ref="CG12:CG50" si="86">IF($H12="5112X",$F12,0)</f>
        <v>0</v>
      </c>
      <c r="CH12" s="277">
        <f t="shared" si="51"/>
        <v>0</v>
      </c>
      <c r="CI12" s="277">
        <f t="shared" si="52"/>
        <v>0</v>
      </c>
      <c r="CJ12" s="277">
        <f t="shared" ref="CJ12:CJ50" si="87">IF($G12="5213",$F12,0)</f>
        <v>0</v>
      </c>
      <c r="CK12" s="277">
        <f t="shared" ref="CK12:CK50" si="88">IF($H12="5213",$F12,0)</f>
        <v>0</v>
      </c>
      <c r="CL12" s="277">
        <f t="shared" si="53"/>
        <v>0</v>
      </c>
      <c r="CM12" s="277">
        <f t="shared" si="54"/>
        <v>0</v>
      </c>
      <c r="CN12" s="277">
        <f t="shared" si="55"/>
        <v>0</v>
      </c>
      <c r="CO12" s="277">
        <f t="shared" si="56"/>
        <v>0</v>
      </c>
      <c r="CP12" s="277">
        <f t="shared" ref="CP12:CP50" si="89">IF($G12="641",$F12,0)</f>
        <v>0</v>
      </c>
      <c r="CQ12" s="277">
        <f t="shared" ref="CQ12:CQ50" si="90">IF($H12="641",$F12,0)</f>
        <v>0</v>
      </c>
      <c r="CR12" s="277">
        <f t="shared" ref="CR12:CR50" si="91">IF($G12="642",$F12,0)</f>
        <v>0</v>
      </c>
      <c r="CS12" s="277">
        <f t="shared" ref="CS12:CS50" si="92">IF($H12="642",$F12,0)</f>
        <v>0</v>
      </c>
      <c r="CT12" s="277">
        <f t="shared" si="57"/>
        <v>0</v>
      </c>
      <c r="CU12" s="277">
        <f t="shared" si="58"/>
        <v>0</v>
      </c>
      <c r="CV12" s="277">
        <f t="shared" si="59"/>
        <v>0</v>
      </c>
      <c r="CW12" s="277">
        <f t="shared" si="60"/>
        <v>0</v>
      </c>
      <c r="CX12" s="277">
        <f t="shared" ref="CX12:CX50" si="93">IF($G12="821",$F12,0)</f>
        <v>0</v>
      </c>
      <c r="CY12" s="277">
        <f t="shared" ref="CY12:CY50" si="94">IF($H12="821",$F12,0)</f>
        <v>0</v>
      </c>
      <c r="CZ12" s="277">
        <f t="shared" ref="CZ12:CZ50" si="95">IF($G12="911",$F12,0)</f>
        <v>0</v>
      </c>
      <c r="DA12" s="277">
        <f t="shared" ref="DA12:DA50" si="96">IF($H12="911",$F12,0)</f>
        <v>0</v>
      </c>
    </row>
    <row r="13" spans="1:105" s="274" customFormat="1" ht="16.5" customHeight="1">
      <c r="A13" s="63" t="str">
        <f t="array" ref="A13">IF(C13&lt;&gt;0,SUM(($C$11:C13&lt;&gt;0)*1),"")</f>
        <v/>
      </c>
      <c r="B13" s="275"/>
      <c r="C13" s="275"/>
      <c r="D13" s="275"/>
      <c r="E13" s="365"/>
      <c r="F13" s="326"/>
      <c r="G13" s="328"/>
      <c r="H13" s="328"/>
      <c r="I13" s="63" t="str">
        <f t="shared" si="0"/>
        <v/>
      </c>
      <c r="J13" s="277">
        <f t="shared" si="61"/>
        <v>0</v>
      </c>
      <c r="K13" s="277">
        <f t="shared" si="62"/>
        <v>0</v>
      </c>
      <c r="L13" s="277">
        <f t="shared" si="1"/>
        <v>0</v>
      </c>
      <c r="M13" s="277">
        <f t="shared" si="2"/>
        <v>0</v>
      </c>
      <c r="N13" s="277">
        <f t="shared" si="3"/>
        <v>0</v>
      </c>
      <c r="O13" s="277">
        <f t="shared" si="4"/>
        <v>0</v>
      </c>
      <c r="P13" s="277">
        <f t="shared" si="5"/>
        <v>0</v>
      </c>
      <c r="Q13" s="277">
        <f t="shared" si="6"/>
        <v>0</v>
      </c>
      <c r="R13" s="277">
        <f t="shared" si="7"/>
        <v>0</v>
      </c>
      <c r="S13" s="277">
        <f t="shared" si="8"/>
        <v>0</v>
      </c>
      <c r="T13" s="277">
        <f t="shared" si="9"/>
        <v>0</v>
      </c>
      <c r="U13" s="277">
        <f t="shared" si="10"/>
        <v>0</v>
      </c>
      <c r="V13" s="277">
        <f t="shared" si="11"/>
        <v>0</v>
      </c>
      <c r="W13" s="277">
        <f t="shared" si="12"/>
        <v>0</v>
      </c>
      <c r="X13" s="277">
        <f t="shared" si="13"/>
        <v>0</v>
      </c>
      <c r="Y13" s="277">
        <f t="shared" si="14"/>
        <v>0</v>
      </c>
      <c r="Z13" s="277">
        <f t="shared" si="15"/>
        <v>0</v>
      </c>
      <c r="AA13" s="277">
        <f t="shared" si="16"/>
        <v>0</v>
      </c>
      <c r="AB13" s="277">
        <f t="shared" si="63"/>
        <v>0</v>
      </c>
      <c r="AC13" s="277">
        <f t="shared" si="64"/>
        <v>0</v>
      </c>
      <c r="AD13" s="277">
        <f t="shared" si="17"/>
        <v>0</v>
      </c>
      <c r="AE13" s="277">
        <f t="shared" si="18"/>
        <v>0</v>
      </c>
      <c r="AF13" s="277">
        <f t="shared" si="19"/>
        <v>0</v>
      </c>
      <c r="AG13" s="277">
        <f t="shared" si="20"/>
        <v>0</v>
      </c>
      <c r="AH13" s="277">
        <f t="shared" si="65"/>
        <v>0</v>
      </c>
      <c r="AI13" s="277">
        <f t="shared" si="66"/>
        <v>0</v>
      </c>
      <c r="AJ13" s="277">
        <f t="shared" si="67"/>
        <v>0</v>
      </c>
      <c r="AK13" s="277">
        <f t="shared" si="68"/>
        <v>0</v>
      </c>
      <c r="AL13" s="277">
        <f t="shared" si="69"/>
        <v>0</v>
      </c>
      <c r="AM13" s="277">
        <f t="shared" si="70"/>
        <v>0</v>
      </c>
      <c r="AN13" s="277">
        <f t="shared" si="71"/>
        <v>0</v>
      </c>
      <c r="AO13" s="277">
        <f t="shared" si="72"/>
        <v>0</v>
      </c>
      <c r="AP13" s="277">
        <f t="shared" si="21"/>
        <v>0</v>
      </c>
      <c r="AQ13" s="277">
        <f t="shared" si="22"/>
        <v>0</v>
      </c>
      <c r="AR13" s="277">
        <f t="shared" si="23"/>
        <v>0</v>
      </c>
      <c r="AS13" s="277">
        <f t="shared" si="24"/>
        <v>0</v>
      </c>
      <c r="AT13" s="277">
        <f t="shared" si="73"/>
        <v>0</v>
      </c>
      <c r="AU13" s="277">
        <f t="shared" si="74"/>
        <v>0</v>
      </c>
      <c r="AV13" s="277">
        <f t="shared" si="25"/>
        <v>0</v>
      </c>
      <c r="AW13" s="277">
        <f t="shared" si="26"/>
        <v>0</v>
      </c>
      <c r="AX13" s="277">
        <f t="shared" si="27"/>
        <v>0</v>
      </c>
      <c r="AY13" s="277">
        <f t="shared" si="28"/>
        <v>0</v>
      </c>
      <c r="AZ13" s="277">
        <f t="shared" si="29"/>
        <v>0</v>
      </c>
      <c r="BA13" s="277">
        <f t="shared" si="30"/>
        <v>0</v>
      </c>
      <c r="BB13" s="277">
        <f t="shared" si="31"/>
        <v>0</v>
      </c>
      <c r="BC13" s="277">
        <f t="shared" si="32"/>
        <v>0</v>
      </c>
      <c r="BD13" s="277">
        <f t="shared" si="33"/>
        <v>0</v>
      </c>
      <c r="BE13" s="277">
        <f t="shared" si="34"/>
        <v>0</v>
      </c>
      <c r="BF13" s="277">
        <f t="shared" si="35"/>
        <v>0</v>
      </c>
      <c r="BG13" s="277">
        <f t="shared" si="36"/>
        <v>0</v>
      </c>
      <c r="BH13" s="277">
        <f t="shared" si="75"/>
        <v>0</v>
      </c>
      <c r="BI13" s="277">
        <f t="shared" si="76"/>
        <v>0</v>
      </c>
      <c r="BJ13" s="277">
        <f t="shared" si="37"/>
        <v>0</v>
      </c>
      <c r="BK13" s="277">
        <f t="shared" si="38"/>
        <v>0</v>
      </c>
      <c r="BL13" s="277">
        <f t="shared" si="39"/>
        <v>0</v>
      </c>
      <c r="BM13" s="277">
        <f t="shared" si="40"/>
        <v>0</v>
      </c>
      <c r="BN13" s="277">
        <f t="shared" si="41"/>
        <v>0</v>
      </c>
      <c r="BO13" s="277">
        <f t="shared" si="42"/>
        <v>0</v>
      </c>
      <c r="BP13" s="277">
        <f t="shared" si="77"/>
        <v>0</v>
      </c>
      <c r="BQ13" s="277">
        <f t="shared" si="78"/>
        <v>0</v>
      </c>
      <c r="BR13" s="277">
        <f t="shared" si="43"/>
        <v>0</v>
      </c>
      <c r="BS13" s="277">
        <f t="shared" si="44"/>
        <v>0</v>
      </c>
      <c r="BT13" s="277">
        <f t="shared" si="79"/>
        <v>0</v>
      </c>
      <c r="BU13" s="277">
        <f t="shared" si="80"/>
        <v>0</v>
      </c>
      <c r="BV13" s="277">
        <f t="shared" si="81"/>
        <v>0</v>
      </c>
      <c r="BW13" s="277">
        <f t="shared" si="82"/>
        <v>0</v>
      </c>
      <c r="BX13" s="277">
        <f t="shared" si="45"/>
        <v>0</v>
      </c>
      <c r="BY13" s="277">
        <f t="shared" si="46"/>
        <v>0</v>
      </c>
      <c r="BZ13" s="277">
        <f t="shared" si="47"/>
        <v>0</v>
      </c>
      <c r="CA13" s="277">
        <f t="shared" si="48"/>
        <v>0</v>
      </c>
      <c r="CB13" s="277">
        <f t="shared" si="49"/>
        <v>0</v>
      </c>
      <c r="CC13" s="277">
        <f t="shared" si="50"/>
        <v>0</v>
      </c>
      <c r="CD13" s="277">
        <f t="shared" si="83"/>
        <v>0</v>
      </c>
      <c r="CE13" s="277">
        <f t="shared" si="84"/>
        <v>0</v>
      </c>
      <c r="CF13" s="277">
        <f t="shared" si="85"/>
        <v>0</v>
      </c>
      <c r="CG13" s="277">
        <f t="shared" si="86"/>
        <v>0</v>
      </c>
      <c r="CH13" s="277">
        <f t="shared" si="51"/>
        <v>0</v>
      </c>
      <c r="CI13" s="277">
        <f t="shared" si="52"/>
        <v>0</v>
      </c>
      <c r="CJ13" s="277">
        <f t="shared" si="87"/>
        <v>0</v>
      </c>
      <c r="CK13" s="277">
        <f t="shared" si="88"/>
        <v>0</v>
      </c>
      <c r="CL13" s="277">
        <f t="shared" si="53"/>
        <v>0</v>
      </c>
      <c r="CM13" s="277">
        <f t="shared" si="54"/>
        <v>0</v>
      </c>
      <c r="CN13" s="277">
        <f t="shared" si="55"/>
        <v>0</v>
      </c>
      <c r="CO13" s="277">
        <f t="shared" si="56"/>
        <v>0</v>
      </c>
      <c r="CP13" s="277">
        <f t="shared" si="89"/>
        <v>0</v>
      </c>
      <c r="CQ13" s="277">
        <f t="shared" si="90"/>
        <v>0</v>
      </c>
      <c r="CR13" s="277">
        <f t="shared" si="91"/>
        <v>0</v>
      </c>
      <c r="CS13" s="277">
        <f t="shared" si="92"/>
        <v>0</v>
      </c>
      <c r="CT13" s="277">
        <f t="shared" si="57"/>
        <v>0</v>
      </c>
      <c r="CU13" s="277">
        <f t="shared" si="58"/>
        <v>0</v>
      </c>
      <c r="CV13" s="277">
        <f t="shared" si="59"/>
        <v>0</v>
      </c>
      <c r="CW13" s="277">
        <f t="shared" si="60"/>
        <v>0</v>
      </c>
      <c r="CX13" s="277">
        <f t="shared" si="93"/>
        <v>0</v>
      </c>
      <c r="CY13" s="277">
        <f t="shared" si="94"/>
        <v>0</v>
      </c>
      <c r="CZ13" s="277">
        <f t="shared" si="95"/>
        <v>0</v>
      </c>
      <c r="DA13" s="277">
        <f t="shared" si="96"/>
        <v>0</v>
      </c>
    </row>
    <row r="14" spans="1:105" s="274" customFormat="1" ht="16.5" customHeight="1">
      <c r="A14" s="63" t="str">
        <f t="array" ref="A14">IF(C14&lt;&gt;0,SUM(($C$11:C14&lt;&gt;0)*1),"")</f>
        <v/>
      </c>
      <c r="B14" s="275"/>
      <c r="C14" s="275"/>
      <c r="D14" s="275"/>
      <c r="E14" s="365"/>
      <c r="F14" s="326"/>
      <c r="G14" s="328"/>
      <c r="H14" s="328"/>
      <c r="I14" s="63" t="str">
        <f t="shared" si="0"/>
        <v/>
      </c>
      <c r="J14" s="277">
        <f t="shared" si="61"/>
        <v>0</v>
      </c>
      <c r="K14" s="277">
        <f t="shared" si="62"/>
        <v>0</v>
      </c>
      <c r="L14" s="277">
        <f t="shared" si="1"/>
        <v>0</v>
      </c>
      <c r="M14" s="277">
        <f t="shared" si="2"/>
        <v>0</v>
      </c>
      <c r="N14" s="277">
        <f t="shared" si="3"/>
        <v>0</v>
      </c>
      <c r="O14" s="277">
        <f t="shared" si="4"/>
        <v>0</v>
      </c>
      <c r="P14" s="277">
        <f t="shared" si="5"/>
        <v>0</v>
      </c>
      <c r="Q14" s="277">
        <f t="shared" si="6"/>
        <v>0</v>
      </c>
      <c r="R14" s="277">
        <f t="shared" si="7"/>
        <v>0</v>
      </c>
      <c r="S14" s="277">
        <f t="shared" si="8"/>
        <v>0</v>
      </c>
      <c r="T14" s="277">
        <f t="shared" si="9"/>
        <v>0</v>
      </c>
      <c r="U14" s="277">
        <f t="shared" si="10"/>
        <v>0</v>
      </c>
      <c r="V14" s="277">
        <f t="shared" si="11"/>
        <v>0</v>
      </c>
      <c r="W14" s="277">
        <f t="shared" si="12"/>
        <v>0</v>
      </c>
      <c r="X14" s="277">
        <f t="shared" si="13"/>
        <v>0</v>
      </c>
      <c r="Y14" s="277">
        <f t="shared" si="14"/>
        <v>0</v>
      </c>
      <c r="Z14" s="277">
        <f t="shared" si="15"/>
        <v>0</v>
      </c>
      <c r="AA14" s="277">
        <f t="shared" si="16"/>
        <v>0</v>
      </c>
      <c r="AB14" s="277">
        <f t="shared" si="63"/>
        <v>0</v>
      </c>
      <c r="AC14" s="277">
        <f t="shared" si="64"/>
        <v>0</v>
      </c>
      <c r="AD14" s="277">
        <f t="shared" si="17"/>
        <v>0</v>
      </c>
      <c r="AE14" s="277">
        <f t="shared" si="18"/>
        <v>0</v>
      </c>
      <c r="AF14" s="277">
        <f t="shared" si="19"/>
        <v>0</v>
      </c>
      <c r="AG14" s="277">
        <f t="shared" si="20"/>
        <v>0</v>
      </c>
      <c r="AH14" s="277">
        <f t="shared" si="65"/>
        <v>0</v>
      </c>
      <c r="AI14" s="277">
        <f t="shared" si="66"/>
        <v>0</v>
      </c>
      <c r="AJ14" s="277">
        <f t="shared" si="67"/>
        <v>0</v>
      </c>
      <c r="AK14" s="277">
        <f t="shared" si="68"/>
        <v>0</v>
      </c>
      <c r="AL14" s="277">
        <f t="shared" si="69"/>
        <v>0</v>
      </c>
      <c r="AM14" s="277">
        <f t="shared" si="70"/>
        <v>0</v>
      </c>
      <c r="AN14" s="277">
        <f t="shared" si="71"/>
        <v>0</v>
      </c>
      <c r="AO14" s="277">
        <f t="shared" si="72"/>
        <v>0</v>
      </c>
      <c r="AP14" s="277">
        <f t="shared" si="21"/>
        <v>0</v>
      </c>
      <c r="AQ14" s="277">
        <f t="shared" si="22"/>
        <v>0</v>
      </c>
      <c r="AR14" s="277">
        <f t="shared" si="23"/>
        <v>0</v>
      </c>
      <c r="AS14" s="277">
        <f t="shared" si="24"/>
        <v>0</v>
      </c>
      <c r="AT14" s="277">
        <f t="shared" si="73"/>
        <v>0</v>
      </c>
      <c r="AU14" s="277">
        <f t="shared" si="74"/>
        <v>0</v>
      </c>
      <c r="AV14" s="277">
        <f t="shared" si="25"/>
        <v>0</v>
      </c>
      <c r="AW14" s="277">
        <f t="shared" si="26"/>
        <v>0</v>
      </c>
      <c r="AX14" s="277">
        <f t="shared" si="27"/>
        <v>0</v>
      </c>
      <c r="AY14" s="277">
        <f t="shared" si="28"/>
        <v>0</v>
      </c>
      <c r="AZ14" s="277">
        <f t="shared" si="29"/>
        <v>0</v>
      </c>
      <c r="BA14" s="277">
        <f t="shared" si="30"/>
        <v>0</v>
      </c>
      <c r="BB14" s="277">
        <f t="shared" si="31"/>
        <v>0</v>
      </c>
      <c r="BC14" s="277">
        <f t="shared" si="32"/>
        <v>0</v>
      </c>
      <c r="BD14" s="277">
        <f t="shared" si="33"/>
        <v>0</v>
      </c>
      <c r="BE14" s="277">
        <f t="shared" si="34"/>
        <v>0</v>
      </c>
      <c r="BF14" s="277">
        <f t="shared" si="35"/>
        <v>0</v>
      </c>
      <c r="BG14" s="277">
        <f t="shared" si="36"/>
        <v>0</v>
      </c>
      <c r="BH14" s="277">
        <f t="shared" si="75"/>
        <v>0</v>
      </c>
      <c r="BI14" s="277">
        <f t="shared" si="76"/>
        <v>0</v>
      </c>
      <c r="BJ14" s="277">
        <f t="shared" si="37"/>
        <v>0</v>
      </c>
      <c r="BK14" s="277">
        <f t="shared" si="38"/>
        <v>0</v>
      </c>
      <c r="BL14" s="277">
        <f t="shared" si="39"/>
        <v>0</v>
      </c>
      <c r="BM14" s="277">
        <f t="shared" si="40"/>
        <v>0</v>
      </c>
      <c r="BN14" s="277">
        <f t="shared" si="41"/>
        <v>0</v>
      </c>
      <c r="BO14" s="277">
        <f t="shared" si="42"/>
        <v>0</v>
      </c>
      <c r="BP14" s="277">
        <f t="shared" si="77"/>
        <v>0</v>
      </c>
      <c r="BQ14" s="277">
        <f t="shared" si="78"/>
        <v>0</v>
      </c>
      <c r="BR14" s="277">
        <f t="shared" si="43"/>
        <v>0</v>
      </c>
      <c r="BS14" s="277">
        <f t="shared" si="44"/>
        <v>0</v>
      </c>
      <c r="BT14" s="277">
        <f t="shared" si="79"/>
        <v>0</v>
      </c>
      <c r="BU14" s="277">
        <f t="shared" si="80"/>
        <v>0</v>
      </c>
      <c r="BV14" s="277">
        <f t="shared" si="81"/>
        <v>0</v>
      </c>
      <c r="BW14" s="277">
        <f t="shared" si="82"/>
        <v>0</v>
      </c>
      <c r="BX14" s="277">
        <f t="shared" si="45"/>
        <v>0</v>
      </c>
      <c r="BY14" s="277">
        <f t="shared" si="46"/>
        <v>0</v>
      </c>
      <c r="BZ14" s="277">
        <f t="shared" si="47"/>
        <v>0</v>
      </c>
      <c r="CA14" s="277">
        <f t="shared" si="48"/>
        <v>0</v>
      </c>
      <c r="CB14" s="277">
        <f t="shared" si="49"/>
        <v>0</v>
      </c>
      <c r="CC14" s="277">
        <f t="shared" si="50"/>
        <v>0</v>
      </c>
      <c r="CD14" s="277">
        <f t="shared" si="83"/>
        <v>0</v>
      </c>
      <c r="CE14" s="277">
        <f t="shared" si="84"/>
        <v>0</v>
      </c>
      <c r="CF14" s="277">
        <f t="shared" si="85"/>
        <v>0</v>
      </c>
      <c r="CG14" s="277">
        <f t="shared" si="86"/>
        <v>0</v>
      </c>
      <c r="CH14" s="277">
        <f t="shared" si="51"/>
        <v>0</v>
      </c>
      <c r="CI14" s="277">
        <f t="shared" si="52"/>
        <v>0</v>
      </c>
      <c r="CJ14" s="277">
        <f t="shared" si="87"/>
        <v>0</v>
      </c>
      <c r="CK14" s="277">
        <f t="shared" si="88"/>
        <v>0</v>
      </c>
      <c r="CL14" s="277">
        <f t="shared" si="53"/>
        <v>0</v>
      </c>
      <c r="CM14" s="277">
        <f t="shared" si="54"/>
        <v>0</v>
      </c>
      <c r="CN14" s="277">
        <f t="shared" si="55"/>
        <v>0</v>
      </c>
      <c r="CO14" s="277">
        <f t="shared" si="56"/>
        <v>0</v>
      </c>
      <c r="CP14" s="277">
        <f t="shared" si="89"/>
        <v>0</v>
      </c>
      <c r="CQ14" s="277">
        <f t="shared" si="90"/>
        <v>0</v>
      </c>
      <c r="CR14" s="277">
        <f t="shared" si="91"/>
        <v>0</v>
      </c>
      <c r="CS14" s="277">
        <f t="shared" si="92"/>
        <v>0</v>
      </c>
      <c r="CT14" s="277">
        <f t="shared" si="57"/>
        <v>0</v>
      </c>
      <c r="CU14" s="277">
        <f t="shared" si="58"/>
        <v>0</v>
      </c>
      <c r="CV14" s="277">
        <f t="shared" si="59"/>
        <v>0</v>
      </c>
      <c r="CW14" s="277">
        <f t="shared" si="60"/>
        <v>0</v>
      </c>
      <c r="CX14" s="277">
        <f t="shared" si="93"/>
        <v>0</v>
      </c>
      <c r="CY14" s="277">
        <f t="shared" si="94"/>
        <v>0</v>
      </c>
      <c r="CZ14" s="277">
        <f t="shared" si="95"/>
        <v>0</v>
      </c>
      <c r="DA14" s="277">
        <f t="shared" si="96"/>
        <v>0</v>
      </c>
    </row>
    <row r="15" spans="1:105" s="274" customFormat="1" ht="16.5" customHeight="1">
      <c r="A15" s="63" t="str">
        <f t="array" ref="A15">IF(C15&lt;&gt;0,SUM(($C$11:C15&lt;&gt;0)*1),"")</f>
        <v/>
      </c>
      <c r="B15" s="275"/>
      <c r="C15" s="275"/>
      <c r="D15" s="275"/>
      <c r="E15" s="365"/>
      <c r="F15" s="326"/>
      <c r="G15" s="328"/>
      <c r="H15" s="328"/>
      <c r="I15" s="63" t="str">
        <f t="shared" si="0"/>
        <v/>
      </c>
      <c r="J15" s="277">
        <f t="shared" si="61"/>
        <v>0</v>
      </c>
      <c r="K15" s="277">
        <f t="shared" si="62"/>
        <v>0</v>
      </c>
      <c r="L15" s="277">
        <f t="shared" si="1"/>
        <v>0</v>
      </c>
      <c r="M15" s="277">
        <f t="shared" si="2"/>
        <v>0</v>
      </c>
      <c r="N15" s="277">
        <f t="shared" si="3"/>
        <v>0</v>
      </c>
      <c r="O15" s="277">
        <f t="shared" si="4"/>
        <v>0</v>
      </c>
      <c r="P15" s="277">
        <f t="shared" si="5"/>
        <v>0</v>
      </c>
      <c r="Q15" s="277">
        <f t="shared" si="6"/>
        <v>0</v>
      </c>
      <c r="R15" s="277">
        <f t="shared" si="7"/>
        <v>0</v>
      </c>
      <c r="S15" s="277">
        <f t="shared" si="8"/>
        <v>0</v>
      </c>
      <c r="T15" s="277">
        <f t="shared" si="9"/>
        <v>0</v>
      </c>
      <c r="U15" s="277">
        <f t="shared" si="10"/>
        <v>0</v>
      </c>
      <c r="V15" s="277">
        <f t="shared" si="11"/>
        <v>0</v>
      </c>
      <c r="W15" s="277">
        <f t="shared" si="12"/>
        <v>0</v>
      </c>
      <c r="X15" s="277">
        <f t="shared" si="13"/>
        <v>0</v>
      </c>
      <c r="Y15" s="277">
        <f t="shared" si="14"/>
        <v>0</v>
      </c>
      <c r="Z15" s="277">
        <f t="shared" si="15"/>
        <v>0</v>
      </c>
      <c r="AA15" s="277">
        <f t="shared" si="16"/>
        <v>0</v>
      </c>
      <c r="AB15" s="277">
        <f t="shared" si="63"/>
        <v>0</v>
      </c>
      <c r="AC15" s="277">
        <f t="shared" si="64"/>
        <v>0</v>
      </c>
      <c r="AD15" s="277">
        <f t="shared" si="17"/>
        <v>0</v>
      </c>
      <c r="AE15" s="277">
        <f t="shared" si="18"/>
        <v>0</v>
      </c>
      <c r="AF15" s="277">
        <f t="shared" si="19"/>
        <v>0</v>
      </c>
      <c r="AG15" s="277">
        <f t="shared" si="20"/>
        <v>0</v>
      </c>
      <c r="AH15" s="277">
        <f t="shared" si="65"/>
        <v>0</v>
      </c>
      <c r="AI15" s="277">
        <f t="shared" si="66"/>
        <v>0</v>
      </c>
      <c r="AJ15" s="277">
        <f t="shared" si="67"/>
        <v>0</v>
      </c>
      <c r="AK15" s="277">
        <f t="shared" si="68"/>
        <v>0</v>
      </c>
      <c r="AL15" s="277">
        <f t="shared" si="69"/>
        <v>0</v>
      </c>
      <c r="AM15" s="277">
        <f t="shared" si="70"/>
        <v>0</v>
      </c>
      <c r="AN15" s="277">
        <f t="shared" si="71"/>
        <v>0</v>
      </c>
      <c r="AO15" s="277">
        <f t="shared" si="72"/>
        <v>0</v>
      </c>
      <c r="AP15" s="277">
        <f t="shared" si="21"/>
        <v>0</v>
      </c>
      <c r="AQ15" s="277">
        <f t="shared" si="22"/>
        <v>0</v>
      </c>
      <c r="AR15" s="277">
        <f t="shared" si="23"/>
        <v>0</v>
      </c>
      <c r="AS15" s="277">
        <f t="shared" si="24"/>
        <v>0</v>
      </c>
      <c r="AT15" s="277">
        <f t="shared" si="73"/>
        <v>0</v>
      </c>
      <c r="AU15" s="277">
        <f t="shared" si="74"/>
        <v>0</v>
      </c>
      <c r="AV15" s="277">
        <f t="shared" si="25"/>
        <v>0</v>
      </c>
      <c r="AW15" s="277">
        <f t="shared" si="26"/>
        <v>0</v>
      </c>
      <c r="AX15" s="277">
        <f t="shared" si="27"/>
        <v>0</v>
      </c>
      <c r="AY15" s="277">
        <f t="shared" si="28"/>
        <v>0</v>
      </c>
      <c r="AZ15" s="277">
        <f t="shared" si="29"/>
        <v>0</v>
      </c>
      <c r="BA15" s="277">
        <f t="shared" si="30"/>
        <v>0</v>
      </c>
      <c r="BB15" s="277">
        <f t="shared" si="31"/>
        <v>0</v>
      </c>
      <c r="BC15" s="277">
        <f t="shared" si="32"/>
        <v>0</v>
      </c>
      <c r="BD15" s="277">
        <f t="shared" si="33"/>
        <v>0</v>
      </c>
      <c r="BE15" s="277">
        <f t="shared" si="34"/>
        <v>0</v>
      </c>
      <c r="BF15" s="277">
        <f t="shared" si="35"/>
        <v>0</v>
      </c>
      <c r="BG15" s="277">
        <f t="shared" si="36"/>
        <v>0</v>
      </c>
      <c r="BH15" s="277">
        <f t="shared" si="75"/>
        <v>0</v>
      </c>
      <c r="BI15" s="277">
        <f t="shared" si="76"/>
        <v>0</v>
      </c>
      <c r="BJ15" s="277">
        <f t="shared" si="37"/>
        <v>0</v>
      </c>
      <c r="BK15" s="277">
        <f t="shared" si="38"/>
        <v>0</v>
      </c>
      <c r="BL15" s="277">
        <f t="shared" si="39"/>
        <v>0</v>
      </c>
      <c r="BM15" s="277">
        <f t="shared" si="40"/>
        <v>0</v>
      </c>
      <c r="BN15" s="277">
        <f t="shared" si="41"/>
        <v>0</v>
      </c>
      <c r="BO15" s="277">
        <f t="shared" si="42"/>
        <v>0</v>
      </c>
      <c r="BP15" s="277">
        <f t="shared" si="77"/>
        <v>0</v>
      </c>
      <c r="BQ15" s="277">
        <f t="shared" si="78"/>
        <v>0</v>
      </c>
      <c r="BR15" s="277">
        <f t="shared" si="43"/>
        <v>0</v>
      </c>
      <c r="BS15" s="277">
        <f t="shared" si="44"/>
        <v>0</v>
      </c>
      <c r="BT15" s="277">
        <f t="shared" si="79"/>
        <v>0</v>
      </c>
      <c r="BU15" s="277">
        <f t="shared" si="80"/>
        <v>0</v>
      </c>
      <c r="BV15" s="277">
        <f t="shared" si="81"/>
        <v>0</v>
      </c>
      <c r="BW15" s="277">
        <f t="shared" si="82"/>
        <v>0</v>
      </c>
      <c r="BX15" s="277">
        <f t="shared" si="45"/>
        <v>0</v>
      </c>
      <c r="BY15" s="277">
        <f t="shared" si="46"/>
        <v>0</v>
      </c>
      <c r="BZ15" s="277">
        <f t="shared" si="47"/>
        <v>0</v>
      </c>
      <c r="CA15" s="277">
        <f t="shared" si="48"/>
        <v>0</v>
      </c>
      <c r="CB15" s="277">
        <f t="shared" si="49"/>
        <v>0</v>
      </c>
      <c r="CC15" s="277">
        <f t="shared" si="50"/>
        <v>0</v>
      </c>
      <c r="CD15" s="277">
        <f t="shared" si="83"/>
        <v>0</v>
      </c>
      <c r="CE15" s="277">
        <f t="shared" si="84"/>
        <v>0</v>
      </c>
      <c r="CF15" s="277">
        <f t="shared" si="85"/>
        <v>0</v>
      </c>
      <c r="CG15" s="277">
        <f t="shared" si="86"/>
        <v>0</v>
      </c>
      <c r="CH15" s="277">
        <f t="shared" si="51"/>
        <v>0</v>
      </c>
      <c r="CI15" s="277">
        <f t="shared" si="52"/>
        <v>0</v>
      </c>
      <c r="CJ15" s="277">
        <f t="shared" si="87"/>
        <v>0</v>
      </c>
      <c r="CK15" s="277">
        <f t="shared" si="88"/>
        <v>0</v>
      </c>
      <c r="CL15" s="277">
        <f t="shared" si="53"/>
        <v>0</v>
      </c>
      <c r="CM15" s="277">
        <f t="shared" si="54"/>
        <v>0</v>
      </c>
      <c r="CN15" s="277">
        <f t="shared" si="55"/>
        <v>0</v>
      </c>
      <c r="CO15" s="277">
        <f t="shared" si="56"/>
        <v>0</v>
      </c>
      <c r="CP15" s="277">
        <f t="shared" si="89"/>
        <v>0</v>
      </c>
      <c r="CQ15" s="277">
        <f t="shared" si="90"/>
        <v>0</v>
      </c>
      <c r="CR15" s="277">
        <f t="shared" si="91"/>
        <v>0</v>
      </c>
      <c r="CS15" s="277">
        <f t="shared" si="92"/>
        <v>0</v>
      </c>
      <c r="CT15" s="277">
        <f t="shared" si="57"/>
        <v>0</v>
      </c>
      <c r="CU15" s="277">
        <f t="shared" si="58"/>
        <v>0</v>
      </c>
      <c r="CV15" s="277">
        <f t="shared" si="59"/>
        <v>0</v>
      </c>
      <c r="CW15" s="277">
        <f t="shared" si="60"/>
        <v>0</v>
      </c>
      <c r="CX15" s="277">
        <f t="shared" si="93"/>
        <v>0</v>
      </c>
      <c r="CY15" s="277">
        <f t="shared" si="94"/>
        <v>0</v>
      </c>
      <c r="CZ15" s="277">
        <f t="shared" si="95"/>
        <v>0</v>
      </c>
      <c r="DA15" s="277">
        <f t="shared" si="96"/>
        <v>0</v>
      </c>
    </row>
    <row r="16" spans="1:105" s="274" customFormat="1" ht="16.5" customHeight="1">
      <c r="A16" s="63" t="str">
        <f t="array" ref="A16">IF(C16&lt;&gt;0,SUM(($C$11:C16&lt;&gt;0)*1),"")</f>
        <v/>
      </c>
      <c r="B16" s="275"/>
      <c r="C16" s="275"/>
      <c r="D16" s="275"/>
      <c r="E16" s="365"/>
      <c r="F16" s="326"/>
      <c r="G16" s="328"/>
      <c r="H16" s="328"/>
      <c r="I16" s="63" t="str">
        <f t="shared" si="0"/>
        <v/>
      </c>
      <c r="J16" s="277">
        <f t="shared" si="61"/>
        <v>0</v>
      </c>
      <c r="K16" s="277">
        <f t="shared" si="62"/>
        <v>0</v>
      </c>
      <c r="L16" s="277">
        <f t="shared" si="1"/>
        <v>0</v>
      </c>
      <c r="M16" s="277">
        <f t="shared" si="2"/>
        <v>0</v>
      </c>
      <c r="N16" s="277">
        <f t="shared" si="3"/>
        <v>0</v>
      </c>
      <c r="O16" s="277">
        <f t="shared" si="4"/>
        <v>0</v>
      </c>
      <c r="P16" s="277">
        <f t="shared" si="5"/>
        <v>0</v>
      </c>
      <c r="Q16" s="277">
        <f t="shared" si="6"/>
        <v>0</v>
      </c>
      <c r="R16" s="277">
        <f t="shared" si="7"/>
        <v>0</v>
      </c>
      <c r="S16" s="277">
        <f t="shared" si="8"/>
        <v>0</v>
      </c>
      <c r="T16" s="277">
        <f t="shared" si="9"/>
        <v>0</v>
      </c>
      <c r="U16" s="277">
        <f t="shared" si="10"/>
        <v>0</v>
      </c>
      <c r="V16" s="277">
        <f t="shared" si="11"/>
        <v>0</v>
      </c>
      <c r="W16" s="277">
        <f t="shared" si="12"/>
        <v>0</v>
      </c>
      <c r="X16" s="277">
        <f t="shared" si="13"/>
        <v>0</v>
      </c>
      <c r="Y16" s="277">
        <f t="shared" si="14"/>
        <v>0</v>
      </c>
      <c r="Z16" s="277">
        <f t="shared" si="15"/>
        <v>0</v>
      </c>
      <c r="AA16" s="277">
        <f t="shared" si="16"/>
        <v>0</v>
      </c>
      <c r="AB16" s="277">
        <f t="shared" si="63"/>
        <v>0</v>
      </c>
      <c r="AC16" s="277">
        <f t="shared" si="64"/>
        <v>0</v>
      </c>
      <c r="AD16" s="277">
        <f t="shared" si="17"/>
        <v>0</v>
      </c>
      <c r="AE16" s="277">
        <f t="shared" si="18"/>
        <v>0</v>
      </c>
      <c r="AF16" s="277">
        <f t="shared" si="19"/>
        <v>0</v>
      </c>
      <c r="AG16" s="277">
        <f t="shared" si="20"/>
        <v>0</v>
      </c>
      <c r="AH16" s="277">
        <f t="shared" si="65"/>
        <v>0</v>
      </c>
      <c r="AI16" s="277">
        <f t="shared" si="66"/>
        <v>0</v>
      </c>
      <c r="AJ16" s="277">
        <f t="shared" si="67"/>
        <v>0</v>
      </c>
      <c r="AK16" s="277">
        <f t="shared" si="68"/>
        <v>0</v>
      </c>
      <c r="AL16" s="277">
        <f t="shared" si="69"/>
        <v>0</v>
      </c>
      <c r="AM16" s="277">
        <f t="shared" si="70"/>
        <v>0</v>
      </c>
      <c r="AN16" s="277">
        <f t="shared" si="71"/>
        <v>0</v>
      </c>
      <c r="AO16" s="277">
        <f t="shared" si="72"/>
        <v>0</v>
      </c>
      <c r="AP16" s="277">
        <f t="shared" si="21"/>
        <v>0</v>
      </c>
      <c r="AQ16" s="277">
        <f t="shared" si="22"/>
        <v>0</v>
      </c>
      <c r="AR16" s="277">
        <f t="shared" si="23"/>
        <v>0</v>
      </c>
      <c r="AS16" s="277">
        <f t="shared" si="24"/>
        <v>0</v>
      </c>
      <c r="AT16" s="277">
        <f t="shared" si="73"/>
        <v>0</v>
      </c>
      <c r="AU16" s="277">
        <f t="shared" si="74"/>
        <v>0</v>
      </c>
      <c r="AV16" s="277">
        <f t="shared" si="25"/>
        <v>0</v>
      </c>
      <c r="AW16" s="277">
        <f t="shared" si="26"/>
        <v>0</v>
      </c>
      <c r="AX16" s="277">
        <f t="shared" si="27"/>
        <v>0</v>
      </c>
      <c r="AY16" s="277">
        <f t="shared" si="28"/>
        <v>0</v>
      </c>
      <c r="AZ16" s="277">
        <f t="shared" si="29"/>
        <v>0</v>
      </c>
      <c r="BA16" s="277">
        <f t="shared" si="30"/>
        <v>0</v>
      </c>
      <c r="BB16" s="277">
        <f t="shared" si="31"/>
        <v>0</v>
      </c>
      <c r="BC16" s="277">
        <f t="shared" si="32"/>
        <v>0</v>
      </c>
      <c r="BD16" s="277">
        <f t="shared" si="33"/>
        <v>0</v>
      </c>
      <c r="BE16" s="277">
        <f t="shared" si="34"/>
        <v>0</v>
      </c>
      <c r="BF16" s="277">
        <f t="shared" si="35"/>
        <v>0</v>
      </c>
      <c r="BG16" s="277">
        <f t="shared" si="36"/>
        <v>0</v>
      </c>
      <c r="BH16" s="277">
        <f t="shared" si="75"/>
        <v>0</v>
      </c>
      <c r="BI16" s="277">
        <f t="shared" si="76"/>
        <v>0</v>
      </c>
      <c r="BJ16" s="277">
        <f t="shared" si="37"/>
        <v>0</v>
      </c>
      <c r="BK16" s="277">
        <f t="shared" si="38"/>
        <v>0</v>
      </c>
      <c r="BL16" s="277">
        <f t="shared" si="39"/>
        <v>0</v>
      </c>
      <c r="BM16" s="277">
        <f t="shared" si="40"/>
        <v>0</v>
      </c>
      <c r="BN16" s="277">
        <f t="shared" si="41"/>
        <v>0</v>
      </c>
      <c r="BO16" s="277">
        <f t="shared" si="42"/>
        <v>0</v>
      </c>
      <c r="BP16" s="277">
        <f t="shared" si="77"/>
        <v>0</v>
      </c>
      <c r="BQ16" s="277">
        <f t="shared" si="78"/>
        <v>0</v>
      </c>
      <c r="BR16" s="277">
        <f t="shared" si="43"/>
        <v>0</v>
      </c>
      <c r="BS16" s="277">
        <f t="shared" si="44"/>
        <v>0</v>
      </c>
      <c r="BT16" s="277">
        <f t="shared" si="79"/>
        <v>0</v>
      </c>
      <c r="BU16" s="277">
        <f t="shared" si="80"/>
        <v>0</v>
      </c>
      <c r="BV16" s="277">
        <f t="shared" si="81"/>
        <v>0</v>
      </c>
      <c r="BW16" s="277">
        <f t="shared" si="82"/>
        <v>0</v>
      </c>
      <c r="BX16" s="277">
        <f t="shared" si="45"/>
        <v>0</v>
      </c>
      <c r="BY16" s="277">
        <f t="shared" si="46"/>
        <v>0</v>
      </c>
      <c r="BZ16" s="277">
        <f t="shared" si="47"/>
        <v>0</v>
      </c>
      <c r="CA16" s="277">
        <f t="shared" si="48"/>
        <v>0</v>
      </c>
      <c r="CB16" s="277">
        <f t="shared" si="49"/>
        <v>0</v>
      </c>
      <c r="CC16" s="277">
        <f t="shared" si="50"/>
        <v>0</v>
      </c>
      <c r="CD16" s="277">
        <f t="shared" si="83"/>
        <v>0</v>
      </c>
      <c r="CE16" s="277">
        <f t="shared" si="84"/>
        <v>0</v>
      </c>
      <c r="CF16" s="277">
        <f t="shared" si="85"/>
        <v>0</v>
      </c>
      <c r="CG16" s="277">
        <f t="shared" si="86"/>
        <v>0</v>
      </c>
      <c r="CH16" s="277">
        <f t="shared" si="51"/>
        <v>0</v>
      </c>
      <c r="CI16" s="277">
        <f t="shared" si="52"/>
        <v>0</v>
      </c>
      <c r="CJ16" s="277">
        <f t="shared" si="87"/>
        <v>0</v>
      </c>
      <c r="CK16" s="277">
        <f t="shared" si="88"/>
        <v>0</v>
      </c>
      <c r="CL16" s="277">
        <f t="shared" si="53"/>
        <v>0</v>
      </c>
      <c r="CM16" s="277">
        <f t="shared" si="54"/>
        <v>0</v>
      </c>
      <c r="CN16" s="277">
        <f t="shared" si="55"/>
        <v>0</v>
      </c>
      <c r="CO16" s="277">
        <f t="shared" si="56"/>
        <v>0</v>
      </c>
      <c r="CP16" s="277">
        <f t="shared" si="89"/>
        <v>0</v>
      </c>
      <c r="CQ16" s="277">
        <f t="shared" si="90"/>
        <v>0</v>
      </c>
      <c r="CR16" s="277">
        <f t="shared" si="91"/>
        <v>0</v>
      </c>
      <c r="CS16" s="277">
        <f t="shared" si="92"/>
        <v>0</v>
      </c>
      <c r="CT16" s="277">
        <f t="shared" si="57"/>
        <v>0</v>
      </c>
      <c r="CU16" s="277">
        <f t="shared" si="58"/>
        <v>0</v>
      </c>
      <c r="CV16" s="277">
        <f t="shared" si="59"/>
        <v>0</v>
      </c>
      <c r="CW16" s="277">
        <f t="shared" si="60"/>
        <v>0</v>
      </c>
      <c r="CX16" s="277">
        <f t="shared" si="93"/>
        <v>0</v>
      </c>
      <c r="CY16" s="277">
        <f t="shared" si="94"/>
        <v>0</v>
      </c>
      <c r="CZ16" s="277">
        <f t="shared" si="95"/>
        <v>0</v>
      </c>
      <c r="DA16" s="277">
        <f t="shared" si="96"/>
        <v>0</v>
      </c>
    </row>
    <row r="17" spans="1:105" s="274" customFormat="1" ht="16.5" customHeight="1">
      <c r="A17" s="63" t="str">
        <f t="array" ref="A17">IF(C17&lt;&gt;0,SUM(($C$11:C17&lt;&gt;0)*1),"")</f>
        <v/>
      </c>
      <c r="B17" s="275"/>
      <c r="C17" s="275"/>
      <c r="D17" s="275"/>
      <c r="E17" s="365"/>
      <c r="F17" s="326"/>
      <c r="G17" s="328"/>
      <c r="H17" s="328"/>
      <c r="I17" s="63" t="str">
        <f t="shared" si="0"/>
        <v/>
      </c>
      <c r="J17" s="277">
        <f t="shared" si="61"/>
        <v>0</v>
      </c>
      <c r="K17" s="277">
        <f t="shared" si="62"/>
        <v>0</v>
      </c>
      <c r="L17" s="277">
        <f t="shared" si="1"/>
        <v>0</v>
      </c>
      <c r="M17" s="277">
        <f t="shared" si="2"/>
        <v>0</v>
      </c>
      <c r="N17" s="277">
        <f t="shared" si="3"/>
        <v>0</v>
      </c>
      <c r="O17" s="277">
        <f t="shared" si="4"/>
        <v>0</v>
      </c>
      <c r="P17" s="277">
        <f t="shared" si="5"/>
        <v>0</v>
      </c>
      <c r="Q17" s="277">
        <f t="shared" si="6"/>
        <v>0</v>
      </c>
      <c r="R17" s="277">
        <f t="shared" si="7"/>
        <v>0</v>
      </c>
      <c r="S17" s="277">
        <f t="shared" si="8"/>
        <v>0</v>
      </c>
      <c r="T17" s="277">
        <f t="shared" si="9"/>
        <v>0</v>
      </c>
      <c r="U17" s="277">
        <f t="shared" si="10"/>
        <v>0</v>
      </c>
      <c r="V17" s="277">
        <f t="shared" si="11"/>
        <v>0</v>
      </c>
      <c r="W17" s="277">
        <f t="shared" si="12"/>
        <v>0</v>
      </c>
      <c r="X17" s="277">
        <f t="shared" si="13"/>
        <v>0</v>
      </c>
      <c r="Y17" s="277">
        <f t="shared" si="14"/>
        <v>0</v>
      </c>
      <c r="Z17" s="277">
        <f t="shared" si="15"/>
        <v>0</v>
      </c>
      <c r="AA17" s="277">
        <f t="shared" si="16"/>
        <v>0</v>
      </c>
      <c r="AB17" s="277">
        <f t="shared" si="63"/>
        <v>0</v>
      </c>
      <c r="AC17" s="277">
        <f t="shared" si="64"/>
        <v>0</v>
      </c>
      <c r="AD17" s="277">
        <f t="shared" si="17"/>
        <v>0</v>
      </c>
      <c r="AE17" s="277">
        <f t="shared" si="18"/>
        <v>0</v>
      </c>
      <c r="AF17" s="277">
        <f t="shared" si="19"/>
        <v>0</v>
      </c>
      <c r="AG17" s="277">
        <f t="shared" si="20"/>
        <v>0</v>
      </c>
      <c r="AH17" s="277">
        <f t="shared" si="65"/>
        <v>0</v>
      </c>
      <c r="AI17" s="277">
        <f t="shared" si="66"/>
        <v>0</v>
      </c>
      <c r="AJ17" s="277">
        <f t="shared" si="67"/>
        <v>0</v>
      </c>
      <c r="AK17" s="277">
        <f t="shared" si="68"/>
        <v>0</v>
      </c>
      <c r="AL17" s="277">
        <f t="shared" si="69"/>
        <v>0</v>
      </c>
      <c r="AM17" s="277">
        <f t="shared" si="70"/>
        <v>0</v>
      </c>
      <c r="AN17" s="277">
        <f t="shared" si="71"/>
        <v>0</v>
      </c>
      <c r="AO17" s="277">
        <f t="shared" si="72"/>
        <v>0</v>
      </c>
      <c r="AP17" s="277">
        <f t="shared" si="21"/>
        <v>0</v>
      </c>
      <c r="AQ17" s="277">
        <f t="shared" si="22"/>
        <v>0</v>
      </c>
      <c r="AR17" s="277">
        <f t="shared" si="23"/>
        <v>0</v>
      </c>
      <c r="AS17" s="277">
        <f t="shared" si="24"/>
        <v>0</v>
      </c>
      <c r="AT17" s="277">
        <f t="shared" si="73"/>
        <v>0</v>
      </c>
      <c r="AU17" s="277">
        <f t="shared" si="74"/>
        <v>0</v>
      </c>
      <c r="AV17" s="277">
        <f t="shared" si="25"/>
        <v>0</v>
      </c>
      <c r="AW17" s="277">
        <f t="shared" si="26"/>
        <v>0</v>
      </c>
      <c r="AX17" s="277">
        <f t="shared" si="27"/>
        <v>0</v>
      </c>
      <c r="AY17" s="277">
        <f t="shared" si="28"/>
        <v>0</v>
      </c>
      <c r="AZ17" s="277">
        <f t="shared" si="29"/>
        <v>0</v>
      </c>
      <c r="BA17" s="277">
        <f t="shared" si="30"/>
        <v>0</v>
      </c>
      <c r="BB17" s="277">
        <f t="shared" si="31"/>
        <v>0</v>
      </c>
      <c r="BC17" s="277">
        <f t="shared" si="32"/>
        <v>0</v>
      </c>
      <c r="BD17" s="277">
        <f t="shared" si="33"/>
        <v>0</v>
      </c>
      <c r="BE17" s="277">
        <f t="shared" si="34"/>
        <v>0</v>
      </c>
      <c r="BF17" s="277">
        <f t="shared" si="35"/>
        <v>0</v>
      </c>
      <c r="BG17" s="277">
        <f t="shared" si="36"/>
        <v>0</v>
      </c>
      <c r="BH17" s="277">
        <f t="shared" si="75"/>
        <v>0</v>
      </c>
      <c r="BI17" s="277">
        <f t="shared" si="76"/>
        <v>0</v>
      </c>
      <c r="BJ17" s="277">
        <f t="shared" si="37"/>
        <v>0</v>
      </c>
      <c r="BK17" s="277">
        <f t="shared" si="38"/>
        <v>0</v>
      </c>
      <c r="BL17" s="277">
        <f t="shared" si="39"/>
        <v>0</v>
      </c>
      <c r="BM17" s="277">
        <f t="shared" si="40"/>
        <v>0</v>
      </c>
      <c r="BN17" s="277">
        <f t="shared" si="41"/>
        <v>0</v>
      </c>
      <c r="BO17" s="277">
        <f t="shared" si="42"/>
        <v>0</v>
      </c>
      <c r="BP17" s="277">
        <f t="shared" si="77"/>
        <v>0</v>
      </c>
      <c r="BQ17" s="277">
        <f t="shared" si="78"/>
        <v>0</v>
      </c>
      <c r="BR17" s="277">
        <f t="shared" si="43"/>
        <v>0</v>
      </c>
      <c r="BS17" s="277">
        <f t="shared" si="44"/>
        <v>0</v>
      </c>
      <c r="BT17" s="277">
        <f t="shared" si="79"/>
        <v>0</v>
      </c>
      <c r="BU17" s="277">
        <f t="shared" si="80"/>
        <v>0</v>
      </c>
      <c r="BV17" s="277">
        <f t="shared" si="81"/>
        <v>0</v>
      </c>
      <c r="BW17" s="277">
        <f t="shared" si="82"/>
        <v>0</v>
      </c>
      <c r="BX17" s="277">
        <f t="shared" si="45"/>
        <v>0</v>
      </c>
      <c r="BY17" s="277">
        <f t="shared" si="46"/>
        <v>0</v>
      </c>
      <c r="BZ17" s="277">
        <f t="shared" si="47"/>
        <v>0</v>
      </c>
      <c r="CA17" s="277">
        <f t="shared" si="48"/>
        <v>0</v>
      </c>
      <c r="CB17" s="277">
        <f t="shared" si="49"/>
        <v>0</v>
      </c>
      <c r="CC17" s="277">
        <f t="shared" si="50"/>
        <v>0</v>
      </c>
      <c r="CD17" s="277">
        <f t="shared" si="83"/>
        <v>0</v>
      </c>
      <c r="CE17" s="277">
        <f t="shared" si="84"/>
        <v>0</v>
      </c>
      <c r="CF17" s="277">
        <f t="shared" si="85"/>
        <v>0</v>
      </c>
      <c r="CG17" s="277">
        <f t="shared" si="86"/>
        <v>0</v>
      </c>
      <c r="CH17" s="277">
        <f t="shared" si="51"/>
        <v>0</v>
      </c>
      <c r="CI17" s="277">
        <f t="shared" si="52"/>
        <v>0</v>
      </c>
      <c r="CJ17" s="277">
        <f t="shared" si="87"/>
        <v>0</v>
      </c>
      <c r="CK17" s="277">
        <f t="shared" si="88"/>
        <v>0</v>
      </c>
      <c r="CL17" s="277">
        <f t="shared" si="53"/>
        <v>0</v>
      </c>
      <c r="CM17" s="277">
        <f t="shared" si="54"/>
        <v>0</v>
      </c>
      <c r="CN17" s="277">
        <f t="shared" si="55"/>
        <v>0</v>
      </c>
      <c r="CO17" s="277">
        <f t="shared" si="56"/>
        <v>0</v>
      </c>
      <c r="CP17" s="277">
        <f t="shared" si="89"/>
        <v>0</v>
      </c>
      <c r="CQ17" s="277">
        <f t="shared" si="90"/>
        <v>0</v>
      </c>
      <c r="CR17" s="277">
        <f t="shared" si="91"/>
        <v>0</v>
      </c>
      <c r="CS17" s="277">
        <f t="shared" si="92"/>
        <v>0</v>
      </c>
      <c r="CT17" s="277">
        <f t="shared" si="57"/>
        <v>0</v>
      </c>
      <c r="CU17" s="277">
        <f t="shared" si="58"/>
        <v>0</v>
      </c>
      <c r="CV17" s="277">
        <f t="shared" si="59"/>
        <v>0</v>
      </c>
      <c r="CW17" s="277">
        <f t="shared" si="60"/>
        <v>0</v>
      </c>
      <c r="CX17" s="277">
        <f t="shared" si="93"/>
        <v>0</v>
      </c>
      <c r="CY17" s="277">
        <f t="shared" si="94"/>
        <v>0</v>
      </c>
      <c r="CZ17" s="277">
        <f t="shared" si="95"/>
        <v>0</v>
      </c>
      <c r="DA17" s="277">
        <f t="shared" si="96"/>
        <v>0</v>
      </c>
    </row>
    <row r="18" spans="1:105" s="274" customFormat="1" ht="16.5" customHeight="1">
      <c r="A18" s="63" t="str">
        <f t="array" ref="A18">IF(C18&lt;&gt;0,SUM(($C$11:C18&lt;&gt;0)*1),"")</f>
        <v/>
      </c>
      <c r="B18" s="275"/>
      <c r="C18" s="275"/>
      <c r="D18" s="275"/>
      <c r="E18" s="365"/>
      <c r="F18" s="326"/>
      <c r="G18" s="328"/>
      <c r="H18" s="328"/>
      <c r="I18" s="63" t="str">
        <f t="shared" si="0"/>
        <v/>
      </c>
      <c r="J18" s="277">
        <f t="shared" si="61"/>
        <v>0</v>
      </c>
      <c r="K18" s="277">
        <f t="shared" si="62"/>
        <v>0</v>
      </c>
      <c r="L18" s="277">
        <f t="shared" si="1"/>
        <v>0</v>
      </c>
      <c r="M18" s="277">
        <f t="shared" si="2"/>
        <v>0</v>
      </c>
      <c r="N18" s="277">
        <f t="shared" si="3"/>
        <v>0</v>
      </c>
      <c r="O18" s="277">
        <f t="shared" si="4"/>
        <v>0</v>
      </c>
      <c r="P18" s="277">
        <f t="shared" si="5"/>
        <v>0</v>
      </c>
      <c r="Q18" s="277">
        <f t="shared" si="6"/>
        <v>0</v>
      </c>
      <c r="R18" s="277">
        <f t="shared" si="7"/>
        <v>0</v>
      </c>
      <c r="S18" s="277">
        <f t="shared" si="8"/>
        <v>0</v>
      </c>
      <c r="T18" s="277">
        <f t="shared" si="9"/>
        <v>0</v>
      </c>
      <c r="U18" s="277">
        <f t="shared" si="10"/>
        <v>0</v>
      </c>
      <c r="V18" s="277">
        <f t="shared" si="11"/>
        <v>0</v>
      </c>
      <c r="W18" s="277">
        <f t="shared" si="12"/>
        <v>0</v>
      </c>
      <c r="X18" s="277">
        <f t="shared" si="13"/>
        <v>0</v>
      </c>
      <c r="Y18" s="277">
        <f t="shared" si="14"/>
        <v>0</v>
      </c>
      <c r="Z18" s="277">
        <f t="shared" si="15"/>
        <v>0</v>
      </c>
      <c r="AA18" s="277">
        <f t="shared" si="16"/>
        <v>0</v>
      </c>
      <c r="AB18" s="277">
        <f t="shared" si="63"/>
        <v>0</v>
      </c>
      <c r="AC18" s="277">
        <f t="shared" si="64"/>
        <v>0</v>
      </c>
      <c r="AD18" s="277">
        <f t="shared" si="17"/>
        <v>0</v>
      </c>
      <c r="AE18" s="277">
        <f t="shared" si="18"/>
        <v>0</v>
      </c>
      <c r="AF18" s="277">
        <f t="shared" si="19"/>
        <v>0</v>
      </c>
      <c r="AG18" s="277">
        <f t="shared" si="20"/>
        <v>0</v>
      </c>
      <c r="AH18" s="277">
        <f t="shared" si="65"/>
        <v>0</v>
      </c>
      <c r="AI18" s="277">
        <f t="shared" si="66"/>
        <v>0</v>
      </c>
      <c r="AJ18" s="277">
        <f t="shared" si="67"/>
        <v>0</v>
      </c>
      <c r="AK18" s="277">
        <f t="shared" si="68"/>
        <v>0</v>
      </c>
      <c r="AL18" s="277">
        <f t="shared" si="69"/>
        <v>0</v>
      </c>
      <c r="AM18" s="277">
        <f t="shared" si="70"/>
        <v>0</v>
      </c>
      <c r="AN18" s="277">
        <f t="shared" si="71"/>
        <v>0</v>
      </c>
      <c r="AO18" s="277">
        <f t="shared" si="72"/>
        <v>0</v>
      </c>
      <c r="AP18" s="277">
        <f t="shared" si="21"/>
        <v>0</v>
      </c>
      <c r="AQ18" s="277">
        <f t="shared" si="22"/>
        <v>0</v>
      </c>
      <c r="AR18" s="277">
        <f t="shared" si="23"/>
        <v>0</v>
      </c>
      <c r="AS18" s="277">
        <f t="shared" si="24"/>
        <v>0</v>
      </c>
      <c r="AT18" s="277">
        <f t="shared" si="73"/>
        <v>0</v>
      </c>
      <c r="AU18" s="277">
        <f t="shared" si="74"/>
        <v>0</v>
      </c>
      <c r="AV18" s="277">
        <f t="shared" si="25"/>
        <v>0</v>
      </c>
      <c r="AW18" s="277">
        <f t="shared" si="26"/>
        <v>0</v>
      </c>
      <c r="AX18" s="277">
        <f t="shared" si="27"/>
        <v>0</v>
      </c>
      <c r="AY18" s="277">
        <f t="shared" si="28"/>
        <v>0</v>
      </c>
      <c r="AZ18" s="277">
        <f t="shared" si="29"/>
        <v>0</v>
      </c>
      <c r="BA18" s="277">
        <f t="shared" si="30"/>
        <v>0</v>
      </c>
      <c r="BB18" s="277">
        <f t="shared" si="31"/>
        <v>0</v>
      </c>
      <c r="BC18" s="277">
        <f t="shared" si="32"/>
        <v>0</v>
      </c>
      <c r="BD18" s="277">
        <f t="shared" si="33"/>
        <v>0</v>
      </c>
      <c r="BE18" s="277">
        <f t="shared" si="34"/>
        <v>0</v>
      </c>
      <c r="BF18" s="277">
        <f t="shared" si="35"/>
        <v>0</v>
      </c>
      <c r="BG18" s="277">
        <f t="shared" si="36"/>
        <v>0</v>
      </c>
      <c r="BH18" s="277">
        <f t="shared" si="75"/>
        <v>0</v>
      </c>
      <c r="BI18" s="277">
        <f t="shared" si="76"/>
        <v>0</v>
      </c>
      <c r="BJ18" s="277">
        <f t="shared" si="37"/>
        <v>0</v>
      </c>
      <c r="BK18" s="277">
        <f t="shared" si="38"/>
        <v>0</v>
      </c>
      <c r="BL18" s="277">
        <f t="shared" si="39"/>
        <v>0</v>
      </c>
      <c r="BM18" s="277">
        <f t="shared" si="40"/>
        <v>0</v>
      </c>
      <c r="BN18" s="277">
        <f t="shared" si="41"/>
        <v>0</v>
      </c>
      <c r="BO18" s="277">
        <f t="shared" si="42"/>
        <v>0</v>
      </c>
      <c r="BP18" s="277">
        <f t="shared" si="77"/>
        <v>0</v>
      </c>
      <c r="BQ18" s="277">
        <f t="shared" si="78"/>
        <v>0</v>
      </c>
      <c r="BR18" s="277">
        <f t="shared" si="43"/>
        <v>0</v>
      </c>
      <c r="BS18" s="277">
        <f t="shared" si="44"/>
        <v>0</v>
      </c>
      <c r="BT18" s="277">
        <f t="shared" si="79"/>
        <v>0</v>
      </c>
      <c r="BU18" s="277">
        <f t="shared" si="80"/>
        <v>0</v>
      </c>
      <c r="BV18" s="277">
        <f t="shared" si="81"/>
        <v>0</v>
      </c>
      <c r="BW18" s="277">
        <f t="shared" si="82"/>
        <v>0</v>
      </c>
      <c r="BX18" s="277">
        <f t="shared" si="45"/>
        <v>0</v>
      </c>
      <c r="BY18" s="277">
        <f t="shared" si="46"/>
        <v>0</v>
      </c>
      <c r="BZ18" s="277">
        <f t="shared" si="47"/>
        <v>0</v>
      </c>
      <c r="CA18" s="277">
        <f t="shared" si="48"/>
        <v>0</v>
      </c>
      <c r="CB18" s="277">
        <f t="shared" si="49"/>
        <v>0</v>
      </c>
      <c r="CC18" s="277">
        <f t="shared" si="50"/>
        <v>0</v>
      </c>
      <c r="CD18" s="277">
        <f t="shared" si="83"/>
        <v>0</v>
      </c>
      <c r="CE18" s="277">
        <f t="shared" si="84"/>
        <v>0</v>
      </c>
      <c r="CF18" s="277">
        <f t="shared" si="85"/>
        <v>0</v>
      </c>
      <c r="CG18" s="277">
        <f t="shared" si="86"/>
        <v>0</v>
      </c>
      <c r="CH18" s="277">
        <f t="shared" si="51"/>
        <v>0</v>
      </c>
      <c r="CI18" s="277">
        <f t="shared" si="52"/>
        <v>0</v>
      </c>
      <c r="CJ18" s="277">
        <f t="shared" si="87"/>
        <v>0</v>
      </c>
      <c r="CK18" s="277">
        <f t="shared" si="88"/>
        <v>0</v>
      </c>
      <c r="CL18" s="277">
        <f t="shared" si="53"/>
        <v>0</v>
      </c>
      <c r="CM18" s="277">
        <f t="shared" si="54"/>
        <v>0</v>
      </c>
      <c r="CN18" s="277">
        <f t="shared" si="55"/>
        <v>0</v>
      </c>
      <c r="CO18" s="277">
        <f t="shared" si="56"/>
        <v>0</v>
      </c>
      <c r="CP18" s="277">
        <f t="shared" si="89"/>
        <v>0</v>
      </c>
      <c r="CQ18" s="277">
        <f t="shared" si="90"/>
        <v>0</v>
      </c>
      <c r="CR18" s="277">
        <f t="shared" si="91"/>
        <v>0</v>
      </c>
      <c r="CS18" s="277">
        <f t="shared" si="92"/>
        <v>0</v>
      </c>
      <c r="CT18" s="277">
        <f t="shared" si="57"/>
        <v>0</v>
      </c>
      <c r="CU18" s="277">
        <f t="shared" si="58"/>
        <v>0</v>
      </c>
      <c r="CV18" s="277">
        <f t="shared" si="59"/>
        <v>0</v>
      </c>
      <c r="CW18" s="277">
        <f t="shared" si="60"/>
        <v>0</v>
      </c>
      <c r="CX18" s="277">
        <f t="shared" si="93"/>
        <v>0</v>
      </c>
      <c r="CY18" s="277">
        <f t="shared" si="94"/>
        <v>0</v>
      </c>
      <c r="CZ18" s="277">
        <f t="shared" si="95"/>
        <v>0</v>
      </c>
      <c r="DA18" s="277">
        <f t="shared" si="96"/>
        <v>0</v>
      </c>
    </row>
    <row r="19" spans="1:105" s="274" customFormat="1" ht="16.5" customHeight="1">
      <c r="A19" s="63" t="str">
        <f t="array" ref="A19">IF(C19&lt;&gt;0,SUM(($C$11:C19&lt;&gt;0)*1),"")</f>
        <v/>
      </c>
      <c r="B19" s="275"/>
      <c r="C19" s="275"/>
      <c r="D19" s="275"/>
      <c r="E19" s="365"/>
      <c r="F19" s="326"/>
      <c r="G19" s="328"/>
      <c r="H19" s="328"/>
      <c r="I19" s="63" t="str">
        <f t="shared" si="0"/>
        <v/>
      </c>
      <c r="J19" s="277">
        <f t="shared" si="61"/>
        <v>0</v>
      </c>
      <c r="K19" s="277">
        <f t="shared" si="62"/>
        <v>0</v>
      </c>
      <c r="L19" s="277">
        <f t="shared" si="1"/>
        <v>0</v>
      </c>
      <c r="M19" s="277">
        <f t="shared" si="2"/>
        <v>0</v>
      </c>
      <c r="N19" s="277">
        <f t="shared" si="3"/>
        <v>0</v>
      </c>
      <c r="O19" s="277">
        <f t="shared" si="4"/>
        <v>0</v>
      </c>
      <c r="P19" s="277">
        <f t="shared" si="5"/>
        <v>0</v>
      </c>
      <c r="Q19" s="277">
        <f t="shared" si="6"/>
        <v>0</v>
      </c>
      <c r="R19" s="277">
        <f t="shared" si="7"/>
        <v>0</v>
      </c>
      <c r="S19" s="277">
        <f t="shared" si="8"/>
        <v>0</v>
      </c>
      <c r="T19" s="277">
        <f t="shared" si="9"/>
        <v>0</v>
      </c>
      <c r="U19" s="277">
        <f t="shared" si="10"/>
        <v>0</v>
      </c>
      <c r="V19" s="277">
        <f t="shared" si="11"/>
        <v>0</v>
      </c>
      <c r="W19" s="277">
        <f t="shared" si="12"/>
        <v>0</v>
      </c>
      <c r="X19" s="277">
        <f t="shared" si="13"/>
        <v>0</v>
      </c>
      <c r="Y19" s="277">
        <f t="shared" si="14"/>
        <v>0</v>
      </c>
      <c r="Z19" s="277">
        <f t="shared" si="15"/>
        <v>0</v>
      </c>
      <c r="AA19" s="277">
        <f t="shared" si="16"/>
        <v>0</v>
      </c>
      <c r="AB19" s="277">
        <f t="shared" si="63"/>
        <v>0</v>
      </c>
      <c r="AC19" s="277">
        <f t="shared" si="64"/>
        <v>0</v>
      </c>
      <c r="AD19" s="277">
        <f t="shared" si="17"/>
        <v>0</v>
      </c>
      <c r="AE19" s="277">
        <f t="shared" si="18"/>
        <v>0</v>
      </c>
      <c r="AF19" s="277">
        <f t="shared" si="19"/>
        <v>0</v>
      </c>
      <c r="AG19" s="277">
        <f t="shared" si="20"/>
        <v>0</v>
      </c>
      <c r="AH19" s="277">
        <f t="shared" si="65"/>
        <v>0</v>
      </c>
      <c r="AI19" s="277">
        <f t="shared" si="66"/>
        <v>0</v>
      </c>
      <c r="AJ19" s="277">
        <f t="shared" si="67"/>
        <v>0</v>
      </c>
      <c r="AK19" s="277">
        <f t="shared" si="68"/>
        <v>0</v>
      </c>
      <c r="AL19" s="277">
        <f t="shared" si="69"/>
        <v>0</v>
      </c>
      <c r="AM19" s="277">
        <f t="shared" si="70"/>
        <v>0</v>
      </c>
      <c r="AN19" s="277">
        <f t="shared" si="71"/>
        <v>0</v>
      </c>
      <c r="AO19" s="277">
        <f t="shared" si="72"/>
        <v>0</v>
      </c>
      <c r="AP19" s="277">
        <f t="shared" si="21"/>
        <v>0</v>
      </c>
      <c r="AQ19" s="277">
        <f t="shared" si="22"/>
        <v>0</v>
      </c>
      <c r="AR19" s="277">
        <f t="shared" si="23"/>
        <v>0</v>
      </c>
      <c r="AS19" s="277">
        <f t="shared" si="24"/>
        <v>0</v>
      </c>
      <c r="AT19" s="277">
        <f t="shared" si="73"/>
        <v>0</v>
      </c>
      <c r="AU19" s="277">
        <f t="shared" si="74"/>
        <v>0</v>
      </c>
      <c r="AV19" s="277">
        <f t="shared" si="25"/>
        <v>0</v>
      </c>
      <c r="AW19" s="277">
        <f t="shared" si="26"/>
        <v>0</v>
      </c>
      <c r="AX19" s="277">
        <f t="shared" si="27"/>
        <v>0</v>
      </c>
      <c r="AY19" s="277">
        <f t="shared" si="28"/>
        <v>0</v>
      </c>
      <c r="AZ19" s="277">
        <f t="shared" si="29"/>
        <v>0</v>
      </c>
      <c r="BA19" s="277">
        <f t="shared" si="30"/>
        <v>0</v>
      </c>
      <c r="BB19" s="277">
        <f t="shared" si="31"/>
        <v>0</v>
      </c>
      <c r="BC19" s="277">
        <f t="shared" si="32"/>
        <v>0</v>
      </c>
      <c r="BD19" s="277">
        <f t="shared" si="33"/>
        <v>0</v>
      </c>
      <c r="BE19" s="277">
        <f t="shared" si="34"/>
        <v>0</v>
      </c>
      <c r="BF19" s="277">
        <f t="shared" si="35"/>
        <v>0</v>
      </c>
      <c r="BG19" s="277">
        <f t="shared" si="36"/>
        <v>0</v>
      </c>
      <c r="BH19" s="277">
        <f t="shared" si="75"/>
        <v>0</v>
      </c>
      <c r="BI19" s="277">
        <f t="shared" si="76"/>
        <v>0</v>
      </c>
      <c r="BJ19" s="277">
        <f t="shared" si="37"/>
        <v>0</v>
      </c>
      <c r="BK19" s="277">
        <f t="shared" si="38"/>
        <v>0</v>
      </c>
      <c r="BL19" s="277">
        <f t="shared" si="39"/>
        <v>0</v>
      </c>
      <c r="BM19" s="277">
        <f t="shared" si="40"/>
        <v>0</v>
      </c>
      <c r="BN19" s="277">
        <f t="shared" si="41"/>
        <v>0</v>
      </c>
      <c r="BO19" s="277">
        <f t="shared" si="42"/>
        <v>0</v>
      </c>
      <c r="BP19" s="277">
        <f t="shared" si="77"/>
        <v>0</v>
      </c>
      <c r="BQ19" s="277">
        <f t="shared" si="78"/>
        <v>0</v>
      </c>
      <c r="BR19" s="277">
        <f t="shared" si="43"/>
        <v>0</v>
      </c>
      <c r="BS19" s="277">
        <f t="shared" si="44"/>
        <v>0</v>
      </c>
      <c r="BT19" s="277">
        <f t="shared" si="79"/>
        <v>0</v>
      </c>
      <c r="BU19" s="277">
        <f t="shared" si="80"/>
        <v>0</v>
      </c>
      <c r="BV19" s="277">
        <f t="shared" si="81"/>
        <v>0</v>
      </c>
      <c r="BW19" s="277">
        <f t="shared" si="82"/>
        <v>0</v>
      </c>
      <c r="BX19" s="277">
        <f t="shared" si="45"/>
        <v>0</v>
      </c>
      <c r="BY19" s="277">
        <f t="shared" si="46"/>
        <v>0</v>
      </c>
      <c r="BZ19" s="277">
        <f t="shared" si="47"/>
        <v>0</v>
      </c>
      <c r="CA19" s="277">
        <f t="shared" si="48"/>
        <v>0</v>
      </c>
      <c r="CB19" s="277">
        <f t="shared" si="49"/>
        <v>0</v>
      </c>
      <c r="CC19" s="277">
        <f t="shared" si="50"/>
        <v>0</v>
      </c>
      <c r="CD19" s="277">
        <f t="shared" si="83"/>
        <v>0</v>
      </c>
      <c r="CE19" s="277">
        <f t="shared" si="84"/>
        <v>0</v>
      </c>
      <c r="CF19" s="277">
        <f t="shared" si="85"/>
        <v>0</v>
      </c>
      <c r="CG19" s="277">
        <f t="shared" si="86"/>
        <v>0</v>
      </c>
      <c r="CH19" s="277">
        <f t="shared" si="51"/>
        <v>0</v>
      </c>
      <c r="CI19" s="277">
        <f t="shared" si="52"/>
        <v>0</v>
      </c>
      <c r="CJ19" s="277">
        <f t="shared" si="87"/>
        <v>0</v>
      </c>
      <c r="CK19" s="277">
        <f t="shared" si="88"/>
        <v>0</v>
      </c>
      <c r="CL19" s="277">
        <f t="shared" si="53"/>
        <v>0</v>
      </c>
      <c r="CM19" s="277">
        <f t="shared" si="54"/>
        <v>0</v>
      </c>
      <c r="CN19" s="277">
        <f t="shared" si="55"/>
        <v>0</v>
      </c>
      <c r="CO19" s="277">
        <f t="shared" si="56"/>
        <v>0</v>
      </c>
      <c r="CP19" s="277">
        <f t="shared" si="89"/>
        <v>0</v>
      </c>
      <c r="CQ19" s="277">
        <f t="shared" si="90"/>
        <v>0</v>
      </c>
      <c r="CR19" s="277">
        <f t="shared" si="91"/>
        <v>0</v>
      </c>
      <c r="CS19" s="277">
        <f t="shared" si="92"/>
        <v>0</v>
      </c>
      <c r="CT19" s="277">
        <f t="shared" si="57"/>
        <v>0</v>
      </c>
      <c r="CU19" s="277">
        <f t="shared" si="58"/>
        <v>0</v>
      </c>
      <c r="CV19" s="277">
        <f t="shared" si="59"/>
        <v>0</v>
      </c>
      <c r="CW19" s="277">
        <f t="shared" si="60"/>
        <v>0</v>
      </c>
      <c r="CX19" s="277">
        <f t="shared" si="93"/>
        <v>0</v>
      </c>
      <c r="CY19" s="277">
        <f t="shared" si="94"/>
        <v>0</v>
      </c>
      <c r="CZ19" s="277">
        <f t="shared" si="95"/>
        <v>0</v>
      </c>
      <c r="DA19" s="277">
        <f t="shared" si="96"/>
        <v>0</v>
      </c>
    </row>
    <row r="20" spans="1:105" s="274" customFormat="1" ht="16.5" customHeight="1">
      <c r="A20" s="63" t="str">
        <f t="array" ref="A20">IF(C20&lt;&gt;0,SUM(($C$11:C20&lt;&gt;0)*1),"")</f>
        <v/>
      </c>
      <c r="B20" s="275"/>
      <c r="C20" s="275"/>
      <c r="D20" s="275"/>
      <c r="E20" s="365"/>
      <c r="F20" s="326"/>
      <c r="G20" s="328"/>
      <c r="H20" s="328"/>
      <c r="I20" s="63" t="str">
        <f t="shared" si="0"/>
        <v/>
      </c>
      <c r="J20" s="277">
        <f t="shared" si="61"/>
        <v>0</v>
      </c>
      <c r="K20" s="277">
        <f t="shared" si="62"/>
        <v>0</v>
      </c>
      <c r="L20" s="277">
        <f t="shared" si="1"/>
        <v>0</v>
      </c>
      <c r="M20" s="277">
        <f t="shared" si="2"/>
        <v>0</v>
      </c>
      <c r="N20" s="277">
        <f t="shared" si="3"/>
        <v>0</v>
      </c>
      <c r="O20" s="277">
        <f t="shared" si="4"/>
        <v>0</v>
      </c>
      <c r="P20" s="277">
        <f t="shared" si="5"/>
        <v>0</v>
      </c>
      <c r="Q20" s="277">
        <f t="shared" si="6"/>
        <v>0</v>
      </c>
      <c r="R20" s="277">
        <f t="shared" si="7"/>
        <v>0</v>
      </c>
      <c r="S20" s="277">
        <f t="shared" si="8"/>
        <v>0</v>
      </c>
      <c r="T20" s="277">
        <f t="shared" si="9"/>
        <v>0</v>
      </c>
      <c r="U20" s="277">
        <f t="shared" si="10"/>
        <v>0</v>
      </c>
      <c r="V20" s="277">
        <f t="shared" si="11"/>
        <v>0</v>
      </c>
      <c r="W20" s="277">
        <f t="shared" si="12"/>
        <v>0</v>
      </c>
      <c r="X20" s="277">
        <f t="shared" si="13"/>
        <v>0</v>
      </c>
      <c r="Y20" s="277">
        <f t="shared" si="14"/>
        <v>0</v>
      </c>
      <c r="Z20" s="277">
        <f t="shared" si="15"/>
        <v>0</v>
      </c>
      <c r="AA20" s="277">
        <f t="shared" si="16"/>
        <v>0</v>
      </c>
      <c r="AB20" s="277">
        <f t="shared" si="63"/>
        <v>0</v>
      </c>
      <c r="AC20" s="277">
        <f t="shared" si="64"/>
        <v>0</v>
      </c>
      <c r="AD20" s="277">
        <f t="shared" si="17"/>
        <v>0</v>
      </c>
      <c r="AE20" s="277">
        <f t="shared" si="18"/>
        <v>0</v>
      </c>
      <c r="AF20" s="277">
        <f t="shared" si="19"/>
        <v>0</v>
      </c>
      <c r="AG20" s="277">
        <f t="shared" si="20"/>
        <v>0</v>
      </c>
      <c r="AH20" s="277">
        <f t="shared" si="65"/>
        <v>0</v>
      </c>
      <c r="AI20" s="277">
        <f t="shared" si="66"/>
        <v>0</v>
      </c>
      <c r="AJ20" s="277">
        <f t="shared" si="67"/>
        <v>0</v>
      </c>
      <c r="AK20" s="277">
        <f t="shared" si="68"/>
        <v>0</v>
      </c>
      <c r="AL20" s="277">
        <f t="shared" si="69"/>
        <v>0</v>
      </c>
      <c r="AM20" s="277">
        <f t="shared" si="70"/>
        <v>0</v>
      </c>
      <c r="AN20" s="277">
        <f t="shared" si="71"/>
        <v>0</v>
      </c>
      <c r="AO20" s="277">
        <f t="shared" si="72"/>
        <v>0</v>
      </c>
      <c r="AP20" s="277">
        <f t="shared" si="21"/>
        <v>0</v>
      </c>
      <c r="AQ20" s="277">
        <f t="shared" si="22"/>
        <v>0</v>
      </c>
      <c r="AR20" s="277">
        <f t="shared" si="23"/>
        <v>0</v>
      </c>
      <c r="AS20" s="277">
        <f t="shared" si="24"/>
        <v>0</v>
      </c>
      <c r="AT20" s="277">
        <f t="shared" si="73"/>
        <v>0</v>
      </c>
      <c r="AU20" s="277">
        <f t="shared" si="74"/>
        <v>0</v>
      </c>
      <c r="AV20" s="277">
        <f t="shared" si="25"/>
        <v>0</v>
      </c>
      <c r="AW20" s="277">
        <f t="shared" si="26"/>
        <v>0</v>
      </c>
      <c r="AX20" s="277">
        <f t="shared" si="27"/>
        <v>0</v>
      </c>
      <c r="AY20" s="277">
        <f t="shared" si="28"/>
        <v>0</v>
      </c>
      <c r="AZ20" s="277">
        <f t="shared" si="29"/>
        <v>0</v>
      </c>
      <c r="BA20" s="277">
        <f t="shared" si="30"/>
        <v>0</v>
      </c>
      <c r="BB20" s="277">
        <f t="shared" si="31"/>
        <v>0</v>
      </c>
      <c r="BC20" s="277">
        <f t="shared" si="32"/>
        <v>0</v>
      </c>
      <c r="BD20" s="277">
        <f t="shared" si="33"/>
        <v>0</v>
      </c>
      <c r="BE20" s="277">
        <f t="shared" si="34"/>
        <v>0</v>
      </c>
      <c r="BF20" s="277">
        <f t="shared" si="35"/>
        <v>0</v>
      </c>
      <c r="BG20" s="277">
        <f t="shared" si="36"/>
        <v>0</v>
      </c>
      <c r="BH20" s="277">
        <f t="shared" si="75"/>
        <v>0</v>
      </c>
      <c r="BI20" s="277">
        <f t="shared" si="76"/>
        <v>0</v>
      </c>
      <c r="BJ20" s="277">
        <f t="shared" si="37"/>
        <v>0</v>
      </c>
      <c r="BK20" s="277">
        <f t="shared" si="38"/>
        <v>0</v>
      </c>
      <c r="BL20" s="277">
        <f t="shared" si="39"/>
        <v>0</v>
      </c>
      <c r="BM20" s="277">
        <f t="shared" si="40"/>
        <v>0</v>
      </c>
      <c r="BN20" s="277">
        <f t="shared" si="41"/>
        <v>0</v>
      </c>
      <c r="BO20" s="277">
        <f t="shared" si="42"/>
        <v>0</v>
      </c>
      <c r="BP20" s="277">
        <f t="shared" si="77"/>
        <v>0</v>
      </c>
      <c r="BQ20" s="277">
        <f t="shared" si="78"/>
        <v>0</v>
      </c>
      <c r="BR20" s="277">
        <f t="shared" si="43"/>
        <v>0</v>
      </c>
      <c r="BS20" s="277">
        <f t="shared" si="44"/>
        <v>0</v>
      </c>
      <c r="BT20" s="277">
        <f t="shared" si="79"/>
        <v>0</v>
      </c>
      <c r="BU20" s="277">
        <f t="shared" si="80"/>
        <v>0</v>
      </c>
      <c r="BV20" s="277">
        <f t="shared" si="81"/>
        <v>0</v>
      </c>
      <c r="BW20" s="277">
        <f t="shared" si="82"/>
        <v>0</v>
      </c>
      <c r="BX20" s="277">
        <f t="shared" si="45"/>
        <v>0</v>
      </c>
      <c r="BY20" s="277">
        <f t="shared" si="46"/>
        <v>0</v>
      </c>
      <c r="BZ20" s="277">
        <f t="shared" si="47"/>
        <v>0</v>
      </c>
      <c r="CA20" s="277">
        <f t="shared" si="48"/>
        <v>0</v>
      </c>
      <c r="CB20" s="277">
        <f t="shared" si="49"/>
        <v>0</v>
      </c>
      <c r="CC20" s="277">
        <f t="shared" si="50"/>
        <v>0</v>
      </c>
      <c r="CD20" s="277">
        <f t="shared" si="83"/>
        <v>0</v>
      </c>
      <c r="CE20" s="277">
        <f t="shared" si="84"/>
        <v>0</v>
      </c>
      <c r="CF20" s="277">
        <f t="shared" si="85"/>
        <v>0</v>
      </c>
      <c r="CG20" s="277">
        <f t="shared" si="86"/>
        <v>0</v>
      </c>
      <c r="CH20" s="277">
        <f t="shared" si="51"/>
        <v>0</v>
      </c>
      <c r="CI20" s="277">
        <f t="shared" si="52"/>
        <v>0</v>
      </c>
      <c r="CJ20" s="277">
        <f t="shared" si="87"/>
        <v>0</v>
      </c>
      <c r="CK20" s="277">
        <f t="shared" si="88"/>
        <v>0</v>
      </c>
      <c r="CL20" s="277">
        <f t="shared" si="53"/>
        <v>0</v>
      </c>
      <c r="CM20" s="277">
        <f t="shared" si="54"/>
        <v>0</v>
      </c>
      <c r="CN20" s="277">
        <f t="shared" si="55"/>
        <v>0</v>
      </c>
      <c r="CO20" s="277">
        <f t="shared" si="56"/>
        <v>0</v>
      </c>
      <c r="CP20" s="277">
        <f t="shared" si="89"/>
        <v>0</v>
      </c>
      <c r="CQ20" s="277">
        <f t="shared" si="90"/>
        <v>0</v>
      </c>
      <c r="CR20" s="277">
        <f t="shared" si="91"/>
        <v>0</v>
      </c>
      <c r="CS20" s="277">
        <f t="shared" si="92"/>
        <v>0</v>
      </c>
      <c r="CT20" s="277">
        <f t="shared" si="57"/>
        <v>0</v>
      </c>
      <c r="CU20" s="277">
        <f t="shared" si="58"/>
        <v>0</v>
      </c>
      <c r="CV20" s="277">
        <f t="shared" si="59"/>
        <v>0</v>
      </c>
      <c r="CW20" s="277">
        <f t="shared" si="60"/>
        <v>0</v>
      </c>
      <c r="CX20" s="277">
        <f t="shared" si="93"/>
        <v>0</v>
      </c>
      <c r="CY20" s="277">
        <f t="shared" si="94"/>
        <v>0</v>
      </c>
      <c r="CZ20" s="277">
        <f t="shared" si="95"/>
        <v>0</v>
      </c>
      <c r="DA20" s="277">
        <f t="shared" si="96"/>
        <v>0</v>
      </c>
    </row>
    <row r="21" spans="1:105" s="274" customFormat="1" ht="16.5" customHeight="1">
      <c r="A21" s="63" t="str">
        <f t="array" ref="A21">IF(C21&lt;&gt;0,SUM(($C$11:C21&lt;&gt;0)*1),"")</f>
        <v/>
      </c>
      <c r="B21" s="275"/>
      <c r="C21" s="275"/>
      <c r="D21" s="275"/>
      <c r="E21" s="365"/>
      <c r="F21" s="326"/>
      <c r="G21" s="328"/>
      <c r="H21" s="328"/>
      <c r="I21" s="63" t="str">
        <f t="shared" si="0"/>
        <v/>
      </c>
      <c r="J21" s="277">
        <f t="shared" si="61"/>
        <v>0</v>
      </c>
      <c r="K21" s="277">
        <f t="shared" si="62"/>
        <v>0</v>
      </c>
      <c r="L21" s="277">
        <f t="shared" si="1"/>
        <v>0</v>
      </c>
      <c r="M21" s="277">
        <f t="shared" si="2"/>
        <v>0</v>
      </c>
      <c r="N21" s="277">
        <f t="shared" si="3"/>
        <v>0</v>
      </c>
      <c r="O21" s="277">
        <f t="shared" si="4"/>
        <v>0</v>
      </c>
      <c r="P21" s="277">
        <f t="shared" si="5"/>
        <v>0</v>
      </c>
      <c r="Q21" s="277">
        <f t="shared" si="6"/>
        <v>0</v>
      </c>
      <c r="R21" s="277">
        <f t="shared" si="7"/>
        <v>0</v>
      </c>
      <c r="S21" s="277">
        <f t="shared" si="8"/>
        <v>0</v>
      </c>
      <c r="T21" s="277">
        <f t="shared" si="9"/>
        <v>0</v>
      </c>
      <c r="U21" s="277">
        <f t="shared" si="10"/>
        <v>0</v>
      </c>
      <c r="V21" s="277">
        <f t="shared" si="11"/>
        <v>0</v>
      </c>
      <c r="W21" s="277">
        <f t="shared" si="12"/>
        <v>0</v>
      </c>
      <c r="X21" s="277">
        <f t="shared" si="13"/>
        <v>0</v>
      </c>
      <c r="Y21" s="277">
        <f t="shared" si="14"/>
        <v>0</v>
      </c>
      <c r="Z21" s="277">
        <f t="shared" si="15"/>
        <v>0</v>
      </c>
      <c r="AA21" s="277">
        <f t="shared" si="16"/>
        <v>0</v>
      </c>
      <c r="AB21" s="277">
        <f t="shared" si="63"/>
        <v>0</v>
      </c>
      <c r="AC21" s="277">
        <f t="shared" si="64"/>
        <v>0</v>
      </c>
      <c r="AD21" s="277">
        <f t="shared" si="17"/>
        <v>0</v>
      </c>
      <c r="AE21" s="277">
        <f t="shared" si="18"/>
        <v>0</v>
      </c>
      <c r="AF21" s="277">
        <f t="shared" si="19"/>
        <v>0</v>
      </c>
      <c r="AG21" s="277">
        <f t="shared" si="20"/>
        <v>0</v>
      </c>
      <c r="AH21" s="277">
        <f t="shared" si="65"/>
        <v>0</v>
      </c>
      <c r="AI21" s="277">
        <f t="shared" si="66"/>
        <v>0</v>
      </c>
      <c r="AJ21" s="277">
        <f t="shared" si="67"/>
        <v>0</v>
      </c>
      <c r="AK21" s="277">
        <f t="shared" si="68"/>
        <v>0</v>
      </c>
      <c r="AL21" s="277">
        <f t="shared" si="69"/>
        <v>0</v>
      </c>
      <c r="AM21" s="277">
        <f t="shared" si="70"/>
        <v>0</v>
      </c>
      <c r="AN21" s="277">
        <f t="shared" si="71"/>
        <v>0</v>
      </c>
      <c r="AO21" s="277">
        <f t="shared" si="72"/>
        <v>0</v>
      </c>
      <c r="AP21" s="277">
        <f t="shared" si="21"/>
        <v>0</v>
      </c>
      <c r="AQ21" s="277">
        <f t="shared" si="22"/>
        <v>0</v>
      </c>
      <c r="AR21" s="277">
        <f t="shared" si="23"/>
        <v>0</v>
      </c>
      <c r="AS21" s="277">
        <f t="shared" si="24"/>
        <v>0</v>
      </c>
      <c r="AT21" s="277">
        <f t="shared" si="73"/>
        <v>0</v>
      </c>
      <c r="AU21" s="277">
        <f t="shared" si="74"/>
        <v>0</v>
      </c>
      <c r="AV21" s="277">
        <f t="shared" si="25"/>
        <v>0</v>
      </c>
      <c r="AW21" s="277">
        <f t="shared" si="26"/>
        <v>0</v>
      </c>
      <c r="AX21" s="277">
        <f t="shared" si="27"/>
        <v>0</v>
      </c>
      <c r="AY21" s="277">
        <f t="shared" si="28"/>
        <v>0</v>
      </c>
      <c r="AZ21" s="277">
        <f t="shared" si="29"/>
        <v>0</v>
      </c>
      <c r="BA21" s="277">
        <f t="shared" si="30"/>
        <v>0</v>
      </c>
      <c r="BB21" s="277">
        <f t="shared" si="31"/>
        <v>0</v>
      </c>
      <c r="BC21" s="277">
        <f t="shared" si="32"/>
        <v>0</v>
      </c>
      <c r="BD21" s="277">
        <f t="shared" si="33"/>
        <v>0</v>
      </c>
      <c r="BE21" s="277">
        <f t="shared" si="34"/>
        <v>0</v>
      </c>
      <c r="BF21" s="277">
        <f t="shared" si="35"/>
        <v>0</v>
      </c>
      <c r="BG21" s="277">
        <f t="shared" si="36"/>
        <v>0</v>
      </c>
      <c r="BH21" s="277">
        <f t="shared" si="75"/>
        <v>0</v>
      </c>
      <c r="BI21" s="277">
        <f t="shared" si="76"/>
        <v>0</v>
      </c>
      <c r="BJ21" s="277">
        <f t="shared" si="37"/>
        <v>0</v>
      </c>
      <c r="BK21" s="277">
        <f t="shared" si="38"/>
        <v>0</v>
      </c>
      <c r="BL21" s="277">
        <f t="shared" si="39"/>
        <v>0</v>
      </c>
      <c r="BM21" s="277">
        <f t="shared" si="40"/>
        <v>0</v>
      </c>
      <c r="BN21" s="277">
        <f t="shared" si="41"/>
        <v>0</v>
      </c>
      <c r="BO21" s="277">
        <f t="shared" si="42"/>
        <v>0</v>
      </c>
      <c r="BP21" s="277">
        <f t="shared" si="77"/>
        <v>0</v>
      </c>
      <c r="BQ21" s="277">
        <f t="shared" si="78"/>
        <v>0</v>
      </c>
      <c r="BR21" s="277">
        <f t="shared" si="43"/>
        <v>0</v>
      </c>
      <c r="BS21" s="277">
        <f t="shared" si="44"/>
        <v>0</v>
      </c>
      <c r="BT21" s="277">
        <f t="shared" si="79"/>
        <v>0</v>
      </c>
      <c r="BU21" s="277">
        <f t="shared" si="80"/>
        <v>0</v>
      </c>
      <c r="BV21" s="277">
        <f t="shared" si="81"/>
        <v>0</v>
      </c>
      <c r="BW21" s="277">
        <f t="shared" si="82"/>
        <v>0</v>
      </c>
      <c r="BX21" s="277">
        <f t="shared" si="45"/>
        <v>0</v>
      </c>
      <c r="BY21" s="277">
        <f t="shared" si="46"/>
        <v>0</v>
      </c>
      <c r="BZ21" s="277">
        <f t="shared" si="47"/>
        <v>0</v>
      </c>
      <c r="CA21" s="277">
        <f t="shared" si="48"/>
        <v>0</v>
      </c>
      <c r="CB21" s="277">
        <f t="shared" si="49"/>
        <v>0</v>
      </c>
      <c r="CC21" s="277">
        <f t="shared" si="50"/>
        <v>0</v>
      </c>
      <c r="CD21" s="277">
        <f t="shared" si="83"/>
        <v>0</v>
      </c>
      <c r="CE21" s="277">
        <f t="shared" si="84"/>
        <v>0</v>
      </c>
      <c r="CF21" s="277">
        <f t="shared" si="85"/>
        <v>0</v>
      </c>
      <c r="CG21" s="277">
        <f t="shared" si="86"/>
        <v>0</v>
      </c>
      <c r="CH21" s="277">
        <f t="shared" si="51"/>
        <v>0</v>
      </c>
      <c r="CI21" s="277">
        <f t="shared" si="52"/>
        <v>0</v>
      </c>
      <c r="CJ21" s="277">
        <f t="shared" si="87"/>
        <v>0</v>
      </c>
      <c r="CK21" s="277">
        <f t="shared" si="88"/>
        <v>0</v>
      </c>
      <c r="CL21" s="277">
        <f t="shared" si="53"/>
        <v>0</v>
      </c>
      <c r="CM21" s="277">
        <f t="shared" si="54"/>
        <v>0</v>
      </c>
      <c r="CN21" s="277">
        <f t="shared" si="55"/>
        <v>0</v>
      </c>
      <c r="CO21" s="277">
        <f t="shared" si="56"/>
        <v>0</v>
      </c>
      <c r="CP21" s="277">
        <f t="shared" si="89"/>
        <v>0</v>
      </c>
      <c r="CQ21" s="277">
        <f t="shared" si="90"/>
        <v>0</v>
      </c>
      <c r="CR21" s="277">
        <f t="shared" si="91"/>
        <v>0</v>
      </c>
      <c r="CS21" s="277">
        <f t="shared" si="92"/>
        <v>0</v>
      </c>
      <c r="CT21" s="277">
        <f t="shared" si="57"/>
        <v>0</v>
      </c>
      <c r="CU21" s="277">
        <f t="shared" si="58"/>
        <v>0</v>
      </c>
      <c r="CV21" s="277">
        <f t="shared" si="59"/>
        <v>0</v>
      </c>
      <c r="CW21" s="277">
        <f t="shared" si="60"/>
        <v>0</v>
      </c>
      <c r="CX21" s="277">
        <f t="shared" si="93"/>
        <v>0</v>
      </c>
      <c r="CY21" s="277">
        <f t="shared" si="94"/>
        <v>0</v>
      </c>
      <c r="CZ21" s="277">
        <f t="shared" si="95"/>
        <v>0</v>
      </c>
      <c r="DA21" s="277">
        <f t="shared" si="96"/>
        <v>0</v>
      </c>
    </row>
    <row r="22" spans="1:105" s="274" customFormat="1" ht="16.5" customHeight="1">
      <c r="A22" s="63" t="str">
        <f t="array" ref="A22">IF(C22&lt;&gt;0,SUM(($C$11:C22&lt;&gt;0)*1),"")</f>
        <v/>
      </c>
      <c r="B22" s="275"/>
      <c r="C22" s="275"/>
      <c r="D22" s="275"/>
      <c r="E22" s="365"/>
      <c r="F22" s="326"/>
      <c r="G22" s="328"/>
      <c r="H22" s="328"/>
      <c r="I22" s="63" t="str">
        <f t="shared" si="0"/>
        <v/>
      </c>
      <c r="J22" s="277">
        <f t="shared" si="61"/>
        <v>0</v>
      </c>
      <c r="K22" s="277">
        <f t="shared" si="62"/>
        <v>0</v>
      </c>
      <c r="L22" s="277">
        <f t="shared" si="1"/>
        <v>0</v>
      </c>
      <c r="M22" s="277">
        <f t="shared" si="2"/>
        <v>0</v>
      </c>
      <c r="N22" s="277">
        <f t="shared" si="3"/>
        <v>0</v>
      </c>
      <c r="O22" s="277">
        <f t="shared" si="4"/>
        <v>0</v>
      </c>
      <c r="P22" s="277">
        <f t="shared" si="5"/>
        <v>0</v>
      </c>
      <c r="Q22" s="277">
        <f t="shared" si="6"/>
        <v>0</v>
      </c>
      <c r="R22" s="277">
        <f t="shared" si="7"/>
        <v>0</v>
      </c>
      <c r="S22" s="277">
        <f t="shared" si="8"/>
        <v>0</v>
      </c>
      <c r="T22" s="277">
        <f t="shared" si="9"/>
        <v>0</v>
      </c>
      <c r="U22" s="277">
        <f t="shared" si="10"/>
        <v>0</v>
      </c>
      <c r="V22" s="277">
        <f t="shared" si="11"/>
        <v>0</v>
      </c>
      <c r="W22" s="277">
        <f t="shared" si="12"/>
        <v>0</v>
      </c>
      <c r="X22" s="277">
        <f t="shared" si="13"/>
        <v>0</v>
      </c>
      <c r="Y22" s="277">
        <f t="shared" si="14"/>
        <v>0</v>
      </c>
      <c r="Z22" s="277">
        <f t="shared" si="15"/>
        <v>0</v>
      </c>
      <c r="AA22" s="277">
        <f t="shared" si="16"/>
        <v>0</v>
      </c>
      <c r="AB22" s="277">
        <f t="shared" si="63"/>
        <v>0</v>
      </c>
      <c r="AC22" s="277">
        <f t="shared" si="64"/>
        <v>0</v>
      </c>
      <c r="AD22" s="277">
        <f t="shared" si="17"/>
        <v>0</v>
      </c>
      <c r="AE22" s="277">
        <f t="shared" si="18"/>
        <v>0</v>
      </c>
      <c r="AF22" s="277">
        <f t="shared" si="19"/>
        <v>0</v>
      </c>
      <c r="AG22" s="277">
        <f t="shared" si="20"/>
        <v>0</v>
      </c>
      <c r="AH22" s="277">
        <f t="shared" si="65"/>
        <v>0</v>
      </c>
      <c r="AI22" s="277">
        <f t="shared" si="66"/>
        <v>0</v>
      </c>
      <c r="AJ22" s="277">
        <f t="shared" si="67"/>
        <v>0</v>
      </c>
      <c r="AK22" s="277">
        <f t="shared" si="68"/>
        <v>0</v>
      </c>
      <c r="AL22" s="277">
        <f t="shared" si="69"/>
        <v>0</v>
      </c>
      <c r="AM22" s="277">
        <f t="shared" si="70"/>
        <v>0</v>
      </c>
      <c r="AN22" s="277">
        <f t="shared" si="71"/>
        <v>0</v>
      </c>
      <c r="AO22" s="277">
        <f t="shared" si="72"/>
        <v>0</v>
      </c>
      <c r="AP22" s="277">
        <f t="shared" si="21"/>
        <v>0</v>
      </c>
      <c r="AQ22" s="277">
        <f t="shared" si="22"/>
        <v>0</v>
      </c>
      <c r="AR22" s="277">
        <f t="shared" si="23"/>
        <v>0</v>
      </c>
      <c r="AS22" s="277">
        <f t="shared" si="24"/>
        <v>0</v>
      </c>
      <c r="AT22" s="277">
        <f t="shared" si="73"/>
        <v>0</v>
      </c>
      <c r="AU22" s="277">
        <f t="shared" si="74"/>
        <v>0</v>
      </c>
      <c r="AV22" s="277">
        <f t="shared" si="25"/>
        <v>0</v>
      </c>
      <c r="AW22" s="277">
        <f t="shared" si="26"/>
        <v>0</v>
      </c>
      <c r="AX22" s="277">
        <f t="shared" si="27"/>
        <v>0</v>
      </c>
      <c r="AY22" s="277">
        <f t="shared" si="28"/>
        <v>0</v>
      </c>
      <c r="AZ22" s="277">
        <f t="shared" si="29"/>
        <v>0</v>
      </c>
      <c r="BA22" s="277">
        <f t="shared" si="30"/>
        <v>0</v>
      </c>
      <c r="BB22" s="277">
        <f t="shared" si="31"/>
        <v>0</v>
      </c>
      <c r="BC22" s="277">
        <f t="shared" si="32"/>
        <v>0</v>
      </c>
      <c r="BD22" s="277">
        <f t="shared" si="33"/>
        <v>0</v>
      </c>
      <c r="BE22" s="277">
        <f t="shared" si="34"/>
        <v>0</v>
      </c>
      <c r="BF22" s="277">
        <f t="shared" si="35"/>
        <v>0</v>
      </c>
      <c r="BG22" s="277">
        <f t="shared" si="36"/>
        <v>0</v>
      </c>
      <c r="BH22" s="277">
        <f t="shared" si="75"/>
        <v>0</v>
      </c>
      <c r="BI22" s="277">
        <f t="shared" si="76"/>
        <v>0</v>
      </c>
      <c r="BJ22" s="277">
        <f t="shared" si="37"/>
        <v>0</v>
      </c>
      <c r="BK22" s="277">
        <f t="shared" si="38"/>
        <v>0</v>
      </c>
      <c r="BL22" s="277">
        <f t="shared" si="39"/>
        <v>0</v>
      </c>
      <c r="BM22" s="277">
        <f t="shared" si="40"/>
        <v>0</v>
      </c>
      <c r="BN22" s="277">
        <f t="shared" si="41"/>
        <v>0</v>
      </c>
      <c r="BO22" s="277">
        <f t="shared" si="42"/>
        <v>0</v>
      </c>
      <c r="BP22" s="277">
        <f t="shared" si="77"/>
        <v>0</v>
      </c>
      <c r="BQ22" s="277">
        <f t="shared" si="78"/>
        <v>0</v>
      </c>
      <c r="BR22" s="277">
        <f t="shared" si="43"/>
        <v>0</v>
      </c>
      <c r="BS22" s="277">
        <f t="shared" si="44"/>
        <v>0</v>
      </c>
      <c r="BT22" s="277">
        <f t="shared" si="79"/>
        <v>0</v>
      </c>
      <c r="BU22" s="277">
        <f t="shared" si="80"/>
        <v>0</v>
      </c>
      <c r="BV22" s="277">
        <f t="shared" si="81"/>
        <v>0</v>
      </c>
      <c r="BW22" s="277">
        <f t="shared" si="82"/>
        <v>0</v>
      </c>
      <c r="BX22" s="277">
        <f t="shared" si="45"/>
        <v>0</v>
      </c>
      <c r="BY22" s="277">
        <f t="shared" si="46"/>
        <v>0</v>
      </c>
      <c r="BZ22" s="277">
        <f t="shared" si="47"/>
        <v>0</v>
      </c>
      <c r="CA22" s="277">
        <f t="shared" si="48"/>
        <v>0</v>
      </c>
      <c r="CB22" s="277">
        <f t="shared" si="49"/>
        <v>0</v>
      </c>
      <c r="CC22" s="277">
        <f t="shared" si="50"/>
        <v>0</v>
      </c>
      <c r="CD22" s="277">
        <f t="shared" si="83"/>
        <v>0</v>
      </c>
      <c r="CE22" s="277">
        <f t="shared" si="84"/>
        <v>0</v>
      </c>
      <c r="CF22" s="277">
        <f t="shared" si="85"/>
        <v>0</v>
      </c>
      <c r="CG22" s="277">
        <f t="shared" si="86"/>
        <v>0</v>
      </c>
      <c r="CH22" s="277">
        <f t="shared" si="51"/>
        <v>0</v>
      </c>
      <c r="CI22" s="277">
        <f t="shared" si="52"/>
        <v>0</v>
      </c>
      <c r="CJ22" s="277">
        <f t="shared" si="87"/>
        <v>0</v>
      </c>
      <c r="CK22" s="277">
        <f t="shared" si="88"/>
        <v>0</v>
      </c>
      <c r="CL22" s="277">
        <f t="shared" si="53"/>
        <v>0</v>
      </c>
      <c r="CM22" s="277">
        <f t="shared" si="54"/>
        <v>0</v>
      </c>
      <c r="CN22" s="277">
        <f t="shared" si="55"/>
        <v>0</v>
      </c>
      <c r="CO22" s="277">
        <f t="shared" si="56"/>
        <v>0</v>
      </c>
      <c r="CP22" s="277">
        <f t="shared" si="89"/>
        <v>0</v>
      </c>
      <c r="CQ22" s="277">
        <f t="shared" si="90"/>
        <v>0</v>
      </c>
      <c r="CR22" s="277">
        <f t="shared" si="91"/>
        <v>0</v>
      </c>
      <c r="CS22" s="277">
        <f t="shared" si="92"/>
        <v>0</v>
      </c>
      <c r="CT22" s="277">
        <f t="shared" si="57"/>
        <v>0</v>
      </c>
      <c r="CU22" s="277">
        <f t="shared" si="58"/>
        <v>0</v>
      </c>
      <c r="CV22" s="277">
        <f t="shared" si="59"/>
        <v>0</v>
      </c>
      <c r="CW22" s="277">
        <f t="shared" si="60"/>
        <v>0</v>
      </c>
      <c r="CX22" s="277">
        <f t="shared" si="93"/>
        <v>0</v>
      </c>
      <c r="CY22" s="277">
        <f t="shared" si="94"/>
        <v>0</v>
      </c>
      <c r="CZ22" s="277">
        <f t="shared" si="95"/>
        <v>0</v>
      </c>
      <c r="DA22" s="277">
        <f t="shared" si="96"/>
        <v>0</v>
      </c>
    </row>
    <row r="23" spans="1:105" s="274" customFormat="1" ht="16.5" customHeight="1">
      <c r="A23" s="63" t="str">
        <f t="array" ref="A23">IF(C23&lt;&gt;0,SUM(($C$11:C23&lt;&gt;0)*1),"")</f>
        <v/>
      </c>
      <c r="B23" s="275"/>
      <c r="C23" s="275"/>
      <c r="D23" s="275"/>
      <c r="E23" s="365"/>
      <c r="F23" s="326"/>
      <c r="G23" s="328"/>
      <c r="H23" s="328"/>
      <c r="I23" s="63" t="str">
        <f t="shared" si="0"/>
        <v/>
      </c>
      <c r="J23" s="277">
        <f t="shared" si="61"/>
        <v>0</v>
      </c>
      <c r="K23" s="277">
        <f t="shared" si="62"/>
        <v>0</v>
      </c>
      <c r="L23" s="277">
        <f t="shared" si="1"/>
        <v>0</v>
      </c>
      <c r="M23" s="277">
        <f t="shared" si="2"/>
        <v>0</v>
      </c>
      <c r="N23" s="277">
        <f t="shared" si="3"/>
        <v>0</v>
      </c>
      <c r="O23" s="277">
        <f t="shared" si="4"/>
        <v>0</v>
      </c>
      <c r="P23" s="277">
        <f t="shared" si="5"/>
        <v>0</v>
      </c>
      <c r="Q23" s="277">
        <f t="shared" si="6"/>
        <v>0</v>
      </c>
      <c r="R23" s="277">
        <f t="shared" si="7"/>
        <v>0</v>
      </c>
      <c r="S23" s="277">
        <f t="shared" si="8"/>
        <v>0</v>
      </c>
      <c r="T23" s="277">
        <f t="shared" si="9"/>
        <v>0</v>
      </c>
      <c r="U23" s="277">
        <f t="shared" si="10"/>
        <v>0</v>
      </c>
      <c r="V23" s="277">
        <f t="shared" si="11"/>
        <v>0</v>
      </c>
      <c r="W23" s="277">
        <f t="shared" si="12"/>
        <v>0</v>
      </c>
      <c r="X23" s="277">
        <f t="shared" si="13"/>
        <v>0</v>
      </c>
      <c r="Y23" s="277">
        <f t="shared" si="14"/>
        <v>0</v>
      </c>
      <c r="Z23" s="277">
        <f t="shared" si="15"/>
        <v>0</v>
      </c>
      <c r="AA23" s="277">
        <f t="shared" si="16"/>
        <v>0</v>
      </c>
      <c r="AB23" s="277">
        <f t="shared" si="63"/>
        <v>0</v>
      </c>
      <c r="AC23" s="277">
        <f t="shared" si="64"/>
        <v>0</v>
      </c>
      <c r="AD23" s="277">
        <f t="shared" si="17"/>
        <v>0</v>
      </c>
      <c r="AE23" s="277">
        <f t="shared" si="18"/>
        <v>0</v>
      </c>
      <c r="AF23" s="277">
        <f t="shared" si="19"/>
        <v>0</v>
      </c>
      <c r="AG23" s="277">
        <f t="shared" si="20"/>
        <v>0</v>
      </c>
      <c r="AH23" s="277">
        <f t="shared" si="65"/>
        <v>0</v>
      </c>
      <c r="AI23" s="277">
        <f t="shared" si="66"/>
        <v>0</v>
      </c>
      <c r="AJ23" s="277">
        <f t="shared" si="67"/>
        <v>0</v>
      </c>
      <c r="AK23" s="277">
        <f t="shared" si="68"/>
        <v>0</v>
      </c>
      <c r="AL23" s="277">
        <f t="shared" si="69"/>
        <v>0</v>
      </c>
      <c r="AM23" s="277">
        <f t="shared" si="70"/>
        <v>0</v>
      </c>
      <c r="AN23" s="277">
        <f t="shared" si="71"/>
        <v>0</v>
      </c>
      <c r="AO23" s="277">
        <f t="shared" si="72"/>
        <v>0</v>
      </c>
      <c r="AP23" s="277">
        <f t="shared" si="21"/>
        <v>0</v>
      </c>
      <c r="AQ23" s="277">
        <f t="shared" si="22"/>
        <v>0</v>
      </c>
      <c r="AR23" s="277">
        <f t="shared" si="23"/>
        <v>0</v>
      </c>
      <c r="AS23" s="277">
        <f t="shared" si="24"/>
        <v>0</v>
      </c>
      <c r="AT23" s="277">
        <f t="shared" si="73"/>
        <v>0</v>
      </c>
      <c r="AU23" s="277">
        <f t="shared" si="74"/>
        <v>0</v>
      </c>
      <c r="AV23" s="277">
        <f t="shared" si="25"/>
        <v>0</v>
      </c>
      <c r="AW23" s="277">
        <f t="shared" si="26"/>
        <v>0</v>
      </c>
      <c r="AX23" s="277">
        <f t="shared" si="27"/>
        <v>0</v>
      </c>
      <c r="AY23" s="277">
        <f t="shared" si="28"/>
        <v>0</v>
      </c>
      <c r="AZ23" s="277">
        <f t="shared" si="29"/>
        <v>0</v>
      </c>
      <c r="BA23" s="277">
        <f t="shared" si="30"/>
        <v>0</v>
      </c>
      <c r="BB23" s="277">
        <f t="shared" si="31"/>
        <v>0</v>
      </c>
      <c r="BC23" s="277">
        <f t="shared" si="32"/>
        <v>0</v>
      </c>
      <c r="BD23" s="277">
        <f t="shared" si="33"/>
        <v>0</v>
      </c>
      <c r="BE23" s="277">
        <f t="shared" si="34"/>
        <v>0</v>
      </c>
      <c r="BF23" s="277">
        <f t="shared" si="35"/>
        <v>0</v>
      </c>
      <c r="BG23" s="277">
        <f t="shared" si="36"/>
        <v>0</v>
      </c>
      <c r="BH23" s="277">
        <f t="shared" si="75"/>
        <v>0</v>
      </c>
      <c r="BI23" s="277">
        <f t="shared" si="76"/>
        <v>0</v>
      </c>
      <c r="BJ23" s="277">
        <f t="shared" si="37"/>
        <v>0</v>
      </c>
      <c r="BK23" s="277">
        <f t="shared" si="38"/>
        <v>0</v>
      </c>
      <c r="BL23" s="277">
        <f t="shared" si="39"/>
        <v>0</v>
      </c>
      <c r="BM23" s="277">
        <f t="shared" si="40"/>
        <v>0</v>
      </c>
      <c r="BN23" s="277">
        <f t="shared" si="41"/>
        <v>0</v>
      </c>
      <c r="BO23" s="277">
        <f t="shared" si="42"/>
        <v>0</v>
      </c>
      <c r="BP23" s="277">
        <f t="shared" si="77"/>
        <v>0</v>
      </c>
      <c r="BQ23" s="277">
        <f t="shared" si="78"/>
        <v>0</v>
      </c>
      <c r="BR23" s="277">
        <f t="shared" si="43"/>
        <v>0</v>
      </c>
      <c r="BS23" s="277">
        <f t="shared" si="44"/>
        <v>0</v>
      </c>
      <c r="BT23" s="277">
        <f t="shared" si="79"/>
        <v>0</v>
      </c>
      <c r="BU23" s="277">
        <f t="shared" si="80"/>
        <v>0</v>
      </c>
      <c r="BV23" s="277">
        <f t="shared" si="81"/>
        <v>0</v>
      </c>
      <c r="BW23" s="277">
        <f t="shared" si="82"/>
        <v>0</v>
      </c>
      <c r="BX23" s="277">
        <f t="shared" si="45"/>
        <v>0</v>
      </c>
      <c r="BY23" s="277">
        <f t="shared" si="46"/>
        <v>0</v>
      </c>
      <c r="BZ23" s="277">
        <f t="shared" si="47"/>
        <v>0</v>
      </c>
      <c r="CA23" s="277">
        <f t="shared" si="48"/>
        <v>0</v>
      </c>
      <c r="CB23" s="277">
        <f t="shared" si="49"/>
        <v>0</v>
      </c>
      <c r="CC23" s="277">
        <f t="shared" si="50"/>
        <v>0</v>
      </c>
      <c r="CD23" s="277">
        <f t="shared" si="83"/>
        <v>0</v>
      </c>
      <c r="CE23" s="277">
        <f t="shared" si="84"/>
        <v>0</v>
      </c>
      <c r="CF23" s="277">
        <f t="shared" si="85"/>
        <v>0</v>
      </c>
      <c r="CG23" s="277">
        <f t="shared" si="86"/>
        <v>0</v>
      </c>
      <c r="CH23" s="277">
        <f t="shared" si="51"/>
        <v>0</v>
      </c>
      <c r="CI23" s="277">
        <f t="shared" si="52"/>
        <v>0</v>
      </c>
      <c r="CJ23" s="277">
        <f t="shared" si="87"/>
        <v>0</v>
      </c>
      <c r="CK23" s="277">
        <f t="shared" si="88"/>
        <v>0</v>
      </c>
      <c r="CL23" s="277">
        <f t="shared" si="53"/>
        <v>0</v>
      </c>
      <c r="CM23" s="277">
        <f t="shared" si="54"/>
        <v>0</v>
      </c>
      <c r="CN23" s="277">
        <f t="shared" si="55"/>
        <v>0</v>
      </c>
      <c r="CO23" s="277">
        <f t="shared" si="56"/>
        <v>0</v>
      </c>
      <c r="CP23" s="277">
        <f t="shared" si="89"/>
        <v>0</v>
      </c>
      <c r="CQ23" s="277">
        <f t="shared" si="90"/>
        <v>0</v>
      </c>
      <c r="CR23" s="277">
        <f t="shared" si="91"/>
        <v>0</v>
      </c>
      <c r="CS23" s="277">
        <f t="shared" si="92"/>
        <v>0</v>
      </c>
      <c r="CT23" s="277">
        <f t="shared" si="57"/>
        <v>0</v>
      </c>
      <c r="CU23" s="277">
        <f t="shared" si="58"/>
        <v>0</v>
      </c>
      <c r="CV23" s="277">
        <f t="shared" si="59"/>
        <v>0</v>
      </c>
      <c r="CW23" s="277">
        <f t="shared" si="60"/>
        <v>0</v>
      </c>
      <c r="CX23" s="277">
        <f t="shared" si="93"/>
        <v>0</v>
      </c>
      <c r="CY23" s="277">
        <f t="shared" si="94"/>
        <v>0</v>
      </c>
      <c r="CZ23" s="277">
        <f t="shared" si="95"/>
        <v>0</v>
      </c>
      <c r="DA23" s="277">
        <f t="shared" si="96"/>
        <v>0</v>
      </c>
    </row>
    <row r="24" spans="1:105" s="274" customFormat="1" ht="16.5" customHeight="1">
      <c r="A24" s="63" t="str">
        <f t="array" ref="A24">IF(C24&lt;&gt;0,SUM(($C$11:C24&lt;&gt;0)*1),"")</f>
        <v/>
      </c>
      <c r="B24" s="275"/>
      <c r="C24" s="275"/>
      <c r="D24" s="275"/>
      <c r="E24" s="365"/>
      <c r="F24" s="326"/>
      <c r="G24" s="328"/>
      <c r="H24" s="328"/>
      <c r="I24" s="63" t="str">
        <f t="shared" si="0"/>
        <v/>
      </c>
      <c r="J24" s="277">
        <f t="shared" si="61"/>
        <v>0</v>
      </c>
      <c r="K24" s="277">
        <f t="shared" si="62"/>
        <v>0</v>
      </c>
      <c r="L24" s="277">
        <f t="shared" si="1"/>
        <v>0</v>
      </c>
      <c r="M24" s="277">
        <f t="shared" si="2"/>
        <v>0</v>
      </c>
      <c r="N24" s="277">
        <f t="shared" si="3"/>
        <v>0</v>
      </c>
      <c r="O24" s="277">
        <f t="shared" si="4"/>
        <v>0</v>
      </c>
      <c r="P24" s="277">
        <f t="shared" si="5"/>
        <v>0</v>
      </c>
      <c r="Q24" s="277">
        <f t="shared" si="6"/>
        <v>0</v>
      </c>
      <c r="R24" s="277">
        <f t="shared" si="7"/>
        <v>0</v>
      </c>
      <c r="S24" s="277">
        <f t="shared" si="8"/>
        <v>0</v>
      </c>
      <c r="T24" s="277">
        <f t="shared" si="9"/>
        <v>0</v>
      </c>
      <c r="U24" s="277">
        <f t="shared" si="10"/>
        <v>0</v>
      </c>
      <c r="V24" s="277">
        <f t="shared" si="11"/>
        <v>0</v>
      </c>
      <c r="W24" s="277">
        <f t="shared" si="12"/>
        <v>0</v>
      </c>
      <c r="X24" s="277">
        <f t="shared" si="13"/>
        <v>0</v>
      </c>
      <c r="Y24" s="277">
        <f t="shared" si="14"/>
        <v>0</v>
      </c>
      <c r="Z24" s="277">
        <f t="shared" si="15"/>
        <v>0</v>
      </c>
      <c r="AA24" s="277">
        <f t="shared" si="16"/>
        <v>0</v>
      </c>
      <c r="AB24" s="277">
        <f t="shared" si="63"/>
        <v>0</v>
      </c>
      <c r="AC24" s="277">
        <f t="shared" si="64"/>
        <v>0</v>
      </c>
      <c r="AD24" s="277">
        <f t="shared" si="17"/>
        <v>0</v>
      </c>
      <c r="AE24" s="277">
        <f t="shared" si="18"/>
        <v>0</v>
      </c>
      <c r="AF24" s="277">
        <f t="shared" si="19"/>
        <v>0</v>
      </c>
      <c r="AG24" s="277">
        <f t="shared" si="20"/>
        <v>0</v>
      </c>
      <c r="AH24" s="277">
        <f t="shared" si="65"/>
        <v>0</v>
      </c>
      <c r="AI24" s="277">
        <f t="shared" si="66"/>
        <v>0</v>
      </c>
      <c r="AJ24" s="277">
        <f t="shared" si="67"/>
        <v>0</v>
      </c>
      <c r="AK24" s="277">
        <f t="shared" si="68"/>
        <v>0</v>
      </c>
      <c r="AL24" s="277">
        <f t="shared" si="69"/>
        <v>0</v>
      </c>
      <c r="AM24" s="277">
        <f t="shared" si="70"/>
        <v>0</v>
      </c>
      <c r="AN24" s="277">
        <f t="shared" si="71"/>
        <v>0</v>
      </c>
      <c r="AO24" s="277">
        <f t="shared" si="72"/>
        <v>0</v>
      </c>
      <c r="AP24" s="277">
        <f t="shared" si="21"/>
        <v>0</v>
      </c>
      <c r="AQ24" s="277">
        <f t="shared" si="22"/>
        <v>0</v>
      </c>
      <c r="AR24" s="277">
        <f t="shared" si="23"/>
        <v>0</v>
      </c>
      <c r="AS24" s="277">
        <f t="shared" si="24"/>
        <v>0</v>
      </c>
      <c r="AT24" s="277">
        <f t="shared" si="73"/>
        <v>0</v>
      </c>
      <c r="AU24" s="277">
        <f t="shared" si="74"/>
        <v>0</v>
      </c>
      <c r="AV24" s="277">
        <f t="shared" si="25"/>
        <v>0</v>
      </c>
      <c r="AW24" s="277">
        <f t="shared" si="26"/>
        <v>0</v>
      </c>
      <c r="AX24" s="277">
        <f t="shared" si="27"/>
        <v>0</v>
      </c>
      <c r="AY24" s="277">
        <f t="shared" si="28"/>
        <v>0</v>
      </c>
      <c r="AZ24" s="277">
        <f t="shared" si="29"/>
        <v>0</v>
      </c>
      <c r="BA24" s="277">
        <f t="shared" si="30"/>
        <v>0</v>
      </c>
      <c r="BB24" s="277">
        <f t="shared" si="31"/>
        <v>0</v>
      </c>
      <c r="BC24" s="277">
        <f t="shared" si="32"/>
        <v>0</v>
      </c>
      <c r="BD24" s="277">
        <f t="shared" si="33"/>
        <v>0</v>
      </c>
      <c r="BE24" s="277">
        <f t="shared" si="34"/>
        <v>0</v>
      </c>
      <c r="BF24" s="277">
        <f t="shared" si="35"/>
        <v>0</v>
      </c>
      <c r="BG24" s="277">
        <f t="shared" si="36"/>
        <v>0</v>
      </c>
      <c r="BH24" s="277">
        <f t="shared" si="75"/>
        <v>0</v>
      </c>
      <c r="BI24" s="277">
        <f t="shared" si="76"/>
        <v>0</v>
      </c>
      <c r="BJ24" s="277">
        <f t="shared" si="37"/>
        <v>0</v>
      </c>
      <c r="BK24" s="277">
        <f t="shared" si="38"/>
        <v>0</v>
      </c>
      <c r="BL24" s="277">
        <f t="shared" si="39"/>
        <v>0</v>
      </c>
      <c r="BM24" s="277">
        <f t="shared" si="40"/>
        <v>0</v>
      </c>
      <c r="BN24" s="277">
        <f t="shared" si="41"/>
        <v>0</v>
      </c>
      <c r="BO24" s="277">
        <f t="shared" si="42"/>
        <v>0</v>
      </c>
      <c r="BP24" s="277">
        <f t="shared" si="77"/>
        <v>0</v>
      </c>
      <c r="BQ24" s="277">
        <f t="shared" si="78"/>
        <v>0</v>
      </c>
      <c r="BR24" s="277">
        <f t="shared" si="43"/>
        <v>0</v>
      </c>
      <c r="BS24" s="277">
        <f t="shared" si="44"/>
        <v>0</v>
      </c>
      <c r="BT24" s="277">
        <f t="shared" si="79"/>
        <v>0</v>
      </c>
      <c r="BU24" s="277">
        <f t="shared" si="80"/>
        <v>0</v>
      </c>
      <c r="BV24" s="277">
        <f t="shared" si="81"/>
        <v>0</v>
      </c>
      <c r="BW24" s="277">
        <f t="shared" si="82"/>
        <v>0</v>
      </c>
      <c r="BX24" s="277">
        <f t="shared" si="45"/>
        <v>0</v>
      </c>
      <c r="BY24" s="277">
        <f t="shared" si="46"/>
        <v>0</v>
      </c>
      <c r="BZ24" s="277">
        <f t="shared" si="47"/>
        <v>0</v>
      </c>
      <c r="CA24" s="277">
        <f t="shared" si="48"/>
        <v>0</v>
      </c>
      <c r="CB24" s="277">
        <f t="shared" si="49"/>
        <v>0</v>
      </c>
      <c r="CC24" s="277">
        <f t="shared" si="50"/>
        <v>0</v>
      </c>
      <c r="CD24" s="277">
        <f t="shared" si="83"/>
        <v>0</v>
      </c>
      <c r="CE24" s="277">
        <f t="shared" si="84"/>
        <v>0</v>
      </c>
      <c r="CF24" s="277">
        <f t="shared" si="85"/>
        <v>0</v>
      </c>
      <c r="CG24" s="277">
        <f t="shared" si="86"/>
        <v>0</v>
      </c>
      <c r="CH24" s="277">
        <f t="shared" si="51"/>
        <v>0</v>
      </c>
      <c r="CI24" s="277">
        <f t="shared" si="52"/>
        <v>0</v>
      </c>
      <c r="CJ24" s="277">
        <f t="shared" si="87"/>
        <v>0</v>
      </c>
      <c r="CK24" s="277">
        <f t="shared" si="88"/>
        <v>0</v>
      </c>
      <c r="CL24" s="277">
        <f t="shared" si="53"/>
        <v>0</v>
      </c>
      <c r="CM24" s="277">
        <f t="shared" si="54"/>
        <v>0</v>
      </c>
      <c r="CN24" s="277">
        <f t="shared" si="55"/>
        <v>0</v>
      </c>
      <c r="CO24" s="277">
        <f t="shared" si="56"/>
        <v>0</v>
      </c>
      <c r="CP24" s="277">
        <f t="shared" si="89"/>
        <v>0</v>
      </c>
      <c r="CQ24" s="277">
        <f t="shared" si="90"/>
        <v>0</v>
      </c>
      <c r="CR24" s="277">
        <f t="shared" si="91"/>
        <v>0</v>
      </c>
      <c r="CS24" s="277">
        <f t="shared" si="92"/>
        <v>0</v>
      </c>
      <c r="CT24" s="277">
        <f t="shared" si="57"/>
        <v>0</v>
      </c>
      <c r="CU24" s="277">
        <f t="shared" si="58"/>
        <v>0</v>
      </c>
      <c r="CV24" s="277">
        <f t="shared" si="59"/>
        <v>0</v>
      </c>
      <c r="CW24" s="277">
        <f t="shared" si="60"/>
        <v>0</v>
      </c>
      <c r="CX24" s="277">
        <f t="shared" si="93"/>
        <v>0</v>
      </c>
      <c r="CY24" s="277">
        <f t="shared" si="94"/>
        <v>0</v>
      </c>
      <c r="CZ24" s="277">
        <f t="shared" si="95"/>
        <v>0</v>
      </c>
      <c r="DA24" s="277">
        <f t="shared" si="96"/>
        <v>0</v>
      </c>
    </row>
    <row r="25" spans="1:105" s="274" customFormat="1" ht="16.5" customHeight="1">
      <c r="A25" s="63" t="str">
        <f t="array" ref="A25">IF(C25&lt;&gt;0,SUM(($C$11:C25&lt;&gt;0)*1),"")</f>
        <v/>
      </c>
      <c r="B25" s="275"/>
      <c r="C25" s="275"/>
      <c r="D25" s="275"/>
      <c r="E25" s="365"/>
      <c r="F25" s="326"/>
      <c r="G25" s="328"/>
      <c r="H25" s="328"/>
      <c r="I25" s="63" t="str">
        <f t="shared" si="0"/>
        <v/>
      </c>
      <c r="J25" s="277">
        <f t="shared" si="61"/>
        <v>0</v>
      </c>
      <c r="K25" s="277">
        <f t="shared" si="62"/>
        <v>0</v>
      </c>
      <c r="L25" s="277">
        <f t="shared" si="1"/>
        <v>0</v>
      </c>
      <c r="M25" s="277">
        <f t="shared" si="2"/>
        <v>0</v>
      </c>
      <c r="N25" s="277">
        <f t="shared" si="3"/>
        <v>0</v>
      </c>
      <c r="O25" s="277">
        <f t="shared" si="4"/>
        <v>0</v>
      </c>
      <c r="P25" s="277">
        <f t="shared" si="5"/>
        <v>0</v>
      </c>
      <c r="Q25" s="277">
        <f t="shared" si="6"/>
        <v>0</v>
      </c>
      <c r="R25" s="277">
        <f t="shared" si="7"/>
        <v>0</v>
      </c>
      <c r="S25" s="277">
        <f t="shared" si="8"/>
        <v>0</v>
      </c>
      <c r="T25" s="277">
        <f t="shared" si="9"/>
        <v>0</v>
      </c>
      <c r="U25" s="277">
        <f t="shared" si="10"/>
        <v>0</v>
      </c>
      <c r="V25" s="277">
        <f t="shared" si="11"/>
        <v>0</v>
      </c>
      <c r="W25" s="277">
        <f t="shared" si="12"/>
        <v>0</v>
      </c>
      <c r="X25" s="277">
        <f t="shared" si="13"/>
        <v>0</v>
      </c>
      <c r="Y25" s="277">
        <f t="shared" si="14"/>
        <v>0</v>
      </c>
      <c r="Z25" s="277">
        <f t="shared" si="15"/>
        <v>0</v>
      </c>
      <c r="AA25" s="277">
        <f t="shared" si="16"/>
        <v>0</v>
      </c>
      <c r="AB25" s="277">
        <f t="shared" si="63"/>
        <v>0</v>
      </c>
      <c r="AC25" s="277">
        <f t="shared" si="64"/>
        <v>0</v>
      </c>
      <c r="AD25" s="277">
        <f t="shared" si="17"/>
        <v>0</v>
      </c>
      <c r="AE25" s="277">
        <f t="shared" si="18"/>
        <v>0</v>
      </c>
      <c r="AF25" s="277">
        <f t="shared" si="19"/>
        <v>0</v>
      </c>
      <c r="AG25" s="277">
        <f t="shared" si="20"/>
        <v>0</v>
      </c>
      <c r="AH25" s="277">
        <f t="shared" si="65"/>
        <v>0</v>
      </c>
      <c r="AI25" s="277">
        <f t="shared" si="66"/>
        <v>0</v>
      </c>
      <c r="AJ25" s="277">
        <f t="shared" si="67"/>
        <v>0</v>
      </c>
      <c r="AK25" s="277">
        <f t="shared" si="68"/>
        <v>0</v>
      </c>
      <c r="AL25" s="277">
        <f t="shared" si="69"/>
        <v>0</v>
      </c>
      <c r="AM25" s="277">
        <f t="shared" si="70"/>
        <v>0</v>
      </c>
      <c r="AN25" s="277">
        <f t="shared" si="71"/>
        <v>0</v>
      </c>
      <c r="AO25" s="277">
        <f t="shared" si="72"/>
        <v>0</v>
      </c>
      <c r="AP25" s="277">
        <f t="shared" si="21"/>
        <v>0</v>
      </c>
      <c r="AQ25" s="277">
        <f t="shared" si="22"/>
        <v>0</v>
      </c>
      <c r="AR25" s="277">
        <f t="shared" si="23"/>
        <v>0</v>
      </c>
      <c r="AS25" s="277">
        <f t="shared" si="24"/>
        <v>0</v>
      </c>
      <c r="AT25" s="277">
        <f t="shared" si="73"/>
        <v>0</v>
      </c>
      <c r="AU25" s="277">
        <f t="shared" si="74"/>
        <v>0</v>
      </c>
      <c r="AV25" s="277">
        <f t="shared" si="25"/>
        <v>0</v>
      </c>
      <c r="AW25" s="277">
        <f t="shared" si="26"/>
        <v>0</v>
      </c>
      <c r="AX25" s="277">
        <f t="shared" si="27"/>
        <v>0</v>
      </c>
      <c r="AY25" s="277">
        <f t="shared" si="28"/>
        <v>0</v>
      </c>
      <c r="AZ25" s="277">
        <f t="shared" si="29"/>
        <v>0</v>
      </c>
      <c r="BA25" s="277">
        <f t="shared" si="30"/>
        <v>0</v>
      </c>
      <c r="BB25" s="277">
        <f t="shared" si="31"/>
        <v>0</v>
      </c>
      <c r="BC25" s="277">
        <f t="shared" si="32"/>
        <v>0</v>
      </c>
      <c r="BD25" s="277">
        <f t="shared" si="33"/>
        <v>0</v>
      </c>
      <c r="BE25" s="277">
        <f t="shared" si="34"/>
        <v>0</v>
      </c>
      <c r="BF25" s="277">
        <f t="shared" si="35"/>
        <v>0</v>
      </c>
      <c r="BG25" s="277">
        <f t="shared" si="36"/>
        <v>0</v>
      </c>
      <c r="BH25" s="277">
        <f t="shared" si="75"/>
        <v>0</v>
      </c>
      <c r="BI25" s="277">
        <f t="shared" si="76"/>
        <v>0</v>
      </c>
      <c r="BJ25" s="277">
        <f t="shared" si="37"/>
        <v>0</v>
      </c>
      <c r="BK25" s="277">
        <f t="shared" si="38"/>
        <v>0</v>
      </c>
      <c r="BL25" s="277">
        <f t="shared" si="39"/>
        <v>0</v>
      </c>
      <c r="BM25" s="277">
        <f t="shared" si="40"/>
        <v>0</v>
      </c>
      <c r="BN25" s="277">
        <f t="shared" si="41"/>
        <v>0</v>
      </c>
      <c r="BO25" s="277">
        <f t="shared" si="42"/>
        <v>0</v>
      </c>
      <c r="BP25" s="277">
        <f t="shared" si="77"/>
        <v>0</v>
      </c>
      <c r="BQ25" s="277">
        <f t="shared" si="78"/>
        <v>0</v>
      </c>
      <c r="BR25" s="277">
        <f t="shared" si="43"/>
        <v>0</v>
      </c>
      <c r="BS25" s="277">
        <f t="shared" si="44"/>
        <v>0</v>
      </c>
      <c r="BT25" s="277">
        <f t="shared" si="79"/>
        <v>0</v>
      </c>
      <c r="BU25" s="277">
        <f t="shared" si="80"/>
        <v>0</v>
      </c>
      <c r="BV25" s="277">
        <f t="shared" si="81"/>
        <v>0</v>
      </c>
      <c r="BW25" s="277">
        <f t="shared" si="82"/>
        <v>0</v>
      </c>
      <c r="BX25" s="277">
        <f t="shared" si="45"/>
        <v>0</v>
      </c>
      <c r="BY25" s="277">
        <f t="shared" si="46"/>
        <v>0</v>
      </c>
      <c r="BZ25" s="277">
        <f t="shared" si="47"/>
        <v>0</v>
      </c>
      <c r="CA25" s="277">
        <f t="shared" si="48"/>
        <v>0</v>
      </c>
      <c r="CB25" s="277">
        <f t="shared" si="49"/>
        <v>0</v>
      </c>
      <c r="CC25" s="277">
        <f t="shared" si="50"/>
        <v>0</v>
      </c>
      <c r="CD25" s="277">
        <f t="shared" si="83"/>
        <v>0</v>
      </c>
      <c r="CE25" s="277">
        <f t="shared" si="84"/>
        <v>0</v>
      </c>
      <c r="CF25" s="277">
        <f t="shared" si="85"/>
        <v>0</v>
      </c>
      <c r="CG25" s="277">
        <f t="shared" si="86"/>
        <v>0</v>
      </c>
      <c r="CH25" s="277">
        <f t="shared" si="51"/>
        <v>0</v>
      </c>
      <c r="CI25" s="277">
        <f t="shared" si="52"/>
        <v>0</v>
      </c>
      <c r="CJ25" s="277">
        <f t="shared" si="87"/>
        <v>0</v>
      </c>
      <c r="CK25" s="277">
        <f t="shared" si="88"/>
        <v>0</v>
      </c>
      <c r="CL25" s="277">
        <f t="shared" si="53"/>
        <v>0</v>
      </c>
      <c r="CM25" s="277">
        <f t="shared" si="54"/>
        <v>0</v>
      </c>
      <c r="CN25" s="277">
        <f t="shared" si="55"/>
        <v>0</v>
      </c>
      <c r="CO25" s="277">
        <f t="shared" si="56"/>
        <v>0</v>
      </c>
      <c r="CP25" s="277">
        <f t="shared" si="89"/>
        <v>0</v>
      </c>
      <c r="CQ25" s="277">
        <f t="shared" si="90"/>
        <v>0</v>
      </c>
      <c r="CR25" s="277">
        <f t="shared" si="91"/>
        <v>0</v>
      </c>
      <c r="CS25" s="277">
        <f t="shared" si="92"/>
        <v>0</v>
      </c>
      <c r="CT25" s="277">
        <f t="shared" si="57"/>
        <v>0</v>
      </c>
      <c r="CU25" s="277">
        <f t="shared" si="58"/>
        <v>0</v>
      </c>
      <c r="CV25" s="277">
        <f t="shared" si="59"/>
        <v>0</v>
      </c>
      <c r="CW25" s="277">
        <f t="shared" si="60"/>
        <v>0</v>
      </c>
      <c r="CX25" s="277">
        <f t="shared" si="93"/>
        <v>0</v>
      </c>
      <c r="CY25" s="277">
        <f t="shared" si="94"/>
        <v>0</v>
      </c>
      <c r="CZ25" s="277">
        <f t="shared" si="95"/>
        <v>0</v>
      </c>
      <c r="DA25" s="277">
        <f t="shared" si="96"/>
        <v>0</v>
      </c>
    </row>
    <row r="26" spans="1:105" s="274" customFormat="1" ht="16.5" customHeight="1">
      <c r="A26" s="63" t="str">
        <f t="array" ref="A26">IF(C26&lt;&gt;0,SUM(($C$11:C26&lt;&gt;0)*1),"")</f>
        <v/>
      </c>
      <c r="B26" s="275"/>
      <c r="C26" s="275"/>
      <c r="D26" s="275"/>
      <c r="E26" s="365"/>
      <c r="F26" s="326"/>
      <c r="G26" s="328"/>
      <c r="H26" s="328"/>
      <c r="I26" s="63" t="str">
        <f t="shared" si="0"/>
        <v/>
      </c>
      <c r="J26" s="277">
        <f t="shared" si="61"/>
        <v>0</v>
      </c>
      <c r="K26" s="277">
        <f t="shared" si="62"/>
        <v>0</v>
      </c>
      <c r="L26" s="277">
        <f t="shared" si="1"/>
        <v>0</v>
      </c>
      <c r="M26" s="277">
        <f t="shared" si="2"/>
        <v>0</v>
      </c>
      <c r="N26" s="277">
        <f t="shared" si="3"/>
        <v>0</v>
      </c>
      <c r="O26" s="277">
        <f t="shared" si="4"/>
        <v>0</v>
      </c>
      <c r="P26" s="277">
        <f t="shared" si="5"/>
        <v>0</v>
      </c>
      <c r="Q26" s="277">
        <f t="shared" si="6"/>
        <v>0</v>
      </c>
      <c r="R26" s="277">
        <f t="shared" si="7"/>
        <v>0</v>
      </c>
      <c r="S26" s="277">
        <f t="shared" si="8"/>
        <v>0</v>
      </c>
      <c r="T26" s="277">
        <f t="shared" si="9"/>
        <v>0</v>
      </c>
      <c r="U26" s="277">
        <f t="shared" si="10"/>
        <v>0</v>
      </c>
      <c r="V26" s="277">
        <f t="shared" si="11"/>
        <v>0</v>
      </c>
      <c r="W26" s="277">
        <f t="shared" si="12"/>
        <v>0</v>
      </c>
      <c r="X26" s="277">
        <f t="shared" si="13"/>
        <v>0</v>
      </c>
      <c r="Y26" s="277">
        <f t="shared" si="14"/>
        <v>0</v>
      </c>
      <c r="Z26" s="277">
        <f t="shared" si="15"/>
        <v>0</v>
      </c>
      <c r="AA26" s="277">
        <f t="shared" si="16"/>
        <v>0</v>
      </c>
      <c r="AB26" s="277">
        <f t="shared" si="63"/>
        <v>0</v>
      </c>
      <c r="AC26" s="277">
        <f t="shared" si="64"/>
        <v>0</v>
      </c>
      <c r="AD26" s="277">
        <f t="shared" si="17"/>
        <v>0</v>
      </c>
      <c r="AE26" s="277">
        <f t="shared" si="18"/>
        <v>0</v>
      </c>
      <c r="AF26" s="277">
        <f t="shared" si="19"/>
        <v>0</v>
      </c>
      <c r="AG26" s="277">
        <f t="shared" si="20"/>
        <v>0</v>
      </c>
      <c r="AH26" s="277">
        <f t="shared" si="65"/>
        <v>0</v>
      </c>
      <c r="AI26" s="277">
        <f t="shared" si="66"/>
        <v>0</v>
      </c>
      <c r="AJ26" s="277">
        <f t="shared" si="67"/>
        <v>0</v>
      </c>
      <c r="AK26" s="277">
        <f t="shared" si="68"/>
        <v>0</v>
      </c>
      <c r="AL26" s="277">
        <f t="shared" si="69"/>
        <v>0</v>
      </c>
      <c r="AM26" s="277">
        <f t="shared" si="70"/>
        <v>0</v>
      </c>
      <c r="AN26" s="277">
        <f t="shared" si="71"/>
        <v>0</v>
      </c>
      <c r="AO26" s="277">
        <f t="shared" si="72"/>
        <v>0</v>
      </c>
      <c r="AP26" s="277">
        <f t="shared" si="21"/>
        <v>0</v>
      </c>
      <c r="AQ26" s="277">
        <f t="shared" si="22"/>
        <v>0</v>
      </c>
      <c r="AR26" s="277">
        <f t="shared" si="23"/>
        <v>0</v>
      </c>
      <c r="AS26" s="277">
        <f t="shared" si="24"/>
        <v>0</v>
      </c>
      <c r="AT26" s="277">
        <f t="shared" si="73"/>
        <v>0</v>
      </c>
      <c r="AU26" s="277">
        <f t="shared" si="74"/>
        <v>0</v>
      </c>
      <c r="AV26" s="277">
        <f t="shared" si="25"/>
        <v>0</v>
      </c>
      <c r="AW26" s="277">
        <f t="shared" si="26"/>
        <v>0</v>
      </c>
      <c r="AX26" s="277">
        <f t="shared" si="27"/>
        <v>0</v>
      </c>
      <c r="AY26" s="277">
        <f t="shared" si="28"/>
        <v>0</v>
      </c>
      <c r="AZ26" s="277">
        <f t="shared" si="29"/>
        <v>0</v>
      </c>
      <c r="BA26" s="277">
        <f t="shared" si="30"/>
        <v>0</v>
      </c>
      <c r="BB26" s="277">
        <f t="shared" si="31"/>
        <v>0</v>
      </c>
      <c r="BC26" s="277">
        <f t="shared" si="32"/>
        <v>0</v>
      </c>
      <c r="BD26" s="277">
        <f t="shared" si="33"/>
        <v>0</v>
      </c>
      <c r="BE26" s="277">
        <f t="shared" si="34"/>
        <v>0</v>
      </c>
      <c r="BF26" s="277">
        <f t="shared" si="35"/>
        <v>0</v>
      </c>
      <c r="BG26" s="277">
        <f t="shared" si="36"/>
        <v>0</v>
      </c>
      <c r="BH26" s="277">
        <f t="shared" si="75"/>
        <v>0</v>
      </c>
      <c r="BI26" s="277">
        <f t="shared" si="76"/>
        <v>0</v>
      </c>
      <c r="BJ26" s="277">
        <f t="shared" si="37"/>
        <v>0</v>
      </c>
      <c r="BK26" s="277">
        <f t="shared" si="38"/>
        <v>0</v>
      </c>
      <c r="BL26" s="277">
        <f t="shared" si="39"/>
        <v>0</v>
      </c>
      <c r="BM26" s="277">
        <f t="shared" si="40"/>
        <v>0</v>
      </c>
      <c r="BN26" s="277">
        <f t="shared" si="41"/>
        <v>0</v>
      </c>
      <c r="BO26" s="277">
        <f t="shared" si="42"/>
        <v>0</v>
      </c>
      <c r="BP26" s="277">
        <f t="shared" si="77"/>
        <v>0</v>
      </c>
      <c r="BQ26" s="277">
        <f t="shared" si="78"/>
        <v>0</v>
      </c>
      <c r="BR26" s="277">
        <f t="shared" si="43"/>
        <v>0</v>
      </c>
      <c r="BS26" s="277">
        <f t="shared" si="44"/>
        <v>0</v>
      </c>
      <c r="BT26" s="277">
        <f t="shared" si="79"/>
        <v>0</v>
      </c>
      <c r="BU26" s="277">
        <f t="shared" si="80"/>
        <v>0</v>
      </c>
      <c r="BV26" s="277">
        <f t="shared" si="81"/>
        <v>0</v>
      </c>
      <c r="BW26" s="277">
        <f t="shared" si="82"/>
        <v>0</v>
      </c>
      <c r="BX26" s="277">
        <f t="shared" si="45"/>
        <v>0</v>
      </c>
      <c r="BY26" s="277">
        <f t="shared" si="46"/>
        <v>0</v>
      </c>
      <c r="BZ26" s="277">
        <f t="shared" si="47"/>
        <v>0</v>
      </c>
      <c r="CA26" s="277">
        <f t="shared" si="48"/>
        <v>0</v>
      </c>
      <c r="CB26" s="277">
        <f t="shared" si="49"/>
        <v>0</v>
      </c>
      <c r="CC26" s="277">
        <f t="shared" si="50"/>
        <v>0</v>
      </c>
      <c r="CD26" s="277">
        <f t="shared" si="83"/>
        <v>0</v>
      </c>
      <c r="CE26" s="277">
        <f t="shared" si="84"/>
        <v>0</v>
      </c>
      <c r="CF26" s="277">
        <f t="shared" si="85"/>
        <v>0</v>
      </c>
      <c r="CG26" s="277">
        <f t="shared" si="86"/>
        <v>0</v>
      </c>
      <c r="CH26" s="277">
        <f t="shared" si="51"/>
        <v>0</v>
      </c>
      <c r="CI26" s="277">
        <f t="shared" si="52"/>
        <v>0</v>
      </c>
      <c r="CJ26" s="277">
        <f t="shared" si="87"/>
        <v>0</v>
      </c>
      <c r="CK26" s="277">
        <f t="shared" si="88"/>
        <v>0</v>
      </c>
      <c r="CL26" s="277">
        <f t="shared" si="53"/>
        <v>0</v>
      </c>
      <c r="CM26" s="277">
        <f t="shared" si="54"/>
        <v>0</v>
      </c>
      <c r="CN26" s="277">
        <f t="shared" si="55"/>
        <v>0</v>
      </c>
      <c r="CO26" s="277">
        <f t="shared" si="56"/>
        <v>0</v>
      </c>
      <c r="CP26" s="277">
        <f t="shared" si="89"/>
        <v>0</v>
      </c>
      <c r="CQ26" s="277">
        <f t="shared" si="90"/>
        <v>0</v>
      </c>
      <c r="CR26" s="277">
        <f t="shared" si="91"/>
        <v>0</v>
      </c>
      <c r="CS26" s="277">
        <f t="shared" si="92"/>
        <v>0</v>
      </c>
      <c r="CT26" s="277">
        <f t="shared" si="57"/>
        <v>0</v>
      </c>
      <c r="CU26" s="277">
        <f t="shared" si="58"/>
        <v>0</v>
      </c>
      <c r="CV26" s="277">
        <f t="shared" si="59"/>
        <v>0</v>
      </c>
      <c r="CW26" s="277">
        <f t="shared" si="60"/>
        <v>0</v>
      </c>
      <c r="CX26" s="277">
        <f t="shared" si="93"/>
        <v>0</v>
      </c>
      <c r="CY26" s="277">
        <f t="shared" si="94"/>
        <v>0</v>
      </c>
      <c r="CZ26" s="277">
        <f t="shared" si="95"/>
        <v>0</v>
      </c>
      <c r="DA26" s="277">
        <f t="shared" si="96"/>
        <v>0</v>
      </c>
    </row>
    <row r="27" spans="1:105" s="274" customFormat="1" ht="16.5" customHeight="1">
      <c r="A27" s="63" t="str">
        <f t="array" ref="A27">IF(C27&lt;&gt;0,SUM(($C$11:C27&lt;&gt;0)*1),"")</f>
        <v/>
      </c>
      <c r="B27" s="275"/>
      <c r="C27" s="275"/>
      <c r="D27" s="275"/>
      <c r="E27" s="365"/>
      <c r="F27" s="326"/>
      <c r="G27" s="328"/>
      <c r="H27" s="328"/>
      <c r="I27" s="63" t="str">
        <f t="shared" si="0"/>
        <v/>
      </c>
      <c r="J27" s="277">
        <f t="shared" si="61"/>
        <v>0</v>
      </c>
      <c r="K27" s="277">
        <f t="shared" si="62"/>
        <v>0</v>
      </c>
      <c r="L27" s="277">
        <f t="shared" si="1"/>
        <v>0</v>
      </c>
      <c r="M27" s="277">
        <f t="shared" si="2"/>
        <v>0</v>
      </c>
      <c r="N27" s="277">
        <f t="shared" si="3"/>
        <v>0</v>
      </c>
      <c r="O27" s="277">
        <f t="shared" si="4"/>
        <v>0</v>
      </c>
      <c r="P27" s="277">
        <f t="shared" si="5"/>
        <v>0</v>
      </c>
      <c r="Q27" s="277">
        <f t="shared" si="6"/>
        <v>0</v>
      </c>
      <c r="R27" s="277">
        <f t="shared" si="7"/>
        <v>0</v>
      </c>
      <c r="S27" s="277">
        <f t="shared" si="8"/>
        <v>0</v>
      </c>
      <c r="T27" s="277">
        <f t="shared" si="9"/>
        <v>0</v>
      </c>
      <c r="U27" s="277">
        <f t="shared" si="10"/>
        <v>0</v>
      </c>
      <c r="V27" s="277">
        <f t="shared" si="11"/>
        <v>0</v>
      </c>
      <c r="W27" s="277">
        <f t="shared" si="12"/>
        <v>0</v>
      </c>
      <c r="X27" s="277">
        <f t="shared" si="13"/>
        <v>0</v>
      </c>
      <c r="Y27" s="277">
        <f t="shared" si="14"/>
        <v>0</v>
      </c>
      <c r="Z27" s="277">
        <f t="shared" si="15"/>
        <v>0</v>
      </c>
      <c r="AA27" s="277">
        <f t="shared" si="16"/>
        <v>0</v>
      </c>
      <c r="AB27" s="277">
        <f t="shared" si="63"/>
        <v>0</v>
      </c>
      <c r="AC27" s="277">
        <f t="shared" si="64"/>
        <v>0</v>
      </c>
      <c r="AD27" s="277">
        <f t="shared" si="17"/>
        <v>0</v>
      </c>
      <c r="AE27" s="277">
        <f t="shared" si="18"/>
        <v>0</v>
      </c>
      <c r="AF27" s="277">
        <f t="shared" si="19"/>
        <v>0</v>
      </c>
      <c r="AG27" s="277">
        <f t="shared" si="20"/>
        <v>0</v>
      </c>
      <c r="AH27" s="277">
        <f t="shared" si="65"/>
        <v>0</v>
      </c>
      <c r="AI27" s="277">
        <f t="shared" si="66"/>
        <v>0</v>
      </c>
      <c r="AJ27" s="277">
        <f t="shared" si="67"/>
        <v>0</v>
      </c>
      <c r="AK27" s="277">
        <f t="shared" si="68"/>
        <v>0</v>
      </c>
      <c r="AL27" s="277">
        <f t="shared" si="69"/>
        <v>0</v>
      </c>
      <c r="AM27" s="277">
        <f t="shared" si="70"/>
        <v>0</v>
      </c>
      <c r="AN27" s="277">
        <f t="shared" si="71"/>
        <v>0</v>
      </c>
      <c r="AO27" s="277">
        <f t="shared" si="72"/>
        <v>0</v>
      </c>
      <c r="AP27" s="277">
        <f t="shared" si="21"/>
        <v>0</v>
      </c>
      <c r="AQ27" s="277">
        <f t="shared" si="22"/>
        <v>0</v>
      </c>
      <c r="AR27" s="277">
        <f t="shared" si="23"/>
        <v>0</v>
      </c>
      <c r="AS27" s="277">
        <f t="shared" si="24"/>
        <v>0</v>
      </c>
      <c r="AT27" s="277">
        <f t="shared" si="73"/>
        <v>0</v>
      </c>
      <c r="AU27" s="277">
        <f t="shared" si="74"/>
        <v>0</v>
      </c>
      <c r="AV27" s="277">
        <f t="shared" si="25"/>
        <v>0</v>
      </c>
      <c r="AW27" s="277">
        <f t="shared" si="26"/>
        <v>0</v>
      </c>
      <c r="AX27" s="277">
        <f t="shared" si="27"/>
        <v>0</v>
      </c>
      <c r="AY27" s="277">
        <f t="shared" si="28"/>
        <v>0</v>
      </c>
      <c r="AZ27" s="277">
        <f t="shared" si="29"/>
        <v>0</v>
      </c>
      <c r="BA27" s="277">
        <f t="shared" si="30"/>
        <v>0</v>
      </c>
      <c r="BB27" s="277">
        <f t="shared" si="31"/>
        <v>0</v>
      </c>
      <c r="BC27" s="277">
        <f t="shared" si="32"/>
        <v>0</v>
      </c>
      <c r="BD27" s="277">
        <f t="shared" si="33"/>
        <v>0</v>
      </c>
      <c r="BE27" s="277">
        <f t="shared" si="34"/>
        <v>0</v>
      </c>
      <c r="BF27" s="277">
        <f t="shared" si="35"/>
        <v>0</v>
      </c>
      <c r="BG27" s="277">
        <f t="shared" si="36"/>
        <v>0</v>
      </c>
      <c r="BH27" s="277">
        <f t="shared" si="75"/>
        <v>0</v>
      </c>
      <c r="BI27" s="277">
        <f t="shared" si="76"/>
        <v>0</v>
      </c>
      <c r="BJ27" s="277">
        <f t="shared" si="37"/>
        <v>0</v>
      </c>
      <c r="BK27" s="277">
        <f t="shared" si="38"/>
        <v>0</v>
      </c>
      <c r="BL27" s="277">
        <f t="shared" si="39"/>
        <v>0</v>
      </c>
      <c r="BM27" s="277">
        <f t="shared" si="40"/>
        <v>0</v>
      </c>
      <c r="BN27" s="277">
        <f t="shared" si="41"/>
        <v>0</v>
      </c>
      <c r="BO27" s="277">
        <f t="shared" si="42"/>
        <v>0</v>
      </c>
      <c r="BP27" s="277">
        <f t="shared" si="77"/>
        <v>0</v>
      </c>
      <c r="BQ27" s="277">
        <f t="shared" si="78"/>
        <v>0</v>
      </c>
      <c r="BR27" s="277">
        <f t="shared" si="43"/>
        <v>0</v>
      </c>
      <c r="BS27" s="277">
        <f t="shared" si="44"/>
        <v>0</v>
      </c>
      <c r="BT27" s="277">
        <f t="shared" si="79"/>
        <v>0</v>
      </c>
      <c r="BU27" s="277">
        <f t="shared" si="80"/>
        <v>0</v>
      </c>
      <c r="BV27" s="277">
        <f t="shared" si="81"/>
        <v>0</v>
      </c>
      <c r="BW27" s="277">
        <f t="shared" si="82"/>
        <v>0</v>
      </c>
      <c r="BX27" s="277">
        <f t="shared" si="45"/>
        <v>0</v>
      </c>
      <c r="BY27" s="277">
        <f t="shared" si="46"/>
        <v>0</v>
      </c>
      <c r="BZ27" s="277">
        <f t="shared" si="47"/>
        <v>0</v>
      </c>
      <c r="CA27" s="277">
        <f t="shared" si="48"/>
        <v>0</v>
      </c>
      <c r="CB27" s="277">
        <f t="shared" si="49"/>
        <v>0</v>
      </c>
      <c r="CC27" s="277">
        <f t="shared" si="50"/>
        <v>0</v>
      </c>
      <c r="CD27" s="277">
        <f t="shared" si="83"/>
        <v>0</v>
      </c>
      <c r="CE27" s="277">
        <f t="shared" si="84"/>
        <v>0</v>
      </c>
      <c r="CF27" s="277">
        <f t="shared" si="85"/>
        <v>0</v>
      </c>
      <c r="CG27" s="277">
        <f t="shared" si="86"/>
        <v>0</v>
      </c>
      <c r="CH27" s="277">
        <f t="shared" si="51"/>
        <v>0</v>
      </c>
      <c r="CI27" s="277">
        <f t="shared" si="52"/>
        <v>0</v>
      </c>
      <c r="CJ27" s="277">
        <f t="shared" si="87"/>
        <v>0</v>
      </c>
      <c r="CK27" s="277">
        <f t="shared" si="88"/>
        <v>0</v>
      </c>
      <c r="CL27" s="277">
        <f t="shared" si="53"/>
        <v>0</v>
      </c>
      <c r="CM27" s="277">
        <f t="shared" si="54"/>
        <v>0</v>
      </c>
      <c r="CN27" s="277">
        <f t="shared" si="55"/>
        <v>0</v>
      </c>
      <c r="CO27" s="277">
        <f t="shared" si="56"/>
        <v>0</v>
      </c>
      <c r="CP27" s="277">
        <f t="shared" si="89"/>
        <v>0</v>
      </c>
      <c r="CQ27" s="277">
        <f t="shared" si="90"/>
        <v>0</v>
      </c>
      <c r="CR27" s="277">
        <f t="shared" si="91"/>
        <v>0</v>
      </c>
      <c r="CS27" s="277">
        <f t="shared" si="92"/>
        <v>0</v>
      </c>
      <c r="CT27" s="277">
        <f t="shared" si="57"/>
        <v>0</v>
      </c>
      <c r="CU27" s="277">
        <f t="shared" si="58"/>
        <v>0</v>
      </c>
      <c r="CV27" s="277">
        <f t="shared" si="59"/>
        <v>0</v>
      </c>
      <c r="CW27" s="277">
        <f t="shared" si="60"/>
        <v>0</v>
      </c>
      <c r="CX27" s="277">
        <f t="shared" si="93"/>
        <v>0</v>
      </c>
      <c r="CY27" s="277">
        <f t="shared" si="94"/>
        <v>0</v>
      </c>
      <c r="CZ27" s="277">
        <f t="shared" si="95"/>
        <v>0</v>
      </c>
      <c r="DA27" s="277">
        <f t="shared" si="96"/>
        <v>0</v>
      </c>
    </row>
    <row r="28" spans="1:105" s="274" customFormat="1" ht="16.5" customHeight="1">
      <c r="A28" s="63" t="str">
        <f t="array" ref="A28">IF(C28&lt;&gt;0,SUM(($C$11:C28&lt;&gt;0)*1),"")</f>
        <v/>
      </c>
      <c r="B28" s="275"/>
      <c r="C28" s="275"/>
      <c r="D28" s="275"/>
      <c r="E28" s="365"/>
      <c r="F28" s="326"/>
      <c r="G28" s="328"/>
      <c r="H28" s="328"/>
      <c r="I28" s="63" t="str">
        <f t="shared" si="0"/>
        <v/>
      </c>
      <c r="J28" s="277">
        <f t="shared" si="61"/>
        <v>0</v>
      </c>
      <c r="K28" s="277">
        <f t="shared" si="62"/>
        <v>0</v>
      </c>
      <c r="L28" s="277">
        <f t="shared" si="1"/>
        <v>0</v>
      </c>
      <c r="M28" s="277">
        <f t="shared" si="2"/>
        <v>0</v>
      </c>
      <c r="N28" s="277">
        <f t="shared" si="3"/>
        <v>0</v>
      </c>
      <c r="O28" s="277">
        <f t="shared" si="4"/>
        <v>0</v>
      </c>
      <c r="P28" s="277">
        <f t="shared" si="5"/>
        <v>0</v>
      </c>
      <c r="Q28" s="277">
        <f t="shared" si="6"/>
        <v>0</v>
      </c>
      <c r="R28" s="277">
        <f t="shared" si="7"/>
        <v>0</v>
      </c>
      <c r="S28" s="277">
        <f t="shared" si="8"/>
        <v>0</v>
      </c>
      <c r="T28" s="277">
        <f t="shared" si="9"/>
        <v>0</v>
      </c>
      <c r="U28" s="277">
        <f t="shared" si="10"/>
        <v>0</v>
      </c>
      <c r="V28" s="277">
        <f t="shared" si="11"/>
        <v>0</v>
      </c>
      <c r="W28" s="277">
        <f t="shared" si="12"/>
        <v>0</v>
      </c>
      <c r="X28" s="277">
        <f t="shared" si="13"/>
        <v>0</v>
      </c>
      <c r="Y28" s="277">
        <f t="shared" si="14"/>
        <v>0</v>
      </c>
      <c r="Z28" s="277">
        <f t="shared" si="15"/>
        <v>0</v>
      </c>
      <c r="AA28" s="277">
        <f t="shared" si="16"/>
        <v>0</v>
      </c>
      <c r="AB28" s="277">
        <f t="shared" si="63"/>
        <v>0</v>
      </c>
      <c r="AC28" s="277">
        <f t="shared" si="64"/>
        <v>0</v>
      </c>
      <c r="AD28" s="277">
        <f t="shared" si="17"/>
        <v>0</v>
      </c>
      <c r="AE28" s="277">
        <f t="shared" si="18"/>
        <v>0</v>
      </c>
      <c r="AF28" s="277">
        <f t="shared" si="19"/>
        <v>0</v>
      </c>
      <c r="AG28" s="277">
        <f t="shared" si="20"/>
        <v>0</v>
      </c>
      <c r="AH28" s="277">
        <f t="shared" si="65"/>
        <v>0</v>
      </c>
      <c r="AI28" s="277">
        <f t="shared" si="66"/>
        <v>0</v>
      </c>
      <c r="AJ28" s="277">
        <f t="shared" si="67"/>
        <v>0</v>
      </c>
      <c r="AK28" s="277">
        <f t="shared" si="68"/>
        <v>0</v>
      </c>
      <c r="AL28" s="277">
        <f t="shared" si="69"/>
        <v>0</v>
      </c>
      <c r="AM28" s="277">
        <f t="shared" si="70"/>
        <v>0</v>
      </c>
      <c r="AN28" s="277">
        <f t="shared" si="71"/>
        <v>0</v>
      </c>
      <c r="AO28" s="277">
        <f t="shared" si="72"/>
        <v>0</v>
      </c>
      <c r="AP28" s="277">
        <f t="shared" si="21"/>
        <v>0</v>
      </c>
      <c r="AQ28" s="277">
        <f t="shared" si="22"/>
        <v>0</v>
      </c>
      <c r="AR28" s="277">
        <f t="shared" si="23"/>
        <v>0</v>
      </c>
      <c r="AS28" s="277">
        <f t="shared" si="24"/>
        <v>0</v>
      </c>
      <c r="AT28" s="277">
        <f t="shared" si="73"/>
        <v>0</v>
      </c>
      <c r="AU28" s="277">
        <f t="shared" si="74"/>
        <v>0</v>
      </c>
      <c r="AV28" s="277">
        <f t="shared" si="25"/>
        <v>0</v>
      </c>
      <c r="AW28" s="277">
        <f t="shared" si="26"/>
        <v>0</v>
      </c>
      <c r="AX28" s="277">
        <f t="shared" si="27"/>
        <v>0</v>
      </c>
      <c r="AY28" s="277">
        <f t="shared" si="28"/>
        <v>0</v>
      </c>
      <c r="AZ28" s="277">
        <f t="shared" si="29"/>
        <v>0</v>
      </c>
      <c r="BA28" s="277">
        <f t="shared" si="30"/>
        <v>0</v>
      </c>
      <c r="BB28" s="277">
        <f t="shared" si="31"/>
        <v>0</v>
      </c>
      <c r="BC28" s="277">
        <f t="shared" si="32"/>
        <v>0</v>
      </c>
      <c r="BD28" s="277">
        <f t="shared" si="33"/>
        <v>0</v>
      </c>
      <c r="BE28" s="277">
        <f t="shared" si="34"/>
        <v>0</v>
      </c>
      <c r="BF28" s="277">
        <f t="shared" si="35"/>
        <v>0</v>
      </c>
      <c r="BG28" s="277">
        <f t="shared" si="36"/>
        <v>0</v>
      </c>
      <c r="BH28" s="277">
        <f t="shared" si="75"/>
        <v>0</v>
      </c>
      <c r="BI28" s="277">
        <f t="shared" si="76"/>
        <v>0</v>
      </c>
      <c r="BJ28" s="277">
        <f t="shared" si="37"/>
        <v>0</v>
      </c>
      <c r="BK28" s="277">
        <f t="shared" si="38"/>
        <v>0</v>
      </c>
      <c r="BL28" s="277">
        <f t="shared" si="39"/>
        <v>0</v>
      </c>
      <c r="BM28" s="277">
        <f t="shared" si="40"/>
        <v>0</v>
      </c>
      <c r="BN28" s="277">
        <f t="shared" si="41"/>
        <v>0</v>
      </c>
      <c r="BO28" s="277">
        <f t="shared" si="42"/>
        <v>0</v>
      </c>
      <c r="BP28" s="277">
        <f t="shared" si="77"/>
        <v>0</v>
      </c>
      <c r="BQ28" s="277">
        <f t="shared" si="78"/>
        <v>0</v>
      </c>
      <c r="BR28" s="277">
        <f t="shared" si="43"/>
        <v>0</v>
      </c>
      <c r="BS28" s="277">
        <f t="shared" si="44"/>
        <v>0</v>
      </c>
      <c r="BT28" s="277">
        <f t="shared" si="79"/>
        <v>0</v>
      </c>
      <c r="BU28" s="277">
        <f t="shared" si="80"/>
        <v>0</v>
      </c>
      <c r="BV28" s="277">
        <f t="shared" si="81"/>
        <v>0</v>
      </c>
      <c r="BW28" s="277">
        <f t="shared" si="82"/>
        <v>0</v>
      </c>
      <c r="BX28" s="277">
        <f t="shared" si="45"/>
        <v>0</v>
      </c>
      <c r="BY28" s="277">
        <f t="shared" si="46"/>
        <v>0</v>
      </c>
      <c r="BZ28" s="277">
        <f t="shared" si="47"/>
        <v>0</v>
      </c>
      <c r="CA28" s="277">
        <f t="shared" si="48"/>
        <v>0</v>
      </c>
      <c r="CB28" s="277">
        <f t="shared" si="49"/>
        <v>0</v>
      </c>
      <c r="CC28" s="277">
        <f t="shared" si="50"/>
        <v>0</v>
      </c>
      <c r="CD28" s="277">
        <f t="shared" si="83"/>
        <v>0</v>
      </c>
      <c r="CE28" s="277">
        <f t="shared" si="84"/>
        <v>0</v>
      </c>
      <c r="CF28" s="277">
        <f t="shared" si="85"/>
        <v>0</v>
      </c>
      <c r="CG28" s="277">
        <f t="shared" si="86"/>
        <v>0</v>
      </c>
      <c r="CH28" s="277">
        <f t="shared" si="51"/>
        <v>0</v>
      </c>
      <c r="CI28" s="277">
        <f t="shared" si="52"/>
        <v>0</v>
      </c>
      <c r="CJ28" s="277">
        <f t="shared" si="87"/>
        <v>0</v>
      </c>
      <c r="CK28" s="277">
        <f t="shared" si="88"/>
        <v>0</v>
      </c>
      <c r="CL28" s="277">
        <f t="shared" si="53"/>
        <v>0</v>
      </c>
      <c r="CM28" s="277">
        <f t="shared" si="54"/>
        <v>0</v>
      </c>
      <c r="CN28" s="277">
        <f t="shared" si="55"/>
        <v>0</v>
      </c>
      <c r="CO28" s="277">
        <f t="shared" si="56"/>
        <v>0</v>
      </c>
      <c r="CP28" s="277">
        <f t="shared" si="89"/>
        <v>0</v>
      </c>
      <c r="CQ28" s="277">
        <f t="shared" si="90"/>
        <v>0</v>
      </c>
      <c r="CR28" s="277">
        <f t="shared" si="91"/>
        <v>0</v>
      </c>
      <c r="CS28" s="277">
        <f t="shared" si="92"/>
        <v>0</v>
      </c>
      <c r="CT28" s="277">
        <f t="shared" si="57"/>
        <v>0</v>
      </c>
      <c r="CU28" s="277">
        <f t="shared" si="58"/>
        <v>0</v>
      </c>
      <c r="CV28" s="277">
        <f t="shared" si="59"/>
        <v>0</v>
      </c>
      <c r="CW28" s="277">
        <f t="shared" si="60"/>
        <v>0</v>
      </c>
      <c r="CX28" s="277">
        <f t="shared" si="93"/>
        <v>0</v>
      </c>
      <c r="CY28" s="277">
        <f t="shared" si="94"/>
        <v>0</v>
      </c>
      <c r="CZ28" s="277">
        <f t="shared" si="95"/>
        <v>0</v>
      </c>
      <c r="DA28" s="277">
        <f t="shared" si="96"/>
        <v>0</v>
      </c>
    </row>
    <row r="29" spans="1:105" s="274" customFormat="1" ht="16.5" customHeight="1">
      <c r="A29" s="63" t="str">
        <f t="array" ref="A29">IF(C29&lt;&gt;0,SUM(($C$11:C29&lt;&gt;0)*1),"")</f>
        <v/>
      </c>
      <c r="B29" s="275"/>
      <c r="C29" s="275"/>
      <c r="D29" s="275"/>
      <c r="E29" s="365"/>
      <c r="F29" s="326"/>
      <c r="G29" s="328"/>
      <c r="H29" s="328"/>
      <c r="I29" s="63" t="str">
        <f t="shared" si="0"/>
        <v/>
      </c>
      <c r="J29" s="277">
        <f t="shared" si="61"/>
        <v>0</v>
      </c>
      <c r="K29" s="277">
        <f t="shared" si="62"/>
        <v>0</v>
      </c>
      <c r="L29" s="277">
        <f t="shared" si="1"/>
        <v>0</v>
      </c>
      <c r="M29" s="277">
        <f t="shared" si="2"/>
        <v>0</v>
      </c>
      <c r="N29" s="277">
        <f t="shared" si="3"/>
        <v>0</v>
      </c>
      <c r="O29" s="277">
        <f t="shared" si="4"/>
        <v>0</v>
      </c>
      <c r="P29" s="277">
        <f t="shared" si="5"/>
        <v>0</v>
      </c>
      <c r="Q29" s="277">
        <f t="shared" si="6"/>
        <v>0</v>
      </c>
      <c r="R29" s="277">
        <f t="shared" si="7"/>
        <v>0</v>
      </c>
      <c r="S29" s="277">
        <f t="shared" si="8"/>
        <v>0</v>
      </c>
      <c r="T29" s="277">
        <f t="shared" si="9"/>
        <v>0</v>
      </c>
      <c r="U29" s="277">
        <f t="shared" si="10"/>
        <v>0</v>
      </c>
      <c r="V29" s="277">
        <f t="shared" si="11"/>
        <v>0</v>
      </c>
      <c r="W29" s="277">
        <f t="shared" si="12"/>
        <v>0</v>
      </c>
      <c r="X29" s="277">
        <f t="shared" si="13"/>
        <v>0</v>
      </c>
      <c r="Y29" s="277">
        <f t="shared" si="14"/>
        <v>0</v>
      </c>
      <c r="Z29" s="277">
        <f t="shared" si="15"/>
        <v>0</v>
      </c>
      <c r="AA29" s="277">
        <f t="shared" si="16"/>
        <v>0</v>
      </c>
      <c r="AB29" s="277">
        <f t="shared" si="63"/>
        <v>0</v>
      </c>
      <c r="AC29" s="277">
        <f t="shared" si="64"/>
        <v>0</v>
      </c>
      <c r="AD29" s="277">
        <f t="shared" si="17"/>
        <v>0</v>
      </c>
      <c r="AE29" s="277">
        <f t="shared" si="18"/>
        <v>0</v>
      </c>
      <c r="AF29" s="277">
        <f t="shared" si="19"/>
        <v>0</v>
      </c>
      <c r="AG29" s="277">
        <f t="shared" si="20"/>
        <v>0</v>
      </c>
      <c r="AH29" s="277">
        <f t="shared" si="65"/>
        <v>0</v>
      </c>
      <c r="AI29" s="277">
        <f t="shared" si="66"/>
        <v>0</v>
      </c>
      <c r="AJ29" s="277">
        <f t="shared" si="67"/>
        <v>0</v>
      </c>
      <c r="AK29" s="277">
        <f t="shared" si="68"/>
        <v>0</v>
      </c>
      <c r="AL29" s="277">
        <f t="shared" si="69"/>
        <v>0</v>
      </c>
      <c r="AM29" s="277">
        <f t="shared" si="70"/>
        <v>0</v>
      </c>
      <c r="AN29" s="277">
        <f t="shared" si="71"/>
        <v>0</v>
      </c>
      <c r="AO29" s="277">
        <f t="shared" si="72"/>
        <v>0</v>
      </c>
      <c r="AP29" s="277">
        <f t="shared" si="21"/>
        <v>0</v>
      </c>
      <c r="AQ29" s="277">
        <f t="shared" si="22"/>
        <v>0</v>
      </c>
      <c r="AR29" s="277">
        <f t="shared" si="23"/>
        <v>0</v>
      </c>
      <c r="AS29" s="277">
        <f t="shared" si="24"/>
        <v>0</v>
      </c>
      <c r="AT29" s="277">
        <f t="shared" si="73"/>
        <v>0</v>
      </c>
      <c r="AU29" s="277">
        <f t="shared" si="74"/>
        <v>0</v>
      </c>
      <c r="AV29" s="277">
        <f t="shared" si="25"/>
        <v>0</v>
      </c>
      <c r="AW29" s="277">
        <f t="shared" si="26"/>
        <v>0</v>
      </c>
      <c r="AX29" s="277">
        <f t="shared" si="27"/>
        <v>0</v>
      </c>
      <c r="AY29" s="277">
        <f t="shared" si="28"/>
        <v>0</v>
      </c>
      <c r="AZ29" s="277">
        <f t="shared" si="29"/>
        <v>0</v>
      </c>
      <c r="BA29" s="277">
        <f t="shared" si="30"/>
        <v>0</v>
      </c>
      <c r="BB29" s="277">
        <f t="shared" si="31"/>
        <v>0</v>
      </c>
      <c r="BC29" s="277">
        <f t="shared" si="32"/>
        <v>0</v>
      </c>
      <c r="BD29" s="277">
        <f t="shared" si="33"/>
        <v>0</v>
      </c>
      <c r="BE29" s="277">
        <f t="shared" si="34"/>
        <v>0</v>
      </c>
      <c r="BF29" s="277">
        <f t="shared" si="35"/>
        <v>0</v>
      </c>
      <c r="BG29" s="277">
        <f t="shared" si="36"/>
        <v>0</v>
      </c>
      <c r="BH29" s="277">
        <f t="shared" si="75"/>
        <v>0</v>
      </c>
      <c r="BI29" s="277">
        <f t="shared" si="76"/>
        <v>0</v>
      </c>
      <c r="BJ29" s="277">
        <f t="shared" si="37"/>
        <v>0</v>
      </c>
      <c r="BK29" s="277">
        <f t="shared" si="38"/>
        <v>0</v>
      </c>
      <c r="BL29" s="277">
        <f t="shared" si="39"/>
        <v>0</v>
      </c>
      <c r="BM29" s="277">
        <f t="shared" si="40"/>
        <v>0</v>
      </c>
      <c r="BN29" s="277">
        <f t="shared" si="41"/>
        <v>0</v>
      </c>
      <c r="BO29" s="277">
        <f t="shared" si="42"/>
        <v>0</v>
      </c>
      <c r="BP29" s="277">
        <f t="shared" si="77"/>
        <v>0</v>
      </c>
      <c r="BQ29" s="277">
        <f t="shared" si="78"/>
        <v>0</v>
      </c>
      <c r="BR29" s="277">
        <f t="shared" si="43"/>
        <v>0</v>
      </c>
      <c r="BS29" s="277">
        <f t="shared" si="44"/>
        <v>0</v>
      </c>
      <c r="BT29" s="277">
        <f t="shared" si="79"/>
        <v>0</v>
      </c>
      <c r="BU29" s="277">
        <f t="shared" si="80"/>
        <v>0</v>
      </c>
      <c r="BV29" s="277">
        <f t="shared" si="81"/>
        <v>0</v>
      </c>
      <c r="BW29" s="277">
        <f t="shared" si="82"/>
        <v>0</v>
      </c>
      <c r="BX29" s="277">
        <f t="shared" si="45"/>
        <v>0</v>
      </c>
      <c r="BY29" s="277">
        <f t="shared" si="46"/>
        <v>0</v>
      </c>
      <c r="BZ29" s="277">
        <f t="shared" si="47"/>
        <v>0</v>
      </c>
      <c r="CA29" s="277">
        <f t="shared" si="48"/>
        <v>0</v>
      </c>
      <c r="CB29" s="277">
        <f t="shared" si="49"/>
        <v>0</v>
      </c>
      <c r="CC29" s="277">
        <f t="shared" si="50"/>
        <v>0</v>
      </c>
      <c r="CD29" s="277">
        <f t="shared" si="83"/>
        <v>0</v>
      </c>
      <c r="CE29" s="277">
        <f t="shared" si="84"/>
        <v>0</v>
      </c>
      <c r="CF29" s="277">
        <f t="shared" si="85"/>
        <v>0</v>
      </c>
      <c r="CG29" s="277">
        <f t="shared" si="86"/>
        <v>0</v>
      </c>
      <c r="CH29" s="277">
        <f t="shared" si="51"/>
        <v>0</v>
      </c>
      <c r="CI29" s="277">
        <f t="shared" si="52"/>
        <v>0</v>
      </c>
      <c r="CJ29" s="277">
        <f t="shared" si="87"/>
        <v>0</v>
      </c>
      <c r="CK29" s="277">
        <f t="shared" si="88"/>
        <v>0</v>
      </c>
      <c r="CL29" s="277">
        <f t="shared" si="53"/>
        <v>0</v>
      </c>
      <c r="CM29" s="277">
        <f t="shared" si="54"/>
        <v>0</v>
      </c>
      <c r="CN29" s="277">
        <f t="shared" si="55"/>
        <v>0</v>
      </c>
      <c r="CO29" s="277">
        <f t="shared" si="56"/>
        <v>0</v>
      </c>
      <c r="CP29" s="277">
        <f t="shared" si="89"/>
        <v>0</v>
      </c>
      <c r="CQ29" s="277">
        <f t="shared" si="90"/>
        <v>0</v>
      </c>
      <c r="CR29" s="277">
        <f t="shared" si="91"/>
        <v>0</v>
      </c>
      <c r="CS29" s="277">
        <f t="shared" si="92"/>
        <v>0</v>
      </c>
      <c r="CT29" s="277">
        <f t="shared" si="57"/>
        <v>0</v>
      </c>
      <c r="CU29" s="277">
        <f t="shared" si="58"/>
        <v>0</v>
      </c>
      <c r="CV29" s="277">
        <f t="shared" si="59"/>
        <v>0</v>
      </c>
      <c r="CW29" s="277">
        <f t="shared" si="60"/>
        <v>0</v>
      </c>
      <c r="CX29" s="277">
        <f t="shared" si="93"/>
        <v>0</v>
      </c>
      <c r="CY29" s="277">
        <f t="shared" si="94"/>
        <v>0</v>
      </c>
      <c r="CZ29" s="277">
        <f t="shared" si="95"/>
        <v>0</v>
      </c>
      <c r="DA29" s="277">
        <f t="shared" si="96"/>
        <v>0</v>
      </c>
    </row>
    <row r="30" spans="1:105" s="274" customFormat="1" ht="16.5" customHeight="1">
      <c r="A30" s="63" t="str">
        <f t="array" ref="A30">IF(C30&lt;&gt;0,SUM(($C$11:C30&lt;&gt;0)*1),"")</f>
        <v/>
      </c>
      <c r="B30" s="275"/>
      <c r="C30" s="275"/>
      <c r="D30" s="275"/>
      <c r="E30" s="365"/>
      <c r="F30" s="326"/>
      <c r="G30" s="328"/>
      <c r="H30" s="328"/>
      <c r="I30" s="63" t="str">
        <f t="shared" si="0"/>
        <v/>
      </c>
      <c r="J30" s="277">
        <f t="shared" si="61"/>
        <v>0</v>
      </c>
      <c r="K30" s="277">
        <f t="shared" si="62"/>
        <v>0</v>
      </c>
      <c r="L30" s="277">
        <f t="shared" si="1"/>
        <v>0</v>
      </c>
      <c r="M30" s="277">
        <f t="shared" si="2"/>
        <v>0</v>
      </c>
      <c r="N30" s="277">
        <f t="shared" si="3"/>
        <v>0</v>
      </c>
      <c r="O30" s="277">
        <f t="shared" si="4"/>
        <v>0</v>
      </c>
      <c r="P30" s="277">
        <f t="shared" si="5"/>
        <v>0</v>
      </c>
      <c r="Q30" s="277">
        <f t="shared" si="6"/>
        <v>0</v>
      </c>
      <c r="R30" s="277">
        <f t="shared" si="7"/>
        <v>0</v>
      </c>
      <c r="S30" s="277">
        <f t="shared" si="8"/>
        <v>0</v>
      </c>
      <c r="T30" s="277">
        <f t="shared" si="9"/>
        <v>0</v>
      </c>
      <c r="U30" s="277">
        <f t="shared" si="10"/>
        <v>0</v>
      </c>
      <c r="V30" s="277">
        <f t="shared" si="11"/>
        <v>0</v>
      </c>
      <c r="W30" s="277">
        <f t="shared" si="12"/>
        <v>0</v>
      </c>
      <c r="X30" s="277">
        <f t="shared" si="13"/>
        <v>0</v>
      </c>
      <c r="Y30" s="277">
        <f t="shared" si="14"/>
        <v>0</v>
      </c>
      <c r="Z30" s="277">
        <f t="shared" si="15"/>
        <v>0</v>
      </c>
      <c r="AA30" s="277">
        <f t="shared" si="16"/>
        <v>0</v>
      </c>
      <c r="AB30" s="277">
        <f t="shared" si="63"/>
        <v>0</v>
      </c>
      <c r="AC30" s="277">
        <f t="shared" si="64"/>
        <v>0</v>
      </c>
      <c r="AD30" s="277">
        <f t="shared" si="17"/>
        <v>0</v>
      </c>
      <c r="AE30" s="277">
        <f t="shared" si="18"/>
        <v>0</v>
      </c>
      <c r="AF30" s="277">
        <f t="shared" si="19"/>
        <v>0</v>
      </c>
      <c r="AG30" s="277">
        <f t="shared" si="20"/>
        <v>0</v>
      </c>
      <c r="AH30" s="277">
        <f t="shared" si="65"/>
        <v>0</v>
      </c>
      <c r="AI30" s="277">
        <f t="shared" si="66"/>
        <v>0</v>
      </c>
      <c r="AJ30" s="277">
        <f t="shared" si="67"/>
        <v>0</v>
      </c>
      <c r="AK30" s="277">
        <f t="shared" si="68"/>
        <v>0</v>
      </c>
      <c r="AL30" s="277">
        <f t="shared" si="69"/>
        <v>0</v>
      </c>
      <c r="AM30" s="277">
        <f t="shared" si="70"/>
        <v>0</v>
      </c>
      <c r="AN30" s="277">
        <f t="shared" si="71"/>
        <v>0</v>
      </c>
      <c r="AO30" s="277">
        <f t="shared" si="72"/>
        <v>0</v>
      </c>
      <c r="AP30" s="277">
        <f t="shared" si="21"/>
        <v>0</v>
      </c>
      <c r="AQ30" s="277">
        <f t="shared" si="22"/>
        <v>0</v>
      </c>
      <c r="AR30" s="277">
        <f t="shared" si="23"/>
        <v>0</v>
      </c>
      <c r="AS30" s="277">
        <f t="shared" si="24"/>
        <v>0</v>
      </c>
      <c r="AT30" s="277">
        <f t="shared" si="73"/>
        <v>0</v>
      </c>
      <c r="AU30" s="277">
        <f t="shared" si="74"/>
        <v>0</v>
      </c>
      <c r="AV30" s="277">
        <f t="shared" si="25"/>
        <v>0</v>
      </c>
      <c r="AW30" s="277">
        <f t="shared" si="26"/>
        <v>0</v>
      </c>
      <c r="AX30" s="277">
        <f t="shared" si="27"/>
        <v>0</v>
      </c>
      <c r="AY30" s="277">
        <f t="shared" si="28"/>
        <v>0</v>
      </c>
      <c r="AZ30" s="277">
        <f t="shared" si="29"/>
        <v>0</v>
      </c>
      <c r="BA30" s="277">
        <f t="shared" si="30"/>
        <v>0</v>
      </c>
      <c r="BB30" s="277">
        <f t="shared" si="31"/>
        <v>0</v>
      </c>
      <c r="BC30" s="277">
        <f t="shared" si="32"/>
        <v>0</v>
      </c>
      <c r="BD30" s="277">
        <f t="shared" si="33"/>
        <v>0</v>
      </c>
      <c r="BE30" s="277">
        <f t="shared" si="34"/>
        <v>0</v>
      </c>
      <c r="BF30" s="277">
        <f t="shared" si="35"/>
        <v>0</v>
      </c>
      <c r="BG30" s="277">
        <f t="shared" si="36"/>
        <v>0</v>
      </c>
      <c r="BH30" s="277">
        <f t="shared" si="75"/>
        <v>0</v>
      </c>
      <c r="BI30" s="277">
        <f t="shared" si="76"/>
        <v>0</v>
      </c>
      <c r="BJ30" s="277">
        <f t="shared" si="37"/>
        <v>0</v>
      </c>
      <c r="BK30" s="277">
        <f t="shared" si="38"/>
        <v>0</v>
      </c>
      <c r="BL30" s="277">
        <f t="shared" si="39"/>
        <v>0</v>
      </c>
      <c r="BM30" s="277">
        <f t="shared" si="40"/>
        <v>0</v>
      </c>
      <c r="BN30" s="277">
        <f t="shared" si="41"/>
        <v>0</v>
      </c>
      <c r="BO30" s="277">
        <f t="shared" si="42"/>
        <v>0</v>
      </c>
      <c r="BP30" s="277">
        <f t="shared" si="77"/>
        <v>0</v>
      </c>
      <c r="BQ30" s="277">
        <f t="shared" si="78"/>
        <v>0</v>
      </c>
      <c r="BR30" s="277">
        <f t="shared" si="43"/>
        <v>0</v>
      </c>
      <c r="BS30" s="277">
        <f t="shared" si="44"/>
        <v>0</v>
      </c>
      <c r="BT30" s="277">
        <f t="shared" si="79"/>
        <v>0</v>
      </c>
      <c r="BU30" s="277">
        <f t="shared" si="80"/>
        <v>0</v>
      </c>
      <c r="BV30" s="277">
        <f t="shared" si="81"/>
        <v>0</v>
      </c>
      <c r="BW30" s="277">
        <f t="shared" si="82"/>
        <v>0</v>
      </c>
      <c r="BX30" s="277">
        <f t="shared" si="45"/>
        <v>0</v>
      </c>
      <c r="BY30" s="277">
        <f t="shared" si="46"/>
        <v>0</v>
      </c>
      <c r="BZ30" s="277">
        <f t="shared" si="47"/>
        <v>0</v>
      </c>
      <c r="CA30" s="277">
        <f t="shared" si="48"/>
        <v>0</v>
      </c>
      <c r="CB30" s="277">
        <f t="shared" si="49"/>
        <v>0</v>
      </c>
      <c r="CC30" s="277">
        <f t="shared" si="50"/>
        <v>0</v>
      </c>
      <c r="CD30" s="277">
        <f t="shared" si="83"/>
        <v>0</v>
      </c>
      <c r="CE30" s="277">
        <f t="shared" si="84"/>
        <v>0</v>
      </c>
      <c r="CF30" s="277">
        <f t="shared" si="85"/>
        <v>0</v>
      </c>
      <c r="CG30" s="277">
        <f t="shared" si="86"/>
        <v>0</v>
      </c>
      <c r="CH30" s="277">
        <f t="shared" si="51"/>
        <v>0</v>
      </c>
      <c r="CI30" s="277">
        <f t="shared" si="52"/>
        <v>0</v>
      </c>
      <c r="CJ30" s="277">
        <f t="shared" si="87"/>
        <v>0</v>
      </c>
      <c r="CK30" s="277">
        <f t="shared" si="88"/>
        <v>0</v>
      </c>
      <c r="CL30" s="277">
        <f t="shared" si="53"/>
        <v>0</v>
      </c>
      <c r="CM30" s="277">
        <f t="shared" si="54"/>
        <v>0</v>
      </c>
      <c r="CN30" s="277">
        <f t="shared" si="55"/>
        <v>0</v>
      </c>
      <c r="CO30" s="277">
        <f t="shared" si="56"/>
        <v>0</v>
      </c>
      <c r="CP30" s="277">
        <f t="shared" si="89"/>
        <v>0</v>
      </c>
      <c r="CQ30" s="277">
        <f t="shared" si="90"/>
        <v>0</v>
      </c>
      <c r="CR30" s="277">
        <f t="shared" si="91"/>
        <v>0</v>
      </c>
      <c r="CS30" s="277">
        <f t="shared" si="92"/>
        <v>0</v>
      </c>
      <c r="CT30" s="277">
        <f t="shared" si="57"/>
        <v>0</v>
      </c>
      <c r="CU30" s="277">
        <f t="shared" si="58"/>
        <v>0</v>
      </c>
      <c r="CV30" s="277">
        <f t="shared" si="59"/>
        <v>0</v>
      </c>
      <c r="CW30" s="277">
        <f t="shared" si="60"/>
        <v>0</v>
      </c>
      <c r="CX30" s="277">
        <f t="shared" si="93"/>
        <v>0</v>
      </c>
      <c r="CY30" s="277">
        <f t="shared" si="94"/>
        <v>0</v>
      </c>
      <c r="CZ30" s="277">
        <f t="shared" si="95"/>
        <v>0</v>
      </c>
      <c r="DA30" s="277">
        <f t="shared" si="96"/>
        <v>0</v>
      </c>
    </row>
    <row r="31" spans="1:105" s="274" customFormat="1" ht="16.5" customHeight="1">
      <c r="A31" s="63" t="str">
        <f t="array" ref="A31">IF(C31&lt;&gt;0,SUM(($C$11:C31&lt;&gt;0)*1),"")</f>
        <v/>
      </c>
      <c r="B31" s="275"/>
      <c r="C31" s="275"/>
      <c r="D31" s="275"/>
      <c r="E31" s="365"/>
      <c r="F31" s="326"/>
      <c r="G31" s="328"/>
      <c r="H31" s="328"/>
      <c r="I31" s="63" t="str">
        <f t="shared" si="0"/>
        <v/>
      </c>
      <c r="J31" s="277">
        <f t="shared" si="61"/>
        <v>0</v>
      </c>
      <c r="K31" s="277">
        <f t="shared" si="62"/>
        <v>0</v>
      </c>
      <c r="L31" s="277">
        <f t="shared" si="1"/>
        <v>0</v>
      </c>
      <c r="M31" s="277">
        <f t="shared" si="2"/>
        <v>0</v>
      </c>
      <c r="N31" s="277">
        <f t="shared" si="3"/>
        <v>0</v>
      </c>
      <c r="O31" s="277">
        <f t="shared" si="4"/>
        <v>0</v>
      </c>
      <c r="P31" s="277">
        <f t="shared" si="5"/>
        <v>0</v>
      </c>
      <c r="Q31" s="277">
        <f t="shared" si="6"/>
        <v>0</v>
      </c>
      <c r="R31" s="277">
        <f t="shared" si="7"/>
        <v>0</v>
      </c>
      <c r="S31" s="277">
        <f t="shared" si="8"/>
        <v>0</v>
      </c>
      <c r="T31" s="277">
        <f t="shared" si="9"/>
        <v>0</v>
      </c>
      <c r="U31" s="277">
        <f t="shared" si="10"/>
        <v>0</v>
      </c>
      <c r="V31" s="277">
        <f t="shared" si="11"/>
        <v>0</v>
      </c>
      <c r="W31" s="277">
        <f t="shared" si="12"/>
        <v>0</v>
      </c>
      <c r="X31" s="277">
        <f t="shared" si="13"/>
        <v>0</v>
      </c>
      <c r="Y31" s="277">
        <f t="shared" si="14"/>
        <v>0</v>
      </c>
      <c r="Z31" s="277">
        <f t="shared" si="15"/>
        <v>0</v>
      </c>
      <c r="AA31" s="277">
        <f t="shared" si="16"/>
        <v>0</v>
      </c>
      <c r="AB31" s="277">
        <f t="shared" si="63"/>
        <v>0</v>
      </c>
      <c r="AC31" s="277">
        <f t="shared" si="64"/>
        <v>0</v>
      </c>
      <c r="AD31" s="277">
        <f t="shared" si="17"/>
        <v>0</v>
      </c>
      <c r="AE31" s="277">
        <f t="shared" si="18"/>
        <v>0</v>
      </c>
      <c r="AF31" s="277">
        <f t="shared" si="19"/>
        <v>0</v>
      </c>
      <c r="AG31" s="277">
        <f t="shared" si="20"/>
        <v>0</v>
      </c>
      <c r="AH31" s="277">
        <f t="shared" si="65"/>
        <v>0</v>
      </c>
      <c r="AI31" s="277">
        <f t="shared" si="66"/>
        <v>0</v>
      </c>
      <c r="AJ31" s="277">
        <f t="shared" si="67"/>
        <v>0</v>
      </c>
      <c r="AK31" s="277">
        <f t="shared" si="68"/>
        <v>0</v>
      </c>
      <c r="AL31" s="277">
        <f t="shared" si="69"/>
        <v>0</v>
      </c>
      <c r="AM31" s="277">
        <f t="shared" si="70"/>
        <v>0</v>
      </c>
      <c r="AN31" s="277">
        <f t="shared" si="71"/>
        <v>0</v>
      </c>
      <c r="AO31" s="277">
        <f t="shared" si="72"/>
        <v>0</v>
      </c>
      <c r="AP31" s="277">
        <f t="shared" si="21"/>
        <v>0</v>
      </c>
      <c r="AQ31" s="277">
        <f t="shared" si="22"/>
        <v>0</v>
      </c>
      <c r="AR31" s="277">
        <f t="shared" si="23"/>
        <v>0</v>
      </c>
      <c r="AS31" s="277">
        <f t="shared" si="24"/>
        <v>0</v>
      </c>
      <c r="AT31" s="277">
        <f t="shared" si="73"/>
        <v>0</v>
      </c>
      <c r="AU31" s="277">
        <f t="shared" si="74"/>
        <v>0</v>
      </c>
      <c r="AV31" s="277">
        <f t="shared" si="25"/>
        <v>0</v>
      </c>
      <c r="AW31" s="277">
        <f t="shared" si="26"/>
        <v>0</v>
      </c>
      <c r="AX31" s="277">
        <f t="shared" si="27"/>
        <v>0</v>
      </c>
      <c r="AY31" s="277">
        <f t="shared" si="28"/>
        <v>0</v>
      </c>
      <c r="AZ31" s="277">
        <f t="shared" si="29"/>
        <v>0</v>
      </c>
      <c r="BA31" s="277">
        <f t="shared" si="30"/>
        <v>0</v>
      </c>
      <c r="BB31" s="277">
        <f t="shared" si="31"/>
        <v>0</v>
      </c>
      <c r="BC31" s="277">
        <f t="shared" si="32"/>
        <v>0</v>
      </c>
      <c r="BD31" s="277">
        <f t="shared" si="33"/>
        <v>0</v>
      </c>
      <c r="BE31" s="277">
        <f t="shared" si="34"/>
        <v>0</v>
      </c>
      <c r="BF31" s="277">
        <f t="shared" si="35"/>
        <v>0</v>
      </c>
      <c r="BG31" s="277">
        <f t="shared" si="36"/>
        <v>0</v>
      </c>
      <c r="BH31" s="277">
        <f t="shared" si="75"/>
        <v>0</v>
      </c>
      <c r="BI31" s="277">
        <f t="shared" si="76"/>
        <v>0</v>
      </c>
      <c r="BJ31" s="277">
        <f t="shared" si="37"/>
        <v>0</v>
      </c>
      <c r="BK31" s="277">
        <f t="shared" si="38"/>
        <v>0</v>
      </c>
      <c r="BL31" s="277">
        <f t="shared" si="39"/>
        <v>0</v>
      </c>
      <c r="BM31" s="277">
        <f t="shared" si="40"/>
        <v>0</v>
      </c>
      <c r="BN31" s="277">
        <f t="shared" si="41"/>
        <v>0</v>
      </c>
      <c r="BO31" s="277">
        <f t="shared" si="42"/>
        <v>0</v>
      </c>
      <c r="BP31" s="277">
        <f t="shared" si="77"/>
        <v>0</v>
      </c>
      <c r="BQ31" s="277">
        <f t="shared" si="78"/>
        <v>0</v>
      </c>
      <c r="BR31" s="277">
        <f t="shared" si="43"/>
        <v>0</v>
      </c>
      <c r="BS31" s="277">
        <f t="shared" si="44"/>
        <v>0</v>
      </c>
      <c r="BT31" s="277">
        <f t="shared" si="79"/>
        <v>0</v>
      </c>
      <c r="BU31" s="277">
        <f t="shared" si="80"/>
        <v>0</v>
      </c>
      <c r="BV31" s="277">
        <f t="shared" si="81"/>
        <v>0</v>
      </c>
      <c r="BW31" s="277">
        <f t="shared" si="82"/>
        <v>0</v>
      </c>
      <c r="BX31" s="277">
        <f t="shared" si="45"/>
        <v>0</v>
      </c>
      <c r="BY31" s="277">
        <f t="shared" si="46"/>
        <v>0</v>
      </c>
      <c r="BZ31" s="277">
        <f t="shared" si="47"/>
        <v>0</v>
      </c>
      <c r="CA31" s="277">
        <f t="shared" si="48"/>
        <v>0</v>
      </c>
      <c r="CB31" s="277">
        <f t="shared" si="49"/>
        <v>0</v>
      </c>
      <c r="CC31" s="277">
        <f t="shared" si="50"/>
        <v>0</v>
      </c>
      <c r="CD31" s="277">
        <f t="shared" si="83"/>
        <v>0</v>
      </c>
      <c r="CE31" s="277">
        <f t="shared" si="84"/>
        <v>0</v>
      </c>
      <c r="CF31" s="277">
        <f t="shared" si="85"/>
        <v>0</v>
      </c>
      <c r="CG31" s="277">
        <f t="shared" si="86"/>
        <v>0</v>
      </c>
      <c r="CH31" s="277">
        <f t="shared" si="51"/>
        <v>0</v>
      </c>
      <c r="CI31" s="277">
        <f t="shared" si="52"/>
        <v>0</v>
      </c>
      <c r="CJ31" s="277">
        <f t="shared" si="87"/>
        <v>0</v>
      </c>
      <c r="CK31" s="277">
        <f t="shared" si="88"/>
        <v>0</v>
      </c>
      <c r="CL31" s="277">
        <f t="shared" si="53"/>
        <v>0</v>
      </c>
      <c r="CM31" s="277">
        <f t="shared" si="54"/>
        <v>0</v>
      </c>
      <c r="CN31" s="277">
        <f t="shared" si="55"/>
        <v>0</v>
      </c>
      <c r="CO31" s="277">
        <f t="shared" si="56"/>
        <v>0</v>
      </c>
      <c r="CP31" s="277">
        <f t="shared" si="89"/>
        <v>0</v>
      </c>
      <c r="CQ31" s="277">
        <f t="shared" si="90"/>
        <v>0</v>
      </c>
      <c r="CR31" s="277">
        <f t="shared" si="91"/>
        <v>0</v>
      </c>
      <c r="CS31" s="277">
        <f t="shared" si="92"/>
        <v>0</v>
      </c>
      <c r="CT31" s="277">
        <f t="shared" si="57"/>
        <v>0</v>
      </c>
      <c r="CU31" s="277">
        <f t="shared" si="58"/>
        <v>0</v>
      </c>
      <c r="CV31" s="277">
        <f t="shared" si="59"/>
        <v>0</v>
      </c>
      <c r="CW31" s="277">
        <f t="shared" si="60"/>
        <v>0</v>
      </c>
      <c r="CX31" s="277">
        <f t="shared" si="93"/>
        <v>0</v>
      </c>
      <c r="CY31" s="277">
        <f t="shared" si="94"/>
        <v>0</v>
      </c>
      <c r="CZ31" s="277">
        <f t="shared" si="95"/>
        <v>0</v>
      </c>
      <c r="DA31" s="277">
        <f t="shared" si="96"/>
        <v>0</v>
      </c>
    </row>
    <row r="32" spans="1:105" s="274" customFormat="1" ht="16.5" customHeight="1">
      <c r="A32" s="63" t="str">
        <f t="array" ref="A32">IF(C32&lt;&gt;0,SUM(($C$11:C32&lt;&gt;0)*1),"")</f>
        <v/>
      </c>
      <c r="B32" s="275"/>
      <c r="C32" s="275"/>
      <c r="D32" s="275"/>
      <c r="E32" s="365"/>
      <c r="F32" s="326"/>
      <c r="G32" s="328"/>
      <c r="H32" s="328"/>
      <c r="I32" s="63" t="str">
        <f t="shared" si="0"/>
        <v/>
      </c>
      <c r="J32" s="277">
        <f t="shared" si="61"/>
        <v>0</v>
      </c>
      <c r="K32" s="277">
        <f t="shared" si="62"/>
        <v>0</v>
      </c>
      <c r="L32" s="277">
        <f t="shared" si="1"/>
        <v>0</v>
      </c>
      <c r="M32" s="277">
        <f t="shared" si="2"/>
        <v>0</v>
      </c>
      <c r="N32" s="277">
        <f t="shared" si="3"/>
        <v>0</v>
      </c>
      <c r="O32" s="277">
        <f t="shared" si="4"/>
        <v>0</v>
      </c>
      <c r="P32" s="277">
        <f t="shared" si="5"/>
        <v>0</v>
      </c>
      <c r="Q32" s="277">
        <f t="shared" si="6"/>
        <v>0</v>
      </c>
      <c r="R32" s="277">
        <f t="shared" si="7"/>
        <v>0</v>
      </c>
      <c r="S32" s="277">
        <f t="shared" si="8"/>
        <v>0</v>
      </c>
      <c r="T32" s="277">
        <f t="shared" si="9"/>
        <v>0</v>
      </c>
      <c r="U32" s="277">
        <f t="shared" si="10"/>
        <v>0</v>
      </c>
      <c r="V32" s="277">
        <f t="shared" si="11"/>
        <v>0</v>
      </c>
      <c r="W32" s="277">
        <f t="shared" si="12"/>
        <v>0</v>
      </c>
      <c r="X32" s="277">
        <f t="shared" si="13"/>
        <v>0</v>
      </c>
      <c r="Y32" s="277">
        <f t="shared" si="14"/>
        <v>0</v>
      </c>
      <c r="Z32" s="277">
        <f t="shared" si="15"/>
        <v>0</v>
      </c>
      <c r="AA32" s="277">
        <f t="shared" si="16"/>
        <v>0</v>
      </c>
      <c r="AB32" s="277">
        <f t="shared" si="63"/>
        <v>0</v>
      </c>
      <c r="AC32" s="277">
        <f t="shared" si="64"/>
        <v>0</v>
      </c>
      <c r="AD32" s="277">
        <f t="shared" si="17"/>
        <v>0</v>
      </c>
      <c r="AE32" s="277">
        <f t="shared" si="18"/>
        <v>0</v>
      </c>
      <c r="AF32" s="277">
        <f t="shared" si="19"/>
        <v>0</v>
      </c>
      <c r="AG32" s="277">
        <f t="shared" si="20"/>
        <v>0</v>
      </c>
      <c r="AH32" s="277">
        <f t="shared" si="65"/>
        <v>0</v>
      </c>
      <c r="AI32" s="277">
        <f t="shared" si="66"/>
        <v>0</v>
      </c>
      <c r="AJ32" s="277">
        <f t="shared" si="67"/>
        <v>0</v>
      </c>
      <c r="AK32" s="277">
        <f t="shared" si="68"/>
        <v>0</v>
      </c>
      <c r="AL32" s="277">
        <f t="shared" si="69"/>
        <v>0</v>
      </c>
      <c r="AM32" s="277">
        <f t="shared" si="70"/>
        <v>0</v>
      </c>
      <c r="AN32" s="277">
        <f t="shared" si="71"/>
        <v>0</v>
      </c>
      <c r="AO32" s="277">
        <f t="shared" si="72"/>
        <v>0</v>
      </c>
      <c r="AP32" s="277">
        <f t="shared" si="21"/>
        <v>0</v>
      </c>
      <c r="AQ32" s="277">
        <f t="shared" si="22"/>
        <v>0</v>
      </c>
      <c r="AR32" s="277">
        <f t="shared" si="23"/>
        <v>0</v>
      </c>
      <c r="AS32" s="277">
        <f t="shared" si="24"/>
        <v>0</v>
      </c>
      <c r="AT32" s="277">
        <f t="shared" si="73"/>
        <v>0</v>
      </c>
      <c r="AU32" s="277">
        <f t="shared" si="74"/>
        <v>0</v>
      </c>
      <c r="AV32" s="277">
        <f t="shared" si="25"/>
        <v>0</v>
      </c>
      <c r="AW32" s="277">
        <f t="shared" si="26"/>
        <v>0</v>
      </c>
      <c r="AX32" s="277">
        <f t="shared" si="27"/>
        <v>0</v>
      </c>
      <c r="AY32" s="277">
        <f t="shared" si="28"/>
        <v>0</v>
      </c>
      <c r="AZ32" s="277">
        <f t="shared" si="29"/>
        <v>0</v>
      </c>
      <c r="BA32" s="277">
        <f t="shared" si="30"/>
        <v>0</v>
      </c>
      <c r="BB32" s="277">
        <f t="shared" si="31"/>
        <v>0</v>
      </c>
      <c r="BC32" s="277">
        <f t="shared" si="32"/>
        <v>0</v>
      </c>
      <c r="BD32" s="277">
        <f t="shared" si="33"/>
        <v>0</v>
      </c>
      <c r="BE32" s="277">
        <f t="shared" si="34"/>
        <v>0</v>
      </c>
      <c r="BF32" s="277">
        <f t="shared" si="35"/>
        <v>0</v>
      </c>
      <c r="BG32" s="277">
        <f t="shared" si="36"/>
        <v>0</v>
      </c>
      <c r="BH32" s="277">
        <f t="shared" si="75"/>
        <v>0</v>
      </c>
      <c r="BI32" s="277">
        <f t="shared" si="76"/>
        <v>0</v>
      </c>
      <c r="BJ32" s="277">
        <f t="shared" si="37"/>
        <v>0</v>
      </c>
      <c r="BK32" s="277">
        <f t="shared" si="38"/>
        <v>0</v>
      </c>
      <c r="BL32" s="277">
        <f t="shared" si="39"/>
        <v>0</v>
      </c>
      <c r="BM32" s="277">
        <f t="shared" si="40"/>
        <v>0</v>
      </c>
      <c r="BN32" s="277">
        <f t="shared" si="41"/>
        <v>0</v>
      </c>
      <c r="BO32" s="277">
        <f t="shared" si="42"/>
        <v>0</v>
      </c>
      <c r="BP32" s="277">
        <f t="shared" si="77"/>
        <v>0</v>
      </c>
      <c r="BQ32" s="277">
        <f t="shared" si="78"/>
        <v>0</v>
      </c>
      <c r="BR32" s="277">
        <f t="shared" si="43"/>
        <v>0</v>
      </c>
      <c r="BS32" s="277">
        <f t="shared" si="44"/>
        <v>0</v>
      </c>
      <c r="BT32" s="277">
        <f t="shared" si="79"/>
        <v>0</v>
      </c>
      <c r="BU32" s="277">
        <f t="shared" si="80"/>
        <v>0</v>
      </c>
      <c r="BV32" s="277">
        <f t="shared" si="81"/>
        <v>0</v>
      </c>
      <c r="BW32" s="277">
        <f t="shared" si="82"/>
        <v>0</v>
      </c>
      <c r="BX32" s="277">
        <f t="shared" si="45"/>
        <v>0</v>
      </c>
      <c r="BY32" s="277">
        <f t="shared" si="46"/>
        <v>0</v>
      </c>
      <c r="BZ32" s="277">
        <f t="shared" si="47"/>
        <v>0</v>
      </c>
      <c r="CA32" s="277">
        <f t="shared" si="48"/>
        <v>0</v>
      </c>
      <c r="CB32" s="277">
        <f t="shared" si="49"/>
        <v>0</v>
      </c>
      <c r="CC32" s="277">
        <f t="shared" si="50"/>
        <v>0</v>
      </c>
      <c r="CD32" s="277">
        <f t="shared" si="83"/>
        <v>0</v>
      </c>
      <c r="CE32" s="277">
        <f t="shared" si="84"/>
        <v>0</v>
      </c>
      <c r="CF32" s="277">
        <f t="shared" si="85"/>
        <v>0</v>
      </c>
      <c r="CG32" s="277">
        <f t="shared" si="86"/>
        <v>0</v>
      </c>
      <c r="CH32" s="277">
        <f t="shared" si="51"/>
        <v>0</v>
      </c>
      <c r="CI32" s="277">
        <f t="shared" si="52"/>
        <v>0</v>
      </c>
      <c r="CJ32" s="277">
        <f t="shared" si="87"/>
        <v>0</v>
      </c>
      <c r="CK32" s="277">
        <f t="shared" si="88"/>
        <v>0</v>
      </c>
      <c r="CL32" s="277">
        <f t="shared" si="53"/>
        <v>0</v>
      </c>
      <c r="CM32" s="277">
        <f t="shared" si="54"/>
        <v>0</v>
      </c>
      <c r="CN32" s="277">
        <f t="shared" si="55"/>
        <v>0</v>
      </c>
      <c r="CO32" s="277">
        <f t="shared" si="56"/>
        <v>0</v>
      </c>
      <c r="CP32" s="277">
        <f t="shared" si="89"/>
        <v>0</v>
      </c>
      <c r="CQ32" s="277">
        <f t="shared" si="90"/>
        <v>0</v>
      </c>
      <c r="CR32" s="277">
        <f t="shared" si="91"/>
        <v>0</v>
      </c>
      <c r="CS32" s="277">
        <f t="shared" si="92"/>
        <v>0</v>
      </c>
      <c r="CT32" s="277">
        <f t="shared" si="57"/>
        <v>0</v>
      </c>
      <c r="CU32" s="277">
        <f t="shared" si="58"/>
        <v>0</v>
      </c>
      <c r="CV32" s="277">
        <f t="shared" si="59"/>
        <v>0</v>
      </c>
      <c r="CW32" s="277">
        <f t="shared" si="60"/>
        <v>0</v>
      </c>
      <c r="CX32" s="277">
        <f t="shared" si="93"/>
        <v>0</v>
      </c>
      <c r="CY32" s="277">
        <f t="shared" si="94"/>
        <v>0</v>
      </c>
      <c r="CZ32" s="277">
        <f t="shared" si="95"/>
        <v>0</v>
      </c>
      <c r="DA32" s="277">
        <f t="shared" si="96"/>
        <v>0</v>
      </c>
    </row>
    <row r="33" spans="1:105" s="274" customFormat="1" ht="16.5" customHeight="1">
      <c r="A33" s="63" t="str">
        <f t="array" ref="A33">IF(C33&lt;&gt;0,SUM(($C$11:C33&lt;&gt;0)*1),"")</f>
        <v/>
      </c>
      <c r="B33" s="275"/>
      <c r="C33" s="275"/>
      <c r="D33" s="275"/>
      <c r="E33" s="365"/>
      <c r="F33" s="326"/>
      <c r="G33" s="328"/>
      <c r="H33" s="328"/>
      <c r="I33" s="63" t="str">
        <f t="shared" si="0"/>
        <v/>
      </c>
      <c r="J33" s="277">
        <f t="shared" si="61"/>
        <v>0</v>
      </c>
      <c r="K33" s="277">
        <f t="shared" si="62"/>
        <v>0</v>
      </c>
      <c r="L33" s="277">
        <f t="shared" si="1"/>
        <v>0</v>
      </c>
      <c r="M33" s="277">
        <f t="shared" si="2"/>
        <v>0</v>
      </c>
      <c r="N33" s="277">
        <f t="shared" si="3"/>
        <v>0</v>
      </c>
      <c r="O33" s="277">
        <f t="shared" si="4"/>
        <v>0</v>
      </c>
      <c r="P33" s="277">
        <f t="shared" si="5"/>
        <v>0</v>
      </c>
      <c r="Q33" s="277">
        <f t="shared" si="6"/>
        <v>0</v>
      </c>
      <c r="R33" s="277">
        <f t="shared" si="7"/>
        <v>0</v>
      </c>
      <c r="S33" s="277">
        <f t="shared" si="8"/>
        <v>0</v>
      </c>
      <c r="T33" s="277">
        <f t="shared" si="9"/>
        <v>0</v>
      </c>
      <c r="U33" s="277">
        <f t="shared" si="10"/>
        <v>0</v>
      </c>
      <c r="V33" s="277">
        <f t="shared" si="11"/>
        <v>0</v>
      </c>
      <c r="W33" s="277">
        <f t="shared" si="12"/>
        <v>0</v>
      </c>
      <c r="X33" s="277">
        <f t="shared" si="13"/>
        <v>0</v>
      </c>
      <c r="Y33" s="277">
        <f t="shared" si="14"/>
        <v>0</v>
      </c>
      <c r="Z33" s="277">
        <f t="shared" si="15"/>
        <v>0</v>
      </c>
      <c r="AA33" s="277">
        <f t="shared" si="16"/>
        <v>0</v>
      </c>
      <c r="AB33" s="277">
        <f t="shared" si="63"/>
        <v>0</v>
      </c>
      <c r="AC33" s="277">
        <f t="shared" si="64"/>
        <v>0</v>
      </c>
      <c r="AD33" s="277">
        <f t="shared" si="17"/>
        <v>0</v>
      </c>
      <c r="AE33" s="277">
        <f t="shared" si="18"/>
        <v>0</v>
      </c>
      <c r="AF33" s="277">
        <f t="shared" si="19"/>
        <v>0</v>
      </c>
      <c r="AG33" s="277">
        <f t="shared" si="20"/>
        <v>0</v>
      </c>
      <c r="AH33" s="277">
        <f t="shared" si="65"/>
        <v>0</v>
      </c>
      <c r="AI33" s="277">
        <f t="shared" si="66"/>
        <v>0</v>
      </c>
      <c r="AJ33" s="277">
        <f t="shared" si="67"/>
        <v>0</v>
      </c>
      <c r="AK33" s="277">
        <f t="shared" si="68"/>
        <v>0</v>
      </c>
      <c r="AL33" s="277">
        <f t="shared" si="69"/>
        <v>0</v>
      </c>
      <c r="AM33" s="277">
        <f t="shared" si="70"/>
        <v>0</v>
      </c>
      <c r="AN33" s="277">
        <f t="shared" si="71"/>
        <v>0</v>
      </c>
      <c r="AO33" s="277">
        <f t="shared" si="72"/>
        <v>0</v>
      </c>
      <c r="AP33" s="277">
        <f t="shared" si="21"/>
        <v>0</v>
      </c>
      <c r="AQ33" s="277">
        <f t="shared" si="22"/>
        <v>0</v>
      </c>
      <c r="AR33" s="277">
        <f t="shared" si="23"/>
        <v>0</v>
      </c>
      <c r="AS33" s="277">
        <f t="shared" si="24"/>
        <v>0</v>
      </c>
      <c r="AT33" s="277">
        <f t="shared" si="73"/>
        <v>0</v>
      </c>
      <c r="AU33" s="277">
        <f t="shared" si="74"/>
        <v>0</v>
      </c>
      <c r="AV33" s="277">
        <f t="shared" si="25"/>
        <v>0</v>
      </c>
      <c r="AW33" s="277">
        <f t="shared" si="26"/>
        <v>0</v>
      </c>
      <c r="AX33" s="277">
        <f t="shared" si="27"/>
        <v>0</v>
      </c>
      <c r="AY33" s="277">
        <f t="shared" si="28"/>
        <v>0</v>
      </c>
      <c r="AZ33" s="277">
        <f t="shared" si="29"/>
        <v>0</v>
      </c>
      <c r="BA33" s="277">
        <f t="shared" si="30"/>
        <v>0</v>
      </c>
      <c r="BB33" s="277">
        <f t="shared" si="31"/>
        <v>0</v>
      </c>
      <c r="BC33" s="277">
        <f t="shared" si="32"/>
        <v>0</v>
      </c>
      <c r="BD33" s="277">
        <f t="shared" si="33"/>
        <v>0</v>
      </c>
      <c r="BE33" s="277">
        <f t="shared" si="34"/>
        <v>0</v>
      </c>
      <c r="BF33" s="277">
        <f t="shared" si="35"/>
        <v>0</v>
      </c>
      <c r="BG33" s="277">
        <f t="shared" si="36"/>
        <v>0</v>
      </c>
      <c r="BH33" s="277">
        <f t="shared" si="75"/>
        <v>0</v>
      </c>
      <c r="BI33" s="277">
        <f t="shared" si="76"/>
        <v>0</v>
      </c>
      <c r="BJ33" s="277">
        <f t="shared" si="37"/>
        <v>0</v>
      </c>
      <c r="BK33" s="277">
        <f t="shared" si="38"/>
        <v>0</v>
      </c>
      <c r="BL33" s="277">
        <f t="shared" si="39"/>
        <v>0</v>
      </c>
      <c r="BM33" s="277">
        <f t="shared" si="40"/>
        <v>0</v>
      </c>
      <c r="BN33" s="277">
        <f t="shared" si="41"/>
        <v>0</v>
      </c>
      <c r="BO33" s="277">
        <f t="shared" si="42"/>
        <v>0</v>
      </c>
      <c r="BP33" s="277">
        <f t="shared" si="77"/>
        <v>0</v>
      </c>
      <c r="BQ33" s="277">
        <f t="shared" si="78"/>
        <v>0</v>
      </c>
      <c r="BR33" s="277">
        <f t="shared" si="43"/>
        <v>0</v>
      </c>
      <c r="BS33" s="277">
        <f t="shared" si="44"/>
        <v>0</v>
      </c>
      <c r="BT33" s="277">
        <f t="shared" si="79"/>
        <v>0</v>
      </c>
      <c r="BU33" s="277">
        <f t="shared" si="80"/>
        <v>0</v>
      </c>
      <c r="BV33" s="277">
        <f t="shared" si="81"/>
        <v>0</v>
      </c>
      <c r="BW33" s="277">
        <f t="shared" si="82"/>
        <v>0</v>
      </c>
      <c r="BX33" s="277">
        <f t="shared" si="45"/>
        <v>0</v>
      </c>
      <c r="BY33" s="277">
        <f t="shared" si="46"/>
        <v>0</v>
      </c>
      <c r="BZ33" s="277">
        <f t="shared" si="47"/>
        <v>0</v>
      </c>
      <c r="CA33" s="277">
        <f t="shared" si="48"/>
        <v>0</v>
      </c>
      <c r="CB33" s="277">
        <f t="shared" si="49"/>
        <v>0</v>
      </c>
      <c r="CC33" s="277">
        <f t="shared" si="50"/>
        <v>0</v>
      </c>
      <c r="CD33" s="277">
        <f t="shared" si="83"/>
        <v>0</v>
      </c>
      <c r="CE33" s="277">
        <f t="shared" si="84"/>
        <v>0</v>
      </c>
      <c r="CF33" s="277">
        <f t="shared" si="85"/>
        <v>0</v>
      </c>
      <c r="CG33" s="277">
        <f t="shared" si="86"/>
        <v>0</v>
      </c>
      <c r="CH33" s="277">
        <f t="shared" si="51"/>
        <v>0</v>
      </c>
      <c r="CI33" s="277">
        <f t="shared" si="52"/>
        <v>0</v>
      </c>
      <c r="CJ33" s="277">
        <f t="shared" si="87"/>
        <v>0</v>
      </c>
      <c r="CK33" s="277">
        <f t="shared" si="88"/>
        <v>0</v>
      </c>
      <c r="CL33" s="277">
        <f t="shared" si="53"/>
        <v>0</v>
      </c>
      <c r="CM33" s="277">
        <f t="shared" si="54"/>
        <v>0</v>
      </c>
      <c r="CN33" s="277">
        <f t="shared" si="55"/>
        <v>0</v>
      </c>
      <c r="CO33" s="277">
        <f t="shared" si="56"/>
        <v>0</v>
      </c>
      <c r="CP33" s="277">
        <f t="shared" si="89"/>
        <v>0</v>
      </c>
      <c r="CQ33" s="277">
        <f t="shared" si="90"/>
        <v>0</v>
      </c>
      <c r="CR33" s="277">
        <f t="shared" si="91"/>
        <v>0</v>
      </c>
      <c r="CS33" s="277">
        <f t="shared" si="92"/>
        <v>0</v>
      </c>
      <c r="CT33" s="277">
        <f t="shared" si="57"/>
        <v>0</v>
      </c>
      <c r="CU33" s="277">
        <f t="shared" si="58"/>
        <v>0</v>
      </c>
      <c r="CV33" s="277">
        <f t="shared" si="59"/>
        <v>0</v>
      </c>
      <c r="CW33" s="277">
        <f t="shared" si="60"/>
        <v>0</v>
      </c>
      <c r="CX33" s="277">
        <f t="shared" si="93"/>
        <v>0</v>
      </c>
      <c r="CY33" s="277">
        <f t="shared" si="94"/>
        <v>0</v>
      </c>
      <c r="CZ33" s="277">
        <f t="shared" si="95"/>
        <v>0</v>
      </c>
      <c r="DA33" s="277">
        <f t="shared" si="96"/>
        <v>0</v>
      </c>
    </row>
    <row r="34" spans="1:105" s="274" customFormat="1" ht="16.5" customHeight="1">
      <c r="A34" s="63" t="str">
        <f t="array" ref="A34">IF(C34&lt;&gt;0,SUM(($C$11:C34&lt;&gt;0)*1),"")</f>
        <v/>
      </c>
      <c r="B34" s="275"/>
      <c r="C34" s="275"/>
      <c r="D34" s="275"/>
      <c r="E34" s="365"/>
      <c r="F34" s="326"/>
      <c r="G34" s="328"/>
      <c r="H34" s="328"/>
      <c r="I34" s="63" t="str">
        <f t="shared" si="0"/>
        <v/>
      </c>
      <c r="J34" s="277">
        <f t="shared" si="61"/>
        <v>0</v>
      </c>
      <c r="K34" s="277">
        <f t="shared" si="62"/>
        <v>0</v>
      </c>
      <c r="L34" s="277">
        <f t="shared" si="1"/>
        <v>0</v>
      </c>
      <c r="M34" s="277">
        <f t="shared" si="2"/>
        <v>0</v>
      </c>
      <c r="N34" s="277">
        <f t="shared" si="3"/>
        <v>0</v>
      </c>
      <c r="O34" s="277">
        <f t="shared" si="4"/>
        <v>0</v>
      </c>
      <c r="P34" s="277">
        <f t="shared" si="5"/>
        <v>0</v>
      </c>
      <c r="Q34" s="277">
        <f t="shared" si="6"/>
        <v>0</v>
      </c>
      <c r="R34" s="277">
        <f t="shared" si="7"/>
        <v>0</v>
      </c>
      <c r="S34" s="277">
        <f t="shared" si="8"/>
        <v>0</v>
      </c>
      <c r="T34" s="277">
        <f t="shared" si="9"/>
        <v>0</v>
      </c>
      <c r="U34" s="277">
        <f t="shared" si="10"/>
        <v>0</v>
      </c>
      <c r="V34" s="277">
        <f t="shared" si="11"/>
        <v>0</v>
      </c>
      <c r="W34" s="277">
        <f t="shared" si="12"/>
        <v>0</v>
      </c>
      <c r="X34" s="277">
        <f t="shared" si="13"/>
        <v>0</v>
      </c>
      <c r="Y34" s="277">
        <f t="shared" si="14"/>
        <v>0</v>
      </c>
      <c r="Z34" s="277">
        <f t="shared" si="15"/>
        <v>0</v>
      </c>
      <c r="AA34" s="277">
        <f t="shared" si="16"/>
        <v>0</v>
      </c>
      <c r="AB34" s="277">
        <f t="shared" si="63"/>
        <v>0</v>
      </c>
      <c r="AC34" s="277">
        <f t="shared" si="64"/>
        <v>0</v>
      </c>
      <c r="AD34" s="277">
        <f t="shared" si="17"/>
        <v>0</v>
      </c>
      <c r="AE34" s="277">
        <f t="shared" si="18"/>
        <v>0</v>
      </c>
      <c r="AF34" s="277">
        <f t="shared" si="19"/>
        <v>0</v>
      </c>
      <c r="AG34" s="277">
        <f t="shared" si="20"/>
        <v>0</v>
      </c>
      <c r="AH34" s="277">
        <f t="shared" si="65"/>
        <v>0</v>
      </c>
      <c r="AI34" s="277">
        <f t="shared" si="66"/>
        <v>0</v>
      </c>
      <c r="AJ34" s="277">
        <f t="shared" si="67"/>
        <v>0</v>
      </c>
      <c r="AK34" s="277">
        <f t="shared" si="68"/>
        <v>0</v>
      </c>
      <c r="AL34" s="277">
        <f t="shared" si="69"/>
        <v>0</v>
      </c>
      <c r="AM34" s="277">
        <f t="shared" si="70"/>
        <v>0</v>
      </c>
      <c r="AN34" s="277">
        <f t="shared" si="71"/>
        <v>0</v>
      </c>
      <c r="AO34" s="277">
        <f t="shared" si="72"/>
        <v>0</v>
      </c>
      <c r="AP34" s="277">
        <f t="shared" si="21"/>
        <v>0</v>
      </c>
      <c r="AQ34" s="277">
        <f t="shared" si="22"/>
        <v>0</v>
      </c>
      <c r="AR34" s="277">
        <f t="shared" si="23"/>
        <v>0</v>
      </c>
      <c r="AS34" s="277">
        <f t="shared" si="24"/>
        <v>0</v>
      </c>
      <c r="AT34" s="277">
        <f t="shared" si="73"/>
        <v>0</v>
      </c>
      <c r="AU34" s="277">
        <f t="shared" si="74"/>
        <v>0</v>
      </c>
      <c r="AV34" s="277">
        <f t="shared" si="25"/>
        <v>0</v>
      </c>
      <c r="AW34" s="277">
        <f t="shared" si="26"/>
        <v>0</v>
      </c>
      <c r="AX34" s="277">
        <f t="shared" si="27"/>
        <v>0</v>
      </c>
      <c r="AY34" s="277">
        <f t="shared" si="28"/>
        <v>0</v>
      </c>
      <c r="AZ34" s="277">
        <f t="shared" si="29"/>
        <v>0</v>
      </c>
      <c r="BA34" s="277">
        <f t="shared" si="30"/>
        <v>0</v>
      </c>
      <c r="BB34" s="277">
        <f t="shared" si="31"/>
        <v>0</v>
      </c>
      <c r="BC34" s="277">
        <f t="shared" si="32"/>
        <v>0</v>
      </c>
      <c r="BD34" s="277">
        <f t="shared" si="33"/>
        <v>0</v>
      </c>
      <c r="BE34" s="277">
        <f t="shared" si="34"/>
        <v>0</v>
      </c>
      <c r="BF34" s="277">
        <f t="shared" si="35"/>
        <v>0</v>
      </c>
      <c r="BG34" s="277">
        <f t="shared" si="36"/>
        <v>0</v>
      </c>
      <c r="BH34" s="277">
        <f t="shared" si="75"/>
        <v>0</v>
      </c>
      <c r="BI34" s="277">
        <f t="shared" si="76"/>
        <v>0</v>
      </c>
      <c r="BJ34" s="277">
        <f t="shared" si="37"/>
        <v>0</v>
      </c>
      <c r="BK34" s="277">
        <f t="shared" si="38"/>
        <v>0</v>
      </c>
      <c r="BL34" s="277">
        <f t="shared" si="39"/>
        <v>0</v>
      </c>
      <c r="BM34" s="277">
        <f t="shared" si="40"/>
        <v>0</v>
      </c>
      <c r="BN34" s="277">
        <f t="shared" si="41"/>
        <v>0</v>
      </c>
      <c r="BO34" s="277">
        <f t="shared" si="42"/>
        <v>0</v>
      </c>
      <c r="BP34" s="277">
        <f t="shared" si="77"/>
        <v>0</v>
      </c>
      <c r="BQ34" s="277">
        <f t="shared" si="78"/>
        <v>0</v>
      </c>
      <c r="BR34" s="277">
        <f t="shared" si="43"/>
        <v>0</v>
      </c>
      <c r="BS34" s="277">
        <f t="shared" si="44"/>
        <v>0</v>
      </c>
      <c r="BT34" s="277">
        <f t="shared" si="79"/>
        <v>0</v>
      </c>
      <c r="BU34" s="277">
        <f t="shared" si="80"/>
        <v>0</v>
      </c>
      <c r="BV34" s="277">
        <f t="shared" si="81"/>
        <v>0</v>
      </c>
      <c r="BW34" s="277">
        <f t="shared" si="82"/>
        <v>0</v>
      </c>
      <c r="BX34" s="277">
        <f t="shared" si="45"/>
        <v>0</v>
      </c>
      <c r="BY34" s="277">
        <f t="shared" si="46"/>
        <v>0</v>
      </c>
      <c r="BZ34" s="277">
        <f t="shared" si="47"/>
        <v>0</v>
      </c>
      <c r="CA34" s="277">
        <f t="shared" si="48"/>
        <v>0</v>
      </c>
      <c r="CB34" s="277">
        <f t="shared" si="49"/>
        <v>0</v>
      </c>
      <c r="CC34" s="277">
        <f t="shared" si="50"/>
        <v>0</v>
      </c>
      <c r="CD34" s="277">
        <f t="shared" si="83"/>
        <v>0</v>
      </c>
      <c r="CE34" s="277">
        <f t="shared" si="84"/>
        <v>0</v>
      </c>
      <c r="CF34" s="277">
        <f t="shared" si="85"/>
        <v>0</v>
      </c>
      <c r="CG34" s="277">
        <f t="shared" si="86"/>
        <v>0</v>
      </c>
      <c r="CH34" s="277">
        <f t="shared" si="51"/>
        <v>0</v>
      </c>
      <c r="CI34" s="277">
        <f t="shared" si="52"/>
        <v>0</v>
      </c>
      <c r="CJ34" s="277">
        <f t="shared" si="87"/>
        <v>0</v>
      </c>
      <c r="CK34" s="277">
        <f t="shared" si="88"/>
        <v>0</v>
      </c>
      <c r="CL34" s="277">
        <f t="shared" si="53"/>
        <v>0</v>
      </c>
      <c r="CM34" s="277">
        <f t="shared" si="54"/>
        <v>0</v>
      </c>
      <c r="CN34" s="277">
        <f t="shared" si="55"/>
        <v>0</v>
      </c>
      <c r="CO34" s="277">
        <f t="shared" si="56"/>
        <v>0</v>
      </c>
      <c r="CP34" s="277">
        <f t="shared" si="89"/>
        <v>0</v>
      </c>
      <c r="CQ34" s="277">
        <f t="shared" si="90"/>
        <v>0</v>
      </c>
      <c r="CR34" s="277">
        <f t="shared" si="91"/>
        <v>0</v>
      </c>
      <c r="CS34" s="277">
        <f t="shared" si="92"/>
        <v>0</v>
      </c>
      <c r="CT34" s="277">
        <f t="shared" si="57"/>
        <v>0</v>
      </c>
      <c r="CU34" s="277">
        <f t="shared" si="58"/>
        <v>0</v>
      </c>
      <c r="CV34" s="277">
        <f t="shared" si="59"/>
        <v>0</v>
      </c>
      <c r="CW34" s="277">
        <f t="shared" si="60"/>
        <v>0</v>
      </c>
      <c r="CX34" s="277">
        <f t="shared" si="93"/>
        <v>0</v>
      </c>
      <c r="CY34" s="277">
        <f t="shared" si="94"/>
        <v>0</v>
      </c>
      <c r="CZ34" s="277">
        <f t="shared" si="95"/>
        <v>0</v>
      </c>
      <c r="DA34" s="277">
        <f t="shared" si="96"/>
        <v>0</v>
      </c>
    </row>
    <row r="35" spans="1:105" s="274" customFormat="1" ht="16.5" customHeight="1">
      <c r="A35" s="63" t="str">
        <f t="array" ref="A35">IF(C35&lt;&gt;0,SUM(($C$11:C35&lt;&gt;0)*1),"")</f>
        <v/>
      </c>
      <c r="B35" s="275"/>
      <c r="C35" s="275"/>
      <c r="D35" s="275"/>
      <c r="E35" s="365"/>
      <c r="F35" s="326"/>
      <c r="G35" s="328"/>
      <c r="H35" s="328"/>
      <c r="I35" s="63" t="str">
        <f t="shared" si="0"/>
        <v/>
      </c>
      <c r="J35" s="277">
        <f t="shared" si="61"/>
        <v>0</v>
      </c>
      <c r="K35" s="277">
        <f t="shared" si="62"/>
        <v>0</v>
      </c>
      <c r="L35" s="277">
        <f t="shared" si="1"/>
        <v>0</v>
      </c>
      <c r="M35" s="277">
        <f t="shared" si="2"/>
        <v>0</v>
      </c>
      <c r="N35" s="277">
        <f t="shared" si="3"/>
        <v>0</v>
      </c>
      <c r="O35" s="277">
        <f t="shared" si="4"/>
        <v>0</v>
      </c>
      <c r="P35" s="277">
        <f t="shared" si="5"/>
        <v>0</v>
      </c>
      <c r="Q35" s="277">
        <f t="shared" si="6"/>
        <v>0</v>
      </c>
      <c r="R35" s="277">
        <f t="shared" si="7"/>
        <v>0</v>
      </c>
      <c r="S35" s="277">
        <f t="shared" si="8"/>
        <v>0</v>
      </c>
      <c r="T35" s="277">
        <f t="shared" si="9"/>
        <v>0</v>
      </c>
      <c r="U35" s="277">
        <f t="shared" si="10"/>
        <v>0</v>
      </c>
      <c r="V35" s="277">
        <f t="shared" si="11"/>
        <v>0</v>
      </c>
      <c r="W35" s="277">
        <f t="shared" si="12"/>
        <v>0</v>
      </c>
      <c r="X35" s="277">
        <f t="shared" si="13"/>
        <v>0</v>
      </c>
      <c r="Y35" s="277">
        <f t="shared" si="14"/>
        <v>0</v>
      </c>
      <c r="Z35" s="277">
        <f t="shared" si="15"/>
        <v>0</v>
      </c>
      <c r="AA35" s="277">
        <f t="shared" si="16"/>
        <v>0</v>
      </c>
      <c r="AB35" s="277">
        <f t="shared" si="63"/>
        <v>0</v>
      </c>
      <c r="AC35" s="277">
        <f t="shared" si="64"/>
        <v>0</v>
      </c>
      <c r="AD35" s="277">
        <f t="shared" si="17"/>
        <v>0</v>
      </c>
      <c r="AE35" s="277">
        <f t="shared" si="18"/>
        <v>0</v>
      </c>
      <c r="AF35" s="277">
        <f t="shared" si="19"/>
        <v>0</v>
      </c>
      <c r="AG35" s="277">
        <f t="shared" si="20"/>
        <v>0</v>
      </c>
      <c r="AH35" s="277">
        <f t="shared" si="65"/>
        <v>0</v>
      </c>
      <c r="AI35" s="277">
        <f t="shared" si="66"/>
        <v>0</v>
      </c>
      <c r="AJ35" s="277">
        <f t="shared" si="67"/>
        <v>0</v>
      </c>
      <c r="AK35" s="277">
        <f t="shared" si="68"/>
        <v>0</v>
      </c>
      <c r="AL35" s="277">
        <f t="shared" si="69"/>
        <v>0</v>
      </c>
      <c r="AM35" s="277">
        <f t="shared" si="70"/>
        <v>0</v>
      </c>
      <c r="AN35" s="277">
        <f t="shared" si="71"/>
        <v>0</v>
      </c>
      <c r="AO35" s="277">
        <f t="shared" si="72"/>
        <v>0</v>
      </c>
      <c r="AP35" s="277">
        <f t="shared" si="21"/>
        <v>0</v>
      </c>
      <c r="AQ35" s="277">
        <f t="shared" si="22"/>
        <v>0</v>
      </c>
      <c r="AR35" s="277">
        <f t="shared" si="23"/>
        <v>0</v>
      </c>
      <c r="AS35" s="277">
        <f t="shared" si="24"/>
        <v>0</v>
      </c>
      <c r="AT35" s="277">
        <f t="shared" si="73"/>
        <v>0</v>
      </c>
      <c r="AU35" s="277">
        <f t="shared" si="74"/>
        <v>0</v>
      </c>
      <c r="AV35" s="277">
        <f t="shared" si="25"/>
        <v>0</v>
      </c>
      <c r="AW35" s="277">
        <f t="shared" si="26"/>
        <v>0</v>
      </c>
      <c r="AX35" s="277">
        <f t="shared" si="27"/>
        <v>0</v>
      </c>
      <c r="AY35" s="277">
        <f t="shared" si="28"/>
        <v>0</v>
      </c>
      <c r="AZ35" s="277">
        <f t="shared" si="29"/>
        <v>0</v>
      </c>
      <c r="BA35" s="277">
        <f t="shared" si="30"/>
        <v>0</v>
      </c>
      <c r="BB35" s="277">
        <f t="shared" si="31"/>
        <v>0</v>
      </c>
      <c r="BC35" s="277">
        <f t="shared" si="32"/>
        <v>0</v>
      </c>
      <c r="BD35" s="277">
        <f t="shared" si="33"/>
        <v>0</v>
      </c>
      <c r="BE35" s="277">
        <f t="shared" si="34"/>
        <v>0</v>
      </c>
      <c r="BF35" s="277">
        <f t="shared" si="35"/>
        <v>0</v>
      </c>
      <c r="BG35" s="277">
        <f t="shared" si="36"/>
        <v>0</v>
      </c>
      <c r="BH35" s="277">
        <f t="shared" si="75"/>
        <v>0</v>
      </c>
      <c r="BI35" s="277">
        <f t="shared" si="76"/>
        <v>0</v>
      </c>
      <c r="BJ35" s="277">
        <f t="shared" si="37"/>
        <v>0</v>
      </c>
      <c r="BK35" s="277">
        <f t="shared" si="38"/>
        <v>0</v>
      </c>
      <c r="BL35" s="277">
        <f t="shared" si="39"/>
        <v>0</v>
      </c>
      <c r="BM35" s="277">
        <f t="shared" si="40"/>
        <v>0</v>
      </c>
      <c r="BN35" s="277">
        <f t="shared" si="41"/>
        <v>0</v>
      </c>
      <c r="BO35" s="277">
        <f t="shared" si="42"/>
        <v>0</v>
      </c>
      <c r="BP35" s="277">
        <f t="shared" si="77"/>
        <v>0</v>
      </c>
      <c r="BQ35" s="277">
        <f t="shared" si="78"/>
        <v>0</v>
      </c>
      <c r="BR35" s="277">
        <f t="shared" si="43"/>
        <v>0</v>
      </c>
      <c r="BS35" s="277">
        <f t="shared" si="44"/>
        <v>0</v>
      </c>
      <c r="BT35" s="277">
        <f t="shared" si="79"/>
        <v>0</v>
      </c>
      <c r="BU35" s="277">
        <f t="shared" si="80"/>
        <v>0</v>
      </c>
      <c r="BV35" s="277">
        <f t="shared" si="81"/>
        <v>0</v>
      </c>
      <c r="BW35" s="277">
        <f t="shared" si="82"/>
        <v>0</v>
      </c>
      <c r="BX35" s="277">
        <f t="shared" si="45"/>
        <v>0</v>
      </c>
      <c r="BY35" s="277">
        <f t="shared" si="46"/>
        <v>0</v>
      </c>
      <c r="BZ35" s="277">
        <f t="shared" si="47"/>
        <v>0</v>
      </c>
      <c r="CA35" s="277">
        <f t="shared" si="48"/>
        <v>0</v>
      </c>
      <c r="CB35" s="277">
        <f t="shared" si="49"/>
        <v>0</v>
      </c>
      <c r="CC35" s="277">
        <f t="shared" si="50"/>
        <v>0</v>
      </c>
      <c r="CD35" s="277">
        <f t="shared" si="83"/>
        <v>0</v>
      </c>
      <c r="CE35" s="277">
        <f t="shared" si="84"/>
        <v>0</v>
      </c>
      <c r="CF35" s="277">
        <f t="shared" si="85"/>
        <v>0</v>
      </c>
      <c r="CG35" s="277">
        <f t="shared" si="86"/>
        <v>0</v>
      </c>
      <c r="CH35" s="277">
        <f t="shared" si="51"/>
        <v>0</v>
      </c>
      <c r="CI35" s="277">
        <f t="shared" si="52"/>
        <v>0</v>
      </c>
      <c r="CJ35" s="277">
        <f t="shared" si="87"/>
        <v>0</v>
      </c>
      <c r="CK35" s="277">
        <f t="shared" si="88"/>
        <v>0</v>
      </c>
      <c r="CL35" s="277">
        <f t="shared" si="53"/>
        <v>0</v>
      </c>
      <c r="CM35" s="277">
        <f t="shared" si="54"/>
        <v>0</v>
      </c>
      <c r="CN35" s="277">
        <f t="shared" si="55"/>
        <v>0</v>
      </c>
      <c r="CO35" s="277">
        <f t="shared" si="56"/>
        <v>0</v>
      </c>
      <c r="CP35" s="277">
        <f t="shared" si="89"/>
        <v>0</v>
      </c>
      <c r="CQ35" s="277">
        <f t="shared" si="90"/>
        <v>0</v>
      </c>
      <c r="CR35" s="277">
        <f t="shared" si="91"/>
        <v>0</v>
      </c>
      <c r="CS35" s="277">
        <f t="shared" si="92"/>
        <v>0</v>
      </c>
      <c r="CT35" s="277">
        <f t="shared" si="57"/>
        <v>0</v>
      </c>
      <c r="CU35" s="277">
        <f t="shared" si="58"/>
        <v>0</v>
      </c>
      <c r="CV35" s="277">
        <f t="shared" si="59"/>
        <v>0</v>
      </c>
      <c r="CW35" s="277">
        <f t="shared" si="60"/>
        <v>0</v>
      </c>
      <c r="CX35" s="277">
        <f t="shared" si="93"/>
        <v>0</v>
      </c>
      <c r="CY35" s="277">
        <f t="shared" si="94"/>
        <v>0</v>
      </c>
      <c r="CZ35" s="277">
        <f t="shared" si="95"/>
        <v>0</v>
      </c>
      <c r="DA35" s="277">
        <f t="shared" si="96"/>
        <v>0</v>
      </c>
    </row>
    <row r="36" spans="1:105" s="274" customFormat="1" ht="16.5" customHeight="1">
      <c r="A36" s="63" t="str">
        <f t="array" ref="A36">IF(C36&lt;&gt;0,SUM(($C$11:C36&lt;&gt;0)*1),"")</f>
        <v/>
      </c>
      <c r="B36" s="275"/>
      <c r="C36" s="275"/>
      <c r="D36" s="275"/>
      <c r="E36" s="365"/>
      <c r="F36" s="326"/>
      <c r="G36" s="328"/>
      <c r="H36" s="328"/>
      <c r="I36" s="63" t="str">
        <f t="shared" si="0"/>
        <v/>
      </c>
      <c r="J36" s="277">
        <f t="shared" si="61"/>
        <v>0</v>
      </c>
      <c r="K36" s="277">
        <f t="shared" si="62"/>
        <v>0</v>
      </c>
      <c r="L36" s="277">
        <f t="shared" si="1"/>
        <v>0</v>
      </c>
      <c r="M36" s="277">
        <f t="shared" si="2"/>
        <v>0</v>
      </c>
      <c r="N36" s="277">
        <f t="shared" si="3"/>
        <v>0</v>
      </c>
      <c r="O36" s="277">
        <f t="shared" si="4"/>
        <v>0</v>
      </c>
      <c r="P36" s="277">
        <f t="shared" si="5"/>
        <v>0</v>
      </c>
      <c r="Q36" s="277">
        <f t="shared" si="6"/>
        <v>0</v>
      </c>
      <c r="R36" s="277">
        <f t="shared" si="7"/>
        <v>0</v>
      </c>
      <c r="S36" s="277">
        <f t="shared" si="8"/>
        <v>0</v>
      </c>
      <c r="T36" s="277">
        <f t="shared" si="9"/>
        <v>0</v>
      </c>
      <c r="U36" s="277">
        <f t="shared" si="10"/>
        <v>0</v>
      </c>
      <c r="V36" s="277">
        <f t="shared" si="11"/>
        <v>0</v>
      </c>
      <c r="W36" s="277">
        <f t="shared" si="12"/>
        <v>0</v>
      </c>
      <c r="X36" s="277">
        <f t="shared" si="13"/>
        <v>0</v>
      </c>
      <c r="Y36" s="277">
        <f t="shared" si="14"/>
        <v>0</v>
      </c>
      <c r="Z36" s="277">
        <f t="shared" si="15"/>
        <v>0</v>
      </c>
      <c r="AA36" s="277">
        <f t="shared" si="16"/>
        <v>0</v>
      </c>
      <c r="AB36" s="277">
        <f t="shared" si="63"/>
        <v>0</v>
      </c>
      <c r="AC36" s="277">
        <f t="shared" si="64"/>
        <v>0</v>
      </c>
      <c r="AD36" s="277">
        <f t="shared" si="17"/>
        <v>0</v>
      </c>
      <c r="AE36" s="277">
        <f t="shared" si="18"/>
        <v>0</v>
      </c>
      <c r="AF36" s="277">
        <f t="shared" si="19"/>
        <v>0</v>
      </c>
      <c r="AG36" s="277">
        <f t="shared" si="20"/>
        <v>0</v>
      </c>
      <c r="AH36" s="277">
        <f t="shared" si="65"/>
        <v>0</v>
      </c>
      <c r="AI36" s="277">
        <f t="shared" si="66"/>
        <v>0</v>
      </c>
      <c r="AJ36" s="277">
        <f t="shared" si="67"/>
        <v>0</v>
      </c>
      <c r="AK36" s="277">
        <f t="shared" si="68"/>
        <v>0</v>
      </c>
      <c r="AL36" s="277">
        <f t="shared" si="69"/>
        <v>0</v>
      </c>
      <c r="AM36" s="277">
        <f t="shared" si="70"/>
        <v>0</v>
      </c>
      <c r="AN36" s="277">
        <f t="shared" si="71"/>
        <v>0</v>
      </c>
      <c r="AO36" s="277">
        <f t="shared" si="72"/>
        <v>0</v>
      </c>
      <c r="AP36" s="277">
        <f t="shared" si="21"/>
        <v>0</v>
      </c>
      <c r="AQ36" s="277">
        <f t="shared" si="22"/>
        <v>0</v>
      </c>
      <c r="AR36" s="277">
        <f t="shared" si="23"/>
        <v>0</v>
      </c>
      <c r="AS36" s="277">
        <f t="shared" si="24"/>
        <v>0</v>
      </c>
      <c r="AT36" s="277">
        <f t="shared" si="73"/>
        <v>0</v>
      </c>
      <c r="AU36" s="277">
        <f t="shared" si="74"/>
        <v>0</v>
      </c>
      <c r="AV36" s="277">
        <f t="shared" si="25"/>
        <v>0</v>
      </c>
      <c r="AW36" s="277">
        <f t="shared" si="26"/>
        <v>0</v>
      </c>
      <c r="AX36" s="277">
        <f t="shared" si="27"/>
        <v>0</v>
      </c>
      <c r="AY36" s="277">
        <f t="shared" si="28"/>
        <v>0</v>
      </c>
      <c r="AZ36" s="277">
        <f t="shared" si="29"/>
        <v>0</v>
      </c>
      <c r="BA36" s="277">
        <f t="shared" si="30"/>
        <v>0</v>
      </c>
      <c r="BB36" s="277">
        <f t="shared" si="31"/>
        <v>0</v>
      </c>
      <c r="BC36" s="277">
        <f t="shared" si="32"/>
        <v>0</v>
      </c>
      <c r="BD36" s="277">
        <f t="shared" si="33"/>
        <v>0</v>
      </c>
      <c r="BE36" s="277">
        <f t="shared" si="34"/>
        <v>0</v>
      </c>
      <c r="BF36" s="277">
        <f t="shared" si="35"/>
        <v>0</v>
      </c>
      <c r="BG36" s="277">
        <f t="shared" si="36"/>
        <v>0</v>
      </c>
      <c r="BH36" s="277">
        <f t="shared" si="75"/>
        <v>0</v>
      </c>
      <c r="BI36" s="277">
        <f t="shared" si="76"/>
        <v>0</v>
      </c>
      <c r="BJ36" s="277">
        <f t="shared" si="37"/>
        <v>0</v>
      </c>
      <c r="BK36" s="277">
        <f t="shared" si="38"/>
        <v>0</v>
      </c>
      <c r="BL36" s="277">
        <f t="shared" si="39"/>
        <v>0</v>
      </c>
      <c r="BM36" s="277">
        <f t="shared" si="40"/>
        <v>0</v>
      </c>
      <c r="BN36" s="277">
        <f t="shared" si="41"/>
        <v>0</v>
      </c>
      <c r="BO36" s="277">
        <f t="shared" si="42"/>
        <v>0</v>
      </c>
      <c r="BP36" s="277">
        <f t="shared" si="77"/>
        <v>0</v>
      </c>
      <c r="BQ36" s="277">
        <f t="shared" si="78"/>
        <v>0</v>
      </c>
      <c r="BR36" s="277">
        <f t="shared" si="43"/>
        <v>0</v>
      </c>
      <c r="BS36" s="277">
        <f t="shared" si="44"/>
        <v>0</v>
      </c>
      <c r="BT36" s="277">
        <f t="shared" si="79"/>
        <v>0</v>
      </c>
      <c r="BU36" s="277">
        <f t="shared" si="80"/>
        <v>0</v>
      </c>
      <c r="BV36" s="277">
        <f t="shared" si="81"/>
        <v>0</v>
      </c>
      <c r="BW36" s="277">
        <f t="shared" si="82"/>
        <v>0</v>
      </c>
      <c r="BX36" s="277">
        <f t="shared" si="45"/>
        <v>0</v>
      </c>
      <c r="BY36" s="277">
        <f t="shared" si="46"/>
        <v>0</v>
      </c>
      <c r="BZ36" s="277">
        <f t="shared" si="47"/>
        <v>0</v>
      </c>
      <c r="CA36" s="277">
        <f t="shared" si="48"/>
        <v>0</v>
      </c>
      <c r="CB36" s="277">
        <f t="shared" si="49"/>
        <v>0</v>
      </c>
      <c r="CC36" s="277">
        <f t="shared" si="50"/>
        <v>0</v>
      </c>
      <c r="CD36" s="277">
        <f t="shared" si="83"/>
        <v>0</v>
      </c>
      <c r="CE36" s="277">
        <f t="shared" si="84"/>
        <v>0</v>
      </c>
      <c r="CF36" s="277">
        <f t="shared" si="85"/>
        <v>0</v>
      </c>
      <c r="CG36" s="277">
        <f t="shared" si="86"/>
        <v>0</v>
      </c>
      <c r="CH36" s="277">
        <f t="shared" si="51"/>
        <v>0</v>
      </c>
      <c r="CI36" s="277">
        <f t="shared" si="52"/>
        <v>0</v>
      </c>
      <c r="CJ36" s="277">
        <f t="shared" si="87"/>
        <v>0</v>
      </c>
      <c r="CK36" s="277">
        <f t="shared" si="88"/>
        <v>0</v>
      </c>
      <c r="CL36" s="277">
        <f t="shared" si="53"/>
        <v>0</v>
      </c>
      <c r="CM36" s="277">
        <f t="shared" si="54"/>
        <v>0</v>
      </c>
      <c r="CN36" s="277">
        <f t="shared" si="55"/>
        <v>0</v>
      </c>
      <c r="CO36" s="277">
        <f t="shared" si="56"/>
        <v>0</v>
      </c>
      <c r="CP36" s="277">
        <f t="shared" si="89"/>
        <v>0</v>
      </c>
      <c r="CQ36" s="277">
        <f t="shared" si="90"/>
        <v>0</v>
      </c>
      <c r="CR36" s="277">
        <f t="shared" si="91"/>
        <v>0</v>
      </c>
      <c r="CS36" s="277">
        <f t="shared" si="92"/>
        <v>0</v>
      </c>
      <c r="CT36" s="277">
        <f t="shared" si="57"/>
        <v>0</v>
      </c>
      <c r="CU36" s="277">
        <f t="shared" si="58"/>
        <v>0</v>
      </c>
      <c r="CV36" s="277">
        <f t="shared" si="59"/>
        <v>0</v>
      </c>
      <c r="CW36" s="277">
        <f t="shared" si="60"/>
        <v>0</v>
      </c>
      <c r="CX36" s="277">
        <f t="shared" si="93"/>
        <v>0</v>
      </c>
      <c r="CY36" s="277">
        <f t="shared" si="94"/>
        <v>0</v>
      </c>
      <c r="CZ36" s="277">
        <f t="shared" si="95"/>
        <v>0</v>
      </c>
      <c r="DA36" s="277">
        <f t="shared" si="96"/>
        <v>0</v>
      </c>
    </row>
    <row r="37" spans="1:105" s="274" customFormat="1" ht="16.5" customHeight="1">
      <c r="A37" s="63" t="str">
        <f t="array" ref="A37">IF(C37&lt;&gt;0,SUM(($C$11:C37&lt;&gt;0)*1),"")</f>
        <v/>
      </c>
      <c r="B37" s="275"/>
      <c r="C37" s="275"/>
      <c r="D37" s="275"/>
      <c r="E37" s="365"/>
      <c r="F37" s="326"/>
      <c r="G37" s="328"/>
      <c r="H37" s="328"/>
      <c r="I37" s="63" t="str">
        <f t="shared" si="0"/>
        <v/>
      </c>
      <c r="J37" s="277">
        <f t="shared" si="61"/>
        <v>0</v>
      </c>
      <c r="K37" s="277">
        <f t="shared" si="62"/>
        <v>0</v>
      </c>
      <c r="L37" s="277">
        <f t="shared" si="1"/>
        <v>0</v>
      </c>
      <c r="M37" s="277">
        <f t="shared" si="2"/>
        <v>0</v>
      </c>
      <c r="N37" s="277">
        <f t="shared" si="3"/>
        <v>0</v>
      </c>
      <c r="O37" s="277">
        <f t="shared" si="4"/>
        <v>0</v>
      </c>
      <c r="P37" s="277">
        <f t="shared" si="5"/>
        <v>0</v>
      </c>
      <c r="Q37" s="277">
        <f t="shared" si="6"/>
        <v>0</v>
      </c>
      <c r="R37" s="277">
        <f t="shared" si="7"/>
        <v>0</v>
      </c>
      <c r="S37" s="277">
        <f t="shared" si="8"/>
        <v>0</v>
      </c>
      <c r="T37" s="277">
        <f t="shared" si="9"/>
        <v>0</v>
      </c>
      <c r="U37" s="277">
        <f t="shared" si="10"/>
        <v>0</v>
      </c>
      <c r="V37" s="277">
        <f t="shared" si="11"/>
        <v>0</v>
      </c>
      <c r="W37" s="277">
        <f t="shared" si="12"/>
        <v>0</v>
      </c>
      <c r="X37" s="277">
        <f t="shared" si="13"/>
        <v>0</v>
      </c>
      <c r="Y37" s="277">
        <f t="shared" si="14"/>
        <v>0</v>
      </c>
      <c r="Z37" s="277">
        <f t="shared" si="15"/>
        <v>0</v>
      </c>
      <c r="AA37" s="277">
        <f t="shared" si="16"/>
        <v>0</v>
      </c>
      <c r="AB37" s="277">
        <f t="shared" si="63"/>
        <v>0</v>
      </c>
      <c r="AC37" s="277">
        <f t="shared" si="64"/>
        <v>0</v>
      </c>
      <c r="AD37" s="277">
        <f t="shared" si="17"/>
        <v>0</v>
      </c>
      <c r="AE37" s="277">
        <f t="shared" si="18"/>
        <v>0</v>
      </c>
      <c r="AF37" s="277">
        <f t="shared" si="19"/>
        <v>0</v>
      </c>
      <c r="AG37" s="277">
        <f t="shared" si="20"/>
        <v>0</v>
      </c>
      <c r="AH37" s="277">
        <f t="shared" si="65"/>
        <v>0</v>
      </c>
      <c r="AI37" s="277">
        <f t="shared" si="66"/>
        <v>0</v>
      </c>
      <c r="AJ37" s="277">
        <f t="shared" si="67"/>
        <v>0</v>
      </c>
      <c r="AK37" s="277">
        <f t="shared" si="68"/>
        <v>0</v>
      </c>
      <c r="AL37" s="277">
        <f t="shared" si="69"/>
        <v>0</v>
      </c>
      <c r="AM37" s="277">
        <f t="shared" si="70"/>
        <v>0</v>
      </c>
      <c r="AN37" s="277">
        <f t="shared" si="71"/>
        <v>0</v>
      </c>
      <c r="AO37" s="277">
        <f t="shared" si="72"/>
        <v>0</v>
      </c>
      <c r="AP37" s="277">
        <f t="shared" si="21"/>
        <v>0</v>
      </c>
      <c r="AQ37" s="277">
        <f t="shared" si="22"/>
        <v>0</v>
      </c>
      <c r="AR37" s="277">
        <f t="shared" si="23"/>
        <v>0</v>
      </c>
      <c r="AS37" s="277">
        <f t="shared" si="24"/>
        <v>0</v>
      </c>
      <c r="AT37" s="277">
        <f t="shared" si="73"/>
        <v>0</v>
      </c>
      <c r="AU37" s="277">
        <f t="shared" si="74"/>
        <v>0</v>
      </c>
      <c r="AV37" s="277">
        <f t="shared" si="25"/>
        <v>0</v>
      </c>
      <c r="AW37" s="277">
        <f t="shared" si="26"/>
        <v>0</v>
      </c>
      <c r="AX37" s="277">
        <f t="shared" si="27"/>
        <v>0</v>
      </c>
      <c r="AY37" s="277">
        <f t="shared" si="28"/>
        <v>0</v>
      </c>
      <c r="AZ37" s="277">
        <f t="shared" si="29"/>
        <v>0</v>
      </c>
      <c r="BA37" s="277">
        <f t="shared" si="30"/>
        <v>0</v>
      </c>
      <c r="BB37" s="277">
        <f t="shared" si="31"/>
        <v>0</v>
      </c>
      <c r="BC37" s="277">
        <f t="shared" si="32"/>
        <v>0</v>
      </c>
      <c r="BD37" s="277">
        <f t="shared" si="33"/>
        <v>0</v>
      </c>
      <c r="BE37" s="277">
        <f t="shared" si="34"/>
        <v>0</v>
      </c>
      <c r="BF37" s="277">
        <f t="shared" si="35"/>
        <v>0</v>
      </c>
      <c r="BG37" s="277">
        <f t="shared" si="36"/>
        <v>0</v>
      </c>
      <c r="BH37" s="277">
        <f t="shared" si="75"/>
        <v>0</v>
      </c>
      <c r="BI37" s="277">
        <f t="shared" si="76"/>
        <v>0</v>
      </c>
      <c r="BJ37" s="277">
        <f t="shared" si="37"/>
        <v>0</v>
      </c>
      <c r="BK37" s="277">
        <f t="shared" si="38"/>
        <v>0</v>
      </c>
      <c r="BL37" s="277">
        <f t="shared" si="39"/>
        <v>0</v>
      </c>
      <c r="BM37" s="277">
        <f t="shared" si="40"/>
        <v>0</v>
      </c>
      <c r="BN37" s="277">
        <f t="shared" si="41"/>
        <v>0</v>
      </c>
      <c r="BO37" s="277">
        <f t="shared" si="42"/>
        <v>0</v>
      </c>
      <c r="BP37" s="277">
        <f t="shared" si="77"/>
        <v>0</v>
      </c>
      <c r="BQ37" s="277">
        <f t="shared" si="78"/>
        <v>0</v>
      </c>
      <c r="BR37" s="277">
        <f t="shared" si="43"/>
        <v>0</v>
      </c>
      <c r="BS37" s="277">
        <f t="shared" si="44"/>
        <v>0</v>
      </c>
      <c r="BT37" s="277">
        <f t="shared" si="79"/>
        <v>0</v>
      </c>
      <c r="BU37" s="277">
        <f t="shared" si="80"/>
        <v>0</v>
      </c>
      <c r="BV37" s="277">
        <f t="shared" si="81"/>
        <v>0</v>
      </c>
      <c r="BW37" s="277">
        <f t="shared" si="82"/>
        <v>0</v>
      </c>
      <c r="BX37" s="277">
        <f t="shared" si="45"/>
        <v>0</v>
      </c>
      <c r="BY37" s="277">
        <f t="shared" si="46"/>
        <v>0</v>
      </c>
      <c r="BZ37" s="277">
        <f t="shared" si="47"/>
        <v>0</v>
      </c>
      <c r="CA37" s="277">
        <f t="shared" si="48"/>
        <v>0</v>
      </c>
      <c r="CB37" s="277">
        <f t="shared" si="49"/>
        <v>0</v>
      </c>
      <c r="CC37" s="277">
        <f t="shared" si="50"/>
        <v>0</v>
      </c>
      <c r="CD37" s="277">
        <f t="shared" si="83"/>
        <v>0</v>
      </c>
      <c r="CE37" s="277">
        <f t="shared" si="84"/>
        <v>0</v>
      </c>
      <c r="CF37" s="277">
        <f t="shared" si="85"/>
        <v>0</v>
      </c>
      <c r="CG37" s="277">
        <f t="shared" si="86"/>
        <v>0</v>
      </c>
      <c r="CH37" s="277">
        <f t="shared" si="51"/>
        <v>0</v>
      </c>
      <c r="CI37" s="277">
        <f t="shared" si="52"/>
        <v>0</v>
      </c>
      <c r="CJ37" s="277">
        <f t="shared" si="87"/>
        <v>0</v>
      </c>
      <c r="CK37" s="277">
        <f t="shared" si="88"/>
        <v>0</v>
      </c>
      <c r="CL37" s="277">
        <f t="shared" si="53"/>
        <v>0</v>
      </c>
      <c r="CM37" s="277">
        <f t="shared" si="54"/>
        <v>0</v>
      </c>
      <c r="CN37" s="277">
        <f t="shared" si="55"/>
        <v>0</v>
      </c>
      <c r="CO37" s="277">
        <f t="shared" si="56"/>
        <v>0</v>
      </c>
      <c r="CP37" s="277">
        <f t="shared" si="89"/>
        <v>0</v>
      </c>
      <c r="CQ37" s="277">
        <f t="shared" si="90"/>
        <v>0</v>
      </c>
      <c r="CR37" s="277">
        <f t="shared" si="91"/>
        <v>0</v>
      </c>
      <c r="CS37" s="277">
        <f t="shared" si="92"/>
        <v>0</v>
      </c>
      <c r="CT37" s="277">
        <f t="shared" si="57"/>
        <v>0</v>
      </c>
      <c r="CU37" s="277">
        <f t="shared" si="58"/>
        <v>0</v>
      </c>
      <c r="CV37" s="277">
        <f t="shared" si="59"/>
        <v>0</v>
      </c>
      <c r="CW37" s="277">
        <f t="shared" si="60"/>
        <v>0</v>
      </c>
      <c r="CX37" s="277">
        <f t="shared" si="93"/>
        <v>0</v>
      </c>
      <c r="CY37" s="277">
        <f t="shared" si="94"/>
        <v>0</v>
      </c>
      <c r="CZ37" s="277">
        <f t="shared" si="95"/>
        <v>0</v>
      </c>
      <c r="DA37" s="277">
        <f t="shared" si="96"/>
        <v>0</v>
      </c>
    </row>
    <row r="38" spans="1:105" s="274" customFormat="1" ht="16.5" customHeight="1">
      <c r="A38" s="63" t="str">
        <f t="array" ref="A38">IF(C38&lt;&gt;0,SUM(($C$11:C38&lt;&gt;0)*1),"")</f>
        <v/>
      </c>
      <c r="B38" s="275"/>
      <c r="C38" s="275"/>
      <c r="D38" s="275"/>
      <c r="E38" s="365"/>
      <c r="F38" s="326"/>
      <c r="G38" s="328"/>
      <c r="H38" s="328"/>
      <c r="I38" s="63" t="str">
        <f t="shared" si="0"/>
        <v/>
      </c>
      <c r="J38" s="277">
        <f t="shared" si="61"/>
        <v>0</v>
      </c>
      <c r="K38" s="277">
        <f t="shared" si="62"/>
        <v>0</v>
      </c>
      <c r="L38" s="277">
        <f t="shared" si="1"/>
        <v>0</v>
      </c>
      <c r="M38" s="277">
        <f t="shared" si="2"/>
        <v>0</v>
      </c>
      <c r="N38" s="277">
        <f t="shared" si="3"/>
        <v>0</v>
      </c>
      <c r="O38" s="277">
        <f t="shared" si="4"/>
        <v>0</v>
      </c>
      <c r="P38" s="277">
        <f t="shared" si="5"/>
        <v>0</v>
      </c>
      <c r="Q38" s="277">
        <f t="shared" si="6"/>
        <v>0</v>
      </c>
      <c r="R38" s="277">
        <f t="shared" si="7"/>
        <v>0</v>
      </c>
      <c r="S38" s="277">
        <f t="shared" si="8"/>
        <v>0</v>
      </c>
      <c r="T38" s="277">
        <f t="shared" si="9"/>
        <v>0</v>
      </c>
      <c r="U38" s="277">
        <f t="shared" si="10"/>
        <v>0</v>
      </c>
      <c r="V38" s="277">
        <f t="shared" si="11"/>
        <v>0</v>
      </c>
      <c r="W38" s="277">
        <f t="shared" si="12"/>
        <v>0</v>
      </c>
      <c r="X38" s="277">
        <f t="shared" si="13"/>
        <v>0</v>
      </c>
      <c r="Y38" s="277">
        <f t="shared" si="14"/>
        <v>0</v>
      </c>
      <c r="Z38" s="277">
        <f t="shared" si="15"/>
        <v>0</v>
      </c>
      <c r="AA38" s="277">
        <f t="shared" si="16"/>
        <v>0</v>
      </c>
      <c r="AB38" s="277">
        <f t="shared" si="63"/>
        <v>0</v>
      </c>
      <c r="AC38" s="277">
        <f t="shared" si="64"/>
        <v>0</v>
      </c>
      <c r="AD38" s="277">
        <f t="shared" si="17"/>
        <v>0</v>
      </c>
      <c r="AE38" s="277">
        <f t="shared" si="18"/>
        <v>0</v>
      </c>
      <c r="AF38" s="277">
        <f t="shared" si="19"/>
        <v>0</v>
      </c>
      <c r="AG38" s="277">
        <f t="shared" si="20"/>
        <v>0</v>
      </c>
      <c r="AH38" s="277">
        <f t="shared" si="65"/>
        <v>0</v>
      </c>
      <c r="AI38" s="277">
        <f t="shared" si="66"/>
        <v>0</v>
      </c>
      <c r="AJ38" s="277">
        <f t="shared" si="67"/>
        <v>0</v>
      </c>
      <c r="AK38" s="277">
        <f t="shared" si="68"/>
        <v>0</v>
      </c>
      <c r="AL38" s="277">
        <f t="shared" si="69"/>
        <v>0</v>
      </c>
      <c r="AM38" s="277">
        <f t="shared" si="70"/>
        <v>0</v>
      </c>
      <c r="AN38" s="277">
        <f t="shared" si="71"/>
        <v>0</v>
      </c>
      <c r="AO38" s="277">
        <f t="shared" si="72"/>
        <v>0</v>
      </c>
      <c r="AP38" s="277">
        <f t="shared" si="21"/>
        <v>0</v>
      </c>
      <c r="AQ38" s="277">
        <f t="shared" si="22"/>
        <v>0</v>
      </c>
      <c r="AR38" s="277">
        <f t="shared" si="23"/>
        <v>0</v>
      </c>
      <c r="AS38" s="277">
        <f t="shared" si="24"/>
        <v>0</v>
      </c>
      <c r="AT38" s="277">
        <f t="shared" si="73"/>
        <v>0</v>
      </c>
      <c r="AU38" s="277">
        <f t="shared" si="74"/>
        <v>0</v>
      </c>
      <c r="AV38" s="277">
        <f t="shared" si="25"/>
        <v>0</v>
      </c>
      <c r="AW38" s="277">
        <f t="shared" si="26"/>
        <v>0</v>
      </c>
      <c r="AX38" s="277">
        <f t="shared" si="27"/>
        <v>0</v>
      </c>
      <c r="AY38" s="277">
        <f t="shared" si="28"/>
        <v>0</v>
      </c>
      <c r="AZ38" s="277">
        <f t="shared" si="29"/>
        <v>0</v>
      </c>
      <c r="BA38" s="277">
        <f t="shared" si="30"/>
        <v>0</v>
      </c>
      <c r="BB38" s="277">
        <f t="shared" si="31"/>
        <v>0</v>
      </c>
      <c r="BC38" s="277">
        <f t="shared" si="32"/>
        <v>0</v>
      </c>
      <c r="BD38" s="277">
        <f t="shared" si="33"/>
        <v>0</v>
      </c>
      <c r="BE38" s="277">
        <f t="shared" si="34"/>
        <v>0</v>
      </c>
      <c r="BF38" s="277">
        <f t="shared" si="35"/>
        <v>0</v>
      </c>
      <c r="BG38" s="277">
        <f t="shared" si="36"/>
        <v>0</v>
      </c>
      <c r="BH38" s="277">
        <f t="shared" si="75"/>
        <v>0</v>
      </c>
      <c r="BI38" s="277">
        <f t="shared" si="76"/>
        <v>0</v>
      </c>
      <c r="BJ38" s="277">
        <f t="shared" si="37"/>
        <v>0</v>
      </c>
      <c r="BK38" s="277">
        <f t="shared" si="38"/>
        <v>0</v>
      </c>
      <c r="BL38" s="277">
        <f t="shared" si="39"/>
        <v>0</v>
      </c>
      <c r="BM38" s="277">
        <f t="shared" si="40"/>
        <v>0</v>
      </c>
      <c r="BN38" s="277">
        <f t="shared" si="41"/>
        <v>0</v>
      </c>
      <c r="BO38" s="277">
        <f t="shared" si="42"/>
        <v>0</v>
      </c>
      <c r="BP38" s="277">
        <f t="shared" si="77"/>
        <v>0</v>
      </c>
      <c r="BQ38" s="277">
        <f t="shared" si="78"/>
        <v>0</v>
      </c>
      <c r="BR38" s="277">
        <f t="shared" si="43"/>
        <v>0</v>
      </c>
      <c r="BS38" s="277">
        <f t="shared" si="44"/>
        <v>0</v>
      </c>
      <c r="BT38" s="277">
        <f t="shared" si="79"/>
        <v>0</v>
      </c>
      <c r="BU38" s="277">
        <f t="shared" si="80"/>
        <v>0</v>
      </c>
      <c r="BV38" s="277">
        <f t="shared" si="81"/>
        <v>0</v>
      </c>
      <c r="BW38" s="277">
        <f t="shared" si="82"/>
        <v>0</v>
      </c>
      <c r="BX38" s="277">
        <f t="shared" si="45"/>
        <v>0</v>
      </c>
      <c r="BY38" s="277">
        <f t="shared" si="46"/>
        <v>0</v>
      </c>
      <c r="BZ38" s="277">
        <f t="shared" si="47"/>
        <v>0</v>
      </c>
      <c r="CA38" s="277">
        <f t="shared" si="48"/>
        <v>0</v>
      </c>
      <c r="CB38" s="277">
        <f t="shared" si="49"/>
        <v>0</v>
      </c>
      <c r="CC38" s="277">
        <f t="shared" si="50"/>
        <v>0</v>
      </c>
      <c r="CD38" s="277">
        <f t="shared" si="83"/>
        <v>0</v>
      </c>
      <c r="CE38" s="277">
        <f t="shared" si="84"/>
        <v>0</v>
      </c>
      <c r="CF38" s="277">
        <f t="shared" si="85"/>
        <v>0</v>
      </c>
      <c r="CG38" s="277">
        <f t="shared" si="86"/>
        <v>0</v>
      </c>
      <c r="CH38" s="277">
        <f t="shared" si="51"/>
        <v>0</v>
      </c>
      <c r="CI38" s="277">
        <f t="shared" si="52"/>
        <v>0</v>
      </c>
      <c r="CJ38" s="277">
        <f t="shared" si="87"/>
        <v>0</v>
      </c>
      <c r="CK38" s="277">
        <f t="shared" si="88"/>
        <v>0</v>
      </c>
      <c r="CL38" s="277">
        <f t="shared" si="53"/>
        <v>0</v>
      </c>
      <c r="CM38" s="277">
        <f t="shared" si="54"/>
        <v>0</v>
      </c>
      <c r="CN38" s="277">
        <f t="shared" si="55"/>
        <v>0</v>
      </c>
      <c r="CO38" s="277">
        <f t="shared" si="56"/>
        <v>0</v>
      </c>
      <c r="CP38" s="277">
        <f t="shared" si="89"/>
        <v>0</v>
      </c>
      <c r="CQ38" s="277">
        <f t="shared" si="90"/>
        <v>0</v>
      </c>
      <c r="CR38" s="277">
        <f t="shared" si="91"/>
        <v>0</v>
      </c>
      <c r="CS38" s="277">
        <f t="shared" si="92"/>
        <v>0</v>
      </c>
      <c r="CT38" s="277">
        <f t="shared" si="57"/>
        <v>0</v>
      </c>
      <c r="CU38" s="277">
        <f t="shared" si="58"/>
        <v>0</v>
      </c>
      <c r="CV38" s="277">
        <f t="shared" si="59"/>
        <v>0</v>
      </c>
      <c r="CW38" s="277">
        <f t="shared" si="60"/>
        <v>0</v>
      </c>
      <c r="CX38" s="277">
        <f t="shared" si="93"/>
        <v>0</v>
      </c>
      <c r="CY38" s="277">
        <f t="shared" si="94"/>
        <v>0</v>
      </c>
      <c r="CZ38" s="277">
        <f t="shared" si="95"/>
        <v>0</v>
      </c>
      <c r="DA38" s="277">
        <f t="shared" si="96"/>
        <v>0</v>
      </c>
    </row>
    <row r="39" spans="1:105" s="274" customFormat="1" ht="16.5" customHeight="1">
      <c r="A39" s="63" t="str">
        <f t="array" ref="A39">IF(C39&lt;&gt;0,SUM(($C$11:C39&lt;&gt;0)*1),"")</f>
        <v/>
      </c>
      <c r="B39" s="275"/>
      <c r="C39" s="275"/>
      <c r="D39" s="275"/>
      <c r="E39" s="365"/>
      <c r="F39" s="326"/>
      <c r="G39" s="328"/>
      <c r="H39" s="328"/>
      <c r="I39" s="63" t="str">
        <f t="shared" si="0"/>
        <v/>
      </c>
      <c r="J39" s="277">
        <f t="shared" si="61"/>
        <v>0</v>
      </c>
      <c r="K39" s="277">
        <f t="shared" si="62"/>
        <v>0</v>
      </c>
      <c r="L39" s="277">
        <f t="shared" si="1"/>
        <v>0</v>
      </c>
      <c r="M39" s="277">
        <f t="shared" si="2"/>
        <v>0</v>
      </c>
      <c r="N39" s="277">
        <f t="shared" si="3"/>
        <v>0</v>
      </c>
      <c r="O39" s="277">
        <f t="shared" si="4"/>
        <v>0</v>
      </c>
      <c r="P39" s="277">
        <f t="shared" si="5"/>
        <v>0</v>
      </c>
      <c r="Q39" s="277">
        <f t="shared" si="6"/>
        <v>0</v>
      </c>
      <c r="R39" s="277">
        <f t="shared" si="7"/>
        <v>0</v>
      </c>
      <c r="S39" s="277">
        <f t="shared" si="8"/>
        <v>0</v>
      </c>
      <c r="T39" s="277">
        <f t="shared" si="9"/>
        <v>0</v>
      </c>
      <c r="U39" s="277">
        <f t="shared" si="10"/>
        <v>0</v>
      </c>
      <c r="V39" s="277">
        <f t="shared" si="11"/>
        <v>0</v>
      </c>
      <c r="W39" s="277">
        <f t="shared" si="12"/>
        <v>0</v>
      </c>
      <c r="X39" s="277">
        <f t="shared" si="13"/>
        <v>0</v>
      </c>
      <c r="Y39" s="277">
        <f t="shared" si="14"/>
        <v>0</v>
      </c>
      <c r="Z39" s="277">
        <f t="shared" si="15"/>
        <v>0</v>
      </c>
      <c r="AA39" s="277">
        <f t="shared" si="16"/>
        <v>0</v>
      </c>
      <c r="AB39" s="277">
        <f t="shared" si="63"/>
        <v>0</v>
      </c>
      <c r="AC39" s="277">
        <f t="shared" si="64"/>
        <v>0</v>
      </c>
      <c r="AD39" s="277">
        <f t="shared" si="17"/>
        <v>0</v>
      </c>
      <c r="AE39" s="277">
        <f t="shared" si="18"/>
        <v>0</v>
      </c>
      <c r="AF39" s="277">
        <f t="shared" si="19"/>
        <v>0</v>
      </c>
      <c r="AG39" s="277">
        <f t="shared" si="20"/>
        <v>0</v>
      </c>
      <c r="AH39" s="277">
        <f t="shared" si="65"/>
        <v>0</v>
      </c>
      <c r="AI39" s="277">
        <f t="shared" si="66"/>
        <v>0</v>
      </c>
      <c r="AJ39" s="277">
        <f t="shared" si="67"/>
        <v>0</v>
      </c>
      <c r="AK39" s="277">
        <f t="shared" si="68"/>
        <v>0</v>
      </c>
      <c r="AL39" s="277">
        <f t="shared" si="69"/>
        <v>0</v>
      </c>
      <c r="AM39" s="277">
        <f t="shared" si="70"/>
        <v>0</v>
      </c>
      <c r="AN39" s="277">
        <f t="shared" si="71"/>
        <v>0</v>
      </c>
      <c r="AO39" s="277">
        <f t="shared" si="72"/>
        <v>0</v>
      </c>
      <c r="AP39" s="277">
        <f t="shared" si="21"/>
        <v>0</v>
      </c>
      <c r="AQ39" s="277">
        <f t="shared" si="22"/>
        <v>0</v>
      </c>
      <c r="AR39" s="277">
        <f t="shared" si="23"/>
        <v>0</v>
      </c>
      <c r="AS39" s="277">
        <f t="shared" si="24"/>
        <v>0</v>
      </c>
      <c r="AT39" s="277">
        <f t="shared" si="73"/>
        <v>0</v>
      </c>
      <c r="AU39" s="277">
        <f t="shared" si="74"/>
        <v>0</v>
      </c>
      <c r="AV39" s="277">
        <f t="shared" si="25"/>
        <v>0</v>
      </c>
      <c r="AW39" s="277">
        <f t="shared" si="26"/>
        <v>0</v>
      </c>
      <c r="AX39" s="277">
        <f t="shared" si="27"/>
        <v>0</v>
      </c>
      <c r="AY39" s="277">
        <f t="shared" si="28"/>
        <v>0</v>
      </c>
      <c r="AZ39" s="277">
        <f t="shared" si="29"/>
        <v>0</v>
      </c>
      <c r="BA39" s="277">
        <f t="shared" si="30"/>
        <v>0</v>
      </c>
      <c r="BB39" s="277">
        <f t="shared" si="31"/>
        <v>0</v>
      </c>
      <c r="BC39" s="277">
        <f t="shared" si="32"/>
        <v>0</v>
      </c>
      <c r="BD39" s="277">
        <f t="shared" si="33"/>
        <v>0</v>
      </c>
      <c r="BE39" s="277">
        <f t="shared" si="34"/>
        <v>0</v>
      </c>
      <c r="BF39" s="277">
        <f t="shared" si="35"/>
        <v>0</v>
      </c>
      <c r="BG39" s="277">
        <f t="shared" si="36"/>
        <v>0</v>
      </c>
      <c r="BH39" s="277">
        <f t="shared" si="75"/>
        <v>0</v>
      </c>
      <c r="BI39" s="277">
        <f t="shared" si="76"/>
        <v>0</v>
      </c>
      <c r="BJ39" s="277">
        <f t="shared" si="37"/>
        <v>0</v>
      </c>
      <c r="BK39" s="277">
        <f t="shared" si="38"/>
        <v>0</v>
      </c>
      <c r="BL39" s="277">
        <f t="shared" si="39"/>
        <v>0</v>
      </c>
      <c r="BM39" s="277">
        <f t="shared" si="40"/>
        <v>0</v>
      </c>
      <c r="BN39" s="277">
        <f t="shared" si="41"/>
        <v>0</v>
      </c>
      <c r="BO39" s="277">
        <f t="shared" si="42"/>
        <v>0</v>
      </c>
      <c r="BP39" s="277">
        <f t="shared" si="77"/>
        <v>0</v>
      </c>
      <c r="BQ39" s="277">
        <f t="shared" si="78"/>
        <v>0</v>
      </c>
      <c r="BR39" s="277">
        <f t="shared" si="43"/>
        <v>0</v>
      </c>
      <c r="BS39" s="277">
        <f t="shared" si="44"/>
        <v>0</v>
      </c>
      <c r="BT39" s="277">
        <f t="shared" si="79"/>
        <v>0</v>
      </c>
      <c r="BU39" s="277">
        <f t="shared" si="80"/>
        <v>0</v>
      </c>
      <c r="BV39" s="277">
        <f t="shared" si="81"/>
        <v>0</v>
      </c>
      <c r="BW39" s="277">
        <f t="shared" si="82"/>
        <v>0</v>
      </c>
      <c r="BX39" s="277">
        <f t="shared" si="45"/>
        <v>0</v>
      </c>
      <c r="BY39" s="277">
        <f t="shared" si="46"/>
        <v>0</v>
      </c>
      <c r="BZ39" s="277">
        <f t="shared" si="47"/>
        <v>0</v>
      </c>
      <c r="CA39" s="277">
        <f t="shared" si="48"/>
        <v>0</v>
      </c>
      <c r="CB39" s="277">
        <f t="shared" si="49"/>
        <v>0</v>
      </c>
      <c r="CC39" s="277">
        <f t="shared" si="50"/>
        <v>0</v>
      </c>
      <c r="CD39" s="277">
        <f t="shared" si="83"/>
        <v>0</v>
      </c>
      <c r="CE39" s="277">
        <f t="shared" si="84"/>
        <v>0</v>
      </c>
      <c r="CF39" s="277">
        <f t="shared" si="85"/>
        <v>0</v>
      </c>
      <c r="CG39" s="277">
        <f t="shared" si="86"/>
        <v>0</v>
      </c>
      <c r="CH39" s="277">
        <f t="shared" si="51"/>
        <v>0</v>
      </c>
      <c r="CI39" s="277">
        <f t="shared" si="52"/>
        <v>0</v>
      </c>
      <c r="CJ39" s="277">
        <f t="shared" si="87"/>
        <v>0</v>
      </c>
      <c r="CK39" s="277">
        <f t="shared" si="88"/>
        <v>0</v>
      </c>
      <c r="CL39" s="277">
        <f t="shared" si="53"/>
        <v>0</v>
      </c>
      <c r="CM39" s="277">
        <f t="shared" si="54"/>
        <v>0</v>
      </c>
      <c r="CN39" s="277">
        <f t="shared" si="55"/>
        <v>0</v>
      </c>
      <c r="CO39" s="277">
        <f t="shared" si="56"/>
        <v>0</v>
      </c>
      <c r="CP39" s="277">
        <f t="shared" si="89"/>
        <v>0</v>
      </c>
      <c r="CQ39" s="277">
        <f t="shared" si="90"/>
        <v>0</v>
      </c>
      <c r="CR39" s="277">
        <f t="shared" si="91"/>
        <v>0</v>
      </c>
      <c r="CS39" s="277">
        <f t="shared" si="92"/>
        <v>0</v>
      </c>
      <c r="CT39" s="277">
        <f t="shared" si="57"/>
        <v>0</v>
      </c>
      <c r="CU39" s="277">
        <f t="shared" si="58"/>
        <v>0</v>
      </c>
      <c r="CV39" s="277">
        <f t="shared" si="59"/>
        <v>0</v>
      </c>
      <c r="CW39" s="277">
        <f t="shared" si="60"/>
        <v>0</v>
      </c>
      <c r="CX39" s="277">
        <f t="shared" si="93"/>
        <v>0</v>
      </c>
      <c r="CY39" s="277">
        <f t="shared" si="94"/>
        <v>0</v>
      </c>
      <c r="CZ39" s="277">
        <f t="shared" si="95"/>
        <v>0</v>
      </c>
      <c r="DA39" s="277">
        <f t="shared" si="96"/>
        <v>0</v>
      </c>
    </row>
    <row r="40" spans="1:105" s="274" customFormat="1" ht="16.5" customHeight="1">
      <c r="A40" s="63">
        <f t="array" aca="1" ref="A40" ca="1">IF(C40&lt;&gt;0,SUM(($C$11:C40&lt;&gt;0)*1),"")</f>
        <v>2</v>
      </c>
      <c r="B40" s="275">
        <v>42735</v>
      </c>
      <c r="C40" s="278" t="s">
        <v>115</v>
      </c>
      <c r="D40" s="278">
        <f t="shared" ref="D40:D50" si="97">B40</f>
        <v>42735</v>
      </c>
      <c r="E40" s="968" t="s">
        <v>927</v>
      </c>
      <c r="F40" s="969">
        <f ca="1">AY52</f>
        <v>0</v>
      </c>
      <c r="G40" s="970" t="s">
        <v>932</v>
      </c>
      <c r="H40" s="970" t="s">
        <v>9</v>
      </c>
      <c r="I40" s="63">
        <f t="shared" ca="1" si="0"/>
        <v>2</v>
      </c>
      <c r="J40" s="277">
        <f t="shared" si="61"/>
        <v>0</v>
      </c>
      <c r="K40" s="277">
        <f t="shared" si="62"/>
        <v>0</v>
      </c>
      <c r="L40" s="277">
        <f t="shared" si="1"/>
        <v>0</v>
      </c>
      <c r="M40" s="277">
        <f t="shared" si="2"/>
        <v>0</v>
      </c>
      <c r="N40" s="277">
        <f t="shared" si="3"/>
        <v>0</v>
      </c>
      <c r="O40" s="277">
        <f t="shared" si="4"/>
        <v>0</v>
      </c>
      <c r="P40" s="277">
        <f t="shared" si="5"/>
        <v>0</v>
      </c>
      <c r="Q40" s="277">
        <f t="shared" si="6"/>
        <v>0</v>
      </c>
      <c r="R40" s="277">
        <f t="shared" si="7"/>
        <v>0</v>
      </c>
      <c r="S40" s="277">
        <f t="shared" ca="1" si="8"/>
        <v>0</v>
      </c>
      <c r="T40" s="277">
        <f t="shared" si="9"/>
        <v>0</v>
      </c>
      <c r="U40" s="277">
        <f t="shared" si="10"/>
        <v>0</v>
      </c>
      <c r="V40" s="277">
        <f t="shared" si="11"/>
        <v>0</v>
      </c>
      <c r="W40" s="277">
        <f t="shared" si="12"/>
        <v>0</v>
      </c>
      <c r="X40" s="277">
        <f t="shared" si="13"/>
        <v>0</v>
      </c>
      <c r="Y40" s="277">
        <f t="shared" si="14"/>
        <v>0</v>
      </c>
      <c r="Z40" s="277">
        <f t="shared" si="15"/>
        <v>0</v>
      </c>
      <c r="AA40" s="277">
        <f t="shared" si="16"/>
        <v>0</v>
      </c>
      <c r="AB40" s="277">
        <f t="shared" si="63"/>
        <v>0</v>
      </c>
      <c r="AC40" s="277">
        <f t="shared" si="64"/>
        <v>0</v>
      </c>
      <c r="AD40" s="277">
        <f t="shared" si="17"/>
        <v>0</v>
      </c>
      <c r="AE40" s="277">
        <f t="shared" si="18"/>
        <v>0</v>
      </c>
      <c r="AF40" s="277">
        <f t="shared" si="19"/>
        <v>0</v>
      </c>
      <c r="AG40" s="277">
        <f t="shared" si="20"/>
        <v>0</v>
      </c>
      <c r="AH40" s="277">
        <f t="shared" si="65"/>
        <v>0</v>
      </c>
      <c r="AI40" s="277">
        <f t="shared" si="66"/>
        <v>0</v>
      </c>
      <c r="AJ40" s="277">
        <f t="shared" si="67"/>
        <v>0</v>
      </c>
      <c r="AK40" s="277">
        <f t="shared" si="68"/>
        <v>0</v>
      </c>
      <c r="AL40" s="277">
        <f t="shared" si="69"/>
        <v>0</v>
      </c>
      <c r="AM40" s="277">
        <f t="shared" si="70"/>
        <v>0</v>
      </c>
      <c r="AN40" s="277">
        <f t="shared" si="71"/>
        <v>0</v>
      </c>
      <c r="AO40" s="277">
        <f t="shared" si="72"/>
        <v>0</v>
      </c>
      <c r="AP40" s="277">
        <f t="shared" si="21"/>
        <v>0</v>
      </c>
      <c r="AQ40" s="277">
        <f t="shared" si="22"/>
        <v>0</v>
      </c>
      <c r="AR40" s="277">
        <f t="shared" si="23"/>
        <v>0</v>
      </c>
      <c r="AS40" s="277">
        <f t="shared" si="24"/>
        <v>0</v>
      </c>
      <c r="AT40" s="277">
        <f t="shared" si="73"/>
        <v>0</v>
      </c>
      <c r="AU40" s="277">
        <f t="shared" si="74"/>
        <v>0</v>
      </c>
      <c r="AV40" s="277">
        <f t="shared" si="25"/>
        <v>0</v>
      </c>
      <c r="AW40" s="277">
        <f t="shared" si="26"/>
        <v>0</v>
      </c>
      <c r="AX40" s="277">
        <f t="shared" ca="1" si="27"/>
        <v>0</v>
      </c>
      <c r="AY40" s="277">
        <f t="shared" si="28"/>
        <v>0</v>
      </c>
      <c r="AZ40" s="277">
        <f t="shared" si="29"/>
        <v>0</v>
      </c>
      <c r="BA40" s="277">
        <f t="shared" si="30"/>
        <v>0</v>
      </c>
      <c r="BB40" s="277">
        <f t="shared" si="31"/>
        <v>0</v>
      </c>
      <c r="BC40" s="277">
        <f t="shared" si="32"/>
        <v>0</v>
      </c>
      <c r="BD40" s="277">
        <f t="shared" si="33"/>
        <v>0</v>
      </c>
      <c r="BE40" s="277">
        <f t="shared" si="34"/>
        <v>0</v>
      </c>
      <c r="BF40" s="277">
        <f t="shared" si="35"/>
        <v>0</v>
      </c>
      <c r="BG40" s="277">
        <f t="shared" si="36"/>
        <v>0</v>
      </c>
      <c r="BH40" s="277">
        <f t="shared" si="75"/>
        <v>0</v>
      </c>
      <c r="BI40" s="277">
        <f t="shared" si="76"/>
        <v>0</v>
      </c>
      <c r="BJ40" s="277">
        <f t="shared" si="37"/>
        <v>0</v>
      </c>
      <c r="BK40" s="277">
        <f t="shared" si="38"/>
        <v>0</v>
      </c>
      <c r="BL40" s="277">
        <f t="shared" si="39"/>
        <v>0</v>
      </c>
      <c r="BM40" s="277">
        <f t="shared" si="40"/>
        <v>0</v>
      </c>
      <c r="BN40" s="277">
        <f t="shared" si="41"/>
        <v>0</v>
      </c>
      <c r="BO40" s="277">
        <f t="shared" si="42"/>
        <v>0</v>
      </c>
      <c r="BP40" s="277">
        <f t="shared" si="77"/>
        <v>0</v>
      </c>
      <c r="BQ40" s="277">
        <f t="shared" si="78"/>
        <v>0</v>
      </c>
      <c r="BR40" s="277">
        <f t="shared" si="43"/>
        <v>0</v>
      </c>
      <c r="BS40" s="277">
        <f t="shared" si="44"/>
        <v>0</v>
      </c>
      <c r="BT40" s="277">
        <f t="shared" si="79"/>
        <v>0</v>
      </c>
      <c r="BU40" s="277">
        <f t="shared" si="80"/>
        <v>0</v>
      </c>
      <c r="BV40" s="277">
        <f t="shared" si="81"/>
        <v>0</v>
      </c>
      <c r="BW40" s="277">
        <f t="shared" si="82"/>
        <v>0</v>
      </c>
      <c r="BX40" s="277">
        <f t="shared" si="45"/>
        <v>0</v>
      </c>
      <c r="BY40" s="277">
        <f t="shared" si="46"/>
        <v>0</v>
      </c>
      <c r="BZ40" s="277">
        <f t="shared" si="47"/>
        <v>0</v>
      </c>
      <c r="CA40" s="277">
        <f t="shared" si="48"/>
        <v>0</v>
      </c>
      <c r="CB40" s="277">
        <f t="shared" si="49"/>
        <v>0</v>
      </c>
      <c r="CC40" s="277">
        <f t="shared" si="50"/>
        <v>0</v>
      </c>
      <c r="CD40" s="277">
        <f t="shared" si="83"/>
        <v>0</v>
      </c>
      <c r="CE40" s="277">
        <f t="shared" si="84"/>
        <v>0</v>
      </c>
      <c r="CF40" s="277">
        <f t="shared" si="85"/>
        <v>0</v>
      </c>
      <c r="CG40" s="277">
        <f t="shared" si="86"/>
        <v>0</v>
      </c>
      <c r="CH40" s="277">
        <f t="shared" si="51"/>
        <v>0</v>
      </c>
      <c r="CI40" s="277">
        <f t="shared" si="52"/>
        <v>0</v>
      </c>
      <c r="CJ40" s="277">
        <f t="shared" si="87"/>
        <v>0</v>
      </c>
      <c r="CK40" s="277">
        <f t="shared" si="88"/>
        <v>0</v>
      </c>
      <c r="CL40" s="277">
        <f t="shared" si="53"/>
        <v>0</v>
      </c>
      <c r="CM40" s="277">
        <f t="shared" si="54"/>
        <v>0</v>
      </c>
      <c r="CN40" s="277">
        <f t="shared" si="55"/>
        <v>0</v>
      </c>
      <c r="CO40" s="277">
        <f t="shared" si="56"/>
        <v>0</v>
      </c>
      <c r="CP40" s="277">
        <f t="shared" si="89"/>
        <v>0</v>
      </c>
      <c r="CQ40" s="277">
        <f t="shared" si="90"/>
        <v>0</v>
      </c>
      <c r="CR40" s="277">
        <f t="shared" si="91"/>
        <v>0</v>
      </c>
      <c r="CS40" s="277">
        <f t="shared" si="92"/>
        <v>0</v>
      </c>
      <c r="CT40" s="277">
        <f t="shared" si="57"/>
        <v>0</v>
      </c>
      <c r="CU40" s="277">
        <f t="shared" si="58"/>
        <v>0</v>
      </c>
      <c r="CV40" s="277">
        <f t="shared" si="59"/>
        <v>0</v>
      </c>
      <c r="CW40" s="277">
        <f t="shared" si="60"/>
        <v>0</v>
      </c>
      <c r="CX40" s="277">
        <f t="shared" si="93"/>
        <v>0</v>
      </c>
      <c r="CY40" s="277">
        <f t="shared" si="94"/>
        <v>0</v>
      </c>
      <c r="CZ40" s="277">
        <f t="shared" si="95"/>
        <v>0</v>
      </c>
      <c r="DA40" s="277">
        <f t="shared" si="96"/>
        <v>0</v>
      </c>
    </row>
    <row r="41" spans="1:105" s="274" customFormat="1" ht="16.5" customHeight="1">
      <c r="A41" s="63">
        <f t="array" aca="1" ref="A41" ca="1">IF(C41&lt;&gt;0,SUM(($C$11:C41&lt;&gt;0)*1),"")</f>
        <v>3</v>
      </c>
      <c r="B41" s="275">
        <v>42735</v>
      </c>
      <c r="C41" s="278" t="s">
        <v>115</v>
      </c>
      <c r="D41" s="278">
        <f t="shared" si="97"/>
        <v>42735</v>
      </c>
      <c r="E41" s="968" t="s">
        <v>928</v>
      </c>
      <c r="F41" s="969">
        <f ca="1">CL52</f>
        <v>0</v>
      </c>
      <c r="G41" s="970" t="s">
        <v>109</v>
      </c>
      <c r="H41" s="970" t="s">
        <v>294</v>
      </c>
      <c r="I41" s="63">
        <f t="shared" ca="1" si="0"/>
        <v>3</v>
      </c>
      <c r="J41" s="277">
        <f t="shared" si="61"/>
        <v>0</v>
      </c>
      <c r="K41" s="277">
        <f t="shared" si="62"/>
        <v>0</v>
      </c>
      <c r="L41" s="277">
        <f t="shared" si="1"/>
        <v>0</v>
      </c>
      <c r="M41" s="277">
        <f t="shared" si="2"/>
        <v>0</v>
      </c>
      <c r="N41" s="277">
        <f t="shared" si="3"/>
        <v>0</v>
      </c>
      <c r="O41" s="277">
        <f t="shared" si="4"/>
        <v>0</v>
      </c>
      <c r="P41" s="277">
        <f t="shared" si="5"/>
        <v>0</v>
      </c>
      <c r="Q41" s="277">
        <f t="shared" si="6"/>
        <v>0</v>
      </c>
      <c r="R41" s="277">
        <f t="shared" si="7"/>
        <v>0</v>
      </c>
      <c r="S41" s="277">
        <f t="shared" si="8"/>
        <v>0</v>
      </c>
      <c r="T41" s="277">
        <f t="shared" si="9"/>
        <v>0</v>
      </c>
      <c r="U41" s="277">
        <f t="shared" si="10"/>
        <v>0</v>
      </c>
      <c r="V41" s="277">
        <f t="shared" si="11"/>
        <v>0</v>
      </c>
      <c r="W41" s="277">
        <f t="shared" si="12"/>
        <v>0</v>
      </c>
      <c r="X41" s="277">
        <f t="shared" si="13"/>
        <v>0</v>
      </c>
      <c r="Y41" s="277">
        <f t="shared" si="14"/>
        <v>0</v>
      </c>
      <c r="Z41" s="277">
        <f t="shared" si="15"/>
        <v>0</v>
      </c>
      <c r="AA41" s="277">
        <f t="shared" si="16"/>
        <v>0</v>
      </c>
      <c r="AB41" s="277">
        <f t="shared" si="63"/>
        <v>0</v>
      </c>
      <c r="AC41" s="277">
        <f t="shared" si="64"/>
        <v>0</v>
      </c>
      <c r="AD41" s="277">
        <f t="shared" si="17"/>
        <v>0</v>
      </c>
      <c r="AE41" s="277">
        <f t="shared" si="18"/>
        <v>0</v>
      </c>
      <c r="AF41" s="277">
        <f t="shared" si="19"/>
        <v>0</v>
      </c>
      <c r="AG41" s="277">
        <f t="shared" si="20"/>
        <v>0</v>
      </c>
      <c r="AH41" s="277">
        <f t="shared" si="65"/>
        <v>0</v>
      </c>
      <c r="AI41" s="277">
        <f t="shared" si="66"/>
        <v>0</v>
      </c>
      <c r="AJ41" s="277">
        <f t="shared" si="67"/>
        <v>0</v>
      </c>
      <c r="AK41" s="277">
        <f t="shared" si="68"/>
        <v>0</v>
      </c>
      <c r="AL41" s="277">
        <f t="shared" si="69"/>
        <v>0</v>
      </c>
      <c r="AM41" s="277">
        <f t="shared" si="70"/>
        <v>0</v>
      </c>
      <c r="AN41" s="277">
        <f t="shared" si="71"/>
        <v>0</v>
      </c>
      <c r="AO41" s="277">
        <f t="shared" si="72"/>
        <v>0</v>
      </c>
      <c r="AP41" s="277">
        <f t="shared" si="21"/>
        <v>0</v>
      </c>
      <c r="AQ41" s="277">
        <f t="shared" si="22"/>
        <v>0</v>
      </c>
      <c r="AR41" s="277">
        <f t="shared" si="23"/>
        <v>0</v>
      </c>
      <c r="AS41" s="277">
        <f t="shared" si="24"/>
        <v>0</v>
      </c>
      <c r="AT41" s="277">
        <f t="shared" si="73"/>
        <v>0</v>
      </c>
      <c r="AU41" s="277">
        <f t="shared" si="74"/>
        <v>0</v>
      </c>
      <c r="AV41" s="277">
        <f t="shared" si="25"/>
        <v>0</v>
      </c>
      <c r="AW41" s="277">
        <f t="shared" si="26"/>
        <v>0</v>
      </c>
      <c r="AX41" s="277">
        <f t="shared" si="27"/>
        <v>0</v>
      </c>
      <c r="AY41" s="277">
        <f t="shared" si="28"/>
        <v>0</v>
      </c>
      <c r="AZ41" s="277">
        <f t="shared" si="29"/>
        <v>0</v>
      </c>
      <c r="BA41" s="277">
        <f t="shared" si="30"/>
        <v>0</v>
      </c>
      <c r="BB41" s="277">
        <f t="shared" si="31"/>
        <v>0</v>
      </c>
      <c r="BC41" s="277">
        <f t="shared" si="32"/>
        <v>0</v>
      </c>
      <c r="BD41" s="277">
        <f t="shared" si="33"/>
        <v>0</v>
      </c>
      <c r="BE41" s="277">
        <f t="shared" si="34"/>
        <v>0</v>
      </c>
      <c r="BF41" s="277">
        <f t="shared" si="35"/>
        <v>0</v>
      </c>
      <c r="BG41" s="277">
        <f t="shared" si="36"/>
        <v>0</v>
      </c>
      <c r="BH41" s="277">
        <f t="shared" si="75"/>
        <v>0</v>
      </c>
      <c r="BI41" s="277">
        <f t="shared" si="76"/>
        <v>0</v>
      </c>
      <c r="BJ41" s="277">
        <f t="shared" si="37"/>
        <v>0</v>
      </c>
      <c r="BK41" s="277">
        <f t="shared" si="38"/>
        <v>0</v>
      </c>
      <c r="BL41" s="277">
        <f t="shared" si="39"/>
        <v>0</v>
      </c>
      <c r="BM41" s="277">
        <f t="shared" si="40"/>
        <v>0</v>
      </c>
      <c r="BN41" s="277">
        <f t="shared" si="41"/>
        <v>0</v>
      </c>
      <c r="BO41" s="277">
        <f t="shared" si="42"/>
        <v>0</v>
      </c>
      <c r="BP41" s="277">
        <f t="shared" si="77"/>
        <v>0</v>
      </c>
      <c r="BQ41" s="277">
        <f t="shared" si="78"/>
        <v>0</v>
      </c>
      <c r="BR41" s="277">
        <f t="shared" si="43"/>
        <v>0</v>
      </c>
      <c r="BS41" s="277">
        <f t="shared" si="44"/>
        <v>0</v>
      </c>
      <c r="BT41" s="277">
        <f t="shared" si="79"/>
        <v>0</v>
      </c>
      <c r="BU41" s="277">
        <f t="shared" si="80"/>
        <v>0</v>
      </c>
      <c r="BV41" s="277">
        <f t="shared" si="81"/>
        <v>0</v>
      </c>
      <c r="BW41" s="277">
        <f t="shared" si="82"/>
        <v>0</v>
      </c>
      <c r="BX41" s="277">
        <f t="shared" si="45"/>
        <v>0</v>
      </c>
      <c r="BY41" s="277">
        <f t="shared" si="46"/>
        <v>0</v>
      </c>
      <c r="BZ41" s="277">
        <f t="shared" si="47"/>
        <v>0</v>
      </c>
      <c r="CA41" s="277">
        <f t="shared" si="48"/>
        <v>0</v>
      </c>
      <c r="CB41" s="277">
        <f t="shared" si="49"/>
        <v>0</v>
      </c>
      <c r="CC41" s="277">
        <f t="shared" si="50"/>
        <v>0</v>
      </c>
      <c r="CD41" s="277">
        <f t="shared" si="83"/>
        <v>0</v>
      </c>
      <c r="CE41" s="277">
        <f t="shared" si="84"/>
        <v>0</v>
      </c>
      <c r="CF41" s="277">
        <f t="shared" si="85"/>
        <v>0</v>
      </c>
      <c r="CG41" s="277">
        <f t="shared" si="86"/>
        <v>0</v>
      </c>
      <c r="CH41" s="277">
        <f t="shared" si="51"/>
        <v>0</v>
      </c>
      <c r="CI41" s="277">
        <f t="shared" si="52"/>
        <v>0</v>
      </c>
      <c r="CJ41" s="277">
        <f t="shared" si="87"/>
        <v>0</v>
      </c>
      <c r="CK41" s="277">
        <f t="shared" si="88"/>
        <v>0</v>
      </c>
      <c r="CL41" s="277">
        <f t="shared" si="53"/>
        <v>0</v>
      </c>
      <c r="CM41" s="277">
        <f t="shared" ca="1" si="54"/>
        <v>0</v>
      </c>
      <c r="CN41" s="277">
        <f t="shared" si="55"/>
        <v>0</v>
      </c>
      <c r="CO41" s="277">
        <f t="shared" si="56"/>
        <v>0</v>
      </c>
      <c r="CP41" s="277">
        <f t="shared" si="89"/>
        <v>0</v>
      </c>
      <c r="CQ41" s="277">
        <f t="shared" si="90"/>
        <v>0</v>
      </c>
      <c r="CR41" s="277">
        <f t="shared" si="91"/>
        <v>0</v>
      </c>
      <c r="CS41" s="277">
        <f t="shared" si="92"/>
        <v>0</v>
      </c>
      <c r="CT41" s="277">
        <f t="shared" si="57"/>
        <v>0</v>
      </c>
      <c r="CU41" s="277">
        <f t="shared" si="58"/>
        <v>0</v>
      </c>
      <c r="CV41" s="277">
        <f t="shared" si="59"/>
        <v>0</v>
      </c>
      <c r="CW41" s="277">
        <f t="shared" si="60"/>
        <v>0</v>
      </c>
      <c r="CX41" s="277">
        <f t="shared" si="93"/>
        <v>0</v>
      </c>
      <c r="CY41" s="277">
        <f t="shared" si="94"/>
        <v>0</v>
      </c>
      <c r="CZ41" s="277">
        <f t="shared" ca="1" si="95"/>
        <v>0</v>
      </c>
      <c r="DA41" s="277">
        <f t="shared" si="96"/>
        <v>0</v>
      </c>
    </row>
    <row r="42" spans="1:105" s="274" customFormat="1" ht="16.5" customHeight="1">
      <c r="A42" s="63">
        <f t="array" aca="1" ref="A42" ca="1">IF(C42&lt;&gt;0,SUM(($C$11:C42&lt;&gt;0)*1),"")</f>
        <v>4</v>
      </c>
      <c r="B42" s="275">
        <v>42735</v>
      </c>
      <c r="C42" s="278" t="s">
        <v>115</v>
      </c>
      <c r="D42" s="278">
        <f t="shared" si="97"/>
        <v>42735</v>
      </c>
      <c r="E42" s="968" t="s">
        <v>116</v>
      </c>
      <c r="F42" s="969">
        <f ca="1">CN52</f>
        <v>0</v>
      </c>
      <c r="G42" s="970" t="s">
        <v>109</v>
      </c>
      <c r="H42" s="970" t="s">
        <v>99</v>
      </c>
      <c r="I42" s="63">
        <f t="shared" ca="1" si="0"/>
        <v>4</v>
      </c>
      <c r="J42" s="277">
        <f t="shared" si="61"/>
        <v>0</v>
      </c>
      <c r="K42" s="277">
        <f t="shared" si="62"/>
        <v>0</v>
      </c>
      <c r="L42" s="277">
        <f t="shared" si="1"/>
        <v>0</v>
      </c>
      <c r="M42" s="277">
        <f t="shared" si="2"/>
        <v>0</v>
      </c>
      <c r="N42" s="277">
        <f t="shared" si="3"/>
        <v>0</v>
      </c>
      <c r="O42" s="277">
        <f t="shared" si="4"/>
        <v>0</v>
      </c>
      <c r="P42" s="277">
        <f t="shared" si="5"/>
        <v>0</v>
      </c>
      <c r="Q42" s="277">
        <f t="shared" si="6"/>
        <v>0</v>
      </c>
      <c r="R42" s="277">
        <f t="shared" si="7"/>
        <v>0</v>
      </c>
      <c r="S42" s="277">
        <f t="shared" si="8"/>
        <v>0</v>
      </c>
      <c r="T42" s="277">
        <f t="shared" si="9"/>
        <v>0</v>
      </c>
      <c r="U42" s="277">
        <f t="shared" si="10"/>
        <v>0</v>
      </c>
      <c r="V42" s="277">
        <f t="shared" si="11"/>
        <v>0</v>
      </c>
      <c r="W42" s="277">
        <f t="shared" si="12"/>
        <v>0</v>
      </c>
      <c r="X42" s="277">
        <f t="shared" si="13"/>
        <v>0</v>
      </c>
      <c r="Y42" s="277">
        <f t="shared" si="14"/>
        <v>0</v>
      </c>
      <c r="Z42" s="277">
        <f t="shared" si="15"/>
        <v>0</v>
      </c>
      <c r="AA42" s="277">
        <f t="shared" si="16"/>
        <v>0</v>
      </c>
      <c r="AB42" s="277">
        <f t="shared" si="63"/>
        <v>0</v>
      </c>
      <c r="AC42" s="277">
        <f t="shared" si="64"/>
        <v>0</v>
      </c>
      <c r="AD42" s="277">
        <f t="shared" si="17"/>
        <v>0</v>
      </c>
      <c r="AE42" s="277">
        <f t="shared" si="18"/>
        <v>0</v>
      </c>
      <c r="AF42" s="277">
        <f t="shared" si="19"/>
        <v>0</v>
      </c>
      <c r="AG42" s="277">
        <f t="shared" si="20"/>
        <v>0</v>
      </c>
      <c r="AH42" s="277">
        <f t="shared" si="65"/>
        <v>0</v>
      </c>
      <c r="AI42" s="277">
        <f t="shared" si="66"/>
        <v>0</v>
      </c>
      <c r="AJ42" s="277">
        <f t="shared" si="67"/>
        <v>0</v>
      </c>
      <c r="AK42" s="277">
        <f t="shared" si="68"/>
        <v>0</v>
      </c>
      <c r="AL42" s="277">
        <f t="shared" si="69"/>
        <v>0</v>
      </c>
      <c r="AM42" s="277">
        <f t="shared" si="70"/>
        <v>0</v>
      </c>
      <c r="AN42" s="277">
        <f t="shared" si="71"/>
        <v>0</v>
      </c>
      <c r="AO42" s="277">
        <f t="shared" si="72"/>
        <v>0</v>
      </c>
      <c r="AP42" s="277">
        <f t="shared" si="21"/>
        <v>0</v>
      </c>
      <c r="AQ42" s="277">
        <f t="shared" si="22"/>
        <v>0</v>
      </c>
      <c r="AR42" s="277">
        <f t="shared" si="23"/>
        <v>0</v>
      </c>
      <c r="AS42" s="277">
        <f t="shared" si="24"/>
        <v>0</v>
      </c>
      <c r="AT42" s="277">
        <f t="shared" si="73"/>
        <v>0</v>
      </c>
      <c r="AU42" s="277">
        <f t="shared" si="74"/>
        <v>0</v>
      </c>
      <c r="AV42" s="277">
        <f t="shared" si="25"/>
        <v>0</v>
      </c>
      <c r="AW42" s="277">
        <f t="shared" si="26"/>
        <v>0</v>
      </c>
      <c r="AX42" s="277">
        <f t="shared" si="27"/>
        <v>0</v>
      </c>
      <c r="AY42" s="277">
        <f t="shared" si="28"/>
        <v>0</v>
      </c>
      <c r="AZ42" s="277">
        <f t="shared" si="29"/>
        <v>0</v>
      </c>
      <c r="BA42" s="277">
        <f t="shared" si="30"/>
        <v>0</v>
      </c>
      <c r="BB42" s="277">
        <f t="shared" si="31"/>
        <v>0</v>
      </c>
      <c r="BC42" s="277">
        <f t="shared" si="32"/>
        <v>0</v>
      </c>
      <c r="BD42" s="277">
        <f t="shared" si="33"/>
        <v>0</v>
      </c>
      <c r="BE42" s="277">
        <f t="shared" si="34"/>
        <v>0</v>
      </c>
      <c r="BF42" s="277">
        <f t="shared" si="35"/>
        <v>0</v>
      </c>
      <c r="BG42" s="277">
        <f t="shared" si="36"/>
        <v>0</v>
      </c>
      <c r="BH42" s="277">
        <f t="shared" si="75"/>
        <v>0</v>
      </c>
      <c r="BI42" s="277">
        <f t="shared" si="76"/>
        <v>0</v>
      </c>
      <c r="BJ42" s="277">
        <f t="shared" si="37"/>
        <v>0</v>
      </c>
      <c r="BK42" s="277">
        <f t="shared" si="38"/>
        <v>0</v>
      </c>
      <c r="BL42" s="277">
        <f t="shared" si="39"/>
        <v>0</v>
      </c>
      <c r="BM42" s="277">
        <f t="shared" si="40"/>
        <v>0</v>
      </c>
      <c r="BN42" s="277">
        <f t="shared" si="41"/>
        <v>0</v>
      </c>
      <c r="BO42" s="277">
        <f t="shared" si="42"/>
        <v>0</v>
      </c>
      <c r="BP42" s="277">
        <f t="shared" si="77"/>
        <v>0</v>
      </c>
      <c r="BQ42" s="277">
        <f t="shared" si="78"/>
        <v>0</v>
      </c>
      <c r="BR42" s="277">
        <f t="shared" si="43"/>
        <v>0</v>
      </c>
      <c r="BS42" s="277">
        <f t="shared" si="44"/>
        <v>0</v>
      </c>
      <c r="BT42" s="277">
        <f t="shared" si="79"/>
        <v>0</v>
      </c>
      <c r="BU42" s="277">
        <f t="shared" si="80"/>
        <v>0</v>
      </c>
      <c r="BV42" s="277">
        <f t="shared" si="81"/>
        <v>0</v>
      </c>
      <c r="BW42" s="277">
        <f t="shared" si="82"/>
        <v>0</v>
      </c>
      <c r="BX42" s="277">
        <f t="shared" si="45"/>
        <v>0</v>
      </c>
      <c r="BY42" s="277">
        <f t="shared" si="46"/>
        <v>0</v>
      </c>
      <c r="BZ42" s="277">
        <f t="shared" si="47"/>
        <v>0</v>
      </c>
      <c r="CA42" s="277">
        <f t="shared" si="48"/>
        <v>0</v>
      </c>
      <c r="CB42" s="277">
        <f t="shared" si="49"/>
        <v>0</v>
      </c>
      <c r="CC42" s="277">
        <f t="shared" si="50"/>
        <v>0</v>
      </c>
      <c r="CD42" s="277">
        <f t="shared" si="83"/>
        <v>0</v>
      </c>
      <c r="CE42" s="277">
        <f t="shared" si="84"/>
        <v>0</v>
      </c>
      <c r="CF42" s="277">
        <f t="shared" si="85"/>
        <v>0</v>
      </c>
      <c r="CG42" s="277">
        <f t="shared" si="86"/>
        <v>0</v>
      </c>
      <c r="CH42" s="277">
        <f t="shared" si="51"/>
        <v>0</v>
      </c>
      <c r="CI42" s="277">
        <f t="shared" si="52"/>
        <v>0</v>
      </c>
      <c r="CJ42" s="277">
        <f t="shared" si="87"/>
        <v>0</v>
      </c>
      <c r="CK42" s="277">
        <f t="shared" si="88"/>
        <v>0</v>
      </c>
      <c r="CL42" s="277">
        <f t="shared" si="53"/>
        <v>0</v>
      </c>
      <c r="CM42" s="277">
        <f t="shared" si="54"/>
        <v>0</v>
      </c>
      <c r="CN42" s="277">
        <f t="shared" si="55"/>
        <v>0</v>
      </c>
      <c r="CO42" s="277">
        <f t="shared" ca="1" si="56"/>
        <v>0</v>
      </c>
      <c r="CP42" s="277">
        <f t="shared" si="89"/>
        <v>0</v>
      </c>
      <c r="CQ42" s="277">
        <f t="shared" si="90"/>
        <v>0</v>
      </c>
      <c r="CR42" s="277">
        <f t="shared" si="91"/>
        <v>0</v>
      </c>
      <c r="CS42" s="277">
        <f t="shared" si="92"/>
        <v>0</v>
      </c>
      <c r="CT42" s="277">
        <f t="shared" si="57"/>
        <v>0</v>
      </c>
      <c r="CU42" s="277">
        <f t="shared" si="58"/>
        <v>0</v>
      </c>
      <c r="CV42" s="277">
        <f t="shared" si="59"/>
        <v>0</v>
      </c>
      <c r="CW42" s="277">
        <f t="shared" si="60"/>
        <v>0</v>
      </c>
      <c r="CX42" s="277">
        <f t="shared" si="93"/>
        <v>0</v>
      </c>
      <c r="CY42" s="277">
        <f t="shared" si="94"/>
        <v>0</v>
      </c>
      <c r="CZ42" s="277">
        <f t="shared" ca="1" si="95"/>
        <v>0</v>
      </c>
      <c r="DA42" s="277">
        <f t="shared" si="96"/>
        <v>0</v>
      </c>
    </row>
    <row r="43" spans="1:105" s="274" customFormat="1" ht="16.5" customHeight="1">
      <c r="A43" s="63">
        <f t="array" aca="1" ref="A43" ca="1">IF(C43&lt;&gt;0,SUM(($C$11:C43&lt;&gt;0)*1),"")</f>
        <v>5</v>
      </c>
      <c r="B43" s="275">
        <v>42735</v>
      </c>
      <c r="C43" s="278" t="s">
        <v>115</v>
      </c>
      <c r="D43" s="278">
        <f t="shared" si="97"/>
        <v>42735</v>
      </c>
      <c r="E43" s="968" t="s">
        <v>929</v>
      </c>
      <c r="F43" s="969">
        <f ca="1">CP52</f>
        <v>0</v>
      </c>
      <c r="G43" s="970" t="s">
        <v>109</v>
      </c>
      <c r="H43" s="970" t="s">
        <v>591</v>
      </c>
      <c r="I43" s="63">
        <f t="shared" ca="1" si="0"/>
        <v>5</v>
      </c>
      <c r="J43" s="277">
        <f t="shared" si="61"/>
        <v>0</v>
      </c>
      <c r="K43" s="277">
        <f t="shared" si="62"/>
        <v>0</v>
      </c>
      <c r="L43" s="277">
        <f t="shared" si="1"/>
        <v>0</v>
      </c>
      <c r="M43" s="277">
        <f t="shared" si="2"/>
        <v>0</v>
      </c>
      <c r="N43" s="277">
        <f t="shared" si="3"/>
        <v>0</v>
      </c>
      <c r="O43" s="277">
        <f t="shared" si="4"/>
        <v>0</v>
      </c>
      <c r="P43" s="277">
        <f t="shared" si="5"/>
        <v>0</v>
      </c>
      <c r="Q43" s="277">
        <f t="shared" si="6"/>
        <v>0</v>
      </c>
      <c r="R43" s="277">
        <f t="shared" si="7"/>
        <v>0</v>
      </c>
      <c r="S43" s="277">
        <f t="shared" si="8"/>
        <v>0</v>
      </c>
      <c r="T43" s="277">
        <f t="shared" si="9"/>
        <v>0</v>
      </c>
      <c r="U43" s="277">
        <f t="shared" si="10"/>
        <v>0</v>
      </c>
      <c r="V43" s="277">
        <f t="shared" si="11"/>
        <v>0</v>
      </c>
      <c r="W43" s="277">
        <f t="shared" si="12"/>
        <v>0</v>
      </c>
      <c r="X43" s="277">
        <f t="shared" si="13"/>
        <v>0</v>
      </c>
      <c r="Y43" s="277">
        <f t="shared" si="14"/>
        <v>0</v>
      </c>
      <c r="Z43" s="277">
        <f t="shared" si="15"/>
        <v>0</v>
      </c>
      <c r="AA43" s="277">
        <f t="shared" si="16"/>
        <v>0</v>
      </c>
      <c r="AB43" s="277">
        <f t="shared" si="63"/>
        <v>0</v>
      </c>
      <c r="AC43" s="277">
        <f t="shared" si="64"/>
        <v>0</v>
      </c>
      <c r="AD43" s="277">
        <f t="shared" si="17"/>
        <v>0</v>
      </c>
      <c r="AE43" s="277">
        <f t="shared" si="18"/>
        <v>0</v>
      </c>
      <c r="AF43" s="277">
        <f t="shared" si="19"/>
        <v>0</v>
      </c>
      <c r="AG43" s="277">
        <f t="shared" si="20"/>
        <v>0</v>
      </c>
      <c r="AH43" s="277">
        <f t="shared" si="65"/>
        <v>0</v>
      </c>
      <c r="AI43" s="277">
        <f t="shared" si="66"/>
        <v>0</v>
      </c>
      <c r="AJ43" s="277">
        <f t="shared" si="67"/>
        <v>0</v>
      </c>
      <c r="AK43" s="277">
        <f t="shared" si="68"/>
        <v>0</v>
      </c>
      <c r="AL43" s="277">
        <f t="shared" si="69"/>
        <v>0</v>
      </c>
      <c r="AM43" s="277">
        <f t="shared" si="70"/>
        <v>0</v>
      </c>
      <c r="AN43" s="277">
        <f t="shared" si="71"/>
        <v>0</v>
      </c>
      <c r="AO43" s="277">
        <f t="shared" si="72"/>
        <v>0</v>
      </c>
      <c r="AP43" s="277">
        <f t="shared" si="21"/>
        <v>0</v>
      </c>
      <c r="AQ43" s="277">
        <f t="shared" si="22"/>
        <v>0</v>
      </c>
      <c r="AR43" s="277">
        <f t="shared" si="23"/>
        <v>0</v>
      </c>
      <c r="AS43" s="277">
        <f t="shared" si="24"/>
        <v>0</v>
      </c>
      <c r="AT43" s="277">
        <f t="shared" si="73"/>
        <v>0</v>
      </c>
      <c r="AU43" s="277">
        <f t="shared" si="74"/>
        <v>0</v>
      </c>
      <c r="AV43" s="277">
        <f t="shared" si="25"/>
        <v>0</v>
      </c>
      <c r="AW43" s="277">
        <f t="shared" si="26"/>
        <v>0</v>
      </c>
      <c r="AX43" s="277">
        <f t="shared" si="27"/>
        <v>0</v>
      </c>
      <c r="AY43" s="277">
        <f t="shared" si="28"/>
        <v>0</v>
      </c>
      <c r="AZ43" s="277">
        <f t="shared" si="29"/>
        <v>0</v>
      </c>
      <c r="BA43" s="277">
        <f t="shared" si="30"/>
        <v>0</v>
      </c>
      <c r="BB43" s="277">
        <f t="shared" si="31"/>
        <v>0</v>
      </c>
      <c r="BC43" s="277">
        <f t="shared" si="32"/>
        <v>0</v>
      </c>
      <c r="BD43" s="277">
        <f t="shared" si="33"/>
        <v>0</v>
      </c>
      <c r="BE43" s="277">
        <f t="shared" si="34"/>
        <v>0</v>
      </c>
      <c r="BF43" s="277">
        <f t="shared" si="35"/>
        <v>0</v>
      </c>
      <c r="BG43" s="277">
        <f t="shared" si="36"/>
        <v>0</v>
      </c>
      <c r="BH43" s="277">
        <f t="shared" si="75"/>
        <v>0</v>
      </c>
      <c r="BI43" s="277">
        <f t="shared" si="76"/>
        <v>0</v>
      </c>
      <c r="BJ43" s="277">
        <f t="shared" si="37"/>
        <v>0</v>
      </c>
      <c r="BK43" s="277">
        <f t="shared" si="38"/>
        <v>0</v>
      </c>
      <c r="BL43" s="277">
        <f t="shared" si="39"/>
        <v>0</v>
      </c>
      <c r="BM43" s="277">
        <f t="shared" si="40"/>
        <v>0</v>
      </c>
      <c r="BN43" s="277">
        <f t="shared" si="41"/>
        <v>0</v>
      </c>
      <c r="BO43" s="277">
        <f t="shared" si="42"/>
        <v>0</v>
      </c>
      <c r="BP43" s="277">
        <f t="shared" si="77"/>
        <v>0</v>
      </c>
      <c r="BQ43" s="277">
        <f t="shared" si="78"/>
        <v>0</v>
      </c>
      <c r="BR43" s="277">
        <f t="shared" si="43"/>
        <v>0</v>
      </c>
      <c r="BS43" s="277">
        <f t="shared" si="44"/>
        <v>0</v>
      </c>
      <c r="BT43" s="277">
        <f t="shared" si="79"/>
        <v>0</v>
      </c>
      <c r="BU43" s="277">
        <f t="shared" si="80"/>
        <v>0</v>
      </c>
      <c r="BV43" s="277">
        <f t="shared" si="81"/>
        <v>0</v>
      </c>
      <c r="BW43" s="277">
        <f t="shared" si="82"/>
        <v>0</v>
      </c>
      <c r="BX43" s="277">
        <f t="shared" si="45"/>
        <v>0</v>
      </c>
      <c r="BY43" s="277">
        <f t="shared" si="46"/>
        <v>0</v>
      </c>
      <c r="BZ43" s="277">
        <f t="shared" si="47"/>
        <v>0</v>
      </c>
      <c r="CA43" s="277">
        <f t="shared" si="48"/>
        <v>0</v>
      </c>
      <c r="CB43" s="277">
        <f t="shared" si="49"/>
        <v>0</v>
      </c>
      <c r="CC43" s="277">
        <f t="shared" si="50"/>
        <v>0</v>
      </c>
      <c r="CD43" s="277">
        <f t="shared" si="83"/>
        <v>0</v>
      </c>
      <c r="CE43" s="277">
        <f t="shared" si="84"/>
        <v>0</v>
      </c>
      <c r="CF43" s="277">
        <f t="shared" si="85"/>
        <v>0</v>
      </c>
      <c r="CG43" s="277">
        <f t="shared" si="86"/>
        <v>0</v>
      </c>
      <c r="CH43" s="277">
        <f t="shared" si="51"/>
        <v>0</v>
      </c>
      <c r="CI43" s="277">
        <f t="shared" si="52"/>
        <v>0</v>
      </c>
      <c r="CJ43" s="277">
        <f t="shared" si="87"/>
        <v>0</v>
      </c>
      <c r="CK43" s="277">
        <f t="shared" si="88"/>
        <v>0</v>
      </c>
      <c r="CL43" s="277">
        <f t="shared" si="53"/>
        <v>0</v>
      </c>
      <c r="CM43" s="277">
        <f t="shared" si="54"/>
        <v>0</v>
      </c>
      <c r="CN43" s="277">
        <f t="shared" si="55"/>
        <v>0</v>
      </c>
      <c r="CO43" s="277">
        <f t="shared" si="56"/>
        <v>0</v>
      </c>
      <c r="CP43" s="277">
        <f t="shared" si="89"/>
        <v>0</v>
      </c>
      <c r="CQ43" s="277">
        <f t="shared" ca="1" si="90"/>
        <v>0</v>
      </c>
      <c r="CR43" s="277">
        <f t="shared" si="91"/>
        <v>0</v>
      </c>
      <c r="CS43" s="277">
        <f t="shared" si="92"/>
        <v>0</v>
      </c>
      <c r="CT43" s="277">
        <f t="shared" si="57"/>
        <v>0</v>
      </c>
      <c r="CU43" s="277">
        <f t="shared" si="58"/>
        <v>0</v>
      </c>
      <c r="CV43" s="277">
        <f t="shared" si="59"/>
        <v>0</v>
      </c>
      <c r="CW43" s="277">
        <f t="shared" si="60"/>
        <v>0</v>
      </c>
      <c r="CX43" s="277">
        <f t="shared" si="93"/>
        <v>0</v>
      </c>
      <c r="CY43" s="277">
        <f t="shared" si="94"/>
        <v>0</v>
      </c>
      <c r="CZ43" s="277">
        <f t="shared" ca="1" si="95"/>
        <v>0</v>
      </c>
      <c r="DA43" s="277">
        <f t="shared" si="96"/>
        <v>0</v>
      </c>
    </row>
    <row r="44" spans="1:105" s="274" customFormat="1" ht="16.5" customHeight="1">
      <c r="A44" s="63">
        <f t="array" aca="1" ref="A44" ca="1">IF(C44&lt;&gt;0,SUM(($C$11:C44&lt;&gt;0)*1),"")</f>
        <v>6</v>
      </c>
      <c r="B44" s="275">
        <v>42735</v>
      </c>
      <c r="C44" s="278" t="s">
        <v>115</v>
      </c>
      <c r="D44" s="278">
        <f t="shared" si="97"/>
        <v>42735</v>
      </c>
      <c r="E44" s="968" t="s">
        <v>117</v>
      </c>
      <c r="F44" s="969">
        <f ca="1">CR52</f>
        <v>0</v>
      </c>
      <c r="G44" s="970" t="s">
        <v>109</v>
      </c>
      <c r="H44" s="970" t="s">
        <v>101</v>
      </c>
      <c r="I44" s="63">
        <f t="shared" ca="1" si="0"/>
        <v>6</v>
      </c>
      <c r="J44" s="277">
        <f t="shared" si="61"/>
        <v>0</v>
      </c>
      <c r="K44" s="277">
        <f t="shared" si="62"/>
        <v>0</v>
      </c>
      <c r="L44" s="277">
        <f t="shared" si="1"/>
        <v>0</v>
      </c>
      <c r="M44" s="277">
        <f t="shared" si="2"/>
        <v>0</v>
      </c>
      <c r="N44" s="277">
        <f t="shared" si="3"/>
        <v>0</v>
      </c>
      <c r="O44" s="277">
        <f t="shared" si="4"/>
        <v>0</v>
      </c>
      <c r="P44" s="277">
        <f t="shared" si="5"/>
        <v>0</v>
      </c>
      <c r="Q44" s="277">
        <f t="shared" si="6"/>
        <v>0</v>
      </c>
      <c r="R44" s="277">
        <f t="shared" si="7"/>
        <v>0</v>
      </c>
      <c r="S44" s="277">
        <f t="shared" si="8"/>
        <v>0</v>
      </c>
      <c r="T44" s="277">
        <f t="shared" si="9"/>
        <v>0</v>
      </c>
      <c r="U44" s="277">
        <f t="shared" si="10"/>
        <v>0</v>
      </c>
      <c r="V44" s="277">
        <f t="shared" si="11"/>
        <v>0</v>
      </c>
      <c r="W44" s="277">
        <f t="shared" si="12"/>
        <v>0</v>
      </c>
      <c r="X44" s="277">
        <f t="shared" si="13"/>
        <v>0</v>
      </c>
      <c r="Y44" s="277">
        <f t="shared" si="14"/>
        <v>0</v>
      </c>
      <c r="Z44" s="277">
        <f t="shared" si="15"/>
        <v>0</v>
      </c>
      <c r="AA44" s="277">
        <f t="shared" si="16"/>
        <v>0</v>
      </c>
      <c r="AB44" s="277">
        <f t="shared" si="63"/>
        <v>0</v>
      </c>
      <c r="AC44" s="277">
        <f t="shared" si="64"/>
        <v>0</v>
      </c>
      <c r="AD44" s="277">
        <f t="shared" si="17"/>
        <v>0</v>
      </c>
      <c r="AE44" s="277">
        <f t="shared" si="18"/>
        <v>0</v>
      </c>
      <c r="AF44" s="277">
        <f t="shared" si="19"/>
        <v>0</v>
      </c>
      <c r="AG44" s="277">
        <f t="shared" si="20"/>
        <v>0</v>
      </c>
      <c r="AH44" s="277">
        <f t="shared" si="65"/>
        <v>0</v>
      </c>
      <c r="AI44" s="277">
        <f t="shared" si="66"/>
        <v>0</v>
      </c>
      <c r="AJ44" s="277">
        <f t="shared" si="67"/>
        <v>0</v>
      </c>
      <c r="AK44" s="277">
        <f t="shared" si="68"/>
        <v>0</v>
      </c>
      <c r="AL44" s="277">
        <f t="shared" si="69"/>
        <v>0</v>
      </c>
      <c r="AM44" s="277">
        <f t="shared" si="70"/>
        <v>0</v>
      </c>
      <c r="AN44" s="277">
        <f t="shared" si="71"/>
        <v>0</v>
      </c>
      <c r="AO44" s="277">
        <f t="shared" si="72"/>
        <v>0</v>
      </c>
      <c r="AP44" s="277">
        <f t="shared" si="21"/>
        <v>0</v>
      </c>
      <c r="AQ44" s="277">
        <f t="shared" si="22"/>
        <v>0</v>
      </c>
      <c r="AR44" s="277">
        <f t="shared" si="23"/>
        <v>0</v>
      </c>
      <c r="AS44" s="277">
        <f t="shared" si="24"/>
        <v>0</v>
      </c>
      <c r="AT44" s="277">
        <f t="shared" si="73"/>
        <v>0</v>
      </c>
      <c r="AU44" s="277">
        <f t="shared" si="74"/>
        <v>0</v>
      </c>
      <c r="AV44" s="277">
        <f t="shared" si="25"/>
        <v>0</v>
      </c>
      <c r="AW44" s="277">
        <f t="shared" si="26"/>
        <v>0</v>
      </c>
      <c r="AX44" s="277">
        <f t="shared" si="27"/>
        <v>0</v>
      </c>
      <c r="AY44" s="277">
        <f t="shared" si="28"/>
        <v>0</v>
      </c>
      <c r="AZ44" s="277">
        <f t="shared" si="29"/>
        <v>0</v>
      </c>
      <c r="BA44" s="277">
        <f t="shared" si="30"/>
        <v>0</v>
      </c>
      <c r="BB44" s="277">
        <f t="shared" si="31"/>
        <v>0</v>
      </c>
      <c r="BC44" s="277">
        <f t="shared" si="32"/>
        <v>0</v>
      </c>
      <c r="BD44" s="277">
        <f t="shared" si="33"/>
        <v>0</v>
      </c>
      <c r="BE44" s="277">
        <f t="shared" si="34"/>
        <v>0</v>
      </c>
      <c r="BF44" s="277">
        <f t="shared" si="35"/>
        <v>0</v>
      </c>
      <c r="BG44" s="277">
        <f t="shared" si="36"/>
        <v>0</v>
      </c>
      <c r="BH44" s="277">
        <f t="shared" si="75"/>
        <v>0</v>
      </c>
      <c r="BI44" s="277">
        <f t="shared" si="76"/>
        <v>0</v>
      </c>
      <c r="BJ44" s="277">
        <f t="shared" si="37"/>
        <v>0</v>
      </c>
      <c r="BK44" s="277">
        <f t="shared" si="38"/>
        <v>0</v>
      </c>
      <c r="BL44" s="277">
        <f t="shared" si="39"/>
        <v>0</v>
      </c>
      <c r="BM44" s="277">
        <f t="shared" si="40"/>
        <v>0</v>
      </c>
      <c r="BN44" s="277">
        <f t="shared" si="41"/>
        <v>0</v>
      </c>
      <c r="BO44" s="277">
        <f t="shared" si="42"/>
        <v>0</v>
      </c>
      <c r="BP44" s="277">
        <f t="shared" si="77"/>
        <v>0</v>
      </c>
      <c r="BQ44" s="277">
        <f t="shared" si="78"/>
        <v>0</v>
      </c>
      <c r="BR44" s="277">
        <f t="shared" si="43"/>
        <v>0</v>
      </c>
      <c r="BS44" s="277">
        <f t="shared" si="44"/>
        <v>0</v>
      </c>
      <c r="BT44" s="277">
        <f t="shared" si="79"/>
        <v>0</v>
      </c>
      <c r="BU44" s="277">
        <f t="shared" si="80"/>
        <v>0</v>
      </c>
      <c r="BV44" s="277">
        <f t="shared" si="81"/>
        <v>0</v>
      </c>
      <c r="BW44" s="277">
        <f t="shared" si="82"/>
        <v>0</v>
      </c>
      <c r="BX44" s="277">
        <f t="shared" si="45"/>
        <v>0</v>
      </c>
      <c r="BY44" s="277">
        <f t="shared" si="46"/>
        <v>0</v>
      </c>
      <c r="BZ44" s="277">
        <f t="shared" si="47"/>
        <v>0</v>
      </c>
      <c r="CA44" s="277">
        <f t="shared" si="48"/>
        <v>0</v>
      </c>
      <c r="CB44" s="277">
        <f t="shared" si="49"/>
        <v>0</v>
      </c>
      <c r="CC44" s="277">
        <f t="shared" si="50"/>
        <v>0</v>
      </c>
      <c r="CD44" s="277">
        <f t="shared" si="83"/>
        <v>0</v>
      </c>
      <c r="CE44" s="277">
        <f t="shared" si="84"/>
        <v>0</v>
      </c>
      <c r="CF44" s="277">
        <f t="shared" si="85"/>
        <v>0</v>
      </c>
      <c r="CG44" s="277">
        <f t="shared" si="86"/>
        <v>0</v>
      </c>
      <c r="CH44" s="277">
        <f t="shared" si="51"/>
        <v>0</v>
      </c>
      <c r="CI44" s="277">
        <f t="shared" si="52"/>
        <v>0</v>
      </c>
      <c r="CJ44" s="277">
        <f t="shared" si="87"/>
        <v>0</v>
      </c>
      <c r="CK44" s="277">
        <f t="shared" si="88"/>
        <v>0</v>
      </c>
      <c r="CL44" s="277">
        <f t="shared" si="53"/>
        <v>0</v>
      </c>
      <c r="CM44" s="277">
        <f t="shared" si="54"/>
        <v>0</v>
      </c>
      <c r="CN44" s="277">
        <f t="shared" si="55"/>
        <v>0</v>
      </c>
      <c r="CO44" s="277">
        <f t="shared" si="56"/>
        <v>0</v>
      </c>
      <c r="CP44" s="277">
        <f t="shared" si="89"/>
        <v>0</v>
      </c>
      <c r="CQ44" s="277">
        <f t="shared" si="90"/>
        <v>0</v>
      </c>
      <c r="CR44" s="277">
        <f t="shared" si="91"/>
        <v>0</v>
      </c>
      <c r="CS44" s="277">
        <f t="shared" ca="1" si="92"/>
        <v>0</v>
      </c>
      <c r="CT44" s="277">
        <f t="shared" si="57"/>
        <v>0</v>
      </c>
      <c r="CU44" s="277">
        <f t="shared" si="58"/>
        <v>0</v>
      </c>
      <c r="CV44" s="277">
        <f t="shared" si="59"/>
        <v>0</v>
      </c>
      <c r="CW44" s="277">
        <f t="shared" si="60"/>
        <v>0</v>
      </c>
      <c r="CX44" s="277">
        <f t="shared" si="93"/>
        <v>0</v>
      </c>
      <c r="CY44" s="277">
        <f t="shared" si="94"/>
        <v>0</v>
      </c>
      <c r="CZ44" s="277">
        <f t="shared" ca="1" si="95"/>
        <v>0</v>
      </c>
      <c r="DA44" s="277">
        <f t="shared" si="96"/>
        <v>0</v>
      </c>
    </row>
    <row r="45" spans="1:105" s="274" customFormat="1" ht="16.5" customHeight="1">
      <c r="A45" s="63">
        <f t="array" aca="1" ref="A45" ca="1">IF(C45&lt;&gt;0,SUM(($C$11:C45&lt;&gt;0)*1),"")</f>
        <v>7</v>
      </c>
      <c r="B45" s="275">
        <v>42735</v>
      </c>
      <c r="C45" s="278" t="s">
        <v>115</v>
      </c>
      <c r="D45" s="278">
        <f t="shared" si="97"/>
        <v>42735</v>
      </c>
      <c r="E45" s="968" t="s">
        <v>214</v>
      </c>
      <c r="F45" s="969"/>
      <c r="G45" s="970" t="s">
        <v>109</v>
      </c>
      <c r="H45" s="970" t="s">
        <v>94</v>
      </c>
      <c r="I45" s="63">
        <f t="shared" ca="1" si="0"/>
        <v>7</v>
      </c>
      <c r="J45" s="277">
        <f t="shared" si="61"/>
        <v>0</v>
      </c>
      <c r="K45" s="277">
        <f t="shared" si="62"/>
        <v>0</v>
      </c>
      <c r="L45" s="277">
        <f t="shared" si="1"/>
        <v>0</v>
      </c>
      <c r="M45" s="277">
        <f t="shared" si="2"/>
        <v>0</v>
      </c>
      <c r="N45" s="277">
        <f t="shared" si="3"/>
        <v>0</v>
      </c>
      <c r="O45" s="277">
        <f t="shared" si="4"/>
        <v>0</v>
      </c>
      <c r="P45" s="277">
        <f t="shared" si="5"/>
        <v>0</v>
      </c>
      <c r="Q45" s="277">
        <f t="shared" si="6"/>
        <v>0</v>
      </c>
      <c r="R45" s="277">
        <f t="shared" si="7"/>
        <v>0</v>
      </c>
      <c r="S45" s="277">
        <f t="shared" si="8"/>
        <v>0</v>
      </c>
      <c r="T45" s="277">
        <f t="shared" si="9"/>
        <v>0</v>
      </c>
      <c r="U45" s="277">
        <f t="shared" si="10"/>
        <v>0</v>
      </c>
      <c r="V45" s="277">
        <f t="shared" si="11"/>
        <v>0</v>
      </c>
      <c r="W45" s="277">
        <f t="shared" si="12"/>
        <v>0</v>
      </c>
      <c r="X45" s="277">
        <f t="shared" si="13"/>
        <v>0</v>
      </c>
      <c r="Y45" s="277">
        <f t="shared" si="14"/>
        <v>0</v>
      </c>
      <c r="Z45" s="277">
        <f t="shared" si="15"/>
        <v>0</v>
      </c>
      <c r="AA45" s="277">
        <f t="shared" si="16"/>
        <v>0</v>
      </c>
      <c r="AB45" s="277">
        <f t="shared" si="63"/>
        <v>0</v>
      </c>
      <c r="AC45" s="277">
        <f t="shared" si="64"/>
        <v>0</v>
      </c>
      <c r="AD45" s="277">
        <f t="shared" si="17"/>
        <v>0</v>
      </c>
      <c r="AE45" s="277">
        <f t="shared" si="18"/>
        <v>0</v>
      </c>
      <c r="AF45" s="277">
        <f t="shared" si="19"/>
        <v>0</v>
      </c>
      <c r="AG45" s="277">
        <f t="shared" si="20"/>
        <v>0</v>
      </c>
      <c r="AH45" s="277">
        <f t="shared" si="65"/>
        <v>0</v>
      </c>
      <c r="AI45" s="277">
        <f t="shared" si="66"/>
        <v>0</v>
      </c>
      <c r="AJ45" s="277">
        <f t="shared" si="67"/>
        <v>0</v>
      </c>
      <c r="AK45" s="277">
        <f t="shared" si="68"/>
        <v>0</v>
      </c>
      <c r="AL45" s="277">
        <f t="shared" si="69"/>
        <v>0</v>
      </c>
      <c r="AM45" s="277">
        <f t="shared" si="70"/>
        <v>0</v>
      </c>
      <c r="AN45" s="277">
        <f t="shared" si="71"/>
        <v>0</v>
      </c>
      <c r="AO45" s="277">
        <f t="shared" si="72"/>
        <v>0</v>
      </c>
      <c r="AP45" s="277">
        <f t="shared" si="21"/>
        <v>0</v>
      </c>
      <c r="AQ45" s="277">
        <f t="shared" si="22"/>
        <v>0</v>
      </c>
      <c r="AR45" s="277">
        <f t="shared" si="23"/>
        <v>0</v>
      </c>
      <c r="AS45" s="277">
        <f t="shared" si="24"/>
        <v>0</v>
      </c>
      <c r="AT45" s="277">
        <f t="shared" si="73"/>
        <v>0</v>
      </c>
      <c r="AU45" s="277">
        <f t="shared" si="74"/>
        <v>0</v>
      </c>
      <c r="AV45" s="277">
        <f t="shared" si="25"/>
        <v>0</v>
      </c>
      <c r="AW45" s="277">
        <f t="shared" si="26"/>
        <v>0</v>
      </c>
      <c r="AX45" s="277">
        <f t="shared" si="27"/>
        <v>0</v>
      </c>
      <c r="AY45" s="277">
        <f t="shared" si="28"/>
        <v>0</v>
      </c>
      <c r="AZ45" s="277">
        <f t="shared" si="29"/>
        <v>0</v>
      </c>
      <c r="BA45" s="277">
        <f t="shared" si="30"/>
        <v>0</v>
      </c>
      <c r="BB45" s="277">
        <f t="shared" si="31"/>
        <v>0</v>
      </c>
      <c r="BC45" s="277">
        <f t="shared" si="32"/>
        <v>0</v>
      </c>
      <c r="BD45" s="277">
        <f t="shared" si="33"/>
        <v>0</v>
      </c>
      <c r="BE45" s="277">
        <f t="shared" si="34"/>
        <v>0</v>
      </c>
      <c r="BF45" s="277">
        <f t="shared" si="35"/>
        <v>0</v>
      </c>
      <c r="BG45" s="277">
        <f t="shared" si="36"/>
        <v>0</v>
      </c>
      <c r="BH45" s="277">
        <f t="shared" si="75"/>
        <v>0</v>
      </c>
      <c r="BI45" s="277">
        <f t="shared" si="76"/>
        <v>0</v>
      </c>
      <c r="BJ45" s="277">
        <f t="shared" si="37"/>
        <v>0</v>
      </c>
      <c r="BK45" s="277">
        <f t="shared" si="38"/>
        <v>0</v>
      </c>
      <c r="BL45" s="277">
        <f t="shared" si="39"/>
        <v>0</v>
      </c>
      <c r="BM45" s="277">
        <f t="shared" si="40"/>
        <v>0</v>
      </c>
      <c r="BN45" s="277">
        <f t="shared" si="41"/>
        <v>0</v>
      </c>
      <c r="BO45" s="277">
        <f t="shared" si="42"/>
        <v>0</v>
      </c>
      <c r="BP45" s="277">
        <f t="shared" si="77"/>
        <v>0</v>
      </c>
      <c r="BQ45" s="277">
        <f t="shared" si="78"/>
        <v>0</v>
      </c>
      <c r="BR45" s="277">
        <f t="shared" si="43"/>
        <v>0</v>
      </c>
      <c r="BS45" s="277">
        <f t="shared" si="44"/>
        <v>0</v>
      </c>
      <c r="BT45" s="277">
        <f t="shared" si="79"/>
        <v>0</v>
      </c>
      <c r="BU45" s="277">
        <f t="shared" si="80"/>
        <v>0</v>
      </c>
      <c r="BV45" s="277">
        <f t="shared" si="81"/>
        <v>0</v>
      </c>
      <c r="BW45" s="277">
        <f t="shared" si="82"/>
        <v>0</v>
      </c>
      <c r="BX45" s="277">
        <f t="shared" si="45"/>
        <v>0</v>
      </c>
      <c r="BY45" s="277">
        <f t="shared" si="46"/>
        <v>0</v>
      </c>
      <c r="BZ45" s="277">
        <f t="shared" si="47"/>
        <v>0</v>
      </c>
      <c r="CA45" s="277">
        <f t="shared" si="48"/>
        <v>0</v>
      </c>
      <c r="CB45" s="277">
        <f t="shared" si="49"/>
        <v>0</v>
      </c>
      <c r="CC45" s="277">
        <f t="shared" si="50"/>
        <v>0</v>
      </c>
      <c r="CD45" s="277">
        <f t="shared" si="83"/>
        <v>0</v>
      </c>
      <c r="CE45" s="277">
        <f t="shared" si="84"/>
        <v>0</v>
      </c>
      <c r="CF45" s="277">
        <f t="shared" si="85"/>
        <v>0</v>
      </c>
      <c r="CG45" s="277">
        <f t="shared" si="86"/>
        <v>0</v>
      </c>
      <c r="CH45" s="277">
        <f t="shared" si="51"/>
        <v>0</v>
      </c>
      <c r="CI45" s="277">
        <f t="shared" si="52"/>
        <v>0</v>
      </c>
      <c r="CJ45" s="277">
        <f t="shared" si="87"/>
        <v>0</v>
      </c>
      <c r="CK45" s="277">
        <f t="shared" si="88"/>
        <v>0</v>
      </c>
      <c r="CL45" s="277">
        <f t="shared" si="53"/>
        <v>0</v>
      </c>
      <c r="CM45" s="277">
        <f t="shared" si="54"/>
        <v>0</v>
      </c>
      <c r="CN45" s="277">
        <f t="shared" si="55"/>
        <v>0</v>
      </c>
      <c r="CO45" s="277">
        <f t="shared" si="56"/>
        <v>0</v>
      </c>
      <c r="CP45" s="277">
        <f t="shared" si="89"/>
        <v>0</v>
      </c>
      <c r="CQ45" s="277">
        <f t="shared" si="90"/>
        <v>0</v>
      </c>
      <c r="CR45" s="277">
        <f t="shared" si="91"/>
        <v>0</v>
      </c>
      <c r="CS45" s="277">
        <f t="shared" si="92"/>
        <v>0</v>
      </c>
      <c r="CT45" s="277">
        <f t="shared" si="57"/>
        <v>0</v>
      </c>
      <c r="CU45" s="277">
        <f t="shared" si="58"/>
        <v>0</v>
      </c>
      <c r="CV45" s="277">
        <f t="shared" si="59"/>
        <v>0</v>
      </c>
      <c r="CW45" s="277">
        <f t="shared" si="60"/>
        <v>0</v>
      </c>
      <c r="CX45" s="277">
        <f t="shared" si="93"/>
        <v>0</v>
      </c>
      <c r="CY45" s="277">
        <f t="shared" si="94"/>
        <v>0</v>
      </c>
      <c r="CZ45" s="277">
        <f t="shared" si="95"/>
        <v>0</v>
      </c>
      <c r="DA45" s="277">
        <f t="shared" si="96"/>
        <v>0</v>
      </c>
    </row>
    <row r="46" spans="1:105" s="274" customFormat="1" ht="16.5" customHeight="1">
      <c r="A46" s="63">
        <f t="array" aca="1" ref="A46" ca="1">IF(C46&lt;&gt;0,SUM(($C$11:C46&lt;&gt;0)*1),"")</f>
        <v>8</v>
      </c>
      <c r="B46" s="275">
        <v>42735</v>
      </c>
      <c r="C46" s="278" t="s">
        <v>115</v>
      </c>
      <c r="D46" s="278">
        <f t="shared" si="97"/>
        <v>42735</v>
      </c>
      <c r="E46" s="968" t="s">
        <v>118</v>
      </c>
      <c r="F46" s="969">
        <f ca="1">CI52</f>
        <v>0</v>
      </c>
      <c r="G46" s="970" t="s">
        <v>43</v>
      </c>
      <c r="H46" s="970" t="s">
        <v>109</v>
      </c>
      <c r="I46" s="63">
        <f t="shared" ca="1" si="0"/>
        <v>8</v>
      </c>
      <c r="J46" s="277">
        <f t="shared" si="61"/>
        <v>0</v>
      </c>
      <c r="K46" s="277">
        <f t="shared" si="62"/>
        <v>0</v>
      </c>
      <c r="L46" s="277">
        <f t="shared" si="1"/>
        <v>0</v>
      </c>
      <c r="M46" s="277">
        <f t="shared" si="2"/>
        <v>0</v>
      </c>
      <c r="N46" s="277">
        <f t="shared" si="3"/>
        <v>0</v>
      </c>
      <c r="O46" s="277">
        <f t="shared" si="4"/>
        <v>0</v>
      </c>
      <c r="P46" s="277">
        <f t="shared" si="5"/>
        <v>0</v>
      </c>
      <c r="Q46" s="277">
        <f t="shared" si="6"/>
        <v>0</v>
      </c>
      <c r="R46" s="277">
        <f t="shared" si="7"/>
        <v>0</v>
      </c>
      <c r="S46" s="277">
        <f t="shared" si="8"/>
        <v>0</v>
      </c>
      <c r="T46" s="277">
        <f t="shared" si="9"/>
        <v>0</v>
      </c>
      <c r="U46" s="277">
        <f t="shared" si="10"/>
        <v>0</v>
      </c>
      <c r="V46" s="277">
        <f t="shared" si="11"/>
        <v>0</v>
      </c>
      <c r="W46" s="277">
        <f t="shared" si="12"/>
        <v>0</v>
      </c>
      <c r="X46" s="277">
        <f t="shared" si="13"/>
        <v>0</v>
      </c>
      <c r="Y46" s="277">
        <f t="shared" si="14"/>
        <v>0</v>
      </c>
      <c r="Z46" s="277">
        <f t="shared" si="15"/>
        <v>0</v>
      </c>
      <c r="AA46" s="277">
        <f t="shared" si="16"/>
        <v>0</v>
      </c>
      <c r="AB46" s="277">
        <f t="shared" si="63"/>
        <v>0</v>
      </c>
      <c r="AC46" s="277">
        <f t="shared" si="64"/>
        <v>0</v>
      </c>
      <c r="AD46" s="277">
        <f t="shared" si="17"/>
        <v>0</v>
      </c>
      <c r="AE46" s="277">
        <f t="shared" si="18"/>
        <v>0</v>
      </c>
      <c r="AF46" s="277">
        <f t="shared" si="19"/>
        <v>0</v>
      </c>
      <c r="AG46" s="277">
        <f t="shared" si="20"/>
        <v>0</v>
      </c>
      <c r="AH46" s="277">
        <f t="shared" si="65"/>
        <v>0</v>
      </c>
      <c r="AI46" s="277">
        <f t="shared" si="66"/>
        <v>0</v>
      </c>
      <c r="AJ46" s="277">
        <f t="shared" si="67"/>
        <v>0</v>
      </c>
      <c r="AK46" s="277">
        <f t="shared" si="68"/>
        <v>0</v>
      </c>
      <c r="AL46" s="277">
        <f t="shared" si="69"/>
        <v>0</v>
      </c>
      <c r="AM46" s="277">
        <f t="shared" si="70"/>
        <v>0</v>
      </c>
      <c r="AN46" s="277">
        <f t="shared" si="71"/>
        <v>0</v>
      </c>
      <c r="AO46" s="277">
        <f t="shared" si="72"/>
        <v>0</v>
      </c>
      <c r="AP46" s="277">
        <f t="shared" si="21"/>
        <v>0</v>
      </c>
      <c r="AQ46" s="277">
        <f t="shared" si="22"/>
        <v>0</v>
      </c>
      <c r="AR46" s="277">
        <f t="shared" si="23"/>
        <v>0</v>
      </c>
      <c r="AS46" s="277">
        <f t="shared" si="24"/>
        <v>0</v>
      </c>
      <c r="AT46" s="277">
        <f t="shared" si="73"/>
        <v>0</v>
      </c>
      <c r="AU46" s="277">
        <f t="shared" si="74"/>
        <v>0</v>
      </c>
      <c r="AV46" s="277">
        <f t="shared" si="25"/>
        <v>0</v>
      </c>
      <c r="AW46" s="277">
        <f t="shared" si="26"/>
        <v>0</v>
      </c>
      <c r="AX46" s="277">
        <f t="shared" si="27"/>
        <v>0</v>
      </c>
      <c r="AY46" s="277">
        <f t="shared" si="28"/>
        <v>0</v>
      </c>
      <c r="AZ46" s="277">
        <f t="shared" si="29"/>
        <v>0</v>
      </c>
      <c r="BA46" s="277">
        <f t="shared" si="30"/>
        <v>0</v>
      </c>
      <c r="BB46" s="277">
        <f t="shared" si="31"/>
        <v>0</v>
      </c>
      <c r="BC46" s="277">
        <f t="shared" si="32"/>
        <v>0</v>
      </c>
      <c r="BD46" s="277">
        <f t="shared" si="33"/>
        <v>0</v>
      </c>
      <c r="BE46" s="277">
        <f t="shared" si="34"/>
        <v>0</v>
      </c>
      <c r="BF46" s="277">
        <f t="shared" si="35"/>
        <v>0</v>
      </c>
      <c r="BG46" s="277">
        <f t="shared" si="36"/>
        <v>0</v>
      </c>
      <c r="BH46" s="277">
        <f t="shared" si="75"/>
        <v>0</v>
      </c>
      <c r="BI46" s="277">
        <f t="shared" si="76"/>
        <v>0</v>
      </c>
      <c r="BJ46" s="277">
        <f t="shared" si="37"/>
        <v>0</v>
      </c>
      <c r="BK46" s="277">
        <f t="shared" si="38"/>
        <v>0</v>
      </c>
      <c r="BL46" s="277">
        <f t="shared" si="39"/>
        <v>0</v>
      </c>
      <c r="BM46" s="277">
        <f t="shared" si="40"/>
        <v>0</v>
      </c>
      <c r="BN46" s="277">
        <f t="shared" si="41"/>
        <v>0</v>
      </c>
      <c r="BO46" s="277">
        <f t="shared" si="42"/>
        <v>0</v>
      </c>
      <c r="BP46" s="277">
        <f t="shared" si="77"/>
        <v>0</v>
      </c>
      <c r="BQ46" s="277">
        <f t="shared" si="78"/>
        <v>0</v>
      </c>
      <c r="BR46" s="277">
        <f t="shared" si="43"/>
        <v>0</v>
      </c>
      <c r="BS46" s="277">
        <f t="shared" si="44"/>
        <v>0</v>
      </c>
      <c r="BT46" s="277">
        <f t="shared" si="79"/>
        <v>0</v>
      </c>
      <c r="BU46" s="277">
        <f t="shared" si="80"/>
        <v>0</v>
      </c>
      <c r="BV46" s="277">
        <f t="shared" si="81"/>
        <v>0</v>
      </c>
      <c r="BW46" s="277">
        <f t="shared" si="82"/>
        <v>0</v>
      </c>
      <c r="BX46" s="277">
        <f t="shared" si="45"/>
        <v>0</v>
      </c>
      <c r="BY46" s="277">
        <f t="shared" si="46"/>
        <v>0</v>
      </c>
      <c r="BZ46" s="277">
        <f t="shared" si="47"/>
        <v>0</v>
      </c>
      <c r="CA46" s="277">
        <f t="shared" si="48"/>
        <v>0</v>
      </c>
      <c r="CB46" s="277">
        <f t="shared" si="49"/>
        <v>0</v>
      </c>
      <c r="CC46" s="277">
        <f t="shared" si="50"/>
        <v>0</v>
      </c>
      <c r="CD46" s="277">
        <f t="shared" si="83"/>
        <v>0</v>
      </c>
      <c r="CE46" s="277">
        <f t="shared" si="84"/>
        <v>0</v>
      </c>
      <c r="CF46" s="277">
        <f t="shared" si="85"/>
        <v>0</v>
      </c>
      <c r="CG46" s="277">
        <f t="shared" si="86"/>
        <v>0</v>
      </c>
      <c r="CH46" s="277">
        <f t="shared" ca="1" si="51"/>
        <v>0</v>
      </c>
      <c r="CI46" s="277">
        <f t="shared" si="52"/>
        <v>0</v>
      </c>
      <c r="CJ46" s="277">
        <f t="shared" si="87"/>
        <v>0</v>
      </c>
      <c r="CK46" s="277">
        <f t="shared" si="88"/>
        <v>0</v>
      </c>
      <c r="CL46" s="277">
        <f t="shared" si="53"/>
        <v>0</v>
      </c>
      <c r="CM46" s="277">
        <f t="shared" si="54"/>
        <v>0</v>
      </c>
      <c r="CN46" s="277">
        <f t="shared" si="55"/>
        <v>0</v>
      </c>
      <c r="CO46" s="277">
        <f t="shared" si="56"/>
        <v>0</v>
      </c>
      <c r="CP46" s="277">
        <f t="shared" si="89"/>
        <v>0</v>
      </c>
      <c r="CQ46" s="277">
        <f t="shared" si="90"/>
        <v>0</v>
      </c>
      <c r="CR46" s="277">
        <f t="shared" si="91"/>
        <v>0</v>
      </c>
      <c r="CS46" s="277">
        <f t="shared" si="92"/>
        <v>0</v>
      </c>
      <c r="CT46" s="277">
        <f t="shared" si="57"/>
        <v>0</v>
      </c>
      <c r="CU46" s="277">
        <f t="shared" si="58"/>
        <v>0</v>
      </c>
      <c r="CV46" s="277">
        <f t="shared" si="59"/>
        <v>0</v>
      </c>
      <c r="CW46" s="277">
        <f t="shared" si="60"/>
        <v>0</v>
      </c>
      <c r="CX46" s="277">
        <f t="shared" si="93"/>
        <v>0</v>
      </c>
      <c r="CY46" s="277">
        <f t="shared" si="94"/>
        <v>0</v>
      </c>
      <c r="CZ46" s="277">
        <f t="shared" si="95"/>
        <v>0</v>
      </c>
      <c r="DA46" s="277">
        <f t="shared" ca="1" si="96"/>
        <v>0</v>
      </c>
    </row>
    <row r="47" spans="1:105" s="274" customFormat="1" ht="16.5" customHeight="1">
      <c r="A47" s="63">
        <f t="array" aca="1" ref="A47" ca="1">IF(C47&lt;&gt;0,SUM(($C$11:C47&lt;&gt;0)*1),"")</f>
        <v>9</v>
      </c>
      <c r="B47" s="275">
        <v>42735</v>
      </c>
      <c r="C47" s="278" t="s">
        <v>115</v>
      </c>
      <c r="D47" s="278">
        <f t="shared" si="97"/>
        <v>42735</v>
      </c>
      <c r="E47" s="968" t="s">
        <v>930</v>
      </c>
      <c r="F47" s="969">
        <f ca="1">CE52</f>
        <v>0</v>
      </c>
      <c r="G47" s="970" t="s">
        <v>296</v>
      </c>
      <c r="H47" s="970" t="s">
        <v>109</v>
      </c>
      <c r="I47" s="63">
        <f t="shared" ca="1" si="0"/>
        <v>9</v>
      </c>
      <c r="J47" s="277">
        <f t="shared" si="61"/>
        <v>0</v>
      </c>
      <c r="K47" s="277">
        <f t="shared" si="62"/>
        <v>0</v>
      </c>
      <c r="L47" s="277">
        <f t="shared" si="1"/>
        <v>0</v>
      </c>
      <c r="M47" s="277">
        <f t="shared" si="2"/>
        <v>0</v>
      </c>
      <c r="N47" s="277">
        <f t="shared" si="3"/>
        <v>0</v>
      </c>
      <c r="O47" s="277">
        <f t="shared" si="4"/>
        <v>0</v>
      </c>
      <c r="P47" s="277">
        <f t="shared" si="5"/>
        <v>0</v>
      </c>
      <c r="Q47" s="277">
        <f t="shared" si="6"/>
        <v>0</v>
      </c>
      <c r="R47" s="277">
        <f t="shared" si="7"/>
        <v>0</v>
      </c>
      <c r="S47" s="277">
        <f t="shared" si="8"/>
        <v>0</v>
      </c>
      <c r="T47" s="277">
        <f t="shared" si="9"/>
        <v>0</v>
      </c>
      <c r="U47" s="277">
        <f t="shared" si="10"/>
        <v>0</v>
      </c>
      <c r="V47" s="277">
        <f t="shared" si="11"/>
        <v>0</v>
      </c>
      <c r="W47" s="277">
        <f t="shared" si="12"/>
        <v>0</v>
      </c>
      <c r="X47" s="277">
        <f t="shared" si="13"/>
        <v>0</v>
      </c>
      <c r="Y47" s="277">
        <f t="shared" si="14"/>
        <v>0</v>
      </c>
      <c r="Z47" s="277">
        <f t="shared" si="15"/>
        <v>0</v>
      </c>
      <c r="AA47" s="277">
        <f t="shared" si="16"/>
        <v>0</v>
      </c>
      <c r="AB47" s="277">
        <f t="shared" si="63"/>
        <v>0</v>
      </c>
      <c r="AC47" s="277">
        <f t="shared" si="64"/>
        <v>0</v>
      </c>
      <c r="AD47" s="277">
        <f t="shared" si="17"/>
        <v>0</v>
      </c>
      <c r="AE47" s="277">
        <f t="shared" si="18"/>
        <v>0</v>
      </c>
      <c r="AF47" s="277">
        <f t="shared" si="19"/>
        <v>0</v>
      </c>
      <c r="AG47" s="277">
        <f t="shared" si="20"/>
        <v>0</v>
      </c>
      <c r="AH47" s="277">
        <f t="shared" si="65"/>
        <v>0</v>
      </c>
      <c r="AI47" s="277">
        <f t="shared" si="66"/>
        <v>0</v>
      </c>
      <c r="AJ47" s="277">
        <f t="shared" si="67"/>
        <v>0</v>
      </c>
      <c r="AK47" s="277">
        <f t="shared" si="68"/>
        <v>0</v>
      </c>
      <c r="AL47" s="277">
        <f t="shared" si="69"/>
        <v>0</v>
      </c>
      <c r="AM47" s="277">
        <f t="shared" si="70"/>
        <v>0</v>
      </c>
      <c r="AN47" s="277">
        <f t="shared" si="71"/>
        <v>0</v>
      </c>
      <c r="AO47" s="277">
        <f t="shared" si="72"/>
        <v>0</v>
      </c>
      <c r="AP47" s="277">
        <f t="shared" si="21"/>
        <v>0</v>
      </c>
      <c r="AQ47" s="277">
        <f t="shared" si="22"/>
        <v>0</v>
      </c>
      <c r="AR47" s="277">
        <f t="shared" si="23"/>
        <v>0</v>
      </c>
      <c r="AS47" s="277">
        <f t="shared" si="24"/>
        <v>0</v>
      </c>
      <c r="AT47" s="277">
        <f t="shared" si="73"/>
        <v>0</v>
      </c>
      <c r="AU47" s="277">
        <f t="shared" si="74"/>
        <v>0</v>
      </c>
      <c r="AV47" s="277">
        <f t="shared" si="25"/>
        <v>0</v>
      </c>
      <c r="AW47" s="277">
        <f t="shared" si="26"/>
        <v>0</v>
      </c>
      <c r="AX47" s="277">
        <f t="shared" si="27"/>
        <v>0</v>
      </c>
      <c r="AY47" s="277">
        <f t="shared" si="28"/>
        <v>0</v>
      </c>
      <c r="AZ47" s="277">
        <f t="shared" si="29"/>
        <v>0</v>
      </c>
      <c r="BA47" s="277">
        <f t="shared" si="30"/>
        <v>0</v>
      </c>
      <c r="BB47" s="277">
        <f t="shared" si="31"/>
        <v>0</v>
      </c>
      <c r="BC47" s="277">
        <f t="shared" si="32"/>
        <v>0</v>
      </c>
      <c r="BD47" s="277">
        <f t="shared" si="33"/>
        <v>0</v>
      </c>
      <c r="BE47" s="277">
        <f t="shared" si="34"/>
        <v>0</v>
      </c>
      <c r="BF47" s="277">
        <f t="shared" si="35"/>
        <v>0</v>
      </c>
      <c r="BG47" s="277">
        <f t="shared" si="36"/>
        <v>0</v>
      </c>
      <c r="BH47" s="277">
        <f t="shared" si="75"/>
        <v>0</v>
      </c>
      <c r="BI47" s="277">
        <f t="shared" si="76"/>
        <v>0</v>
      </c>
      <c r="BJ47" s="277">
        <f t="shared" si="37"/>
        <v>0</v>
      </c>
      <c r="BK47" s="277">
        <f t="shared" si="38"/>
        <v>0</v>
      </c>
      <c r="BL47" s="277">
        <f t="shared" si="39"/>
        <v>0</v>
      </c>
      <c r="BM47" s="277">
        <f t="shared" si="40"/>
        <v>0</v>
      </c>
      <c r="BN47" s="277">
        <f t="shared" si="41"/>
        <v>0</v>
      </c>
      <c r="BO47" s="277">
        <f t="shared" si="42"/>
        <v>0</v>
      </c>
      <c r="BP47" s="277">
        <f t="shared" si="77"/>
        <v>0</v>
      </c>
      <c r="BQ47" s="277">
        <f t="shared" si="78"/>
        <v>0</v>
      </c>
      <c r="BR47" s="277">
        <f t="shared" si="43"/>
        <v>0</v>
      </c>
      <c r="BS47" s="277">
        <f t="shared" si="44"/>
        <v>0</v>
      </c>
      <c r="BT47" s="277">
        <f t="shared" si="79"/>
        <v>0</v>
      </c>
      <c r="BU47" s="277">
        <f t="shared" si="80"/>
        <v>0</v>
      </c>
      <c r="BV47" s="277">
        <f t="shared" si="81"/>
        <v>0</v>
      </c>
      <c r="BW47" s="277">
        <f t="shared" si="82"/>
        <v>0</v>
      </c>
      <c r="BX47" s="277">
        <f t="shared" si="45"/>
        <v>0</v>
      </c>
      <c r="BY47" s="277">
        <f t="shared" si="46"/>
        <v>0</v>
      </c>
      <c r="BZ47" s="277">
        <f t="shared" si="47"/>
        <v>0</v>
      </c>
      <c r="CA47" s="277">
        <f t="shared" si="48"/>
        <v>0</v>
      </c>
      <c r="CB47" s="277">
        <f t="shared" si="49"/>
        <v>0</v>
      </c>
      <c r="CC47" s="277">
        <f t="shared" si="50"/>
        <v>0</v>
      </c>
      <c r="CD47" s="277">
        <f t="shared" ca="1" si="83"/>
        <v>0</v>
      </c>
      <c r="CE47" s="277">
        <f t="shared" si="84"/>
        <v>0</v>
      </c>
      <c r="CF47" s="277">
        <f t="shared" si="85"/>
        <v>0</v>
      </c>
      <c r="CG47" s="277">
        <f t="shared" si="86"/>
        <v>0</v>
      </c>
      <c r="CH47" s="277">
        <f t="shared" si="51"/>
        <v>0</v>
      </c>
      <c r="CI47" s="277">
        <f t="shared" si="52"/>
        <v>0</v>
      </c>
      <c r="CJ47" s="277">
        <f t="shared" si="87"/>
        <v>0</v>
      </c>
      <c r="CK47" s="277">
        <f t="shared" si="88"/>
        <v>0</v>
      </c>
      <c r="CL47" s="277">
        <f t="shared" si="53"/>
        <v>0</v>
      </c>
      <c r="CM47" s="277">
        <f t="shared" si="54"/>
        <v>0</v>
      </c>
      <c r="CN47" s="277">
        <f t="shared" si="55"/>
        <v>0</v>
      </c>
      <c r="CO47" s="277">
        <f t="shared" si="56"/>
        <v>0</v>
      </c>
      <c r="CP47" s="277">
        <f t="shared" si="89"/>
        <v>0</v>
      </c>
      <c r="CQ47" s="277">
        <f t="shared" si="90"/>
        <v>0</v>
      </c>
      <c r="CR47" s="277">
        <f t="shared" si="91"/>
        <v>0</v>
      </c>
      <c r="CS47" s="277">
        <f t="shared" si="92"/>
        <v>0</v>
      </c>
      <c r="CT47" s="277">
        <f t="shared" si="57"/>
        <v>0</v>
      </c>
      <c r="CU47" s="277">
        <f t="shared" si="58"/>
        <v>0</v>
      </c>
      <c r="CV47" s="277">
        <f t="shared" si="59"/>
        <v>0</v>
      </c>
      <c r="CW47" s="277">
        <f t="shared" si="60"/>
        <v>0</v>
      </c>
      <c r="CX47" s="277">
        <f t="shared" si="93"/>
        <v>0</v>
      </c>
      <c r="CY47" s="277">
        <f t="shared" si="94"/>
        <v>0</v>
      </c>
      <c r="CZ47" s="277">
        <f t="shared" si="95"/>
        <v>0</v>
      </c>
      <c r="DA47" s="277">
        <f t="shared" ca="1" si="96"/>
        <v>0</v>
      </c>
    </row>
    <row r="48" spans="1:105" s="274" customFormat="1" ht="16.5" customHeight="1">
      <c r="A48" s="63">
        <f t="array" aca="1" ref="A48" ca="1">IF(C48&lt;&gt;0,SUM(($C$11:C48&lt;&gt;0)*1),"")</f>
        <v>10</v>
      </c>
      <c r="B48" s="275">
        <v>42735</v>
      </c>
      <c r="C48" s="278" t="s">
        <v>115</v>
      </c>
      <c r="D48" s="278">
        <f t="shared" si="97"/>
        <v>42735</v>
      </c>
      <c r="E48" s="968" t="s">
        <v>931</v>
      </c>
      <c r="F48" s="969">
        <f ca="1">CG52</f>
        <v>0</v>
      </c>
      <c r="G48" s="970" t="s">
        <v>298</v>
      </c>
      <c r="H48" s="970" t="s">
        <v>109</v>
      </c>
      <c r="I48" s="63">
        <f t="shared" ca="1" si="0"/>
        <v>10</v>
      </c>
      <c r="J48" s="277">
        <f t="shared" si="61"/>
        <v>0</v>
      </c>
      <c r="K48" s="277">
        <f t="shared" si="62"/>
        <v>0</v>
      </c>
      <c r="L48" s="277">
        <f t="shared" si="1"/>
        <v>0</v>
      </c>
      <c r="M48" s="277">
        <f t="shared" si="2"/>
        <v>0</v>
      </c>
      <c r="N48" s="277">
        <f t="shared" si="3"/>
        <v>0</v>
      </c>
      <c r="O48" s="277">
        <f t="shared" si="4"/>
        <v>0</v>
      </c>
      <c r="P48" s="277">
        <f t="shared" si="5"/>
        <v>0</v>
      </c>
      <c r="Q48" s="277">
        <f t="shared" si="6"/>
        <v>0</v>
      </c>
      <c r="R48" s="277">
        <f t="shared" si="7"/>
        <v>0</v>
      </c>
      <c r="S48" s="277">
        <f t="shared" si="8"/>
        <v>0</v>
      </c>
      <c r="T48" s="277">
        <f t="shared" si="9"/>
        <v>0</v>
      </c>
      <c r="U48" s="277">
        <f t="shared" si="10"/>
        <v>0</v>
      </c>
      <c r="V48" s="277">
        <f t="shared" si="11"/>
        <v>0</v>
      </c>
      <c r="W48" s="277">
        <f t="shared" si="12"/>
        <v>0</v>
      </c>
      <c r="X48" s="277">
        <f t="shared" si="13"/>
        <v>0</v>
      </c>
      <c r="Y48" s="277">
        <f t="shared" si="14"/>
        <v>0</v>
      </c>
      <c r="Z48" s="277">
        <f t="shared" si="15"/>
        <v>0</v>
      </c>
      <c r="AA48" s="277">
        <f t="shared" si="16"/>
        <v>0</v>
      </c>
      <c r="AB48" s="277">
        <f t="shared" si="63"/>
        <v>0</v>
      </c>
      <c r="AC48" s="277">
        <f t="shared" si="64"/>
        <v>0</v>
      </c>
      <c r="AD48" s="277">
        <f t="shared" si="17"/>
        <v>0</v>
      </c>
      <c r="AE48" s="277">
        <f t="shared" si="18"/>
        <v>0</v>
      </c>
      <c r="AF48" s="277">
        <f t="shared" si="19"/>
        <v>0</v>
      </c>
      <c r="AG48" s="277">
        <f t="shared" si="20"/>
        <v>0</v>
      </c>
      <c r="AH48" s="277">
        <f t="shared" si="65"/>
        <v>0</v>
      </c>
      <c r="AI48" s="277">
        <f t="shared" si="66"/>
        <v>0</v>
      </c>
      <c r="AJ48" s="277">
        <f t="shared" si="67"/>
        <v>0</v>
      </c>
      <c r="AK48" s="277">
        <f t="shared" si="68"/>
        <v>0</v>
      </c>
      <c r="AL48" s="277">
        <f t="shared" si="69"/>
        <v>0</v>
      </c>
      <c r="AM48" s="277">
        <f t="shared" si="70"/>
        <v>0</v>
      </c>
      <c r="AN48" s="277">
        <f t="shared" si="71"/>
        <v>0</v>
      </c>
      <c r="AO48" s="277">
        <f t="shared" si="72"/>
        <v>0</v>
      </c>
      <c r="AP48" s="277">
        <f t="shared" si="21"/>
        <v>0</v>
      </c>
      <c r="AQ48" s="277">
        <f t="shared" si="22"/>
        <v>0</v>
      </c>
      <c r="AR48" s="277">
        <f t="shared" si="23"/>
        <v>0</v>
      </c>
      <c r="AS48" s="277">
        <f t="shared" si="24"/>
        <v>0</v>
      </c>
      <c r="AT48" s="277">
        <f t="shared" si="73"/>
        <v>0</v>
      </c>
      <c r="AU48" s="277">
        <f t="shared" si="74"/>
        <v>0</v>
      </c>
      <c r="AV48" s="277">
        <f t="shared" si="25"/>
        <v>0</v>
      </c>
      <c r="AW48" s="277">
        <f t="shared" si="26"/>
        <v>0</v>
      </c>
      <c r="AX48" s="277">
        <f t="shared" si="27"/>
        <v>0</v>
      </c>
      <c r="AY48" s="277">
        <f t="shared" si="28"/>
        <v>0</v>
      </c>
      <c r="AZ48" s="277">
        <f t="shared" si="29"/>
        <v>0</v>
      </c>
      <c r="BA48" s="277">
        <f t="shared" si="30"/>
        <v>0</v>
      </c>
      <c r="BB48" s="277">
        <f t="shared" si="31"/>
        <v>0</v>
      </c>
      <c r="BC48" s="277">
        <f t="shared" si="32"/>
        <v>0</v>
      </c>
      <c r="BD48" s="277">
        <f t="shared" si="33"/>
        <v>0</v>
      </c>
      <c r="BE48" s="277">
        <f t="shared" si="34"/>
        <v>0</v>
      </c>
      <c r="BF48" s="277">
        <f t="shared" si="35"/>
        <v>0</v>
      </c>
      <c r="BG48" s="277">
        <f t="shared" si="36"/>
        <v>0</v>
      </c>
      <c r="BH48" s="277">
        <f t="shared" si="75"/>
        <v>0</v>
      </c>
      <c r="BI48" s="277">
        <f t="shared" si="76"/>
        <v>0</v>
      </c>
      <c r="BJ48" s="277">
        <f t="shared" si="37"/>
        <v>0</v>
      </c>
      <c r="BK48" s="277">
        <f t="shared" si="38"/>
        <v>0</v>
      </c>
      <c r="BL48" s="277">
        <f t="shared" si="39"/>
        <v>0</v>
      </c>
      <c r="BM48" s="277">
        <f t="shared" si="40"/>
        <v>0</v>
      </c>
      <c r="BN48" s="277">
        <f t="shared" si="41"/>
        <v>0</v>
      </c>
      <c r="BO48" s="277">
        <f t="shared" si="42"/>
        <v>0</v>
      </c>
      <c r="BP48" s="277">
        <f t="shared" si="77"/>
        <v>0</v>
      </c>
      <c r="BQ48" s="277">
        <f t="shared" si="78"/>
        <v>0</v>
      </c>
      <c r="BR48" s="277">
        <f t="shared" si="43"/>
        <v>0</v>
      </c>
      <c r="BS48" s="277">
        <f t="shared" si="44"/>
        <v>0</v>
      </c>
      <c r="BT48" s="277">
        <f t="shared" si="79"/>
        <v>0</v>
      </c>
      <c r="BU48" s="277">
        <f t="shared" si="80"/>
        <v>0</v>
      </c>
      <c r="BV48" s="277">
        <f t="shared" si="81"/>
        <v>0</v>
      </c>
      <c r="BW48" s="277">
        <f t="shared" si="82"/>
        <v>0</v>
      </c>
      <c r="BX48" s="277">
        <f t="shared" si="45"/>
        <v>0</v>
      </c>
      <c r="BY48" s="277">
        <f t="shared" si="46"/>
        <v>0</v>
      </c>
      <c r="BZ48" s="277">
        <f t="shared" si="47"/>
        <v>0</v>
      </c>
      <c r="CA48" s="277">
        <f t="shared" si="48"/>
        <v>0</v>
      </c>
      <c r="CB48" s="277">
        <f t="shared" si="49"/>
        <v>0</v>
      </c>
      <c r="CC48" s="277">
        <f t="shared" si="50"/>
        <v>0</v>
      </c>
      <c r="CD48" s="277">
        <f t="shared" si="83"/>
        <v>0</v>
      </c>
      <c r="CE48" s="277">
        <f t="shared" si="84"/>
        <v>0</v>
      </c>
      <c r="CF48" s="277">
        <f t="shared" ca="1" si="85"/>
        <v>0</v>
      </c>
      <c r="CG48" s="277">
        <f t="shared" si="86"/>
        <v>0</v>
      </c>
      <c r="CH48" s="277">
        <f t="shared" si="51"/>
        <v>0</v>
      </c>
      <c r="CI48" s="277">
        <f t="shared" si="52"/>
        <v>0</v>
      </c>
      <c r="CJ48" s="277">
        <f t="shared" si="87"/>
        <v>0</v>
      </c>
      <c r="CK48" s="277">
        <f t="shared" si="88"/>
        <v>0</v>
      </c>
      <c r="CL48" s="277">
        <f t="shared" si="53"/>
        <v>0</v>
      </c>
      <c r="CM48" s="277">
        <f t="shared" si="54"/>
        <v>0</v>
      </c>
      <c r="CN48" s="277">
        <f t="shared" si="55"/>
        <v>0</v>
      </c>
      <c r="CO48" s="277">
        <f t="shared" si="56"/>
        <v>0</v>
      </c>
      <c r="CP48" s="277">
        <f t="shared" si="89"/>
        <v>0</v>
      </c>
      <c r="CQ48" s="277">
        <f t="shared" si="90"/>
        <v>0</v>
      </c>
      <c r="CR48" s="277">
        <f t="shared" si="91"/>
        <v>0</v>
      </c>
      <c r="CS48" s="277">
        <f t="shared" si="92"/>
        <v>0</v>
      </c>
      <c r="CT48" s="277">
        <f t="shared" si="57"/>
        <v>0</v>
      </c>
      <c r="CU48" s="277">
        <f t="shared" si="58"/>
        <v>0</v>
      </c>
      <c r="CV48" s="277">
        <f t="shared" si="59"/>
        <v>0</v>
      </c>
      <c r="CW48" s="277">
        <f t="shared" si="60"/>
        <v>0</v>
      </c>
      <c r="CX48" s="277">
        <f t="shared" si="93"/>
        <v>0</v>
      </c>
      <c r="CY48" s="277">
        <f t="shared" si="94"/>
        <v>0</v>
      </c>
      <c r="CZ48" s="277">
        <f t="shared" si="95"/>
        <v>0</v>
      </c>
      <c r="DA48" s="277">
        <f t="shared" ca="1" si="96"/>
        <v>0</v>
      </c>
    </row>
    <row r="49" spans="1:105" s="274" customFormat="1" ht="16.5" customHeight="1">
      <c r="A49" s="63">
        <f t="array" aca="1" ref="A49" ca="1">IF(C49&lt;&gt;0,SUM(($C$11:C49&lt;&gt;0)*1),"")</f>
        <v>11</v>
      </c>
      <c r="B49" s="275">
        <v>42735</v>
      </c>
      <c r="C49" s="278" t="s">
        <v>115</v>
      </c>
      <c r="D49" s="278">
        <f t="shared" si="97"/>
        <v>42735</v>
      </c>
      <c r="E49" s="968" t="s">
        <v>119</v>
      </c>
      <c r="F49" s="969">
        <f ca="1">CU52</f>
        <v>0</v>
      </c>
      <c r="G49" s="970" t="s">
        <v>103</v>
      </c>
      <c r="H49" s="970" t="s">
        <v>109</v>
      </c>
      <c r="I49" s="63">
        <f t="shared" ca="1" si="0"/>
        <v>11</v>
      </c>
      <c r="J49" s="277">
        <f t="shared" si="61"/>
        <v>0</v>
      </c>
      <c r="K49" s="277">
        <f t="shared" si="62"/>
        <v>0</v>
      </c>
      <c r="L49" s="277">
        <f t="shared" si="1"/>
        <v>0</v>
      </c>
      <c r="M49" s="277">
        <f t="shared" si="2"/>
        <v>0</v>
      </c>
      <c r="N49" s="277">
        <f t="shared" si="3"/>
        <v>0</v>
      </c>
      <c r="O49" s="277">
        <f t="shared" si="4"/>
        <v>0</v>
      </c>
      <c r="P49" s="277">
        <f t="shared" si="5"/>
        <v>0</v>
      </c>
      <c r="Q49" s="277">
        <f t="shared" si="6"/>
        <v>0</v>
      </c>
      <c r="R49" s="277">
        <f t="shared" si="7"/>
        <v>0</v>
      </c>
      <c r="S49" s="277">
        <f t="shared" si="8"/>
        <v>0</v>
      </c>
      <c r="T49" s="277">
        <f t="shared" si="9"/>
        <v>0</v>
      </c>
      <c r="U49" s="277">
        <f t="shared" si="10"/>
        <v>0</v>
      </c>
      <c r="V49" s="277">
        <f t="shared" si="11"/>
        <v>0</v>
      </c>
      <c r="W49" s="277">
        <f t="shared" si="12"/>
        <v>0</v>
      </c>
      <c r="X49" s="277">
        <f t="shared" si="13"/>
        <v>0</v>
      </c>
      <c r="Y49" s="277">
        <f t="shared" si="14"/>
        <v>0</v>
      </c>
      <c r="Z49" s="277">
        <f t="shared" si="15"/>
        <v>0</v>
      </c>
      <c r="AA49" s="277">
        <f t="shared" si="16"/>
        <v>0</v>
      </c>
      <c r="AB49" s="277">
        <f t="shared" si="63"/>
        <v>0</v>
      </c>
      <c r="AC49" s="277">
        <f t="shared" si="64"/>
        <v>0</v>
      </c>
      <c r="AD49" s="277">
        <f t="shared" si="17"/>
        <v>0</v>
      </c>
      <c r="AE49" s="277">
        <f t="shared" si="18"/>
        <v>0</v>
      </c>
      <c r="AF49" s="277">
        <f t="shared" si="19"/>
        <v>0</v>
      </c>
      <c r="AG49" s="277">
        <f t="shared" si="20"/>
        <v>0</v>
      </c>
      <c r="AH49" s="277">
        <f t="shared" si="65"/>
        <v>0</v>
      </c>
      <c r="AI49" s="277">
        <f t="shared" si="66"/>
        <v>0</v>
      </c>
      <c r="AJ49" s="277">
        <f t="shared" si="67"/>
        <v>0</v>
      </c>
      <c r="AK49" s="277">
        <f t="shared" si="68"/>
        <v>0</v>
      </c>
      <c r="AL49" s="277">
        <f t="shared" si="69"/>
        <v>0</v>
      </c>
      <c r="AM49" s="277">
        <f t="shared" si="70"/>
        <v>0</v>
      </c>
      <c r="AN49" s="277">
        <f t="shared" si="71"/>
        <v>0</v>
      </c>
      <c r="AO49" s="277">
        <f t="shared" si="72"/>
        <v>0</v>
      </c>
      <c r="AP49" s="277">
        <f t="shared" si="21"/>
        <v>0</v>
      </c>
      <c r="AQ49" s="277">
        <f t="shared" si="22"/>
        <v>0</v>
      </c>
      <c r="AR49" s="277">
        <f t="shared" si="23"/>
        <v>0</v>
      </c>
      <c r="AS49" s="277">
        <f t="shared" si="24"/>
        <v>0</v>
      </c>
      <c r="AT49" s="277">
        <f t="shared" si="73"/>
        <v>0</v>
      </c>
      <c r="AU49" s="277">
        <f t="shared" si="74"/>
        <v>0</v>
      </c>
      <c r="AV49" s="277">
        <f t="shared" si="25"/>
        <v>0</v>
      </c>
      <c r="AW49" s="277">
        <f t="shared" si="26"/>
        <v>0</v>
      </c>
      <c r="AX49" s="277">
        <f t="shared" si="27"/>
        <v>0</v>
      </c>
      <c r="AY49" s="277">
        <f t="shared" si="28"/>
        <v>0</v>
      </c>
      <c r="AZ49" s="277">
        <f t="shared" si="29"/>
        <v>0</v>
      </c>
      <c r="BA49" s="277">
        <f t="shared" si="30"/>
        <v>0</v>
      </c>
      <c r="BB49" s="277">
        <f t="shared" si="31"/>
        <v>0</v>
      </c>
      <c r="BC49" s="277">
        <f t="shared" si="32"/>
        <v>0</v>
      </c>
      <c r="BD49" s="277">
        <f t="shared" si="33"/>
        <v>0</v>
      </c>
      <c r="BE49" s="277">
        <f t="shared" si="34"/>
        <v>0</v>
      </c>
      <c r="BF49" s="277">
        <f t="shared" si="35"/>
        <v>0</v>
      </c>
      <c r="BG49" s="277">
        <f t="shared" si="36"/>
        <v>0</v>
      </c>
      <c r="BH49" s="277">
        <f t="shared" si="75"/>
        <v>0</v>
      </c>
      <c r="BI49" s="277">
        <f t="shared" si="76"/>
        <v>0</v>
      </c>
      <c r="BJ49" s="277">
        <f t="shared" si="37"/>
        <v>0</v>
      </c>
      <c r="BK49" s="277">
        <f t="shared" si="38"/>
        <v>0</v>
      </c>
      <c r="BL49" s="277">
        <f t="shared" si="39"/>
        <v>0</v>
      </c>
      <c r="BM49" s="277">
        <f t="shared" si="40"/>
        <v>0</v>
      </c>
      <c r="BN49" s="277">
        <f t="shared" si="41"/>
        <v>0</v>
      </c>
      <c r="BO49" s="277">
        <f t="shared" si="42"/>
        <v>0</v>
      </c>
      <c r="BP49" s="277">
        <f t="shared" si="77"/>
        <v>0</v>
      </c>
      <c r="BQ49" s="277">
        <f t="shared" si="78"/>
        <v>0</v>
      </c>
      <c r="BR49" s="277">
        <f t="shared" si="43"/>
        <v>0</v>
      </c>
      <c r="BS49" s="277">
        <f t="shared" si="44"/>
        <v>0</v>
      </c>
      <c r="BT49" s="277">
        <f t="shared" si="79"/>
        <v>0</v>
      </c>
      <c r="BU49" s="277">
        <f t="shared" si="80"/>
        <v>0</v>
      </c>
      <c r="BV49" s="277">
        <f t="shared" si="81"/>
        <v>0</v>
      </c>
      <c r="BW49" s="277">
        <f t="shared" si="82"/>
        <v>0</v>
      </c>
      <c r="BX49" s="277">
        <f t="shared" si="45"/>
        <v>0</v>
      </c>
      <c r="BY49" s="277">
        <f t="shared" si="46"/>
        <v>0</v>
      </c>
      <c r="BZ49" s="277">
        <f t="shared" si="47"/>
        <v>0</v>
      </c>
      <c r="CA49" s="277">
        <f t="shared" si="48"/>
        <v>0</v>
      </c>
      <c r="CB49" s="277">
        <f t="shared" si="49"/>
        <v>0</v>
      </c>
      <c r="CC49" s="277">
        <f t="shared" si="50"/>
        <v>0</v>
      </c>
      <c r="CD49" s="277">
        <f t="shared" si="83"/>
        <v>0</v>
      </c>
      <c r="CE49" s="277">
        <f t="shared" si="84"/>
        <v>0</v>
      </c>
      <c r="CF49" s="277">
        <f t="shared" si="85"/>
        <v>0</v>
      </c>
      <c r="CG49" s="277">
        <f t="shared" si="86"/>
        <v>0</v>
      </c>
      <c r="CH49" s="277">
        <f t="shared" si="51"/>
        <v>0</v>
      </c>
      <c r="CI49" s="277">
        <f t="shared" si="52"/>
        <v>0</v>
      </c>
      <c r="CJ49" s="277">
        <f t="shared" si="87"/>
        <v>0</v>
      </c>
      <c r="CK49" s="277">
        <f t="shared" si="88"/>
        <v>0</v>
      </c>
      <c r="CL49" s="277">
        <f t="shared" si="53"/>
        <v>0</v>
      </c>
      <c r="CM49" s="277">
        <f t="shared" si="54"/>
        <v>0</v>
      </c>
      <c r="CN49" s="277">
        <f t="shared" si="55"/>
        <v>0</v>
      </c>
      <c r="CO49" s="277">
        <f t="shared" si="56"/>
        <v>0</v>
      </c>
      <c r="CP49" s="277">
        <f t="shared" si="89"/>
        <v>0</v>
      </c>
      <c r="CQ49" s="277">
        <f t="shared" si="90"/>
        <v>0</v>
      </c>
      <c r="CR49" s="277">
        <f t="shared" si="91"/>
        <v>0</v>
      </c>
      <c r="CS49" s="277">
        <f t="shared" si="92"/>
        <v>0</v>
      </c>
      <c r="CT49" s="277">
        <f t="shared" ca="1" si="57"/>
        <v>0</v>
      </c>
      <c r="CU49" s="277">
        <f t="shared" si="58"/>
        <v>0</v>
      </c>
      <c r="CV49" s="277">
        <f t="shared" si="59"/>
        <v>0</v>
      </c>
      <c r="CW49" s="277">
        <f t="shared" si="60"/>
        <v>0</v>
      </c>
      <c r="CX49" s="277">
        <f t="shared" si="93"/>
        <v>0</v>
      </c>
      <c r="CY49" s="277">
        <f t="shared" si="94"/>
        <v>0</v>
      </c>
      <c r="CZ49" s="277">
        <f t="shared" si="95"/>
        <v>0</v>
      </c>
      <c r="DA49" s="277">
        <f t="shared" ca="1" si="96"/>
        <v>0</v>
      </c>
    </row>
    <row r="50" spans="1:105" s="274" customFormat="1" ht="16.5" customHeight="1">
      <c r="A50" s="63">
        <f t="array" aca="1" ref="A50" ca="1">IF(C50&lt;&gt;0,SUM(($C$11:C50&lt;&gt;0)*1),"")</f>
        <v>12</v>
      </c>
      <c r="B50" s="275">
        <v>42735</v>
      </c>
      <c r="C50" s="278" t="s">
        <v>115</v>
      </c>
      <c r="D50" s="278">
        <f t="shared" si="97"/>
        <v>42735</v>
      </c>
      <c r="E50" s="968" t="s">
        <v>120</v>
      </c>
      <c r="F50" s="969">
        <f ca="1">CV52</f>
        <v>0</v>
      </c>
      <c r="G50" s="970" t="s">
        <v>109</v>
      </c>
      <c r="H50" s="970" t="s">
        <v>105</v>
      </c>
      <c r="I50" s="63">
        <f t="shared" ca="1" si="0"/>
        <v>12</v>
      </c>
      <c r="J50" s="277">
        <f t="shared" si="61"/>
        <v>0</v>
      </c>
      <c r="K50" s="277">
        <f t="shared" si="62"/>
        <v>0</v>
      </c>
      <c r="L50" s="277">
        <f t="shared" si="1"/>
        <v>0</v>
      </c>
      <c r="M50" s="277">
        <f t="shared" si="2"/>
        <v>0</v>
      </c>
      <c r="N50" s="277">
        <f t="shared" si="3"/>
        <v>0</v>
      </c>
      <c r="O50" s="277">
        <f t="shared" si="4"/>
        <v>0</v>
      </c>
      <c r="P50" s="277">
        <f t="shared" si="5"/>
        <v>0</v>
      </c>
      <c r="Q50" s="277">
        <f t="shared" si="6"/>
        <v>0</v>
      </c>
      <c r="R50" s="277">
        <f t="shared" si="7"/>
        <v>0</v>
      </c>
      <c r="S50" s="277">
        <f t="shared" si="8"/>
        <v>0</v>
      </c>
      <c r="T50" s="277">
        <f t="shared" si="9"/>
        <v>0</v>
      </c>
      <c r="U50" s="277">
        <f t="shared" si="10"/>
        <v>0</v>
      </c>
      <c r="V50" s="277">
        <f t="shared" si="11"/>
        <v>0</v>
      </c>
      <c r="W50" s="277">
        <f t="shared" si="12"/>
        <v>0</v>
      </c>
      <c r="X50" s="277">
        <f t="shared" si="13"/>
        <v>0</v>
      </c>
      <c r="Y50" s="277">
        <f t="shared" si="14"/>
        <v>0</v>
      </c>
      <c r="Z50" s="277">
        <f t="shared" si="15"/>
        <v>0</v>
      </c>
      <c r="AA50" s="277">
        <f t="shared" si="16"/>
        <v>0</v>
      </c>
      <c r="AB50" s="277">
        <f t="shared" si="63"/>
        <v>0</v>
      </c>
      <c r="AC50" s="277">
        <f t="shared" si="64"/>
        <v>0</v>
      </c>
      <c r="AD50" s="277">
        <f t="shared" si="17"/>
        <v>0</v>
      </c>
      <c r="AE50" s="277">
        <f t="shared" si="18"/>
        <v>0</v>
      </c>
      <c r="AF50" s="277">
        <f t="shared" si="19"/>
        <v>0</v>
      </c>
      <c r="AG50" s="277">
        <f t="shared" si="20"/>
        <v>0</v>
      </c>
      <c r="AH50" s="277">
        <f t="shared" si="65"/>
        <v>0</v>
      </c>
      <c r="AI50" s="277">
        <f t="shared" si="66"/>
        <v>0</v>
      </c>
      <c r="AJ50" s="277">
        <f t="shared" si="67"/>
        <v>0</v>
      </c>
      <c r="AK50" s="277">
        <f t="shared" si="68"/>
        <v>0</v>
      </c>
      <c r="AL50" s="277">
        <f t="shared" si="69"/>
        <v>0</v>
      </c>
      <c r="AM50" s="277">
        <f t="shared" si="70"/>
        <v>0</v>
      </c>
      <c r="AN50" s="277">
        <f t="shared" si="71"/>
        <v>0</v>
      </c>
      <c r="AO50" s="277">
        <f t="shared" si="72"/>
        <v>0</v>
      </c>
      <c r="AP50" s="277">
        <f t="shared" si="21"/>
        <v>0</v>
      </c>
      <c r="AQ50" s="277">
        <f t="shared" si="22"/>
        <v>0</v>
      </c>
      <c r="AR50" s="277">
        <f t="shared" si="23"/>
        <v>0</v>
      </c>
      <c r="AS50" s="277">
        <f t="shared" si="24"/>
        <v>0</v>
      </c>
      <c r="AT50" s="277">
        <f t="shared" si="73"/>
        <v>0</v>
      </c>
      <c r="AU50" s="277">
        <f t="shared" si="74"/>
        <v>0</v>
      </c>
      <c r="AV50" s="277">
        <f t="shared" si="25"/>
        <v>0</v>
      </c>
      <c r="AW50" s="277">
        <f t="shared" si="26"/>
        <v>0</v>
      </c>
      <c r="AX50" s="277">
        <f t="shared" si="27"/>
        <v>0</v>
      </c>
      <c r="AY50" s="277">
        <f t="shared" si="28"/>
        <v>0</v>
      </c>
      <c r="AZ50" s="277">
        <f t="shared" si="29"/>
        <v>0</v>
      </c>
      <c r="BA50" s="277">
        <f t="shared" si="30"/>
        <v>0</v>
      </c>
      <c r="BB50" s="277">
        <f t="shared" si="31"/>
        <v>0</v>
      </c>
      <c r="BC50" s="277">
        <f t="shared" si="32"/>
        <v>0</v>
      </c>
      <c r="BD50" s="277">
        <f t="shared" si="33"/>
        <v>0</v>
      </c>
      <c r="BE50" s="277">
        <f t="shared" si="34"/>
        <v>0</v>
      </c>
      <c r="BF50" s="277">
        <f t="shared" si="35"/>
        <v>0</v>
      </c>
      <c r="BG50" s="277">
        <f t="shared" si="36"/>
        <v>0</v>
      </c>
      <c r="BH50" s="277">
        <f t="shared" si="75"/>
        <v>0</v>
      </c>
      <c r="BI50" s="277">
        <f t="shared" si="76"/>
        <v>0</v>
      </c>
      <c r="BJ50" s="277">
        <f t="shared" si="37"/>
        <v>0</v>
      </c>
      <c r="BK50" s="277">
        <f t="shared" si="38"/>
        <v>0</v>
      </c>
      <c r="BL50" s="277">
        <f t="shared" si="39"/>
        <v>0</v>
      </c>
      <c r="BM50" s="277">
        <f t="shared" si="40"/>
        <v>0</v>
      </c>
      <c r="BN50" s="277">
        <f t="shared" si="41"/>
        <v>0</v>
      </c>
      <c r="BO50" s="277">
        <f t="shared" si="42"/>
        <v>0</v>
      </c>
      <c r="BP50" s="277">
        <f t="shared" si="77"/>
        <v>0</v>
      </c>
      <c r="BQ50" s="277">
        <f t="shared" si="78"/>
        <v>0</v>
      </c>
      <c r="BR50" s="277">
        <f t="shared" si="43"/>
        <v>0</v>
      </c>
      <c r="BS50" s="277">
        <f t="shared" si="44"/>
        <v>0</v>
      </c>
      <c r="BT50" s="277">
        <f t="shared" si="79"/>
        <v>0</v>
      </c>
      <c r="BU50" s="277">
        <f t="shared" si="80"/>
        <v>0</v>
      </c>
      <c r="BV50" s="277">
        <f t="shared" si="81"/>
        <v>0</v>
      </c>
      <c r="BW50" s="277">
        <f t="shared" si="82"/>
        <v>0</v>
      </c>
      <c r="BX50" s="277">
        <f t="shared" si="45"/>
        <v>0</v>
      </c>
      <c r="BY50" s="277">
        <f t="shared" si="46"/>
        <v>0</v>
      </c>
      <c r="BZ50" s="277">
        <f t="shared" si="47"/>
        <v>0</v>
      </c>
      <c r="CA50" s="277">
        <f t="shared" si="48"/>
        <v>0</v>
      </c>
      <c r="CB50" s="277">
        <f t="shared" si="49"/>
        <v>0</v>
      </c>
      <c r="CC50" s="277">
        <f t="shared" si="50"/>
        <v>0</v>
      </c>
      <c r="CD50" s="277">
        <f t="shared" si="83"/>
        <v>0</v>
      </c>
      <c r="CE50" s="277">
        <f t="shared" si="84"/>
        <v>0</v>
      </c>
      <c r="CF50" s="277">
        <f t="shared" si="85"/>
        <v>0</v>
      </c>
      <c r="CG50" s="277">
        <f t="shared" si="86"/>
        <v>0</v>
      </c>
      <c r="CH50" s="277">
        <f t="shared" si="51"/>
        <v>0</v>
      </c>
      <c r="CI50" s="277">
        <f t="shared" si="52"/>
        <v>0</v>
      </c>
      <c r="CJ50" s="277">
        <f t="shared" si="87"/>
        <v>0</v>
      </c>
      <c r="CK50" s="277">
        <f t="shared" si="88"/>
        <v>0</v>
      </c>
      <c r="CL50" s="277">
        <f t="shared" si="53"/>
        <v>0</v>
      </c>
      <c r="CM50" s="277">
        <f t="shared" si="54"/>
        <v>0</v>
      </c>
      <c r="CN50" s="277">
        <f t="shared" si="55"/>
        <v>0</v>
      </c>
      <c r="CO50" s="277">
        <f t="shared" si="56"/>
        <v>0</v>
      </c>
      <c r="CP50" s="277">
        <f t="shared" si="89"/>
        <v>0</v>
      </c>
      <c r="CQ50" s="277">
        <f t="shared" si="90"/>
        <v>0</v>
      </c>
      <c r="CR50" s="277">
        <f t="shared" si="91"/>
        <v>0</v>
      </c>
      <c r="CS50" s="277">
        <f t="shared" si="92"/>
        <v>0</v>
      </c>
      <c r="CT50" s="277">
        <f t="shared" si="57"/>
        <v>0</v>
      </c>
      <c r="CU50" s="277">
        <f t="shared" si="58"/>
        <v>0</v>
      </c>
      <c r="CV50" s="277">
        <f t="shared" si="59"/>
        <v>0</v>
      </c>
      <c r="CW50" s="277">
        <f t="shared" ca="1" si="60"/>
        <v>0</v>
      </c>
      <c r="CX50" s="277">
        <f t="shared" si="93"/>
        <v>0</v>
      </c>
      <c r="CY50" s="277">
        <f t="shared" si="94"/>
        <v>0</v>
      </c>
      <c r="CZ50" s="277">
        <f t="shared" ca="1" si="95"/>
        <v>0</v>
      </c>
      <c r="DA50" s="277">
        <f t="shared" si="96"/>
        <v>0</v>
      </c>
    </row>
    <row r="51" spans="1:105" s="274" customFormat="1" ht="16.5" customHeight="1">
      <c r="A51" s="63" t="str">
        <f t="array" ref="A51">IF(C51&lt;&gt;0,SUM(($C$11:C51&lt;&gt;0)*1),"")</f>
        <v/>
      </c>
      <c r="B51" s="241"/>
      <c r="C51" s="241"/>
      <c r="D51" s="241"/>
      <c r="E51" s="276"/>
      <c r="F51" s="65"/>
      <c r="G51" s="280"/>
      <c r="H51" s="280"/>
      <c r="I51" s="63" t="str">
        <f>A51</f>
        <v/>
      </c>
      <c r="J51" s="277">
        <f>IF($G51="1111",$F51,0)</f>
        <v>0</v>
      </c>
      <c r="K51" s="277">
        <f>IF($H51="1111",$F51,0)</f>
        <v>0</v>
      </c>
      <c r="L51" s="277">
        <f>IF($G51="1121",$F51,0)</f>
        <v>0</v>
      </c>
      <c r="M51" s="277">
        <f>IF($H51="1121",$F51,0)</f>
        <v>0</v>
      </c>
      <c r="N51" s="277">
        <f>IF($G51="1122",$F51,0)</f>
        <v>0</v>
      </c>
      <c r="O51" s="277">
        <f>IF($H51="1122",$F51,0)</f>
        <v>0</v>
      </c>
      <c r="P51" s="277">
        <f>IF($G51="131",$F51,0)</f>
        <v>0</v>
      </c>
      <c r="Q51" s="277">
        <f>IF($H51="131",$F51,0)</f>
        <v>0</v>
      </c>
      <c r="R51" s="277">
        <f>IF($G51="1331",$F51,0)</f>
        <v>0</v>
      </c>
      <c r="S51" s="277">
        <f>IF($H51="1331",$F51,0)</f>
        <v>0</v>
      </c>
      <c r="T51" s="277">
        <f>IF($G51="1388",$F51,0)</f>
        <v>0</v>
      </c>
      <c r="U51" s="277">
        <f>IF($H51="1388",$F51,0)</f>
        <v>0</v>
      </c>
      <c r="V51" s="277">
        <f>IF($G51="141",$F51,0)</f>
        <v>0</v>
      </c>
      <c r="W51" s="277">
        <f>IF($H51="141",$F51,0)</f>
        <v>0</v>
      </c>
      <c r="X51" s="277">
        <f>IF($G51="1521",$F51,0)</f>
        <v>0</v>
      </c>
      <c r="Y51" s="277">
        <f>IF($H51="1521",$F51,0)</f>
        <v>0</v>
      </c>
      <c r="Z51" s="277">
        <f>IF($G51="1522",$F51,0)</f>
        <v>0</v>
      </c>
      <c r="AA51" s="277">
        <f>IF($H51="1522",$F51,0)</f>
        <v>0</v>
      </c>
      <c r="AB51" s="277">
        <f>IF($G51="153",$F51,0)</f>
        <v>0</v>
      </c>
      <c r="AC51" s="277">
        <f>IF($H51="153",$F51,0)</f>
        <v>0</v>
      </c>
      <c r="AD51" s="277">
        <f>IF($G51="154",$F51,0)</f>
        <v>0</v>
      </c>
      <c r="AE51" s="277">
        <f>IF($H51="154",$F51,0)</f>
        <v>0</v>
      </c>
      <c r="AF51" s="277">
        <f>IF($G51="155",$F51,0)</f>
        <v>0</v>
      </c>
      <c r="AG51" s="277">
        <f>IF($H51="155",$F51,0)</f>
        <v>0</v>
      </c>
      <c r="AH51" s="277">
        <f>IF($G51="2111",$F51,0)</f>
        <v>0</v>
      </c>
      <c r="AI51" s="277">
        <f>IF($H51="2111",$F51,0)</f>
        <v>0</v>
      </c>
      <c r="AJ51" s="277">
        <f>IF($G51="2112",$F51,0)</f>
        <v>0</v>
      </c>
      <c r="AK51" s="277">
        <f>IF($H51="2112",$F51,0)</f>
        <v>0</v>
      </c>
      <c r="AL51" s="277">
        <f>IF($G51="2113",$F51,0)</f>
        <v>0</v>
      </c>
      <c r="AM51" s="277">
        <f>IF($H51="2113",$F51,0)</f>
        <v>0</v>
      </c>
      <c r="AN51" s="277">
        <f>IF($G51="2131",$F51,0)</f>
        <v>0</v>
      </c>
      <c r="AO51" s="277">
        <f>IF($H51="2131",$F51,0)</f>
        <v>0</v>
      </c>
      <c r="AP51" s="277">
        <f>IF($G51="2141",$F51,0)</f>
        <v>0</v>
      </c>
      <c r="AQ51" s="277">
        <f>IF($H51="2141",$F51,0)</f>
        <v>0</v>
      </c>
      <c r="AR51" s="277">
        <f>IF($G51="2143",$F51,0)</f>
        <v>0</v>
      </c>
      <c r="AS51" s="277">
        <f>IF($H51="2143",$F51,0)</f>
        <v>0</v>
      </c>
      <c r="AT51" s="277">
        <f>IF($G51="2412",$F51,0)</f>
        <v>0</v>
      </c>
      <c r="AU51" s="277">
        <f>IF($H51="2412",$F51,0)</f>
        <v>0</v>
      </c>
      <c r="AV51" s="277">
        <f>IF($G51="331",$F51,0)</f>
        <v>0</v>
      </c>
      <c r="AW51" s="277">
        <f>IF($H51="331",$F51,0)</f>
        <v>0</v>
      </c>
      <c r="AX51" s="277">
        <f>IF($G51="33311",$F51,0)</f>
        <v>0</v>
      </c>
      <c r="AY51" s="277">
        <f>IF($H51="33311",$F51,0)</f>
        <v>0</v>
      </c>
      <c r="AZ51" s="277">
        <f>IF($G51="33312",$F51,0)</f>
        <v>0</v>
      </c>
      <c r="BA51" s="277">
        <f>IF($H51="33312",$F51,0)</f>
        <v>0</v>
      </c>
      <c r="BB51" s="277">
        <f>IF($G51="3333",$F51,0)</f>
        <v>0</v>
      </c>
      <c r="BC51" s="277">
        <f>IF($H51="3333",$F51,0)</f>
        <v>0</v>
      </c>
      <c r="BD51" s="277">
        <f>IF($G51="3334",$F51,0)</f>
        <v>0</v>
      </c>
      <c r="BE51" s="277">
        <f>IF($H51="3334",$F51,0)</f>
        <v>0</v>
      </c>
      <c r="BF51" s="277">
        <f>IF($G51="3335",$F51,0)</f>
        <v>0</v>
      </c>
      <c r="BG51" s="277">
        <f>IF($H51="3335",$F51,0)</f>
        <v>0</v>
      </c>
      <c r="BH51" s="277">
        <f>IF($G51="33382",$F51,0)</f>
        <v>0</v>
      </c>
      <c r="BI51" s="277">
        <f>IF($H51="33382",$F51,0)</f>
        <v>0</v>
      </c>
      <c r="BJ51" s="277">
        <f>IF($G51="3341",$F51,0)</f>
        <v>0</v>
      </c>
      <c r="BK51" s="277">
        <f>IF($H51="3341",$F51,0)</f>
        <v>0</v>
      </c>
      <c r="BL51" s="277">
        <f>IF($G51="3383",$F51,0)</f>
        <v>0</v>
      </c>
      <c r="BM51" s="277">
        <f>IF($H51="3383",$F51,0)</f>
        <v>0</v>
      </c>
      <c r="BN51" s="277">
        <f>IF($G51="3384",$F51,0)</f>
        <v>0</v>
      </c>
      <c r="BO51" s="277">
        <f>IF($H51="3384",$F51,0)</f>
        <v>0</v>
      </c>
      <c r="BP51" s="277">
        <f>IF($G51="3386",$F51,0)</f>
        <v>0</v>
      </c>
      <c r="BQ51" s="277">
        <f>IF($H51="3386",$F51,0)</f>
        <v>0</v>
      </c>
      <c r="BR51" s="277">
        <f>IF($G51="3388",$F51,0)</f>
        <v>0</v>
      </c>
      <c r="BS51" s="277">
        <f>IF($H51="3388",$F51,0)</f>
        <v>0</v>
      </c>
      <c r="BT51" s="277">
        <f>IF($G51="3411",$F51,0)</f>
        <v>0</v>
      </c>
      <c r="BU51" s="277">
        <f>IF($H51="3411",$F51,0)</f>
        <v>0</v>
      </c>
      <c r="BV51" s="277">
        <f>IF($G51="3412",$F51,0)</f>
        <v>0</v>
      </c>
      <c r="BW51" s="277">
        <f>IF($H51="3412",$F51,0)</f>
        <v>0</v>
      </c>
      <c r="BX51" s="277">
        <f>IF($G51="4111",$F51,0)</f>
        <v>0</v>
      </c>
      <c r="BY51" s="277">
        <f>IF($H51="4111",$F51,0)</f>
        <v>0</v>
      </c>
      <c r="BZ51" s="277">
        <f>IF($G51="4211",$F51,0)</f>
        <v>0</v>
      </c>
      <c r="CA51" s="277">
        <f>IF($H51="4211",$F51,0)</f>
        <v>0</v>
      </c>
      <c r="CB51" s="277">
        <f>IF($G51="4212",$F51,0)</f>
        <v>0</v>
      </c>
      <c r="CC51" s="277">
        <f>IF($H51="4212",$F51,0)</f>
        <v>0</v>
      </c>
      <c r="CD51" s="277">
        <f>IF($G51="5112N",$F51,0)</f>
        <v>0</v>
      </c>
      <c r="CE51" s="277">
        <f>IF($H51="5112N",$F51,0)</f>
        <v>0</v>
      </c>
      <c r="CF51" s="277">
        <f>IF($G51="5112X",$F51,0)</f>
        <v>0</v>
      </c>
      <c r="CG51" s="277">
        <f>IF($H51="5112X",$F51,0)</f>
        <v>0</v>
      </c>
      <c r="CH51" s="277">
        <f>IF($G51="515",$F51,0)</f>
        <v>0</v>
      </c>
      <c r="CI51" s="277">
        <f>IF($H51="515",$F51,0)</f>
        <v>0</v>
      </c>
      <c r="CJ51" s="277">
        <f>IF($G51="5213",$F51,0)</f>
        <v>0</v>
      </c>
      <c r="CK51" s="277">
        <f>IF($H51="5213",$F51,0)</f>
        <v>0</v>
      </c>
      <c r="CL51" s="277">
        <f>IF($G51="632",$F51,0)</f>
        <v>0</v>
      </c>
      <c r="CM51" s="277">
        <f>IF($H51="632",$F51,0)</f>
        <v>0</v>
      </c>
      <c r="CN51" s="277">
        <f>IF($G51="635",$F51,0)</f>
        <v>0</v>
      </c>
      <c r="CO51" s="277">
        <f>IF($H51="635",$F51,0)</f>
        <v>0</v>
      </c>
      <c r="CP51" s="277">
        <f>IF($G51="641",$F51,0)</f>
        <v>0</v>
      </c>
      <c r="CQ51" s="277">
        <f>IF($H51="641",$F51,0)</f>
        <v>0</v>
      </c>
      <c r="CR51" s="277">
        <f>IF($G51="642",$F51,0)</f>
        <v>0</v>
      </c>
      <c r="CS51" s="277">
        <f>IF($H51="642",$F51,0)</f>
        <v>0</v>
      </c>
      <c r="CT51" s="277">
        <f>IF($G51="711",$F51,0)</f>
        <v>0</v>
      </c>
      <c r="CU51" s="277">
        <f>IF($H51="711",$F51,0)</f>
        <v>0</v>
      </c>
      <c r="CV51" s="277">
        <f>IF($G51="811",$F51,0)</f>
        <v>0</v>
      </c>
      <c r="CW51" s="277">
        <f>IF($H51="811",$F51,0)</f>
        <v>0</v>
      </c>
      <c r="CX51" s="277">
        <f>IF($G51="821",$F51,0)</f>
        <v>0</v>
      </c>
      <c r="CY51" s="277">
        <f>IF($H51="821",$F51,0)</f>
        <v>0</v>
      </c>
      <c r="CZ51" s="277">
        <f>IF($G51="911",$F51,0)</f>
        <v>0</v>
      </c>
      <c r="DA51" s="277">
        <f>IF($H51="911",$F51,0)</f>
        <v>0</v>
      </c>
    </row>
    <row r="52" spans="1:105" s="274" customFormat="1" ht="16.5" customHeight="1">
      <c r="A52" s="281"/>
      <c r="B52" s="241"/>
      <c r="C52" s="310"/>
      <c r="D52" s="241"/>
      <c r="E52" s="276" t="s">
        <v>174</v>
      </c>
      <c r="F52" s="281"/>
      <c r="G52" s="280"/>
      <c r="H52" s="280"/>
      <c r="I52" s="281"/>
      <c r="J52" s="281">
        <f t="shared" ref="J52:AO52" ca="1" si="98">SUM(J11:J51)</f>
        <v>0</v>
      </c>
      <c r="K52" s="281">
        <f t="shared" ca="1" si="98"/>
        <v>0</v>
      </c>
      <c r="L52" s="281">
        <f t="shared" ca="1" si="98"/>
        <v>0</v>
      </c>
      <c r="M52" s="281">
        <f t="shared" ca="1" si="98"/>
        <v>0</v>
      </c>
      <c r="N52" s="281">
        <f t="shared" ca="1" si="98"/>
        <v>0</v>
      </c>
      <c r="O52" s="281">
        <f t="shared" ca="1" si="98"/>
        <v>0</v>
      </c>
      <c r="P52" s="281">
        <f t="shared" ca="1" si="98"/>
        <v>0</v>
      </c>
      <c r="Q52" s="281">
        <f t="shared" ca="1" si="98"/>
        <v>0</v>
      </c>
      <c r="R52" s="281">
        <f t="shared" ca="1" si="98"/>
        <v>0</v>
      </c>
      <c r="S52" s="281">
        <f t="shared" ca="1" si="98"/>
        <v>0</v>
      </c>
      <c r="T52" s="281">
        <f t="shared" ca="1" si="98"/>
        <v>0</v>
      </c>
      <c r="U52" s="281">
        <f t="shared" ca="1" si="98"/>
        <v>0</v>
      </c>
      <c r="V52" s="281">
        <f t="shared" ca="1" si="98"/>
        <v>0</v>
      </c>
      <c r="W52" s="281">
        <f t="shared" ca="1" si="98"/>
        <v>0</v>
      </c>
      <c r="X52" s="281">
        <f t="shared" ca="1" si="98"/>
        <v>0</v>
      </c>
      <c r="Y52" s="281">
        <f t="shared" ca="1" si="98"/>
        <v>0</v>
      </c>
      <c r="Z52" s="281">
        <f t="shared" ca="1" si="98"/>
        <v>0</v>
      </c>
      <c r="AA52" s="281">
        <f t="shared" ca="1" si="98"/>
        <v>0</v>
      </c>
      <c r="AB52" s="281">
        <f t="shared" ca="1" si="98"/>
        <v>0</v>
      </c>
      <c r="AC52" s="281">
        <f t="shared" ca="1" si="98"/>
        <v>0</v>
      </c>
      <c r="AD52" s="281">
        <f t="shared" ca="1" si="98"/>
        <v>0</v>
      </c>
      <c r="AE52" s="281">
        <f t="shared" ca="1" si="98"/>
        <v>0</v>
      </c>
      <c r="AF52" s="281">
        <f t="shared" ca="1" si="98"/>
        <v>0</v>
      </c>
      <c r="AG52" s="281">
        <f t="shared" ca="1" si="98"/>
        <v>0</v>
      </c>
      <c r="AH52" s="281">
        <f t="shared" ca="1" si="98"/>
        <v>0</v>
      </c>
      <c r="AI52" s="281">
        <f t="shared" ca="1" si="98"/>
        <v>0</v>
      </c>
      <c r="AJ52" s="281">
        <f t="shared" ca="1" si="98"/>
        <v>0</v>
      </c>
      <c r="AK52" s="281">
        <f t="shared" ca="1" si="98"/>
        <v>0</v>
      </c>
      <c r="AL52" s="281">
        <f t="shared" ca="1" si="98"/>
        <v>0</v>
      </c>
      <c r="AM52" s="281">
        <f t="shared" ca="1" si="98"/>
        <v>0</v>
      </c>
      <c r="AN52" s="281">
        <f t="shared" ca="1" si="98"/>
        <v>0</v>
      </c>
      <c r="AO52" s="281">
        <f t="shared" ca="1" si="98"/>
        <v>0</v>
      </c>
      <c r="AP52" s="281">
        <f t="shared" ref="AP52:BU52" ca="1" si="99">SUM(AP11:AP51)</f>
        <v>0</v>
      </c>
      <c r="AQ52" s="281">
        <f t="shared" ca="1" si="99"/>
        <v>0</v>
      </c>
      <c r="AR52" s="281">
        <f t="shared" ca="1" si="99"/>
        <v>0</v>
      </c>
      <c r="AS52" s="281">
        <f t="shared" ca="1" si="99"/>
        <v>0</v>
      </c>
      <c r="AT52" s="281">
        <f t="shared" ca="1" si="99"/>
        <v>0</v>
      </c>
      <c r="AU52" s="281">
        <f t="shared" ca="1" si="99"/>
        <v>0</v>
      </c>
      <c r="AV52" s="281">
        <f t="shared" ca="1" si="99"/>
        <v>0</v>
      </c>
      <c r="AW52" s="281">
        <f t="shared" ca="1" si="99"/>
        <v>0</v>
      </c>
      <c r="AX52" s="281">
        <f t="shared" ca="1" si="99"/>
        <v>0</v>
      </c>
      <c r="AY52" s="281">
        <f t="shared" ca="1" si="99"/>
        <v>0</v>
      </c>
      <c r="AZ52" s="281">
        <f t="shared" ca="1" si="99"/>
        <v>0</v>
      </c>
      <c r="BA52" s="281">
        <f t="shared" ca="1" si="99"/>
        <v>0</v>
      </c>
      <c r="BB52" s="281">
        <f t="shared" ca="1" si="99"/>
        <v>0</v>
      </c>
      <c r="BC52" s="281">
        <f t="shared" ca="1" si="99"/>
        <v>0</v>
      </c>
      <c r="BD52" s="281">
        <f t="shared" ca="1" si="99"/>
        <v>0</v>
      </c>
      <c r="BE52" s="281">
        <f t="shared" ca="1" si="99"/>
        <v>0</v>
      </c>
      <c r="BF52" s="281">
        <f t="shared" ca="1" si="99"/>
        <v>0</v>
      </c>
      <c r="BG52" s="281">
        <f t="shared" ca="1" si="99"/>
        <v>0</v>
      </c>
      <c r="BH52" s="281">
        <f t="shared" ca="1" si="99"/>
        <v>0</v>
      </c>
      <c r="BI52" s="281">
        <f t="shared" ca="1" si="99"/>
        <v>0</v>
      </c>
      <c r="BJ52" s="281">
        <f t="shared" ca="1" si="99"/>
        <v>0</v>
      </c>
      <c r="BK52" s="281">
        <f t="shared" ca="1" si="99"/>
        <v>0</v>
      </c>
      <c r="BL52" s="281">
        <f t="shared" ca="1" si="99"/>
        <v>0</v>
      </c>
      <c r="BM52" s="281">
        <f t="shared" ca="1" si="99"/>
        <v>0</v>
      </c>
      <c r="BN52" s="281">
        <f t="shared" ca="1" si="99"/>
        <v>0</v>
      </c>
      <c r="BO52" s="281">
        <f t="shared" ca="1" si="99"/>
        <v>0</v>
      </c>
      <c r="BP52" s="281">
        <f t="shared" ca="1" si="99"/>
        <v>0</v>
      </c>
      <c r="BQ52" s="281">
        <f t="shared" ca="1" si="99"/>
        <v>0</v>
      </c>
      <c r="BR52" s="281">
        <f t="shared" ca="1" si="99"/>
        <v>0</v>
      </c>
      <c r="BS52" s="281">
        <f t="shared" ca="1" si="99"/>
        <v>0</v>
      </c>
      <c r="BT52" s="281">
        <f t="shared" ca="1" si="99"/>
        <v>0</v>
      </c>
      <c r="BU52" s="281">
        <f t="shared" ca="1" si="99"/>
        <v>0</v>
      </c>
      <c r="BV52" s="281">
        <f t="shared" ref="BV52:DA52" ca="1" si="100">SUM(BV11:BV51)</f>
        <v>0</v>
      </c>
      <c r="BW52" s="281">
        <f t="shared" ca="1" si="100"/>
        <v>0</v>
      </c>
      <c r="BX52" s="281">
        <f t="shared" ca="1" si="100"/>
        <v>0</v>
      </c>
      <c r="BY52" s="281">
        <f t="shared" ca="1" si="100"/>
        <v>0</v>
      </c>
      <c r="BZ52" s="281">
        <f t="shared" ca="1" si="100"/>
        <v>0</v>
      </c>
      <c r="CA52" s="281">
        <f t="shared" ca="1" si="100"/>
        <v>0</v>
      </c>
      <c r="CB52" s="281">
        <f t="shared" ca="1" si="100"/>
        <v>0</v>
      </c>
      <c r="CC52" s="281">
        <f t="shared" ca="1" si="100"/>
        <v>0</v>
      </c>
      <c r="CD52" s="281">
        <f t="shared" ca="1" si="100"/>
        <v>0</v>
      </c>
      <c r="CE52" s="281">
        <f t="shared" ca="1" si="100"/>
        <v>0</v>
      </c>
      <c r="CF52" s="281">
        <f t="shared" ca="1" si="100"/>
        <v>0</v>
      </c>
      <c r="CG52" s="281">
        <f t="shared" ca="1" si="100"/>
        <v>0</v>
      </c>
      <c r="CH52" s="281">
        <f t="shared" ca="1" si="100"/>
        <v>0</v>
      </c>
      <c r="CI52" s="281">
        <f t="shared" ca="1" si="100"/>
        <v>0</v>
      </c>
      <c r="CJ52" s="281">
        <f t="shared" ca="1" si="100"/>
        <v>0</v>
      </c>
      <c r="CK52" s="281">
        <f t="shared" ca="1" si="100"/>
        <v>0</v>
      </c>
      <c r="CL52" s="281">
        <f t="shared" ca="1" si="100"/>
        <v>0</v>
      </c>
      <c r="CM52" s="281">
        <f t="shared" ca="1" si="100"/>
        <v>0</v>
      </c>
      <c r="CN52" s="281">
        <f t="shared" ca="1" si="100"/>
        <v>0</v>
      </c>
      <c r="CO52" s="281">
        <f t="shared" ca="1" si="100"/>
        <v>0</v>
      </c>
      <c r="CP52" s="281">
        <f t="shared" ca="1" si="100"/>
        <v>0</v>
      </c>
      <c r="CQ52" s="281">
        <f t="shared" ca="1" si="100"/>
        <v>0</v>
      </c>
      <c r="CR52" s="281">
        <f t="shared" ca="1" si="100"/>
        <v>0</v>
      </c>
      <c r="CS52" s="281">
        <f t="shared" ca="1" si="100"/>
        <v>0</v>
      </c>
      <c r="CT52" s="281">
        <f t="shared" ca="1" si="100"/>
        <v>0</v>
      </c>
      <c r="CU52" s="281">
        <f t="shared" ca="1" si="100"/>
        <v>0</v>
      </c>
      <c r="CV52" s="281">
        <f t="shared" ca="1" si="100"/>
        <v>0</v>
      </c>
      <c r="CW52" s="281">
        <f t="shared" ca="1" si="100"/>
        <v>0</v>
      </c>
      <c r="CX52" s="281">
        <f t="shared" ca="1" si="100"/>
        <v>0</v>
      </c>
      <c r="CY52" s="281">
        <f t="shared" ca="1" si="100"/>
        <v>0</v>
      </c>
      <c r="CZ52" s="281">
        <f t="shared" ca="1" si="100"/>
        <v>0</v>
      </c>
      <c r="DA52" s="281">
        <f t="shared" ca="1" si="100"/>
        <v>0</v>
      </c>
    </row>
    <row r="53" spans="1:105" s="274" customFormat="1" ht="16.5" customHeight="1">
      <c r="A53" s="282"/>
      <c r="B53" s="282"/>
      <c r="C53" s="282"/>
      <c r="D53" s="282"/>
      <c r="E53" s="283" t="s">
        <v>215</v>
      </c>
      <c r="F53" s="282"/>
      <c r="G53" s="284"/>
      <c r="H53" s="284"/>
      <c r="I53" s="282"/>
      <c r="J53" s="304">
        <f ca="1">MAX(J10+J52-K10-K52,0)</f>
        <v>3705039095</v>
      </c>
      <c r="K53" s="304">
        <f ca="1">MAX(K10+K52-J10-J52,0)</f>
        <v>0</v>
      </c>
      <c r="L53" s="304">
        <f ca="1">MAX(L10+L52-M10-M52,0)</f>
        <v>19829295</v>
      </c>
      <c r="M53" s="304">
        <f ca="1">MAX(M10+M52-L10-L52,0)</f>
        <v>0</v>
      </c>
      <c r="N53" s="304">
        <f ca="1">MAX(N10+N52-O10-O52,0)</f>
        <v>2236796790</v>
      </c>
      <c r="O53" s="304">
        <f ca="1">MAX(O10+O52-N10-N52,0)</f>
        <v>0</v>
      </c>
      <c r="P53" s="304">
        <f ca="1">MAX(P10+P52-Q10-Q52,0)</f>
        <v>3343381600</v>
      </c>
      <c r="Q53" s="304">
        <f ca="1">MAX(Q10+Q52-P10-P52,0)</f>
        <v>0</v>
      </c>
      <c r="R53" s="304">
        <f ca="1">MAX(R10+R52-S10-S52,0)</f>
        <v>162420936</v>
      </c>
      <c r="S53" s="304">
        <f ca="1">MAX(S10+S52-R10-R52,0)</f>
        <v>0</v>
      </c>
      <c r="T53" s="304">
        <f ca="1">MAX(T10+T52-U10-U52,0)</f>
        <v>1500000000</v>
      </c>
      <c r="U53" s="304">
        <f ca="1">MAX(U10+U52-T10-T52,0)</f>
        <v>0</v>
      </c>
      <c r="V53" s="304">
        <f ca="1">MAX(V10+V52-W10-W52,0)</f>
        <v>0</v>
      </c>
      <c r="W53" s="304">
        <f ca="1">MAX(W10+W52-V10-V52,0)</f>
        <v>0</v>
      </c>
      <c r="X53" s="304">
        <f ca="1">MAX(X10+X52-Y10-Y52,0)</f>
        <v>2772400000</v>
      </c>
      <c r="Y53" s="304">
        <f ca="1">MAX(Y10+Y52-X10-X52,0)</f>
        <v>0</v>
      </c>
      <c r="Z53" s="304">
        <f ca="1">MAX(Z10+Z52-AA10-AA52,0)</f>
        <v>526519887</v>
      </c>
      <c r="AA53" s="304">
        <f ca="1">MAX(AA10+AA52-Z10-Z52,0)</f>
        <v>0</v>
      </c>
      <c r="AB53" s="304">
        <f ca="1">MAX(AB10+AB52-AC10-AC52,0)</f>
        <v>0</v>
      </c>
      <c r="AC53" s="304">
        <f ca="1">MAX(AC10+AC52-AB10-AB52,0)</f>
        <v>0</v>
      </c>
      <c r="AD53" s="304">
        <f ca="1">MAX(AD10+AD52-AE10-AE52,0)</f>
        <v>0</v>
      </c>
      <c r="AE53" s="304">
        <f ca="1">MAX(AE10+AE52-AD10-AD52,0)</f>
        <v>0</v>
      </c>
      <c r="AF53" s="304">
        <f ca="1">MAX(AF10+AF52-AG10-AG52,0)</f>
        <v>9386323824</v>
      </c>
      <c r="AG53" s="304">
        <f ca="1">MAX(AG10+AG52-AF10-AF52,0)</f>
        <v>0</v>
      </c>
      <c r="AH53" s="304">
        <f ca="1">MAX(AH10+AH52-AI10-AI52,0)</f>
        <v>7490743648</v>
      </c>
      <c r="AI53" s="304">
        <f ca="1">MAX(AI10+AI52-AH10-AH52,0)</f>
        <v>0</v>
      </c>
      <c r="AJ53" s="304">
        <f ca="1">MAX(AJ10+AJ52-AK10-AK52,0)</f>
        <v>3807898863</v>
      </c>
      <c r="AK53" s="304">
        <f ca="1">MAX(AK10+AK52-AJ10-AJ52,0)</f>
        <v>0</v>
      </c>
      <c r="AL53" s="304">
        <f ca="1">MAX(AL10+AL52-AM10-AM52,0)</f>
        <v>3790918485</v>
      </c>
      <c r="AM53" s="304">
        <f ca="1">MAX(AM10+AM52-AL10-AL52,0)</f>
        <v>0</v>
      </c>
      <c r="AN53" s="304">
        <f ca="1">MAX(AN10+AN52-AO10-AO52,0)</f>
        <v>5405781300</v>
      </c>
      <c r="AO53" s="304">
        <f ca="1">MAX(AO10+AO52-AN10-AN52,0)</f>
        <v>0</v>
      </c>
      <c r="AP53" s="304">
        <f ca="1">MAX(AP10+AP52-AQ10-AQ52,0)</f>
        <v>0</v>
      </c>
      <c r="AQ53" s="304">
        <f ca="1">MAX(AQ10+AQ52-AP10-AP52,0)</f>
        <v>9132359256</v>
      </c>
      <c r="AR53" s="304">
        <f ca="1">MAX(AR10+AR52-AS10-AS52,0)</f>
        <v>0</v>
      </c>
      <c r="AS53" s="304">
        <f ca="1">MAX(AS10+AS52-AR10-AR52,0)</f>
        <v>600642360</v>
      </c>
      <c r="AT53" s="304">
        <f ca="1">MAX(AT10+AT52-AU10-AU52,0)</f>
        <v>0</v>
      </c>
      <c r="AU53" s="304">
        <f ca="1">MAX(AU10+AU52-AT10-AT52,0)</f>
        <v>0</v>
      </c>
      <c r="AV53" s="304">
        <f ca="1">MAX(AV10+AV52-AW10-AW52,0)</f>
        <v>0</v>
      </c>
      <c r="AW53" s="304">
        <f ca="1">MAX(AW10+AW52-AV10-AV52,0)</f>
        <v>476953252</v>
      </c>
      <c r="AX53" s="304">
        <f ca="1">MAX(AX10+AX52-AY10-AY52,0)</f>
        <v>0</v>
      </c>
      <c r="AY53" s="304">
        <f ca="1">MAX(AY10+AY52-AX10-AX52,0)</f>
        <v>0</v>
      </c>
      <c r="AZ53" s="304">
        <f ca="1">MAX(AZ10+AZ52-BA10-BA52,0)</f>
        <v>0</v>
      </c>
      <c r="BA53" s="304">
        <f ca="1">MAX(BA10+BA52-AZ10-AZ52,0)</f>
        <v>0</v>
      </c>
      <c r="BB53" s="304">
        <f ca="1">MAX(BB10+BB52-BC10-BC52,0)</f>
        <v>0</v>
      </c>
      <c r="BC53" s="304">
        <f ca="1">MAX(BC10+BC52-BB10-BB52,0)</f>
        <v>0</v>
      </c>
      <c r="BD53" s="304">
        <f ca="1">MAX(BD10+BD52-BE10-BE52,0)</f>
        <v>0</v>
      </c>
      <c r="BE53" s="304">
        <f ca="1">MAX(BE10+BE52-BD10-BD52,0)</f>
        <v>3313435</v>
      </c>
      <c r="BF53" s="304">
        <f ca="1">MAX(BF10+BF52-BG10-BG52,0)</f>
        <v>3389804</v>
      </c>
      <c r="BG53" s="304">
        <f ca="1">MAX(BG10+BG52-BF10-BF52,0)</f>
        <v>0</v>
      </c>
      <c r="BH53" s="304">
        <f ca="1">MAX(BH10+BH52-BI10-BI52,0)</f>
        <v>0</v>
      </c>
      <c r="BI53" s="304">
        <f ca="1">MAX(BI10+BI52-BH10-BH52,0)</f>
        <v>0</v>
      </c>
      <c r="BJ53" s="304">
        <f ca="1">MAX(BJ10+BJ52-BK10-BK52,0)</f>
        <v>0</v>
      </c>
      <c r="BK53" s="304">
        <f ca="1">MAX(BK10+BK52-BJ10-BJ52,0)</f>
        <v>0</v>
      </c>
      <c r="BL53" s="304">
        <f ca="1">MAX(BL10+BL52-BM10-BM52,0)</f>
        <v>0</v>
      </c>
      <c r="BM53" s="304">
        <f ca="1">MAX(BM10+BM52-BL10-BL52,0)</f>
        <v>40272309</v>
      </c>
      <c r="BN53" s="304">
        <f ca="1">MAX(BN10+BN52-BO10-BO52,0)</f>
        <v>0</v>
      </c>
      <c r="BO53" s="304">
        <f ca="1">MAX(BO10+BO52-BN10-BN52,0)</f>
        <v>6403142</v>
      </c>
      <c r="BP53" s="304">
        <f ca="1">MAX(BP10+BP52-BQ10-BQ52,0)</f>
        <v>0</v>
      </c>
      <c r="BQ53" s="304">
        <f ca="1">MAX(BQ10+BQ52-BP10-BP52,0)</f>
        <v>2761373</v>
      </c>
      <c r="BR53" s="304">
        <f ca="1">MAX(BR10+BR52-BS10-BS52,0)</f>
        <v>0</v>
      </c>
      <c r="BS53" s="304">
        <f ca="1">MAX(BS10+BS52-BR10-BR52,0)</f>
        <v>0</v>
      </c>
      <c r="BT53" s="304">
        <f ca="1">MAX(BT10+BT52-BU10-BU52,0)</f>
        <v>0</v>
      </c>
      <c r="BU53" s="304">
        <f ca="1">MAX(BU10+BU52-BT10-BT52,0)</f>
        <v>2169121879</v>
      </c>
      <c r="BV53" s="304">
        <f ca="1">MAX(BV10+BV52-BW10-BW52,0)</f>
        <v>0</v>
      </c>
      <c r="BW53" s="304">
        <f ca="1">MAX(BW10+BW52-BV10-BV52,0)</f>
        <v>21202920500</v>
      </c>
      <c r="BX53" s="304">
        <f ca="1">MAX(BX10+BX52-BY10-BY52,0)</f>
        <v>0</v>
      </c>
      <c r="BY53" s="304">
        <f ca="1">MAX(BY10+BY52-BX10-BX52,0)</f>
        <v>10000000000</v>
      </c>
      <c r="BZ53" s="304">
        <f ca="1">MAX(BZ10+BZ52-CA10-CA52,0)</f>
        <v>0</v>
      </c>
      <c r="CA53" s="304">
        <f ca="1">MAX(CA10+CA52-BZ10-BZ52,0)</f>
        <v>594397022.00000048</v>
      </c>
      <c r="CB53" s="304">
        <f ca="1">MAX(CB10+CB52-CC10-CC52,0)</f>
        <v>77701001</v>
      </c>
      <c r="CC53" s="304">
        <f ca="1">MAX(CC10+CC52-CB10-CB52,0)</f>
        <v>0</v>
      </c>
      <c r="CD53" s="304">
        <f ca="1">MAX(CD10+CD52-CE10-CE52,0)</f>
        <v>0</v>
      </c>
      <c r="CE53" s="304">
        <f ca="1">MAX(CE10+CE52-CD10-CD52,0)</f>
        <v>0</v>
      </c>
      <c r="CF53" s="304">
        <f ca="1">MAX(CF10+CF52-CG10-CG52,0)</f>
        <v>0</v>
      </c>
      <c r="CG53" s="304">
        <f ca="1">MAX(CG10+CG52-CF10-CF52,0)</f>
        <v>0</v>
      </c>
      <c r="CH53" s="304">
        <f ca="1">MAX(CH10+CH52-CI10-CI52,0)</f>
        <v>0</v>
      </c>
      <c r="CI53" s="304">
        <f ca="1">MAX(CI10+CI52-CH10-CH52,0)</f>
        <v>0</v>
      </c>
      <c r="CJ53" s="304">
        <f ca="1">MAX(CJ10+CJ52-CK10-CK52,0)</f>
        <v>0</v>
      </c>
      <c r="CK53" s="304">
        <f ca="1">MAX(CK10+CK52-CJ10-CJ52,0)</f>
        <v>0</v>
      </c>
      <c r="CL53" s="304">
        <f ca="1">MAX(CL10+CL52-CM10-CM52,0)</f>
        <v>0</v>
      </c>
      <c r="CM53" s="304">
        <f ca="1">MAX(CM10+CM52-CL10-CL52,0)</f>
        <v>0</v>
      </c>
      <c r="CN53" s="304">
        <f ca="1">MAX(CN10+CN52-CO10-CO52,0)</f>
        <v>0</v>
      </c>
      <c r="CO53" s="304">
        <f ca="1">MAX(CO10+CO52-CN10-CN52,0)</f>
        <v>0</v>
      </c>
      <c r="CP53" s="304">
        <f ca="1">MAX(CP10+CP52-CQ10-CQ52,0)</f>
        <v>0</v>
      </c>
      <c r="CQ53" s="304">
        <f ca="1">MAX(CQ10+CQ52-CP10-CP52,0)</f>
        <v>0</v>
      </c>
      <c r="CR53" s="304">
        <f ca="1">MAX(CR10+CR52-CS10-CS52,0)</f>
        <v>0</v>
      </c>
      <c r="CS53" s="304">
        <f ca="1">MAX(CS10+CS52-CR10-CR52,0)</f>
        <v>0</v>
      </c>
      <c r="CT53" s="304">
        <f ca="1">MAX(CT10+CT52-CU10-CU52,0)</f>
        <v>0</v>
      </c>
      <c r="CU53" s="304">
        <f ca="1">MAX(CU10+CU52-CT10-CT52,0)</f>
        <v>0</v>
      </c>
      <c r="CV53" s="304">
        <f ca="1">MAX(CV10+CV52-CW10-CW52,0)</f>
        <v>0</v>
      </c>
      <c r="CW53" s="304">
        <f ca="1">MAX(CW10+CW52-CV10-CV52,0)</f>
        <v>0</v>
      </c>
      <c r="CX53" s="304">
        <f ca="1">MAX(CX10+CX52-CY10-CY52,0)</f>
        <v>0</v>
      </c>
      <c r="CY53" s="304">
        <f ca="1">MAX(CY10+CY52-CX10-CX52,0)</f>
        <v>0</v>
      </c>
      <c r="CZ53" s="304">
        <f ca="1">MAX(CZ10+CZ52-DA10-DA52,0)</f>
        <v>0</v>
      </c>
      <c r="DA53" s="304">
        <f ca="1">MAX(DA10+DA52-CZ10-CZ52,0)</f>
        <v>0</v>
      </c>
    </row>
    <row r="54" spans="1:105" s="274" customFormat="1" ht="16.5" customHeight="1">
      <c r="A54" s="286"/>
      <c r="B54" s="286"/>
      <c r="C54" s="287"/>
      <c r="D54" s="286"/>
      <c r="E54" s="288" t="s">
        <v>216</v>
      </c>
      <c r="F54" s="286"/>
      <c r="G54" s="289"/>
      <c r="H54" s="289"/>
      <c r="I54" s="286"/>
      <c r="J54" s="286">
        <f ca="1">J52+'SC-III'!J54</f>
        <v>0</v>
      </c>
      <c r="K54" s="286">
        <f ca="1">K52+'SC-III'!K54</f>
        <v>0</v>
      </c>
      <c r="L54" s="286">
        <f ca="1">L52+'SC-III'!L54</f>
        <v>0</v>
      </c>
      <c r="M54" s="286">
        <f ca="1">M52+'SC-III'!M54</f>
        <v>0</v>
      </c>
      <c r="N54" s="286">
        <f ca="1">N52+'SC-III'!N54</f>
        <v>0</v>
      </c>
      <c r="O54" s="286">
        <f ca="1">O52+'SC-III'!O54</f>
        <v>0</v>
      </c>
      <c r="P54" s="286">
        <f ca="1">P52+'SC-III'!P54</f>
        <v>0</v>
      </c>
      <c r="Q54" s="286">
        <f ca="1">Q52+'SC-III'!Q54</f>
        <v>0</v>
      </c>
      <c r="R54" s="286">
        <f ca="1">R52+'SC-III'!R54</f>
        <v>0</v>
      </c>
      <c r="S54" s="286">
        <f ca="1">S52+'SC-III'!S54</f>
        <v>0</v>
      </c>
      <c r="T54" s="286">
        <f ca="1">T52+'SC-III'!T54</f>
        <v>0</v>
      </c>
      <c r="U54" s="286">
        <f ca="1">U52+'SC-III'!U54</f>
        <v>0</v>
      </c>
      <c r="V54" s="286">
        <f ca="1">V52+'SC-III'!V54</f>
        <v>0</v>
      </c>
      <c r="W54" s="286">
        <f ca="1">W52+'SC-III'!W54</f>
        <v>0</v>
      </c>
      <c r="X54" s="286">
        <f ca="1">X52+'SC-III'!X54</f>
        <v>0</v>
      </c>
      <c r="Y54" s="286">
        <f ca="1">Y52+'SC-III'!Y54</f>
        <v>0</v>
      </c>
      <c r="Z54" s="286">
        <f ca="1">Z52+'SC-III'!Z54</f>
        <v>0</v>
      </c>
      <c r="AA54" s="286">
        <f ca="1">AA52+'SC-III'!AA54</f>
        <v>0</v>
      </c>
      <c r="AB54" s="286">
        <f ca="1">AB52+'SC-III'!AB54</f>
        <v>0</v>
      </c>
      <c r="AC54" s="286">
        <f ca="1">AC52+'SC-III'!AC54</f>
        <v>0</v>
      </c>
      <c r="AD54" s="286">
        <f ca="1">AD52+'SC-III'!AD54</f>
        <v>0</v>
      </c>
      <c r="AE54" s="286">
        <f ca="1">AE52+'SC-III'!AE54</f>
        <v>0</v>
      </c>
      <c r="AF54" s="286">
        <f ca="1">AF52+'SC-III'!AF54</f>
        <v>0</v>
      </c>
      <c r="AG54" s="286">
        <f ca="1">AG52+'SC-III'!AG54</f>
        <v>0</v>
      </c>
      <c r="AH54" s="286">
        <f ca="1">AH52+'SC-III'!AH54</f>
        <v>0</v>
      </c>
      <c r="AI54" s="286">
        <f ca="1">AI52+'SC-III'!AI54</f>
        <v>0</v>
      </c>
      <c r="AJ54" s="286">
        <f ca="1">AJ52+'SC-III'!AJ54</f>
        <v>0</v>
      </c>
      <c r="AK54" s="286">
        <f ca="1">AK52+'SC-III'!AK54</f>
        <v>0</v>
      </c>
      <c r="AL54" s="286">
        <f ca="1">AL52+'SC-III'!AL54</f>
        <v>0</v>
      </c>
      <c r="AM54" s="286">
        <f ca="1">AM52+'SC-III'!AM54</f>
        <v>0</v>
      </c>
      <c r="AN54" s="286">
        <f ca="1">AN52+'SC-III'!AN54</f>
        <v>0</v>
      </c>
      <c r="AO54" s="286">
        <f ca="1">AO52+'SC-III'!AO54</f>
        <v>0</v>
      </c>
      <c r="AP54" s="286">
        <f ca="1">AP52+'SC-III'!AP54</f>
        <v>0</v>
      </c>
      <c r="AQ54" s="286">
        <f ca="1">AQ52+'SC-III'!AQ54</f>
        <v>0</v>
      </c>
      <c r="AR54" s="286">
        <f ca="1">AR52+'SC-III'!AR54</f>
        <v>0</v>
      </c>
      <c r="AS54" s="286">
        <f ca="1">AS52+'SC-III'!AS54</f>
        <v>0</v>
      </c>
      <c r="AT54" s="286">
        <f ca="1">AT52+'SC-III'!AT54</f>
        <v>0</v>
      </c>
      <c r="AU54" s="286">
        <f ca="1">AU52+'SC-III'!AU54</f>
        <v>0</v>
      </c>
      <c r="AV54" s="286">
        <f ca="1">AV52+'SC-III'!AV54</f>
        <v>0</v>
      </c>
      <c r="AW54" s="286">
        <f ca="1">AW52+'SC-III'!AW54</f>
        <v>0</v>
      </c>
      <c r="AX54" s="286">
        <f ca="1">AX52+'SC-III'!AX54</f>
        <v>0</v>
      </c>
      <c r="AY54" s="286">
        <f ca="1">AY52+'SC-III'!AY54</f>
        <v>0</v>
      </c>
      <c r="AZ54" s="286">
        <f ca="1">AZ52+'SC-III'!AZ54</f>
        <v>0</v>
      </c>
      <c r="BA54" s="286">
        <f ca="1">BA52+'SC-III'!BA54</f>
        <v>0</v>
      </c>
      <c r="BB54" s="286">
        <f ca="1">BB52+'SC-III'!BB54</f>
        <v>0</v>
      </c>
      <c r="BC54" s="286">
        <f ca="1">BC52+'SC-III'!BC54</f>
        <v>0</v>
      </c>
      <c r="BD54" s="286">
        <f ca="1">BD52+'SC-III'!BD54</f>
        <v>0</v>
      </c>
      <c r="BE54" s="286">
        <f ca="1">BE52+'SC-III'!BE54</f>
        <v>0</v>
      </c>
      <c r="BF54" s="286">
        <f ca="1">BF52+'SC-III'!BF54</f>
        <v>0</v>
      </c>
      <c r="BG54" s="286">
        <f ca="1">BG52+'SC-III'!BG54</f>
        <v>0</v>
      </c>
      <c r="BH54" s="286">
        <f ca="1">BH52+'SC-III'!BH54</f>
        <v>0</v>
      </c>
      <c r="BI54" s="286">
        <f ca="1">BI52+'SC-III'!BI54</f>
        <v>0</v>
      </c>
      <c r="BJ54" s="286">
        <f ca="1">BJ52+'SC-III'!BJ54</f>
        <v>0</v>
      </c>
      <c r="BK54" s="286">
        <f ca="1">BK52+'SC-III'!BK54</f>
        <v>0</v>
      </c>
      <c r="BL54" s="286">
        <f ca="1">BL52+'SC-III'!BL54</f>
        <v>0</v>
      </c>
      <c r="BM54" s="286">
        <f ca="1">BM52+'SC-III'!BM54</f>
        <v>0</v>
      </c>
      <c r="BN54" s="286">
        <f ca="1">BN52+'SC-III'!BN54</f>
        <v>0</v>
      </c>
      <c r="BO54" s="286">
        <f ca="1">BO52+'SC-III'!BO54</f>
        <v>0</v>
      </c>
      <c r="BP54" s="286">
        <f ca="1">BP52+'SC-III'!BP54</f>
        <v>0</v>
      </c>
      <c r="BQ54" s="286">
        <f ca="1">BQ52+'SC-III'!BQ54</f>
        <v>0</v>
      </c>
      <c r="BR54" s="286">
        <f ca="1">BR52+'SC-III'!BR54</f>
        <v>0</v>
      </c>
      <c r="BS54" s="286">
        <f ca="1">BS52+'SC-III'!BS54</f>
        <v>0</v>
      </c>
      <c r="BT54" s="286">
        <f ca="1">BT52+'SC-III'!BT54</f>
        <v>0</v>
      </c>
      <c r="BU54" s="286">
        <f ca="1">BU52+'SC-III'!BU54</f>
        <v>0</v>
      </c>
      <c r="BV54" s="286">
        <f ca="1">BV52+'SC-III'!BV54</f>
        <v>0</v>
      </c>
      <c r="BW54" s="286">
        <f ca="1">BW52+'SC-III'!BW54</f>
        <v>0</v>
      </c>
      <c r="BX54" s="286">
        <f ca="1">BX52+'SC-III'!BX54</f>
        <v>0</v>
      </c>
      <c r="BY54" s="286">
        <f ca="1">BY52+'SC-III'!BY54</f>
        <v>0</v>
      </c>
      <c r="BZ54" s="286">
        <f ca="1">BZ52+'SC-III'!BZ54</f>
        <v>0</v>
      </c>
      <c r="CA54" s="286">
        <f ca="1">CA52+'SC-III'!CA54</f>
        <v>107861885.00000048</v>
      </c>
      <c r="CB54" s="286">
        <f ca="1">CB52+'SC-III'!CB54</f>
        <v>107861885.00000048</v>
      </c>
      <c r="CC54" s="286">
        <f ca="1">CC52+'SC-III'!CC54</f>
        <v>0</v>
      </c>
      <c r="CD54" s="286">
        <f ca="1">CD52+'SC-III'!CD54</f>
        <v>0</v>
      </c>
      <c r="CE54" s="286">
        <f ca="1">CE52+'SC-III'!CE54</f>
        <v>0</v>
      </c>
      <c r="CF54" s="286">
        <f ca="1">CF52+'SC-III'!CF54</f>
        <v>0</v>
      </c>
      <c r="CG54" s="286">
        <f ca="1">CG52+'SC-III'!CG54</f>
        <v>0</v>
      </c>
      <c r="CH54" s="286">
        <f ca="1">CH52+'SC-III'!CH54</f>
        <v>0</v>
      </c>
      <c r="CI54" s="286">
        <f ca="1">CI52+'SC-III'!CI54</f>
        <v>0</v>
      </c>
      <c r="CJ54" s="286">
        <f ca="1">CJ52+'SC-III'!CJ54</f>
        <v>0</v>
      </c>
      <c r="CK54" s="286">
        <f ca="1">CK52+'SC-III'!CK54</f>
        <v>0</v>
      </c>
      <c r="CL54" s="286">
        <f ca="1">CL52+'SC-III'!CL54</f>
        <v>0</v>
      </c>
      <c r="CM54" s="286">
        <f ca="1">CM52+'SC-III'!CM54</f>
        <v>0</v>
      </c>
      <c r="CN54" s="286">
        <f ca="1">CN52+'SC-III'!CN54</f>
        <v>0</v>
      </c>
      <c r="CO54" s="286">
        <f ca="1">CO52+'SC-III'!CO54</f>
        <v>0</v>
      </c>
      <c r="CP54" s="286">
        <f ca="1">CP52+'SC-III'!CP54</f>
        <v>0</v>
      </c>
      <c r="CQ54" s="286">
        <f ca="1">CQ52+'SC-III'!CQ54</f>
        <v>0</v>
      </c>
      <c r="CR54" s="286">
        <f ca="1">CR52+'SC-III'!CR54</f>
        <v>0</v>
      </c>
      <c r="CS54" s="286">
        <f ca="1">CS52+'SC-III'!CS54</f>
        <v>0</v>
      </c>
      <c r="CT54" s="286">
        <f ca="1">CT52+'SC-III'!CT54</f>
        <v>0</v>
      </c>
      <c r="CU54" s="286">
        <f ca="1">CU52+'SC-III'!CU54</f>
        <v>0</v>
      </c>
      <c r="CV54" s="286">
        <f ca="1">CV52+'SC-III'!CV54</f>
        <v>0</v>
      </c>
      <c r="CW54" s="286">
        <f ca="1">CW52+'SC-III'!CW54</f>
        <v>0</v>
      </c>
      <c r="CX54" s="286">
        <f ca="1">CX52+'SC-III'!CX54</f>
        <v>0</v>
      </c>
      <c r="CY54" s="286">
        <f ca="1">CY52+'SC-III'!CY54</f>
        <v>0</v>
      </c>
      <c r="CZ54" s="286">
        <f ca="1">CZ52+'SC-III'!CZ54</f>
        <v>0</v>
      </c>
      <c r="DA54" s="286">
        <f ca="1">DA52+'SC-III'!DA54</f>
        <v>0</v>
      </c>
    </row>
    <row r="55" spans="1:105" ht="12" customHeight="1">
      <c r="B55" s="291"/>
      <c r="C55" s="292"/>
      <c r="D55" s="292"/>
      <c r="E55" s="292"/>
      <c r="F55" s="292"/>
      <c r="G55" s="293"/>
      <c r="H55" s="293"/>
      <c r="I55" s="292"/>
      <c r="J55" s="292"/>
      <c r="K55" s="292"/>
      <c r="AB55" s="292"/>
      <c r="AC55" s="292"/>
      <c r="AD55" s="292"/>
      <c r="AE55" s="293"/>
      <c r="AF55" s="292"/>
      <c r="AG55" s="293"/>
      <c r="AH55" s="293"/>
      <c r="AI55" s="293"/>
      <c r="AJ55" s="293"/>
      <c r="AK55" s="309"/>
      <c r="AL55" s="292"/>
      <c r="AM55" s="292"/>
      <c r="AN55" s="292"/>
      <c r="AO55" s="292"/>
      <c r="AR55" s="292"/>
      <c r="AS55" s="292"/>
      <c r="AT55" s="292"/>
      <c r="AU55" s="292"/>
      <c r="AV55" s="292"/>
      <c r="AW55" s="292"/>
      <c r="AZ55" s="292"/>
      <c r="BA55" s="292"/>
    </row>
    <row r="56" spans="1:105" ht="12" customHeight="1">
      <c r="B56" s="291"/>
      <c r="C56" s="292"/>
      <c r="D56" s="292"/>
      <c r="E56" s="292"/>
      <c r="F56" s="292"/>
      <c r="G56" s="293"/>
      <c r="H56" s="293"/>
      <c r="I56" s="292"/>
      <c r="J56" s="292"/>
      <c r="K56" s="292"/>
      <c r="AB56" s="292"/>
      <c r="AC56" s="292"/>
      <c r="AD56" s="292"/>
      <c r="AE56" s="293"/>
      <c r="AF56" s="292"/>
      <c r="AG56" s="293"/>
      <c r="AH56" s="293"/>
      <c r="AI56" s="293"/>
      <c r="AJ56" s="293"/>
      <c r="AK56" s="309"/>
      <c r="AL56" s="295" t="s">
        <v>251</v>
      </c>
      <c r="AM56" s="296"/>
      <c r="AN56" s="296"/>
      <c r="AO56" s="296"/>
      <c r="AP56" s="296"/>
      <c r="AQ56" s="296"/>
      <c r="AR56" s="297"/>
      <c r="AS56" s="297"/>
      <c r="AT56" s="296"/>
    </row>
    <row r="57" spans="1:105" ht="12" customHeight="1">
      <c r="J57" s="294"/>
      <c r="K57" s="294"/>
      <c r="L57" s="294"/>
      <c r="M57" s="311"/>
      <c r="N57" s="294"/>
      <c r="O57" s="311"/>
      <c r="P57" s="311"/>
      <c r="Q57" s="311"/>
      <c r="R57" s="294"/>
      <c r="AE57" s="256"/>
      <c r="AG57" s="256"/>
      <c r="AH57" s="256"/>
      <c r="AI57" s="256"/>
      <c r="AJ57" s="256"/>
      <c r="AK57" s="312"/>
      <c r="AL57" s="298" t="s">
        <v>232</v>
      </c>
      <c r="AM57" s="296"/>
      <c r="AN57" s="296"/>
      <c r="AO57" s="296"/>
      <c r="AP57" s="296"/>
      <c r="AQ57" s="296"/>
      <c r="AR57" s="297"/>
      <c r="AS57" s="297"/>
      <c r="AT57" s="296"/>
    </row>
    <row r="58" spans="1:105" s="262" customFormat="1" ht="12" customHeight="1">
      <c r="F58" s="313"/>
      <c r="G58" s="314"/>
      <c r="H58" s="314"/>
      <c r="R58" s="315"/>
      <c r="Z58" s="255"/>
      <c r="AA58" s="255"/>
      <c r="AE58" s="314"/>
      <c r="AG58" s="314"/>
      <c r="AH58" s="314"/>
      <c r="AI58" s="314"/>
      <c r="AJ58" s="314"/>
      <c r="AK58" s="316"/>
      <c r="AL58" s="296"/>
      <c r="AM58" s="296"/>
      <c r="AN58" s="296"/>
      <c r="AO58" s="296"/>
      <c r="AP58" s="296"/>
      <c r="AQ58" s="296"/>
      <c r="AR58" s="296"/>
      <c r="AS58" s="296"/>
      <c r="AT58" s="297"/>
      <c r="AU58" s="255"/>
      <c r="AV58" s="255"/>
      <c r="AW58" s="255"/>
      <c r="AX58" s="255"/>
      <c r="AY58" s="255"/>
      <c r="AZ58" s="255"/>
      <c r="BA58" s="255"/>
    </row>
    <row r="59" spans="1:105" ht="12" customHeight="1">
      <c r="L59" s="274"/>
      <c r="N59" s="274"/>
      <c r="AE59" s="256"/>
      <c r="AG59" s="256"/>
      <c r="AH59" s="256"/>
      <c r="AI59" s="256"/>
      <c r="AJ59" s="256"/>
      <c r="AK59" s="312"/>
      <c r="AL59" s="296"/>
      <c r="AM59" s="296"/>
      <c r="AN59" s="296"/>
      <c r="AO59" s="296"/>
      <c r="AP59" s="296"/>
      <c r="AQ59" s="296"/>
      <c r="AR59" s="296"/>
      <c r="AS59" s="296"/>
      <c r="AT59" s="297"/>
      <c r="AZ59" s="299" t="str">
        <f>"Ngày 31 tháng 12 năm 2015 "</f>
        <v xml:space="preserve">Ngày 31 tháng 12 năm 2015 </v>
      </c>
    </row>
    <row r="60" spans="1:105">
      <c r="J60" s="274"/>
      <c r="K60" s="274"/>
      <c r="AL60" s="296"/>
      <c r="AM60" s="300" t="s">
        <v>11</v>
      </c>
      <c r="AN60" s="296"/>
      <c r="AO60" s="296"/>
      <c r="AP60" s="296"/>
      <c r="AQ60" s="296"/>
      <c r="AR60" s="296"/>
      <c r="AS60" s="301" t="s">
        <v>12</v>
      </c>
      <c r="AT60" s="297"/>
      <c r="AZ60" s="300" t="s">
        <v>131</v>
      </c>
    </row>
    <row r="61" spans="1:105">
      <c r="T61" s="274"/>
      <c r="AL61" s="296"/>
      <c r="AM61" s="302" t="s">
        <v>13</v>
      </c>
      <c r="AN61" s="296"/>
      <c r="AO61" s="296"/>
      <c r="AP61" s="296"/>
      <c r="AQ61" s="296"/>
      <c r="AR61" s="296"/>
      <c r="AS61" s="303" t="s">
        <v>13</v>
      </c>
      <c r="AT61" s="297"/>
      <c r="AZ61" s="302" t="s">
        <v>161</v>
      </c>
    </row>
    <row r="62" spans="1:105">
      <c r="F62" s="274"/>
      <c r="T62" s="274"/>
      <c r="AL62" s="296"/>
      <c r="AM62" s="296"/>
      <c r="AN62" s="296"/>
      <c r="AO62" s="296"/>
      <c r="AP62" s="296"/>
      <c r="AQ62" s="296"/>
      <c r="AR62" s="296"/>
      <c r="AS62" s="296"/>
      <c r="AT62" s="297"/>
      <c r="AZ62" s="296"/>
    </row>
    <row r="63" spans="1:105">
      <c r="F63" s="274"/>
      <c r="T63" s="274"/>
      <c r="AZ63" s="296"/>
    </row>
    <row r="64" spans="1:105">
      <c r="F64" s="274"/>
      <c r="G64" s="274"/>
      <c r="T64" s="274"/>
    </row>
    <row r="65" spans="5:20">
      <c r="F65" s="274"/>
      <c r="T65" s="274"/>
    </row>
    <row r="66" spans="5:20">
      <c r="F66" s="274"/>
      <c r="T66" s="274"/>
    </row>
    <row r="67" spans="5:20">
      <c r="F67" s="274"/>
      <c r="M67" s="294"/>
      <c r="O67" s="294"/>
      <c r="P67" s="294"/>
      <c r="Q67" s="294"/>
      <c r="R67" s="294"/>
      <c r="T67" s="274"/>
    </row>
    <row r="68" spans="5:20">
      <c r="E68" s="305"/>
      <c r="F68" s="274"/>
      <c r="M68" s="294"/>
      <c r="O68" s="294"/>
      <c r="P68" s="294"/>
      <c r="Q68" s="294"/>
      <c r="R68" s="294"/>
    </row>
    <row r="69" spans="5:20">
      <c r="F69" s="294"/>
      <c r="M69" s="294"/>
      <c r="O69" s="294"/>
      <c r="P69" s="294"/>
      <c r="Q69" s="294"/>
      <c r="R69" s="294"/>
    </row>
    <row r="70" spans="5:20">
      <c r="F70" s="294"/>
      <c r="M70" s="294"/>
      <c r="O70" s="294"/>
      <c r="P70" s="294"/>
      <c r="Q70" s="294"/>
      <c r="R70" s="294"/>
    </row>
    <row r="71" spans="5:20">
      <c r="E71" s="294"/>
      <c r="F71" s="294"/>
      <c r="M71" s="294"/>
      <c r="O71" s="294"/>
      <c r="P71" s="294"/>
      <c r="Q71" s="294"/>
      <c r="R71" s="294"/>
    </row>
    <row r="72" spans="5:20">
      <c r="E72" s="294"/>
      <c r="F72" s="294"/>
      <c r="M72" s="294"/>
      <c r="O72" s="294"/>
      <c r="P72" s="294"/>
      <c r="Q72" s="294"/>
      <c r="R72" s="294"/>
    </row>
    <row r="73" spans="5:20">
      <c r="E73" s="294"/>
      <c r="F73" s="294"/>
      <c r="M73" s="294"/>
      <c r="O73" s="294"/>
      <c r="P73" s="294"/>
      <c r="Q73" s="294"/>
      <c r="R73" s="294"/>
    </row>
    <row r="74" spans="5:20">
      <c r="E74" s="294"/>
      <c r="F74" s="294"/>
      <c r="M74" s="294"/>
      <c r="O74" s="294"/>
      <c r="P74" s="294"/>
      <c r="Q74" s="294"/>
      <c r="R74" s="294"/>
    </row>
    <row r="75" spans="5:20">
      <c r="E75" s="294"/>
      <c r="F75" s="294"/>
      <c r="M75" s="294"/>
      <c r="O75" s="294"/>
      <c r="P75" s="294"/>
      <c r="Q75" s="294"/>
      <c r="R75" s="294"/>
    </row>
    <row r="76" spans="5:20">
      <c r="E76" s="294"/>
      <c r="F76" s="294"/>
      <c r="M76" s="294"/>
      <c r="O76" s="294"/>
      <c r="P76" s="294"/>
      <c r="Q76" s="294"/>
      <c r="R76" s="294"/>
    </row>
    <row r="77" spans="5:20">
      <c r="F77" s="294"/>
      <c r="M77" s="294"/>
      <c r="O77" s="294"/>
      <c r="P77" s="294"/>
      <c r="Q77" s="294"/>
      <c r="R77" s="294"/>
    </row>
    <row r="78" spans="5:20">
      <c r="F78" s="294"/>
      <c r="M78" s="294"/>
      <c r="O78" s="294"/>
      <c r="P78" s="294"/>
      <c r="Q78" s="294"/>
      <c r="R78" s="294"/>
    </row>
    <row r="79" spans="5:20">
      <c r="F79" s="294"/>
      <c r="M79" s="294"/>
      <c r="O79" s="294"/>
      <c r="P79" s="294"/>
      <c r="Q79" s="294"/>
      <c r="R79" s="294"/>
    </row>
    <row r="80" spans="5:20">
      <c r="F80" s="294"/>
      <c r="M80" s="294"/>
      <c r="O80" s="294"/>
      <c r="P80" s="294"/>
      <c r="Q80" s="294"/>
      <c r="R80" s="294"/>
    </row>
    <row r="81" spans="6:18">
      <c r="F81" s="294"/>
      <c r="M81" s="294"/>
      <c r="O81" s="294"/>
      <c r="P81" s="294"/>
      <c r="Q81" s="294"/>
      <c r="R81" s="294"/>
    </row>
    <row r="82" spans="6:18">
      <c r="F82" s="294"/>
      <c r="M82" s="294"/>
      <c r="O82" s="294"/>
      <c r="P82" s="294"/>
      <c r="Q82" s="294"/>
      <c r="R82" s="294"/>
    </row>
    <row r="83" spans="6:18">
      <c r="M83" s="294"/>
      <c r="O83" s="294"/>
      <c r="P83" s="294"/>
      <c r="Q83" s="294"/>
      <c r="R83" s="294"/>
    </row>
    <row r="85" spans="6:18">
      <c r="M85" s="294"/>
      <c r="O85" s="294"/>
      <c r="P85" s="294"/>
      <c r="Q85" s="294"/>
      <c r="R85" s="294"/>
    </row>
    <row r="86" spans="6:18">
      <c r="M86" s="294"/>
      <c r="O86" s="294"/>
      <c r="P86" s="294"/>
      <c r="Q86" s="294"/>
      <c r="R86" s="294"/>
    </row>
    <row r="87" spans="6:18">
      <c r="M87" s="294"/>
      <c r="O87" s="294"/>
      <c r="P87" s="294"/>
      <c r="Q87" s="294"/>
      <c r="R87" s="294"/>
    </row>
    <row r="88" spans="6:18">
      <c r="M88" s="294"/>
      <c r="O88" s="294"/>
      <c r="P88" s="294"/>
      <c r="Q88" s="294"/>
      <c r="R88" s="294"/>
    </row>
    <row r="89" spans="6:18">
      <c r="M89" s="294"/>
      <c r="O89" s="294"/>
      <c r="P89" s="294"/>
      <c r="Q89" s="294"/>
      <c r="R89" s="294"/>
    </row>
    <row r="90" spans="6:18">
      <c r="M90" s="294"/>
      <c r="O90" s="294"/>
      <c r="P90" s="294"/>
      <c r="Q90" s="294"/>
      <c r="R90" s="294"/>
    </row>
    <row r="103" spans="13:17">
      <c r="M103" s="294"/>
      <c r="O103" s="294"/>
      <c r="P103" s="294"/>
      <c r="Q103" s="294"/>
    </row>
    <row r="120" spans="13:18">
      <c r="R120" s="294"/>
    </row>
    <row r="121" spans="13:18">
      <c r="R121" s="294"/>
    </row>
    <row r="122" spans="13:18">
      <c r="M122" s="294"/>
      <c r="O122" s="294"/>
      <c r="P122" s="294"/>
      <c r="Q122" s="294"/>
      <c r="R122" s="294"/>
    </row>
    <row r="123" spans="13:18">
      <c r="M123" s="294"/>
      <c r="O123" s="294"/>
      <c r="P123" s="294"/>
      <c r="Q123" s="294"/>
      <c r="R123" s="294"/>
    </row>
    <row r="124" spans="13:18">
      <c r="M124" s="294"/>
      <c r="O124" s="294"/>
      <c r="P124" s="294"/>
      <c r="Q124" s="294"/>
    </row>
    <row r="125" spans="13:18">
      <c r="M125" s="294"/>
      <c r="O125" s="294"/>
      <c r="P125" s="294"/>
      <c r="Q125" s="294"/>
    </row>
    <row r="127" spans="13:18">
      <c r="M127" s="294"/>
      <c r="O127" s="294"/>
      <c r="P127" s="294"/>
      <c r="Q127" s="294"/>
      <c r="R127" s="294"/>
    </row>
    <row r="128" spans="13:18">
      <c r="M128" s="294"/>
      <c r="O128" s="294"/>
      <c r="P128" s="294"/>
      <c r="Q128" s="294"/>
      <c r="R128" s="294"/>
    </row>
    <row r="135" spans="13:18">
      <c r="M135" s="294"/>
      <c r="O135" s="294"/>
      <c r="P135" s="294"/>
      <c r="Q135" s="294"/>
      <c r="R135" s="294"/>
    </row>
    <row r="136" spans="13:18">
      <c r="M136" s="294"/>
      <c r="O136" s="294"/>
      <c r="P136" s="294"/>
      <c r="Q136" s="294"/>
      <c r="R136" s="294"/>
    </row>
    <row r="137" spans="13:18">
      <c r="M137" s="294"/>
      <c r="O137" s="294"/>
      <c r="P137" s="294"/>
      <c r="Q137" s="294"/>
      <c r="R137" s="294"/>
    </row>
    <row r="141" spans="13:18">
      <c r="M141" s="294"/>
      <c r="O141" s="294"/>
      <c r="P141" s="294"/>
      <c r="Q141" s="294"/>
      <c r="R141" s="294"/>
    </row>
    <row r="142" spans="13:18">
      <c r="M142" s="294"/>
      <c r="O142" s="294"/>
      <c r="P142" s="294"/>
      <c r="Q142" s="294"/>
      <c r="R142" s="294"/>
    </row>
    <row r="143" spans="13:18">
      <c r="M143" s="294"/>
      <c r="O143" s="294"/>
      <c r="P143" s="294"/>
      <c r="Q143" s="294"/>
      <c r="R143" s="294"/>
    </row>
    <row r="144" spans="13:18">
      <c r="M144" s="294"/>
      <c r="O144" s="294"/>
      <c r="P144" s="294"/>
      <c r="Q144" s="294"/>
      <c r="R144" s="294"/>
    </row>
    <row r="145" spans="13:18">
      <c r="M145" s="294"/>
      <c r="O145" s="294"/>
      <c r="P145" s="294"/>
      <c r="Q145" s="294"/>
      <c r="R145" s="294"/>
    </row>
    <row r="146" spans="13:18">
      <c r="M146" s="294"/>
      <c r="O146" s="294"/>
      <c r="P146" s="294"/>
      <c r="Q146" s="294"/>
      <c r="R146" s="294"/>
    </row>
    <row r="147" spans="13:18">
      <c r="M147" s="294"/>
      <c r="O147" s="294"/>
      <c r="P147" s="294"/>
      <c r="Q147" s="294"/>
      <c r="R147" s="294"/>
    </row>
    <row r="148" spans="13:18">
      <c r="M148" s="294"/>
      <c r="O148" s="294"/>
      <c r="P148" s="294"/>
      <c r="Q148" s="294"/>
      <c r="R148" s="294"/>
    </row>
    <row r="149" spans="13:18">
      <c r="M149" s="294"/>
      <c r="O149" s="294"/>
      <c r="P149" s="294"/>
      <c r="Q149" s="294"/>
      <c r="R149" s="294"/>
    </row>
    <row r="150" spans="13:18">
      <c r="M150" s="294"/>
      <c r="O150" s="294"/>
      <c r="P150" s="294"/>
      <c r="Q150" s="294"/>
      <c r="R150" s="294"/>
    </row>
    <row r="151" spans="13:18">
      <c r="M151" s="294"/>
      <c r="O151" s="294"/>
      <c r="P151" s="294"/>
      <c r="Q151" s="294"/>
      <c r="R151" s="294"/>
    </row>
    <row r="152" spans="13:18">
      <c r="M152" s="294"/>
      <c r="O152" s="294"/>
      <c r="P152" s="294"/>
      <c r="Q152" s="294"/>
      <c r="R152" s="294"/>
    </row>
    <row r="153" spans="13:18">
      <c r="M153" s="294"/>
      <c r="O153" s="294"/>
      <c r="P153" s="294"/>
      <c r="Q153" s="294"/>
      <c r="R153" s="294"/>
    </row>
    <row r="154" spans="13:18">
      <c r="M154" s="294"/>
      <c r="O154" s="294"/>
      <c r="P154" s="294"/>
      <c r="Q154" s="294"/>
      <c r="R154" s="294"/>
    </row>
    <row r="155" spans="13:18">
      <c r="M155" s="294"/>
      <c r="O155" s="294"/>
      <c r="P155" s="294"/>
      <c r="Q155" s="294"/>
      <c r="R155" s="294"/>
    </row>
    <row r="156" spans="13:18">
      <c r="M156" s="294"/>
      <c r="O156" s="294"/>
      <c r="P156" s="294"/>
      <c r="Q156" s="294"/>
      <c r="R156" s="294"/>
    </row>
    <row r="157" spans="13:18">
      <c r="M157" s="294"/>
      <c r="O157" s="294"/>
      <c r="P157" s="294"/>
      <c r="Q157" s="294"/>
      <c r="R157" s="294"/>
    </row>
    <row r="158" spans="13:18">
      <c r="M158" s="294"/>
      <c r="O158" s="294"/>
      <c r="P158" s="294"/>
      <c r="Q158" s="294"/>
      <c r="R158" s="294"/>
    </row>
    <row r="159" spans="13:18">
      <c r="M159" s="294"/>
      <c r="O159" s="294"/>
      <c r="P159" s="294"/>
      <c r="Q159" s="294"/>
      <c r="R159" s="294"/>
    </row>
    <row r="160" spans="13:18">
      <c r="M160" s="294"/>
      <c r="O160" s="294"/>
      <c r="P160" s="294"/>
      <c r="Q160" s="294"/>
      <c r="R160" s="294"/>
    </row>
    <row r="161" spans="13:18">
      <c r="M161" s="294"/>
      <c r="O161" s="294"/>
      <c r="P161" s="294"/>
      <c r="Q161" s="294"/>
      <c r="R161" s="294"/>
    </row>
    <row r="162" spans="13:18">
      <c r="M162" s="294"/>
      <c r="O162" s="294"/>
      <c r="P162" s="294"/>
      <c r="Q162" s="294"/>
      <c r="R162" s="294"/>
    </row>
    <row r="163" spans="13:18">
      <c r="M163" s="294"/>
      <c r="O163" s="294"/>
      <c r="P163" s="294"/>
      <c r="Q163" s="294"/>
      <c r="R163" s="294"/>
    </row>
    <row r="164" spans="13:18">
      <c r="M164" s="294"/>
      <c r="O164" s="294"/>
      <c r="P164" s="294"/>
      <c r="Q164" s="294"/>
      <c r="R164" s="294"/>
    </row>
    <row r="165" spans="13:18">
      <c r="M165" s="294"/>
      <c r="O165" s="294"/>
      <c r="P165" s="294"/>
      <c r="Q165" s="294"/>
      <c r="R165" s="294"/>
    </row>
    <row r="166" spans="13:18">
      <c r="M166" s="294"/>
      <c r="O166" s="294"/>
      <c r="P166" s="294"/>
      <c r="Q166" s="294"/>
      <c r="R166" s="294"/>
    </row>
    <row r="167" spans="13:18">
      <c r="M167" s="294"/>
      <c r="O167" s="294"/>
      <c r="P167" s="294"/>
      <c r="Q167" s="294"/>
      <c r="R167" s="294"/>
    </row>
    <row r="168" spans="13:18">
      <c r="M168" s="294"/>
      <c r="O168" s="294"/>
      <c r="P168" s="294"/>
      <c r="Q168" s="294"/>
      <c r="R168" s="294"/>
    </row>
    <row r="169" spans="13:18">
      <c r="M169" s="294"/>
      <c r="O169" s="294"/>
      <c r="P169" s="294"/>
      <c r="Q169" s="294"/>
      <c r="R169" s="294"/>
    </row>
    <row r="170" spans="13:18">
      <c r="M170" s="294"/>
      <c r="O170" s="294"/>
      <c r="P170" s="294"/>
      <c r="Q170" s="294"/>
      <c r="R170" s="294"/>
    </row>
    <row r="171" spans="13:18">
      <c r="M171" s="294"/>
      <c r="O171" s="294"/>
      <c r="P171" s="294"/>
      <c r="Q171" s="294"/>
      <c r="R171" s="294"/>
    </row>
    <row r="172" spans="13:18">
      <c r="M172" s="294"/>
      <c r="O172" s="294"/>
      <c r="P172" s="294"/>
      <c r="Q172" s="294"/>
      <c r="R172" s="294"/>
    </row>
    <row r="173" spans="13:18">
      <c r="M173" s="294"/>
      <c r="O173" s="294"/>
      <c r="P173" s="294"/>
      <c r="Q173" s="294"/>
      <c r="R173" s="294"/>
    </row>
    <row r="174" spans="13:18">
      <c r="M174" s="294"/>
      <c r="O174" s="294"/>
      <c r="P174" s="294"/>
      <c r="Q174" s="294"/>
      <c r="R174" s="294"/>
    </row>
    <row r="175" spans="13:18">
      <c r="M175" s="294"/>
      <c r="O175" s="294"/>
      <c r="P175" s="294"/>
      <c r="Q175" s="294"/>
      <c r="R175" s="294"/>
    </row>
    <row r="176" spans="13:18">
      <c r="M176" s="294"/>
      <c r="O176" s="294"/>
      <c r="P176" s="294"/>
      <c r="Q176" s="294"/>
      <c r="R176" s="294"/>
    </row>
    <row r="177" spans="13:18">
      <c r="M177" s="294"/>
      <c r="O177" s="294"/>
      <c r="P177" s="294"/>
      <c r="Q177" s="294"/>
      <c r="R177" s="294"/>
    </row>
    <row r="178" spans="13:18">
      <c r="M178" s="294"/>
      <c r="O178" s="294"/>
      <c r="P178" s="294"/>
      <c r="Q178" s="294"/>
      <c r="R178" s="294"/>
    </row>
    <row r="179" spans="13:18">
      <c r="M179" s="294"/>
      <c r="O179" s="294"/>
      <c r="P179" s="294"/>
      <c r="Q179" s="294"/>
      <c r="R179" s="294"/>
    </row>
    <row r="180" spans="13:18">
      <c r="M180" s="294"/>
      <c r="O180" s="294"/>
      <c r="P180" s="294"/>
      <c r="Q180" s="294"/>
      <c r="R180" s="294"/>
    </row>
    <row r="181" spans="13:18">
      <c r="M181" s="294"/>
      <c r="O181" s="294"/>
      <c r="P181" s="294"/>
      <c r="Q181" s="294"/>
      <c r="R181" s="294"/>
    </row>
    <row r="182" spans="13:18">
      <c r="M182" s="294"/>
      <c r="O182" s="294"/>
      <c r="P182" s="294"/>
      <c r="Q182" s="294"/>
      <c r="R182" s="294"/>
    </row>
    <row r="183" spans="13:18">
      <c r="M183" s="294"/>
      <c r="O183" s="294"/>
      <c r="P183" s="294"/>
      <c r="Q183" s="294"/>
      <c r="R183" s="294"/>
    </row>
    <row r="184" spans="13:18">
      <c r="M184" s="294"/>
      <c r="O184" s="294"/>
      <c r="P184" s="294"/>
      <c r="Q184" s="294"/>
      <c r="R184" s="294"/>
    </row>
    <row r="185" spans="13:18">
      <c r="M185" s="294"/>
      <c r="O185" s="294"/>
      <c r="P185" s="294"/>
      <c r="Q185" s="294"/>
      <c r="R185" s="294"/>
    </row>
    <row r="186" spans="13:18">
      <c r="M186" s="294"/>
      <c r="O186" s="294"/>
      <c r="P186" s="294"/>
      <c r="Q186" s="294"/>
      <c r="R186" s="294"/>
    </row>
    <row r="187" spans="13:18">
      <c r="M187" s="294"/>
      <c r="O187" s="294"/>
      <c r="P187" s="294"/>
      <c r="Q187" s="294"/>
      <c r="R187" s="294"/>
    </row>
    <row r="188" spans="13:18">
      <c r="M188" s="294"/>
      <c r="O188" s="294"/>
      <c r="P188" s="294"/>
      <c r="Q188" s="294"/>
      <c r="R188" s="294"/>
    </row>
    <row r="189" spans="13:18">
      <c r="M189" s="294"/>
      <c r="O189" s="294"/>
      <c r="P189" s="294"/>
      <c r="Q189" s="294"/>
      <c r="R189" s="294"/>
    </row>
    <row r="190" spans="13:18">
      <c r="M190" s="294"/>
      <c r="O190" s="294"/>
      <c r="P190" s="294"/>
      <c r="Q190" s="294"/>
      <c r="R190" s="294"/>
    </row>
    <row r="191" spans="13:18">
      <c r="M191" s="294"/>
      <c r="O191" s="294"/>
      <c r="P191" s="294"/>
      <c r="Q191" s="294"/>
      <c r="R191" s="294"/>
    </row>
    <row r="192" spans="13:18">
      <c r="M192" s="294"/>
      <c r="O192" s="294"/>
      <c r="P192" s="294"/>
      <c r="Q192" s="294"/>
      <c r="R192" s="294"/>
    </row>
    <row r="193" spans="13:18">
      <c r="M193" s="294"/>
      <c r="O193" s="294"/>
      <c r="P193" s="294"/>
      <c r="Q193" s="294"/>
      <c r="R193" s="294"/>
    </row>
    <row r="194" spans="13:18">
      <c r="M194" s="294"/>
      <c r="O194" s="294"/>
      <c r="P194" s="294"/>
      <c r="Q194" s="294"/>
      <c r="R194" s="294"/>
    </row>
    <row r="195" spans="13:18">
      <c r="M195" s="294"/>
      <c r="O195" s="294"/>
      <c r="P195" s="294"/>
      <c r="Q195" s="294"/>
      <c r="R195" s="294"/>
    </row>
    <row r="196" spans="13:18">
      <c r="M196" s="294"/>
      <c r="O196" s="294"/>
      <c r="P196" s="294"/>
      <c r="Q196" s="294"/>
      <c r="R196" s="294"/>
    </row>
    <row r="197" spans="13:18">
      <c r="M197" s="294"/>
      <c r="O197" s="294"/>
      <c r="P197" s="294"/>
      <c r="Q197" s="294"/>
      <c r="R197" s="294"/>
    </row>
    <row r="198" spans="13:18">
      <c r="M198" s="294"/>
      <c r="O198" s="294"/>
      <c r="P198" s="294"/>
      <c r="Q198" s="294"/>
      <c r="R198" s="294"/>
    </row>
    <row r="199" spans="13:18">
      <c r="M199" s="294"/>
      <c r="O199" s="294"/>
      <c r="P199" s="294"/>
      <c r="Q199" s="294"/>
      <c r="R199" s="294"/>
    </row>
    <row r="200" spans="13:18">
      <c r="M200" s="294"/>
      <c r="O200" s="294"/>
      <c r="P200" s="294"/>
      <c r="Q200" s="294"/>
      <c r="R200" s="294"/>
    </row>
    <row r="201" spans="13:18">
      <c r="M201" s="294"/>
      <c r="O201" s="294"/>
      <c r="P201" s="294"/>
      <c r="Q201" s="294"/>
      <c r="R201" s="294"/>
    </row>
    <row r="202" spans="13:18">
      <c r="M202" s="294"/>
      <c r="O202" s="294"/>
      <c r="P202" s="294"/>
      <c r="Q202" s="294"/>
      <c r="R202" s="294"/>
    </row>
    <row r="203" spans="13:18">
      <c r="M203" s="294"/>
      <c r="O203" s="294"/>
      <c r="P203" s="294"/>
      <c r="Q203" s="294"/>
      <c r="R203" s="294"/>
    </row>
    <row r="204" spans="13:18">
      <c r="M204" s="294"/>
      <c r="O204" s="294"/>
      <c r="P204" s="294"/>
      <c r="Q204" s="294"/>
      <c r="R204" s="294"/>
    </row>
    <row r="205" spans="13:18">
      <c r="M205" s="294"/>
      <c r="O205" s="294"/>
      <c r="P205" s="294"/>
      <c r="Q205" s="294"/>
      <c r="R205" s="294"/>
    </row>
    <row r="206" spans="13:18">
      <c r="M206" s="294"/>
      <c r="O206" s="294"/>
      <c r="P206" s="294"/>
      <c r="Q206" s="294"/>
      <c r="R206" s="294"/>
    </row>
    <row r="207" spans="13:18">
      <c r="M207" s="294"/>
      <c r="O207" s="294"/>
      <c r="P207" s="294"/>
      <c r="Q207" s="294"/>
      <c r="R207" s="294"/>
    </row>
    <row r="208" spans="13:18">
      <c r="M208" s="294"/>
      <c r="O208" s="294"/>
      <c r="P208" s="294"/>
      <c r="Q208" s="294"/>
      <c r="R208" s="294"/>
    </row>
    <row r="209" spans="13:18">
      <c r="M209" s="294"/>
      <c r="O209" s="294"/>
      <c r="P209" s="294"/>
      <c r="Q209" s="294"/>
      <c r="R209" s="294"/>
    </row>
    <row r="210" spans="13:18">
      <c r="M210" s="294"/>
      <c r="O210" s="294"/>
      <c r="P210" s="294"/>
      <c r="Q210" s="294"/>
      <c r="R210" s="294"/>
    </row>
    <row r="211" spans="13:18">
      <c r="M211" s="294"/>
      <c r="O211" s="294"/>
      <c r="P211" s="294"/>
      <c r="Q211" s="294"/>
      <c r="R211" s="294"/>
    </row>
    <row r="212" spans="13:18">
      <c r="M212" s="294"/>
      <c r="O212" s="294"/>
      <c r="P212" s="294"/>
      <c r="Q212" s="294"/>
      <c r="R212" s="294"/>
    </row>
    <row r="213" spans="13:18">
      <c r="M213" s="294"/>
      <c r="O213" s="294"/>
      <c r="P213" s="294"/>
      <c r="Q213" s="294"/>
      <c r="R213" s="294"/>
    </row>
    <row r="214" spans="13:18">
      <c r="M214" s="294"/>
      <c r="O214" s="294"/>
      <c r="P214" s="294"/>
      <c r="Q214" s="294"/>
      <c r="R214" s="294"/>
    </row>
    <row r="215" spans="13:18">
      <c r="M215" s="294"/>
      <c r="O215" s="294"/>
      <c r="P215" s="294"/>
      <c r="Q215" s="294"/>
      <c r="R215" s="294"/>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I65"/>
  <sheetViews>
    <sheetView topLeftCell="A7" workbookViewId="0">
      <pane ySplit="8" topLeftCell="A54" activePane="bottomLeft" state="frozen"/>
      <selection activeCell="A7" sqref="A7"/>
      <selection pane="bottomLeft" activeCell="E7" sqref="E7"/>
    </sheetView>
  </sheetViews>
  <sheetFormatPr defaultRowHeight="15"/>
  <cols>
    <col min="1" max="1" width="7.7109375" style="224" customWidth="1"/>
    <col min="2" max="2" width="6.28515625" style="224" customWidth="1"/>
    <col min="3" max="3" width="7.42578125" style="224" customWidth="1"/>
    <col min="4" max="4" width="34.5703125" style="5" customWidth="1"/>
    <col min="5" max="5" width="6.28515625" style="224" customWidth="1"/>
    <col min="6" max="6" width="14.140625" style="5" customWidth="1"/>
    <col min="7" max="7" width="13.7109375" style="5" customWidth="1"/>
    <col min="8" max="8" width="14" style="5" customWidth="1"/>
    <col min="9" max="9" width="13.7109375" style="5" customWidth="1"/>
    <col min="10" max="16384" width="9.140625" style="5"/>
  </cols>
  <sheetData>
    <row r="2" spans="1:9" ht="15.75" customHeight="1">
      <c r="A2" s="1" t="s">
        <v>181</v>
      </c>
      <c r="G2" s="1269" t="s">
        <v>182</v>
      </c>
      <c r="H2" s="1269"/>
      <c r="I2" s="1269"/>
    </row>
    <row r="3" spans="1:9" ht="15.75" customHeight="1">
      <c r="A3" s="1" t="s">
        <v>183</v>
      </c>
      <c r="G3" s="1270" t="s">
        <v>144</v>
      </c>
      <c r="H3" s="1270"/>
      <c r="I3" s="1270"/>
    </row>
    <row r="4" spans="1:9">
      <c r="F4" s="17"/>
      <c r="G4" s="1270"/>
      <c r="H4" s="1270"/>
      <c r="I4" s="1270"/>
    </row>
    <row r="5" spans="1:9" ht="17.25" customHeight="1">
      <c r="A5" s="1271" t="s">
        <v>184</v>
      </c>
      <c r="B5" s="1271"/>
      <c r="C5" s="1271"/>
      <c r="D5" s="1271"/>
      <c r="E5" s="1271"/>
      <c r="F5" s="1271"/>
      <c r="G5" s="1271"/>
      <c r="H5" s="1271"/>
      <c r="I5" s="1271"/>
    </row>
    <row r="6" spans="1:9">
      <c r="A6" s="1272" t="s">
        <v>185</v>
      </c>
      <c r="B6" s="1273"/>
      <c r="C6" s="1273"/>
      <c r="D6" s="1273"/>
      <c r="E6" s="1273"/>
      <c r="F6" s="1273"/>
      <c r="G6" s="1273"/>
      <c r="H6" s="1273"/>
      <c r="I6" s="1273"/>
    </row>
    <row r="7" spans="1:9">
      <c r="B7" s="5"/>
      <c r="C7" s="5"/>
      <c r="D7" s="247" t="s">
        <v>186</v>
      </c>
      <c r="E7" s="248" t="s">
        <v>72</v>
      </c>
    </row>
    <row r="8" spans="1:9">
      <c r="B8" s="5"/>
      <c r="C8" s="5"/>
      <c r="D8" s="247" t="s">
        <v>187</v>
      </c>
      <c r="E8" s="5" t="str">
        <f>VLOOKUP($E$7,DSTK,2,0)</f>
        <v xml:space="preserve"> Phải Thu Khác </v>
      </c>
    </row>
    <row r="9" spans="1:9">
      <c r="A9" s="1273" t="s">
        <v>31</v>
      </c>
      <c r="B9" s="1274"/>
      <c r="C9" s="1274"/>
      <c r="D9" s="1274"/>
      <c r="E9" s="1274"/>
      <c r="F9" s="1274"/>
      <c r="G9" s="1274"/>
      <c r="H9" s="1274"/>
      <c r="I9" s="1274"/>
    </row>
    <row r="10" spans="1:9" ht="9.75" customHeight="1">
      <c r="C10" s="1275"/>
      <c r="D10" s="1276"/>
      <c r="E10" s="1276"/>
      <c r="F10" s="1276"/>
      <c r="G10" s="1276"/>
      <c r="H10" s="1276"/>
      <c r="I10" s="1276"/>
    </row>
    <row r="11" spans="1:9" s="18" customFormat="1" ht="19.5" customHeight="1">
      <c r="A11" s="1277" t="s">
        <v>22</v>
      </c>
      <c r="B11" s="1267" t="s">
        <v>1</v>
      </c>
      <c r="C11" s="1278"/>
      <c r="D11" s="1277" t="s">
        <v>0</v>
      </c>
      <c r="E11" s="1277" t="s">
        <v>16</v>
      </c>
      <c r="F11" s="1267" t="s">
        <v>23</v>
      </c>
      <c r="G11" s="1278"/>
      <c r="H11" s="1267" t="s">
        <v>33</v>
      </c>
      <c r="I11" s="1268"/>
    </row>
    <row r="12" spans="1:9" s="18" customFormat="1" ht="32.25" customHeight="1">
      <c r="A12" s="1277"/>
      <c r="B12" s="410" t="s">
        <v>17</v>
      </c>
      <c r="C12" s="410" t="s">
        <v>34</v>
      </c>
      <c r="D12" s="1277"/>
      <c r="E12" s="1277"/>
      <c r="F12" s="410" t="s">
        <v>24</v>
      </c>
      <c r="G12" s="410" t="s">
        <v>25</v>
      </c>
      <c r="H12" s="410" t="s">
        <v>24</v>
      </c>
      <c r="I12" s="410" t="s">
        <v>25</v>
      </c>
    </row>
    <row r="13" spans="1:9" s="356" customFormat="1" ht="11.25" customHeight="1">
      <c r="A13" s="360" t="s">
        <v>2</v>
      </c>
      <c r="B13" s="361" t="s">
        <v>3</v>
      </c>
      <c r="C13" s="360" t="s">
        <v>4</v>
      </c>
      <c r="D13" s="360" t="s">
        <v>5</v>
      </c>
      <c r="E13" s="360" t="s">
        <v>6</v>
      </c>
      <c r="F13" s="360">
        <v>1</v>
      </c>
      <c r="G13" s="360">
        <v>2</v>
      </c>
      <c r="H13" s="360">
        <v>3</v>
      </c>
      <c r="I13" s="360">
        <v>4</v>
      </c>
    </row>
    <row r="14" spans="1:9" s="18" customFormat="1" ht="18" customHeight="1">
      <c r="A14" s="411"/>
      <c r="B14" s="387"/>
      <c r="C14" s="411"/>
      <c r="D14" s="386" t="s">
        <v>7</v>
      </c>
      <c r="E14" s="387"/>
      <c r="F14" s="412"/>
      <c r="G14" s="412"/>
      <c r="H14" s="412">
        <f>VLOOKUP($E$7,DSTK,3,0)</f>
        <v>1500000000</v>
      </c>
      <c r="I14" s="412">
        <f>VLOOKUP($E$7,DSTK,4,0)</f>
        <v>0</v>
      </c>
    </row>
    <row r="15" spans="1:9" s="18" customFormat="1" ht="18" customHeight="1">
      <c r="A15" s="331">
        <f ca="1">IF(ROWS($1:1)&gt;COUNT(Dong5),"",OFFSET(TH!C$1,SMALL(Dong5,ROWS($1:1)),))</f>
        <v>42403</v>
      </c>
      <c r="B15" s="331" t="str">
        <f ca="1">IF(ROWS($1:1)&gt;COUNT(Dong5),"",OFFSET(TH!D$1,SMALL(Dong5,ROWS($1:1)),))</f>
        <v>GBC</v>
      </c>
      <c r="C15" s="331">
        <f ca="1">IF(ROWS($1:1)&gt;COUNT(Dong5),"",OFFSET(TH!E$1,SMALL(Dong5,ROWS($1:1)),))</f>
        <v>42403</v>
      </c>
      <c r="D15" s="413" t="str">
        <f ca="1">IF(ROWS($1:1)&gt;COUNT(Dong5),"",OFFSET(TH!F$1,SMALL(Dong5,ROWS($1:1)),))</f>
        <v>Q11 - Ứng vốn - TV</v>
      </c>
      <c r="E15" s="331" t="str">
        <f ca="1">IF(ROWS($1:1)&gt;COUNT(Dong5),"",IF(OFFSET(TH!N$1,SMALL(Dong5,ROWS($1:1)),)=$E$7,OFFSET(TH!O$1,SMALL(Dong5,ROWS($1:1)),),OFFSET(TH!N$1,SMALL(Dong5,ROWS($1:1)),)))</f>
        <v>1121</v>
      </c>
      <c r="F15" s="414">
        <f ca="1">IF(ROWS($1:1)&gt;COUNT(Dong5),0,IF(OFFSET(TH!N$1,SMALL(Dong5,ROWS($1:1)),)=$E$7,OFFSET(TH!M$1,SMALL(Dong5,ROWS($1:1)),),0))</f>
        <v>0</v>
      </c>
      <c r="G15" s="412">
        <f ca="1">IF(ROWS($1:1)&gt;COUNT(Dong5),0,IF(OFFSET(TH!O$1,SMALL(Dong5,ROWS($1:1)),)=$E$7,OFFSET(TH!M$1,SMALL(Dong5,ROWS($1:1)),),0))</f>
        <v>110000000</v>
      </c>
      <c r="H15" s="415">
        <f ca="1">IF(D15&lt;&gt;"",MAX(H14+F15-G15-I14,0),0)</f>
        <v>1390000000</v>
      </c>
      <c r="I15" s="415">
        <f ca="1">IF(D15&lt;&gt;"",MAX(I14+G15-H14-F15,0),0)</f>
        <v>0</v>
      </c>
    </row>
    <row r="16" spans="1:9" s="18" customFormat="1" ht="18" customHeight="1">
      <c r="A16" s="331">
        <f ca="1">IF(ROWS($1:2)&gt;COUNT(Dong5),"",OFFSET(TH!C$1,SMALL(Dong5,ROWS($1:2)),))</f>
        <v>42425</v>
      </c>
      <c r="B16" s="331" t="str">
        <f ca="1">IF(ROWS($1:2)&gt;COUNT(Dong5),"",OFFSET(TH!D$1,SMALL(Dong5,ROWS($1:2)),))</f>
        <v>GBN</v>
      </c>
      <c r="C16" s="331">
        <f ca="1">IF(ROWS($1:2)&gt;COUNT(Dong5),"",OFFSET(TH!E$1,SMALL(Dong5,ROWS($1:2)),))</f>
        <v>42425</v>
      </c>
      <c r="D16" s="413" t="str">
        <f ca="1">IF(ROWS($1:2)&gt;COUNT(Dong5),"",OFFSET(TH!F$1,SMALL(Dong5,ROWS($1:2)),))</f>
        <v>Q11 - Ứng vốn - TV</v>
      </c>
      <c r="E16" s="331" t="str">
        <f ca="1">IF(ROWS($1:2)&gt;COUNT(Dong5),"",IF(OFFSET(TH!N$1,SMALL(Dong5,ROWS($1:2)),)=$E$7,OFFSET(TH!O$1,SMALL(Dong5,ROWS($1:2)),),OFFSET(TH!N$1,SMALL(Dong5,ROWS($1:2)),)))</f>
        <v>1121</v>
      </c>
      <c r="F16" s="414">
        <f ca="1">IF(ROWS($1:2)&gt;COUNT(Dong5),0,IF(OFFSET(TH!N$1,SMALL(Dong5,ROWS($1:2)),)=$E$7,OFFSET(TH!M$1,SMALL(Dong5,ROWS($1:2)),),0))</f>
        <v>5000000</v>
      </c>
      <c r="G16" s="412">
        <f ca="1">IF(ROWS($1:2)&gt;COUNT(Dong5),0,IF(OFFSET(TH!O$1,SMALL(Dong5,ROWS($1:2)),)=$E$7,OFFSET(TH!M$1,SMALL(Dong5,ROWS($1:2)),),0))</f>
        <v>0</v>
      </c>
      <c r="H16" s="415">
        <f t="shared" ref="H16:H32" ca="1" si="0">IF(D16&lt;&gt;"",MAX(H15+F16-G16-I15,0),0)</f>
        <v>1395000000</v>
      </c>
      <c r="I16" s="415">
        <f t="shared" ref="I16:I32" ca="1" si="1">IF(D16&lt;&gt;"",MAX(I15+G16-H15-F16,0),0)</f>
        <v>0</v>
      </c>
    </row>
    <row r="17" spans="1:9" s="18" customFormat="1" ht="18" customHeight="1">
      <c r="A17" s="331">
        <f ca="1">IF(ROWS($1:3)&gt;COUNT(Dong5),"",OFFSET(TH!C$1,SMALL(Dong5,ROWS($1:3)),))</f>
        <v>42450</v>
      </c>
      <c r="B17" s="331" t="str">
        <f ca="1">IF(ROWS($1:3)&gt;COUNT(Dong5),"",OFFSET(TH!D$1,SMALL(Dong5,ROWS($1:3)),))</f>
        <v>GBC</v>
      </c>
      <c r="C17" s="331">
        <f ca="1">IF(ROWS($1:3)&gt;COUNT(Dong5),"",OFFSET(TH!E$1,SMALL(Dong5,ROWS($1:3)),))</f>
        <v>42450</v>
      </c>
      <c r="D17" s="413" t="str">
        <f ca="1">IF(ROWS($1:3)&gt;COUNT(Dong5),"",OFFSET(TH!F$1,SMALL(Dong5,ROWS($1:3)),))</f>
        <v>Hoàn vốn</v>
      </c>
      <c r="E17" s="331" t="str">
        <f ca="1">IF(ROWS($1:3)&gt;COUNT(Dong5),"",IF(OFFSET(TH!N$1,SMALL(Dong5,ROWS($1:3)),)=$E$7,OFFSET(TH!O$1,SMALL(Dong5,ROWS($1:3)),),OFFSET(TH!N$1,SMALL(Dong5,ROWS($1:3)),)))</f>
        <v>1121</v>
      </c>
      <c r="F17" s="414">
        <f ca="1">IF(ROWS($1:3)&gt;COUNT(Dong5),0,IF(OFFSET(TH!N$1,SMALL(Dong5,ROWS($1:3)),)=$E$7,OFFSET(TH!M$1,SMALL(Dong5,ROWS($1:3)),),0))</f>
        <v>0</v>
      </c>
      <c r="G17" s="412">
        <f ca="1">IF(ROWS($1:3)&gt;COUNT(Dong5),0,IF(OFFSET(TH!O$1,SMALL(Dong5,ROWS($1:3)),)=$E$7,OFFSET(TH!M$1,SMALL(Dong5,ROWS($1:3)),),0))</f>
        <v>50000000</v>
      </c>
      <c r="H17" s="415">
        <f t="shared" ca="1" si="0"/>
        <v>1345000000</v>
      </c>
      <c r="I17" s="415">
        <f t="shared" ca="1" si="1"/>
        <v>0</v>
      </c>
    </row>
    <row r="18" spans="1:9" s="18" customFormat="1" ht="18" customHeight="1">
      <c r="A18" s="331">
        <f ca="1">IF(ROWS($1:4)&gt;COUNT(Dong5),"",OFFSET(TH!C$1,SMALL(Dong5,ROWS($1:4)),))</f>
        <v>42481</v>
      </c>
      <c r="B18" s="331" t="str">
        <f ca="1">IF(ROWS($1:4)&gt;COUNT(Dong5),"",OFFSET(TH!D$1,SMALL(Dong5,ROWS($1:4)),))</f>
        <v>GBN</v>
      </c>
      <c r="C18" s="331">
        <f ca="1">IF(ROWS($1:4)&gt;COUNT(Dong5),"",OFFSET(TH!E$1,SMALL(Dong5,ROWS($1:4)),))</f>
        <v>42481</v>
      </c>
      <c r="D18" s="413" t="str">
        <f ca="1">IF(ROWS($1:4)&gt;COUNT(Dong5),"",OFFSET(TH!F$1,SMALL(Dong5,ROWS($1:4)),))</f>
        <v>Ứng vốn Trà Vinh</v>
      </c>
      <c r="E18" s="331" t="str">
        <f ca="1">IF(ROWS($1:4)&gt;COUNT(Dong5),"",IF(OFFSET(TH!N$1,SMALL(Dong5,ROWS($1:4)),)=$E$7,OFFSET(TH!O$1,SMALL(Dong5,ROWS($1:4)),),OFFSET(TH!N$1,SMALL(Dong5,ROWS($1:4)),)))</f>
        <v>1121</v>
      </c>
      <c r="F18" s="414">
        <f ca="1">IF(ROWS($1:4)&gt;COUNT(Dong5),0,IF(OFFSET(TH!N$1,SMALL(Dong5,ROWS($1:4)),)=$E$7,OFFSET(TH!M$1,SMALL(Dong5,ROWS($1:4)),),0))</f>
        <v>40000000</v>
      </c>
      <c r="G18" s="412">
        <f ca="1">IF(ROWS($1:4)&gt;COUNT(Dong5),0,IF(OFFSET(TH!O$1,SMALL(Dong5,ROWS($1:4)),)=$E$7,OFFSET(TH!M$1,SMALL(Dong5,ROWS($1:4)),),0))</f>
        <v>0</v>
      </c>
      <c r="H18" s="415">
        <f t="shared" ca="1" si="0"/>
        <v>1385000000</v>
      </c>
      <c r="I18" s="415">
        <f t="shared" ca="1" si="1"/>
        <v>0</v>
      </c>
    </row>
    <row r="19" spans="1:9" s="18" customFormat="1" ht="18" customHeight="1">
      <c r="A19" s="331">
        <f ca="1">IF(ROWS($1:5)&gt;COUNT(Dong5),"",OFFSET(TH!C$1,SMALL(Dong5,ROWS($1:5)),))</f>
        <v>42494</v>
      </c>
      <c r="B19" s="331" t="str">
        <f ca="1">IF(ROWS($1:5)&gt;COUNT(Dong5),"",OFFSET(TH!D$1,SMALL(Dong5,ROWS($1:5)),))</f>
        <v>GBN</v>
      </c>
      <c r="C19" s="331">
        <f ca="1">IF(ROWS($1:5)&gt;COUNT(Dong5),"",OFFSET(TH!E$1,SMALL(Dong5,ROWS($1:5)),))</f>
        <v>42494</v>
      </c>
      <c r="D19" s="413" t="str">
        <f ca="1">IF(ROWS($1:5)&gt;COUNT(Dong5),"",OFFSET(TH!F$1,SMALL(Dong5,ROWS($1:5)),))</f>
        <v>Ứng vốn Trà Vinh</v>
      </c>
      <c r="E19" s="331" t="str">
        <f ca="1">IF(ROWS($1:5)&gt;COUNT(Dong5),"",IF(OFFSET(TH!N$1,SMALL(Dong5,ROWS($1:5)),)=$E$7,OFFSET(TH!O$1,SMALL(Dong5,ROWS($1:5)),),OFFSET(TH!N$1,SMALL(Dong5,ROWS($1:5)),)))</f>
        <v>1121</v>
      </c>
      <c r="F19" s="414">
        <f ca="1">IF(ROWS($1:5)&gt;COUNT(Dong5),0,IF(OFFSET(TH!N$1,SMALL(Dong5,ROWS($1:5)),)=$E$7,OFFSET(TH!M$1,SMALL(Dong5,ROWS($1:5)),),0))</f>
        <v>95000000</v>
      </c>
      <c r="G19" s="412">
        <f ca="1">IF(ROWS($1:5)&gt;COUNT(Dong5),0,IF(OFFSET(TH!O$1,SMALL(Dong5,ROWS($1:5)),)=$E$7,OFFSET(TH!M$1,SMALL(Dong5,ROWS($1:5)),),0))</f>
        <v>0</v>
      </c>
      <c r="H19" s="415">
        <f t="shared" ca="1" si="0"/>
        <v>1480000000</v>
      </c>
      <c r="I19" s="415">
        <f t="shared" ca="1" si="1"/>
        <v>0</v>
      </c>
    </row>
    <row r="20" spans="1:9" s="18" customFormat="1" ht="18" customHeight="1">
      <c r="A20" s="331">
        <f ca="1">IF(ROWS($1:6)&gt;COUNT(Dong5),"",OFFSET(TH!C$1,SMALL(Dong5,ROWS($1:6)),))</f>
        <v>42509</v>
      </c>
      <c r="B20" s="331" t="str">
        <f ca="1">IF(ROWS($1:6)&gt;COUNT(Dong5),"",OFFSET(TH!D$1,SMALL(Dong5,ROWS($1:6)),))</f>
        <v>GBN</v>
      </c>
      <c r="C20" s="331">
        <f ca="1">IF(ROWS($1:6)&gt;COUNT(Dong5),"",OFFSET(TH!E$1,SMALL(Dong5,ROWS($1:6)),))</f>
        <v>42509</v>
      </c>
      <c r="D20" s="413" t="str">
        <f ca="1">IF(ROWS($1:6)&gt;COUNT(Dong5),"",OFFSET(TH!F$1,SMALL(Dong5,ROWS($1:6)),))</f>
        <v>Ứng vốn Trà Vinh</v>
      </c>
      <c r="E20" s="331" t="str">
        <f ca="1">IF(ROWS($1:6)&gt;COUNT(Dong5),"",IF(OFFSET(TH!N$1,SMALL(Dong5,ROWS($1:6)),)=$E$7,OFFSET(TH!O$1,SMALL(Dong5,ROWS($1:6)),),OFFSET(TH!N$1,SMALL(Dong5,ROWS($1:6)),)))</f>
        <v>1121</v>
      </c>
      <c r="F20" s="414">
        <f ca="1">IF(ROWS($1:6)&gt;COUNT(Dong5),0,IF(OFFSET(TH!N$1,SMALL(Dong5,ROWS($1:6)),)=$E$7,OFFSET(TH!M$1,SMALL(Dong5,ROWS($1:6)),),0))</f>
        <v>14000000</v>
      </c>
      <c r="G20" s="412">
        <f ca="1">IF(ROWS($1:6)&gt;COUNT(Dong5),0,IF(OFFSET(TH!O$1,SMALL(Dong5,ROWS($1:6)),)=$E$7,OFFSET(TH!M$1,SMALL(Dong5,ROWS($1:6)),),0))</f>
        <v>0</v>
      </c>
      <c r="H20" s="415">
        <f t="shared" ca="1" si="0"/>
        <v>1494000000</v>
      </c>
      <c r="I20" s="415">
        <f t="shared" ca="1" si="1"/>
        <v>0</v>
      </c>
    </row>
    <row r="21" spans="1:9" s="18" customFormat="1" ht="18" customHeight="1">
      <c r="A21" s="331">
        <f ca="1">IF(ROWS($1:7)&gt;COUNT(Dong5),"",OFFSET(TH!C$1,SMALL(Dong5,ROWS($1:7)),))</f>
        <v>42515</v>
      </c>
      <c r="B21" s="331" t="str">
        <f ca="1">IF(ROWS($1:7)&gt;COUNT(Dong5),"",OFFSET(TH!D$1,SMALL(Dong5,ROWS($1:7)),))</f>
        <v>GBN</v>
      </c>
      <c r="C21" s="331">
        <f ca="1">IF(ROWS($1:7)&gt;COUNT(Dong5),"",OFFSET(TH!E$1,SMALL(Dong5,ROWS($1:7)),))</f>
        <v>42515</v>
      </c>
      <c r="D21" s="413" t="str">
        <f ca="1">IF(ROWS($1:7)&gt;COUNT(Dong5),"",OFFSET(TH!F$1,SMALL(Dong5,ROWS($1:7)),)&amp;" - "&amp;OFFSET(TH!H$1,SMALL(Dong5,ROWS($1:7)),))</f>
        <v>Ứng vốn Trà Vinh - Cty TNHH Hải Sản An Lạc Trà Vinh</v>
      </c>
      <c r="E21" s="331" t="str">
        <f ca="1">IF(ROWS($1:7)&gt;COUNT(Dong5),"",IF(OFFSET(TH!N$1,SMALL(Dong5,ROWS($1:7)),)=$E$7,OFFSET(TH!O$1,SMALL(Dong5,ROWS($1:7)),),OFFSET(TH!N$1,SMALL(Dong5,ROWS($1:7)),)))</f>
        <v>1121</v>
      </c>
      <c r="F21" s="414">
        <f ca="1">IF(ROWS($1:7)&gt;COUNT(Dong5),0,IF(OFFSET(TH!N$1,SMALL(Dong5,ROWS($1:7)),)=$E$7,OFFSET(TH!M$1,SMALL(Dong5,ROWS($1:7)),),0))</f>
        <v>85000000</v>
      </c>
      <c r="G21" s="412">
        <f ca="1">IF(ROWS($1:7)&gt;COUNT(Dong5),0,IF(OFFSET(TH!O$1,SMALL(Dong5,ROWS($1:7)),)=$E$7,OFFSET(TH!M$1,SMALL(Dong5,ROWS($1:7)),),0))</f>
        <v>0</v>
      </c>
      <c r="H21" s="415">
        <f t="shared" ca="1" si="0"/>
        <v>1579000000</v>
      </c>
      <c r="I21" s="415">
        <f t="shared" ca="1" si="1"/>
        <v>0</v>
      </c>
    </row>
    <row r="22" spans="1:9" s="18" customFormat="1" ht="18" customHeight="1">
      <c r="A22" s="331">
        <f ca="1">IF(ROWS($1:8)&gt;COUNT(Dong5),"",OFFSET(TH!C$1,SMALL(Dong5,ROWS($1:8)),))</f>
        <v>42521</v>
      </c>
      <c r="B22" s="331" t="str">
        <f ca="1">IF(ROWS($1:8)&gt;COUNT(Dong5),"",OFFSET(TH!D$1,SMALL(Dong5,ROWS($1:8)),))</f>
        <v>CTGS</v>
      </c>
      <c r="C22" s="331">
        <f ca="1">IF(ROWS($1:8)&gt;COUNT(Dong5),"",OFFSET(TH!E$1,SMALL(Dong5,ROWS($1:8)),))</f>
        <v>42521</v>
      </c>
      <c r="D22" s="413" t="str">
        <f ca="1">IF(ROWS($1:8)&gt;COUNT(Dong5),"",OFFSET(TH!F$1,SMALL(Dong5,ROWS($1:8)),)&amp;" - "&amp;OFFSET(TH!H$1,SMALL(Dong5,ROWS($1:8)),))</f>
        <v>Đề nghị hoàn thuế GTGT số:01/2016-AL - Cục Thuế Tỉnh Long An</v>
      </c>
      <c r="E22" s="331" t="str">
        <f ca="1">IF(ROWS($1:8)&gt;COUNT(Dong5),"",IF(OFFSET(TH!N$1,SMALL(Dong5,ROWS($1:8)),)=$E$7,OFFSET(TH!O$1,SMALL(Dong5,ROWS($1:8)),),OFFSET(TH!N$1,SMALL(Dong5,ROWS($1:8)),)))</f>
        <v>1331</v>
      </c>
      <c r="F22" s="414">
        <f ca="1">IF(ROWS($1:8)&gt;COUNT(Dong5),0,IF(OFFSET(TH!N$1,SMALL(Dong5,ROWS($1:8)),)=$E$7,OFFSET(TH!M$1,SMALL(Dong5,ROWS($1:8)),),0))</f>
        <v>321158412</v>
      </c>
      <c r="G22" s="412">
        <f ca="1">IF(ROWS($1:8)&gt;COUNT(Dong5),0,IF(OFFSET(TH!O$1,SMALL(Dong5,ROWS($1:8)),)=$E$7,OFFSET(TH!M$1,SMALL(Dong5,ROWS($1:8)),),0))</f>
        <v>0</v>
      </c>
      <c r="H22" s="415">
        <f t="shared" ca="1" si="0"/>
        <v>1900158412</v>
      </c>
      <c r="I22" s="415">
        <f t="shared" ca="1" si="1"/>
        <v>0</v>
      </c>
    </row>
    <row r="23" spans="1:9" s="18" customFormat="1" ht="18" customHeight="1">
      <c r="A23" s="331">
        <f ca="1">IF(ROWS($1:9)&gt;COUNT(Dong5),"",OFFSET(TH!C$1,SMALL(Dong5,ROWS($1:9)),))</f>
        <v>42538</v>
      </c>
      <c r="B23" s="331" t="str">
        <f ca="1">IF(ROWS($1:9)&gt;COUNT(Dong5),"",OFFSET(TH!D$1,SMALL(Dong5,ROWS($1:9)),))</f>
        <v>GBN</v>
      </c>
      <c r="C23" s="331">
        <f ca="1">IF(ROWS($1:9)&gt;COUNT(Dong5),"",OFFSET(TH!E$1,SMALL(Dong5,ROWS($1:9)),))</f>
        <v>42538</v>
      </c>
      <c r="D23" s="413" t="str">
        <f ca="1">IF(ROWS($1:9)&gt;COUNT(Dong5),"",OFFSET(TH!F$1,SMALL(Dong5,ROWS($1:9)),)&amp;" - "&amp;OFFSET(TH!H$1,SMALL(Dong5,ROWS($1:9)),))</f>
        <v>Ứng vốn Trà Vinh - Cty TNHH Hải Sản An Lạc Trà Vinh</v>
      </c>
      <c r="E23" s="331" t="str">
        <f ca="1">IF(ROWS($1:9)&gt;COUNT(Dong5),"",IF(OFFSET(TH!N$1,SMALL(Dong5,ROWS($1:9)),)=$E$7,OFFSET(TH!O$1,SMALL(Dong5,ROWS($1:9)),),OFFSET(TH!N$1,SMALL(Dong5,ROWS($1:9)),)))</f>
        <v>1121</v>
      </c>
      <c r="F23" s="414">
        <f ca="1">IF(ROWS($1:9)&gt;COUNT(Dong5),0,IF(OFFSET(TH!N$1,SMALL(Dong5,ROWS($1:9)),)=$E$7,OFFSET(TH!M$1,SMALL(Dong5,ROWS($1:9)),),0))</f>
        <v>1975000000</v>
      </c>
      <c r="G23" s="412">
        <f ca="1">IF(ROWS($1:9)&gt;COUNT(Dong5),0,IF(OFFSET(TH!O$1,SMALL(Dong5,ROWS($1:9)),)=$E$7,OFFSET(TH!M$1,SMALL(Dong5,ROWS($1:9)),),0))</f>
        <v>0</v>
      </c>
      <c r="H23" s="415">
        <f t="shared" ca="1" si="0"/>
        <v>3875158412</v>
      </c>
      <c r="I23" s="415">
        <f t="shared" ca="1" si="1"/>
        <v>0</v>
      </c>
    </row>
    <row r="24" spans="1:9" s="18" customFormat="1" ht="18" customHeight="1">
      <c r="A24" s="331">
        <f ca="1">IF(ROWS($1:10)&gt;COUNT(Dong5),"",OFFSET(TH!C$1,SMALL(Dong5,ROWS($1:10)),))</f>
        <v>42543</v>
      </c>
      <c r="B24" s="331" t="str">
        <f ca="1">IF(ROWS($1:10)&gt;COUNT(Dong5),"",OFFSET(TH!D$1,SMALL(Dong5,ROWS($1:10)),))</f>
        <v>GBN</v>
      </c>
      <c r="C24" s="331">
        <f ca="1">IF(ROWS($1:10)&gt;COUNT(Dong5),"",OFFSET(TH!E$1,SMALL(Dong5,ROWS($1:10)),))</f>
        <v>42543</v>
      </c>
      <c r="D24" s="413" t="str">
        <f ca="1">IF(ROWS($1:10)&gt;COUNT(Dong5),"",OFFSET(TH!F$1,SMALL(Dong5,ROWS($1:10)),)&amp;" - "&amp;OFFSET(TH!H$1,SMALL(Dong5,ROWS($1:10)),))</f>
        <v>An Lạc TV - Hoàn vốn - Cty TNHH Hải Sản An Lạc Trà Vinh</v>
      </c>
      <c r="E24" s="331" t="str">
        <f ca="1">IF(ROWS($1:10)&gt;COUNT(Dong5),"",IF(OFFSET(TH!N$1,SMALL(Dong5,ROWS($1:10)),)=$E$7,OFFSET(TH!O$1,SMALL(Dong5,ROWS($1:10)),),OFFSET(TH!N$1,SMALL(Dong5,ROWS($1:10)),)))</f>
        <v>1121</v>
      </c>
      <c r="F24" s="414">
        <f ca="1">IF(ROWS($1:10)&gt;COUNT(Dong5),0,IF(OFFSET(TH!N$1,SMALL(Dong5,ROWS($1:10)),)=$E$7,OFFSET(TH!M$1,SMALL(Dong5,ROWS($1:10)),),0))</f>
        <v>0</v>
      </c>
      <c r="G24" s="412">
        <f ca="1">IF(ROWS($1:10)&gt;COUNT(Dong5),0,IF(OFFSET(TH!O$1,SMALL(Dong5,ROWS($1:10)),)=$E$7,OFFSET(TH!M$1,SMALL(Dong5,ROWS($1:10)),),0))</f>
        <v>8000000</v>
      </c>
      <c r="H24" s="415">
        <f t="shared" ca="1" si="0"/>
        <v>3867158412</v>
      </c>
      <c r="I24" s="415">
        <f t="shared" ca="1" si="1"/>
        <v>0</v>
      </c>
    </row>
    <row r="25" spans="1:9" s="18" customFormat="1" ht="18" customHeight="1">
      <c r="A25" s="331">
        <f ca="1">IF(ROWS($1:11)&gt;COUNT(Dong5),"",OFFSET(TH!C$1,SMALL(Dong5,ROWS($1:11)),))</f>
        <v>42543</v>
      </c>
      <c r="B25" s="331" t="str">
        <f ca="1">IF(ROWS($1:11)&gt;COUNT(Dong5),"",OFFSET(TH!D$1,SMALL(Dong5,ROWS($1:11)),))</f>
        <v>GBC</v>
      </c>
      <c r="C25" s="331">
        <f ca="1">IF(ROWS($1:11)&gt;COUNT(Dong5),"",OFFSET(TH!E$1,SMALL(Dong5,ROWS($1:11)),))</f>
        <v>42543</v>
      </c>
      <c r="D25" s="413" t="str">
        <f ca="1">IF(ROWS($1:11)&gt;COUNT(Dong5),"",OFFSET(TH!F$1,SMALL(Dong5,ROWS($1:11)),))</f>
        <v xml:space="preserve">Hoàn vốn </v>
      </c>
      <c r="E25" s="331" t="str">
        <f ca="1">IF(ROWS($1:11)&gt;COUNT(Dong5),"",IF(OFFSET(TH!N$1,SMALL(Dong5,ROWS($1:11)),)=$E$7,OFFSET(TH!O$1,SMALL(Dong5,ROWS($1:11)),),OFFSET(TH!N$1,SMALL(Dong5,ROWS($1:11)),)))</f>
        <v>1121</v>
      </c>
      <c r="F25" s="414">
        <f ca="1">IF(ROWS($1:11)&gt;COUNT(Dong5),0,IF(OFFSET(TH!N$1,SMALL(Dong5,ROWS($1:11)),)=$E$7,OFFSET(TH!M$1,SMALL(Dong5,ROWS($1:11)),),0))</f>
        <v>0</v>
      </c>
      <c r="G25" s="412">
        <f ca="1">IF(ROWS($1:11)&gt;COUNT(Dong5),0,IF(OFFSET(TH!O$1,SMALL(Dong5,ROWS($1:11)),)=$E$7,OFFSET(TH!M$1,SMALL(Dong5,ROWS($1:11)),),0))</f>
        <v>7000000</v>
      </c>
      <c r="H25" s="415">
        <f t="shared" ca="1" si="0"/>
        <v>3860158412</v>
      </c>
      <c r="I25" s="415">
        <f t="shared" ca="1" si="1"/>
        <v>0</v>
      </c>
    </row>
    <row r="26" spans="1:9" s="18" customFormat="1" ht="18" customHeight="1">
      <c r="A26" s="331">
        <f ca="1">IF(ROWS($1:12)&gt;COUNT(Dong5),"",OFFSET(TH!C$1,SMALL(Dong5,ROWS($1:12)),))</f>
        <v>42549</v>
      </c>
      <c r="B26" s="331" t="str">
        <f ca="1">IF(ROWS($1:12)&gt;COUNT(Dong5),"",OFFSET(TH!D$1,SMALL(Dong5,ROWS($1:12)),))</f>
        <v>GBN</v>
      </c>
      <c r="C26" s="331">
        <f ca="1">IF(ROWS($1:12)&gt;COUNT(Dong5),"",OFFSET(TH!E$1,SMALL(Dong5,ROWS($1:12)),))</f>
        <v>42549</v>
      </c>
      <c r="D26" s="413" t="str">
        <f ca="1">IF(ROWS($1:12)&gt;COUNT(Dong5),"",OFFSET(TH!F$1,SMALL(Dong5,ROWS($1:12)),))</f>
        <v>Ứng vốn Trà Vinh</v>
      </c>
      <c r="E26" s="331" t="str">
        <f ca="1">IF(ROWS($1:12)&gt;COUNT(Dong5),"",IF(OFFSET(TH!N$1,SMALL(Dong5,ROWS($1:12)),)=$E$7,OFFSET(TH!O$1,SMALL(Dong5,ROWS($1:12)),),OFFSET(TH!N$1,SMALL(Dong5,ROWS($1:12)),)))</f>
        <v>1121</v>
      </c>
      <c r="F26" s="414">
        <f ca="1">IF(ROWS($1:12)&gt;COUNT(Dong5),0,IF(OFFSET(TH!N$1,SMALL(Dong5,ROWS($1:12)),)=$E$7,OFFSET(TH!M$1,SMALL(Dong5,ROWS($1:12)),),0))</f>
        <v>31000000</v>
      </c>
      <c r="G26" s="412">
        <f ca="1">IF(ROWS($1:12)&gt;COUNT(Dong5),0,IF(OFFSET(TH!O$1,SMALL(Dong5,ROWS($1:12)),)=$E$7,OFFSET(TH!M$1,SMALL(Dong5,ROWS($1:12)),),0))</f>
        <v>0</v>
      </c>
      <c r="H26" s="415">
        <f t="shared" ca="1" si="0"/>
        <v>3891158412</v>
      </c>
      <c r="I26" s="415">
        <f t="shared" ca="1" si="1"/>
        <v>0</v>
      </c>
    </row>
    <row r="27" spans="1:9" s="18" customFormat="1" ht="18" customHeight="1">
      <c r="A27" s="331">
        <f ca="1">IF(ROWS($1:13)&gt;COUNT(Dong5),"",OFFSET(TH!C$1,SMALL(Dong5,ROWS($1:13)),))</f>
        <v>42566</v>
      </c>
      <c r="B27" s="331" t="str">
        <f ca="1">IF(ROWS($1:13)&gt;COUNT(Dong5),"",OFFSET(TH!D$1,SMALL(Dong5,ROWS($1:13)),))</f>
        <v>GBN</v>
      </c>
      <c r="C27" s="331">
        <f ca="1">IF(ROWS($1:13)&gt;COUNT(Dong5),"",OFFSET(TH!E$1,SMALL(Dong5,ROWS($1:13)),))</f>
        <v>42566</v>
      </c>
      <c r="D27" s="413" t="str">
        <f ca="1">IF(ROWS($1:13)&gt;COUNT(Dong5),"",OFFSET(TH!F$1,SMALL(Dong5,ROWS($1:13)),))</f>
        <v>Ứng vốn Trà Vinh</v>
      </c>
      <c r="E27" s="331" t="str">
        <f ca="1">IF(ROWS($1:13)&gt;COUNT(Dong5),"",IF(OFFSET(TH!N$1,SMALL(Dong5,ROWS($1:13)),)=$E$7,OFFSET(TH!O$1,SMALL(Dong5,ROWS($1:13)),),OFFSET(TH!N$1,SMALL(Dong5,ROWS($1:13)),)))</f>
        <v>1121</v>
      </c>
      <c r="F27" s="414">
        <f ca="1">IF(ROWS($1:13)&gt;COUNT(Dong5),0,IF(OFFSET(TH!N$1,SMALL(Dong5,ROWS($1:13)),)=$E$7,OFFSET(TH!M$1,SMALL(Dong5,ROWS($1:13)),),0))</f>
        <v>29000000</v>
      </c>
      <c r="G27" s="412">
        <f ca="1">IF(ROWS($1:13)&gt;COUNT(Dong5),0,IF(OFFSET(TH!O$1,SMALL(Dong5,ROWS($1:13)),)=$E$7,OFFSET(TH!M$1,SMALL(Dong5,ROWS($1:13)),),0))</f>
        <v>0</v>
      </c>
      <c r="H27" s="415">
        <f t="shared" ca="1" si="0"/>
        <v>3920158412</v>
      </c>
      <c r="I27" s="415">
        <f t="shared" ca="1" si="1"/>
        <v>0</v>
      </c>
    </row>
    <row r="28" spans="1:9" s="18" customFormat="1" ht="18" customHeight="1">
      <c r="A28" s="331">
        <f ca="1">IF(ROWS($1:14)&gt;COUNT(Dong5),"",OFFSET(TH!C$1,SMALL(Dong5,ROWS($1:14)),))</f>
        <v>42572</v>
      </c>
      <c r="B28" s="331" t="str">
        <f ca="1">IF(ROWS($1:14)&gt;COUNT(Dong5),"",OFFSET(TH!D$1,SMALL(Dong5,ROWS($1:14)),))</f>
        <v>GBC</v>
      </c>
      <c r="C28" s="331">
        <f ca="1">IF(ROWS($1:14)&gt;COUNT(Dong5),"",OFFSET(TH!E$1,SMALL(Dong5,ROWS($1:14)),))</f>
        <v>42572</v>
      </c>
      <c r="D28" s="413" t="str">
        <f ca="1">IF(ROWS($1:14)&gt;COUNT(Dong5),"",OFFSET(TH!F$1,SMALL(Dong5,ROWS($1:14)),))</f>
        <v>Hoàn thuế GTGT theo QĐ 1768/CT ngày 12/07/2016</v>
      </c>
      <c r="E28" s="331" t="str">
        <f ca="1">IF(ROWS($1:14)&gt;COUNT(Dong5),"",IF(OFFSET(TH!N$1,SMALL(Dong5,ROWS($1:14)),)=$E$7,OFFSET(TH!O$1,SMALL(Dong5,ROWS($1:14)),),OFFSET(TH!N$1,SMALL(Dong5,ROWS($1:14)),)))</f>
        <v>1121</v>
      </c>
      <c r="F28" s="414">
        <f ca="1">IF(ROWS($1:14)&gt;COUNT(Dong5),0,IF(OFFSET(TH!N$1,SMALL(Dong5,ROWS($1:14)),)=$E$7,OFFSET(TH!M$1,SMALL(Dong5,ROWS($1:14)),),0))</f>
        <v>0</v>
      </c>
      <c r="G28" s="412">
        <f ca="1">IF(ROWS($1:14)&gt;COUNT(Dong5),0,IF(OFFSET(TH!O$1,SMALL(Dong5,ROWS($1:14)),)=$E$7,OFFSET(TH!M$1,SMALL(Dong5,ROWS($1:14)),),0))</f>
        <v>321158412</v>
      </c>
      <c r="H28" s="415">
        <f t="shared" ca="1" si="0"/>
        <v>3599000000</v>
      </c>
      <c r="I28" s="415">
        <f t="shared" ca="1" si="1"/>
        <v>0</v>
      </c>
    </row>
    <row r="29" spans="1:9" s="18" customFormat="1" ht="18" customHeight="1">
      <c r="A29" s="331">
        <f ca="1">IF(ROWS($1:15)&gt;COUNT(Dong5),"",OFFSET(TH!C$1,SMALL(Dong5,ROWS($1:15)),))</f>
        <v>42573</v>
      </c>
      <c r="B29" s="331" t="str">
        <f ca="1">IF(ROWS($1:15)&gt;COUNT(Dong5),"",OFFSET(TH!D$1,SMALL(Dong5,ROWS($1:15)),))</f>
        <v>GBN</v>
      </c>
      <c r="C29" s="331">
        <f ca="1">IF(ROWS($1:15)&gt;COUNT(Dong5),"",OFFSET(TH!E$1,SMALL(Dong5,ROWS($1:15)),))</f>
        <v>42573</v>
      </c>
      <c r="D29" s="413" t="str">
        <f ca="1">IF(ROWS($1:15)&gt;COUNT(Dong5),"",OFFSET(TH!F$1,SMALL(Dong5,ROWS($1:15)),))</f>
        <v>Ứng vốn Trà Vinh</v>
      </c>
      <c r="E29" s="331" t="str">
        <f ca="1">IF(ROWS($1:15)&gt;COUNT(Dong5),"",IF(OFFSET(TH!N$1,SMALL(Dong5,ROWS($1:15)),)=$E$7,OFFSET(TH!O$1,SMALL(Dong5,ROWS($1:15)),),OFFSET(TH!N$1,SMALL(Dong5,ROWS($1:15)),)))</f>
        <v>1121</v>
      </c>
      <c r="F29" s="414">
        <f ca="1">IF(ROWS($1:15)&gt;COUNT(Dong5),0,IF(OFFSET(TH!N$1,SMALL(Dong5,ROWS($1:15)),)=$E$7,OFFSET(TH!M$1,SMALL(Dong5,ROWS($1:15)),),0))</f>
        <v>160000000</v>
      </c>
      <c r="G29" s="412">
        <f ca="1">IF(ROWS($1:15)&gt;COUNT(Dong5),0,IF(OFFSET(TH!O$1,SMALL(Dong5,ROWS($1:15)),)=$E$7,OFFSET(TH!M$1,SMALL(Dong5,ROWS($1:15)),),0))</f>
        <v>0</v>
      </c>
      <c r="H29" s="415">
        <f t="shared" ca="1" si="0"/>
        <v>3759000000</v>
      </c>
      <c r="I29" s="415">
        <f t="shared" ca="1" si="1"/>
        <v>0</v>
      </c>
    </row>
    <row r="30" spans="1:9" s="18" customFormat="1" ht="18" customHeight="1">
      <c r="A30" s="331">
        <f ca="1">IF(ROWS($1:16)&gt;COUNT(Dong5),"",OFFSET(TH!C$1,SMALL(Dong5,ROWS($1:16)),))</f>
        <v>42601</v>
      </c>
      <c r="B30" s="331" t="str">
        <f ca="1">IF(ROWS($1:16)&gt;COUNT(Dong5),"",OFFSET(TH!D$1,SMALL(Dong5,ROWS($1:16)),))</f>
        <v>GBN</v>
      </c>
      <c r="C30" s="331">
        <f ca="1">IF(ROWS($1:16)&gt;COUNT(Dong5),"",OFFSET(TH!E$1,SMALL(Dong5,ROWS($1:16)),))</f>
        <v>42601</v>
      </c>
      <c r="D30" s="413" t="str">
        <f ca="1">IF(ROWS($1:16)&gt;COUNT(Dong5),"",OFFSET(TH!F$1,SMALL(Dong5,ROWS($1:16)),))</f>
        <v>Ứng vốn Trà Vinh</v>
      </c>
      <c r="E30" s="331" t="str">
        <f ca="1">IF(ROWS($1:16)&gt;COUNT(Dong5),"",IF(OFFSET(TH!N$1,SMALL(Dong5,ROWS($1:16)),)=$E$7,OFFSET(TH!O$1,SMALL(Dong5,ROWS($1:16)),),OFFSET(TH!N$1,SMALL(Dong5,ROWS($1:16)),)))</f>
        <v>1121</v>
      </c>
      <c r="F30" s="414">
        <f ca="1">IF(ROWS($1:16)&gt;COUNT(Dong5),0,IF(OFFSET(TH!N$1,SMALL(Dong5,ROWS($1:16)),)=$E$7,OFFSET(TH!M$1,SMALL(Dong5,ROWS($1:16)),),0))</f>
        <v>20000000</v>
      </c>
      <c r="G30" s="412">
        <f ca="1">IF(ROWS($1:16)&gt;COUNT(Dong5),0,IF(OFFSET(TH!O$1,SMALL(Dong5,ROWS($1:16)),)=$E$7,OFFSET(TH!M$1,SMALL(Dong5,ROWS($1:16)),),0))</f>
        <v>0</v>
      </c>
      <c r="H30" s="415">
        <f t="shared" ca="1" si="0"/>
        <v>3779000000</v>
      </c>
      <c r="I30" s="415">
        <f t="shared" ca="1" si="1"/>
        <v>0</v>
      </c>
    </row>
    <row r="31" spans="1:9" s="18" customFormat="1" ht="18" customHeight="1">
      <c r="A31" s="331">
        <f ca="1">IF(ROWS($1:17)&gt;COUNT(Dong5),"",OFFSET(TH!C$1,SMALL(Dong5,ROWS($1:17)),))</f>
        <v>42594</v>
      </c>
      <c r="B31" s="331" t="str">
        <f ca="1">IF(ROWS($1:17)&gt;COUNT(Dong5),"",OFFSET(TH!D$1,SMALL(Dong5,ROWS($1:17)),))</f>
        <v>GBC</v>
      </c>
      <c r="C31" s="331">
        <f ca="1">IF(ROWS($1:17)&gt;COUNT(Dong5),"",OFFSET(TH!E$1,SMALL(Dong5,ROWS($1:17)),))</f>
        <v>42594</v>
      </c>
      <c r="D31" s="413" t="str">
        <f ca="1">IF(ROWS($1:17)&gt;COUNT(Dong5),"",OFFSET(TH!F$1,SMALL(Dong5,ROWS($1:17)),))</f>
        <v>Hoàn vốn</v>
      </c>
      <c r="E31" s="331" t="str">
        <f ca="1">IF(ROWS($1:17)&gt;COUNT(Dong5),"",IF(OFFSET(TH!N$1,SMALL(Dong5,ROWS($1:17)),)=$E$7,OFFSET(TH!O$1,SMALL(Dong5,ROWS($1:17)),),OFFSET(TH!N$1,SMALL(Dong5,ROWS($1:17)),)))</f>
        <v>1121</v>
      </c>
      <c r="F31" s="414">
        <f ca="1">IF(ROWS($1:17)&gt;COUNT(Dong5),0,IF(OFFSET(TH!N$1,SMALL(Dong5,ROWS($1:17)),)=$E$7,OFFSET(TH!M$1,SMALL(Dong5,ROWS($1:17)),),0))</f>
        <v>0</v>
      </c>
      <c r="G31" s="412">
        <f ca="1">IF(ROWS($1:17)&gt;COUNT(Dong5),0,IF(OFFSET(TH!O$1,SMALL(Dong5,ROWS($1:17)),)=$E$7,OFFSET(TH!M$1,SMALL(Dong5,ROWS($1:17)),),0))</f>
        <v>18000000</v>
      </c>
      <c r="H31" s="415">
        <f t="shared" ca="1" si="0"/>
        <v>3761000000</v>
      </c>
      <c r="I31" s="415">
        <f t="shared" ca="1" si="1"/>
        <v>0</v>
      </c>
    </row>
    <row r="32" spans="1:9" s="18" customFormat="1" ht="18" customHeight="1">
      <c r="A32" s="331">
        <f ca="1">IF(ROWS($1:18)&gt;COUNT(Dong5),"",OFFSET(TH!C$1,SMALL(Dong5,ROWS($1:18)),))</f>
        <v>42586</v>
      </c>
      <c r="B32" s="331" t="str">
        <f ca="1">IF(ROWS($1:18)&gt;COUNT(Dong5),"",OFFSET(TH!D$1,SMALL(Dong5,ROWS($1:18)),))</f>
        <v>GBN</v>
      </c>
      <c r="C32" s="331">
        <f ca="1">IF(ROWS($1:18)&gt;COUNT(Dong5),"",OFFSET(TH!E$1,SMALL(Dong5,ROWS($1:18)),))</f>
        <v>42586</v>
      </c>
      <c r="D32" s="413" t="str">
        <f ca="1">IF(ROWS($1:18)&gt;COUNT(Dong5),"",OFFSET(TH!F$1,SMALL(Dong5,ROWS($1:18)),))</f>
        <v>Ứng vốn Trà Vinh</v>
      </c>
      <c r="E32" s="331" t="str">
        <f ca="1">IF(ROWS($1:18)&gt;COUNT(Dong5),"",IF(OFFSET(TH!N$1,SMALL(Dong5,ROWS($1:18)),)=$E$7,OFFSET(TH!O$1,SMALL(Dong5,ROWS($1:18)),),OFFSET(TH!N$1,SMALL(Dong5,ROWS($1:18)),)))</f>
        <v>1121</v>
      </c>
      <c r="F32" s="414">
        <f ca="1">IF(ROWS($1:18)&gt;COUNT(Dong5),0,IF(OFFSET(TH!N$1,SMALL(Dong5,ROWS($1:18)),)=$E$7,OFFSET(TH!M$1,SMALL(Dong5,ROWS($1:18)),),0))</f>
        <v>61000000</v>
      </c>
      <c r="G32" s="412">
        <f ca="1">IF(ROWS($1:18)&gt;COUNT(Dong5),0,IF(OFFSET(TH!O$1,SMALL(Dong5,ROWS($1:18)),)=$E$7,OFFSET(TH!M$1,SMALL(Dong5,ROWS($1:18)),),0))</f>
        <v>0</v>
      </c>
      <c r="H32" s="415">
        <f t="shared" ca="1" si="0"/>
        <v>3822000000</v>
      </c>
      <c r="I32" s="415">
        <f t="shared" ca="1" si="1"/>
        <v>0</v>
      </c>
    </row>
    <row r="33" spans="1:9" s="18" customFormat="1" ht="18" customHeight="1">
      <c r="A33" s="331">
        <f ca="1">IF(ROWS($1:19)&gt;COUNT(Dong5),"",OFFSET(TH!C$1,SMALL(Dong5,ROWS($1:19)),))</f>
        <v>42601</v>
      </c>
      <c r="B33" s="331" t="str">
        <f ca="1">IF(ROWS($1:19)&gt;COUNT(Dong5),"",OFFSET(TH!D$1,SMALL(Dong5,ROWS($1:19)),))</f>
        <v>GBN</v>
      </c>
      <c r="C33" s="331">
        <f ca="1">IF(ROWS($1:19)&gt;COUNT(Dong5),"",OFFSET(TH!E$1,SMALL(Dong5,ROWS($1:19)),))</f>
        <v>42601</v>
      </c>
      <c r="D33" s="413" t="str">
        <f ca="1">IF(ROWS($1:19)&gt;COUNT(Dong5),"",OFFSET(TH!F$1,SMALL(Dong5,ROWS($1:19)),))</f>
        <v>Ứng vốn Trà Vinh</v>
      </c>
      <c r="E33" s="331" t="str">
        <f ca="1">IF(ROWS($1:19)&gt;COUNT(Dong5),"",IF(OFFSET(TH!N$1,SMALL(Dong5,ROWS($1:19)),)=$E$7,OFFSET(TH!O$1,SMALL(Dong5,ROWS($1:19)),),OFFSET(TH!N$1,SMALL(Dong5,ROWS($1:19)),)))</f>
        <v>1121</v>
      </c>
      <c r="F33" s="414">
        <f ca="1">IF(ROWS($1:19)&gt;COUNT(Dong5),0,IF(OFFSET(TH!N$1,SMALL(Dong5,ROWS($1:19)),)=$E$7,OFFSET(TH!M$1,SMALL(Dong5,ROWS($1:19)),),0))</f>
        <v>30000000</v>
      </c>
      <c r="G33" s="412">
        <f ca="1">IF(ROWS($1:19)&gt;COUNT(Dong5),0,IF(OFFSET(TH!O$1,SMALL(Dong5,ROWS($1:19)),)=$E$7,OFFSET(TH!M$1,SMALL(Dong5,ROWS($1:19)),),0))</f>
        <v>0</v>
      </c>
      <c r="H33" s="415">
        <f t="shared" ref="H33:H46" ca="1" si="2">IF(D33&lt;&gt;"",MAX(H32+F33-G33-I32,0),0)</f>
        <v>3852000000</v>
      </c>
      <c r="I33" s="415">
        <f t="shared" ref="I33:I46" ca="1" si="3">IF(D33&lt;&gt;"",MAX(I32+G33-H32-F33,0),0)</f>
        <v>0</v>
      </c>
    </row>
    <row r="34" spans="1:9" s="18" customFormat="1" ht="18" customHeight="1">
      <c r="A34" s="331">
        <f ca="1">IF(ROWS($1:20)&gt;COUNT(Dong5),"",OFFSET(TH!C$1,SMALL(Dong5,ROWS($1:20)),))</f>
        <v>42602</v>
      </c>
      <c r="B34" s="331" t="str">
        <f ca="1">IF(ROWS($1:20)&gt;COUNT(Dong5),"",OFFSET(TH!D$1,SMALL(Dong5,ROWS($1:20)),))</f>
        <v>GBN</v>
      </c>
      <c r="C34" s="331">
        <f ca="1">IF(ROWS($1:20)&gt;COUNT(Dong5),"",OFFSET(TH!E$1,SMALL(Dong5,ROWS($1:20)),))</f>
        <v>42602</v>
      </c>
      <c r="D34" s="413" t="str">
        <f ca="1">IF(ROWS($1:20)&gt;COUNT(Dong5),"",OFFSET(TH!F$1,SMALL(Dong5,ROWS($1:20)),))</f>
        <v>Ứng vốn Trà Vinh</v>
      </c>
      <c r="E34" s="331" t="str">
        <f ca="1">IF(ROWS($1:20)&gt;COUNT(Dong5),"",IF(OFFSET(TH!N$1,SMALL(Dong5,ROWS($1:20)),)=$E$7,OFFSET(TH!O$1,SMALL(Dong5,ROWS($1:20)),),OFFSET(TH!N$1,SMALL(Dong5,ROWS($1:20)),)))</f>
        <v>1121</v>
      </c>
      <c r="F34" s="414">
        <f ca="1">IF(ROWS($1:20)&gt;COUNT(Dong5),0,IF(OFFSET(TH!N$1,SMALL(Dong5,ROWS($1:20)),)=$E$7,OFFSET(TH!M$1,SMALL(Dong5,ROWS($1:20)),),0))</f>
        <v>23000000</v>
      </c>
      <c r="G34" s="412">
        <f ca="1">IF(ROWS($1:20)&gt;COUNT(Dong5),0,IF(OFFSET(TH!O$1,SMALL(Dong5,ROWS($1:20)),)=$E$7,OFFSET(TH!M$1,SMALL(Dong5,ROWS($1:20)),),0))</f>
        <v>0</v>
      </c>
      <c r="H34" s="415">
        <f t="shared" ca="1" si="2"/>
        <v>3875000000</v>
      </c>
      <c r="I34" s="415">
        <f t="shared" ca="1" si="3"/>
        <v>0</v>
      </c>
    </row>
    <row r="35" spans="1:9" s="18" customFormat="1" ht="18" customHeight="1">
      <c r="A35" s="331" t="str">
        <f ca="1">IF(ROWS($1:21)&gt;COUNT(Dong5),"",OFFSET(TH!C$1,SMALL(Dong5,ROWS($1:21)),))</f>
        <v/>
      </c>
      <c r="B35" s="331" t="str">
        <f ca="1">IF(ROWS($1:21)&gt;COUNT(Dong5),"",OFFSET(TH!D$1,SMALL(Dong5,ROWS($1:21)),))</f>
        <v/>
      </c>
      <c r="C35" s="331" t="str">
        <f ca="1">IF(ROWS($1:21)&gt;COUNT(Dong5),"",OFFSET(TH!E$1,SMALL(Dong5,ROWS($1:21)),))</f>
        <v/>
      </c>
      <c r="D35" s="413" t="str">
        <f ca="1">IF(ROWS($1:21)&gt;COUNT(Dong5),"",OFFSET(TH!F$1,SMALL(Dong5,ROWS($1:21)),))</f>
        <v/>
      </c>
      <c r="E35" s="331" t="str">
        <f ca="1">IF(ROWS($1:21)&gt;COUNT(Dong5),"",IF(OFFSET(TH!N$1,SMALL(Dong5,ROWS($1:21)),)=$E$7,OFFSET(TH!O$1,SMALL(Dong5,ROWS($1:21)),),OFFSET(TH!N$1,SMALL(Dong5,ROWS($1:21)),)))</f>
        <v/>
      </c>
      <c r="F35" s="414">
        <f ca="1">IF(ROWS($1:21)&gt;COUNT(Dong5),0,IF(OFFSET(TH!N$1,SMALL(Dong5,ROWS($1:21)),)=$E$7,OFFSET(TH!M$1,SMALL(Dong5,ROWS($1:21)),),0))</f>
        <v>0</v>
      </c>
      <c r="G35" s="412">
        <f ca="1">IF(ROWS($1:21)&gt;COUNT(Dong5),0,IF(OFFSET(TH!O$1,SMALL(Dong5,ROWS($1:21)),)=$E$7,OFFSET(TH!M$1,SMALL(Dong5,ROWS($1:21)),),0))</f>
        <v>0</v>
      </c>
      <c r="H35" s="415">
        <f t="shared" ca="1" si="2"/>
        <v>0</v>
      </c>
      <c r="I35" s="415">
        <f t="shared" ca="1" si="3"/>
        <v>0</v>
      </c>
    </row>
    <row r="36" spans="1:9" s="18" customFormat="1" ht="18" customHeight="1">
      <c r="A36" s="331" t="str">
        <f ca="1">IF(ROWS($1:22)&gt;COUNT(Dong5),"",OFFSET(TH!C$1,SMALL(Dong5,ROWS($1:22)),))</f>
        <v/>
      </c>
      <c r="B36" s="331" t="str">
        <f ca="1">IF(ROWS($1:22)&gt;COUNT(Dong5),"",OFFSET(TH!D$1,SMALL(Dong5,ROWS($1:22)),))</f>
        <v/>
      </c>
      <c r="C36" s="331" t="str">
        <f ca="1">IF(ROWS($1:22)&gt;COUNT(Dong5),"",OFFSET(TH!E$1,SMALL(Dong5,ROWS($1:22)),))</f>
        <v/>
      </c>
      <c r="D36" s="413" t="str">
        <f ca="1">IF(ROWS($1:22)&gt;COUNT(Dong5),"",OFFSET(TH!F$1,SMALL(Dong5,ROWS($1:22)),))</f>
        <v/>
      </c>
      <c r="E36" s="331" t="str">
        <f ca="1">IF(ROWS($1:22)&gt;COUNT(Dong5),"",IF(OFFSET(TH!N$1,SMALL(Dong5,ROWS($1:22)),)=$E$7,OFFSET(TH!O$1,SMALL(Dong5,ROWS($1:22)),),OFFSET(TH!N$1,SMALL(Dong5,ROWS($1:22)),)))</f>
        <v/>
      </c>
      <c r="F36" s="414">
        <f ca="1">IF(ROWS($1:22)&gt;COUNT(Dong5),0,IF(OFFSET(TH!N$1,SMALL(Dong5,ROWS($1:22)),)=$E$7,OFFSET(TH!M$1,SMALL(Dong5,ROWS($1:22)),),0))</f>
        <v>0</v>
      </c>
      <c r="G36" s="412">
        <f ca="1">IF(ROWS($1:22)&gt;COUNT(Dong5),0,IF(OFFSET(TH!O$1,SMALL(Dong5,ROWS($1:22)),)=$E$7,OFFSET(TH!M$1,SMALL(Dong5,ROWS($1:22)),),0))</f>
        <v>0</v>
      </c>
      <c r="H36" s="415">
        <f t="shared" ca="1" si="2"/>
        <v>0</v>
      </c>
      <c r="I36" s="415">
        <f t="shared" ca="1" si="3"/>
        <v>0</v>
      </c>
    </row>
    <row r="37" spans="1:9" s="18" customFormat="1" ht="18" customHeight="1">
      <c r="A37" s="331" t="str">
        <f ca="1">IF(ROWS($1:23)&gt;COUNT(Dong5),"",OFFSET(TH!C$1,SMALL(Dong5,ROWS($1:23)),))</f>
        <v/>
      </c>
      <c r="B37" s="331" t="str">
        <f ca="1">IF(ROWS($1:23)&gt;COUNT(Dong5),"",OFFSET(TH!D$1,SMALL(Dong5,ROWS($1:23)),))</f>
        <v/>
      </c>
      <c r="C37" s="331" t="str">
        <f ca="1">IF(ROWS($1:23)&gt;COUNT(Dong5),"",OFFSET(TH!E$1,SMALL(Dong5,ROWS($1:23)),))</f>
        <v/>
      </c>
      <c r="D37" s="413" t="str">
        <f ca="1">IF(ROWS($1:23)&gt;COUNT(Dong5),"",OFFSET(TH!F$1,SMALL(Dong5,ROWS($1:23)),))</f>
        <v/>
      </c>
      <c r="E37" s="331" t="str">
        <f ca="1">IF(ROWS($1:23)&gt;COUNT(Dong5),"",IF(OFFSET(TH!N$1,SMALL(Dong5,ROWS($1:23)),)=$E$7,OFFSET(TH!O$1,SMALL(Dong5,ROWS($1:23)),),OFFSET(TH!N$1,SMALL(Dong5,ROWS($1:23)),)))</f>
        <v/>
      </c>
      <c r="F37" s="414">
        <f ca="1">IF(ROWS($1:23)&gt;COUNT(Dong5),0,IF(OFFSET(TH!N$1,SMALL(Dong5,ROWS($1:23)),)=$E$7,OFFSET(TH!M$1,SMALL(Dong5,ROWS($1:23)),),0))</f>
        <v>0</v>
      </c>
      <c r="G37" s="412">
        <f ca="1">IF(ROWS($1:23)&gt;COUNT(Dong5),0,IF(OFFSET(TH!O$1,SMALL(Dong5,ROWS($1:23)),)=$E$7,OFFSET(TH!M$1,SMALL(Dong5,ROWS($1:23)),),0))</f>
        <v>0</v>
      </c>
      <c r="H37" s="415">
        <f t="shared" ca="1" si="2"/>
        <v>0</v>
      </c>
      <c r="I37" s="415">
        <f t="shared" ca="1" si="3"/>
        <v>0</v>
      </c>
    </row>
    <row r="38" spans="1:9" s="18" customFormat="1" ht="18" customHeight="1">
      <c r="A38" s="331" t="str">
        <f ca="1">IF(ROWS($1:24)&gt;COUNT(Dong5),"",OFFSET(TH!C$1,SMALL(Dong5,ROWS($1:24)),))</f>
        <v/>
      </c>
      <c r="B38" s="331" t="str">
        <f ca="1">IF(ROWS($1:24)&gt;COUNT(Dong5),"",OFFSET(TH!D$1,SMALL(Dong5,ROWS($1:24)),))</f>
        <v/>
      </c>
      <c r="C38" s="331" t="str">
        <f ca="1">IF(ROWS($1:24)&gt;COUNT(Dong5),"",OFFSET(TH!E$1,SMALL(Dong5,ROWS($1:24)),))</f>
        <v/>
      </c>
      <c r="D38" s="413" t="str">
        <f ca="1">IF(ROWS($1:24)&gt;COUNT(Dong5),"",OFFSET(TH!F$1,SMALL(Dong5,ROWS($1:24)),))</f>
        <v/>
      </c>
      <c r="E38" s="331" t="str">
        <f ca="1">IF(ROWS($1:24)&gt;COUNT(Dong5),"",IF(OFFSET(TH!N$1,SMALL(Dong5,ROWS($1:24)),)=$E$7,OFFSET(TH!O$1,SMALL(Dong5,ROWS($1:24)),),OFFSET(TH!N$1,SMALL(Dong5,ROWS($1:24)),)))</f>
        <v/>
      </c>
      <c r="F38" s="414">
        <f ca="1">IF(ROWS($1:24)&gt;COUNT(Dong5),0,IF(OFFSET(TH!N$1,SMALL(Dong5,ROWS($1:24)),)=$E$7,OFFSET(TH!M$1,SMALL(Dong5,ROWS($1:24)),),0))</f>
        <v>0</v>
      </c>
      <c r="G38" s="412">
        <f ca="1">IF(ROWS($1:24)&gt;COUNT(Dong5),0,IF(OFFSET(TH!O$1,SMALL(Dong5,ROWS($1:24)),)=$E$7,OFFSET(TH!M$1,SMALL(Dong5,ROWS($1:24)),),0))</f>
        <v>0</v>
      </c>
      <c r="H38" s="415">
        <f t="shared" ca="1" si="2"/>
        <v>0</v>
      </c>
      <c r="I38" s="415">
        <f t="shared" ca="1" si="3"/>
        <v>0</v>
      </c>
    </row>
    <row r="39" spans="1:9" s="18" customFormat="1" ht="18" customHeight="1">
      <c r="A39" s="331" t="str">
        <f ca="1">IF(ROWS($1:25)&gt;COUNT(Dong5),"",OFFSET(TH!C$1,SMALL(Dong5,ROWS($1:25)),))</f>
        <v/>
      </c>
      <c r="B39" s="331" t="str">
        <f ca="1">IF(ROWS($1:25)&gt;COUNT(Dong5),"",OFFSET(TH!D$1,SMALL(Dong5,ROWS($1:25)),))</f>
        <v/>
      </c>
      <c r="C39" s="331" t="str">
        <f ca="1">IF(ROWS($1:25)&gt;COUNT(Dong5),"",OFFSET(TH!E$1,SMALL(Dong5,ROWS($1:25)),))</f>
        <v/>
      </c>
      <c r="D39" s="413" t="str">
        <f ca="1">IF(ROWS($1:25)&gt;COUNT(Dong5),"",OFFSET(TH!F$1,SMALL(Dong5,ROWS($1:25)),))</f>
        <v/>
      </c>
      <c r="E39" s="331" t="str">
        <f ca="1">IF(ROWS($1:25)&gt;COUNT(Dong5),"",IF(OFFSET(TH!N$1,SMALL(Dong5,ROWS($1:25)),)=$E$7,OFFSET(TH!O$1,SMALL(Dong5,ROWS($1:25)),),OFFSET(TH!N$1,SMALL(Dong5,ROWS($1:25)),)))</f>
        <v/>
      </c>
      <c r="F39" s="414">
        <f ca="1">IF(ROWS($1:25)&gt;COUNT(Dong5),0,IF(OFFSET(TH!N$1,SMALL(Dong5,ROWS($1:25)),)=$E$7,OFFSET(TH!M$1,SMALL(Dong5,ROWS($1:25)),),0))</f>
        <v>0</v>
      </c>
      <c r="G39" s="412">
        <f ca="1">IF(ROWS($1:25)&gt;COUNT(Dong5),0,IF(OFFSET(TH!O$1,SMALL(Dong5,ROWS($1:25)),)=$E$7,OFFSET(TH!M$1,SMALL(Dong5,ROWS($1:25)),),0))</f>
        <v>0</v>
      </c>
      <c r="H39" s="415">
        <f t="shared" ca="1" si="2"/>
        <v>0</v>
      </c>
      <c r="I39" s="415">
        <f t="shared" ca="1" si="3"/>
        <v>0</v>
      </c>
    </row>
    <row r="40" spans="1:9" s="18" customFormat="1" ht="18" customHeight="1">
      <c r="A40" s="331" t="str">
        <f ca="1">IF(ROWS($1:26)&gt;COUNT(Dong5),"",OFFSET(TH!C$1,SMALL(Dong5,ROWS($1:26)),))</f>
        <v/>
      </c>
      <c r="B40" s="331" t="str">
        <f ca="1">IF(ROWS($1:26)&gt;COUNT(Dong5),"",OFFSET(TH!D$1,SMALL(Dong5,ROWS($1:26)),))</f>
        <v/>
      </c>
      <c r="C40" s="331" t="str">
        <f ca="1">IF(ROWS($1:26)&gt;COUNT(Dong5),"",OFFSET(TH!E$1,SMALL(Dong5,ROWS($1:26)),))</f>
        <v/>
      </c>
      <c r="D40" s="413" t="str">
        <f ca="1">IF(ROWS($1:26)&gt;COUNT(Dong5),"",OFFSET(TH!F$1,SMALL(Dong5,ROWS($1:26)),))</f>
        <v/>
      </c>
      <c r="E40" s="331" t="str">
        <f ca="1">IF(ROWS($1:26)&gt;COUNT(Dong5),"",IF(OFFSET(TH!N$1,SMALL(Dong5,ROWS($1:26)),)=$E$7,OFFSET(TH!O$1,SMALL(Dong5,ROWS($1:26)),),OFFSET(TH!N$1,SMALL(Dong5,ROWS($1:26)),)))</f>
        <v/>
      </c>
      <c r="F40" s="414">
        <f ca="1">IF(ROWS($1:26)&gt;COUNT(Dong5),0,IF(OFFSET(TH!N$1,SMALL(Dong5,ROWS($1:26)),)=$E$7,OFFSET(TH!M$1,SMALL(Dong5,ROWS($1:26)),),0))</f>
        <v>0</v>
      </c>
      <c r="G40" s="412">
        <f ca="1">IF(ROWS($1:26)&gt;COUNT(Dong5),0,IF(OFFSET(TH!O$1,SMALL(Dong5,ROWS($1:26)),)=$E$7,OFFSET(TH!M$1,SMALL(Dong5,ROWS($1:26)),),0))</f>
        <v>0</v>
      </c>
      <c r="H40" s="415">
        <f t="shared" ca="1" si="2"/>
        <v>0</v>
      </c>
      <c r="I40" s="415">
        <f t="shared" ca="1" si="3"/>
        <v>0</v>
      </c>
    </row>
    <row r="41" spans="1:9" s="18" customFormat="1" ht="18" customHeight="1">
      <c r="A41" s="331" t="str">
        <f ca="1">IF(ROWS($1:27)&gt;COUNT(Dong5),"",OFFSET(TH!C$1,SMALL(Dong5,ROWS($1:27)),))</f>
        <v/>
      </c>
      <c r="B41" s="331" t="str">
        <f ca="1">IF(ROWS($1:27)&gt;COUNT(Dong5),"",OFFSET(TH!D$1,SMALL(Dong5,ROWS($1:27)),))</f>
        <v/>
      </c>
      <c r="C41" s="331" t="str">
        <f ca="1">IF(ROWS($1:27)&gt;COUNT(Dong5),"",OFFSET(TH!E$1,SMALL(Dong5,ROWS($1:27)),))</f>
        <v/>
      </c>
      <c r="D41" s="413" t="str">
        <f ca="1">IF(ROWS($1:27)&gt;COUNT(Dong5),"",OFFSET(TH!F$1,SMALL(Dong5,ROWS($1:27)),))</f>
        <v/>
      </c>
      <c r="E41" s="331" t="str">
        <f ca="1">IF(ROWS($1:27)&gt;COUNT(Dong5),"",IF(OFFSET(TH!N$1,SMALL(Dong5,ROWS($1:27)),)=$E$7,OFFSET(TH!O$1,SMALL(Dong5,ROWS($1:27)),),OFFSET(TH!N$1,SMALL(Dong5,ROWS($1:27)),)))</f>
        <v/>
      </c>
      <c r="F41" s="414">
        <f ca="1">IF(ROWS($1:27)&gt;COUNT(Dong5),0,IF(OFFSET(TH!N$1,SMALL(Dong5,ROWS($1:27)),)=$E$7,OFFSET(TH!M$1,SMALL(Dong5,ROWS($1:27)),),0))</f>
        <v>0</v>
      </c>
      <c r="G41" s="412">
        <f ca="1">IF(ROWS($1:27)&gt;COUNT(Dong5),0,IF(OFFSET(TH!O$1,SMALL(Dong5,ROWS($1:27)),)=$E$7,OFFSET(TH!M$1,SMALL(Dong5,ROWS($1:27)),),0))</f>
        <v>0</v>
      </c>
      <c r="H41" s="415">
        <f t="shared" ca="1" si="2"/>
        <v>0</v>
      </c>
      <c r="I41" s="415">
        <f t="shared" ca="1" si="3"/>
        <v>0</v>
      </c>
    </row>
    <row r="42" spans="1:9" s="18" customFormat="1" ht="18" customHeight="1">
      <c r="A42" s="331" t="str">
        <f ca="1">IF(ROWS($1:28)&gt;COUNT(Dong5),"",OFFSET(TH!C$1,SMALL(Dong5,ROWS($1:28)),))</f>
        <v/>
      </c>
      <c r="B42" s="331" t="str">
        <f ca="1">IF(ROWS($1:28)&gt;COUNT(Dong5),"",OFFSET(TH!D$1,SMALL(Dong5,ROWS($1:28)),))</f>
        <v/>
      </c>
      <c r="C42" s="331" t="str">
        <f ca="1">IF(ROWS($1:28)&gt;COUNT(Dong5),"",OFFSET(TH!E$1,SMALL(Dong5,ROWS($1:28)),))</f>
        <v/>
      </c>
      <c r="D42" s="413" t="str">
        <f ca="1">IF(ROWS($1:28)&gt;COUNT(Dong5),"",OFFSET(TH!F$1,SMALL(Dong5,ROWS($1:28)),))</f>
        <v/>
      </c>
      <c r="E42" s="331" t="str">
        <f ca="1">IF(ROWS($1:28)&gt;COUNT(Dong5),"",IF(OFFSET(TH!N$1,SMALL(Dong5,ROWS($1:28)),)=$E$7,OFFSET(TH!O$1,SMALL(Dong5,ROWS($1:28)),),OFFSET(TH!N$1,SMALL(Dong5,ROWS($1:28)),)))</f>
        <v/>
      </c>
      <c r="F42" s="414">
        <f ca="1">IF(ROWS($1:28)&gt;COUNT(Dong5),0,IF(OFFSET(TH!N$1,SMALL(Dong5,ROWS($1:28)),)=$E$7,OFFSET(TH!M$1,SMALL(Dong5,ROWS($1:28)),),0))</f>
        <v>0</v>
      </c>
      <c r="G42" s="412">
        <f ca="1">IF(ROWS($1:28)&gt;COUNT(Dong5),0,IF(OFFSET(TH!O$1,SMALL(Dong5,ROWS($1:28)),)=$E$7,OFFSET(TH!M$1,SMALL(Dong5,ROWS($1:28)),),0))</f>
        <v>0</v>
      </c>
      <c r="H42" s="415">
        <f t="shared" ca="1" si="2"/>
        <v>0</v>
      </c>
      <c r="I42" s="415">
        <f t="shared" ca="1" si="3"/>
        <v>0</v>
      </c>
    </row>
    <row r="43" spans="1:9" s="18" customFormat="1" ht="18" customHeight="1">
      <c r="A43" s="331" t="str">
        <f ca="1">IF(ROWS($1:29)&gt;COUNT(Dong5),"",OFFSET(TH!C$1,SMALL(Dong5,ROWS($1:29)),))</f>
        <v/>
      </c>
      <c r="B43" s="331" t="str">
        <f ca="1">IF(ROWS($1:29)&gt;COUNT(Dong5),"",OFFSET(TH!D$1,SMALL(Dong5,ROWS($1:29)),))</f>
        <v/>
      </c>
      <c r="C43" s="331" t="str">
        <f ca="1">IF(ROWS($1:29)&gt;COUNT(Dong5),"",OFFSET(TH!E$1,SMALL(Dong5,ROWS($1:29)),))</f>
        <v/>
      </c>
      <c r="D43" s="413" t="str">
        <f ca="1">IF(ROWS($1:29)&gt;COUNT(Dong5),"",OFFSET(TH!F$1,SMALL(Dong5,ROWS($1:29)),))</f>
        <v/>
      </c>
      <c r="E43" s="331" t="str">
        <f ca="1">IF(ROWS($1:29)&gt;COUNT(Dong5),"",IF(OFFSET(TH!N$1,SMALL(Dong5,ROWS($1:29)),)=$E$7,OFFSET(TH!O$1,SMALL(Dong5,ROWS($1:29)),),OFFSET(TH!N$1,SMALL(Dong5,ROWS($1:29)),)))</f>
        <v/>
      </c>
      <c r="F43" s="414">
        <f ca="1">IF(ROWS($1:29)&gt;COUNT(Dong5),0,IF(OFFSET(TH!N$1,SMALL(Dong5,ROWS($1:29)),)=$E$7,OFFSET(TH!M$1,SMALL(Dong5,ROWS($1:29)),),0))</f>
        <v>0</v>
      </c>
      <c r="G43" s="412">
        <f ca="1">IF(ROWS($1:29)&gt;COUNT(Dong5),0,IF(OFFSET(TH!O$1,SMALL(Dong5,ROWS($1:29)),)=$E$7,OFFSET(TH!M$1,SMALL(Dong5,ROWS($1:29)),),0))</f>
        <v>0</v>
      </c>
      <c r="H43" s="415">
        <f t="shared" ca="1" si="2"/>
        <v>0</v>
      </c>
      <c r="I43" s="415">
        <f t="shared" ca="1" si="3"/>
        <v>0</v>
      </c>
    </row>
    <row r="44" spans="1:9" s="18" customFormat="1" ht="18" customHeight="1">
      <c r="A44" s="331" t="str">
        <f ca="1">IF(ROWS($1:30)&gt;COUNT(Dong5),"",OFFSET(TH!C$1,SMALL(Dong5,ROWS($1:30)),))</f>
        <v/>
      </c>
      <c r="B44" s="331" t="str">
        <f ca="1">IF(ROWS($1:30)&gt;COUNT(Dong5),"",OFFSET(TH!D$1,SMALL(Dong5,ROWS($1:30)),))</f>
        <v/>
      </c>
      <c r="C44" s="331" t="str">
        <f ca="1">IF(ROWS($1:30)&gt;COUNT(Dong5),"",OFFSET(TH!E$1,SMALL(Dong5,ROWS($1:30)),))</f>
        <v/>
      </c>
      <c r="D44" s="413" t="str">
        <f ca="1">IF(ROWS($1:30)&gt;COUNT(Dong5),"",OFFSET(TH!F$1,SMALL(Dong5,ROWS($1:30)),))</f>
        <v/>
      </c>
      <c r="E44" s="331" t="str">
        <f ca="1">IF(ROWS($1:30)&gt;COUNT(Dong5),"",IF(OFFSET(TH!N$1,SMALL(Dong5,ROWS($1:30)),)=$E$7,OFFSET(TH!O$1,SMALL(Dong5,ROWS($1:30)),),OFFSET(TH!N$1,SMALL(Dong5,ROWS($1:30)),)))</f>
        <v/>
      </c>
      <c r="F44" s="414">
        <f ca="1">IF(ROWS($1:30)&gt;COUNT(Dong5),0,IF(OFFSET(TH!N$1,SMALL(Dong5,ROWS($1:30)),)=$E$7,OFFSET(TH!M$1,SMALL(Dong5,ROWS($1:30)),),0))</f>
        <v>0</v>
      </c>
      <c r="G44" s="412">
        <f ca="1">IF(ROWS($1:30)&gt;COUNT(Dong5),0,IF(OFFSET(TH!O$1,SMALL(Dong5,ROWS($1:30)),)=$E$7,OFFSET(TH!M$1,SMALL(Dong5,ROWS($1:30)),),0))</f>
        <v>0</v>
      </c>
      <c r="H44" s="415">
        <f t="shared" ca="1" si="2"/>
        <v>0</v>
      </c>
      <c r="I44" s="415">
        <f t="shared" ca="1" si="3"/>
        <v>0</v>
      </c>
    </row>
    <row r="45" spans="1:9" s="18" customFormat="1" ht="18" customHeight="1">
      <c r="A45" s="331" t="str">
        <f ca="1">IF(ROWS($1:31)&gt;COUNT(Dong5),"",OFFSET(TH!C$1,SMALL(Dong5,ROWS($1:31)),))</f>
        <v/>
      </c>
      <c r="B45" s="331" t="str">
        <f ca="1">IF(ROWS($1:31)&gt;COUNT(Dong5),"",OFFSET(TH!D$1,SMALL(Dong5,ROWS($1:31)),))</f>
        <v/>
      </c>
      <c r="C45" s="331" t="str">
        <f ca="1">IF(ROWS($1:31)&gt;COUNT(Dong5),"",OFFSET(TH!E$1,SMALL(Dong5,ROWS($1:31)),))</f>
        <v/>
      </c>
      <c r="D45" s="413" t="str">
        <f ca="1">IF(ROWS($1:31)&gt;COUNT(Dong5),"",OFFSET(TH!F$1,SMALL(Dong5,ROWS($1:31)),))</f>
        <v/>
      </c>
      <c r="E45" s="331" t="str">
        <f ca="1">IF(ROWS($1:31)&gt;COUNT(Dong5),"",IF(OFFSET(TH!N$1,SMALL(Dong5,ROWS($1:31)),)=$E$7,OFFSET(TH!O$1,SMALL(Dong5,ROWS($1:31)),),OFFSET(TH!N$1,SMALL(Dong5,ROWS($1:31)),)))</f>
        <v/>
      </c>
      <c r="F45" s="414">
        <f ca="1">IF(ROWS($1:31)&gt;COUNT(Dong5),0,IF(OFFSET(TH!N$1,SMALL(Dong5,ROWS($1:31)),)=$E$7,OFFSET(TH!M$1,SMALL(Dong5,ROWS($1:31)),),0))</f>
        <v>0</v>
      </c>
      <c r="G45" s="412">
        <f ca="1">IF(ROWS($1:31)&gt;COUNT(Dong5),0,IF(OFFSET(TH!O$1,SMALL(Dong5,ROWS($1:31)),)=$E$7,OFFSET(TH!M$1,SMALL(Dong5,ROWS($1:31)),),0))</f>
        <v>0</v>
      </c>
      <c r="H45" s="415">
        <f t="shared" ca="1" si="2"/>
        <v>0</v>
      </c>
      <c r="I45" s="415">
        <f t="shared" ca="1" si="3"/>
        <v>0</v>
      </c>
    </row>
    <row r="46" spans="1:9" s="18" customFormat="1" ht="18" customHeight="1">
      <c r="A46" s="331" t="str">
        <f ca="1">IF(ROWS($1:32)&gt;COUNT(Dong5),"",OFFSET(TH!C$1,SMALL(Dong5,ROWS($1:32)),))</f>
        <v/>
      </c>
      <c r="B46" s="331" t="str">
        <f ca="1">IF(ROWS($1:32)&gt;COUNT(Dong5),"",OFFSET(TH!D$1,SMALL(Dong5,ROWS($1:32)),))</f>
        <v/>
      </c>
      <c r="C46" s="331" t="str">
        <f ca="1">IF(ROWS($1:32)&gt;COUNT(Dong5),"",OFFSET(TH!E$1,SMALL(Dong5,ROWS($1:32)),))</f>
        <v/>
      </c>
      <c r="D46" s="413" t="str">
        <f ca="1">IF(ROWS($1:32)&gt;COUNT(Dong5),"",OFFSET(TH!F$1,SMALL(Dong5,ROWS($1:32)),))</f>
        <v/>
      </c>
      <c r="E46" s="331" t="str">
        <f ca="1">IF(ROWS($1:32)&gt;COUNT(Dong5),"",IF(OFFSET(TH!N$1,SMALL(Dong5,ROWS($1:32)),)=$E$7,OFFSET(TH!O$1,SMALL(Dong5,ROWS($1:32)),),OFFSET(TH!N$1,SMALL(Dong5,ROWS($1:32)),)))</f>
        <v/>
      </c>
      <c r="F46" s="414">
        <f ca="1">IF(ROWS($1:32)&gt;COUNT(Dong5),0,IF(OFFSET(TH!N$1,SMALL(Dong5,ROWS($1:32)),)=$E$7,OFFSET(TH!M$1,SMALL(Dong5,ROWS($1:32)),),0))</f>
        <v>0</v>
      </c>
      <c r="G46" s="412">
        <f ca="1">IF(ROWS($1:32)&gt;COUNT(Dong5),0,IF(OFFSET(TH!O$1,SMALL(Dong5,ROWS($1:32)),)=$E$7,OFFSET(TH!M$1,SMALL(Dong5,ROWS($1:32)),),0))</f>
        <v>0</v>
      </c>
      <c r="H46" s="415">
        <f t="shared" ca="1" si="2"/>
        <v>0</v>
      </c>
      <c r="I46" s="415">
        <f t="shared" ca="1" si="3"/>
        <v>0</v>
      </c>
    </row>
    <row r="47" spans="1:9" s="18" customFormat="1" ht="18" customHeight="1">
      <c r="A47" s="331" t="str">
        <f ca="1">IF(ROWS($1:33)&gt;COUNT(Dong5),"",OFFSET(TH!C$1,SMALL(Dong5,ROWS($1:33)),))</f>
        <v/>
      </c>
      <c r="B47" s="331" t="str">
        <f ca="1">IF(ROWS($1:33)&gt;COUNT(Dong5),"",OFFSET(TH!D$1,SMALL(Dong5,ROWS($1:33)),))</f>
        <v/>
      </c>
      <c r="C47" s="331" t="str">
        <f ca="1">IF(ROWS($1:33)&gt;COUNT(Dong5),"",OFFSET(TH!E$1,SMALL(Dong5,ROWS($1:33)),))</f>
        <v/>
      </c>
      <c r="D47" s="413" t="str">
        <f ca="1">IF(ROWS($1:33)&gt;COUNT(Dong5),"",OFFSET(TH!F$1,SMALL(Dong5,ROWS($1:33)),))</f>
        <v/>
      </c>
      <c r="E47" s="331" t="str">
        <f ca="1">IF(ROWS($1:33)&gt;COUNT(Dong5),"",IF(OFFSET(TH!N$1,SMALL(Dong5,ROWS($1:33)),)=$E$7,OFFSET(TH!O$1,SMALL(Dong5,ROWS($1:33)),),OFFSET(TH!N$1,SMALL(Dong5,ROWS($1:33)),)))</f>
        <v/>
      </c>
      <c r="F47" s="414">
        <f ca="1">IF(ROWS($1:33)&gt;COUNT(Dong5),0,IF(OFFSET(TH!N$1,SMALL(Dong5,ROWS($1:33)),)=$E$7,OFFSET(TH!M$1,SMALL(Dong5,ROWS($1:33)),),0))</f>
        <v>0</v>
      </c>
      <c r="G47" s="412">
        <f ca="1">IF(ROWS($1:33)&gt;COUNT(Dong5),0,IF(OFFSET(TH!O$1,SMALL(Dong5,ROWS($1:33)),)=$E$7,OFFSET(TH!M$1,SMALL(Dong5,ROWS($1:33)),),0))</f>
        <v>0</v>
      </c>
      <c r="H47" s="415">
        <f ca="1">IF(D47&lt;&gt;"",MAX(H46+F47-G47-I46,0),0)</f>
        <v>0</v>
      </c>
      <c r="I47" s="415">
        <f ca="1">IF(D47&lt;&gt;"",MAX(I46+G47-H46-F47,0),0)</f>
        <v>0</v>
      </c>
    </row>
    <row r="48" spans="1:9" s="18" customFormat="1" ht="18" customHeight="1">
      <c r="A48" s="331" t="str">
        <f ca="1">IF(ROWS($1:34)&gt;COUNT(Dong5),"",OFFSET(TH!C$1,SMALL(Dong5,ROWS($1:34)),))</f>
        <v/>
      </c>
      <c r="B48" s="331" t="str">
        <f ca="1">IF(ROWS($1:34)&gt;COUNT(Dong5),"",OFFSET(TH!D$1,SMALL(Dong5,ROWS($1:34)),))</f>
        <v/>
      </c>
      <c r="C48" s="331" t="str">
        <f ca="1">IF(ROWS($1:34)&gt;COUNT(Dong5),"",OFFSET(TH!E$1,SMALL(Dong5,ROWS($1:34)),))</f>
        <v/>
      </c>
      <c r="D48" s="413" t="str">
        <f ca="1">IF(ROWS($1:34)&gt;COUNT(Dong5),"",OFFSET(TH!F$1,SMALL(Dong5,ROWS($1:34)),))</f>
        <v/>
      </c>
      <c r="E48" s="331" t="str">
        <f ca="1">IF(ROWS($1:34)&gt;COUNT(Dong5),"",IF(OFFSET(TH!N$1,SMALL(Dong5,ROWS($1:34)),)=$E$7,OFFSET(TH!O$1,SMALL(Dong5,ROWS($1:34)),),OFFSET(TH!N$1,SMALL(Dong5,ROWS($1:34)),)))</f>
        <v/>
      </c>
      <c r="F48" s="414">
        <f ca="1">IF(ROWS($1:34)&gt;COUNT(Dong5),0,IF(OFFSET(TH!N$1,SMALL(Dong5,ROWS($1:34)),)=$E$7,OFFSET(TH!M$1,SMALL(Dong5,ROWS($1:34)),),0))</f>
        <v>0</v>
      </c>
      <c r="G48" s="412">
        <f ca="1">IF(ROWS($1:34)&gt;COUNT(Dong5),0,IF(OFFSET(TH!O$1,SMALL(Dong5,ROWS($1:34)),)=$E$7,OFFSET(TH!M$1,SMALL(Dong5,ROWS($1:34)),),0))</f>
        <v>0</v>
      </c>
      <c r="H48" s="415">
        <f ca="1">IF(D48&lt;&gt;"",MAX(H47+F48-G48-I47,0),0)</f>
        <v>0</v>
      </c>
      <c r="I48" s="415">
        <f ca="1">IF(D48&lt;&gt;"",MAX(I47+G48-H47-F48,0),0)</f>
        <v>0</v>
      </c>
    </row>
    <row r="49" spans="1:9" s="18" customFormat="1" ht="18" customHeight="1">
      <c r="A49" s="331" t="str">
        <f ca="1">IF(ROWS($1:35)&gt;COUNT(Dong5),"",OFFSET(TH!C$1,SMALL(Dong5,ROWS($1:35)),))</f>
        <v/>
      </c>
      <c r="B49" s="331" t="str">
        <f ca="1">IF(ROWS($1:35)&gt;COUNT(Dong5),"",OFFSET(TH!D$1,SMALL(Dong5,ROWS($1:35)),))</f>
        <v/>
      </c>
      <c r="C49" s="331" t="str">
        <f ca="1">IF(ROWS($1:35)&gt;COUNT(Dong5),"",OFFSET(TH!E$1,SMALL(Dong5,ROWS($1:35)),))</f>
        <v/>
      </c>
      <c r="D49" s="413" t="str">
        <f ca="1">IF(ROWS($1:35)&gt;COUNT(Dong5),"",OFFSET(TH!F$1,SMALL(Dong5,ROWS($1:35)),))</f>
        <v/>
      </c>
      <c r="E49" s="331" t="str">
        <f ca="1">IF(ROWS($1:35)&gt;COUNT(Dong5),"",IF(OFFSET(TH!N$1,SMALL(Dong5,ROWS($1:35)),)=$E$7,OFFSET(TH!O$1,SMALL(Dong5,ROWS($1:35)),),OFFSET(TH!N$1,SMALL(Dong5,ROWS($1:35)),)))</f>
        <v/>
      </c>
      <c r="F49" s="414">
        <f ca="1">IF(ROWS($1:35)&gt;COUNT(Dong5),0,IF(OFFSET(TH!N$1,SMALL(Dong5,ROWS($1:35)),)=$E$7,OFFSET(TH!M$1,SMALL(Dong5,ROWS($1:35)),),0))</f>
        <v>0</v>
      </c>
      <c r="G49" s="412">
        <f ca="1">IF(ROWS($1:35)&gt;COUNT(Dong5),0,IF(OFFSET(TH!O$1,SMALL(Dong5,ROWS($1:35)),)=$E$7,OFFSET(TH!M$1,SMALL(Dong5,ROWS($1:35)),),0))</f>
        <v>0</v>
      </c>
      <c r="H49" s="415">
        <f ca="1">IF(D49&lt;&gt;"",MAX(H48+F49-G49-I48,0),0)</f>
        <v>0</v>
      </c>
      <c r="I49" s="415">
        <f ca="1">IF(D49&lt;&gt;"",MAX(I48+G49-H48-F49,0),0)</f>
        <v>0</v>
      </c>
    </row>
    <row r="50" spans="1:9" s="18" customFormat="1" ht="18" customHeight="1">
      <c r="A50" s="331" t="str">
        <f ca="1">IF(ROWS($1:36)&gt;COUNT(Dong5),"",OFFSET(TH!C$1,SMALL(Dong5,ROWS($1:36)),))</f>
        <v/>
      </c>
      <c r="B50" s="331" t="str">
        <f ca="1">IF(ROWS($1:36)&gt;COUNT(Dong5),"",OFFSET(TH!D$1,SMALL(Dong5,ROWS($1:36)),))</f>
        <v/>
      </c>
      <c r="C50" s="331" t="str">
        <f ca="1">IF(ROWS($1:36)&gt;COUNT(Dong5),"",OFFSET(TH!E$1,SMALL(Dong5,ROWS($1:36)),))</f>
        <v/>
      </c>
      <c r="D50" s="413" t="str">
        <f ca="1">IF(ROWS($1:36)&gt;COUNT(Dong5),"",OFFSET(TH!F$1,SMALL(Dong5,ROWS($1:36)),))</f>
        <v/>
      </c>
      <c r="E50" s="331" t="str">
        <f ca="1">IF(ROWS($1:36)&gt;COUNT(Dong5),"",IF(OFFSET(TH!N$1,SMALL(Dong5,ROWS($1:36)),)=$E$7,OFFSET(TH!O$1,SMALL(Dong5,ROWS($1:36)),),OFFSET(TH!N$1,SMALL(Dong5,ROWS($1:36)),)))</f>
        <v/>
      </c>
      <c r="F50" s="414">
        <f ca="1">IF(ROWS($1:36)&gt;COUNT(Dong5),0,IF(OFFSET(TH!N$1,SMALL(Dong5,ROWS($1:36)),)=$E$7,OFFSET(TH!M$1,SMALL(Dong5,ROWS($1:36)),),0))</f>
        <v>0</v>
      </c>
      <c r="G50" s="412">
        <f ca="1">IF(ROWS($1:36)&gt;COUNT(Dong5),0,IF(OFFSET(TH!O$1,SMALL(Dong5,ROWS($1:36)),)=$E$7,OFFSET(TH!M$1,SMALL(Dong5,ROWS($1:36)),),0))</f>
        <v>0</v>
      </c>
      <c r="H50" s="415">
        <f ca="1">IF(D50&lt;&gt;"",MAX(H49+F50-G50-I49,0),0)</f>
        <v>0</v>
      </c>
      <c r="I50" s="415">
        <f ca="1">IF(D50&lt;&gt;"",MAX(I49+G50-H49-F50,0),0)</f>
        <v>0</v>
      </c>
    </row>
    <row r="51" spans="1:9" s="18" customFormat="1" ht="18" customHeight="1">
      <c r="A51" s="331"/>
      <c r="B51" s="332"/>
      <c r="C51" s="331"/>
      <c r="D51" s="400" t="s">
        <v>158</v>
      </c>
      <c r="E51" s="332" t="s">
        <v>21</v>
      </c>
      <c r="F51" s="416">
        <f ca="1">SUM(F15:F50)</f>
        <v>2889158412</v>
      </c>
      <c r="G51" s="416">
        <f ca="1">SUM(G15:G50)</f>
        <v>514158412</v>
      </c>
      <c r="H51" s="416" t="s">
        <v>21</v>
      </c>
      <c r="I51" s="416" t="s">
        <v>21</v>
      </c>
    </row>
    <row r="52" spans="1:9" s="18" customFormat="1" ht="18" customHeight="1">
      <c r="A52" s="417"/>
      <c r="B52" s="405"/>
      <c r="C52" s="417"/>
      <c r="D52" s="404" t="s">
        <v>10</v>
      </c>
      <c r="E52" s="405" t="s">
        <v>21</v>
      </c>
      <c r="F52" s="418" t="s">
        <v>21</v>
      </c>
      <c r="G52" s="418" t="s">
        <v>21</v>
      </c>
      <c r="H52" s="419">
        <f ca="1">MAX(H14+F51-G51-I14,0)</f>
        <v>3875000000</v>
      </c>
      <c r="I52" s="419">
        <f ca="1">MAX(I14+G51-F51-H14,0)</f>
        <v>0</v>
      </c>
    </row>
    <row r="53" spans="1:9" s="18" customFormat="1" ht="9.75" customHeight="1">
      <c r="A53" s="356"/>
      <c r="B53" s="356"/>
      <c r="C53" s="356"/>
      <c r="E53" s="356"/>
    </row>
    <row r="54" spans="1:9" s="18" customFormat="1" ht="12.75">
      <c r="A54" s="356"/>
      <c r="B54" s="356"/>
      <c r="C54" s="420" t="s">
        <v>252</v>
      </c>
      <c r="E54" s="356"/>
    </row>
    <row r="55" spans="1:9" s="18" customFormat="1" ht="12.75">
      <c r="A55" s="356"/>
      <c r="B55" s="356"/>
      <c r="C55" s="28" t="s">
        <v>188</v>
      </c>
      <c r="E55" s="356"/>
    </row>
    <row r="56" spans="1:9" s="18" customFormat="1" ht="13.5" customHeight="1">
      <c r="A56" s="356"/>
      <c r="B56" s="356"/>
      <c r="C56" s="356"/>
      <c r="E56" s="1265" t="s">
        <v>189</v>
      </c>
      <c r="F56" s="1265"/>
      <c r="G56" s="1265"/>
      <c r="H56" s="1265"/>
      <c r="I56" s="1265"/>
    </row>
    <row r="57" spans="1:9" s="18" customFormat="1" ht="12.75">
      <c r="A57" s="1265" t="s">
        <v>11</v>
      </c>
      <c r="B57" s="1265"/>
      <c r="C57" s="1265"/>
      <c r="D57" s="1265"/>
      <c r="E57" s="1265" t="s">
        <v>12</v>
      </c>
      <c r="F57" s="1265"/>
      <c r="G57" s="1265"/>
      <c r="H57" s="1265"/>
      <c r="I57" s="1265"/>
    </row>
    <row r="58" spans="1:9" s="18" customFormat="1" ht="12.75">
      <c r="A58" s="1265" t="s">
        <v>13</v>
      </c>
      <c r="B58" s="1265"/>
      <c r="C58" s="1265"/>
      <c r="D58" s="1265"/>
      <c r="E58" s="1265" t="s">
        <v>13</v>
      </c>
      <c r="F58" s="1265"/>
      <c r="G58" s="1265"/>
      <c r="H58" s="1265"/>
      <c r="I58" s="1265"/>
    </row>
    <row r="59" spans="1:9" s="18" customFormat="1" ht="12.75">
      <c r="A59" s="356"/>
      <c r="B59" s="356"/>
      <c r="C59" s="356"/>
      <c r="E59" s="356"/>
    </row>
    <row r="60" spans="1:9">
      <c r="D60" s="249"/>
      <c r="F60" s="250"/>
    </row>
    <row r="65" spans="1:4">
      <c r="A65" s="1266" t="s">
        <v>229</v>
      </c>
      <c r="B65" s="1266"/>
      <c r="C65" s="1266"/>
      <c r="D65" s="1266"/>
    </row>
  </sheetData>
  <mergeCells count="18">
    <mergeCell ref="E56:I56"/>
    <mergeCell ref="H11:I11"/>
    <mergeCell ref="G2:I2"/>
    <mergeCell ref="G3:I4"/>
    <mergeCell ref="A5:I5"/>
    <mergeCell ref="A6:I6"/>
    <mergeCell ref="A9:I9"/>
    <mergeCell ref="C10:I10"/>
    <mergeCell ref="A11:A12"/>
    <mergeCell ref="B11:C11"/>
    <mergeCell ref="D11:D12"/>
    <mergeCell ref="E11:E12"/>
    <mergeCell ref="F11:G11"/>
    <mergeCell ref="A57:D57"/>
    <mergeCell ref="E57:I57"/>
    <mergeCell ref="A58:D58"/>
    <mergeCell ref="E58:I58"/>
    <mergeCell ref="A65:D65"/>
  </mergeCells>
  <dataValidations count="1">
    <dataValidation type="list" allowBlank="1" showInputMessage="1" showErrorMessage="1" sqref="E7">
      <formula1>"1331,1388,141,2412,3334,33382,3388,4211,4212,515,635,642,711,811,821,911"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101" customWidth="1"/>
    <col min="2" max="2" width="5.28515625" style="101" customWidth="1"/>
    <col min="3" max="3" width="15.140625" style="101" customWidth="1"/>
    <col min="4" max="4" width="16" style="101" customWidth="1"/>
    <col min="5" max="5" width="3.85546875" style="101" customWidth="1"/>
    <col min="6" max="6" width="6" style="101" customWidth="1"/>
    <col min="7" max="8" width="6.7109375" style="101" customWidth="1"/>
    <col min="9" max="9" width="10.42578125" style="101" customWidth="1"/>
    <col min="10" max="10" width="5.85546875" style="101" customWidth="1"/>
    <col min="11" max="11" width="8.28515625" style="101" customWidth="1"/>
    <col min="12" max="12" width="5" style="101" customWidth="1"/>
    <col min="13" max="13" width="6.42578125" style="101" customWidth="1"/>
    <col min="14" max="14" width="3.140625" style="101" customWidth="1"/>
    <col min="15" max="15" width="6.42578125" style="101" customWidth="1"/>
    <col min="16" max="16" width="5" style="137" customWidth="1"/>
    <col min="17" max="17" width="6.7109375" style="101" customWidth="1"/>
    <col min="18" max="18" width="1.5703125" style="101" customWidth="1"/>
    <col min="19" max="19" width="5.7109375" style="101" customWidth="1"/>
    <col min="20" max="20" width="1.5703125" style="101" customWidth="1"/>
    <col min="21" max="21" width="5" style="101" customWidth="1"/>
    <col min="22" max="22" width="1.5703125" style="101" customWidth="1"/>
    <col min="23" max="23" width="5.5703125" style="101" customWidth="1"/>
  </cols>
  <sheetData>
    <row r="1" spans="1:23" ht="13.5" customHeight="1">
      <c r="B1" s="99" t="s">
        <v>181</v>
      </c>
      <c r="C1" s="110"/>
      <c r="D1" s="100"/>
      <c r="E1" s="100"/>
      <c r="F1" s="100"/>
      <c r="G1" s="100"/>
      <c r="I1" s="102"/>
      <c r="L1" s="103" t="str">
        <f>+IF(LEFT($U$4,1)="T","Mẫu số 01 - TT","Mẫu số 02 - TT")</f>
        <v>Mẫu số 02 - TT</v>
      </c>
      <c r="N1" s="104"/>
      <c r="O1" s="104"/>
      <c r="P1" s="105"/>
      <c r="Q1" s="106"/>
      <c r="R1" s="106"/>
      <c r="S1" s="106"/>
      <c r="T1" s="106"/>
      <c r="U1" s="106"/>
      <c r="V1" s="107"/>
      <c r="W1" s="106"/>
    </row>
    <row r="2" spans="1:23" ht="13.5" customHeight="1">
      <c r="B2" s="110" t="s">
        <v>318</v>
      </c>
      <c r="C2" s="110"/>
      <c r="D2" s="100"/>
      <c r="E2" s="100"/>
      <c r="F2" s="100"/>
      <c r="G2" s="100"/>
      <c r="H2" s="102"/>
      <c r="I2" s="102"/>
      <c r="L2" s="111" t="str">
        <f>IF($Q$4&gt;=2015,"(Ban hành theo Thông tư số 200/2014/TT-BTC ","(Ban hành kèm theo QĐ 48/2006/QĐ-BTC")</f>
        <v>(Ban hành kèm theo QĐ 48/2006/QĐ-BTC</v>
      </c>
      <c r="N2" s="112"/>
      <c r="O2" s="112"/>
      <c r="P2" s="105"/>
      <c r="Q2" s="106"/>
      <c r="R2" s="106"/>
      <c r="S2" s="106"/>
      <c r="T2" s="106"/>
      <c r="U2" s="106"/>
      <c r="V2" s="113"/>
      <c r="W2" s="114" t="s">
        <v>126</v>
      </c>
    </row>
    <row r="3" spans="1:23" ht="13.5" customHeight="1" thickBot="1">
      <c r="B3" s="110"/>
      <c r="C3" s="100"/>
      <c r="D3" s="100"/>
      <c r="E3" s="100"/>
      <c r="G3" s="100"/>
      <c r="I3" s="115"/>
      <c r="L3" s="111" t="str">
        <f>IF($Q$4=2015,"Ngày 22/12/2014 của Bộ Tài chính)","ngày 24/09/2006 của Bộ trưởng BTC)")</f>
        <v>ngày 24/09/2006 của Bộ trưởng BTC)</v>
      </c>
      <c r="N3" s="112"/>
      <c r="O3" s="112"/>
      <c r="P3" s="116"/>
      <c r="Q3" s="997"/>
      <c r="R3" s="323"/>
      <c r="S3" s="324" t="s">
        <v>467</v>
      </c>
      <c r="T3" s="323"/>
      <c r="U3" s="324" t="s">
        <v>127</v>
      </c>
      <c r="V3" s="113"/>
      <c r="W3" s="114" t="s">
        <v>127</v>
      </c>
    </row>
    <row r="4" spans="1:23" ht="22.5" thickBot="1">
      <c r="B4" s="110"/>
      <c r="C4" s="100"/>
      <c r="D4" s="100"/>
      <c r="E4" s="100"/>
      <c r="G4" s="117"/>
      <c r="H4" s="118" t="str">
        <f>IF(LEFT($U$4,1)="T","PHIẾU THU","PHIẾU CHI")</f>
        <v>PHIẾU CHI</v>
      </c>
      <c r="J4" s="117"/>
      <c r="K4" s="119"/>
      <c r="M4" s="119"/>
      <c r="N4" s="119"/>
      <c r="O4" s="119"/>
      <c r="P4" s="120"/>
      <c r="Q4" s="998"/>
      <c r="R4" s="121"/>
      <c r="S4" s="223">
        <v>2</v>
      </c>
      <c r="T4" s="121"/>
      <c r="U4" s="999" t="s">
        <v>4</v>
      </c>
      <c r="V4" s="147"/>
      <c r="W4" s="1000">
        <v>1</v>
      </c>
    </row>
    <row r="5" spans="1:23">
      <c r="B5" s="110"/>
      <c r="C5" s="100"/>
      <c r="D5" s="100"/>
      <c r="E5" s="100"/>
      <c r="G5" s="117"/>
      <c r="H5" s="122" t="str">
        <f>IF(ISNA(VLOOKUP($M$7,TM,3,0)),"","Ngày  "&amp;DAY(VLOOKUP($M$7,TM,3,0))&amp;"  tháng  "&amp;MONTH(VLOOKUP($M$7,TM,3,0))&amp;"  năm  "&amp;YEAR(VLOOKUP($M$7,TM,3,0)))</f>
        <v>Ngày  1  tháng  2  năm  2016</v>
      </c>
      <c r="J5" s="117"/>
      <c r="K5" s="119"/>
      <c r="M5" s="119"/>
      <c r="N5" s="119"/>
      <c r="O5" s="119"/>
      <c r="P5" s="120"/>
      <c r="Q5" s="997"/>
      <c r="V5" s="109"/>
      <c r="W5" s="114"/>
    </row>
    <row r="6" spans="1:23" ht="13.5">
      <c r="A6" s="125"/>
      <c r="B6" s="123"/>
      <c r="C6" s="124"/>
      <c r="D6" s="124"/>
      <c r="E6" s="124"/>
      <c r="F6" s="125"/>
      <c r="G6" s="126"/>
      <c r="H6" s="126"/>
      <c r="I6" s="126"/>
      <c r="J6" s="125"/>
      <c r="K6" s="125"/>
      <c r="L6" s="127" t="str">
        <f>"Quyển số: 0"&amp;$S$4</f>
        <v>Quyển số: 02</v>
      </c>
      <c r="M6" s="125"/>
      <c r="N6" s="125"/>
      <c r="O6" s="128"/>
      <c r="P6" s="129"/>
      <c r="Q6" s="125"/>
      <c r="R6" s="125"/>
      <c r="S6" s="125"/>
      <c r="T6" s="125"/>
      <c r="U6" s="125"/>
      <c r="V6" s="130"/>
      <c r="W6" s="114"/>
    </row>
    <row r="7" spans="1:23" ht="13.5" customHeight="1">
      <c r="A7" s="125"/>
      <c r="B7" s="125"/>
      <c r="C7" s="125"/>
      <c r="D7" s="125"/>
      <c r="E7" s="123"/>
      <c r="F7" s="126"/>
      <c r="G7" s="126"/>
      <c r="H7" s="126"/>
      <c r="I7" s="126"/>
      <c r="J7" s="125"/>
      <c r="K7" s="125"/>
      <c r="L7" s="131" t="str">
        <f>"Số :    "</f>
        <v xml:space="preserve">Số :    </v>
      </c>
      <c r="M7" s="132" t="str">
        <f>$U$4&amp;IF($W$4&gt;=10,$W$4,"0"&amp;$W$4)</f>
        <v>C01</v>
      </c>
      <c r="N7" s="128"/>
      <c r="O7" s="128"/>
      <c r="P7" s="129"/>
      <c r="Q7" s="125"/>
      <c r="R7" s="125"/>
      <c r="S7" s="125"/>
      <c r="T7" s="125"/>
      <c r="U7" s="125"/>
      <c r="V7" s="125"/>
      <c r="W7" s="125"/>
    </row>
    <row r="8" spans="1:23" ht="13.5">
      <c r="A8" s="125"/>
      <c r="B8" s="125"/>
      <c r="C8" s="125"/>
      <c r="D8" s="125"/>
      <c r="E8" s="123"/>
      <c r="F8" s="123"/>
      <c r="G8" s="123"/>
      <c r="H8" s="123"/>
      <c r="I8" s="123"/>
      <c r="J8" s="125"/>
      <c r="K8" s="133"/>
      <c r="L8" s="127" t="s">
        <v>128</v>
      </c>
      <c r="M8" s="134" t="str">
        <f>IF($U$4="T","1111",IF($U$4="C",IF(ISNA(VLOOKUP($M$7,TM,15,0)),"",VLOOKUP($M$7,TM,14,0)),""))</f>
        <v>642</v>
      </c>
      <c r="N8" s="128"/>
      <c r="O8" s="128"/>
      <c r="P8" s="135"/>
      <c r="Q8" s="125"/>
      <c r="R8" s="125"/>
      <c r="S8" s="125"/>
      <c r="T8" s="125"/>
      <c r="U8" s="125"/>
      <c r="V8" s="125"/>
      <c r="W8" s="125"/>
    </row>
    <row r="9" spans="1:23" ht="13.5">
      <c r="A9" s="125"/>
      <c r="B9" s="125"/>
      <c r="C9" s="125"/>
      <c r="D9" s="125"/>
      <c r="E9" s="123"/>
      <c r="F9" s="123"/>
      <c r="G9" s="123"/>
      <c r="H9" s="123"/>
      <c r="I9" s="123"/>
      <c r="J9" s="125"/>
      <c r="K9" s="133"/>
      <c r="L9" s="131" t="s">
        <v>129</v>
      </c>
      <c r="M9" s="134" t="str">
        <f>IF($U$4="C","1111",IF($U$4="T",IF(ISNA(VLOOKUP($M$7,TM,10,0)),"",VLOOKUP($M$7,TM,11,0)),""))</f>
        <v>1111</v>
      </c>
      <c r="N9" s="128"/>
      <c r="O9" s="128"/>
      <c r="P9" s="135"/>
      <c r="Q9" s="125"/>
      <c r="R9" s="125"/>
      <c r="S9" s="125"/>
      <c r="T9" s="125"/>
      <c r="U9" s="125"/>
      <c r="V9" s="125"/>
      <c r="W9" s="125"/>
    </row>
    <row r="10" spans="1:23">
      <c r="A10" s="125"/>
      <c r="B10" s="125"/>
      <c r="C10" s="136" t="str">
        <f>IF($U$4="T","Họ tên người nộp tiền :","Họ và tên người nhận tiền :")&amp;" "&amp;IF(ISNA(VLOOKUP($M$7,TM,8,0)),"",VLOOKUP($M$7,TM,8,0))</f>
        <v>Họ và tên người nhận tiền : Cty TNHH Nhựa Duy Tân</v>
      </c>
      <c r="D10" s="123"/>
      <c r="E10" s="125"/>
      <c r="F10" s="123"/>
      <c r="G10" s="123"/>
      <c r="H10" s="123"/>
      <c r="I10" s="123"/>
      <c r="J10" s="125"/>
      <c r="K10" s="123"/>
      <c r="L10" s="131"/>
      <c r="M10" s="134"/>
      <c r="N10" s="128"/>
      <c r="O10" s="123"/>
      <c r="P10" s="129"/>
      <c r="Q10" s="125"/>
      <c r="R10" s="125"/>
      <c r="S10" s="125"/>
      <c r="T10" s="125"/>
      <c r="U10" s="125"/>
      <c r="V10" s="125"/>
      <c r="W10" s="125"/>
    </row>
    <row r="11" spans="1:23">
      <c r="C11" s="136" t="str">
        <f>"Địa chỉ :"</f>
        <v>Địa chỉ :</v>
      </c>
      <c r="E11" s="136"/>
      <c r="F11" s="136"/>
      <c r="G11" s="136"/>
      <c r="H11" s="136"/>
      <c r="I11" s="136"/>
      <c r="J11" s="136"/>
      <c r="K11" s="136"/>
      <c r="L11" s="136"/>
      <c r="M11" s="136"/>
      <c r="N11" s="136"/>
      <c r="O11" s="136"/>
      <c r="P11" s="116"/>
    </row>
    <row r="12" spans="1:23">
      <c r="C12" s="136" t="str">
        <f>IF($U$4="T","Lý do nộp :","Lý do chi :")&amp;" "&amp;IF(ISNA(VLOOKUP($M$7,TM,6,0)),"",VLOOKUP($M$7,TM,6,0))</f>
        <v>Lý do chi : Hũ ly trung</v>
      </c>
      <c r="E12" s="136"/>
      <c r="F12" s="136"/>
      <c r="G12" s="136"/>
      <c r="H12" s="136"/>
      <c r="I12" s="136"/>
      <c r="J12" s="136"/>
      <c r="K12" s="136"/>
      <c r="L12" s="136"/>
      <c r="M12" s="136"/>
      <c r="N12" s="136"/>
      <c r="O12" s="136"/>
    </row>
    <row r="13" spans="1:23">
      <c r="C13" s="101" t="s">
        <v>142</v>
      </c>
      <c r="D13" s="138">
        <f ca="1">SUMIF(TM,$M$7,TH)</f>
        <v>4668125</v>
      </c>
      <c r="E13" s="101" t="s">
        <v>130</v>
      </c>
      <c r="F13" s="138"/>
      <c r="G13" s="138"/>
      <c r="P13" s="101"/>
    </row>
    <row r="14" spans="1:23">
      <c r="C14" s="101" t="e">
        <f ca="1">"Viết bằng chữ: " &amp;[3]!VND('IN-TC'!D13, TRUE)</f>
        <v>#NAME?</v>
      </c>
      <c r="P14" s="116"/>
    </row>
    <row r="15" spans="1:23">
      <c r="C15" s="136" t="str">
        <f>"Kèm theo :     " &amp;IF(OR(ISNA(VLOOKUP($M$7,TM,7,0)),VLOOKUP($M$7,TM,7,0)=""),"                           ",IF(VLOOKUP($M$7,TM,7,0)&lt;&gt;"","    HĐ  "&amp;(VLOOKUP($M$7,TM,7,0)))) &amp; "     chứng từ gốc. "</f>
        <v xml:space="preserve">Kèm theo :         HĐ  0006129     chứng từ gốc. </v>
      </c>
      <c r="D15" s="136"/>
      <c r="F15" s="136"/>
      <c r="G15" s="136"/>
      <c r="H15" s="136"/>
      <c r="I15" s="136"/>
      <c r="J15" s="136"/>
      <c r="K15" s="136"/>
      <c r="L15" s="136"/>
      <c r="M15" s="136"/>
      <c r="N15" s="136"/>
      <c r="O15" s="136"/>
      <c r="P15" s="139"/>
    </row>
    <row r="16" spans="1:23">
      <c r="K16" s="140"/>
      <c r="L16" s="140"/>
      <c r="M16" s="152" t="str">
        <f>H5</f>
        <v>Ngày  1  tháng  2  năm  2016</v>
      </c>
      <c r="N16" s="140"/>
      <c r="O16" s="140"/>
      <c r="P16" s="101"/>
    </row>
    <row r="17" spans="1:23">
      <c r="C17" s="141" t="s">
        <v>131</v>
      </c>
      <c r="D17" s="142"/>
      <c r="E17" s="141" t="s">
        <v>12</v>
      </c>
      <c r="F17" s="142"/>
      <c r="G17" s="142"/>
      <c r="H17" s="141" t="str">
        <f>IF($U$4="C","Thủ quỹ","Người nộp tiền")</f>
        <v>Thủ quỹ</v>
      </c>
      <c r="J17" s="141" t="s">
        <v>132</v>
      </c>
      <c r="K17" s="142"/>
      <c r="M17" s="143" t="str">
        <f>IF($U$4="T","Thủ quỹ","Người nhận tiền")</f>
        <v>Người nhận tiền</v>
      </c>
      <c r="N17" s="144"/>
      <c r="O17" s="144"/>
      <c r="P17" s="101"/>
    </row>
    <row r="18" spans="1:23">
      <c r="A18" s="142"/>
      <c r="B18" s="142"/>
      <c r="C18" s="145" t="s">
        <v>133</v>
      </c>
      <c r="E18" s="145" t="s">
        <v>134</v>
      </c>
      <c r="H18" s="145" t="s">
        <v>134</v>
      </c>
      <c r="I18" s="142"/>
      <c r="J18" s="145" t="s">
        <v>134</v>
      </c>
      <c r="L18" s="142"/>
      <c r="M18" s="145" t="s">
        <v>134</v>
      </c>
      <c r="P18" s="142"/>
      <c r="Q18" s="142"/>
      <c r="R18" s="142"/>
      <c r="S18" s="142"/>
      <c r="T18" s="142"/>
      <c r="U18" s="142"/>
      <c r="V18" s="142"/>
      <c r="W18" s="142"/>
    </row>
    <row r="19" spans="1:23">
      <c r="P19" s="101"/>
    </row>
    <row r="20" spans="1:23">
      <c r="P20" s="101"/>
    </row>
    <row r="21" spans="1:23">
      <c r="P21" s="101"/>
    </row>
    <row r="22" spans="1:23">
      <c r="P22" s="101"/>
    </row>
    <row r="23" spans="1:23">
      <c r="I23" s="108"/>
      <c r="P23" s="101"/>
    </row>
    <row r="24" spans="1:23">
      <c r="C24" s="353" t="s">
        <v>125</v>
      </c>
      <c r="H24" s="353" t="str">
        <f>IF($U$4="T","","Phạm Thị Đông")</f>
        <v>Phạm Thị Đông</v>
      </c>
      <c r="J24" s="353" t="s">
        <v>229</v>
      </c>
      <c r="M24" s="353" t="str">
        <f>IF($U$4="C","","Phạm Thị Đông")</f>
        <v/>
      </c>
      <c r="P24" s="101"/>
    </row>
    <row r="25" spans="1:23">
      <c r="B25" s="101" t="s">
        <v>135</v>
      </c>
      <c r="P25" s="101"/>
    </row>
    <row r="26" spans="1:23">
      <c r="B26" s="136"/>
      <c r="C26" s="136" t="s">
        <v>136</v>
      </c>
      <c r="D26" s="136"/>
      <c r="E26" s="136"/>
      <c r="F26" s="136"/>
      <c r="G26" s="136"/>
      <c r="H26" s="136"/>
      <c r="I26" s="136"/>
      <c r="J26" s="136"/>
      <c r="K26" s="136"/>
      <c r="L26" s="136"/>
      <c r="M26" s="136"/>
      <c r="N26" s="136"/>
      <c r="O26" s="136"/>
      <c r="P26" s="101"/>
    </row>
    <row r="27" spans="1:23">
      <c r="B27" s="136"/>
      <c r="C27" s="136" t="s">
        <v>137</v>
      </c>
      <c r="D27" s="136"/>
      <c r="E27" s="136"/>
      <c r="F27" s="136"/>
      <c r="G27" s="136"/>
      <c r="H27" s="136"/>
      <c r="I27" s="136"/>
      <c r="J27" s="136"/>
      <c r="K27" s="136"/>
      <c r="L27" s="136"/>
      <c r="M27" s="136"/>
      <c r="N27" s="136"/>
      <c r="O27" s="136"/>
      <c r="P27" s="101"/>
    </row>
    <row r="46" spans="5:5">
      <c r="E46" s="146"/>
    </row>
    <row r="47" spans="5:5">
      <c r="E47" s="146"/>
    </row>
    <row r="48" spans="5:5">
      <c r="E48" s="146"/>
    </row>
    <row r="49" spans="5:5">
      <c r="E49" s="146"/>
    </row>
    <row r="50" spans="5:5">
      <c r="E50" s="146"/>
    </row>
    <row r="51" spans="5:5">
      <c r="E51" s="146"/>
    </row>
    <row r="52" spans="5:5">
      <c r="E52" s="146"/>
    </row>
    <row r="53" spans="5:5">
      <c r="E53" s="146"/>
    </row>
    <row r="54" spans="5:5">
      <c r="E54" s="146"/>
    </row>
    <row r="55" spans="5:5">
      <c r="E55" s="146"/>
    </row>
    <row r="56" spans="5:5">
      <c r="E56" s="146"/>
    </row>
    <row r="57" spans="5:5">
      <c r="E57" s="146"/>
    </row>
    <row r="58" spans="5:5">
      <c r="E58" s="146"/>
    </row>
    <row r="59" spans="5:5">
      <c r="E59" s="146"/>
    </row>
    <row r="60" spans="5:5">
      <c r="E60" s="146"/>
    </row>
    <row r="61" spans="5:5">
      <c r="E61" s="146"/>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24"/>
  <sheetViews>
    <sheetView topLeftCell="A10" zoomScale="90" workbookViewId="0">
      <pane ySplit="4" topLeftCell="A86" activePane="bottomLeft" state="frozen"/>
      <selection activeCell="A10" sqref="A10"/>
      <selection pane="bottomLeft" activeCell="N100" sqref="N100"/>
    </sheetView>
  </sheetViews>
  <sheetFormatPr defaultRowHeight="15"/>
  <cols>
    <col min="1" max="2" width="8.7109375" style="155" customWidth="1"/>
    <col min="3" max="4" width="6.5703125" style="155" customWidth="1"/>
    <col min="5" max="5" width="34.5703125" style="155" customWidth="1"/>
    <col min="6" max="6" width="6.28515625" style="155" customWidth="1"/>
    <col min="7" max="8" width="14.42578125" style="155" customWidth="1"/>
    <col min="9" max="9" width="15.7109375" style="155" customWidth="1"/>
    <col min="10" max="10" width="6.28515625" style="155" customWidth="1"/>
    <col min="11" max="11" width="2.140625" style="155" customWidth="1"/>
    <col min="12" max="12" width="10" style="155" customWidth="1"/>
    <col min="13" max="13" width="3.28515625" style="155" customWidth="1"/>
    <col min="14" max="14" width="9.140625" style="155" customWidth="1"/>
    <col min="15" max="16384" width="9.140625" style="155"/>
  </cols>
  <sheetData>
    <row r="1" spans="1:12" s="3" customFormat="1" ht="16.5" customHeight="1">
      <c r="A1" s="181" t="s">
        <v>138</v>
      </c>
      <c r="B1" s="2"/>
      <c r="C1" s="2"/>
      <c r="D1" s="2"/>
      <c r="E1" s="2"/>
      <c r="G1" s="1269" t="s">
        <v>143</v>
      </c>
      <c r="H1" s="1269"/>
      <c r="I1" s="1269"/>
      <c r="J1" s="1269"/>
    </row>
    <row r="2" spans="1:12" s="3" customFormat="1" ht="16.5" customHeight="1">
      <c r="A2" s="136" t="s">
        <v>139</v>
      </c>
      <c r="B2" s="16"/>
      <c r="C2" s="16"/>
      <c r="D2" s="16"/>
      <c r="E2" s="16"/>
      <c r="G2" s="1270" t="s">
        <v>144</v>
      </c>
      <c r="H2" s="1270"/>
      <c r="I2" s="1270"/>
      <c r="J2" s="1270"/>
    </row>
    <row r="3" spans="1:12" s="3" customFormat="1" ht="16.5" customHeight="1">
      <c r="A3" s="4"/>
      <c r="B3" s="16"/>
      <c r="C3" s="153"/>
      <c r="D3" s="153"/>
      <c r="E3" s="16"/>
      <c r="G3" s="1270"/>
      <c r="H3" s="1270"/>
      <c r="I3" s="1270"/>
      <c r="J3" s="1270"/>
    </row>
    <row r="4" spans="1:12" s="3" customFormat="1" ht="6.75" customHeight="1">
      <c r="A4" s="16"/>
      <c r="B4" s="16"/>
      <c r="C4" s="16"/>
      <c r="D4" s="16"/>
      <c r="E4" s="16"/>
      <c r="G4" s="154"/>
      <c r="H4" s="154"/>
      <c r="I4" s="154"/>
      <c r="J4" s="154"/>
    </row>
    <row r="5" spans="1:12" ht="24.75" customHeight="1">
      <c r="A5" s="1279" t="s">
        <v>145</v>
      </c>
      <c r="B5" s="1279"/>
      <c r="C5" s="1279"/>
      <c r="D5" s="1279"/>
      <c r="E5" s="1279"/>
      <c r="F5" s="1279"/>
      <c r="G5" s="1279"/>
      <c r="H5" s="1279"/>
      <c r="I5" s="1279"/>
      <c r="J5" s="1279"/>
    </row>
    <row r="6" spans="1:12" ht="14.25" customHeight="1">
      <c r="A6" s="1281" t="str">
        <f>$L$11&amp;" / 2015"</f>
        <v>1 / 2015</v>
      </c>
      <c r="B6" s="1281"/>
      <c r="C6" s="1281"/>
      <c r="D6" s="1281"/>
      <c r="E6" s="1281"/>
      <c r="F6" s="1281"/>
      <c r="G6" s="1281"/>
      <c r="H6" s="1281"/>
      <c r="I6" s="1281"/>
      <c r="J6" s="1281"/>
    </row>
    <row r="7" spans="1:12">
      <c r="A7" s="1280" t="s">
        <v>146</v>
      </c>
      <c r="B7" s="1280"/>
      <c r="C7" s="1280"/>
      <c r="D7" s="1280"/>
      <c r="E7" s="1280"/>
      <c r="F7" s="1280"/>
      <c r="G7" s="1280"/>
      <c r="H7" s="1280"/>
      <c r="I7" s="1280"/>
      <c r="J7" s="1280"/>
    </row>
    <row r="8" spans="1:12">
      <c r="A8" s="1280" t="s">
        <v>147</v>
      </c>
      <c r="B8" s="1280"/>
      <c r="C8" s="1280"/>
      <c r="D8" s="1280"/>
      <c r="E8" s="1280"/>
      <c r="F8" s="1280"/>
      <c r="G8" s="1280"/>
      <c r="H8" s="1280"/>
      <c r="I8" s="1280"/>
      <c r="J8" s="1280"/>
    </row>
    <row r="9" spans="1:12">
      <c r="A9" s="156"/>
      <c r="I9" s="156" t="s">
        <v>148</v>
      </c>
    </row>
    <row r="10" spans="1:12" ht="33" customHeight="1" thickBot="1">
      <c r="A10" s="1283" t="s">
        <v>22</v>
      </c>
      <c r="B10" s="1283" t="s">
        <v>149</v>
      </c>
      <c r="C10" s="1282" t="s">
        <v>150</v>
      </c>
      <c r="D10" s="1282"/>
      <c r="E10" s="1282" t="s">
        <v>0</v>
      </c>
      <c r="F10" s="1283" t="s">
        <v>16</v>
      </c>
      <c r="G10" s="1282" t="s">
        <v>23</v>
      </c>
      <c r="H10" s="1282"/>
      <c r="I10" s="1282" t="s">
        <v>151</v>
      </c>
      <c r="J10" s="1282" t="s">
        <v>152</v>
      </c>
      <c r="L10" s="182"/>
    </row>
    <row r="11" spans="1:12" ht="24" customHeight="1" thickBot="1">
      <c r="A11" s="1284"/>
      <c r="B11" s="1284"/>
      <c r="C11" s="157" t="s">
        <v>153</v>
      </c>
      <c r="D11" s="157" t="s">
        <v>154</v>
      </c>
      <c r="E11" s="1282"/>
      <c r="F11" s="1284"/>
      <c r="G11" s="157" t="s">
        <v>24</v>
      </c>
      <c r="H11" s="157" t="s">
        <v>25</v>
      </c>
      <c r="I11" s="1282"/>
      <c r="J11" s="1282"/>
      <c r="L11" s="223">
        <v>1</v>
      </c>
    </row>
    <row r="12" spans="1:12" s="158" customFormat="1" ht="11.25" customHeight="1">
      <c r="A12" s="159" t="s">
        <v>2</v>
      </c>
      <c r="B12" s="159" t="s">
        <v>3</v>
      </c>
      <c r="C12" s="159" t="s">
        <v>4</v>
      </c>
      <c r="D12" s="159" t="s">
        <v>5</v>
      </c>
      <c r="E12" s="159" t="s">
        <v>6</v>
      </c>
      <c r="F12" s="159" t="s">
        <v>155</v>
      </c>
      <c r="G12" s="159">
        <v>1</v>
      </c>
      <c r="H12" s="159">
        <v>2</v>
      </c>
      <c r="I12" s="159">
        <v>3</v>
      </c>
      <c r="J12" s="159" t="s">
        <v>156</v>
      </c>
    </row>
    <row r="13" spans="1:12" s="160" customFormat="1" ht="19.5" customHeight="1">
      <c r="A13" s="161"/>
      <c r="B13" s="161"/>
      <c r="C13" s="161"/>
      <c r="D13" s="161"/>
      <c r="E13" s="161" t="s">
        <v>157</v>
      </c>
      <c r="F13" s="162"/>
      <c r="G13" s="163"/>
      <c r="H13" s="161"/>
      <c r="I13" s="183">
        <f>IF($L$11="All",CDPS!$C$10,CDPS!$C$10+SUMIF(_N111,"x",TH)-SUMIF(_C111,"x",TH))</f>
        <v>3705039095</v>
      </c>
      <c r="J13" s="161"/>
    </row>
    <row r="14" spans="1:12" ht="19.5" customHeight="1">
      <c r="A14" s="164">
        <f ca="1">IF(ROWS($1:1)&gt;COUNT(Dong1),"",OFFSET(TH!C$1,SMALL(Dong1,ROWS($1:1)),))</f>
        <v>42371</v>
      </c>
      <c r="B14" s="164">
        <f ca="1">IF(ROWS($1:1)&gt;COUNT(Dong1),"",OFFSET(TH!E$1,SMALL(Dong1,ROWS($1:1)),))</f>
        <v>42368</v>
      </c>
      <c r="C14" s="165" t="str">
        <f ca="1">IF(ROWS($1:1)&gt;COUNT(Dong1),"",IF(OFFSET(TH!N$1,SMALL(Dong1,ROWS($1:1)),)="1111",OFFSET(TH!D$1,SMALL(Dong1,ROWS($1:1)),),""))</f>
        <v/>
      </c>
      <c r="D14" s="166" t="str">
        <f ca="1">IF(ROWS($1:1)&gt;COUNT(Dong1),"",IF(OFFSET(TH!O$1,SMALL(Dong1,ROWS($1:1)),)="1111",OFFSET(TH!D$1,SMALL(Dong1,ROWS($1:1)),),""))</f>
        <v>C01</v>
      </c>
      <c r="E14" s="375" t="str">
        <f ca="1">IF(ROWS($1:1)&gt;COUNT(Dong1),"",OFFSET(TH!F$1,SMALL(Dong1,ROWS($1:1)),))</f>
        <v>Phí cấp cont, hạ bãi</v>
      </c>
      <c r="F14" s="168" t="str">
        <f ca="1">IF(ROWS($1:1)&gt;COUNT(Dong1),"",IF(OFFSET(TH!O$1,SMALL(Dong1,ROWS($1:1)),)="1111",OFFSET(TH!N$1,SMALL(Dong1,ROWS($1:1)),),OFFSET(TH!O$1,SMALL(Dong1,ROWS($1:1)),)))</f>
        <v>642</v>
      </c>
      <c r="G14" s="169">
        <f ca="1">IF(ROWS($1:1)&gt;COUNT(Dong1),"",IF(OFFSET(TH!N$1,SMALL(Dong1,ROWS($1:1)),)="1111",OFFSET(TH!M$1,SMALL(Dong1,ROWS($1:1)),),0))</f>
        <v>0</v>
      </c>
      <c r="H14" s="167">
        <f ca="1">IF(ROWS($1:1)&gt;COUNT(Dong1),"",IF(OFFSET(TH!O$1,SMALL(Dong1,ROWS($1:1)),)="1111",OFFSET(TH!M$1,SMALL(Dong1,ROWS($1:1)),),0))</f>
        <v>4399997</v>
      </c>
      <c r="I14" s="165">
        <f ca="1">IF(E14&lt;&gt;"",I13+G14-H14,0)</f>
        <v>3700639098</v>
      </c>
      <c r="J14" s="170"/>
    </row>
    <row r="15" spans="1:12" ht="19.5" customHeight="1">
      <c r="A15" s="164">
        <f ca="1">IF(ROWS($1:2)&gt;COUNT(Dong1),"",OFFSET(TH!C$1,SMALL(Dong1,ROWS($1:2)),))</f>
        <v>42371</v>
      </c>
      <c r="B15" s="164">
        <f ca="1">IF(ROWS($1:2)&gt;COUNT(Dong1),"",OFFSET(TH!E$1,SMALL(Dong1,ROWS($1:2)),))</f>
        <v>42368</v>
      </c>
      <c r="C15" s="165" t="str">
        <f ca="1">IF(ROWS($1:2)&gt;COUNT(Dong1),"",IF(OFFSET(TH!N$1,SMALL(Dong1,ROWS($1:2)),)="1111",OFFSET(TH!D$1,SMALL(Dong1,ROWS($1:2)),),""))</f>
        <v/>
      </c>
      <c r="D15" s="166" t="str">
        <f ca="1">IF(ROWS($1:2)&gt;COUNT(Dong1),"",IF(OFFSET(TH!O$1,SMALL(Dong1,ROWS($1:2)),)="1111",OFFSET(TH!D$1,SMALL(Dong1,ROWS($1:2)),),""))</f>
        <v>C01</v>
      </c>
      <c r="E15" s="375" t="str">
        <f ca="1">IF(ROWS($1:2)&gt;COUNT(Dong1),"",OFFSET(TH!F$1,SMALL(Dong1,ROWS($1:2)),))</f>
        <v>VAT Phí cấp cont, hạ bãi</v>
      </c>
      <c r="F15" s="168" t="str">
        <f ca="1">IF(ROWS($1:2)&gt;COUNT(Dong1),"",IF(OFFSET(TH!O$1,SMALL(Dong1,ROWS($1:2)),)="1111",OFFSET(TH!N$1,SMALL(Dong1,ROWS($1:2)),),OFFSET(TH!O$1,SMALL(Dong1,ROWS($1:2)),)))</f>
        <v>1331</v>
      </c>
      <c r="G15" s="169">
        <f ca="1">IF(ROWS($1:2)&gt;COUNT(Dong1),"",IF(OFFSET(TH!N$1,SMALL(Dong1,ROWS($1:2)),)="1111",OFFSET(TH!M$1,SMALL(Dong1,ROWS($1:2)),),0))</f>
        <v>0</v>
      </c>
      <c r="H15" s="167">
        <f ca="1">IF(ROWS($1:2)&gt;COUNT(Dong1),"",IF(OFFSET(TH!O$1,SMALL(Dong1,ROWS($1:2)),)="1111",OFFSET(TH!M$1,SMALL(Dong1,ROWS($1:2)),),0))</f>
        <v>440003</v>
      </c>
      <c r="I15" s="165">
        <f t="shared" ref="I15:I78" ca="1" si="0">IF(E15&lt;&gt;"",I14+G15-H15,0)</f>
        <v>3700199095</v>
      </c>
      <c r="J15" s="170"/>
    </row>
    <row r="16" spans="1:12" ht="19.5" customHeight="1">
      <c r="A16" s="164">
        <f ca="1">IF(ROWS($1:3)&gt;COUNT(Dong1),"",OFFSET(TH!C$1,SMALL(Dong1,ROWS($1:3)),))</f>
        <v>42371</v>
      </c>
      <c r="B16" s="164">
        <f ca="1">IF(ROWS($1:3)&gt;COUNT(Dong1),"",OFFSET(TH!E$1,SMALL(Dong1,ROWS($1:3)),))</f>
        <v>42369</v>
      </c>
      <c r="C16" s="165" t="str">
        <f ca="1">IF(ROWS($1:3)&gt;COUNT(Dong1),"",IF(OFFSET(TH!N$1,SMALL(Dong1,ROWS($1:3)),)="1111",OFFSET(TH!D$1,SMALL(Dong1,ROWS($1:3)),),""))</f>
        <v/>
      </c>
      <c r="D16" s="166" t="str">
        <f ca="1">IF(ROWS($1:3)&gt;COUNT(Dong1),"",IF(OFFSET(TH!O$1,SMALL(Dong1,ROWS($1:3)),)="1111",OFFSET(TH!D$1,SMALL(Dong1,ROWS($1:3)),),""))</f>
        <v>C02</v>
      </c>
      <c r="E16" s="375" t="str">
        <f ca="1">IF(ROWS($1:3)&gt;COUNT(Dong1),"",OFFSET(TH!F$1,SMALL(Dong1,ROWS($1:3)),))</f>
        <v xml:space="preserve">Cước CPN </v>
      </c>
      <c r="F16" s="168" t="str">
        <f ca="1">IF(ROWS($1:3)&gt;COUNT(Dong1),"",IF(OFFSET(TH!O$1,SMALL(Dong1,ROWS($1:3)),)="1111",OFFSET(TH!N$1,SMALL(Dong1,ROWS($1:3)),),OFFSET(TH!O$1,SMALL(Dong1,ROWS($1:3)),)))</f>
        <v>642</v>
      </c>
      <c r="G16" s="169">
        <f ca="1">IF(ROWS($1:3)&gt;COUNT(Dong1),"",IF(OFFSET(TH!N$1,SMALL(Dong1,ROWS($1:3)),)="1111",OFFSET(TH!M$1,SMALL(Dong1,ROWS($1:3)),),0))</f>
        <v>0</v>
      </c>
      <c r="H16" s="167">
        <f ca="1">IF(ROWS($1:3)&gt;COUNT(Dong1),"",IF(OFFSET(TH!O$1,SMALL(Dong1,ROWS($1:3)),)="1111",OFFSET(TH!M$1,SMALL(Dong1,ROWS($1:3)),),0))</f>
        <v>47150</v>
      </c>
      <c r="I16" s="165">
        <f t="shared" ca="1" si="0"/>
        <v>3700151945</v>
      </c>
      <c r="J16" s="170"/>
    </row>
    <row r="17" spans="1:10" ht="19.5" customHeight="1">
      <c r="A17" s="164">
        <f ca="1">IF(ROWS($1:4)&gt;COUNT(Dong1),"",OFFSET(TH!C$1,SMALL(Dong1,ROWS($1:4)),))</f>
        <v>42371</v>
      </c>
      <c r="B17" s="164">
        <f ca="1">IF(ROWS($1:4)&gt;COUNT(Dong1),"",OFFSET(TH!E$1,SMALL(Dong1,ROWS($1:4)),))</f>
        <v>42369</v>
      </c>
      <c r="C17" s="165" t="str">
        <f ca="1">IF(ROWS($1:4)&gt;COUNT(Dong1),"",IF(OFFSET(TH!N$1,SMALL(Dong1,ROWS($1:4)),)="1111",OFFSET(TH!D$1,SMALL(Dong1,ROWS($1:4)),),""))</f>
        <v/>
      </c>
      <c r="D17" s="166" t="str">
        <f ca="1">IF(ROWS($1:4)&gt;COUNT(Dong1),"",IF(OFFSET(TH!O$1,SMALL(Dong1,ROWS($1:4)),)="1111",OFFSET(TH!D$1,SMALL(Dong1,ROWS($1:4)),),""))</f>
        <v>C02</v>
      </c>
      <c r="E17" s="375" t="str">
        <f ca="1">IF(ROWS($1:4)&gt;COUNT(Dong1),"",OFFSET(TH!F$1,SMALL(Dong1,ROWS($1:4)),))</f>
        <v xml:space="preserve">VAT Cước CPN </v>
      </c>
      <c r="F17" s="168" t="str">
        <f ca="1">IF(ROWS($1:4)&gt;COUNT(Dong1),"",IF(OFFSET(TH!O$1,SMALL(Dong1,ROWS($1:4)),)="1111",OFFSET(TH!N$1,SMALL(Dong1,ROWS($1:4)),),OFFSET(TH!O$1,SMALL(Dong1,ROWS($1:4)),)))</f>
        <v>1331</v>
      </c>
      <c r="G17" s="169">
        <f ca="1">IF(ROWS($1:4)&gt;COUNT(Dong1),"",IF(OFFSET(TH!N$1,SMALL(Dong1,ROWS($1:4)),)="1111",OFFSET(TH!M$1,SMALL(Dong1,ROWS($1:4)),),0))</f>
        <v>0</v>
      </c>
      <c r="H17" s="167">
        <f ca="1">IF(ROWS($1:4)&gt;COUNT(Dong1),"",IF(OFFSET(TH!O$1,SMALL(Dong1,ROWS($1:4)),)="1111",OFFSET(TH!M$1,SMALL(Dong1,ROWS($1:4)),),0))</f>
        <v>4715</v>
      </c>
      <c r="I17" s="165">
        <f t="shared" ca="1" si="0"/>
        <v>3700147230</v>
      </c>
      <c r="J17" s="170"/>
    </row>
    <row r="18" spans="1:10" ht="19.5" customHeight="1">
      <c r="A18" s="164">
        <f ca="1">IF(ROWS($1:5)&gt;COUNT(Dong1),"",OFFSET(TH!C$1,SMALL(Dong1,ROWS($1:5)),))</f>
        <v>42371</v>
      </c>
      <c r="B18" s="164">
        <f ca="1">IF(ROWS($1:5)&gt;COUNT(Dong1),"",OFFSET(TH!E$1,SMALL(Dong1,ROWS($1:5)),))</f>
        <v>42367</v>
      </c>
      <c r="C18" s="165" t="str">
        <f ca="1">IF(ROWS($1:5)&gt;COUNT(Dong1),"",IF(OFFSET(TH!N$1,SMALL(Dong1,ROWS($1:5)),)="1111",OFFSET(TH!D$1,SMALL(Dong1,ROWS($1:5)),),""))</f>
        <v/>
      </c>
      <c r="D18" s="166" t="str">
        <f ca="1">IF(ROWS($1:5)&gt;COUNT(Dong1),"",IF(OFFSET(TH!O$1,SMALL(Dong1,ROWS($1:5)),)="1111",OFFSET(TH!D$1,SMALL(Dong1,ROWS($1:5)),),""))</f>
        <v>C03</v>
      </c>
      <c r="E18" s="375" t="str">
        <f ca="1">IF(ROWS($1:5)&gt;COUNT(Dong1),"",OFFSET(TH!F$1,SMALL(Dong1,ROWS($1:5)),))</f>
        <v>Phí cấp cont, hạ bãi</v>
      </c>
      <c r="F18" s="168" t="str">
        <f ca="1">IF(ROWS($1:5)&gt;COUNT(Dong1),"",IF(OFFSET(TH!O$1,SMALL(Dong1,ROWS($1:5)),)="1111",OFFSET(TH!N$1,SMALL(Dong1,ROWS($1:5)),),OFFSET(TH!O$1,SMALL(Dong1,ROWS($1:5)),)))</f>
        <v>642</v>
      </c>
      <c r="G18" s="169">
        <f ca="1">IF(ROWS($1:5)&gt;COUNT(Dong1),"",IF(OFFSET(TH!N$1,SMALL(Dong1,ROWS($1:5)),)="1111",OFFSET(TH!M$1,SMALL(Dong1,ROWS($1:5)),),0))</f>
        <v>0</v>
      </c>
      <c r="H18" s="167">
        <f ca="1">IF(ROWS($1:5)&gt;COUNT(Dong1),"",IF(OFFSET(TH!O$1,SMALL(Dong1,ROWS($1:5)),)="1111",OFFSET(TH!M$1,SMALL(Dong1,ROWS($1:5)),),0))</f>
        <v>2090910</v>
      </c>
      <c r="I18" s="165">
        <f t="shared" ca="1" si="0"/>
        <v>3698056320</v>
      </c>
      <c r="J18" s="170"/>
    </row>
    <row r="19" spans="1:10" ht="19.5" customHeight="1">
      <c r="A19" s="164">
        <f ca="1">IF(ROWS($1:6)&gt;COUNT(Dong1),"",OFFSET(TH!C$1,SMALL(Dong1,ROWS($1:6)),))</f>
        <v>42371</v>
      </c>
      <c r="B19" s="164">
        <f ca="1">IF(ROWS($1:6)&gt;COUNT(Dong1),"",OFFSET(TH!E$1,SMALL(Dong1,ROWS($1:6)),))</f>
        <v>42367</v>
      </c>
      <c r="C19" s="165" t="str">
        <f ca="1">IF(ROWS($1:6)&gt;COUNT(Dong1),"",IF(OFFSET(TH!N$1,SMALL(Dong1,ROWS($1:6)),)="1111",OFFSET(TH!D$1,SMALL(Dong1,ROWS($1:6)),),""))</f>
        <v/>
      </c>
      <c r="D19" s="166" t="str">
        <f ca="1">IF(ROWS($1:6)&gt;COUNT(Dong1),"",IF(OFFSET(TH!O$1,SMALL(Dong1,ROWS($1:6)),)="1111",OFFSET(TH!D$1,SMALL(Dong1,ROWS($1:6)),),""))</f>
        <v>C03</v>
      </c>
      <c r="E19" s="375" t="str">
        <f ca="1">IF(ROWS($1:6)&gt;COUNT(Dong1),"",OFFSET(TH!F$1,SMALL(Dong1,ROWS($1:6)),))</f>
        <v>VAT Phí cấp cont, hạ bãi</v>
      </c>
      <c r="F19" s="168" t="str">
        <f ca="1">IF(ROWS($1:6)&gt;COUNT(Dong1),"",IF(OFFSET(TH!O$1,SMALL(Dong1,ROWS($1:6)),)="1111",OFFSET(TH!N$1,SMALL(Dong1,ROWS($1:6)),),OFFSET(TH!O$1,SMALL(Dong1,ROWS($1:6)),)))</f>
        <v>1331</v>
      </c>
      <c r="G19" s="169">
        <f ca="1">IF(ROWS($1:6)&gt;COUNT(Dong1),"",IF(OFFSET(TH!N$1,SMALL(Dong1,ROWS($1:6)),)="1111",OFFSET(TH!M$1,SMALL(Dong1,ROWS($1:6)),),0))</f>
        <v>0</v>
      </c>
      <c r="H19" s="167">
        <f ca="1">IF(ROWS($1:6)&gt;COUNT(Dong1),"",IF(OFFSET(TH!O$1,SMALL(Dong1,ROWS($1:6)),)="1111",OFFSET(TH!M$1,SMALL(Dong1,ROWS($1:6)),),0))</f>
        <v>209090</v>
      </c>
      <c r="I19" s="165">
        <f t="shared" ca="1" si="0"/>
        <v>3697847230</v>
      </c>
      <c r="J19" s="170"/>
    </row>
    <row r="20" spans="1:10" ht="19.5" customHeight="1">
      <c r="A20" s="164">
        <f ca="1">IF(ROWS($1:7)&gt;COUNT(Dong1),"",OFFSET(TH!C$1,SMALL(Dong1,ROWS($1:7)),))</f>
        <v>42371</v>
      </c>
      <c r="B20" s="164">
        <f ca="1">IF(ROWS($1:7)&gt;COUNT(Dong1),"",OFFSET(TH!E$1,SMALL(Dong1,ROWS($1:7)),))</f>
        <v>42367</v>
      </c>
      <c r="C20" s="165" t="str">
        <f ca="1">IF(ROWS($1:7)&gt;COUNT(Dong1),"",IF(OFFSET(TH!N$1,SMALL(Dong1,ROWS($1:7)),)="1111",OFFSET(TH!D$1,SMALL(Dong1,ROWS($1:7)),),""))</f>
        <v/>
      </c>
      <c r="D20" s="166" t="str">
        <f ca="1">IF(ROWS($1:7)&gt;COUNT(Dong1),"",IF(OFFSET(TH!O$1,SMALL(Dong1,ROWS($1:7)),)="1111",OFFSET(TH!D$1,SMALL(Dong1,ROWS($1:7)),),""))</f>
        <v>C04</v>
      </c>
      <c r="E20" s="375" t="str">
        <f ca="1">IF(ROWS($1:7)&gt;COUNT(Dong1),"",OFFSET(TH!F$1,SMALL(Dong1,ROWS($1:7)),))</f>
        <v>Cước vận chuyển</v>
      </c>
      <c r="F20" s="168" t="str">
        <f ca="1">IF(ROWS($1:7)&gt;COUNT(Dong1),"",IF(OFFSET(TH!O$1,SMALL(Dong1,ROWS($1:7)),)="1111",OFFSET(TH!N$1,SMALL(Dong1,ROWS($1:7)),),OFFSET(TH!O$1,SMALL(Dong1,ROWS($1:7)),)))</f>
        <v>642</v>
      </c>
      <c r="G20" s="169">
        <f ca="1">IF(ROWS($1:7)&gt;COUNT(Dong1),"",IF(OFFSET(TH!N$1,SMALL(Dong1,ROWS($1:7)),)="1111",OFFSET(TH!M$1,SMALL(Dong1,ROWS($1:7)),),0))</f>
        <v>0</v>
      </c>
      <c r="H20" s="167">
        <f ca="1">IF(ROWS($1:7)&gt;COUNT(Dong1),"",IF(OFFSET(TH!O$1,SMALL(Dong1,ROWS($1:7)),)="1111",OFFSET(TH!M$1,SMALL(Dong1,ROWS($1:7)),),0))</f>
        <v>12000000</v>
      </c>
      <c r="I20" s="165">
        <f t="shared" ca="1" si="0"/>
        <v>3685847230</v>
      </c>
      <c r="J20" s="170"/>
    </row>
    <row r="21" spans="1:10" ht="19.5" customHeight="1">
      <c r="A21" s="164">
        <f ca="1">IF(ROWS($1:8)&gt;COUNT(Dong1),"",OFFSET(TH!C$1,SMALL(Dong1,ROWS($1:8)),))</f>
        <v>42371</v>
      </c>
      <c r="B21" s="164">
        <f ca="1">IF(ROWS($1:8)&gt;COUNT(Dong1),"",OFFSET(TH!E$1,SMALL(Dong1,ROWS($1:8)),))</f>
        <v>42367</v>
      </c>
      <c r="C21" s="165" t="str">
        <f ca="1">IF(ROWS($1:8)&gt;COUNT(Dong1),"",IF(OFFSET(TH!N$1,SMALL(Dong1,ROWS($1:8)),)="1111",OFFSET(TH!D$1,SMALL(Dong1,ROWS($1:8)),),""))</f>
        <v/>
      </c>
      <c r="D21" s="166" t="str">
        <f ca="1">IF(ROWS($1:8)&gt;COUNT(Dong1),"",IF(OFFSET(TH!O$1,SMALL(Dong1,ROWS($1:8)),)="1111",OFFSET(TH!D$1,SMALL(Dong1,ROWS($1:8)),),""))</f>
        <v>C04</v>
      </c>
      <c r="E21" s="375" t="str">
        <f ca="1">IF(ROWS($1:8)&gt;COUNT(Dong1),"",OFFSET(TH!F$1,SMALL(Dong1,ROWS($1:8)),))</f>
        <v>VAT Cước vận chuyển</v>
      </c>
      <c r="F21" s="168" t="str">
        <f ca="1">IF(ROWS($1:8)&gt;COUNT(Dong1),"",IF(OFFSET(TH!O$1,SMALL(Dong1,ROWS($1:8)),)="1111",OFFSET(TH!N$1,SMALL(Dong1,ROWS($1:8)),),OFFSET(TH!O$1,SMALL(Dong1,ROWS($1:8)),)))</f>
        <v>1331</v>
      </c>
      <c r="G21" s="169">
        <f ca="1">IF(ROWS($1:8)&gt;COUNT(Dong1),"",IF(OFFSET(TH!N$1,SMALL(Dong1,ROWS($1:8)),)="1111",OFFSET(TH!M$1,SMALL(Dong1,ROWS($1:8)),),0))</f>
        <v>0</v>
      </c>
      <c r="H21" s="167">
        <f ca="1">IF(ROWS($1:8)&gt;COUNT(Dong1),"",IF(OFFSET(TH!O$1,SMALL(Dong1,ROWS($1:8)),)="1111",OFFSET(TH!M$1,SMALL(Dong1,ROWS($1:8)),),0))</f>
        <v>1200000</v>
      </c>
      <c r="I21" s="165">
        <f t="shared" ca="1" si="0"/>
        <v>3684647230</v>
      </c>
      <c r="J21" s="170"/>
    </row>
    <row r="22" spans="1:10" ht="19.5" customHeight="1">
      <c r="A22" s="164">
        <f ca="1">IF(ROWS($1:9)&gt;COUNT(Dong1),"",OFFSET(TH!C$1,SMALL(Dong1,ROWS($1:9)),))</f>
        <v>42371</v>
      </c>
      <c r="B22" s="164">
        <f ca="1">IF(ROWS($1:9)&gt;COUNT(Dong1),"",OFFSET(TH!E$1,SMALL(Dong1,ROWS($1:9)),))</f>
        <v>42370</v>
      </c>
      <c r="C22" s="165" t="str">
        <f ca="1">IF(ROWS($1:9)&gt;COUNT(Dong1),"",IF(OFFSET(TH!N$1,SMALL(Dong1,ROWS($1:9)),)="1111",OFFSET(TH!D$1,SMALL(Dong1,ROWS($1:9)),),""))</f>
        <v/>
      </c>
      <c r="D22" s="166" t="str">
        <f ca="1">IF(ROWS($1:9)&gt;COUNT(Dong1),"",IF(OFFSET(TH!O$1,SMALL(Dong1,ROWS($1:9)),)="1111",OFFSET(TH!D$1,SMALL(Dong1,ROWS($1:9)),),""))</f>
        <v>C05</v>
      </c>
      <c r="E22" s="375" t="str">
        <f ca="1">IF(ROWS($1:9)&gt;COUNT(Dong1),"",OFFSET(TH!F$1,SMALL(Dong1,ROWS($1:9)),))</f>
        <v>Dầu DO</v>
      </c>
      <c r="F22" s="168" t="str">
        <f ca="1">IF(ROWS($1:9)&gt;COUNT(Dong1),"",IF(OFFSET(TH!O$1,SMALL(Dong1,ROWS($1:9)),)="1111",OFFSET(TH!N$1,SMALL(Dong1,ROWS($1:9)),),OFFSET(TH!O$1,SMALL(Dong1,ROWS($1:9)),)))</f>
        <v>642</v>
      </c>
      <c r="G22" s="169">
        <f ca="1">IF(ROWS($1:9)&gt;COUNT(Dong1),"",IF(OFFSET(TH!N$1,SMALL(Dong1,ROWS($1:9)),)="1111",OFFSET(TH!M$1,SMALL(Dong1,ROWS($1:9)),),0))</f>
        <v>0</v>
      </c>
      <c r="H22" s="167">
        <f ca="1">IF(ROWS($1:9)&gt;COUNT(Dong1),"",IF(OFFSET(TH!O$1,SMALL(Dong1,ROWS($1:9)),)="1111",OFFSET(TH!M$1,SMALL(Dong1,ROWS($1:9)),),0))</f>
        <v>620782</v>
      </c>
      <c r="I22" s="165">
        <f t="shared" ca="1" si="0"/>
        <v>3684026448</v>
      </c>
      <c r="J22" s="170"/>
    </row>
    <row r="23" spans="1:10" ht="19.5" customHeight="1">
      <c r="A23" s="164">
        <f ca="1">IF(ROWS($1:10)&gt;COUNT(Dong1),"",OFFSET(TH!C$1,SMALL(Dong1,ROWS($1:10)),))</f>
        <v>42371</v>
      </c>
      <c r="B23" s="164">
        <f ca="1">IF(ROWS($1:10)&gt;COUNT(Dong1),"",OFFSET(TH!E$1,SMALL(Dong1,ROWS($1:10)),))</f>
        <v>42370</v>
      </c>
      <c r="C23" s="165" t="str">
        <f ca="1">IF(ROWS($1:10)&gt;COUNT(Dong1),"",IF(OFFSET(TH!N$1,SMALL(Dong1,ROWS($1:10)),)="1111",OFFSET(TH!D$1,SMALL(Dong1,ROWS($1:10)),),""))</f>
        <v/>
      </c>
      <c r="D23" s="166" t="str">
        <f ca="1">IF(ROWS($1:10)&gt;COUNT(Dong1),"",IF(OFFSET(TH!O$1,SMALL(Dong1,ROWS($1:10)),)="1111",OFFSET(TH!D$1,SMALL(Dong1,ROWS($1:10)),),""))</f>
        <v>C05</v>
      </c>
      <c r="E23" s="375" t="str">
        <f ca="1">IF(ROWS($1:10)&gt;COUNT(Dong1),"",OFFSET(TH!F$1,SMALL(Dong1,ROWS($1:10)),))</f>
        <v>VAT Dầu DO</v>
      </c>
      <c r="F23" s="168" t="str">
        <f ca="1">IF(ROWS($1:10)&gt;COUNT(Dong1),"",IF(OFFSET(TH!O$1,SMALL(Dong1,ROWS($1:10)),)="1111",OFFSET(TH!N$1,SMALL(Dong1,ROWS($1:10)),),OFFSET(TH!O$1,SMALL(Dong1,ROWS($1:10)),)))</f>
        <v>1331</v>
      </c>
      <c r="G23" s="169">
        <f ca="1">IF(ROWS($1:10)&gt;COUNT(Dong1),"",IF(OFFSET(TH!N$1,SMALL(Dong1,ROWS($1:10)),)="1111",OFFSET(TH!M$1,SMALL(Dong1,ROWS($1:10)),),0))</f>
        <v>0</v>
      </c>
      <c r="H23" s="167">
        <f ca="1">IF(ROWS($1:10)&gt;COUNT(Dong1),"",IF(OFFSET(TH!O$1,SMALL(Dong1,ROWS($1:10)),)="1111",OFFSET(TH!M$1,SMALL(Dong1,ROWS($1:10)),),0))</f>
        <v>62078</v>
      </c>
      <c r="I23" s="165">
        <f t="shared" ca="1" si="0"/>
        <v>3683964370</v>
      </c>
      <c r="J23" s="170"/>
    </row>
    <row r="24" spans="1:10" ht="19.5" customHeight="1">
      <c r="A24" s="164">
        <f ca="1">IF(ROWS($1:11)&gt;COUNT(Dong1),"",OFFSET(TH!C$1,SMALL(Dong1,ROWS($1:11)),))</f>
        <v>42371</v>
      </c>
      <c r="B24" s="164">
        <f ca="1">IF(ROWS($1:11)&gt;COUNT(Dong1),"",OFFSET(TH!E$1,SMALL(Dong1,ROWS($1:11)),))</f>
        <v>42370</v>
      </c>
      <c r="C24" s="165" t="str">
        <f ca="1">IF(ROWS($1:11)&gt;COUNT(Dong1),"",IF(OFFSET(TH!N$1,SMALL(Dong1,ROWS($1:11)),)="1111",OFFSET(TH!D$1,SMALL(Dong1,ROWS($1:11)),),""))</f>
        <v/>
      </c>
      <c r="D24" s="166" t="str">
        <f ca="1">IF(ROWS($1:11)&gt;COUNT(Dong1),"",IF(OFFSET(TH!O$1,SMALL(Dong1,ROWS($1:11)),)="1111",OFFSET(TH!D$1,SMALL(Dong1,ROWS($1:11)),),""))</f>
        <v>C06</v>
      </c>
      <c r="E24" s="375" t="str">
        <f ca="1">IF(ROWS($1:11)&gt;COUNT(Dong1),"",OFFSET(TH!F$1,SMALL(Dong1,ROWS($1:11)),))</f>
        <v>Thanh toán tiền diệt chuột</v>
      </c>
      <c r="F24" s="168" t="str">
        <f ca="1">IF(ROWS($1:11)&gt;COUNT(Dong1),"",IF(OFFSET(TH!O$1,SMALL(Dong1,ROWS($1:11)),)="1111",OFFSET(TH!N$1,SMALL(Dong1,ROWS($1:11)),),OFFSET(TH!O$1,SMALL(Dong1,ROWS($1:11)),)))</f>
        <v>331</v>
      </c>
      <c r="G24" s="169">
        <f ca="1">IF(ROWS($1:11)&gt;COUNT(Dong1),"",IF(OFFSET(TH!N$1,SMALL(Dong1,ROWS($1:11)),)="1111",OFFSET(TH!M$1,SMALL(Dong1,ROWS($1:11)),),0))</f>
        <v>0</v>
      </c>
      <c r="H24" s="167">
        <f ca="1">IF(ROWS($1:11)&gt;COUNT(Dong1),"",IF(OFFSET(TH!O$1,SMALL(Dong1,ROWS($1:11)),)="1111",OFFSET(TH!M$1,SMALL(Dong1,ROWS($1:11)),),0))</f>
        <v>7500000</v>
      </c>
      <c r="I24" s="165">
        <f t="shared" ca="1" si="0"/>
        <v>3676464370</v>
      </c>
      <c r="J24" s="170"/>
    </row>
    <row r="25" spans="1:10" ht="19.5" customHeight="1">
      <c r="A25" s="164">
        <f ca="1">IF(ROWS($1:12)&gt;COUNT(Dong1),"",OFFSET(TH!C$1,SMALL(Dong1,ROWS($1:12)),))</f>
        <v>42373</v>
      </c>
      <c r="B25" s="164">
        <f ca="1">IF(ROWS($1:12)&gt;COUNT(Dong1),"",OFFSET(TH!E$1,SMALL(Dong1,ROWS($1:12)),))</f>
        <v>42373</v>
      </c>
      <c r="C25" s="165" t="str">
        <f ca="1">IF(ROWS($1:12)&gt;COUNT(Dong1),"",IF(OFFSET(TH!N$1,SMALL(Dong1,ROWS($1:12)),)="1111",OFFSET(TH!D$1,SMALL(Dong1,ROWS($1:12)),),""))</f>
        <v>T01</v>
      </c>
      <c r="D25" s="166" t="str">
        <f ca="1">IF(ROWS($1:12)&gt;COUNT(Dong1),"",IF(OFFSET(TH!O$1,SMALL(Dong1,ROWS($1:12)),)="1111",OFFSET(TH!D$1,SMALL(Dong1,ROWS($1:12)),),""))</f>
        <v/>
      </c>
      <c r="E25" s="375" t="str">
        <f ca="1">IF(ROWS($1:12)&gt;COUNT(Dong1),"",OFFSET(TH!F$1,SMALL(Dong1,ROWS($1:12)),))</f>
        <v>Q4 - Rút tiền gửi NH nhập quỹ TM</v>
      </c>
      <c r="F25" s="168" t="str">
        <f ca="1">IF(ROWS($1:12)&gt;COUNT(Dong1),"",IF(OFFSET(TH!O$1,SMALL(Dong1,ROWS($1:12)),)="1111",OFFSET(TH!N$1,SMALL(Dong1,ROWS($1:12)),),OFFSET(TH!O$1,SMALL(Dong1,ROWS($1:12)),)))</f>
        <v>1121</v>
      </c>
      <c r="G25" s="169">
        <f ca="1">IF(ROWS($1:12)&gt;COUNT(Dong1),"",IF(OFFSET(TH!N$1,SMALL(Dong1,ROWS($1:12)),)="1111",OFFSET(TH!M$1,SMALL(Dong1,ROWS($1:12)),),0))</f>
        <v>2200000000</v>
      </c>
      <c r="H25" s="167">
        <f ca="1">IF(ROWS($1:12)&gt;COUNT(Dong1),"",IF(OFFSET(TH!O$1,SMALL(Dong1,ROWS($1:12)),)="1111",OFFSET(TH!M$1,SMALL(Dong1,ROWS($1:12)),),0))</f>
        <v>0</v>
      </c>
      <c r="I25" s="165">
        <f t="shared" ca="1" si="0"/>
        <v>5876464370</v>
      </c>
      <c r="J25" s="170"/>
    </row>
    <row r="26" spans="1:10" ht="19.5" customHeight="1">
      <c r="A26" s="164">
        <f ca="1">IF(ROWS($1:13)&gt;COUNT(Dong1),"",OFFSET(TH!C$1,SMALL(Dong1,ROWS($1:13)),))</f>
        <v>42373</v>
      </c>
      <c r="B26" s="164">
        <f ca="1">IF(ROWS($1:13)&gt;COUNT(Dong1),"",OFFSET(TH!E$1,SMALL(Dong1,ROWS($1:13)),))</f>
        <v>42373</v>
      </c>
      <c r="C26" s="165" t="str">
        <f ca="1">IF(ROWS($1:13)&gt;COUNT(Dong1),"",IF(OFFSET(TH!N$1,SMALL(Dong1,ROWS($1:13)),)="1111",OFFSET(TH!D$1,SMALL(Dong1,ROWS($1:13)),),""))</f>
        <v/>
      </c>
      <c r="D26" s="166" t="str">
        <f ca="1">IF(ROWS($1:13)&gt;COUNT(Dong1),"",IF(OFFSET(TH!O$1,SMALL(Dong1,ROWS($1:13)),)="1111",OFFSET(TH!D$1,SMALL(Dong1,ROWS($1:13)),),""))</f>
        <v>C07</v>
      </c>
      <c r="E26" s="375" t="str">
        <f ca="1">IF(ROWS($1:13)&gt;COUNT(Dong1),"",OFFSET(TH!F$1,SMALL(Dong1,ROWS($1:13)),))</f>
        <v>Xi măng Fico</v>
      </c>
      <c r="F26" s="168" t="str">
        <f ca="1">IF(ROWS($1:13)&gt;COUNT(Dong1),"",IF(OFFSET(TH!O$1,SMALL(Dong1,ROWS($1:13)),)="1111",OFFSET(TH!N$1,SMALL(Dong1,ROWS($1:13)),),OFFSET(TH!O$1,SMALL(Dong1,ROWS($1:13)),)))</f>
        <v>2412</v>
      </c>
      <c r="G26" s="169">
        <f ca="1">IF(ROWS($1:13)&gt;COUNT(Dong1),"",IF(OFFSET(TH!N$1,SMALL(Dong1,ROWS($1:13)),)="1111",OFFSET(TH!M$1,SMALL(Dong1,ROWS($1:13)),),0))</f>
        <v>0</v>
      </c>
      <c r="H26" s="167">
        <f ca="1">IF(ROWS($1:13)&gt;COUNT(Dong1),"",IF(OFFSET(TH!O$1,SMALL(Dong1,ROWS($1:13)),)="1111",OFFSET(TH!M$1,SMALL(Dong1,ROWS($1:13)),),0))</f>
        <v>16650000</v>
      </c>
      <c r="I26" s="165">
        <f t="shared" ca="1" si="0"/>
        <v>5859814370</v>
      </c>
      <c r="J26" s="170"/>
    </row>
    <row r="27" spans="1:10" ht="19.5" customHeight="1">
      <c r="A27" s="164">
        <f ca="1">IF(ROWS($1:14)&gt;COUNT(Dong1),"",OFFSET(TH!C$1,SMALL(Dong1,ROWS($1:14)),))</f>
        <v>42373</v>
      </c>
      <c r="B27" s="164">
        <f ca="1">IF(ROWS($1:14)&gt;COUNT(Dong1),"",OFFSET(TH!E$1,SMALL(Dong1,ROWS($1:14)),))</f>
        <v>42373</v>
      </c>
      <c r="C27" s="165" t="str">
        <f ca="1">IF(ROWS($1:14)&gt;COUNT(Dong1),"",IF(OFFSET(TH!N$1,SMALL(Dong1,ROWS($1:14)),)="1111",OFFSET(TH!D$1,SMALL(Dong1,ROWS($1:14)),),""))</f>
        <v/>
      </c>
      <c r="D27" s="166" t="str">
        <f ca="1">IF(ROWS($1:14)&gt;COUNT(Dong1),"",IF(OFFSET(TH!O$1,SMALL(Dong1,ROWS($1:14)),)="1111",OFFSET(TH!D$1,SMALL(Dong1,ROWS($1:14)),),""))</f>
        <v>C07</v>
      </c>
      <c r="E27" s="375" t="str">
        <f ca="1">IF(ROWS($1:14)&gt;COUNT(Dong1),"",OFFSET(TH!F$1,SMALL(Dong1,ROWS($1:14)),))</f>
        <v>VAT Xi măng Fico</v>
      </c>
      <c r="F27" s="168" t="str">
        <f ca="1">IF(ROWS($1:14)&gt;COUNT(Dong1),"",IF(OFFSET(TH!O$1,SMALL(Dong1,ROWS($1:14)),)="1111",OFFSET(TH!N$1,SMALL(Dong1,ROWS($1:14)),),OFFSET(TH!O$1,SMALL(Dong1,ROWS($1:14)),)))</f>
        <v>1331</v>
      </c>
      <c r="G27" s="169">
        <f ca="1">IF(ROWS($1:14)&gt;COUNT(Dong1),"",IF(OFFSET(TH!N$1,SMALL(Dong1,ROWS($1:14)),)="1111",OFFSET(TH!M$1,SMALL(Dong1,ROWS($1:14)),),0))</f>
        <v>0</v>
      </c>
      <c r="H27" s="167">
        <f ca="1">IF(ROWS($1:14)&gt;COUNT(Dong1),"",IF(OFFSET(TH!O$1,SMALL(Dong1,ROWS($1:14)),)="1111",OFFSET(TH!M$1,SMALL(Dong1,ROWS($1:14)),),0))</f>
        <v>1665000</v>
      </c>
      <c r="I27" s="165">
        <f t="shared" ca="1" si="0"/>
        <v>5858149370</v>
      </c>
      <c r="J27" s="170"/>
    </row>
    <row r="28" spans="1:10" ht="19.5" customHeight="1">
      <c r="A28" s="164">
        <f ca="1">IF(ROWS($1:15)&gt;COUNT(Dong1),"",OFFSET(TH!C$1,SMALL(Dong1,ROWS($1:15)),))</f>
        <v>42373</v>
      </c>
      <c r="B28" s="164">
        <f ca="1">IF(ROWS($1:15)&gt;COUNT(Dong1),"",OFFSET(TH!E$1,SMALL(Dong1,ROWS($1:15)),))</f>
        <v>42336</v>
      </c>
      <c r="C28" s="165" t="str">
        <f ca="1">IF(ROWS($1:15)&gt;COUNT(Dong1),"",IF(OFFSET(TH!N$1,SMALL(Dong1,ROWS($1:15)),)="1111",OFFSET(TH!D$1,SMALL(Dong1,ROWS($1:15)),),""))</f>
        <v/>
      </c>
      <c r="D28" s="166" t="str">
        <f ca="1">IF(ROWS($1:15)&gt;COUNT(Dong1),"",IF(OFFSET(TH!O$1,SMALL(Dong1,ROWS($1:15)),)="1111",OFFSET(TH!D$1,SMALL(Dong1,ROWS($1:15)),),""))</f>
        <v>C08</v>
      </c>
      <c r="E28" s="375" t="str">
        <f ca="1">IF(ROWS($1:15)&gt;COUNT(Dong1),"",OFFSET(TH!F$1,SMALL(Dong1,ROWS($1:15)),))</f>
        <v>Cước vận chuyển</v>
      </c>
      <c r="F28" s="168" t="str">
        <f ca="1">IF(ROWS($1:15)&gt;COUNT(Dong1),"",IF(OFFSET(TH!O$1,SMALL(Dong1,ROWS($1:15)),)="1111",OFFSET(TH!N$1,SMALL(Dong1,ROWS($1:15)),),OFFSET(TH!O$1,SMALL(Dong1,ROWS($1:15)),)))</f>
        <v>642</v>
      </c>
      <c r="G28" s="169">
        <f ca="1">IF(ROWS($1:15)&gt;COUNT(Dong1),"",IF(OFFSET(TH!N$1,SMALL(Dong1,ROWS($1:15)),)="1111",OFFSET(TH!M$1,SMALL(Dong1,ROWS($1:15)),),0))</f>
        <v>0</v>
      </c>
      <c r="H28" s="167">
        <f ca="1">IF(ROWS($1:15)&gt;COUNT(Dong1),"",IF(OFFSET(TH!O$1,SMALL(Dong1,ROWS($1:15)),)="1111",OFFSET(TH!M$1,SMALL(Dong1,ROWS($1:15)),),0))</f>
        <v>12000000</v>
      </c>
      <c r="I28" s="165">
        <f t="shared" ca="1" si="0"/>
        <v>5846149370</v>
      </c>
      <c r="J28" s="170"/>
    </row>
    <row r="29" spans="1:10" ht="19.5" customHeight="1">
      <c r="A29" s="164">
        <f ca="1">IF(ROWS($1:16)&gt;COUNT(Dong1),"",OFFSET(TH!C$1,SMALL(Dong1,ROWS($1:16)),))</f>
        <v>42373</v>
      </c>
      <c r="B29" s="164">
        <f ca="1">IF(ROWS($1:16)&gt;COUNT(Dong1),"",OFFSET(TH!E$1,SMALL(Dong1,ROWS($1:16)),))</f>
        <v>42336</v>
      </c>
      <c r="C29" s="165" t="str">
        <f ca="1">IF(ROWS($1:16)&gt;COUNT(Dong1),"",IF(OFFSET(TH!N$1,SMALL(Dong1,ROWS($1:16)),)="1111",OFFSET(TH!D$1,SMALL(Dong1,ROWS($1:16)),),""))</f>
        <v/>
      </c>
      <c r="D29" s="166" t="str">
        <f ca="1">IF(ROWS($1:16)&gt;COUNT(Dong1),"",IF(OFFSET(TH!O$1,SMALL(Dong1,ROWS($1:16)),)="1111",OFFSET(TH!D$1,SMALL(Dong1,ROWS($1:16)),),""))</f>
        <v>C08</v>
      </c>
      <c r="E29" s="375" t="str">
        <f ca="1">IF(ROWS($1:16)&gt;COUNT(Dong1),"",OFFSET(TH!F$1,SMALL(Dong1,ROWS($1:16)),))</f>
        <v>VAT Cước vận chuyển</v>
      </c>
      <c r="F29" s="168" t="str">
        <f ca="1">IF(ROWS($1:16)&gt;COUNT(Dong1),"",IF(OFFSET(TH!O$1,SMALL(Dong1,ROWS($1:16)),)="1111",OFFSET(TH!N$1,SMALL(Dong1,ROWS($1:16)),),OFFSET(TH!O$1,SMALL(Dong1,ROWS($1:16)),)))</f>
        <v>1331</v>
      </c>
      <c r="G29" s="169">
        <f ca="1">IF(ROWS($1:16)&gt;COUNT(Dong1),"",IF(OFFSET(TH!N$1,SMALL(Dong1,ROWS($1:16)),)="1111",OFFSET(TH!M$1,SMALL(Dong1,ROWS($1:16)),),0))</f>
        <v>0</v>
      </c>
      <c r="H29" s="167">
        <f ca="1">IF(ROWS($1:16)&gt;COUNT(Dong1),"",IF(OFFSET(TH!O$1,SMALL(Dong1,ROWS($1:16)),)="1111",OFFSET(TH!M$1,SMALL(Dong1,ROWS($1:16)),),0))</f>
        <v>1200000</v>
      </c>
      <c r="I29" s="165">
        <f t="shared" ca="1" si="0"/>
        <v>5844949370</v>
      </c>
      <c r="J29" s="170"/>
    </row>
    <row r="30" spans="1:10" ht="19.5" customHeight="1">
      <c r="A30" s="164">
        <f ca="1">IF(ROWS($1:17)&gt;COUNT(Dong1),"",OFFSET(TH!C$1,SMALL(Dong1,ROWS($1:17)),))</f>
        <v>42373</v>
      </c>
      <c r="B30" s="164">
        <f ca="1">IF(ROWS($1:17)&gt;COUNT(Dong1),"",OFFSET(TH!E$1,SMALL(Dong1,ROWS($1:17)),))</f>
        <v>42373</v>
      </c>
      <c r="C30" s="165" t="str">
        <f ca="1">IF(ROWS($1:17)&gt;COUNT(Dong1),"",IF(OFFSET(TH!N$1,SMALL(Dong1,ROWS($1:17)),)="1111",OFFSET(TH!D$1,SMALL(Dong1,ROWS($1:17)),),""))</f>
        <v/>
      </c>
      <c r="D30" s="166" t="str">
        <f ca="1">IF(ROWS($1:17)&gt;COUNT(Dong1),"",IF(OFFSET(TH!O$1,SMALL(Dong1,ROWS($1:17)),)="1111",OFFSET(TH!D$1,SMALL(Dong1,ROWS($1:17)),),""))</f>
        <v>C09</v>
      </c>
      <c r="E30" s="375" t="str">
        <f ca="1">IF(ROWS($1:17)&gt;COUNT(Dong1),"",OFFSET(TH!F$1,SMALL(Dong1,ROWS($1:17)),))</f>
        <v>Xăng</v>
      </c>
      <c r="F30" s="168" t="str">
        <f ca="1">IF(ROWS($1:17)&gt;COUNT(Dong1),"",IF(OFFSET(TH!O$1,SMALL(Dong1,ROWS($1:17)),)="1111",OFFSET(TH!N$1,SMALL(Dong1,ROWS($1:17)),),OFFSET(TH!O$1,SMALL(Dong1,ROWS($1:17)),)))</f>
        <v>642</v>
      </c>
      <c r="G30" s="169">
        <f ca="1">IF(ROWS($1:17)&gt;COUNT(Dong1),"",IF(OFFSET(TH!N$1,SMALL(Dong1,ROWS($1:17)),)="1111",OFFSET(TH!M$1,SMALL(Dong1,ROWS($1:17)),),0))</f>
        <v>0</v>
      </c>
      <c r="H30" s="167">
        <f ca="1">IF(ROWS($1:17)&gt;COUNT(Dong1),"",IF(OFFSET(TH!O$1,SMALL(Dong1,ROWS($1:17)),)="1111",OFFSET(TH!M$1,SMALL(Dong1,ROWS($1:17)),),0))</f>
        <v>684000</v>
      </c>
      <c r="I30" s="165">
        <f t="shared" ca="1" si="0"/>
        <v>5844265370</v>
      </c>
      <c r="J30" s="170"/>
    </row>
    <row r="31" spans="1:10" ht="19.5" customHeight="1">
      <c r="A31" s="164">
        <f ca="1">IF(ROWS($1:18)&gt;COUNT(Dong1),"",OFFSET(TH!C$1,SMALL(Dong1,ROWS($1:18)),))</f>
        <v>42373</v>
      </c>
      <c r="B31" s="164">
        <f ca="1">IF(ROWS($1:18)&gt;COUNT(Dong1),"",OFFSET(TH!E$1,SMALL(Dong1,ROWS($1:18)),))</f>
        <v>42373</v>
      </c>
      <c r="C31" s="165" t="str">
        <f ca="1">IF(ROWS($1:18)&gt;COUNT(Dong1),"",IF(OFFSET(TH!N$1,SMALL(Dong1,ROWS($1:18)),)="1111",OFFSET(TH!D$1,SMALL(Dong1,ROWS($1:18)),),""))</f>
        <v/>
      </c>
      <c r="D31" s="166" t="str">
        <f ca="1">IF(ROWS($1:18)&gt;COUNT(Dong1),"",IF(OFFSET(TH!O$1,SMALL(Dong1,ROWS($1:18)),)="1111",OFFSET(TH!D$1,SMALL(Dong1,ROWS($1:18)),),""))</f>
        <v>C09</v>
      </c>
      <c r="E31" s="375" t="str">
        <f ca="1">IF(ROWS($1:18)&gt;COUNT(Dong1),"",OFFSET(TH!F$1,SMALL(Dong1,ROWS($1:18)),))</f>
        <v>VAT Xăng</v>
      </c>
      <c r="F31" s="168" t="str">
        <f ca="1">IF(ROWS($1:18)&gt;COUNT(Dong1),"",IF(OFFSET(TH!O$1,SMALL(Dong1,ROWS($1:18)),)="1111",OFFSET(TH!N$1,SMALL(Dong1,ROWS($1:18)),),OFFSET(TH!O$1,SMALL(Dong1,ROWS($1:18)),)))</f>
        <v>1331</v>
      </c>
      <c r="G31" s="169">
        <f ca="1">IF(ROWS($1:18)&gt;COUNT(Dong1),"",IF(OFFSET(TH!N$1,SMALL(Dong1,ROWS($1:18)),)="1111",OFFSET(TH!M$1,SMALL(Dong1,ROWS($1:18)),),0))</f>
        <v>0</v>
      </c>
      <c r="H31" s="167">
        <f ca="1">IF(ROWS($1:18)&gt;COUNT(Dong1),"",IF(OFFSET(TH!O$1,SMALL(Dong1,ROWS($1:18)),)="1111",OFFSET(TH!M$1,SMALL(Dong1,ROWS($1:18)),),0))</f>
        <v>68400</v>
      </c>
      <c r="I31" s="165">
        <f t="shared" ca="1" si="0"/>
        <v>5844196970</v>
      </c>
      <c r="J31" s="170"/>
    </row>
    <row r="32" spans="1:10" ht="19.5" customHeight="1">
      <c r="A32" s="164">
        <f ca="1">IF(ROWS($1:19)&gt;COUNT(Dong1),"",OFFSET(TH!C$1,SMALL(Dong1,ROWS($1:19)),))</f>
        <v>42373</v>
      </c>
      <c r="B32" s="164">
        <f ca="1">IF(ROWS($1:19)&gt;COUNT(Dong1),"",OFFSET(TH!E$1,SMALL(Dong1,ROWS($1:19)),))</f>
        <v>42373</v>
      </c>
      <c r="C32" s="165" t="str">
        <f ca="1">IF(ROWS($1:19)&gt;COUNT(Dong1),"",IF(OFFSET(TH!N$1,SMALL(Dong1,ROWS($1:19)),)="1111",OFFSET(TH!D$1,SMALL(Dong1,ROWS($1:19)),),""))</f>
        <v/>
      </c>
      <c r="D32" s="166" t="str">
        <f ca="1">IF(ROWS($1:19)&gt;COUNT(Dong1),"",IF(OFFSET(TH!O$1,SMALL(Dong1,ROWS($1:19)),)="1111",OFFSET(TH!D$1,SMALL(Dong1,ROWS($1:19)),),""))</f>
        <v>C10</v>
      </c>
      <c r="E32" s="375" t="str">
        <f ca="1">IF(ROWS($1:19)&gt;COUNT(Dong1),"",OFFSET(TH!F$1,SMALL(Dong1,ROWS($1:19)),))</f>
        <v>Xăng</v>
      </c>
      <c r="F32" s="168" t="str">
        <f ca="1">IF(ROWS($1:19)&gt;COUNT(Dong1),"",IF(OFFSET(TH!O$1,SMALL(Dong1,ROWS($1:19)),)="1111",OFFSET(TH!N$1,SMALL(Dong1,ROWS($1:19)),),OFFSET(TH!O$1,SMALL(Dong1,ROWS($1:19)),)))</f>
        <v>642</v>
      </c>
      <c r="G32" s="169">
        <f ca="1">IF(ROWS($1:19)&gt;COUNT(Dong1),"",IF(OFFSET(TH!N$1,SMALL(Dong1,ROWS($1:19)),)="1111",OFFSET(TH!M$1,SMALL(Dong1,ROWS($1:19)),),0))</f>
        <v>0</v>
      </c>
      <c r="H32" s="167">
        <f ca="1">IF(ROWS($1:19)&gt;COUNT(Dong1),"",IF(OFFSET(TH!O$1,SMALL(Dong1,ROWS($1:19)),)="1111",OFFSET(TH!M$1,SMALL(Dong1,ROWS($1:19)),),0))</f>
        <v>29818</v>
      </c>
      <c r="I32" s="165">
        <f t="shared" ca="1" si="0"/>
        <v>5844167152</v>
      </c>
      <c r="J32" s="170"/>
    </row>
    <row r="33" spans="1:10" ht="19.5" customHeight="1">
      <c r="A33" s="164">
        <f ca="1">IF(ROWS($1:20)&gt;COUNT(Dong1),"",OFFSET(TH!C$1,SMALL(Dong1,ROWS($1:20)),))</f>
        <v>42373</v>
      </c>
      <c r="B33" s="164">
        <f ca="1">IF(ROWS($1:20)&gt;COUNT(Dong1),"",OFFSET(TH!E$1,SMALL(Dong1,ROWS($1:20)),))</f>
        <v>42373</v>
      </c>
      <c r="C33" s="165" t="str">
        <f ca="1">IF(ROWS($1:20)&gt;COUNT(Dong1),"",IF(OFFSET(TH!N$1,SMALL(Dong1,ROWS($1:20)),)="1111",OFFSET(TH!D$1,SMALL(Dong1,ROWS($1:20)),),""))</f>
        <v/>
      </c>
      <c r="D33" s="166" t="str">
        <f ca="1">IF(ROWS($1:20)&gt;COUNT(Dong1),"",IF(OFFSET(TH!O$1,SMALL(Dong1,ROWS($1:20)),)="1111",OFFSET(TH!D$1,SMALL(Dong1,ROWS($1:20)),),""))</f>
        <v>C10</v>
      </c>
      <c r="E33" s="375" t="str">
        <f ca="1">IF(ROWS($1:20)&gt;COUNT(Dong1),"",OFFSET(TH!F$1,SMALL(Dong1,ROWS($1:20)),))</f>
        <v>VAT Xăng</v>
      </c>
      <c r="F33" s="168" t="str">
        <f ca="1">IF(ROWS($1:20)&gt;COUNT(Dong1),"",IF(OFFSET(TH!O$1,SMALL(Dong1,ROWS($1:20)),)="1111",OFFSET(TH!N$1,SMALL(Dong1,ROWS($1:20)),),OFFSET(TH!O$1,SMALL(Dong1,ROWS($1:20)),)))</f>
        <v>1331</v>
      </c>
      <c r="G33" s="169">
        <f ca="1">IF(ROWS($1:20)&gt;COUNT(Dong1),"",IF(OFFSET(TH!N$1,SMALL(Dong1,ROWS($1:20)),)="1111",OFFSET(TH!M$1,SMALL(Dong1,ROWS($1:20)),),0))</f>
        <v>0</v>
      </c>
      <c r="H33" s="167">
        <f ca="1">IF(ROWS($1:20)&gt;COUNT(Dong1),"",IF(OFFSET(TH!O$1,SMALL(Dong1,ROWS($1:20)),)="1111",OFFSET(TH!M$1,SMALL(Dong1,ROWS($1:20)),),0))</f>
        <v>2982</v>
      </c>
      <c r="I33" s="165">
        <f t="shared" ca="1" si="0"/>
        <v>5844164170</v>
      </c>
      <c r="J33" s="170"/>
    </row>
    <row r="34" spans="1:10" ht="19.5" customHeight="1">
      <c r="A34" s="164">
        <f ca="1">IF(ROWS($1:21)&gt;COUNT(Dong1),"",OFFSET(TH!C$1,SMALL(Dong1,ROWS($1:21)),))</f>
        <v>42374</v>
      </c>
      <c r="B34" s="164">
        <f ca="1">IF(ROWS($1:21)&gt;COUNT(Dong1),"",OFFSET(TH!E$1,SMALL(Dong1,ROWS($1:21)),))</f>
        <v>42374</v>
      </c>
      <c r="C34" s="165" t="str">
        <f ca="1">IF(ROWS($1:21)&gt;COUNT(Dong1),"",IF(OFFSET(TH!N$1,SMALL(Dong1,ROWS($1:21)),)="1111",OFFSET(TH!D$1,SMALL(Dong1,ROWS($1:21)),),""))</f>
        <v/>
      </c>
      <c r="D34" s="166" t="str">
        <f ca="1">IF(ROWS($1:21)&gt;COUNT(Dong1),"",IF(OFFSET(TH!O$1,SMALL(Dong1,ROWS($1:21)),)="1111",OFFSET(TH!D$1,SMALL(Dong1,ROWS($1:21)),),""))</f>
        <v>C11</v>
      </c>
      <c r="E34" s="375" t="str">
        <f ca="1">IF(ROWS($1:21)&gt;COUNT(Dong1),"",OFFSET(TH!F$1,SMALL(Dong1,ROWS($1:21)),))</f>
        <v>Gạch ống, cát vàng</v>
      </c>
      <c r="F34" s="168" t="str">
        <f ca="1">IF(ROWS($1:21)&gt;COUNT(Dong1),"",IF(OFFSET(TH!O$1,SMALL(Dong1,ROWS($1:21)),)="1111",OFFSET(TH!N$1,SMALL(Dong1,ROWS($1:21)),),OFFSET(TH!O$1,SMALL(Dong1,ROWS($1:21)),)))</f>
        <v>2412</v>
      </c>
      <c r="G34" s="169">
        <f ca="1">IF(ROWS($1:21)&gt;COUNT(Dong1),"",IF(OFFSET(TH!N$1,SMALL(Dong1,ROWS($1:21)),)="1111",OFFSET(TH!M$1,SMALL(Dong1,ROWS($1:21)),),0))</f>
        <v>0</v>
      </c>
      <c r="H34" s="167">
        <f ca="1">IF(ROWS($1:21)&gt;COUNT(Dong1),"",IF(OFFSET(TH!O$1,SMALL(Dong1,ROWS($1:21)),)="1111",OFFSET(TH!M$1,SMALL(Dong1,ROWS($1:21)),),0))</f>
        <v>16890000</v>
      </c>
      <c r="I34" s="165">
        <f t="shared" ca="1" si="0"/>
        <v>5827274170</v>
      </c>
      <c r="J34" s="170"/>
    </row>
    <row r="35" spans="1:10" ht="19.5" customHeight="1">
      <c r="A35" s="164">
        <f ca="1">IF(ROWS($1:22)&gt;COUNT(Dong1),"",OFFSET(TH!C$1,SMALL(Dong1,ROWS($1:22)),))</f>
        <v>42374</v>
      </c>
      <c r="B35" s="164">
        <f ca="1">IF(ROWS($1:22)&gt;COUNT(Dong1),"",OFFSET(TH!E$1,SMALL(Dong1,ROWS($1:22)),))</f>
        <v>42374</v>
      </c>
      <c r="C35" s="165" t="str">
        <f ca="1">IF(ROWS($1:22)&gt;COUNT(Dong1),"",IF(OFFSET(TH!N$1,SMALL(Dong1,ROWS($1:22)),)="1111",OFFSET(TH!D$1,SMALL(Dong1,ROWS($1:22)),),""))</f>
        <v/>
      </c>
      <c r="D35" s="166" t="str">
        <f ca="1">IF(ROWS($1:22)&gt;COUNT(Dong1),"",IF(OFFSET(TH!O$1,SMALL(Dong1,ROWS($1:22)),)="1111",OFFSET(TH!D$1,SMALL(Dong1,ROWS($1:22)),),""))</f>
        <v>C11</v>
      </c>
      <c r="E35" s="375" t="str">
        <f ca="1">IF(ROWS($1:22)&gt;COUNT(Dong1),"",OFFSET(TH!F$1,SMALL(Dong1,ROWS($1:22)),))</f>
        <v>VAT Gạch ống, cát vàng</v>
      </c>
      <c r="F35" s="168" t="str">
        <f ca="1">IF(ROWS($1:22)&gt;COUNT(Dong1),"",IF(OFFSET(TH!O$1,SMALL(Dong1,ROWS($1:22)),)="1111",OFFSET(TH!N$1,SMALL(Dong1,ROWS($1:22)),),OFFSET(TH!O$1,SMALL(Dong1,ROWS($1:22)),)))</f>
        <v>1331</v>
      </c>
      <c r="G35" s="169">
        <f ca="1">IF(ROWS($1:22)&gt;COUNT(Dong1),"",IF(OFFSET(TH!N$1,SMALL(Dong1,ROWS($1:22)),)="1111",OFFSET(TH!M$1,SMALL(Dong1,ROWS($1:22)),),0))</f>
        <v>0</v>
      </c>
      <c r="H35" s="167">
        <f ca="1">IF(ROWS($1:22)&gt;COUNT(Dong1),"",IF(OFFSET(TH!O$1,SMALL(Dong1,ROWS($1:22)),)="1111",OFFSET(TH!M$1,SMALL(Dong1,ROWS($1:22)),),0))</f>
        <v>1689000</v>
      </c>
      <c r="I35" s="165">
        <f t="shared" ca="1" si="0"/>
        <v>5825585170</v>
      </c>
      <c r="J35" s="170"/>
    </row>
    <row r="36" spans="1:10" ht="19.5" customHeight="1">
      <c r="A36" s="164">
        <f ca="1">IF(ROWS($1:23)&gt;COUNT(Dong1),"",OFFSET(TH!C$1,SMALL(Dong1,ROWS($1:23)),))</f>
        <v>42374</v>
      </c>
      <c r="B36" s="164">
        <f ca="1">IF(ROWS($1:23)&gt;COUNT(Dong1),"",OFFSET(TH!E$1,SMALL(Dong1,ROWS($1:23)),))</f>
        <v>42350</v>
      </c>
      <c r="C36" s="165" t="str">
        <f ca="1">IF(ROWS($1:23)&gt;COUNT(Dong1),"",IF(OFFSET(TH!N$1,SMALL(Dong1,ROWS($1:23)),)="1111",OFFSET(TH!D$1,SMALL(Dong1,ROWS($1:23)),),""))</f>
        <v/>
      </c>
      <c r="D36" s="166" t="str">
        <f ca="1">IF(ROWS($1:23)&gt;COUNT(Dong1),"",IF(OFFSET(TH!O$1,SMALL(Dong1,ROWS($1:23)),)="1111",OFFSET(TH!D$1,SMALL(Dong1,ROWS($1:23)),),""))</f>
        <v>C12</v>
      </c>
      <c r="E36" s="375" t="str">
        <f ca="1">IF(ROWS($1:23)&gt;COUNT(Dong1),"",OFFSET(TH!F$1,SMALL(Dong1,ROWS($1:23)),))</f>
        <v>Cước vận chuyển</v>
      </c>
      <c r="F36" s="168" t="str">
        <f ca="1">IF(ROWS($1:23)&gt;COUNT(Dong1),"",IF(OFFSET(TH!O$1,SMALL(Dong1,ROWS($1:23)),)="1111",OFFSET(TH!N$1,SMALL(Dong1,ROWS($1:23)),),OFFSET(TH!O$1,SMALL(Dong1,ROWS($1:23)),)))</f>
        <v>642</v>
      </c>
      <c r="G36" s="169">
        <f ca="1">IF(ROWS($1:23)&gt;COUNT(Dong1),"",IF(OFFSET(TH!N$1,SMALL(Dong1,ROWS($1:23)),)="1111",OFFSET(TH!M$1,SMALL(Dong1,ROWS($1:23)),),0))</f>
        <v>0</v>
      </c>
      <c r="H36" s="167">
        <f ca="1">IF(ROWS($1:23)&gt;COUNT(Dong1),"",IF(OFFSET(TH!O$1,SMALL(Dong1,ROWS($1:23)),)="1111",OFFSET(TH!M$1,SMALL(Dong1,ROWS($1:23)),),0))</f>
        <v>12000000</v>
      </c>
      <c r="I36" s="165">
        <f t="shared" ca="1" si="0"/>
        <v>5813585170</v>
      </c>
      <c r="J36" s="170"/>
    </row>
    <row r="37" spans="1:10" ht="19.5" customHeight="1">
      <c r="A37" s="164">
        <f ca="1">IF(ROWS($1:24)&gt;COUNT(Dong1),"",OFFSET(TH!C$1,SMALL(Dong1,ROWS($1:24)),))</f>
        <v>42374</v>
      </c>
      <c r="B37" s="164">
        <f ca="1">IF(ROWS($1:24)&gt;COUNT(Dong1),"",OFFSET(TH!E$1,SMALL(Dong1,ROWS($1:24)),))</f>
        <v>42350</v>
      </c>
      <c r="C37" s="165" t="str">
        <f ca="1">IF(ROWS($1:24)&gt;COUNT(Dong1),"",IF(OFFSET(TH!N$1,SMALL(Dong1,ROWS($1:24)),)="1111",OFFSET(TH!D$1,SMALL(Dong1,ROWS($1:24)),),""))</f>
        <v/>
      </c>
      <c r="D37" s="166" t="str">
        <f ca="1">IF(ROWS($1:24)&gt;COUNT(Dong1),"",IF(OFFSET(TH!O$1,SMALL(Dong1,ROWS($1:24)),)="1111",OFFSET(TH!D$1,SMALL(Dong1,ROWS($1:24)),),""))</f>
        <v>C12</v>
      </c>
      <c r="E37" s="375" t="str">
        <f ca="1">IF(ROWS($1:24)&gt;COUNT(Dong1),"",OFFSET(TH!F$1,SMALL(Dong1,ROWS($1:24)),))</f>
        <v>VAT Cước vận chuyển</v>
      </c>
      <c r="F37" s="168" t="str">
        <f ca="1">IF(ROWS($1:24)&gt;COUNT(Dong1),"",IF(OFFSET(TH!O$1,SMALL(Dong1,ROWS($1:24)),)="1111",OFFSET(TH!N$1,SMALL(Dong1,ROWS($1:24)),),OFFSET(TH!O$1,SMALL(Dong1,ROWS($1:24)),)))</f>
        <v>1331</v>
      </c>
      <c r="G37" s="169">
        <f ca="1">IF(ROWS($1:24)&gt;COUNT(Dong1),"",IF(OFFSET(TH!N$1,SMALL(Dong1,ROWS($1:24)),)="1111",OFFSET(TH!M$1,SMALL(Dong1,ROWS($1:24)),),0))</f>
        <v>0</v>
      </c>
      <c r="H37" s="167">
        <f ca="1">IF(ROWS($1:24)&gt;COUNT(Dong1),"",IF(OFFSET(TH!O$1,SMALL(Dong1,ROWS($1:24)),)="1111",OFFSET(TH!M$1,SMALL(Dong1,ROWS($1:24)),),0))</f>
        <v>1200000</v>
      </c>
      <c r="I37" s="165">
        <f t="shared" ca="1" si="0"/>
        <v>5812385170</v>
      </c>
      <c r="J37" s="170"/>
    </row>
    <row r="38" spans="1:10" ht="19.5" customHeight="1">
      <c r="A38" s="164">
        <f ca="1">IF(ROWS($1:25)&gt;COUNT(Dong1),"",OFFSET(TH!C$1,SMALL(Dong1,ROWS($1:25)),))</f>
        <v>42374</v>
      </c>
      <c r="B38" s="164">
        <f ca="1">IF(ROWS($1:25)&gt;COUNT(Dong1),"",OFFSET(TH!E$1,SMALL(Dong1,ROWS($1:25)),))</f>
        <v>42374</v>
      </c>
      <c r="C38" s="165" t="str">
        <f ca="1">IF(ROWS($1:25)&gt;COUNT(Dong1),"",IF(OFFSET(TH!N$1,SMALL(Dong1,ROWS($1:25)),)="1111",OFFSET(TH!D$1,SMALL(Dong1,ROWS($1:25)),),""))</f>
        <v/>
      </c>
      <c r="D38" s="166" t="str">
        <f ca="1">IF(ROWS($1:25)&gt;COUNT(Dong1),"",IF(OFFSET(TH!O$1,SMALL(Dong1,ROWS($1:25)),)="1111",OFFSET(TH!D$1,SMALL(Dong1,ROWS($1:25)),),""))</f>
        <v>C13</v>
      </c>
      <c r="E38" s="375" t="str">
        <f ca="1">IF(ROWS($1:25)&gt;COUNT(Dong1),"",OFFSET(TH!F$1,SMALL(Dong1,ROWS($1:25)),))</f>
        <v>Xăng</v>
      </c>
      <c r="F38" s="168" t="str">
        <f ca="1">IF(ROWS($1:25)&gt;COUNT(Dong1),"",IF(OFFSET(TH!O$1,SMALL(Dong1,ROWS($1:25)),)="1111",OFFSET(TH!N$1,SMALL(Dong1,ROWS($1:25)),),OFFSET(TH!O$1,SMALL(Dong1,ROWS($1:25)),)))</f>
        <v>642</v>
      </c>
      <c r="G38" s="169">
        <f ca="1">IF(ROWS($1:25)&gt;COUNT(Dong1),"",IF(OFFSET(TH!N$1,SMALL(Dong1,ROWS($1:25)),)="1111",OFFSET(TH!M$1,SMALL(Dong1,ROWS($1:25)),),0))</f>
        <v>0</v>
      </c>
      <c r="H38" s="167">
        <f ca="1">IF(ROWS($1:25)&gt;COUNT(Dong1),"",IF(OFFSET(TH!O$1,SMALL(Dong1,ROWS($1:25)),)="1111",OFFSET(TH!M$1,SMALL(Dong1,ROWS($1:25)),),0))</f>
        <v>676700</v>
      </c>
      <c r="I38" s="165">
        <f t="shared" ca="1" si="0"/>
        <v>5811708470</v>
      </c>
      <c r="J38" s="170"/>
    </row>
    <row r="39" spans="1:10" ht="19.5" customHeight="1">
      <c r="A39" s="164">
        <f ca="1">IF(ROWS($1:26)&gt;COUNT(Dong1),"",OFFSET(TH!C$1,SMALL(Dong1,ROWS($1:26)),))</f>
        <v>42374</v>
      </c>
      <c r="B39" s="164">
        <f ca="1">IF(ROWS($1:26)&gt;COUNT(Dong1),"",OFFSET(TH!E$1,SMALL(Dong1,ROWS($1:26)),))</f>
        <v>42374</v>
      </c>
      <c r="C39" s="165" t="str">
        <f ca="1">IF(ROWS($1:26)&gt;COUNT(Dong1),"",IF(OFFSET(TH!N$1,SMALL(Dong1,ROWS($1:26)),)="1111",OFFSET(TH!D$1,SMALL(Dong1,ROWS($1:26)),),""))</f>
        <v/>
      </c>
      <c r="D39" s="166" t="str">
        <f ca="1">IF(ROWS($1:26)&gt;COUNT(Dong1),"",IF(OFFSET(TH!O$1,SMALL(Dong1,ROWS($1:26)),)="1111",OFFSET(TH!D$1,SMALL(Dong1,ROWS($1:26)),),""))</f>
        <v>C13</v>
      </c>
      <c r="E39" s="375" t="str">
        <f ca="1">IF(ROWS($1:26)&gt;COUNT(Dong1),"",OFFSET(TH!F$1,SMALL(Dong1,ROWS($1:26)),))</f>
        <v>VAT Xăng</v>
      </c>
      <c r="F39" s="168" t="str">
        <f ca="1">IF(ROWS($1:26)&gt;COUNT(Dong1),"",IF(OFFSET(TH!O$1,SMALL(Dong1,ROWS($1:26)),)="1111",OFFSET(TH!N$1,SMALL(Dong1,ROWS($1:26)),),OFFSET(TH!O$1,SMALL(Dong1,ROWS($1:26)),)))</f>
        <v>1331</v>
      </c>
      <c r="G39" s="169">
        <f ca="1">IF(ROWS($1:26)&gt;COUNT(Dong1),"",IF(OFFSET(TH!N$1,SMALL(Dong1,ROWS($1:26)),)="1111",OFFSET(TH!M$1,SMALL(Dong1,ROWS($1:26)),),0))</f>
        <v>0</v>
      </c>
      <c r="H39" s="167">
        <f ca="1">IF(ROWS($1:26)&gt;COUNT(Dong1),"",IF(OFFSET(TH!O$1,SMALL(Dong1,ROWS($1:26)),)="1111",OFFSET(TH!M$1,SMALL(Dong1,ROWS($1:26)),),0))</f>
        <v>67670</v>
      </c>
      <c r="I39" s="165">
        <f t="shared" ca="1" si="0"/>
        <v>5811640800</v>
      </c>
      <c r="J39" s="170"/>
    </row>
    <row r="40" spans="1:10" ht="19.5" customHeight="1">
      <c r="A40" s="164">
        <f ca="1">IF(ROWS($1:27)&gt;COUNT(Dong1),"",OFFSET(TH!C$1,SMALL(Dong1,ROWS($1:27)),))</f>
        <v>42374</v>
      </c>
      <c r="B40" s="164">
        <f ca="1">IF(ROWS($1:27)&gt;COUNT(Dong1),"",OFFSET(TH!E$1,SMALL(Dong1,ROWS($1:27)),))</f>
        <v>42374</v>
      </c>
      <c r="C40" s="165" t="str">
        <f ca="1">IF(ROWS($1:27)&gt;COUNT(Dong1),"",IF(OFFSET(TH!N$1,SMALL(Dong1,ROWS($1:27)),)="1111",OFFSET(TH!D$1,SMALL(Dong1,ROWS($1:27)),),""))</f>
        <v/>
      </c>
      <c r="D40" s="166" t="str">
        <f ca="1">IF(ROWS($1:27)&gt;COUNT(Dong1),"",IF(OFFSET(TH!O$1,SMALL(Dong1,ROWS($1:27)),)="1111",OFFSET(TH!D$1,SMALL(Dong1,ROWS($1:27)),),""))</f>
        <v>C14</v>
      </c>
      <c r="E40" s="375" t="str">
        <f ca="1">IF(ROWS($1:27)&gt;COUNT(Dong1),"",OFFSET(TH!F$1,SMALL(Dong1,ROWS($1:27)),))</f>
        <v>Thanh toán tiền đường</v>
      </c>
      <c r="F40" s="168" t="str">
        <f ca="1">IF(ROWS($1:27)&gt;COUNT(Dong1),"",IF(OFFSET(TH!O$1,SMALL(Dong1,ROWS($1:27)),)="1111",OFFSET(TH!N$1,SMALL(Dong1,ROWS($1:27)),),OFFSET(TH!O$1,SMALL(Dong1,ROWS($1:27)),)))</f>
        <v>331</v>
      </c>
      <c r="G40" s="169">
        <f ca="1">IF(ROWS($1:27)&gt;COUNT(Dong1),"",IF(OFFSET(TH!N$1,SMALL(Dong1,ROWS($1:27)),)="1111",OFFSET(TH!M$1,SMALL(Dong1,ROWS($1:27)),),0))</f>
        <v>0</v>
      </c>
      <c r="H40" s="167">
        <f ca="1">IF(ROWS($1:27)&gt;COUNT(Dong1),"",IF(OFFSET(TH!O$1,SMALL(Dong1,ROWS($1:27)),)="1111",OFFSET(TH!M$1,SMALL(Dong1,ROWS($1:27)),),0))</f>
        <v>14250000</v>
      </c>
      <c r="I40" s="165">
        <f t="shared" ca="1" si="0"/>
        <v>5797390800</v>
      </c>
      <c r="J40" s="170"/>
    </row>
    <row r="41" spans="1:10" ht="19.5" customHeight="1">
      <c r="A41" s="164">
        <f ca="1">IF(ROWS($1:28)&gt;COUNT(Dong1),"",OFFSET(TH!C$1,SMALL(Dong1,ROWS($1:28)),))</f>
        <v>42376</v>
      </c>
      <c r="B41" s="164">
        <f ca="1">IF(ROWS($1:28)&gt;COUNT(Dong1),"",OFFSET(TH!E$1,SMALL(Dong1,ROWS($1:28)),))</f>
        <v>42376</v>
      </c>
      <c r="C41" s="165" t="str">
        <f ca="1">IF(ROWS($1:28)&gt;COUNT(Dong1),"",IF(OFFSET(TH!N$1,SMALL(Dong1,ROWS($1:28)),)="1111",OFFSET(TH!D$1,SMALL(Dong1,ROWS($1:28)),),""))</f>
        <v/>
      </c>
      <c r="D41" s="166" t="str">
        <f ca="1">IF(ROWS($1:28)&gt;COUNT(Dong1),"",IF(OFFSET(TH!O$1,SMALL(Dong1,ROWS($1:28)),)="1111",OFFSET(TH!D$1,SMALL(Dong1,ROWS($1:28)),),""))</f>
        <v>C15</v>
      </c>
      <c r="E41" s="375" t="str">
        <f ca="1">IF(ROWS($1:28)&gt;COUNT(Dong1),"",OFFSET(TH!F$1,SMALL(Dong1,ROWS($1:28)),))</f>
        <v>Q11 - Nộp tiền mặt vào TK</v>
      </c>
      <c r="F41" s="168" t="str">
        <f ca="1">IF(ROWS($1:28)&gt;COUNT(Dong1),"",IF(OFFSET(TH!O$1,SMALL(Dong1,ROWS($1:28)),)="1111",OFFSET(TH!N$1,SMALL(Dong1,ROWS($1:28)),),OFFSET(TH!O$1,SMALL(Dong1,ROWS($1:28)),)))</f>
        <v>1121</v>
      </c>
      <c r="G41" s="169">
        <f ca="1">IF(ROWS($1:28)&gt;COUNT(Dong1),"",IF(OFFSET(TH!N$1,SMALL(Dong1,ROWS($1:28)),)="1111",OFFSET(TH!M$1,SMALL(Dong1,ROWS($1:28)),),0))</f>
        <v>0</v>
      </c>
      <c r="H41" s="167">
        <f ca="1">IF(ROWS($1:28)&gt;COUNT(Dong1),"",IF(OFFSET(TH!O$1,SMALL(Dong1,ROWS($1:28)),)="1111",OFFSET(TH!M$1,SMALL(Dong1,ROWS($1:28)),),0))</f>
        <v>50000000</v>
      </c>
      <c r="I41" s="165">
        <f t="shared" ca="1" si="0"/>
        <v>5747390800</v>
      </c>
      <c r="J41" s="170"/>
    </row>
    <row r="42" spans="1:10" ht="19.5" customHeight="1">
      <c r="A42" s="164">
        <f ca="1">IF(ROWS($1:29)&gt;COUNT(Dong1),"",OFFSET(TH!C$1,SMALL(Dong1,ROWS($1:29)),))</f>
        <v>42376</v>
      </c>
      <c r="B42" s="164">
        <f ca="1">IF(ROWS($1:29)&gt;COUNT(Dong1),"",OFFSET(TH!E$1,SMALL(Dong1,ROWS($1:29)),))</f>
        <v>42376</v>
      </c>
      <c r="C42" s="165" t="str">
        <f ca="1">IF(ROWS($1:29)&gt;COUNT(Dong1),"",IF(OFFSET(TH!N$1,SMALL(Dong1,ROWS($1:29)),)="1111",OFFSET(TH!D$1,SMALL(Dong1,ROWS($1:29)),),""))</f>
        <v/>
      </c>
      <c r="D42" s="166" t="str">
        <f ca="1">IF(ROWS($1:29)&gt;COUNT(Dong1),"",IF(OFFSET(TH!O$1,SMALL(Dong1,ROWS($1:29)),)="1111",OFFSET(TH!D$1,SMALL(Dong1,ROWS($1:29)),),""))</f>
        <v>C16</v>
      </c>
      <c r="E42" s="375" t="str">
        <f ca="1">IF(ROWS($1:29)&gt;COUNT(Dong1),"",OFFSET(TH!F$1,SMALL(Dong1,ROWS($1:29)),))</f>
        <v>Bảo dưỡng xe 51F - 080.56</v>
      </c>
      <c r="F42" s="168" t="str">
        <f ca="1">IF(ROWS($1:29)&gt;COUNT(Dong1),"",IF(OFFSET(TH!O$1,SMALL(Dong1,ROWS($1:29)),)="1111",OFFSET(TH!N$1,SMALL(Dong1,ROWS($1:29)),),OFFSET(TH!O$1,SMALL(Dong1,ROWS($1:29)),)))</f>
        <v>642</v>
      </c>
      <c r="G42" s="169">
        <f ca="1">IF(ROWS($1:29)&gt;COUNT(Dong1),"",IF(OFFSET(TH!N$1,SMALL(Dong1,ROWS($1:29)),)="1111",OFFSET(TH!M$1,SMALL(Dong1,ROWS($1:29)),),0))</f>
        <v>0</v>
      </c>
      <c r="H42" s="167">
        <f ca="1">IF(ROWS($1:29)&gt;COUNT(Dong1),"",IF(OFFSET(TH!O$1,SMALL(Dong1,ROWS($1:29)),)="1111",OFFSET(TH!M$1,SMALL(Dong1,ROWS($1:29)),),0))</f>
        <v>1341060</v>
      </c>
      <c r="I42" s="165">
        <f t="shared" ca="1" si="0"/>
        <v>5746049740</v>
      </c>
      <c r="J42" s="170"/>
    </row>
    <row r="43" spans="1:10" ht="19.5" customHeight="1">
      <c r="A43" s="164">
        <f ca="1">IF(ROWS($1:30)&gt;COUNT(Dong1),"",OFFSET(TH!C$1,SMALL(Dong1,ROWS($1:30)),))</f>
        <v>42376</v>
      </c>
      <c r="B43" s="164">
        <f ca="1">IF(ROWS($1:30)&gt;COUNT(Dong1),"",OFFSET(TH!E$1,SMALL(Dong1,ROWS($1:30)),))</f>
        <v>42376</v>
      </c>
      <c r="C43" s="165" t="str">
        <f ca="1">IF(ROWS($1:30)&gt;COUNT(Dong1),"",IF(OFFSET(TH!N$1,SMALL(Dong1,ROWS($1:30)),)="1111",OFFSET(TH!D$1,SMALL(Dong1,ROWS($1:30)),),""))</f>
        <v/>
      </c>
      <c r="D43" s="166" t="str">
        <f ca="1">IF(ROWS($1:30)&gt;COUNT(Dong1),"",IF(OFFSET(TH!O$1,SMALL(Dong1,ROWS($1:30)),)="1111",OFFSET(TH!D$1,SMALL(Dong1,ROWS($1:30)),),""))</f>
        <v>C16</v>
      </c>
      <c r="E43" s="375" t="str">
        <f ca="1">IF(ROWS($1:30)&gt;COUNT(Dong1),"",OFFSET(TH!F$1,SMALL(Dong1,ROWS($1:30)),))</f>
        <v>VAT Bảo dưỡng xe 51F - 080.56</v>
      </c>
      <c r="F43" s="168" t="str">
        <f ca="1">IF(ROWS($1:30)&gt;COUNT(Dong1),"",IF(OFFSET(TH!O$1,SMALL(Dong1,ROWS($1:30)),)="1111",OFFSET(TH!N$1,SMALL(Dong1,ROWS($1:30)),),OFFSET(TH!O$1,SMALL(Dong1,ROWS($1:30)),)))</f>
        <v>1331</v>
      </c>
      <c r="G43" s="169">
        <f ca="1">IF(ROWS($1:30)&gt;COUNT(Dong1),"",IF(OFFSET(TH!N$1,SMALL(Dong1,ROWS($1:30)),)="1111",OFFSET(TH!M$1,SMALL(Dong1,ROWS($1:30)),),0))</f>
        <v>0</v>
      </c>
      <c r="H43" s="167">
        <f ca="1">IF(ROWS($1:30)&gt;COUNT(Dong1),"",IF(OFFSET(TH!O$1,SMALL(Dong1,ROWS($1:30)),)="1111",OFFSET(TH!M$1,SMALL(Dong1,ROWS($1:30)),),0))</f>
        <v>134106</v>
      </c>
      <c r="I43" s="165">
        <f t="shared" ca="1" si="0"/>
        <v>5745915634</v>
      </c>
      <c r="J43" s="170"/>
    </row>
    <row r="44" spans="1:10" ht="19.5" customHeight="1">
      <c r="A44" s="164">
        <f ca="1">IF(ROWS($1:31)&gt;COUNT(Dong1),"",OFFSET(TH!C$1,SMALL(Dong1,ROWS($1:31)),))</f>
        <v>42377</v>
      </c>
      <c r="B44" s="164">
        <f ca="1">IF(ROWS($1:31)&gt;COUNT(Dong1),"",OFFSET(TH!E$1,SMALL(Dong1,ROWS($1:31)),))</f>
        <v>42377</v>
      </c>
      <c r="C44" s="165" t="str">
        <f ca="1">IF(ROWS($1:31)&gt;COUNT(Dong1),"",IF(OFFSET(TH!N$1,SMALL(Dong1,ROWS($1:31)),)="1111",OFFSET(TH!D$1,SMALL(Dong1,ROWS($1:31)),),""))</f>
        <v/>
      </c>
      <c r="D44" s="166" t="str">
        <f ca="1">IF(ROWS($1:31)&gt;COUNT(Dong1),"",IF(OFFSET(TH!O$1,SMALL(Dong1,ROWS($1:31)),)="1111",OFFSET(TH!D$1,SMALL(Dong1,ROWS($1:31)),),""))</f>
        <v>C17</v>
      </c>
      <c r="E44" s="375" t="str">
        <f ca="1">IF(ROWS($1:31)&gt;COUNT(Dong1),"",OFFSET(TH!F$1,SMALL(Dong1,ROWS($1:31)),))</f>
        <v>Máy tính</v>
      </c>
      <c r="F44" s="168" t="str">
        <f ca="1">IF(ROWS($1:31)&gt;COUNT(Dong1),"",IF(OFFSET(TH!O$1,SMALL(Dong1,ROWS($1:31)),)="1111",OFFSET(TH!N$1,SMALL(Dong1,ROWS($1:31)),),OFFSET(TH!O$1,SMALL(Dong1,ROWS($1:31)),)))</f>
        <v>642</v>
      </c>
      <c r="G44" s="169">
        <f ca="1">IF(ROWS($1:31)&gt;COUNT(Dong1),"",IF(OFFSET(TH!N$1,SMALL(Dong1,ROWS($1:31)),)="1111",OFFSET(TH!M$1,SMALL(Dong1,ROWS($1:31)),),0))</f>
        <v>0</v>
      </c>
      <c r="H44" s="167">
        <f ca="1">IF(ROWS($1:31)&gt;COUNT(Dong1),"",IF(OFFSET(TH!O$1,SMALL(Dong1,ROWS($1:31)),)="1111",OFFSET(TH!M$1,SMALL(Dong1,ROWS($1:31)),),0))</f>
        <v>5363636</v>
      </c>
      <c r="I44" s="165">
        <f t="shared" ca="1" si="0"/>
        <v>5740551998</v>
      </c>
      <c r="J44" s="170"/>
    </row>
    <row r="45" spans="1:10" ht="19.5" customHeight="1">
      <c r="A45" s="164">
        <f ca="1">IF(ROWS($1:32)&gt;COUNT(Dong1),"",OFFSET(TH!C$1,SMALL(Dong1,ROWS($1:32)),))</f>
        <v>42377</v>
      </c>
      <c r="B45" s="164">
        <f ca="1">IF(ROWS($1:32)&gt;COUNT(Dong1),"",OFFSET(TH!E$1,SMALL(Dong1,ROWS($1:32)),))</f>
        <v>42377</v>
      </c>
      <c r="C45" s="165" t="str">
        <f ca="1">IF(ROWS($1:32)&gt;COUNT(Dong1),"",IF(OFFSET(TH!N$1,SMALL(Dong1,ROWS($1:32)),)="1111",OFFSET(TH!D$1,SMALL(Dong1,ROWS($1:32)),),""))</f>
        <v/>
      </c>
      <c r="D45" s="166" t="str">
        <f ca="1">IF(ROWS($1:32)&gt;COUNT(Dong1),"",IF(OFFSET(TH!O$1,SMALL(Dong1,ROWS($1:32)),)="1111",OFFSET(TH!D$1,SMALL(Dong1,ROWS($1:32)),),""))</f>
        <v>C17</v>
      </c>
      <c r="E45" s="375" t="str">
        <f ca="1">IF(ROWS($1:32)&gt;COUNT(Dong1),"",OFFSET(TH!F$1,SMALL(Dong1,ROWS($1:32)),))</f>
        <v>VAT Máy tính</v>
      </c>
      <c r="F45" s="168" t="str">
        <f ca="1">IF(ROWS($1:32)&gt;COUNT(Dong1),"",IF(OFFSET(TH!O$1,SMALL(Dong1,ROWS($1:32)),)="1111",OFFSET(TH!N$1,SMALL(Dong1,ROWS($1:32)),),OFFSET(TH!O$1,SMALL(Dong1,ROWS($1:32)),)))</f>
        <v>1331</v>
      </c>
      <c r="G45" s="169">
        <f ca="1">IF(ROWS($1:32)&gt;COUNT(Dong1),"",IF(OFFSET(TH!N$1,SMALL(Dong1,ROWS($1:32)),)="1111",OFFSET(TH!M$1,SMALL(Dong1,ROWS($1:32)),),0))</f>
        <v>0</v>
      </c>
      <c r="H45" s="167">
        <f ca="1">IF(ROWS($1:32)&gt;COUNT(Dong1),"",IF(OFFSET(TH!O$1,SMALL(Dong1,ROWS($1:32)),)="1111",OFFSET(TH!M$1,SMALL(Dong1,ROWS($1:32)),),0))</f>
        <v>536364</v>
      </c>
      <c r="I45" s="165">
        <f t="shared" ca="1" si="0"/>
        <v>5740015634</v>
      </c>
      <c r="J45" s="170"/>
    </row>
    <row r="46" spans="1:10" ht="19.5" customHeight="1">
      <c r="A46" s="164">
        <f ca="1">IF(ROWS($1:33)&gt;COUNT(Dong1),"",OFFSET(TH!C$1,SMALL(Dong1,ROWS($1:33)),))</f>
        <v>42377</v>
      </c>
      <c r="B46" s="164">
        <f ca="1">IF(ROWS($1:33)&gt;COUNT(Dong1),"",OFFSET(TH!E$1,SMALL(Dong1,ROWS($1:33)),))</f>
        <v>42377</v>
      </c>
      <c r="C46" s="165" t="str">
        <f ca="1">IF(ROWS($1:33)&gt;COUNT(Dong1),"",IF(OFFSET(TH!N$1,SMALL(Dong1,ROWS($1:33)),)="1111",OFFSET(TH!D$1,SMALL(Dong1,ROWS($1:33)),),""))</f>
        <v/>
      </c>
      <c r="D46" s="166" t="str">
        <f ca="1">IF(ROWS($1:33)&gt;COUNT(Dong1),"",IF(OFFSET(TH!O$1,SMALL(Dong1,ROWS($1:33)),)="1111",OFFSET(TH!D$1,SMALL(Dong1,ROWS($1:33)),),""))</f>
        <v>C18</v>
      </c>
      <c r="E46" s="375" t="str">
        <f ca="1">IF(ROWS($1:33)&gt;COUNT(Dong1),"",OFFSET(TH!F$1,SMALL(Dong1,ROWS($1:33)),))</f>
        <v xml:space="preserve">Xăng </v>
      </c>
      <c r="F46" s="168" t="str">
        <f ca="1">IF(ROWS($1:33)&gt;COUNT(Dong1),"",IF(OFFSET(TH!O$1,SMALL(Dong1,ROWS($1:33)),)="1111",OFFSET(TH!N$1,SMALL(Dong1,ROWS($1:33)),),OFFSET(TH!O$1,SMALL(Dong1,ROWS($1:33)),)))</f>
        <v>642</v>
      </c>
      <c r="G46" s="169">
        <f ca="1">IF(ROWS($1:33)&gt;COUNT(Dong1),"",IF(OFFSET(TH!N$1,SMALL(Dong1,ROWS($1:33)),)="1111",OFFSET(TH!M$1,SMALL(Dong1,ROWS($1:33)),),0))</f>
        <v>0</v>
      </c>
      <c r="H46" s="167">
        <f ca="1">IF(ROWS($1:33)&gt;COUNT(Dong1),"",IF(OFFSET(TH!O$1,SMALL(Dong1,ROWS($1:33)),)="1111",OFFSET(TH!M$1,SMALL(Dong1,ROWS($1:33)),),0))</f>
        <v>851709</v>
      </c>
      <c r="I46" s="165">
        <f t="shared" ca="1" si="0"/>
        <v>5739163925</v>
      </c>
      <c r="J46" s="170"/>
    </row>
    <row r="47" spans="1:10" ht="19.5" customHeight="1">
      <c r="A47" s="164">
        <f ca="1">IF(ROWS($1:34)&gt;COUNT(Dong1),"",OFFSET(TH!C$1,SMALL(Dong1,ROWS($1:34)),))</f>
        <v>42377</v>
      </c>
      <c r="B47" s="164">
        <f ca="1">IF(ROWS($1:34)&gt;COUNT(Dong1),"",OFFSET(TH!E$1,SMALL(Dong1,ROWS($1:34)),))</f>
        <v>42377</v>
      </c>
      <c r="C47" s="165" t="str">
        <f ca="1">IF(ROWS($1:34)&gt;COUNT(Dong1),"",IF(OFFSET(TH!N$1,SMALL(Dong1,ROWS($1:34)),)="1111",OFFSET(TH!D$1,SMALL(Dong1,ROWS($1:34)),),""))</f>
        <v/>
      </c>
      <c r="D47" s="166" t="str">
        <f ca="1">IF(ROWS($1:34)&gt;COUNT(Dong1),"",IF(OFFSET(TH!O$1,SMALL(Dong1,ROWS($1:34)),)="1111",OFFSET(TH!D$1,SMALL(Dong1,ROWS($1:34)),),""))</f>
        <v>C18</v>
      </c>
      <c r="E47" s="375" t="str">
        <f ca="1">IF(ROWS($1:34)&gt;COUNT(Dong1),"",OFFSET(TH!F$1,SMALL(Dong1,ROWS($1:34)),))</f>
        <v xml:space="preserve">VAT Xăng </v>
      </c>
      <c r="F47" s="168" t="str">
        <f ca="1">IF(ROWS($1:34)&gt;COUNT(Dong1),"",IF(OFFSET(TH!O$1,SMALL(Dong1,ROWS($1:34)),)="1111",OFFSET(TH!N$1,SMALL(Dong1,ROWS($1:34)),),OFFSET(TH!O$1,SMALL(Dong1,ROWS($1:34)),)))</f>
        <v>1331</v>
      </c>
      <c r="G47" s="169">
        <f ca="1">IF(ROWS($1:34)&gt;COUNT(Dong1),"",IF(OFFSET(TH!N$1,SMALL(Dong1,ROWS($1:34)),)="1111",OFFSET(TH!M$1,SMALL(Dong1,ROWS($1:34)),),0))</f>
        <v>0</v>
      </c>
      <c r="H47" s="167">
        <f ca="1">IF(ROWS($1:34)&gt;COUNT(Dong1),"",IF(OFFSET(TH!O$1,SMALL(Dong1,ROWS($1:34)),)="1111",OFFSET(TH!M$1,SMALL(Dong1,ROWS($1:34)),),0))</f>
        <v>85171</v>
      </c>
      <c r="I47" s="165">
        <f t="shared" ca="1" si="0"/>
        <v>5739078754</v>
      </c>
      <c r="J47" s="170"/>
    </row>
    <row r="48" spans="1:10" ht="19.5" customHeight="1">
      <c r="A48" s="164">
        <f ca="1">IF(ROWS($1:35)&gt;COUNT(Dong1),"",OFFSET(TH!C$1,SMALL(Dong1,ROWS($1:35)),))</f>
        <v>42380</v>
      </c>
      <c r="B48" s="164">
        <f ca="1">IF(ROWS($1:35)&gt;COUNT(Dong1),"",OFFSET(TH!E$1,SMALL(Dong1,ROWS($1:35)),))</f>
        <v>42380</v>
      </c>
      <c r="C48" s="165" t="str">
        <f ca="1">IF(ROWS($1:35)&gt;COUNT(Dong1),"",IF(OFFSET(TH!N$1,SMALL(Dong1,ROWS($1:35)),)="1111",OFFSET(TH!D$1,SMALL(Dong1,ROWS($1:35)),),""))</f>
        <v/>
      </c>
      <c r="D48" s="166" t="str">
        <f ca="1">IF(ROWS($1:35)&gt;COUNT(Dong1),"",IF(OFFSET(TH!O$1,SMALL(Dong1,ROWS($1:35)),)="1111",OFFSET(TH!D$1,SMALL(Dong1,ROWS($1:35)),),""))</f>
        <v>C19</v>
      </c>
      <c r="E48" s="375" t="str">
        <f ca="1">IF(ROWS($1:35)&gt;COUNT(Dong1),"",OFFSET(TH!F$1,SMALL(Dong1,ROWS($1:35)),))</f>
        <v>Dầu DO</v>
      </c>
      <c r="F48" s="168" t="str">
        <f ca="1">IF(ROWS($1:35)&gt;COUNT(Dong1),"",IF(OFFSET(TH!O$1,SMALL(Dong1,ROWS($1:35)),)="1111",OFFSET(TH!N$1,SMALL(Dong1,ROWS($1:35)),),OFFSET(TH!O$1,SMALL(Dong1,ROWS($1:35)),)))</f>
        <v>642</v>
      </c>
      <c r="G48" s="169">
        <f ca="1">IF(ROWS($1:35)&gt;COUNT(Dong1),"",IF(OFFSET(TH!N$1,SMALL(Dong1,ROWS($1:35)),)="1111",OFFSET(TH!M$1,SMALL(Dong1,ROWS($1:35)),),0))</f>
        <v>0</v>
      </c>
      <c r="H48" s="167">
        <f ca="1">IF(ROWS($1:35)&gt;COUNT(Dong1),"",IF(OFFSET(TH!O$1,SMALL(Dong1,ROWS($1:35)),)="1111",OFFSET(TH!M$1,SMALL(Dong1,ROWS($1:35)),),0))</f>
        <v>595900</v>
      </c>
      <c r="I48" s="165">
        <f t="shared" ca="1" si="0"/>
        <v>5738482854</v>
      </c>
      <c r="J48" s="170"/>
    </row>
    <row r="49" spans="1:10" ht="19.5" customHeight="1">
      <c r="A49" s="164">
        <f ca="1">IF(ROWS($1:36)&gt;COUNT(Dong1),"",OFFSET(TH!C$1,SMALL(Dong1,ROWS($1:36)),))</f>
        <v>42380</v>
      </c>
      <c r="B49" s="164">
        <f ca="1">IF(ROWS($1:36)&gt;COUNT(Dong1),"",OFFSET(TH!E$1,SMALL(Dong1,ROWS($1:36)),))</f>
        <v>42380</v>
      </c>
      <c r="C49" s="165" t="str">
        <f ca="1">IF(ROWS($1:36)&gt;COUNT(Dong1),"",IF(OFFSET(TH!N$1,SMALL(Dong1,ROWS($1:36)),)="1111",OFFSET(TH!D$1,SMALL(Dong1,ROWS($1:36)),),""))</f>
        <v/>
      </c>
      <c r="D49" s="166" t="str">
        <f ca="1">IF(ROWS($1:36)&gt;COUNT(Dong1),"",IF(OFFSET(TH!O$1,SMALL(Dong1,ROWS($1:36)),)="1111",OFFSET(TH!D$1,SMALL(Dong1,ROWS($1:36)),),""))</f>
        <v>C19</v>
      </c>
      <c r="E49" s="375" t="str">
        <f ca="1">IF(ROWS($1:36)&gt;COUNT(Dong1),"",OFFSET(TH!F$1,SMALL(Dong1,ROWS($1:36)),))</f>
        <v>VAT Dầu DO</v>
      </c>
      <c r="F49" s="168" t="str">
        <f ca="1">IF(ROWS($1:36)&gt;COUNT(Dong1),"",IF(OFFSET(TH!O$1,SMALL(Dong1,ROWS($1:36)),)="1111",OFFSET(TH!N$1,SMALL(Dong1,ROWS($1:36)),),OFFSET(TH!O$1,SMALL(Dong1,ROWS($1:36)),)))</f>
        <v>1331</v>
      </c>
      <c r="G49" s="169">
        <f ca="1">IF(ROWS($1:36)&gt;COUNT(Dong1),"",IF(OFFSET(TH!N$1,SMALL(Dong1,ROWS($1:36)),)="1111",OFFSET(TH!M$1,SMALL(Dong1,ROWS($1:36)),),0))</f>
        <v>0</v>
      </c>
      <c r="H49" s="167">
        <f ca="1">IF(ROWS($1:36)&gt;COUNT(Dong1),"",IF(OFFSET(TH!O$1,SMALL(Dong1,ROWS($1:36)),)="1111",OFFSET(TH!M$1,SMALL(Dong1,ROWS($1:36)),),0))</f>
        <v>59590</v>
      </c>
      <c r="I49" s="165">
        <f t="shared" ca="1" si="0"/>
        <v>5738423264</v>
      </c>
      <c r="J49" s="170"/>
    </row>
    <row r="50" spans="1:10" ht="19.5" customHeight="1">
      <c r="A50" s="164">
        <f ca="1">IF(ROWS($1:37)&gt;COUNT(Dong1),"",OFFSET(TH!C$1,SMALL(Dong1,ROWS($1:37)),))</f>
        <v>42380</v>
      </c>
      <c r="B50" s="164">
        <f ca="1">IF(ROWS($1:37)&gt;COUNT(Dong1),"",OFFSET(TH!E$1,SMALL(Dong1,ROWS($1:37)),))</f>
        <v>42380</v>
      </c>
      <c r="C50" s="165" t="str">
        <f ca="1">IF(ROWS($1:37)&gt;COUNT(Dong1),"",IF(OFFSET(TH!N$1,SMALL(Dong1,ROWS($1:37)),)="1111",OFFSET(TH!D$1,SMALL(Dong1,ROWS($1:37)),),""))</f>
        <v/>
      </c>
      <c r="D50" s="166" t="str">
        <f ca="1">IF(ROWS($1:37)&gt;COUNT(Dong1),"",IF(OFFSET(TH!O$1,SMALL(Dong1,ROWS($1:37)),)="1111",OFFSET(TH!D$1,SMALL(Dong1,ROWS($1:37)),),""))</f>
        <v>C20</v>
      </c>
      <c r="E50" s="375" t="str">
        <f ca="1">IF(ROWS($1:37)&gt;COUNT(Dong1),"",OFFSET(TH!F$1,SMALL(Dong1,ROWS($1:37)),))</f>
        <v>Tạm ứng mua NL</v>
      </c>
      <c r="F50" s="168" t="str">
        <f ca="1">IF(ROWS($1:37)&gt;COUNT(Dong1),"",IF(OFFSET(TH!O$1,SMALL(Dong1,ROWS($1:37)),)="1111",OFFSET(TH!N$1,SMALL(Dong1,ROWS($1:37)),),OFFSET(TH!O$1,SMALL(Dong1,ROWS($1:37)),)))</f>
        <v>141</v>
      </c>
      <c r="G50" s="169">
        <f ca="1">IF(ROWS($1:37)&gt;COUNT(Dong1),"",IF(OFFSET(TH!N$1,SMALL(Dong1,ROWS($1:37)),)="1111",OFFSET(TH!M$1,SMALL(Dong1,ROWS($1:37)),),0))</f>
        <v>0</v>
      </c>
      <c r="H50" s="167">
        <f ca="1">IF(ROWS($1:37)&gt;COUNT(Dong1),"",IF(OFFSET(TH!O$1,SMALL(Dong1,ROWS($1:37)),)="1111",OFFSET(TH!M$1,SMALL(Dong1,ROWS($1:37)),),0))</f>
        <v>500000000</v>
      </c>
      <c r="I50" s="165">
        <f t="shared" ca="1" si="0"/>
        <v>5238423264</v>
      </c>
      <c r="J50" s="170"/>
    </row>
    <row r="51" spans="1:10" ht="19.5" customHeight="1">
      <c r="A51" s="164">
        <f ca="1">IF(ROWS($1:38)&gt;COUNT(Dong1),"",OFFSET(TH!C$1,SMALL(Dong1,ROWS($1:38)),))</f>
        <v>42381</v>
      </c>
      <c r="B51" s="164">
        <f ca="1">IF(ROWS($1:38)&gt;COUNT(Dong1),"",OFFSET(TH!E$1,SMALL(Dong1,ROWS($1:38)),))</f>
        <v>42381</v>
      </c>
      <c r="C51" s="165" t="str">
        <f ca="1">IF(ROWS($1:38)&gt;COUNT(Dong1),"",IF(OFFSET(TH!N$1,SMALL(Dong1,ROWS($1:38)),)="1111",OFFSET(TH!D$1,SMALL(Dong1,ROWS($1:38)),),""))</f>
        <v/>
      </c>
      <c r="D51" s="166" t="str">
        <f ca="1">IF(ROWS($1:38)&gt;COUNT(Dong1),"",IF(OFFSET(TH!O$1,SMALL(Dong1,ROWS($1:38)),)="1111",OFFSET(TH!D$1,SMALL(Dong1,ROWS($1:38)),),""))</f>
        <v>C21</v>
      </c>
      <c r="E51" s="375" t="str">
        <f ca="1">IF(ROWS($1:38)&gt;COUNT(Dong1),"",OFFSET(TH!F$1,SMALL(Dong1,ROWS($1:38)),))</f>
        <v>Xăng</v>
      </c>
      <c r="F51" s="168" t="str">
        <f ca="1">IF(ROWS($1:38)&gt;COUNT(Dong1),"",IF(OFFSET(TH!O$1,SMALL(Dong1,ROWS($1:38)),)="1111",OFFSET(TH!N$1,SMALL(Dong1,ROWS($1:38)),),OFFSET(TH!O$1,SMALL(Dong1,ROWS($1:38)),)))</f>
        <v>642</v>
      </c>
      <c r="G51" s="169">
        <f ca="1">IF(ROWS($1:38)&gt;COUNT(Dong1),"",IF(OFFSET(TH!N$1,SMALL(Dong1,ROWS($1:38)),)="1111",OFFSET(TH!M$1,SMALL(Dong1,ROWS($1:38)),),0))</f>
        <v>0</v>
      </c>
      <c r="H51" s="167">
        <f ca="1">IF(ROWS($1:38)&gt;COUNT(Dong1),"",IF(OFFSET(TH!O$1,SMALL(Dong1,ROWS($1:38)),)="1111",OFFSET(TH!M$1,SMALL(Dong1,ROWS($1:38)),),0))</f>
        <v>790873</v>
      </c>
      <c r="I51" s="165">
        <f t="shared" ca="1" si="0"/>
        <v>5237632391</v>
      </c>
      <c r="J51" s="170"/>
    </row>
    <row r="52" spans="1:10" ht="19.5" customHeight="1">
      <c r="A52" s="164">
        <f ca="1">IF(ROWS($1:39)&gt;COUNT(Dong1),"",OFFSET(TH!C$1,SMALL(Dong1,ROWS($1:39)),))</f>
        <v>42381</v>
      </c>
      <c r="B52" s="164">
        <f ca="1">IF(ROWS($1:39)&gt;COUNT(Dong1),"",OFFSET(TH!E$1,SMALL(Dong1,ROWS($1:39)),))</f>
        <v>42381</v>
      </c>
      <c r="C52" s="165" t="str">
        <f ca="1">IF(ROWS($1:39)&gt;COUNT(Dong1),"",IF(OFFSET(TH!N$1,SMALL(Dong1,ROWS($1:39)),)="1111",OFFSET(TH!D$1,SMALL(Dong1,ROWS($1:39)),),""))</f>
        <v/>
      </c>
      <c r="D52" s="166" t="str">
        <f ca="1">IF(ROWS($1:39)&gt;COUNT(Dong1),"",IF(OFFSET(TH!O$1,SMALL(Dong1,ROWS($1:39)),)="1111",OFFSET(TH!D$1,SMALL(Dong1,ROWS($1:39)),),""))</f>
        <v>C21</v>
      </c>
      <c r="E52" s="375" t="str">
        <f ca="1">IF(ROWS($1:39)&gt;COUNT(Dong1),"",OFFSET(TH!F$1,SMALL(Dong1,ROWS($1:39)),))</f>
        <v>VAT Xăng</v>
      </c>
      <c r="F52" s="168" t="str">
        <f ca="1">IF(ROWS($1:39)&gt;COUNT(Dong1),"",IF(OFFSET(TH!O$1,SMALL(Dong1,ROWS($1:39)),)="1111",OFFSET(TH!N$1,SMALL(Dong1,ROWS($1:39)),),OFFSET(TH!O$1,SMALL(Dong1,ROWS($1:39)),)))</f>
        <v>1331</v>
      </c>
      <c r="G52" s="169">
        <f ca="1">IF(ROWS($1:39)&gt;COUNT(Dong1),"",IF(OFFSET(TH!N$1,SMALL(Dong1,ROWS($1:39)),)="1111",OFFSET(TH!M$1,SMALL(Dong1,ROWS($1:39)),),0))</f>
        <v>0</v>
      </c>
      <c r="H52" s="167">
        <f ca="1">IF(ROWS($1:39)&gt;COUNT(Dong1),"",IF(OFFSET(TH!O$1,SMALL(Dong1,ROWS($1:39)),)="1111",OFFSET(TH!M$1,SMALL(Dong1,ROWS($1:39)),),0))</f>
        <v>79087</v>
      </c>
      <c r="I52" s="165">
        <f t="shared" ca="1" si="0"/>
        <v>5237553304</v>
      </c>
      <c r="J52" s="170"/>
    </row>
    <row r="53" spans="1:10" ht="19.5" customHeight="1">
      <c r="A53" s="164">
        <f ca="1">IF(ROWS($1:40)&gt;COUNT(Dong1),"",OFFSET(TH!C$1,SMALL(Dong1,ROWS($1:40)),))</f>
        <v>42381</v>
      </c>
      <c r="B53" s="164">
        <f ca="1">IF(ROWS($1:40)&gt;COUNT(Dong1),"",OFFSET(TH!E$1,SMALL(Dong1,ROWS($1:40)),))</f>
        <v>42381</v>
      </c>
      <c r="C53" s="165" t="str">
        <f ca="1">IF(ROWS($1:40)&gt;COUNT(Dong1),"",IF(OFFSET(TH!N$1,SMALL(Dong1,ROWS($1:40)),)="1111",OFFSET(TH!D$1,SMALL(Dong1,ROWS($1:40)),),""))</f>
        <v/>
      </c>
      <c r="D53" s="166" t="str">
        <f ca="1">IF(ROWS($1:40)&gt;COUNT(Dong1),"",IF(OFFSET(TH!O$1,SMALL(Dong1,ROWS($1:40)),)="1111",OFFSET(TH!D$1,SMALL(Dong1,ROWS($1:40)),),""))</f>
        <v>C22</v>
      </c>
      <c r="E53" s="375" t="str">
        <f ca="1">IF(ROWS($1:40)&gt;COUNT(Dong1),"",OFFSET(TH!F$1,SMALL(Dong1,ROWS($1:40)),))</f>
        <v>Tư vấn giám sát môi trường</v>
      </c>
      <c r="F53" s="168" t="str">
        <f ca="1">IF(ROWS($1:40)&gt;COUNT(Dong1),"",IF(OFFSET(TH!O$1,SMALL(Dong1,ROWS($1:40)),)="1111",OFFSET(TH!N$1,SMALL(Dong1,ROWS($1:40)),),OFFSET(TH!O$1,SMALL(Dong1,ROWS($1:40)),)))</f>
        <v>642</v>
      </c>
      <c r="G53" s="169">
        <f ca="1">IF(ROWS($1:40)&gt;COUNT(Dong1),"",IF(OFFSET(TH!N$1,SMALL(Dong1,ROWS($1:40)),)="1111",OFFSET(TH!M$1,SMALL(Dong1,ROWS($1:40)),),0))</f>
        <v>0</v>
      </c>
      <c r="H53" s="167">
        <f ca="1">IF(ROWS($1:40)&gt;COUNT(Dong1),"",IF(OFFSET(TH!O$1,SMALL(Dong1,ROWS($1:40)),)="1111",OFFSET(TH!M$1,SMALL(Dong1,ROWS($1:40)),),0))</f>
        <v>3325000</v>
      </c>
      <c r="I53" s="165">
        <f t="shared" ca="1" si="0"/>
        <v>5234228304</v>
      </c>
      <c r="J53" s="170"/>
    </row>
    <row r="54" spans="1:10" ht="19.5" customHeight="1">
      <c r="A54" s="164">
        <f ca="1">IF(ROWS($1:41)&gt;COUNT(Dong1),"",OFFSET(TH!C$1,SMALL(Dong1,ROWS($1:41)),))</f>
        <v>42381</v>
      </c>
      <c r="B54" s="164">
        <f ca="1">IF(ROWS($1:41)&gt;COUNT(Dong1),"",OFFSET(TH!E$1,SMALL(Dong1,ROWS($1:41)),))</f>
        <v>42381</v>
      </c>
      <c r="C54" s="165" t="str">
        <f ca="1">IF(ROWS($1:41)&gt;COUNT(Dong1),"",IF(OFFSET(TH!N$1,SMALL(Dong1,ROWS($1:41)),)="1111",OFFSET(TH!D$1,SMALL(Dong1,ROWS($1:41)),),""))</f>
        <v/>
      </c>
      <c r="D54" s="166" t="str">
        <f ca="1">IF(ROWS($1:41)&gt;COUNT(Dong1),"",IF(OFFSET(TH!O$1,SMALL(Dong1,ROWS($1:41)),)="1111",OFFSET(TH!D$1,SMALL(Dong1,ROWS($1:41)),),""))</f>
        <v>C22</v>
      </c>
      <c r="E54" s="375" t="str">
        <f ca="1">IF(ROWS($1:41)&gt;COUNT(Dong1),"",OFFSET(TH!F$1,SMALL(Dong1,ROWS($1:41)),))</f>
        <v>VAT Tư vấn giám sát môi trường</v>
      </c>
      <c r="F54" s="168" t="str">
        <f ca="1">IF(ROWS($1:41)&gt;COUNT(Dong1),"",IF(OFFSET(TH!O$1,SMALL(Dong1,ROWS($1:41)),)="1111",OFFSET(TH!N$1,SMALL(Dong1,ROWS($1:41)),),OFFSET(TH!O$1,SMALL(Dong1,ROWS($1:41)),)))</f>
        <v>1331</v>
      </c>
      <c r="G54" s="169">
        <f ca="1">IF(ROWS($1:41)&gt;COUNT(Dong1),"",IF(OFFSET(TH!N$1,SMALL(Dong1,ROWS($1:41)),)="1111",OFFSET(TH!M$1,SMALL(Dong1,ROWS($1:41)),),0))</f>
        <v>0</v>
      </c>
      <c r="H54" s="167">
        <f ca="1">IF(ROWS($1:41)&gt;COUNT(Dong1),"",IF(OFFSET(TH!O$1,SMALL(Dong1,ROWS($1:41)),)="1111",OFFSET(TH!M$1,SMALL(Dong1,ROWS($1:41)),),0))</f>
        <v>332500</v>
      </c>
      <c r="I54" s="165">
        <f t="shared" ca="1" si="0"/>
        <v>5233895804</v>
      </c>
      <c r="J54" s="170"/>
    </row>
    <row r="55" spans="1:10" ht="19.5" customHeight="1">
      <c r="A55" s="164">
        <f ca="1">IF(ROWS($1:42)&gt;COUNT(Dong1),"",OFFSET(TH!C$1,SMALL(Dong1,ROWS($1:42)),))</f>
        <v>42383</v>
      </c>
      <c r="B55" s="164">
        <f ca="1">IF(ROWS($1:42)&gt;COUNT(Dong1),"",OFFSET(TH!E$1,SMALL(Dong1,ROWS($1:42)),))</f>
        <v>42383</v>
      </c>
      <c r="C55" s="165" t="str">
        <f ca="1">IF(ROWS($1:42)&gt;COUNT(Dong1),"",IF(OFFSET(TH!N$1,SMALL(Dong1,ROWS($1:42)),)="1111",OFFSET(TH!D$1,SMALL(Dong1,ROWS($1:42)),),""))</f>
        <v/>
      </c>
      <c r="D55" s="166" t="str">
        <f ca="1">IF(ROWS($1:42)&gt;COUNT(Dong1),"",IF(OFFSET(TH!O$1,SMALL(Dong1,ROWS($1:42)),)="1111",OFFSET(TH!D$1,SMALL(Dong1,ROWS($1:42)),),""))</f>
        <v>C23</v>
      </c>
      <c r="E55" s="375" t="str">
        <f ca="1">IF(ROWS($1:42)&gt;COUNT(Dong1),"",OFFSET(TH!F$1,SMALL(Dong1,ROWS($1:42)),))</f>
        <v>Bảo dưỡng xe 51F - 080.56</v>
      </c>
      <c r="F55" s="168" t="str">
        <f ca="1">IF(ROWS($1:42)&gt;COUNT(Dong1),"",IF(OFFSET(TH!O$1,SMALL(Dong1,ROWS($1:42)),)="1111",OFFSET(TH!N$1,SMALL(Dong1,ROWS($1:42)),),OFFSET(TH!O$1,SMALL(Dong1,ROWS($1:42)),)))</f>
        <v>642</v>
      </c>
      <c r="G55" s="169">
        <f ca="1">IF(ROWS($1:42)&gt;COUNT(Dong1),"",IF(OFFSET(TH!N$1,SMALL(Dong1,ROWS($1:42)),)="1111",OFFSET(TH!M$1,SMALL(Dong1,ROWS($1:42)),),0))</f>
        <v>0</v>
      </c>
      <c r="H55" s="167">
        <f ca="1">IF(ROWS($1:42)&gt;COUNT(Dong1),"",IF(OFFSET(TH!O$1,SMALL(Dong1,ROWS($1:42)),)="1111",OFFSET(TH!M$1,SMALL(Dong1,ROWS($1:42)),),0))</f>
        <v>16662900</v>
      </c>
      <c r="I55" s="165">
        <f t="shared" ca="1" si="0"/>
        <v>5217232904</v>
      </c>
      <c r="J55" s="170"/>
    </row>
    <row r="56" spans="1:10" ht="19.5" customHeight="1">
      <c r="A56" s="164">
        <f ca="1">IF(ROWS($1:43)&gt;COUNT(Dong1),"",OFFSET(TH!C$1,SMALL(Dong1,ROWS($1:43)),))</f>
        <v>42383</v>
      </c>
      <c r="B56" s="164">
        <f ca="1">IF(ROWS($1:43)&gt;COUNT(Dong1),"",OFFSET(TH!E$1,SMALL(Dong1,ROWS($1:43)),))</f>
        <v>42383</v>
      </c>
      <c r="C56" s="165" t="str">
        <f ca="1">IF(ROWS($1:43)&gt;COUNT(Dong1),"",IF(OFFSET(TH!N$1,SMALL(Dong1,ROWS($1:43)),)="1111",OFFSET(TH!D$1,SMALL(Dong1,ROWS($1:43)),),""))</f>
        <v/>
      </c>
      <c r="D56" s="166" t="str">
        <f ca="1">IF(ROWS($1:43)&gt;COUNT(Dong1),"",IF(OFFSET(TH!O$1,SMALL(Dong1,ROWS($1:43)),)="1111",OFFSET(TH!D$1,SMALL(Dong1,ROWS($1:43)),),""))</f>
        <v>C23</v>
      </c>
      <c r="E56" s="375" t="str">
        <f ca="1">IF(ROWS($1:43)&gt;COUNT(Dong1),"",OFFSET(TH!F$1,SMALL(Dong1,ROWS($1:43)),))</f>
        <v>VAT Bảo dưỡng xe 51F - 080.56</v>
      </c>
      <c r="F56" s="168" t="str">
        <f ca="1">IF(ROWS($1:43)&gt;COUNT(Dong1),"",IF(OFFSET(TH!O$1,SMALL(Dong1,ROWS($1:43)),)="1111",OFFSET(TH!N$1,SMALL(Dong1,ROWS($1:43)),),OFFSET(TH!O$1,SMALL(Dong1,ROWS($1:43)),)))</f>
        <v>1331</v>
      </c>
      <c r="G56" s="169">
        <f ca="1">IF(ROWS($1:43)&gt;COUNT(Dong1),"",IF(OFFSET(TH!N$1,SMALL(Dong1,ROWS($1:43)),)="1111",OFFSET(TH!M$1,SMALL(Dong1,ROWS($1:43)),),0))</f>
        <v>0</v>
      </c>
      <c r="H56" s="167">
        <f ca="1">IF(ROWS($1:43)&gt;COUNT(Dong1),"",IF(OFFSET(TH!O$1,SMALL(Dong1,ROWS($1:43)),)="1111",OFFSET(TH!M$1,SMALL(Dong1,ROWS($1:43)),),0))</f>
        <v>1666290</v>
      </c>
      <c r="I56" s="165">
        <f t="shared" ca="1" si="0"/>
        <v>5215566614</v>
      </c>
      <c r="J56" s="170"/>
    </row>
    <row r="57" spans="1:10" ht="19.5" customHeight="1">
      <c r="A57" s="164">
        <f ca="1">IF(ROWS($1:44)&gt;COUNT(Dong1),"",OFFSET(TH!C$1,SMALL(Dong1,ROWS($1:44)),))</f>
        <v>42384</v>
      </c>
      <c r="B57" s="164">
        <f ca="1">IF(ROWS($1:44)&gt;COUNT(Dong1),"",OFFSET(TH!E$1,SMALL(Dong1,ROWS($1:44)),))</f>
        <v>42384</v>
      </c>
      <c r="C57" s="165" t="str">
        <f ca="1">IF(ROWS($1:44)&gt;COUNT(Dong1),"",IF(OFFSET(TH!N$1,SMALL(Dong1,ROWS($1:44)),)="1111",OFFSET(TH!D$1,SMALL(Dong1,ROWS($1:44)),),""))</f>
        <v>T02</v>
      </c>
      <c r="D57" s="166" t="str">
        <f ca="1">IF(ROWS($1:44)&gt;COUNT(Dong1),"",IF(OFFSET(TH!O$1,SMALL(Dong1,ROWS($1:44)),)="1111",OFFSET(TH!D$1,SMALL(Dong1,ROWS($1:44)),),""))</f>
        <v/>
      </c>
      <c r="E57" s="375" t="str">
        <f ca="1">IF(ROWS($1:44)&gt;COUNT(Dong1),"",OFFSET(TH!F$1,SMALL(Dong1,ROWS($1:44)),))</f>
        <v>Q11 - Rút tiền gửi NH nhập quỹ TM</v>
      </c>
      <c r="F57" s="168" t="str">
        <f ca="1">IF(ROWS($1:44)&gt;COUNT(Dong1),"",IF(OFFSET(TH!O$1,SMALL(Dong1,ROWS($1:44)),)="1111",OFFSET(TH!N$1,SMALL(Dong1,ROWS($1:44)),),OFFSET(TH!O$1,SMALL(Dong1,ROWS($1:44)),)))</f>
        <v>1121</v>
      </c>
      <c r="G57" s="169">
        <f ca="1">IF(ROWS($1:44)&gt;COUNT(Dong1),"",IF(OFFSET(TH!N$1,SMALL(Dong1,ROWS($1:44)),)="1111",OFFSET(TH!M$1,SMALL(Dong1,ROWS($1:44)),),0))</f>
        <v>100000000</v>
      </c>
      <c r="H57" s="167">
        <f ca="1">IF(ROWS($1:44)&gt;COUNT(Dong1),"",IF(OFFSET(TH!O$1,SMALL(Dong1,ROWS($1:44)),)="1111",OFFSET(TH!M$1,SMALL(Dong1,ROWS($1:44)),),0))</f>
        <v>0</v>
      </c>
      <c r="I57" s="165">
        <f t="shared" ca="1" si="0"/>
        <v>5315566614</v>
      </c>
      <c r="J57" s="170"/>
    </row>
    <row r="58" spans="1:10" ht="19.5" customHeight="1">
      <c r="A58" s="164">
        <f ca="1">IF(ROWS($1:45)&gt;COUNT(Dong1),"",OFFSET(TH!C$1,SMALL(Dong1,ROWS($1:45)),))</f>
        <v>42384</v>
      </c>
      <c r="B58" s="164">
        <f ca="1">IF(ROWS($1:45)&gt;COUNT(Dong1),"",OFFSET(TH!E$1,SMALL(Dong1,ROWS($1:45)),))</f>
        <v>42384</v>
      </c>
      <c r="C58" s="165" t="str">
        <f ca="1">IF(ROWS($1:45)&gt;COUNT(Dong1),"",IF(OFFSET(TH!N$1,SMALL(Dong1,ROWS($1:45)),)="1111",OFFSET(TH!D$1,SMALL(Dong1,ROWS($1:45)),),""))</f>
        <v/>
      </c>
      <c r="D58" s="166" t="str">
        <f ca="1">IF(ROWS($1:45)&gt;COUNT(Dong1),"",IF(OFFSET(TH!O$1,SMALL(Dong1,ROWS($1:45)),)="1111",OFFSET(TH!D$1,SMALL(Dong1,ROWS($1:45)),),""))</f>
        <v>C24</v>
      </c>
      <c r="E58" s="375" t="str">
        <f ca="1">IF(ROWS($1:45)&gt;COUNT(Dong1),"",OFFSET(TH!F$1,SMALL(Dong1,ROWS($1:45)),))</f>
        <v>Xăng</v>
      </c>
      <c r="F58" s="168" t="str">
        <f ca="1">IF(ROWS($1:45)&gt;COUNT(Dong1),"",IF(OFFSET(TH!O$1,SMALL(Dong1,ROWS($1:45)),)="1111",OFFSET(TH!N$1,SMALL(Dong1,ROWS($1:45)),),OFFSET(TH!O$1,SMALL(Dong1,ROWS($1:45)),)))</f>
        <v>642</v>
      </c>
      <c r="G58" s="169">
        <f ca="1">IF(ROWS($1:45)&gt;COUNT(Dong1),"",IF(OFFSET(TH!N$1,SMALL(Dong1,ROWS($1:45)),)="1111",OFFSET(TH!M$1,SMALL(Dong1,ROWS($1:45)),),0))</f>
        <v>0</v>
      </c>
      <c r="H58" s="167">
        <f ca="1">IF(ROWS($1:45)&gt;COUNT(Dong1),"",IF(OFFSET(TH!O$1,SMALL(Dong1,ROWS($1:45)),)="1111",OFFSET(TH!M$1,SMALL(Dong1,ROWS($1:45)),),0))</f>
        <v>306027</v>
      </c>
      <c r="I58" s="165">
        <f t="shared" ca="1" si="0"/>
        <v>5315260587</v>
      </c>
      <c r="J58" s="170"/>
    </row>
    <row r="59" spans="1:10" ht="19.5" customHeight="1">
      <c r="A59" s="164">
        <f ca="1">IF(ROWS($1:46)&gt;COUNT(Dong1),"",OFFSET(TH!C$1,SMALL(Dong1,ROWS($1:46)),))</f>
        <v>42384</v>
      </c>
      <c r="B59" s="164">
        <f ca="1">IF(ROWS($1:46)&gt;COUNT(Dong1),"",OFFSET(TH!E$1,SMALL(Dong1,ROWS($1:46)),))</f>
        <v>42384</v>
      </c>
      <c r="C59" s="165" t="str">
        <f ca="1">IF(ROWS($1:46)&gt;COUNT(Dong1),"",IF(OFFSET(TH!N$1,SMALL(Dong1,ROWS($1:46)),)="1111",OFFSET(TH!D$1,SMALL(Dong1,ROWS($1:46)),),""))</f>
        <v/>
      </c>
      <c r="D59" s="166" t="str">
        <f ca="1">IF(ROWS($1:46)&gt;COUNT(Dong1),"",IF(OFFSET(TH!O$1,SMALL(Dong1,ROWS($1:46)),)="1111",OFFSET(TH!D$1,SMALL(Dong1,ROWS($1:46)),),""))</f>
        <v>C24</v>
      </c>
      <c r="E59" s="375" t="str">
        <f ca="1">IF(ROWS($1:46)&gt;COUNT(Dong1),"",OFFSET(TH!F$1,SMALL(Dong1,ROWS($1:46)),))</f>
        <v>VAT Xăng</v>
      </c>
      <c r="F59" s="168" t="str">
        <f ca="1">IF(ROWS($1:46)&gt;COUNT(Dong1),"",IF(OFFSET(TH!O$1,SMALL(Dong1,ROWS($1:46)),)="1111",OFFSET(TH!N$1,SMALL(Dong1,ROWS($1:46)),),OFFSET(TH!O$1,SMALL(Dong1,ROWS($1:46)),)))</f>
        <v>1331</v>
      </c>
      <c r="G59" s="169">
        <f ca="1">IF(ROWS($1:46)&gt;COUNT(Dong1),"",IF(OFFSET(TH!N$1,SMALL(Dong1,ROWS($1:46)),)="1111",OFFSET(TH!M$1,SMALL(Dong1,ROWS($1:46)),),0))</f>
        <v>0</v>
      </c>
      <c r="H59" s="167">
        <f ca="1">IF(ROWS($1:46)&gt;COUNT(Dong1),"",IF(OFFSET(TH!O$1,SMALL(Dong1,ROWS($1:46)),)="1111",OFFSET(TH!M$1,SMALL(Dong1,ROWS($1:46)),),0))</f>
        <v>30603</v>
      </c>
      <c r="I59" s="165">
        <f t="shared" ca="1" si="0"/>
        <v>5315229984</v>
      </c>
      <c r="J59" s="170"/>
    </row>
    <row r="60" spans="1:10" ht="19.5" customHeight="1">
      <c r="A60" s="164">
        <f ca="1">IF(ROWS($1:47)&gt;COUNT(Dong1),"",OFFSET(TH!C$1,SMALL(Dong1,ROWS($1:47)),))</f>
        <v>42384</v>
      </c>
      <c r="B60" s="164">
        <f ca="1">IF(ROWS($1:47)&gt;COUNT(Dong1),"",OFFSET(TH!E$1,SMALL(Dong1,ROWS($1:47)),))</f>
        <v>42384</v>
      </c>
      <c r="C60" s="165" t="str">
        <f ca="1">IF(ROWS($1:47)&gt;COUNT(Dong1),"",IF(OFFSET(TH!N$1,SMALL(Dong1,ROWS($1:47)),)="1111",OFFSET(TH!D$1,SMALL(Dong1,ROWS($1:47)),),""))</f>
        <v/>
      </c>
      <c r="D60" s="166" t="str">
        <f ca="1">IF(ROWS($1:47)&gt;COUNT(Dong1),"",IF(OFFSET(TH!O$1,SMALL(Dong1,ROWS($1:47)),)="1111",OFFSET(TH!D$1,SMALL(Dong1,ROWS($1:47)),),""))</f>
        <v>C25</v>
      </c>
      <c r="E60" s="375" t="str">
        <f ca="1">IF(ROWS($1:47)&gt;COUNT(Dong1),"",OFFSET(TH!F$1,SMALL(Dong1,ROWS($1:47)),))</f>
        <v>Xăng</v>
      </c>
      <c r="F60" s="168" t="str">
        <f ca="1">IF(ROWS($1:47)&gt;COUNT(Dong1),"",IF(OFFSET(TH!O$1,SMALL(Dong1,ROWS($1:47)),)="1111",OFFSET(TH!N$1,SMALL(Dong1,ROWS($1:47)),),OFFSET(TH!O$1,SMALL(Dong1,ROWS($1:47)),)))</f>
        <v>642</v>
      </c>
      <c r="G60" s="169">
        <f ca="1">IF(ROWS($1:47)&gt;COUNT(Dong1),"",IF(OFFSET(TH!N$1,SMALL(Dong1,ROWS($1:47)),)="1111",OFFSET(TH!M$1,SMALL(Dong1,ROWS($1:47)),),0))</f>
        <v>0</v>
      </c>
      <c r="H60" s="167">
        <f ca="1">IF(ROWS($1:47)&gt;COUNT(Dong1),"",IF(OFFSET(TH!O$1,SMALL(Dong1,ROWS($1:47)),)="1111",OFFSET(TH!M$1,SMALL(Dong1,ROWS($1:47)),),0))</f>
        <v>593155</v>
      </c>
      <c r="I60" s="165">
        <f t="shared" ca="1" si="0"/>
        <v>5314636829</v>
      </c>
      <c r="J60" s="170"/>
    </row>
    <row r="61" spans="1:10" ht="19.5" customHeight="1">
      <c r="A61" s="164">
        <f ca="1">IF(ROWS($1:48)&gt;COUNT(Dong1),"",OFFSET(TH!C$1,SMALL(Dong1,ROWS($1:48)),))</f>
        <v>42384</v>
      </c>
      <c r="B61" s="164">
        <f ca="1">IF(ROWS($1:48)&gt;COUNT(Dong1),"",OFFSET(TH!E$1,SMALL(Dong1,ROWS($1:48)),))</f>
        <v>42384</v>
      </c>
      <c r="C61" s="165" t="str">
        <f ca="1">IF(ROWS($1:48)&gt;COUNT(Dong1),"",IF(OFFSET(TH!N$1,SMALL(Dong1,ROWS($1:48)),)="1111",OFFSET(TH!D$1,SMALL(Dong1,ROWS($1:48)),),""))</f>
        <v/>
      </c>
      <c r="D61" s="166" t="str">
        <f ca="1">IF(ROWS($1:48)&gt;COUNT(Dong1),"",IF(OFFSET(TH!O$1,SMALL(Dong1,ROWS($1:48)),)="1111",OFFSET(TH!D$1,SMALL(Dong1,ROWS($1:48)),),""))</f>
        <v>C25</v>
      </c>
      <c r="E61" s="375" t="str">
        <f ca="1">IF(ROWS($1:48)&gt;COUNT(Dong1),"",OFFSET(TH!F$1,SMALL(Dong1,ROWS($1:48)),))</f>
        <v>VAT Xăng</v>
      </c>
      <c r="F61" s="168" t="str">
        <f ca="1">IF(ROWS($1:48)&gt;COUNT(Dong1),"",IF(OFFSET(TH!O$1,SMALL(Dong1,ROWS($1:48)),)="1111",OFFSET(TH!N$1,SMALL(Dong1,ROWS($1:48)),),OFFSET(TH!O$1,SMALL(Dong1,ROWS($1:48)),)))</f>
        <v>1331</v>
      </c>
      <c r="G61" s="169">
        <f ca="1">IF(ROWS($1:48)&gt;COUNT(Dong1),"",IF(OFFSET(TH!N$1,SMALL(Dong1,ROWS($1:48)),)="1111",OFFSET(TH!M$1,SMALL(Dong1,ROWS($1:48)),),0))</f>
        <v>0</v>
      </c>
      <c r="H61" s="167">
        <f ca="1">IF(ROWS($1:48)&gt;COUNT(Dong1),"",IF(OFFSET(TH!O$1,SMALL(Dong1,ROWS($1:48)),)="1111",OFFSET(TH!M$1,SMALL(Dong1,ROWS($1:48)),),0))</f>
        <v>59315</v>
      </c>
      <c r="I61" s="165">
        <f t="shared" ca="1" si="0"/>
        <v>5314577514</v>
      </c>
      <c r="J61" s="170"/>
    </row>
    <row r="62" spans="1:10" ht="19.5" customHeight="1">
      <c r="A62" s="164">
        <f ca="1">IF(ROWS($1:49)&gt;COUNT(Dong1),"",OFFSET(TH!C$1,SMALL(Dong1,ROWS($1:49)),))</f>
        <v>42384</v>
      </c>
      <c r="B62" s="164">
        <f ca="1">IF(ROWS($1:49)&gt;COUNT(Dong1),"",OFFSET(TH!E$1,SMALL(Dong1,ROWS($1:49)),))</f>
        <v>42384</v>
      </c>
      <c r="C62" s="165" t="str">
        <f ca="1">IF(ROWS($1:49)&gt;COUNT(Dong1),"",IF(OFFSET(TH!N$1,SMALL(Dong1,ROWS($1:49)),)="1111",OFFSET(TH!D$1,SMALL(Dong1,ROWS($1:49)),),""))</f>
        <v/>
      </c>
      <c r="D62" s="166" t="str">
        <f ca="1">IF(ROWS($1:49)&gt;COUNT(Dong1),"",IF(OFFSET(TH!O$1,SMALL(Dong1,ROWS($1:49)),)="1111",OFFSET(TH!D$1,SMALL(Dong1,ROWS($1:49)),),""))</f>
        <v>C26</v>
      </c>
      <c r="E62" s="375" t="str">
        <f ca="1">IF(ROWS($1:49)&gt;COUNT(Dong1),"",OFFSET(TH!F$1,SMALL(Dong1,ROWS($1:49)),))</f>
        <v>Phí phân tích cá khô</v>
      </c>
      <c r="F62" s="168" t="str">
        <f ca="1">IF(ROWS($1:49)&gt;COUNT(Dong1),"",IF(OFFSET(TH!O$1,SMALL(Dong1,ROWS($1:49)),)="1111",OFFSET(TH!N$1,SMALL(Dong1,ROWS($1:49)),),OFFSET(TH!O$1,SMALL(Dong1,ROWS($1:49)),)))</f>
        <v>642</v>
      </c>
      <c r="G62" s="169">
        <f ca="1">IF(ROWS($1:49)&gt;COUNT(Dong1),"",IF(OFFSET(TH!N$1,SMALL(Dong1,ROWS($1:49)),)="1111",OFFSET(TH!M$1,SMALL(Dong1,ROWS($1:49)),),0))</f>
        <v>0</v>
      </c>
      <c r="H62" s="167">
        <f ca="1">IF(ROWS($1:49)&gt;COUNT(Dong1),"",IF(OFFSET(TH!O$1,SMALL(Dong1,ROWS($1:49)),)="1111",OFFSET(TH!M$1,SMALL(Dong1,ROWS($1:49)),),0))</f>
        <v>400000</v>
      </c>
      <c r="I62" s="165">
        <f t="shared" ca="1" si="0"/>
        <v>5314177514</v>
      </c>
      <c r="J62" s="170"/>
    </row>
    <row r="63" spans="1:10" ht="19.5" customHeight="1">
      <c r="A63" s="164">
        <f ca="1">IF(ROWS($1:50)&gt;COUNT(Dong1),"",OFFSET(TH!C$1,SMALL(Dong1,ROWS($1:50)),))</f>
        <v>42384</v>
      </c>
      <c r="B63" s="164">
        <f ca="1">IF(ROWS($1:50)&gt;COUNT(Dong1),"",OFFSET(TH!E$1,SMALL(Dong1,ROWS($1:50)),))</f>
        <v>42384</v>
      </c>
      <c r="C63" s="165" t="str">
        <f ca="1">IF(ROWS($1:50)&gt;COUNT(Dong1),"",IF(OFFSET(TH!N$1,SMALL(Dong1,ROWS($1:50)),)="1111",OFFSET(TH!D$1,SMALL(Dong1,ROWS($1:50)),),""))</f>
        <v/>
      </c>
      <c r="D63" s="166" t="str">
        <f ca="1">IF(ROWS($1:50)&gt;COUNT(Dong1),"",IF(OFFSET(TH!O$1,SMALL(Dong1,ROWS($1:50)),)="1111",OFFSET(TH!D$1,SMALL(Dong1,ROWS($1:50)),),""))</f>
        <v>C26</v>
      </c>
      <c r="E63" s="375" t="str">
        <f ca="1">IF(ROWS($1:50)&gt;COUNT(Dong1),"",OFFSET(TH!F$1,SMALL(Dong1,ROWS($1:50)),))</f>
        <v>VAT Phí phân tích cá khô</v>
      </c>
      <c r="F63" s="168" t="str">
        <f ca="1">IF(ROWS($1:50)&gt;COUNT(Dong1),"",IF(OFFSET(TH!O$1,SMALL(Dong1,ROWS($1:50)),)="1111",OFFSET(TH!N$1,SMALL(Dong1,ROWS($1:50)),),OFFSET(TH!O$1,SMALL(Dong1,ROWS($1:50)),)))</f>
        <v>1331</v>
      </c>
      <c r="G63" s="169">
        <f ca="1">IF(ROWS($1:50)&gt;COUNT(Dong1),"",IF(OFFSET(TH!N$1,SMALL(Dong1,ROWS($1:50)),)="1111",OFFSET(TH!M$1,SMALL(Dong1,ROWS($1:50)),),0))</f>
        <v>0</v>
      </c>
      <c r="H63" s="167">
        <f ca="1">IF(ROWS($1:50)&gt;COUNT(Dong1),"",IF(OFFSET(TH!O$1,SMALL(Dong1,ROWS($1:50)),)="1111",OFFSET(TH!M$1,SMALL(Dong1,ROWS($1:50)),),0))</f>
        <v>20000</v>
      </c>
      <c r="I63" s="165">
        <f t="shared" ca="1" si="0"/>
        <v>5314157514</v>
      </c>
      <c r="J63" s="170"/>
    </row>
    <row r="64" spans="1:10" ht="19.5" customHeight="1">
      <c r="A64" s="164">
        <f ca="1">IF(ROWS($1:51)&gt;COUNT(Dong1),"",OFFSET(TH!C$1,SMALL(Dong1,ROWS($1:51)),))</f>
        <v>42384</v>
      </c>
      <c r="B64" s="164">
        <f ca="1">IF(ROWS($1:51)&gt;COUNT(Dong1),"",OFFSET(TH!E$1,SMALL(Dong1,ROWS($1:51)),))</f>
        <v>42384</v>
      </c>
      <c r="C64" s="165" t="str">
        <f ca="1">IF(ROWS($1:51)&gt;COUNT(Dong1),"",IF(OFFSET(TH!N$1,SMALL(Dong1,ROWS($1:51)),)="1111",OFFSET(TH!D$1,SMALL(Dong1,ROWS($1:51)),),""))</f>
        <v/>
      </c>
      <c r="D64" s="166" t="str">
        <f ca="1">IF(ROWS($1:51)&gt;COUNT(Dong1),"",IF(OFFSET(TH!O$1,SMALL(Dong1,ROWS($1:51)),)="1111",OFFSET(TH!D$1,SMALL(Dong1,ROWS($1:51)),),""))</f>
        <v>C27</v>
      </c>
      <c r="E64" s="375" t="str">
        <f ca="1">IF(ROWS($1:51)&gt;COUNT(Dong1),"",OFFSET(TH!F$1,SMALL(Dong1,ROWS($1:51)),))</f>
        <v>Bảo dưỡng xe 51F - 080.56</v>
      </c>
      <c r="F64" s="168" t="str">
        <f ca="1">IF(ROWS($1:51)&gt;COUNT(Dong1),"",IF(OFFSET(TH!O$1,SMALL(Dong1,ROWS($1:51)),)="1111",OFFSET(TH!N$1,SMALL(Dong1,ROWS($1:51)),),OFFSET(TH!O$1,SMALL(Dong1,ROWS($1:51)),)))</f>
        <v>642</v>
      </c>
      <c r="G64" s="169">
        <f ca="1">IF(ROWS($1:51)&gt;COUNT(Dong1),"",IF(OFFSET(TH!N$1,SMALL(Dong1,ROWS($1:51)),)="1111",OFFSET(TH!M$1,SMALL(Dong1,ROWS($1:51)),),0))</f>
        <v>0</v>
      </c>
      <c r="H64" s="167">
        <f ca="1">IF(ROWS($1:51)&gt;COUNT(Dong1),"",IF(OFFSET(TH!O$1,SMALL(Dong1,ROWS($1:51)),)="1111",OFFSET(TH!M$1,SMALL(Dong1,ROWS($1:51)),),0))</f>
        <v>17435800</v>
      </c>
      <c r="I64" s="165">
        <f t="shared" ca="1" si="0"/>
        <v>5296721714</v>
      </c>
      <c r="J64" s="170"/>
    </row>
    <row r="65" spans="1:10" ht="19.5" customHeight="1">
      <c r="A65" s="164">
        <f ca="1">IF(ROWS($1:52)&gt;COUNT(Dong1),"",OFFSET(TH!C$1,SMALL(Dong1,ROWS($1:52)),))</f>
        <v>42384</v>
      </c>
      <c r="B65" s="164">
        <f ca="1">IF(ROWS($1:52)&gt;COUNT(Dong1),"",OFFSET(TH!E$1,SMALL(Dong1,ROWS($1:52)),))</f>
        <v>42384</v>
      </c>
      <c r="C65" s="165" t="str">
        <f ca="1">IF(ROWS($1:52)&gt;COUNT(Dong1),"",IF(OFFSET(TH!N$1,SMALL(Dong1,ROWS($1:52)),)="1111",OFFSET(TH!D$1,SMALL(Dong1,ROWS($1:52)),),""))</f>
        <v/>
      </c>
      <c r="D65" s="166" t="str">
        <f ca="1">IF(ROWS($1:52)&gt;COUNT(Dong1),"",IF(OFFSET(TH!O$1,SMALL(Dong1,ROWS($1:52)),)="1111",OFFSET(TH!D$1,SMALL(Dong1,ROWS($1:52)),),""))</f>
        <v>C27</v>
      </c>
      <c r="E65" s="375" t="str">
        <f ca="1">IF(ROWS($1:52)&gt;COUNT(Dong1),"",OFFSET(TH!F$1,SMALL(Dong1,ROWS($1:52)),))</f>
        <v>VAT Bảo dưỡng xe 51F - 080.56</v>
      </c>
      <c r="F65" s="168" t="str">
        <f ca="1">IF(ROWS($1:52)&gt;COUNT(Dong1),"",IF(OFFSET(TH!O$1,SMALL(Dong1,ROWS($1:52)),)="1111",OFFSET(TH!N$1,SMALL(Dong1,ROWS($1:52)),),OFFSET(TH!O$1,SMALL(Dong1,ROWS($1:52)),)))</f>
        <v>1331</v>
      </c>
      <c r="G65" s="169">
        <f ca="1">IF(ROWS($1:52)&gt;COUNT(Dong1),"",IF(OFFSET(TH!N$1,SMALL(Dong1,ROWS($1:52)),)="1111",OFFSET(TH!M$1,SMALL(Dong1,ROWS($1:52)),),0))</f>
        <v>0</v>
      </c>
      <c r="H65" s="167">
        <f ca="1">IF(ROWS($1:52)&gt;COUNT(Dong1),"",IF(OFFSET(TH!O$1,SMALL(Dong1,ROWS($1:52)),)="1111",OFFSET(TH!M$1,SMALL(Dong1,ROWS($1:52)),),0))</f>
        <v>1743580</v>
      </c>
      <c r="I65" s="165">
        <f t="shared" ca="1" si="0"/>
        <v>5294978134</v>
      </c>
      <c r="J65" s="170"/>
    </row>
    <row r="66" spans="1:10" ht="19.5" customHeight="1">
      <c r="A66" s="164">
        <f ca="1">IF(ROWS($1:53)&gt;COUNT(Dong1),"",OFFSET(TH!C$1,SMALL(Dong1,ROWS($1:53)),))</f>
        <v>42387</v>
      </c>
      <c r="B66" s="164">
        <f ca="1">IF(ROWS($1:53)&gt;COUNT(Dong1),"",OFFSET(TH!E$1,SMALL(Dong1,ROWS($1:53)),))</f>
        <v>42387</v>
      </c>
      <c r="C66" s="165" t="str">
        <f ca="1">IF(ROWS($1:53)&gt;COUNT(Dong1),"",IF(OFFSET(TH!N$1,SMALL(Dong1,ROWS($1:53)),)="1111",OFFSET(TH!D$1,SMALL(Dong1,ROWS($1:53)),),""))</f>
        <v/>
      </c>
      <c r="D66" s="166" t="str">
        <f ca="1">IF(ROWS($1:53)&gt;COUNT(Dong1),"",IF(OFFSET(TH!O$1,SMALL(Dong1,ROWS($1:53)),)="1111",OFFSET(TH!D$1,SMALL(Dong1,ROWS($1:53)),),""))</f>
        <v>C28</v>
      </c>
      <c r="E66" s="375" t="str">
        <f ca="1">IF(ROWS($1:53)&gt;COUNT(Dong1),"",OFFSET(TH!F$1,SMALL(Dong1,ROWS($1:53)),))</f>
        <v>Dầu DO, Xăng</v>
      </c>
      <c r="F66" s="168" t="str">
        <f ca="1">IF(ROWS($1:53)&gt;COUNT(Dong1),"",IF(OFFSET(TH!O$1,SMALL(Dong1,ROWS($1:53)),)="1111",OFFSET(TH!N$1,SMALL(Dong1,ROWS($1:53)),),OFFSET(TH!O$1,SMALL(Dong1,ROWS($1:53)),)))</f>
        <v>642</v>
      </c>
      <c r="G66" s="169">
        <f ca="1">IF(ROWS($1:53)&gt;COUNT(Dong1),"",IF(OFFSET(TH!N$1,SMALL(Dong1,ROWS($1:53)),)="1111",OFFSET(TH!M$1,SMALL(Dong1,ROWS($1:53)),),0))</f>
        <v>0</v>
      </c>
      <c r="H66" s="167">
        <f ca="1">IF(ROWS($1:53)&gt;COUNT(Dong1),"",IF(OFFSET(TH!O$1,SMALL(Dong1,ROWS($1:53)),)="1111",OFFSET(TH!M$1,SMALL(Dong1,ROWS($1:53)),),0))</f>
        <v>1346136</v>
      </c>
      <c r="I66" s="165">
        <f t="shared" ca="1" si="0"/>
        <v>5293631998</v>
      </c>
      <c r="J66" s="170"/>
    </row>
    <row r="67" spans="1:10" ht="19.5" customHeight="1">
      <c r="A67" s="164">
        <f ca="1">IF(ROWS($1:54)&gt;COUNT(Dong1),"",OFFSET(TH!C$1,SMALL(Dong1,ROWS($1:54)),))</f>
        <v>42387</v>
      </c>
      <c r="B67" s="164">
        <f ca="1">IF(ROWS($1:54)&gt;COUNT(Dong1),"",OFFSET(TH!E$1,SMALL(Dong1,ROWS($1:54)),))</f>
        <v>42387</v>
      </c>
      <c r="C67" s="165" t="str">
        <f ca="1">IF(ROWS($1:54)&gt;COUNT(Dong1),"",IF(OFFSET(TH!N$1,SMALL(Dong1,ROWS($1:54)),)="1111",OFFSET(TH!D$1,SMALL(Dong1,ROWS($1:54)),),""))</f>
        <v/>
      </c>
      <c r="D67" s="166" t="str">
        <f ca="1">IF(ROWS($1:54)&gt;COUNT(Dong1),"",IF(OFFSET(TH!O$1,SMALL(Dong1,ROWS($1:54)),)="1111",OFFSET(TH!D$1,SMALL(Dong1,ROWS($1:54)),),""))</f>
        <v>C28</v>
      </c>
      <c r="E67" s="375" t="str">
        <f ca="1">IF(ROWS($1:54)&gt;COUNT(Dong1),"",OFFSET(TH!F$1,SMALL(Dong1,ROWS($1:54)),))</f>
        <v>VAT Dầu DO, Xăng</v>
      </c>
      <c r="F67" s="168" t="str">
        <f ca="1">IF(ROWS($1:54)&gt;COUNT(Dong1),"",IF(OFFSET(TH!O$1,SMALL(Dong1,ROWS($1:54)),)="1111",OFFSET(TH!N$1,SMALL(Dong1,ROWS($1:54)),),OFFSET(TH!O$1,SMALL(Dong1,ROWS($1:54)),)))</f>
        <v>1331</v>
      </c>
      <c r="G67" s="169">
        <f ca="1">IF(ROWS($1:54)&gt;COUNT(Dong1),"",IF(OFFSET(TH!N$1,SMALL(Dong1,ROWS($1:54)),)="1111",OFFSET(TH!M$1,SMALL(Dong1,ROWS($1:54)),),0))</f>
        <v>0</v>
      </c>
      <c r="H67" s="167">
        <f ca="1">IF(ROWS($1:54)&gt;COUNT(Dong1),"",IF(OFFSET(TH!O$1,SMALL(Dong1,ROWS($1:54)),)="1111",OFFSET(TH!M$1,SMALL(Dong1,ROWS($1:54)),),0))</f>
        <v>134614</v>
      </c>
      <c r="I67" s="165">
        <f t="shared" ca="1" si="0"/>
        <v>5293497384</v>
      </c>
      <c r="J67" s="170"/>
    </row>
    <row r="68" spans="1:10" ht="19.5" customHeight="1">
      <c r="A68" s="164">
        <f ca="1">IF(ROWS($1:55)&gt;COUNT(Dong1),"",OFFSET(TH!C$1,SMALL(Dong1,ROWS($1:55)),))</f>
        <v>42387</v>
      </c>
      <c r="B68" s="164">
        <f ca="1">IF(ROWS($1:55)&gt;COUNT(Dong1),"",OFFSET(TH!E$1,SMALL(Dong1,ROWS($1:55)),))</f>
        <v>42387</v>
      </c>
      <c r="C68" s="165" t="str">
        <f ca="1">IF(ROWS($1:55)&gt;COUNT(Dong1),"",IF(OFFSET(TH!N$1,SMALL(Dong1,ROWS($1:55)),)="1111",OFFSET(TH!D$1,SMALL(Dong1,ROWS($1:55)),),""))</f>
        <v/>
      </c>
      <c r="D68" s="166" t="str">
        <f ca="1">IF(ROWS($1:55)&gt;COUNT(Dong1),"",IF(OFFSET(TH!O$1,SMALL(Dong1,ROWS($1:55)),)="1111",OFFSET(TH!D$1,SMALL(Dong1,ROWS($1:55)),),""))</f>
        <v>C29</v>
      </c>
      <c r="E68" s="375" t="str">
        <f ca="1">IF(ROWS($1:55)&gt;COUNT(Dong1),"",OFFSET(TH!F$1,SMALL(Dong1,ROWS($1:55)),))</f>
        <v>Thanh toán tiền đường</v>
      </c>
      <c r="F68" s="168" t="str">
        <f ca="1">IF(ROWS($1:55)&gt;COUNT(Dong1),"",IF(OFFSET(TH!O$1,SMALL(Dong1,ROWS($1:55)),)="1111",OFFSET(TH!N$1,SMALL(Dong1,ROWS($1:55)),),OFFSET(TH!O$1,SMALL(Dong1,ROWS($1:55)),)))</f>
        <v>331</v>
      </c>
      <c r="G68" s="169">
        <f ca="1">IF(ROWS($1:55)&gt;COUNT(Dong1),"",IF(OFFSET(TH!N$1,SMALL(Dong1,ROWS($1:55)),)="1111",OFFSET(TH!M$1,SMALL(Dong1,ROWS($1:55)),),0))</f>
        <v>0</v>
      </c>
      <c r="H68" s="167">
        <f ca="1">IF(ROWS($1:55)&gt;COUNT(Dong1),"",IF(OFFSET(TH!O$1,SMALL(Dong1,ROWS($1:55)),)="1111",OFFSET(TH!M$1,SMALL(Dong1,ROWS($1:55)),),0))</f>
        <v>15250000</v>
      </c>
      <c r="I68" s="165">
        <f t="shared" ca="1" si="0"/>
        <v>5278247384</v>
      </c>
      <c r="J68" s="170"/>
    </row>
    <row r="69" spans="1:10" ht="19.5" customHeight="1">
      <c r="A69" s="164">
        <f ca="1">IF(ROWS($1:56)&gt;COUNT(Dong1),"",OFFSET(TH!C$1,SMALL(Dong1,ROWS($1:56)),))</f>
        <v>42388</v>
      </c>
      <c r="B69" s="164">
        <f ca="1">IF(ROWS($1:56)&gt;COUNT(Dong1),"",OFFSET(TH!E$1,SMALL(Dong1,ROWS($1:56)),))</f>
        <v>42388</v>
      </c>
      <c r="C69" s="165" t="str">
        <f ca="1">IF(ROWS($1:56)&gt;COUNT(Dong1),"",IF(OFFSET(TH!N$1,SMALL(Dong1,ROWS($1:56)),)="1111",OFFSET(TH!D$1,SMALL(Dong1,ROWS($1:56)),),""))</f>
        <v/>
      </c>
      <c r="D69" s="166" t="str">
        <f ca="1">IF(ROWS($1:56)&gt;COUNT(Dong1),"",IF(OFFSET(TH!O$1,SMALL(Dong1,ROWS($1:56)),)="1111",OFFSET(TH!D$1,SMALL(Dong1,ROWS($1:56)),),""))</f>
        <v>C30</v>
      </c>
      <c r="E69" s="375" t="str">
        <f ca="1">IF(ROWS($1:56)&gt;COUNT(Dong1),"",OFFSET(TH!F$1,SMALL(Dong1,ROWS($1:56)),))</f>
        <v>Xăng</v>
      </c>
      <c r="F69" s="168" t="str">
        <f ca="1">IF(ROWS($1:56)&gt;COUNT(Dong1),"",IF(OFFSET(TH!O$1,SMALL(Dong1,ROWS($1:56)),)="1111",OFFSET(TH!N$1,SMALL(Dong1,ROWS($1:56)),),OFFSET(TH!O$1,SMALL(Dong1,ROWS($1:56)),)))</f>
        <v>642</v>
      </c>
      <c r="G69" s="169">
        <f ca="1">IF(ROWS($1:56)&gt;COUNT(Dong1),"",IF(OFFSET(TH!N$1,SMALL(Dong1,ROWS($1:56)),)="1111",OFFSET(TH!M$1,SMALL(Dong1,ROWS($1:56)),),0))</f>
        <v>0</v>
      </c>
      <c r="H69" s="167">
        <f ca="1">IF(ROWS($1:56)&gt;COUNT(Dong1),"",IF(OFFSET(TH!O$1,SMALL(Dong1,ROWS($1:56)),)="1111",OFFSET(TH!M$1,SMALL(Dong1,ROWS($1:56)),),0))</f>
        <v>29145</v>
      </c>
      <c r="I69" s="165">
        <f t="shared" ca="1" si="0"/>
        <v>5278218239</v>
      </c>
      <c r="J69" s="170"/>
    </row>
    <row r="70" spans="1:10" ht="19.5" customHeight="1">
      <c r="A70" s="164">
        <f ca="1">IF(ROWS($1:57)&gt;COUNT(Dong1),"",OFFSET(TH!C$1,SMALL(Dong1,ROWS($1:57)),))</f>
        <v>42388</v>
      </c>
      <c r="B70" s="164">
        <f ca="1">IF(ROWS($1:57)&gt;COUNT(Dong1),"",OFFSET(TH!E$1,SMALL(Dong1,ROWS($1:57)),))</f>
        <v>42388</v>
      </c>
      <c r="C70" s="165" t="str">
        <f ca="1">IF(ROWS($1:57)&gt;COUNT(Dong1),"",IF(OFFSET(TH!N$1,SMALL(Dong1,ROWS($1:57)),)="1111",OFFSET(TH!D$1,SMALL(Dong1,ROWS($1:57)),),""))</f>
        <v/>
      </c>
      <c r="D70" s="166" t="str">
        <f ca="1">IF(ROWS($1:57)&gt;COUNT(Dong1),"",IF(OFFSET(TH!O$1,SMALL(Dong1,ROWS($1:57)),)="1111",OFFSET(TH!D$1,SMALL(Dong1,ROWS($1:57)),),""))</f>
        <v>C30</v>
      </c>
      <c r="E70" s="375" t="str">
        <f ca="1">IF(ROWS($1:57)&gt;COUNT(Dong1),"",OFFSET(TH!F$1,SMALL(Dong1,ROWS($1:57)),))</f>
        <v>VAT Xăng</v>
      </c>
      <c r="F70" s="168" t="str">
        <f ca="1">IF(ROWS($1:57)&gt;COUNT(Dong1),"",IF(OFFSET(TH!O$1,SMALL(Dong1,ROWS($1:57)),)="1111",OFFSET(TH!N$1,SMALL(Dong1,ROWS($1:57)),),OFFSET(TH!O$1,SMALL(Dong1,ROWS($1:57)),)))</f>
        <v>1331</v>
      </c>
      <c r="G70" s="169">
        <f ca="1">IF(ROWS($1:57)&gt;COUNT(Dong1),"",IF(OFFSET(TH!N$1,SMALL(Dong1,ROWS($1:57)),)="1111",OFFSET(TH!M$1,SMALL(Dong1,ROWS($1:57)),),0))</f>
        <v>0</v>
      </c>
      <c r="H70" s="167">
        <f ca="1">IF(ROWS($1:57)&gt;COUNT(Dong1),"",IF(OFFSET(TH!O$1,SMALL(Dong1,ROWS($1:57)),)="1111",OFFSET(TH!M$1,SMALL(Dong1,ROWS($1:57)),),0))</f>
        <v>2915</v>
      </c>
      <c r="I70" s="165">
        <f t="shared" ca="1" si="0"/>
        <v>5278215324</v>
      </c>
      <c r="J70" s="170"/>
    </row>
    <row r="71" spans="1:10" ht="19.5" customHeight="1">
      <c r="A71" s="164">
        <f ca="1">IF(ROWS($1:58)&gt;COUNT(Dong1),"",OFFSET(TH!C$1,SMALL(Dong1,ROWS($1:58)),))</f>
        <v>42389</v>
      </c>
      <c r="B71" s="164">
        <f ca="1">IF(ROWS($1:58)&gt;COUNT(Dong1),"",OFFSET(TH!E$1,SMALL(Dong1,ROWS($1:58)),))</f>
        <v>42389</v>
      </c>
      <c r="C71" s="165" t="str">
        <f ca="1">IF(ROWS($1:58)&gt;COUNT(Dong1),"",IF(OFFSET(TH!N$1,SMALL(Dong1,ROWS($1:58)),)="1111",OFFSET(TH!D$1,SMALL(Dong1,ROWS($1:58)),),""))</f>
        <v/>
      </c>
      <c r="D71" s="166" t="str">
        <f ca="1">IF(ROWS($1:58)&gt;COUNT(Dong1),"",IF(OFFSET(TH!O$1,SMALL(Dong1,ROWS($1:58)),)="1111",OFFSET(TH!D$1,SMALL(Dong1,ROWS($1:58)),),""))</f>
        <v>C31</v>
      </c>
      <c r="E71" s="375" t="str">
        <f ca="1">IF(ROWS($1:58)&gt;COUNT(Dong1),"",OFFSET(TH!F$1,SMALL(Dong1,ROWS($1:58)),))</f>
        <v>Xăng</v>
      </c>
      <c r="F71" s="168" t="str">
        <f ca="1">IF(ROWS($1:58)&gt;COUNT(Dong1),"",IF(OFFSET(TH!O$1,SMALL(Dong1,ROWS($1:58)),)="1111",OFFSET(TH!N$1,SMALL(Dong1,ROWS($1:58)),),OFFSET(TH!O$1,SMALL(Dong1,ROWS($1:58)),)))</f>
        <v>642</v>
      </c>
      <c r="G71" s="169">
        <f ca="1">IF(ROWS($1:58)&gt;COUNT(Dong1),"",IF(OFFSET(TH!N$1,SMALL(Dong1,ROWS($1:58)),)="1111",OFFSET(TH!M$1,SMALL(Dong1,ROWS($1:58)),),0))</f>
        <v>0</v>
      </c>
      <c r="H71" s="167">
        <f ca="1">IF(ROWS($1:58)&gt;COUNT(Dong1),"",IF(OFFSET(TH!O$1,SMALL(Dong1,ROWS($1:58)),)="1111",OFFSET(TH!M$1,SMALL(Dong1,ROWS($1:58)),),0))</f>
        <v>689618</v>
      </c>
      <c r="I71" s="165">
        <f t="shared" ca="1" si="0"/>
        <v>5277525706</v>
      </c>
      <c r="J71" s="170"/>
    </row>
    <row r="72" spans="1:10" ht="19.5" customHeight="1">
      <c r="A72" s="164">
        <f ca="1">IF(ROWS($1:59)&gt;COUNT(Dong1),"",OFFSET(TH!C$1,SMALL(Dong1,ROWS($1:59)),))</f>
        <v>42389</v>
      </c>
      <c r="B72" s="164">
        <f ca="1">IF(ROWS($1:59)&gt;COUNT(Dong1),"",OFFSET(TH!E$1,SMALL(Dong1,ROWS($1:59)),))</f>
        <v>42389</v>
      </c>
      <c r="C72" s="165" t="str">
        <f ca="1">IF(ROWS($1:59)&gt;COUNT(Dong1),"",IF(OFFSET(TH!N$1,SMALL(Dong1,ROWS($1:59)),)="1111",OFFSET(TH!D$1,SMALL(Dong1,ROWS($1:59)),),""))</f>
        <v/>
      </c>
      <c r="D72" s="166" t="str">
        <f ca="1">IF(ROWS($1:59)&gt;COUNT(Dong1),"",IF(OFFSET(TH!O$1,SMALL(Dong1,ROWS($1:59)),)="1111",OFFSET(TH!D$1,SMALL(Dong1,ROWS($1:59)),),""))</f>
        <v>C31</v>
      </c>
      <c r="E72" s="375" t="str">
        <f ca="1">IF(ROWS($1:59)&gt;COUNT(Dong1),"",OFFSET(TH!F$1,SMALL(Dong1,ROWS($1:59)),))</f>
        <v>VAT Xăng</v>
      </c>
      <c r="F72" s="168" t="str">
        <f ca="1">IF(ROWS($1:59)&gt;COUNT(Dong1),"",IF(OFFSET(TH!O$1,SMALL(Dong1,ROWS($1:59)),)="1111",OFFSET(TH!N$1,SMALL(Dong1,ROWS($1:59)),),OFFSET(TH!O$1,SMALL(Dong1,ROWS($1:59)),)))</f>
        <v>1331</v>
      </c>
      <c r="G72" s="169">
        <f ca="1">IF(ROWS($1:59)&gt;COUNT(Dong1),"",IF(OFFSET(TH!N$1,SMALL(Dong1,ROWS($1:59)),)="1111",OFFSET(TH!M$1,SMALL(Dong1,ROWS($1:59)),),0))</f>
        <v>0</v>
      </c>
      <c r="H72" s="167">
        <f ca="1">IF(ROWS($1:59)&gt;COUNT(Dong1),"",IF(OFFSET(TH!O$1,SMALL(Dong1,ROWS($1:59)),)="1111",OFFSET(TH!M$1,SMALL(Dong1,ROWS($1:59)),),0))</f>
        <v>68962</v>
      </c>
      <c r="I72" s="165">
        <f t="shared" ca="1" si="0"/>
        <v>5277456744</v>
      </c>
      <c r="J72" s="170"/>
    </row>
    <row r="73" spans="1:10" ht="19.5" customHeight="1">
      <c r="A73" s="164">
        <f ca="1">IF(ROWS($1:60)&gt;COUNT(Dong1),"",OFFSET(TH!C$1,SMALL(Dong1,ROWS($1:60)),))</f>
        <v>42390</v>
      </c>
      <c r="B73" s="164">
        <f ca="1">IF(ROWS($1:60)&gt;COUNT(Dong1),"",OFFSET(TH!E$1,SMALL(Dong1,ROWS($1:60)),))</f>
        <v>42390</v>
      </c>
      <c r="C73" s="165" t="str">
        <f ca="1">IF(ROWS($1:60)&gt;COUNT(Dong1),"",IF(OFFSET(TH!N$1,SMALL(Dong1,ROWS($1:60)),)="1111",OFFSET(TH!D$1,SMALL(Dong1,ROWS($1:60)),),""))</f>
        <v/>
      </c>
      <c r="D73" s="166" t="str">
        <f ca="1">IF(ROWS($1:60)&gt;COUNT(Dong1),"",IF(OFFSET(TH!O$1,SMALL(Dong1,ROWS($1:60)),)="1111",OFFSET(TH!D$1,SMALL(Dong1,ROWS($1:60)),),""))</f>
        <v>C32</v>
      </c>
      <c r="E73" s="375" t="str">
        <f ca="1">IF(ROWS($1:60)&gt;COUNT(Dong1),"",OFFSET(TH!F$1,SMALL(Dong1,ROWS($1:60)),))</f>
        <v>Dầu DO</v>
      </c>
      <c r="F73" s="168" t="str">
        <f ca="1">IF(ROWS($1:60)&gt;COUNT(Dong1),"",IF(OFFSET(TH!O$1,SMALL(Dong1,ROWS($1:60)),)="1111",OFFSET(TH!N$1,SMALL(Dong1,ROWS($1:60)),),OFFSET(TH!O$1,SMALL(Dong1,ROWS($1:60)),)))</f>
        <v>642</v>
      </c>
      <c r="G73" s="169">
        <f ca="1">IF(ROWS($1:60)&gt;COUNT(Dong1),"",IF(OFFSET(TH!N$1,SMALL(Dong1,ROWS($1:60)),)="1111",OFFSET(TH!M$1,SMALL(Dong1,ROWS($1:60)),),0))</f>
        <v>0</v>
      </c>
      <c r="H73" s="167">
        <f ca="1">IF(ROWS($1:60)&gt;COUNT(Dong1),"",IF(OFFSET(TH!O$1,SMALL(Dong1,ROWS($1:60)),)="1111",OFFSET(TH!M$1,SMALL(Dong1,ROWS($1:60)),),0))</f>
        <v>380182</v>
      </c>
      <c r="I73" s="165">
        <f t="shared" ca="1" si="0"/>
        <v>5277076562</v>
      </c>
      <c r="J73" s="170"/>
    </row>
    <row r="74" spans="1:10" ht="19.5" customHeight="1">
      <c r="A74" s="164">
        <f ca="1">IF(ROWS($1:61)&gt;COUNT(Dong1),"",OFFSET(TH!C$1,SMALL(Dong1,ROWS($1:61)),))</f>
        <v>42390</v>
      </c>
      <c r="B74" s="164">
        <f ca="1">IF(ROWS($1:61)&gt;COUNT(Dong1),"",OFFSET(TH!E$1,SMALL(Dong1,ROWS($1:61)),))</f>
        <v>42390</v>
      </c>
      <c r="C74" s="165" t="str">
        <f ca="1">IF(ROWS($1:61)&gt;COUNT(Dong1),"",IF(OFFSET(TH!N$1,SMALL(Dong1,ROWS($1:61)),)="1111",OFFSET(TH!D$1,SMALL(Dong1,ROWS($1:61)),),""))</f>
        <v/>
      </c>
      <c r="D74" s="166" t="str">
        <f ca="1">IF(ROWS($1:61)&gt;COUNT(Dong1),"",IF(OFFSET(TH!O$1,SMALL(Dong1,ROWS($1:61)),)="1111",OFFSET(TH!D$1,SMALL(Dong1,ROWS($1:61)),),""))</f>
        <v>C32</v>
      </c>
      <c r="E74" s="375" t="str">
        <f ca="1">IF(ROWS($1:61)&gt;COUNT(Dong1),"",OFFSET(TH!F$1,SMALL(Dong1,ROWS($1:61)),))</f>
        <v>VAT Dầu DO</v>
      </c>
      <c r="F74" s="168" t="str">
        <f ca="1">IF(ROWS($1:61)&gt;COUNT(Dong1),"",IF(OFFSET(TH!O$1,SMALL(Dong1,ROWS($1:61)),)="1111",OFFSET(TH!N$1,SMALL(Dong1,ROWS($1:61)),),OFFSET(TH!O$1,SMALL(Dong1,ROWS($1:61)),)))</f>
        <v>1331</v>
      </c>
      <c r="G74" s="169">
        <f ca="1">IF(ROWS($1:61)&gt;COUNT(Dong1),"",IF(OFFSET(TH!N$1,SMALL(Dong1,ROWS($1:61)),)="1111",OFFSET(TH!M$1,SMALL(Dong1,ROWS($1:61)),),0))</f>
        <v>0</v>
      </c>
      <c r="H74" s="167">
        <f ca="1">IF(ROWS($1:61)&gt;COUNT(Dong1),"",IF(OFFSET(TH!O$1,SMALL(Dong1,ROWS($1:61)),)="1111",OFFSET(TH!M$1,SMALL(Dong1,ROWS($1:61)),),0))</f>
        <v>38018</v>
      </c>
      <c r="I74" s="165">
        <f t="shared" ca="1" si="0"/>
        <v>5277038544</v>
      </c>
      <c r="J74" s="170"/>
    </row>
    <row r="75" spans="1:10" ht="19.5" customHeight="1">
      <c r="A75" s="164">
        <f ca="1">IF(ROWS($1:62)&gt;COUNT(Dong1),"",OFFSET(TH!C$1,SMALL(Dong1,ROWS($1:62)),))</f>
        <v>42390</v>
      </c>
      <c r="B75" s="164">
        <f ca="1">IF(ROWS($1:62)&gt;COUNT(Dong1),"",OFFSET(TH!E$1,SMALL(Dong1,ROWS($1:62)),))</f>
        <v>42390</v>
      </c>
      <c r="C75" s="165" t="str">
        <f ca="1">IF(ROWS($1:62)&gt;COUNT(Dong1),"",IF(OFFSET(TH!N$1,SMALL(Dong1,ROWS($1:62)),)="1111",OFFSET(TH!D$1,SMALL(Dong1,ROWS($1:62)),),""))</f>
        <v/>
      </c>
      <c r="D75" s="166" t="str">
        <f ca="1">IF(ROWS($1:62)&gt;COUNT(Dong1),"",IF(OFFSET(TH!O$1,SMALL(Dong1,ROWS($1:62)),)="1111",OFFSET(TH!D$1,SMALL(Dong1,ROWS($1:62)),),""))</f>
        <v>C33</v>
      </c>
      <c r="E75" s="375" t="str">
        <f ca="1">IF(ROWS($1:62)&gt;COUNT(Dong1),"",OFFSET(TH!F$1,SMALL(Dong1,ROWS($1:62)),))</f>
        <v>Tạm ứng mua NL</v>
      </c>
      <c r="F75" s="168" t="str">
        <f ca="1">IF(ROWS($1:62)&gt;COUNT(Dong1),"",IF(OFFSET(TH!O$1,SMALL(Dong1,ROWS($1:62)),)="1111",OFFSET(TH!N$1,SMALL(Dong1,ROWS($1:62)),),OFFSET(TH!O$1,SMALL(Dong1,ROWS($1:62)),)))</f>
        <v>141</v>
      </c>
      <c r="G75" s="169">
        <f ca="1">IF(ROWS($1:62)&gt;COUNT(Dong1),"",IF(OFFSET(TH!N$1,SMALL(Dong1,ROWS($1:62)),)="1111",OFFSET(TH!M$1,SMALL(Dong1,ROWS($1:62)),),0))</f>
        <v>0</v>
      </c>
      <c r="H75" s="167">
        <f ca="1">IF(ROWS($1:62)&gt;COUNT(Dong1),"",IF(OFFSET(TH!O$1,SMALL(Dong1,ROWS($1:62)),)="1111",OFFSET(TH!M$1,SMALL(Dong1,ROWS($1:62)),),0))</f>
        <v>500000000</v>
      </c>
      <c r="I75" s="165">
        <f t="shared" ca="1" si="0"/>
        <v>4777038544</v>
      </c>
      <c r="J75" s="170"/>
    </row>
    <row r="76" spans="1:10" ht="19.5" customHeight="1">
      <c r="A76" s="164">
        <f ca="1">IF(ROWS($1:63)&gt;COUNT(Dong1),"",OFFSET(TH!C$1,SMALL(Dong1,ROWS($1:63)),))</f>
        <v>42391</v>
      </c>
      <c r="B76" s="164">
        <f ca="1">IF(ROWS($1:63)&gt;COUNT(Dong1),"",OFFSET(TH!E$1,SMALL(Dong1,ROWS($1:63)),))</f>
        <v>42391</v>
      </c>
      <c r="C76" s="165" t="str">
        <f ca="1">IF(ROWS($1:63)&gt;COUNT(Dong1),"",IF(OFFSET(TH!N$1,SMALL(Dong1,ROWS($1:63)),)="1111",OFFSET(TH!D$1,SMALL(Dong1,ROWS($1:63)),),""))</f>
        <v/>
      </c>
      <c r="D76" s="166" t="str">
        <f ca="1">IF(ROWS($1:63)&gt;COUNT(Dong1),"",IF(OFFSET(TH!O$1,SMALL(Dong1,ROWS($1:63)),)="1111",OFFSET(TH!D$1,SMALL(Dong1,ROWS($1:63)),),""))</f>
        <v>C34</v>
      </c>
      <c r="E76" s="375" t="str">
        <f ca="1">IF(ROWS($1:63)&gt;COUNT(Dong1),"",OFFSET(TH!F$1,SMALL(Dong1,ROWS($1:63)),))</f>
        <v>Q4 - Nộp tiền mặt vào TK</v>
      </c>
      <c r="F76" s="168" t="str">
        <f ca="1">IF(ROWS($1:63)&gt;COUNT(Dong1),"",IF(OFFSET(TH!O$1,SMALL(Dong1,ROWS($1:63)),)="1111",OFFSET(TH!N$1,SMALL(Dong1,ROWS($1:63)),),OFFSET(TH!O$1,SMALL(Dong1,ROWS($1:63)),)))</f>
        <v>1121</v>
      </c>
      <c r="G76" s="169">
        <f ca="1">IF(ROWS($1:63)&gt;COUNT(Dong1),"",IF(OFFSET(TH!N$1,SMALL(Dong1,ROWS($1:63)),)="1111",OFFSET(TH!M$1,SMALL(Dong1,ROWS($1:63)),),0))</f>
        <v>0</v>
      </c>
      <c r="H76" s="167">
        <f ca="1">IF(ROWS($1:63)&gt;COUNT(Dong1),"",IF(OFFSET(TH!O$1,SMALL(Dong1,ROWS($1:63)),)="1111",OFFSET(TH!M$1,SMALL(Dong1,ROWS($1:63)),),0))</f>
        <v>20000000</v>
      </c>
      <c r="I76" s="165">
        <f t="shared" ca="1" si="0"/>
        <v>4757038544</v>
      </c>
      <c r="J76" s="170"/>
    </row>
    <row r="77" spans="1:10" ht="19.5" customHeight="1">
      <c r="A77" s="164">
        <f ca="1">IF(ROWS($1:64)&gt;COUNT(Dong1),"",OFFSET(TH!C$1,SMALL(Dong1,ROWS($1:64)),))</f>
        <v>42392</v>
      </c>
      <c r="B77" s="164">
        <f ca="1">IF(ROWS($1:64)&gt;COUNT(Dong1),"",OFFSET(TH!E$1,SMALL(Dong1,ROWS($1:64)),))</f>
        <v>42392</v>
      </c>
      <c r="C77" s="165" t="str">
        <f ca="1">IF(ROWS($1:64)&gt;COUNT(Dong1),"",IF(OFFSET(TH!N$1,SMALL(Dong1,ROWS($1:64)),)="1111",OFFSET(TH!D$1,SMALL(Dong1,ROWS($1:64)),),""))</f>
        <v/>
      </c>
      <c r="D77" s="166" t="str">
        <f ca="1">IF(ROWS($1:64)&gt;COUNT(Dong1),"",IF(OFFSET(TH!O$1,SMALL(Dong1,ROWS($1:64)),)="1111",OFFSET(TH!D$1,SMALL(Dong1,ROWS($1:64)),),""))</f>
        <v>C35</v>
      </c>
      <c r="E77" s="375" t="str">
        <f ca="1">IF(ROWS($1:64)&gt;COUNT(Dong1),"",OFFSET(TH!F$1,SMALL(Dong1,ROWS($1:64)),))</f>
        <v>Tạm ứng mua NL</v>
      </c>
      <c r="F77" s="168" t="str">
        <f ca="1">IF(ROWS($1:64)&gt;COUNT(Dong1),"",IF(OFFSET(TH!O$1,SMALL(Dong1,ROWS($1:64)),)="1111",OFFSET(TH!N$1,SMALL(Dong1,ROWS($1:64)),),OFFSET(TH!O$1,SMALL(Dong1,ROWS($1:64)),)))</f>
        <v>141</v>
      </c>
      <c r="G77" s="169">
        <f ca="1">IF(ROWS($1:64)&gt;COUNT(Dong1),"",IF(OFFSET(TH!N$1,SMALL(Dong1,ROWS($1:64)),)="1111",OFFSET(TH!M$1,SMALL(Dong1,ROWS($1:64)),),0))</f>
        <v>0</v>
      </c>
      <c r="H77" s="167">
        <f ca="1">IF(ROWS($1:64)&gt;COUNT(Dong1),"",IF(OFFSET(TH!O$1,SMALL(Dong1,ROWS($1:64)),)="1111",OFFSET(TH!M$1,SMALL(Dong1,ROWS($1:64)),),0))</f>
        <v>500000000</v>
      </c>
      <c r="I77" s="165">
        <f t="shared" ca="1" si="0"/>
        <v>4257038544</v>
      </c>
      <c r="J77" s="170"/>
    </row>
    <row r="78" spans="1:10" ht="19.5" customHeight="1">
      <c r="A78" s="164">
        <f ca="1">IF(ROWS($1:65)&gt;COUNT(Dong1),"",OFFSET(TH!C$1,SMALL(Dong1,ROWS($1:65)),))</f>
        <v>42393</v>
      </c>
      <c r="B78" s="164">
        <f ca="1">IF(ROWS($1:65)&gt;COUNT(Dong1),"",OFFSET(TH!E$1,SMALL(Dong1,ROWS($1:65)),))</f>
        <v>42393</v>
      </c>
      <c r="C78" s="165" t="str">
        <f ca="1">IF(ROWS($1:65)&gt;COUNT(Dong1),"",IF(OFFSET(TH!N$1,SMALL(Dong1,ROWS($1:65)),)="1111",OFFSET(TH!D$1,SMALL(Dong1,ROWS($1:65)),),""))</f>
        <v/>
      </c>
      <c r="D78" s="166" t="str">
        <f ca="1">IF(ROWS($1:65)&gt;COUNT(Dong1),"",IF(OFFSET(TH!O$1,SMALL(Dong1,ROWS($1:65)),)="1111",OFFSET(TH!D$1,SMALL(Dong1,ROWS($1:65)),),""))</f>
        <v>C36</v>
      </c>
      <c r="E78" s="375" t="str">
        <f ca="1">IF(ROWS($1:65)&gt;COUNT(Dong1),"",OFFSET(TH!F$1,SMALL(Dong1,ROWS($1:65)),))</f>
        <v>Dầu DO, Xăng</v>
      </c>
      <c r="F78" s="168" t="str">
        <f ca="1">IF(ROWS($1:65)&gt;COUNT(Dong1),"",IF(OFFSET(TH!O$1,SMALL(Dong1,ROWS($1:65)),)="1111",OFFSET(TH!N$1,SMALL(Dong1,ROWS($1:65)),),OFFSET(TH!O$1,SMALL(Dong1,ROWS($1:65)),)))</f>
        <v>642</v>
      </c>
      <c r="G78" s="169">
        <f ca="1">IF(ROWS($1:65)&gt;COUNT(Dong1),"",IF(OFFSET(TH!N$1,SMALL(Dong1,ROWS($1:65)),)="1111",OFFSET(TH!M$1,SMALL(Dong1,ROWS($1:65)),),0))</f>
        <v>0</v>
      </c>
      <c r="H78" s="167">
        <f ca="1">IF(ROWS($1:65)&gt;COUNT(Dong1),"",IF(OFFSET(TH!O$1,SMALL(Dong1,ROWS($1:65)),)="1111",OFFSET(TH!M$1,SMALL(Dong1,ROWS($1:65)),),0))</f>
        <v>1137764</v>
      </c>
      <c r="I78" s="165">
        <f t="shared" ca="1" si="0"/>
        <v>4255900780</v>
      </c>
      <c r="J78" s="170"/>
    </row>
    <row r="79" spans="1:10" ht="19.5" customHeight="1">
      <c r="A79" s="164">
        <f ca="1">IF(ROWS($1:66)&gt;COUNT(Dong1),"",OFFSET(TH!C$1,SMALL(Dong1,ROWS($1:66)),))</f>
        <v>42393</v>
      </c>
      <c r="B79" s="164">
        <f ca="1">IF(ROWS($1:66)&gt;COUNT(Dong1),"",OFFSET(TH!E$1,SMALL(Dong1,ROWS($1:66)),))</f>
        <v>42393</v>
      </c>
      <c r="C79" s="165" t="str">
        <f ca="1">IF(ROWS($1:66)&gt;COUNT(Dong1),"",IF(OFFSET(TH!N$1,SMALL(Dong1,ROWS($1:66)),)="1111",OFFSET(TH!D$1,SMALL(Dong1,ROWS($1:66)),),""))</f>
        <v/>
      </c>
      <c r="D79" s="166" t="str">
        <f ca="1">IF(ROWS($1:66)&gt;COUNT(Dong1),"",IF(OFFSET(TH!O$1,SMALL(Dong1,ROWS($1:66)),)="1111",OFFSET(TH!D$1,SMALL(Dong1,ROWS($1:66)),),""))</f>
        <v>C36</v>
      </c>
      <c r="E79" s="375" t="str">
        <f ca="1">IF(ROWS($1:66)&gt;COUNT(Dong1),"",OFFSET(TH!F$1,SMALL(Dong1,ROWS($1:66)),))</f>
        <v>VAT Dầu DO, Xăng</v>
      </c>
      <c r="F79" s="168" t="str">
        <f ca="1">IF(ROWS($1:66)&gt;COUNT(Dong1),"",IF(OFFSET(TH!O$1,SMALL(Dong1,ROWS($1:66)),)="1111",OFFSET(TH!N$1,SMALL(Dong1,ROWS($1:66)),),OFFSET(TH!O$1,SMALL(Dong1,ROWS($1:66)),)))</f>
        <v>1331</v>
      </c>
      <c r="G79" s="169">
        <f ca="1">IF(ROWS($1:66)&gt;COUNT(Dong1),"",IF(OFFSET(TH!N$1,SMALL(Dong1,ROWS($1:66)),)="1111",OFFSET(TH!M$1,SMALL(Dong1,ROWS($1:66)),),0))</f>
        <v>0</v>
      </c>
      <c r="H79" s="167">
        <f ca="1">IF(ROWS($1:66)&gt;COUNT(Dong1),"",IF(OFFSET(TH!O$1,SMALL(Dong1,ROWS($1:66)),)="1111",OFFSET(TH!M$1,SMALL(Dong1,ROWS($1:66)),),0))</f>
        <v>113776</v>
      </c>
      <c r="I79" s="165">
        <f t="shared" ref="I79:I100" ca="1" si="1">IF(E79&lt;&gt;"",I78+G79-H79,0)</f>
        <v>4255787004</v>
      </c>
      <c r="J79" s="170"/>
    </row>
    <row r="80" spans="1:10" ht="19.5" customHeight="1">
      <c r="A80" s="164">
        <f ca="1">IF(ROWS($1:67)&gt;COUNT(Dong1),"",OFFSET(TH!C$1,SMALL(Dong1,ROWS($1:67)),))</f>
        <v>42394</v>
      </c>
      <c r="B80" s="164">
        <f ca="1">IF(ROWS($1:67)&gt;COUNT(Dong1),"",OFFSET(TH!E$1,SMALL(Dong1,ROWS($1:67)),))</f>
        <v>42394</v>
      </c>
      <c r="C80" s="165" t="str">
        <f ca="1">IF(ROWS($1:67)&gt;COUNT(Dong1),"",IF(OFFSET(TH!N$1,SMALL(Dong1,ROWS($1:67)),)="1111",OFFSET(TH!D$1,SMALL(Dong1,ROWS($1:67)),),""))</f>
        <v/>
      </c>
      <c r="D80" s="166" t="str">
        <f ca="1">IF(ROWS($1:67)&gt;COUNT(Dong1),"",IF(OFFSET(TH!O$1,SMALL(Dong1,ROWS($1:67)),)="1111",OFFSET(TH!D$1,SMALL(Dong1,ROWS($1:67)),),""))</f>
        <v>C37</v>
      </c>
      <c r="E80" s="375" t="str">
        <f ca="1">IF(ROWS($1:67)&gt;COUNT(Dong1),"",OFFSET(TH!F$1,SMALL(Dong1,ROWS($1:67)),))</f>
        <v>Q11 - Nộp tiền mặt vào TK</v>
      </c>
      <c r="F80" s="168" t="str">
        <f ca="1">IF(ROWS($1:67)&gt;COUNT(Dong1),"",IF(OFFSET(TH!O$1,SMALL(Dong1,ROWS($1:67)),)="1111",OFFSET(TH!N$1,SMALL(Dong1,ROWS($1:67)),),OFFSET(TH!O$1,SMALL(Dong1,ROWS($1:67)),)))</f>
        <v>1121</v>
      </c>
      <c r="G80" s="169">
        <f ca="1">IF(ROWS($1:67)&gt;COUNT(Dong1),"",IF(OFFSET(TH!N$1,SMALL(Dong1,ROWS($1:67)),)="1111",OFFSET(TH!M$1,SMALL(Dong1,ROWS($1:67)),),0))</f>
        <v>0</v>
      </c>
      <c r="H80" s="167">
        <f ca="1">IF(ROWS($1:67)&gt;COUNT(Dong1),"",IF(OFFSET(TH!O$1,SMALL(Dong1,ROWS($1:67)),)="1111",OFFSET(TH!M$1,SMALL(Dong1,ROWS($1:67)),),0))</f>
        <v>2168920000</v>
      </c>
      <c r="I80" s="165">
        <f t="shared" ca="1" si="1"/>
        <v>2086867004</v>
      </c>
      <c r="J80" s="170"/>
    </row>
    <row r="81" spans="1:10" ht="19.5" customHeight="1">
      <c r="A81" s="164">
        <f ca="1">IF(ROWS($1:68)&gt;COUNT(Dong1),"",OFFSET(TH!C$1,SMALL(Dong1,ROWS($1:68)),))</f>
        <v>42394</v>
      </c>
      <c r="B81" s="164">
        <f ca="1">IF(ROWS($1:68)&gt;COUNT(Dong1),"",OFFSET(TH!E$1,SMALL(Dong1,ROWS($1:68)),))</f>
        <v>42394</v>
      </c>
      <c r="C81" s="165" t="str">
        <f ca="1">IF(ROWS($1:68)&gt;COUNT(Dong1),"",IF(OFFSET(TH!N$1,SMALL(Dong1,ROWS($1:68)),)="1111",OFFSET(TH!D$1,SMALL(Dong1,ROWS($1:68)),),""))</f>
        <v>T03</v>
      </c>
      <c r="D81" s="166" t="str">
        <f ca="1">IF(ROWS($1:68)&gt;COUNT(Dong1),"",IF(OFFSET(TH!O$1,SMALL(Dong1,ROWS($1:68)),)="1111",OFFSET(TH!D$1,SMALL(Dong1,ROWS($1:68)),),""))</f>
        <v/>
      </c>
      <c r="E81" s="375" t="str">
        <f ca="1">IF(ROWS($1:68)&gt;COUNT(Dong1),"",OFFSET(TH!F$1,SMALL(Dong1,ROWS($1:68)),))</f>
        <v>Q11 - Rút tiền gửi NH nhập quỹ TM</v>
      </c>
      <c r="F81" s="168" t="str">
        <f ca="1">IF(ROWS($1:68)&gt;COUNT(Dong1),"",IF(OFFSET(TH!O$1,SMALL(Dong1,ROWS($1:68)),)="1111",OFFSET(TH!N$1,SMALL(Dong1,ROWS($1:68)),),OFFSET(TH!O$1,SMALL(Dong1,ROWS($1:68)),)))</f>
        <v>1121</v>
      </c>
      <c r="G81" s="169">
        <f ca="1">IF(ROWS($1:68)&gt;COUNT(Dong1),"",IF(OFFSET(TH!N$1,SMALL(Dong1,ROWS($1:68)),)="1111",OFFSET(TH!M$1,SMALL(Dong1,ROWS($1:68)),),0))</f>
        <v>2168920000</v>
      </c>
      <c r="H81" s="167">
        <f ca="1">IF(ROWS($1:68)&gt;COUNT(Dong1),"",IF(OFFSET(TH!O$1,SMALL(Dong1,ROWS($1:68)),)="1111",OFFSET(TH!M$1,SMALL(Dong1,ROWS($1:68)),),0))</f>
        <v>0</v>
      </c>
      <c r="I81" s="165">
        <f t="shared" ca="1" si="1"/>
        <v>4255787004</v>
      </c>
      <c r="J81" s="170"/>
    </row>
    <row r="82" spans="1:10" ht="19.5" customHeight="1">
      <c r="A82" s="164">
        <f ca="1">IF(ROWS($1:69)&gt;COUNT(Dong1),"",OFFSET(TH!C$1,SMALL(Dong1,ROWS($1:69)),))</f>
        <v>42394</v>
      </c>
      <c r="B82" s="164">
        <f ca="1">IF(ROWS($1:69)&gt;COUNT(Dong1),"",OFFSET(TH!E$1,SMALL(Dong1,ROWS($1:69)),))</f>
        <v>42394</v>
      </c>
      <c r="C82" s="165" t="str">
        <f ca="1">IF(ROWS($1:69)&gt;COUNT(Dong1),"",IF(OFFSET(TH!N$1,SMALL(Dong1,ROWS($1:69)),)="1111",OFFSET(TH!D$1,SMALL(Dong1,ROWS($1:69)),),""))</f>
        <v/>
      </c>
      <c r="D82" s="166" t="str">
        <f ca="1">IF(ROWS($1:69)&gt;COUNT(Dong1),"",IF(OFFSET(TH!O$1,SMALL(Dong1,ROWS($1:69)),)="1111",OFFSET(TH!D$1,SMALL(Dong1,ROWS($1:69)),),""))</f>
        <v>C38</v>
      </c>
      <c r="E82" s="375" t="str">
        <f ca="1">IF(ROWS($1:69)&gt;COUNT(Dong1),"",OFFSET(TH!F$1,SMALL(Dong1,ROWS($1:69)),))</f>
        <v>Phí dịch vụ bảo vệ T1/2016</v>
      </c>
      <c r="F82" s="168" t="str">
        <f ca="1">IF(ROWS($1:69)&gt;COUNT(Dong1),"",IF(OFFSET(TH!O$1,SMALL(Dong1,ROWS($1:69)),)="1111",OFFSET(TH!N$1,SMALL(Dong1,ROWS($1:69)),),OFFSET(TH!O$1,SMALL(Dong1,ROWS($1:69)),)))</f>
        <v>642</v>
      </c>
      <c r="G82" s="169">
        <f ca="1">IF(ROWS($1:69)&gt;COUNT(Dong1),"",IF(OFFSET(TH!N$1,SMALL(Dong1,ROWS($1:69)),)="1111",OFFSET(TH!M$1,SMALL(Dong1,ROWS($1:69)),),0))</f>
        <v>0</v>
      </c>
      <c r="H82" s="167">
        <f ca="1">IF(ROWS($1:69)&gt;COUNT(Dong1),"",IF(OFFSET(TH!O$1,SMALL(Dong1,ROWS($1:69)),)="1111",OFFSET(TH!M$1,SMALL(Dong1,ROWS($1:69)),),0))</f>
        <v>15000000</v>
      </c>
      <c r="I82" s="165">
        <f t="shared" ca="1" si="1"/>
        <v>4240787004</v>
      </c>
      <c r="J82" s="170"/>
    </row>
    <row r="83" spans="1:10" ht="19.5" customHeight="1">
      <c r="A83" s="164">
        <f ca="1">IF(ROWS($1:70)&gt;COUNT(Dong1),"",OFFSET(TH!C$1,SMALL(Dong1,ROWS($1:70)),))</f>
        <v>42394</v>
      </c>
      <c r="B83" s="164">
        <f ca="1">IF(ROWS($1:70)&gt;COUNT(Dong1),"",OFFSET(TH!E$1,SMALL(Dong1,ROWS($1:70)),))</f>
        <v>42394</v>
      </c>
      <c r="C83" s="165" t="str">
        <f ca="1">IF(ROWS($1:70)&gt;COUNT(Dong1),"",IF(OFFSET(TH!N$1,SMALL(Dong1,ROWS($1:70)),)="1111",OFFSET(TH!D$1,SMALL(Dong1,ROWS($1:70)),),""))</f>
        <v/>
      </c>
      <c r="D83" s="166" t="str">
        <f ca="1">IF(ROWS($1:70)&gt;COUNT(Dong1),"",IF(OFFSET(TH!O$1,SMALL(Dong1,ROWS($1:70)),)="1111",OFFSET(TH!D$1,SMALL(Dong1,ROWS($1:70)),),""))</f>
        <v>C38</v>
      </c>
      <c r="E83" s="375" t="str">
        <f ca="1">IF(ROWS($1:70)&gt;COUNT(Dong1),"",OFFSET(TH!F$1,SMALL(Dong1,ROWS($1:70)),))</f>
        <v>VAT Phí dịch vụ bảo vệ T1/2016</v>
      </c>
      <c r="F83" s="168" t="str">
        <f ca="1">IF(ROWS($1:70)&gt;COUNT(Dong1),"",IF(OFFSET(TH!O$1,SMALL(Dong1,ROWS($1:70)),)="1111",OFFSET(TH!N$1,SMALL(Dong1,ROWS($1:70)),),OFFSET(TH!O$1,SMALL(Dong1,ROWS($1:70)),)))</f>
        <v>1331</v>
      </c>
      <c r="G83" s="169">
        <f ca="1">IF(ROWS($1:70)&gt;COUNT(Dong1),"",IF(OFFSET(TH!N$1,SMALL(Dong1,ROWS($1:70)),)="1111",OFFSET(TH!M$1,SMALL(Dong1,ROWS($1:70)),),0))</f>
        <v>0</v>
      </c>
      <c r="H83" s="167">
        <f ca="1">IF(ROWS($1:70)&gt;COUNT(Dong1),"",IF(OFFSET(TH!O$1,SMALL(Dong1,ROWS($1:70)),)="1111",OFFSET(TH!M$1,SMALL(Dong1,ROWS($1:70)),),0))</f>
        <v>1500000</v>
      </c>
      <c r="I83" s="165">
        <f t="shared" ca="1" si="1"/>
        <v>4239287004</v>
      </c>
      <c r="J83" s="170"/>
    </row>
    <row r="84" spans="1:10" ht="19.5" customHeight="1">
      <c r="A84" s="164">
        <f ca="1">IF(ROWS($1:71)&gt;COUNT(Dong1),"",OFFSET(TH!C$1,SMALL(Dong1,ROWS($1:71)),))</f>
        <v>42395</v>
      </c>
      <c r="B84" s="164">
        <f ca="1">IF(ROWS($1:71)&gt;COUNT(Dong1),"",OFFSET(TH!E$1,SMALL(Dong1,ROWS($1:71)),))</f>
        <v>42395</v>
      </c>
      <c r="C84" s="165" t="str">
        <f ca="1">IF(ROWS($1:71)&gt;COUNT(Dong1),"",IF(OFFSET(TH!N$1,SMALL(Dong1,ROWS($1:71)),)="1111",OFFSET(TH!D$1,SMALL(Dong1,ROWS($1:71)),),""))</f>
        <v/>
      </c>
      <c r="D84" s="166" t="str">
        <f ca="1">IF(ROWS($1:71)&gt;COUNT(Dong1),"",IF(OFFSET(TH!O$1,SMALL(Dong1,ROWS($1:71)),)="1111",OFFSET(TH!D$1,SMALL(Dong1,ROWS($1:71)),),""))</f>
        <v>C39</v>
      </c>
      <c r="E84" s="375" t="str">
        <f ca="1">IF(ROWS($1:71)&gt;COUNT(Dong1),"",OFFSET(TH!F$1,SMALL(Dong1,ROWS($1:71)),))</f>
        <v>Q11 - Nộp tiền mặt vào TK</v>
      </c>
      <c r="F84" s="168" t="str">
        <f ca="1">IF(ROWS($1:71)&gt;COUNT(Dong1),"",IF(OFFSET(TH!O$1,SMALL(Dong1,ROWS($1:71)),)="1111",OFFSET(TH!N$1,SMALL(Dong1,ROWS($1:71)),),OFFSET(TH!O$1,SMALL(Dong1,ROWS($1:71)),)))</f>
        <v>1121</v>
      </c>
      <c r="G84" s="169">
        <f ca="1">IF(ROWS($1:71)&gt;COUNT(Dong1),"",IF(OFFSET(TH!N$1,SMALL(Dong1,ROWS($1:71)),)="1111",OFFSET(TH!M$1,SMALL(Dong1,ROWS($1:71)),),0))</f>
        <v>0</v>
      </c>
      <c r="H84" s="167">
        <f ca="1">IF(ROWS($1:71)&gt;COUNT(Dong1),"",IF(OFFSET(TH!O$1,SMALL(Dong1,ROWS($1:71)),)="1111",OFFSET(TH!M$1,SMALL(Dong1,ROWS($1:71)),),0))</f>
        <v>45000000</v>
      </c>
      <c r="I84" s="165">
        <f t="shared" ca="1" si="1"/>
        <v>4194287004</v>
      </c>
      <c r="J84" s="170"/>
    </row>
    <row r="85" spans="1:10" ht="19.5" customHeight="1">
      <c r="A85" s="164">
        <f ca="1">IF(ROWS($1:72)&gt;COUNT(Dong1),"",OFFSET(TH!C$1,SMALL(Dong1,ROWS($1:72)),))</f>
        <v>42396</v>
      </c>
      <c r="B85" s="164">
        <f ca="1">IF(ROWS($1:72)&gt;COUNT(Dong1),"",OFFSET(TH!E$1,SMALL(Dong1,ROWS($1:72)),))</f>
        <v>42396</v>
      </c>
      <c r="C85" s="165" t="str">
        <f ca="1">IF(ROWS($1:72)&gt;COUNT(Dong1),"",IF(OFFSET(TH!N$1,SMALL(Dong1,ROWS($1:72)),)="1111",OFFSET(TH!D$1,SMALL(Dong1,ROWS($1:72)),),""))</f>
        <v>T04</v>
      </c>
      <c r="D85" s="166" t="str">
        <f ca="1">IF(ROWS($1:72)&gt;COUNT(Dong1),"",IF(OFFSET(TH!O$1,SMALL(Dong1,ROWS($1:72)),)="1111",OFFSET(TH!D$1,SMALL(Dong1,ROWS($1:72)),),""))</f>
        <v/>
      </c>
      <c r="E85" s="375" t="str">
        <f ca="1">IF(ROWS($1:72)&gt;COUNT(Dong1),"",OFFSET(TH!F$1,SMALL(Dong1,ROWS($1:72)),))</f>
        <v>Q11 - Rút tiền gửi NH nhập quỹ TM</v>
      </c>
      <c r="F85" s="168" t="str">
        <f ca="1">IF(ROWS($1:72)&gt;COUNT(Dong1),"",IF(OFFSET(TH!O$1,SMALL(Dong1,ROWS($1:72)),)="1111",OFFSET(TH!N$1,SMALL(Dong1,ROWS($1:72)),),OFFSET(TH!O$1,SMALL(Dong1,ROWS($1:72)),)))</f>
        <v>1121</v>
      </c>
      <c r="G85" s="169">
        <f ca="1">IF(ROWS($1:72)&gt;COUNT(Dong1),"",IF(OFFSET(TH!N$1,SMALL(Dong1,ROWS($1:72)),)="1111",OFFSET(TH!M$1,SMALL(Dong1,ROWS($1:72)),),0))</f>
        <v>850000000</v>
      </c>
      <c r="H85" s="167">
        <f ca="1">IF(ROWS($1:72)&gt;COUNT(Dong1),"",IF(OFFSET(TH!O$1,SMALL(Dong1,ROWS($1:72)),)="1111",OFFSET(TH!M$1,SMALL(Dong1,ROWS($1:72)),),0))</f>
        <v>0</v>
      </c>
      <c r="I85" s="165">
        <f t="shared" ca="1" si="1"/>
        <v>5044287004</v>
      </c>
      <c r="J85" s="170"/>
    </row>
    <row r="86" spans="1:10" ht="19.5" customHeight="1">
      <c r="A86" s="164">
        <f ca="1">IF(ROWS($1:73)&gt;COUNT(Dong1),"",OFFSET(TH!C$1,SMALL(Dong1,ROWS($1:73)),))</f>
        <v>42396</v>
      </c>
      <c r="B86" s="164">
        <f ca="1">IF(ROWS($1:73)&gt;COUNT(Dong1),"",OFFSET(TH!E$1,SMALL(Dong1,ROWS($1:73)),))</f>
        <v>42396</v>
      </c>
      <c r="C86" s="165" t="str">
        <f ca="1">IF(ROWS($1:73)&gt;COUNT(Dong1),"",IF(OFFSET(TH!N$1,SMALL(Dong1,ROWS($1:73)),)="1111",OFFSET(TH!D$1,SMALL(Dong1,ROWS($1:73)),),""))</f>
        <v/>
      </c>
      <c r="D86" s="166" t="str">
        <f ca="1">IF(ROWS($1:73)&gt;COUNT(Dong1),"",IF(OFFSET(TH!O$1,SMALL(Dong1,ROWS($1:73)),)="1111",OFFSET(TH!D$1,SMALL(Dong1,ROWS($1:73)),),""))</f>
        <v>C40</v>
      </c>
      <c r="E86" s="375" t="str">
        <f ca="1">IF(ROWS($1:73)&gt;COUNT(Dong1),"",OFFSET(TH!F$1,SMALL(Dong1,ROWS($1:73)),))</f>
        <v>Tạm ứng mua NL</v>
      </c>
      <c r="F86" s="168" t="str">
        <f ca="1">IF(ROWS($1:73)&gt;COUNT(Dong1),"",IF(OFFSET(TH!O$1,SMALL(Dong1,ROWS($1:73)),)="1111",OFFSET(TH!N$1,SMALL(Dong1,ROWS($1:73)),),OFFSET(TH!O$1,SMALL(Dong1,ROWS($1:73)),)))</f>
        <v>141</v>
      </c>
      <c r="G86" s="169">
        <f ca="1">IF(ROWS($1:73)&gt;COUNT(Dong1),"",IF(OFFSET(TH!N$1,SMALL(Dong1,ROWS($1:73)),)="1111",OFFSET(TH!M$1,SMALL(Dong1,ROWS($1:73)),),0))</f>
        <v>0</v>
      </c>
      <c r="H86" s="167">
        <f ca="1">IF(ROWS($1:73)&gt;COUNT(Dong1),"",IF(OFFSET(TH!O$1,SMALL(Dong1,ROWS($1:73)),)="1111",OFFSET(TH!M$1,SMALL(Dong1,ROWS($1:73)),),0))</f>
        <v>500000000</v>
      </c>
      <c r="I86" s="165">
        <f t="shared" ca="1" si="1"/>
        <v>4544287004</v>
      </c>
      <c r="J86" s="170"/>
    </row>
    <row r="87" spans="1:10" ht="19.5" customHeight="1">
      <c r="A87" s="164">
        <f ca="1">IF(ROWS($1:74)&gt;COUNT(Dong1),"",OFFSET(TH!C$1,SMALL(Dong1,ROWS($1:74)),))</f>
        <v>42398</v>
      </c>
      <c r="B87" s="164">
        <f ca="1">IF(ROWS($1:74)&gt;COUNT(Dong1),"",OFFSET(TH!E$1,SMALL(Dong1,ROWS($1:74)),))</f>
        <v>42398</v>
      </c>
      <c r="C87" s="165" t="str">
        <f ca="1">IF(ROWS($1:74)&gt;COUNT(Dong1),"",IF(OFFSET(TH!N$1,SMALL(Dong1,ROWS($1:74)),)="1111",OFFSET(TH!D$1,SMALL(Dong1,ROWS($1:74)),),""))</f>
        <v/>
      </c>
      <c r="D87" s="166" t="str">
        <f ca="1">IF(ROWS($1:74)&gt;COUNT(Dong1),"",IF(OFFSET(TH!O$1,SMALL(Dong1,ROWS($1:74)),)="1111",OFFSET(TH!D$1,SMALL(Dong1,ROWS($1:74)),),""))</f>
        <v>C41</v>
      </c>
      <c r="E87" s="375" t="str">
        <f ca="1">IF(ROWS($1:74)&gt;COUNT(Dong1),"",OFFSET(TH!F$1,SMALL(Dong1,ROWS($1:74)),))</f>
        <v>Q4 - Nộp tiền mặt vào TK</v>
      </c>
      <c r="F87" s="168" t="str">
        <f ca="1">IF(ROWS($1:74)&gt;COUNT(Dong1),"",IF(OFFSET(TH!O$1,SMALL(Dong1,ROWS($1:74)),)="1111",OFFSET(TH!N$1,SMALL(Dong1,ROWS($1:74)),),OFFSET(TH!O$1,SMALL(Dong1,ROWS($1:74)),)))</f>
        <v>1121</v>
      </c>
      <c r="G87" s="169">
        <f ca="1">IF(ROWS($1:74)&gt;COUNT(Dong1),"",IF(OFFSET(TH!N$1,SMALL(Dong1,ROWS($1:74)),)="1111",OFFSET(TH!M$1,SMALL(Dong1,ROWS($1:74)),),0))</f>
        <v>0</v>
      </c>
      <c r="H87" s="167">
        <f ca="1">IF(ROWS($1:74)&gt;COUNT(Dong1),"",IF(OFFSET(TH!O$1,SMALL(Dong1,ROWS($1:74)),)="1111",OFFSET(TH!M$1,SMALL(Dong1,ROWS($1:74)),),0))</f>
        <v>2000000</v>
      </c>
      <c r="I87" s="165">
        <f t="shared" ca="1" si="1"/>
        <v>4542287004</v>
      </c>
      <c r="J87" s="170"/>
    </row>
    <row r="88" spans="1:10" ht="19.5" customHeight="1">
      <c r="A88" s="164">
        <f ca="1">IF(ROWS($1:75)&gt;COUNT(Dong1),"",OFFSET(TH!C$1,SMALL(Dong1,ROWS($1:75)),))</f>
        <v>42398</v>
      </c>
      <c r="B88" s="164">
        <f ca="1">IF(ROWS($1:75)&gt;COUNT(Dong1),"",OFFSET(TH!E$1,SMALL(Dong1,ROWS($1:75)),))</f>
        <v>42398</v>
      </c>
      <c r="C88" s="165" t="str">
        <f ca="1">IF(ROWS($1:75)&gt;COUNT(Dong1),"",IF(OFFSET(TH!N$1,SMALL(Dong1,ROWS($1:75)),)="1111",OFFSET(TH!D$1,SMALL(Dong1,ROWS($1:75)),),""))</f>
        <v>T05</v>
      </c>
      <c r="D88" s="166" t="str">
        <f ca="1">IF(ROWS($1:75)&gt;COUNT(Dong1),"",IF(OFFSET(TH!O$1,SMALL(Dong1,ROWS($1:75)),)="1111",OFFSET(TH!D$1,SMALL(Dong1,ROWS($1:75)),),""))</f>
        <v/>
      </c>
      <c r="E88" s="375" t="str">
        <f ca="1">IF(ROWS($1:75)&gt;COUNT(Dong1),"",OFFSET(TH!F$1,SMALL(Dong1,ROWS($1:75)),))</f>
        <v>Q11 - Rút tiền gửi NH nhập quỹ TM</v>
      </c>
      <c r="F88" s="168" t="str">
        <f ca="1">IF(ROWS($1:75)&gt;COUNT(Dong1),"",IF(OFFSET(TH!O$1,SMALL(Dong1,ROWS($1:75)),)="1111",OFFSET(TH!N$1,SMALL(Dong1,ROWS($1:75)),),OFFSET(TH!O$1,SMALL(Dong1,ROWS($1:75)),)))</f>
        <v>1121</v>
      </c>
      <c r="G88" s="169">
        <f ca="1">IF(ROWS($1:75)&gt;COUNT(Dong1),"",IF(OFFSET(TH!N$1,SMALL(Dong1,ROWS($1:75)),)="1111",OFFSET(TH!M$1,SMALL(Dong1,ROWS($1:75)),),0))</f>
        <v>370000000</v>
      </c>
      <c r="H88" s="167">
        <f ca="1">IF(ROWS($1:75)&gt;COUNT(Dong1),"",IF(OFFSET(TH!O$1,SMALL(Dong1,ROWS($1:75)),)="1111",OFFSET(TH!M$1,SMALL(Dong1,ROWS($1:75)),),0))</f>
        <v>0</v>
      </c>
      <c r="I88" s="165">
        <f t="shared" ca="1" si="1"/>
        <v>4912287004</v>
      </c>
      <c r="J88" s="170"/>
    </row>
    <row r="89" spans="1:10" ht="19.5" customHeight="1">
      <c r="A89" s="164">
        <f ca="1">IF(ROWS($1:76)&gt;COUNT(Dong1),"",OFFSET(TH!C$1,SMALL(Dong1,ROWS($1:76)),))</f>
        <v>42398</v>
      </c>
      <c r="B89" s="164">
        <f ca="1">IF(ROWS($1:76)&gt;COUNT(Dong1),"",OFFSET(TH!E$1,SMALL(Dong1,ROWS($1:76)),))</f>
        <v>42398</v>
      </c>
      <c r="C89" s="165" t="str">
        <f ca="1">IF(ROWS($1:76)&gt;COUNT(Dong1),"",IF(OFFSET(TH!N$1,SMALL(Dong1,ROWS($1:76)),)="1111",OFFSET(TH!D$1,SMALL(Dong1,ROWS($1:76)),),""))</f>
        <v>T06</v>
      </c>
      <c r="D89" s="166" t="str">
        <f ca="1">IF(ROWS($1:76)&gt;COUNT(Dong1),"",IF(OFFSET(TH!O$1,SMALL(Dong1,ROWS($1:76)),)="1111",OFFSET(TH!D$1,SMALL(Dong1,ROWS($1:76)),),""))</f>
        <v/>
      </c>
      <c r="E89" s="375" t="str">
        <f ca="1">IF(ROWS($1:76)&gt;COUNT(Dong1),"",OFFSET(TH!F$1,SMALL(Dong1,ROWS($1:76)),))</f>
        <v>Q4 - Rút tiền gửi NH nhập quỹ TM</v>
      </c>
      <c r="F89" s="168" t="str">
        <f ca="1">IF(ROWS($1:76)&gt;COUNT(Dong1),"",IF(OFFSET(TH!O$1,SMALL(Dong1,ROWS($1:76)),)="1111",OFFSET(TH!N$1,SMALL(Dong1,ROWS($1:76)),),OFFSET(TH!O$1,SMALL(Dong1,ROWS($1:76)),)))</f>
        <v>1121</v>
      </c>
      <c r="G89" s="169">
        <f ca="1">IF(ROWS($1:76)&gt;COUNT(Dong1),"",IF(OFFSET(TH!N$1,SMALL(Dong1,ROWS($1:76)),)="1111",OFFSET(TH!M$1,SMALL(Dong1,ROWS($1:76)),),0))</f>
        <v>1170000000</v>
      </c>
      <c r="H89" s="167">
        <f ca="1">IF(ROWS($1:76)&gt;COUNT(Dong1),"",IF(OFFSET(TH!O$1,SMALL(Dong1,ROWS($1:76)),)="1111",OFFSET(TH!M$1,SMALL(Dong1,ROWS($1:76)),),0))</f>
        <v>0</v>
      </c>
      <c r="I89" s="165">
        <f t="shared" ca="1" si="1"/>
        <v>6082287004</v>
      </c>
      <c r="J89" s="170"/>
    </row>
    <row r="90" spans="1:10" ht="19.5" customHeight="1">
      <c r="A90" s="164">
        <f ca="1">IF(ROWS($1:77)&gt;COUNT(Dong1),"",OFFSET(TH!C$1,SMALL(Dong1,ROWS($1:77)),))</f>
        <v>42398</v>
      </c>
      <c r="B90" s="164">
        <f ca="1">IF(ROWS($1:77)&gt;COUNT(Dong1),"",OFFSET(TH!E$1,SMALL(Dong1,ROWS($1:77)),))</f>
        <v>42398</v>
      </c>
      <c r="C90" s="165" t="str">
        <f ca="1">IF(ROWS($1:77)&gt;COUNT(Dong1),"",IF(OFFSET(TH!N$1,SMALL(Dong1,ROWS($1:77)),)="1111",OFFSET(TH!D$1,SMALL(Dong1,ROWS($1:77)),),""))</f>
        <v/>
      </c>
      <c r="D90" s="166" t="str">
        <f ca="1">IF(ROWS($1:77)&gt;COUNT(Dong1),"",IF(OFFSET(TH!O$1,SMALL(Dong1,ROWS($1:77)),)="1111",OFFSET(TH!D$1,SMALL(Dong1,ROWS($1:77)),),""))</f>
        <v>C42</v>
      </c>
      <c r="E90" s="375" t="str">
        <f ca="1">IF(ROWS($1:77)&gt;COUNT(Dong1),"",OFFSET(TH!F$1,SMALL(Dong1,ROWS($1:77)),))</f>
        <v>Xăng</v>
      </c>
      <c r="F90" s="168" t="str">
        <f ca="1">IF(ROWS($1:77)&gt;COUNT(Dong1),"",IF(OFFSET(TH!O$1,SMALL(Dong1,ROWS($1:77)),)="1111",OFFSET(TH!N$1,SMALL(Dong1,ROWS($1:77)),),OFFSET(TH!O$1,SMALL(Dong1,ROWS($1:77)),)))</f>
        <v>642</v>
      </c>
      <c r="G90" s="169">
        <f ca="1">IF(ROWS($1:77)&gt;COUNT(Dong1),"",IF(OFFSET(TH!N$1,SMALL(Dong1,ROWS($1:77)),)="1111",OFFSET(TH!M$1,SMALL(Dong1,ROWS($1:77)),),0))</f>
        <v>0</v>
      </c>
      <c r="H90" s="167">
        <f ca="1">IF(ROWS($1:77)&gt;COUNT(Dong1),"",IF(OFFSET(TH!O$1,SMALL(Dong1,ROWS($1:77)),)="1111",OFFSET(TH!M$1,SMALL(Dong1,ROWS($1:77)),),0))</f>
        <v>660273</v>
      </c>
      <c r="I90" s="165">
        <f t="shared" ca="1" si="1"/>
        <v>6081626731</v>
      </c>
      <c r="J90" s="170"/>
    </row>
    <row r="91" spans="1:10" ht="19.5" customHeight="1">
      <c r="A91" s="164">
        <f ca="1">IF(ROWS($1:78)&gt;COUNT(Dong1),"",OFFSET(TH!C$1,SMALL(Dong1,ROWS($1:78)),))</f>
        <v>42398</v>
      </c>
      <c r="B91" s="164">
        <f ca="1">IF(ROWS($1:78)&gt;COUNT(Dong1),"",OFFSET(TH!E$1,SMALL(Dong1,ROWS($1:78)),))</f>
        <v>42398</v>
      </c>
      <c r="C91" s="165" t="str">
        <f ca="1">IF(ROWS($1:78)&gt;COUNT(Dong1),"",IF(OFFSET(TH!N$1,SMALL(Dong1,ROWS($1:78)),)="1111",OFFSET(TH!D$1,SMALL(Dong1,ROWS($1:78)),),""))</f>
        <v/>
      </c>
      <c r="D91" s="166" t="str">
        <f ca="1">IF(ROWS($1:78)&gt;COUNT(Dong1),"",IF(OFFSET(TH!O$1,SMALL(Dong1,ROWS($1:78)),)="1111",OFFSET(TH!D$1,SMALL(Dong1,ROWS($1:78)),),""))</f>
        <v>C42</v>
      </c>
      <c r="E91" s="375" t="str">
        <f ca="1">IF(ROWS($1:78)&gt;COUNT(Dong1),"",OFFSET(TH!F$1,SMALL(Dong1,ROWS($1:78)),))</f>
        <v>VAT Xăng</v>
      </c>
      <c r="F91" s="168" t="str">
        <f ca="1">IF(ROWS($1:78)&gt;COUNT(Dong1),"",IF(OFFSET(TH!O$1,SMALL(Dong1,ROWS($1:78)),)="1111",OFFSET(TH!N$1,SMALL(Dong1,ROWS($1:78)),),OFFSET(TH!O$1,SMALL(Dong1,ROWS($1:78)),)))</f>
        <v>1331</v>
      </c>
      <c r="G91" s="169">
        <f ca="1">IF(ROWS($1:78)&gt;COUNT(Dong1),"",IF(OFFSET(TH!N$1,SMALL(Dong1,ROWS($1:78)),)="1111",OFFSET(TH!M$1,SMALL(Dong1,ROWS($1:78)),),0))</f>
        <v>0</v>
      </c>
      <c r="H91" s="167">
        <f ca="1">IF(ROWS($1:78)&gt;COUNT(Dong1),"",IF(OFFSET(TH!O$1,SMALL(Dong1,ROWS($1:78)),)="1111",OFFSET(TH!M$1,SMALL(Dong1,ROWS($1:78)),),0))</f>
        <v>66027</v>
      </c>
      <c r="I91" s="165">
        <f t="shared" ca="1" si="1"/>
        <v>6081560704</v>
      </c>
      <c r="J91" s="170"/>
    </row>
    <row r="92" spans="1:10" ht="19.5" customHeight="1">
      <c r="A92" s="164">
        <f ca="1">IF(ROWS($1:79)&gt;COUNT(Dong1),"",OFFSET(TH!C$1,SMALL(Dong1,ROWS($1:79)),))</f>
        <v>42399</v>
      </c>
      <c r="B92" s="164">
        <f ca="1">IF(ROWS($1:79)&gt;COUNT(Dong1),"",OFFSET(TH!E$1,SMALL(Dong1,ROWS($1:79)),))</f>
        <v>42399</v>
      </c>
      <c r="C92" s="165" t="str">
        <f ca="1">IF(ROWS($1:79)&gt;COUNT(Dong1),"",IF(OFFSET(TH!N$1,SMALL(Dong1,ROWS($1:79)),)="1111",OFFSET(TH!D$1,SMALL(Dong1,ROWS($1:79)),),""))</f>
        <v/>
      </c>
      <c r="D92" s="166" t="str">
        <f ca="1">IF(ROWS($1:79)&gt;COUNT(Dong1),"",IF(OFFSET(TH!O$1,SMALL(Dong1,ROWS($1:79)),)="1111",OFFSET(TH!D$1,SMALL(Dong1,ROWS($1:79)),),""))</f>
        <v>C43</v>
      </c>
      <c r="E92" s="375" t="str">
        <f ca="1">IF(ROWS($1:79)&gt;COUNT(Dong1),"",OFFSET(TH!F$1,SMALL(Dong1,ROWS($1:79)),))</f>
        <v>Xăng</v>
      </c>
      <c r="F92" s="168" t="str">
        <f ca="1">IF(ROWS($1:79)&gt;COUNT(Dong1),"",IF(OFFSET(TH!O$1,SMALL(Dong1,ROWS($1:79)),)="1111",OFFSET(TH!N$1,SMALL(Dong1,ROWS($1:79)),),OFFSET(TH!O$1,SMALL(Dong1,ROWS($1:79)),)))</f>
        <v>642</v>
      </c>
      <c r="G92" s="169">
        <f ca="1">IF(ROWS($1:79)&gt;COUNT(Dong1),"",IF(OFFSET(TH!N$1,SMALL(Dong1,ROWS($1:79)),)="1111",OFFSET(TH!M$1,SMALL(Dong1,ROWS($1:79)),),0))</f>
        <v>0</v>
      </c>
      <c r="H92" s="167">
        <f ca="1">IF(ROWS($1:79)&gt;COUNT(Dong1),"",IF(OFFSET(TH!O$1,SMALL(Dong1,ROWS($1:79)),)="1111",OFFSET(TH!M$1,SMALL(Dong1,ROWS($1:79)),),0))</f>
        <v>674945</v>
      </c>
      <c r="I92" s="165">
        <f t="shared" ca="1" si="1"/>
        <v>6080885759</v>
      </c>
      <c r="J92" s="170"/>
    </row>
    <row r="93" spans="1:10" ht="19.5" customHeight="1">
      <c r="A93" s="164">
        <f ca="1">IF(ROWS($1:80)&gt;COUNT(Dong1),"",OFFSET(TH!C$1,SMALL(Dong1,ROWS($1:80)),))</f>
        <v>42399</v>
      </c>
      <c r="B93" s="164">
        <f ca="1">IF(ROWS($1:80)&gt;COUNT(Dong1),"",OFFSET(TH!E$1,SMALL(Dong1,ROWS($1:80)),))</f>
        <v>42399</v>
      </c>
      <c r="C93" s="165" t="str">
        <f ca="1">IF(ROWS($1:80)&gt;COUNT(Dong1),"",IF(OFFSET(TH!N$1,SMALL(Dong1,ROWS($1:80)),)="1111",OFFSET(TH!D$1,SMALL(Dong1,ROWS($1:80)),),""))</f>
        <v/>
      </c>
      <c r="D93" s="166" t="str">
        <f ca="1">IF(ROWS($1:80)&gt;COUNT(Dong1),"",IF(OFFSET(TH!O$1,SMALL(Dong1,ROWS($1:80)),)="1111",OFFSET(TH!D$1,SMALL(Dong1,ROWS($1:80)),),""))</f>
        <v>C43</v>
      </c>
      <c r="E93" s="375" t="str">
        <f ca="1">IF(ROWS($1:80)&gt;COUNT(Dong1),"",OFFSET(TH!F$1,SMALL(Dong1,ROWS($1:80)),))</f>
        <v>VAT Xăng</v>
      </c>
      <c r="F93" s="168" t="str">
        <f ca="1">IF(ROWS($1:80)&gt;COUNT(Dong1),"",IF(OFFSET(TH!O$1,SMALL(Dong1,ROWS($1:80)),)="1111",OFFSET(TH!N$1,SMALL(Dong1,ROWS($1:80)),),OFFSET(TH!O$1,SMALL(Dong1,ROWS($1:80)),)))</f>
        <v>1331</v>
      </c>
      <c r="G93" s="169">
        <f ca="1">IF(ROWS($1:80)&gt;COUNT(Dong1),"",IF(OFFSET(TH!N$1,SMALL(Dong1,ROWS($1:80)),)="1111",OFFSET(TH!M$1,SMALL(Dong1,ROWS($1:80)),),0))</f>
        <v>0</v>
      </c>
      <c r="H93" s="167">
        <f ca="1">IF(ROWS($1:80)&gt;COUNT(Dong1),"",IF(OFFSET(TH!O$1,SMALL(Dong1,ROWS($1:80)),)="1111",OFFSET(TH!M$1,SMALL(Dong1,ROWS($1:80)),),0))</f>
        <v>67495</v>
      </c>
      <c r="I93" s="165">
        <f t="shared" ca="1" si="1"/>
        <v>6080818264</v>
      </c>
      <c r="J93" s="170"/>
    </row>
    <row r="94" spans="1:10" ht="19.5" customHeight="1">
      <c r="A94" s="164">
        <f ca="1">IF(ROWS($1:81)&gt;COUNT(Dong1),"",OFFSET(TH!C$1,SMALL(Dong1,ROWS($1:81)),))</f>
        <v>42400</v>
      </c>
      <c r="B94" s="164">
        <f ca="1">IF(ROWS($1:81)&gt;COUNT(Dong1),"",OFFSET(TH!E$1,SMALL(Dong1,ROWS($1:81)),))</f>
        <v>42400</v>
      </c>
      <c r="C94" s="165" t="str">
        <f ca="1">IF(ROWS($1:81)&gt;COUNT(Dong1),"",IF(OFFSET(TH!N$1,SMALL(Dong1,ROWS($1:81)),)="1111",OFFSET(TH!D$1,SMALL(Dong1,ROWS($1:81)),),""))</f>
        <v/>
      </c>
      <c r="D94" s="166" t="str">
        <f ca="1">IF(ROWS($1:81)&gt;COUNT(Dong1),"",IF(OFFSET(TH!O$1,SMALL(Dong1,ROWS($1:81)),)="1111",OFFSET(TH!D$1,SMALL(Dong1,ROWS($1:81)),),""))</f>
        <v>C44</v>
      </c>
      <c r="E94" s="375" t="str">
        <f ca="1">IF(ROWS($1:81)&gt;COUNT(Dong1),"",OFFSET(TH!F$1,SMALL(Dong1,ROWS($1:81)),))</f>
        <v>Dầu DO, Xăng</v>
      </c>
      <c r="F94" s="168" t="str">
        <f ca="1">IF(ROWS($1:81)&gt;COUNT(Dong1),"",IF(OFFSET(TH!O$1,SMALL(Dong1,ROWS($1:81)),)="1111",OFFSET(TH!N$1,SMALL(Dong1,ROWS($1:81)),),OFFSET(TH!O$1,SMALL(Dong1,ROWS($1:81)),)))</f>
        <v>642</v>
      </c>
      <c r="G94" s="169">
        <f ca="1">IF(ROWS($1:81)&gt;COUNT(Dong1),"",IF(OFFSET(TH!N$1,SMALL(Dong1,ROWS($1:81)),)="1111",OFFSET(TH!M$1,SMALL(Dong1,ROWS($1:81)),),0))</f>
        <v>0</v>
      </c>
      <c r="H94" s="167">
        <f ca="1">IF(ROWS($1:81)&gt;COUNT(Dong1),"",IF(OFFSET(TH!O$1,SMALL(Dong1,ROWS($1:81)),)="1111",OFFSET(TH!M$1,SMALL(Dong1,ROWS($1:81)),),0))</f>
        <v>320291</v>
      </c>
      <c r="I94" s="165">
        <f t="shared" ca="1" si="1"/>
        <v>6080497973</v>
      </c>
      <c r="J94" s="170"/>
    </row>
    <row r="95" spans="1:10" ht="19.5" customHeight="1">
      <c r="A95" s="164">
        <f ca="1">IF(ROWS($1:82)&gt;COUNT(Dong1),"",OFFSET(TH!C$1,SMALL(Dong1,ROWS($1:82)),))</f>
        <v>42400</v>
      </c>
      <c r="B95" s="164">
        <f ca="1">IF(ROWS($1:82)&gt;COUNT(Dong1),"",OFFSET(TH!E$1,SMALL(Dong1,ROWS($1:82)),))</f>
        <v>42400</v>
      </c>
      <c r="C95" s="165" t="str">
        <f ca="1">IF(ROWS($1:82)&gt;COUNT(Dong1),"",IF(OFFSET(TH!N$1,SMALL(Dong1,ROWS($1:82)),)="1111",OFFSET(TH!D$1,SMALL(Dong1,ROWS($1:82)),),""))</f>
        <v/>
      </c>
      <c r="D95" s="166" t="str">
        <f ca="1">IF(ROWS($1:82)&gt;COUNT(Dong1),"",IF(OFFSET(TH!O$1,SMALL(Dong1,ROWS($1:82)),)="1111",OFFSET(TH!D$1,SMALL(Dong1,ROWS($1:82)),),""))</f>
        <v>C44</v>
      </c>
      <c r="E95" s="375" t="str">
        <f ca="1">IF(ROWS($1:82)&gt;COUNT(Dong1),"",OFFSET(TH!F$1,SMALL(Dong1,ROWS($1:82)),))</f>
        <v>VAT Dầu DO, Xăng</v>
      </c>
      <c r="F95" s="168" t="str">
        <f ca="1">IF(ROWS($1:82)&gt;COUNT(Dong1),"",IF(OFFSET(TH!O$1,SMALL(Dong1,ROWS($1:82)),)="1111",OFFSET(TH!N$1,SMALL(Dong1,ROWS($1:82)),),OFFSET(TH!O$1,SMALL(Dong1,ROWS($1:82)),)))</f>
        <v>1331</v>
      </c>
      <c r="G95" s="169">
        <f ca="1">IF(ROWS($1:82)&gt;COUNT(Dong1),"",IF(OFFSET(TH!N$1,SMALL(Dong1,ROWS($1:82)),)="1111",OFFSET(TH!M$1,SMALL(Dong1,ROWS($1:82)),),0))</f>
        <v>0</v>
      </c>
      <c r="H95" s="167">
        <f ca="1">IF(ROWS($1:82)&gt;COUNT(Dong1),"",IF(OFFSET(TH!O$1,SMALL(Dong1,ROWS($1:82)),)="1111",OFFSET(TH!M$1,SMALL(Dong1,ROWS($1:82)),),0))</f>
        <v>32029</v>
      </c>
      <c r="I95" s="165">
        <f t="shared" ca="1" si="1"/>
        <v>6080465944</v>
      </c>
      <c r="J95" s="170"/>
    </row>
    <row r="96" spans="1:10" ht="19.5" customHeight="1">
      <c r="A96" s="164">
        <f ca="1">IF(ROWS($1:83)&gt;COUNT(Dong1),"",OFFSET(TH!C$1,SMALL(Dong1,ROWS($1:83)),))</f>
        <v>42400</v>
      </c>
      <c r="B96" s="164">
        <f ca="1">IF(ROWS($1:83)&gt;COUNT(Dong1),"",OFFSET(TH!E$1,SMALL(Dong1,ROWS($1:83)),))</f>
        <v>42400</v>
      </c>
      <c r="C96" s="165" t="str">
        <f ca="1">IF(ROWS($1:83)&gt;COUNT(Dong1),"",IF(OFFSET(TH!N$1,SMALL(Dong1,ROWS($1:83)),)="1111",OFFSET(TH!D$1,SMALL(Dong1,ROWS($1:83)),),""))</f>
        <v/>
      </c>
      <c r="D96" s="166" t="str">
        <f ca="1">IF(ROWS($1:83)&gt;COUNT(Dong1),"",IF(OFFSET(TH!O$1,SMALL(Dong1,ROWS($1:83)),)="1111",OFFSET(TH!D$1,SMALL(Dong1,ROWS($1:83)),),""))</f>
        <v>C45</v>
      </c>
      <c r="E96" s="375" t="str">
        <f ca="1">IF(ROWS($1:83)&gt;COUNT(Dong1),"",OFFSET(TH!F$1,SMALL(Dong1,ROWS($1:83)),))</f>
        <v>Xăng</v>
      </c>
      <c r="F96" s="168" t="str">
        <f ca="1">IF(ROWS($1:83)&gt;COUNT(Dong1),"",IF(OFFSET(TH!O$1,SMALL(Dong1,ROWS($1:83)),)="1111",OFFSET(TH!N$1,SMALL(Dong1,ROWS($1:83)),),OFFSET(TH!O$1,SMALL(Dong1,ROWS($1:83)),)))</f>
        <v>642</v>
      </c>
      <c r="G96" s="169">
        <f ca="1">IF(ROWS($1:83)&gt;COUNT(Dong1),"",IF(OFFSET(TH!N$1,SMALL(Dong1,ROWS($1:83)),)="1111",OFFSET(TH!M$1,SMALL(Dong1,ROWS($1:83)),),0))</f>
        <v>0</v>
      </c>
      <c r="H96" s="167">
        <f ca="1">IF(ROWS($1:83)&gt;COUNT(Dong1),"",IF(OFFSET(TH!O$1,SMALL(Dong1,ROWS($1:83)),)="1111",OFFSET(TH!M$1,SMALL(Dong1,ROWS($1:83)),),0))</f>
        <v>44018</v>
      </c>
      <c r="I96" s="165">
        <f t="shared" ca="1" si="1"/>
        <v>6080421926</v>
      </c>
      <c r="J96" s="170"/>
    </row>
    <row r="97" spans="1:12" ht="19.5" customHeight="1">
      <c r="A97" s="164">
        <f ca="1">IF(ROWS($1:84)&gt;COUNT(Dong1),"",OFFSET(TH!C$1,SMALL(Dong1,ROWS($1:84)),))</f>
        <v>42400</v>
      </c>
      <c r="B97" s="164">
        <f ca="1">IF(ROWS($1:84)&gt;COUNT(Dong1),"",OFFSET(TH!E$1,SMALL(Dong1,ROWS($1:84)),))</f>
        <v>42400</v>
      </c>
      <c r="C97" s="165" t="str">
        <f ca="1">IF(ROWS($1:84)&gt;COUNT(Dong1),"",IF(OFFSET(TH!N$1,SMALL(Dong1,ROWS($1:84)),)="1111",OFFSET(TH!D$1,SMALL(Dong1,ROWS($1:84)),),""))</f>
        <v/>
      </c>
      <c r="D97" s="166" t="str">
        <f ca="1">IF(ROWS($1:84)&gt;COUNT(Dong1),"",IF(OFFSET(TH!O$1,SMALL(Dong1,ROWS($1:84)),)="1111",OFFSET(TH!D$1,SMALL(Dong1,ROWS($1:84)),),""))</f>
        <v>C45</v>
      </c>
      <c r="E97" s="375" t="str">
        <f ca="1">IF(ROWS($1:84)&gt;COUNT(Dong1),"",OFFSET(TH!F$1,SMALL(Dong1,ROWS($1:84)),))</f>
        <v>VAT Xăng</v>
      </c>
      <c r="F97" s="168" t="str">
        <f ca="1">IF(ROWS($1:84)&gt;COUNT(Dong1),"",IF(OFFSET(TH!O$1,SMALL(Dong1,ROWS($1:84)),)="1111",OFFSET(TH!N$1,SMALL(Dong1,ROWS($1:84)),),OFFSET(TH!O$1,SMALL(Dong1,ROWS($1:84)),)))</f>
        <v>1331</v>
      </c>
      <c r="G97" s="169">
        <f ca="1">IF(ROWS($1:84)&gt;COUNT(Dong1),"",IF(OFFSET(TH!N$1,SMALL(Dong1,ROWS($1:84)),)="1111",OFFSET(TH!M$1,SMALL(Dong1,ROWS($1:84)),),0))</f>
        <v>0</v>
      </c>
      <c r="H97" s="167">
        <f ca="1">IF(ROWS($1:84)&gt;COUNT(Dong1),"",IF(OFFSET(TH!O$1,SMALL(Dong1,ROWS($1:84)),)="1111",OFFSET(TH!M$1,SMALL(Dong1,ROWS($1:84)),),0))</f>
        <v>4402</v>
      </c>
      <c r="I97" s="165">
        <f t="shared" ca="1" si="1"/>
        <v>6080417524</v>
      </c>
      <c r="J97" s="170"/>
    </row>
    <row r="98" spans="1:12" ht="19.5" customHeight="1">
      <c r="A98" s="164">
        <f ca="1">IF(ROWS($1:85)&gt;COUNT(Dong1),"",OFFSET(TH!C$1,SMALL(Dong1,ROWS($1:85)),))</f>
        <v>42400</v>
      </c>
      <c r="B98" s="164">
        <f ca="1">IF(ROWS($1:85)&gt;COUNT(Dong1),"",OFFSET(TH!E$1,SMALL(Dong1,ROWS($1:85)),))</f>
        <v>42400</v>
      </c>
      <c r="C98" s="165" t="str">
        <f ca="1">IF(ROWS($1:85)&gt;COUNT(Dong1),"",IF(OFFSET(TH!N$1,SMALL(Dong1,ROWS($1:85)),)="1111",OFFSET(TH!D$1,SMALL(Dong1,ROWS($1:85)),),""))</f>
        <v/>
      </c>
      <c r="D98" s="166" t="str">
        <f ca="1">IF(ROWS($1:85)&gt;COUNT(Dong1),"",IF(OFFSET(TH!O$1,SMALL(Dong1,ROWS($1:85)),)="1111",OFFSET(TH!D$1,SMALL(Dong1,ROWS($1:85)),),""))</f>
        <v>C46</v>
      </c>
      <c r="E98" s="375" t="str">
        <f ca="1">IF(ROWS($1:85)&gt;COUNT(Dong1),"",OFFSET(TH!F$1,SMALL(Dong1,ROWS($1:85)),))</f>
        <v>Cước VT - CNTT T1/2016</v>
      </c>
      <c r="F98" s="168" t="str">
        <f ca="1">IF(ROWS($1:85)&gt;COUNT(Dong1),"",IF(OFFSET(TH!O$1,SMALL(Dong1,ROWS($1:85)),)="1111",OFFSET(TH!N$1,SMALL(Dong1,ROWS($1:85)),),OFFSET(TH!O$1,SMALL(Dong1,ROWS($1:85)),)))</f>
        <v>642</v>
      </c>
      <c r="G98" s="169">
        <f ca="1">IF(ROWS($1:85)&gt;COUNT(Dong1),"",IF(OFFSET(TH!N$1,SMALL(Dong1,ROWS($1:85)),)="1111",OFFSET(TH!M$1,SMALL(Dong1,ROWS($1:85)),),0))</f>
        <v>0</v>
      </c>
      <c r="H98" s="167">
        <f ca="1">IF(ROWS($1:85)&gt;COUNT(Dong1),"",IF(OFFSET(TH!O$1,SMALL(Dong1,ROWS($1:85)),)="1111",OFFSET(TH!M$1,SMALL(Dong1,ROWS($1:85)),),0))</f>
        <v>1970034</v>
      </c>
      <c r="I98" s="165">
        <f t="shared" ca="1" si="1"/>
        <v>6078447490</v>
      </c>
      <c r="J98" s="170"/>
    </row>
    <row r="99" spans="1:12" ht="19.5" customHeight="1">
      <c r="A99" s="164">
        <f ca="1">IF(ROWS($1:86)&gt;COUNT(Dong1),"",OFFSET(TH!C$1,SMALL(Dong1,ROWS($1:86)),))</f>
        <v>42400</v>
      </c>
      <c r="B99" s="164">
        <f ca="1">IF(ROWS($1:86)&gt;COUNT(Dong1),"",OFFSET(TH!E$1,SMALL(Dong1,ROWS($1:86)),))</f>
        <v>42400</v>
      </c>
      <c r="C99" s="165" t="str">
        <f ca="1">IF(ROWS($1:86)&gt;COUNT(Dong1),"",IF(OFFSET(TH!N$1,SMALL(Dong1,ROWS($1:86)),)="1111",OFFSET(TH!D$1,SMALL(Dong1,ROWS($1:86)),),""))</f>
        <v/>
      </c>
      <c r="D99" s="166" t="str">
        <f ca="1">IF(ROWS($1:86)&gt;COUNT(Dong1),"",IF(OFFSET(TH!O$1,SMALL(Dong1,ROWS($1:86)),)="1111",OFFSET(TH!D$1,SMALL(Dong1,ROWS($1:86)),),""))</f>
        <v>C46</v>
      </c>
      <c r="E99" s="375" t="str">
        <f ca="1">IF(ROWS($1:86)&gt;COUNT(Dong1),"",OFFSET(TH!F$1,SMALL(Dong1,ROWS($1:86)),))</f>
        <v>VAT Cước VT - CNTT T1/2016</v>
      </c>
      <c r="F99" s="168" t="str">
        <f ca="1">IF(ROWS($1:86)&gt;COUNT(Dong1),"",IF(OFFSET(TH!O$1,SMALL(Dong1,ROWS($1:86)),)="1111",OFFSET(TH!N$1,SMALL(Dong1,ROWS($1:86)),),OFFSET(TH!O$1,SMALL(Dong1,ROWS($1:86)),)))</f>
        <v>1331</v>
      </c>
      <c r="G99" s="169">
        <f ca="1">IF(ROWS($1:86)&gt;COUNT(Dong1),"",IF(OFFSET(TH!N$1,SMALL(Dong1,ROWS($1:86)),)="1111",OFFSET(TH!M$1,SMALL(Dong1,ROWS($1:86)),),0))</f>
        <v>0</v>
      </c>
      <c r="H99" s="167">
        <f ca="1">IF(ROWS($1:86)&gt;COUNT(Dong1),"",IF(OFFSET(TH!O$1,SMALL(Dong1,ROWS($1:86)),)="1111",OFFSET(TH!M$1,SMALL(Dong1,ROWS($1:86)),),0))</f>
        <v>197003</v>
      </c>
      <c r="I99" s="165">
        <f t="shared" ca="1" si="1"/>
        <v>6078250487</v>
      </c>
      <c r="J99" s="170"/>
    </row>
    <row r="100" spans="1:12" ht="19.5" customHeight="1">
      <c r="A100" s="164">
        <f ca="1">IF(ROWS($1:87)&gt;COUNT(Dong1),"",OFFSET(TH!C$1,SMALL(Dong1,ROWS($1:87)),))</f>
        <v>42400</v>
      </c>
      <c r="B100" s="164">
        <f ca="1">IF(ROWS($1:87)&gt;COUNT(Dong1),"",OFFSET(TH!E$1,SMALL(Dong1,ROWS($1:87)),))</f>
        <v>42400</v>
      </c>
      <c r="C100" s="165" t="str">
        <f ca="1">IF(ROWS($1:87)&gt;COUNT(Dong1),"",IF(OFFSET(TH!N$1,SMALL(Dong1,ROWS($1:87)),)="1111",OFFSET(TH!D$1,SMALL(Dong1,ROWS($1:87)),),""))</f>
        <v/>
      </c>
      <c r="D100" s="166" t="str">
        <f ca="1">IF(ROWS($1:87)&gt;COUNT(Dong1),"",IF(OFFSET(TH!O$1,SMALL(Dong1,ROWS($1:87)),)="1111",OFFSET(TH!D$1,SMALL(Dong1,ROWS($1:87)),),""))</f>
        <v>C47</v>
      </c>
      <c r="E100" s="375" t="str">
        <f ca="1">IF(ROWS($1:87)&gt;COUNT(Dong1),"",OFFSET(TH!F$1,SMALL(Dong1,ROWS($1:87)),))</f>
        <v>Phí CPN</v>
      </c>
      <c r="F100" s="168" t="str">
        <f ca="1">IF(ROWS($1:87)&gt;COUNT(Dong1),"",IF(OFFSET(TH!O$1,SMALL(Dong1,ROWS($1:87)),)="1111",OFFSET(TH!N$1,SMALL(Dong1,ROWS($1:87)),),OFFSET(TH!O$1,SMALL(Dong1,ROWS($1:87)),)))</f>
        <v>642</v>
      </c>
      <c r="G100" s="169">
        <f ca="1">IF(ROWS($1:87)&gt;COUNT(Dong1),"",IF(OFFSET(TH!N$1,SMALL(Dong1,ROWS($1:87)),)="1111",OFFSET(TH!M$1,SMALL(Dong1,ROWS($1:87)),),0))</f>
        <v>0</v>
      </c>
      <c r="H100" s="167">
        <f ca="1">IF(ROWS($1:87)&gt;COUNT(Dong1),"",IF(OFFSET(TH!O$1,SMALL(Dong1,ROWS($1:87)),)="1111",OFFSET(TH!M$1,SMALL(Dong1,ROWS($1:87)),),0))</f>
        <v>354533</v>
      </c>
      <c r="I100" s="165">
        <f t="shared" ca="1" si="1"/>
        <v>6077895954</v>
      </c>
      <c r="J100" s="170"/>
    </row>
    <row r="101" spans="1:12" ht="19.5" customHeight="1">
      <c r="A101" s="164">
        <f ca="1">IF(ROWS($1:88)&gt;COUNT(Dong1),"",OFFSET(TH!C$1,SMALL(Dong1,ROWS($1:88)),))</f>
        <v>42400</v>
      </c>
      <c r="B101" s="164">
        <f ca="1">IF(ROWS($1:88)&gt;COUNT(Dong1),"",OFFSET(TH!E$1,SMALL(Dong1,ROWS($1:88)),))</f>
        <v>42400</v>
      </c>
      <c r="C101" s="165" t="str">
        <f ca="1">IF(ROWS($1:88)&gt;COUNT(Dong1),"",IF(OFFSET(TH!N$1,SMALL(Dong1,ROWS($1:88)),)="1111",OFFSET(TH!D$1,SMALL(Dong1,ROWS($1:88)),),""))</f>
        <v/>
      </c>
      <c r="D101" s="166" t="str">
        <f ca="1">IF(ROWS($1:88)&gt;COUNT(Dong1),"",IF(OFFSET(TH!O$1,SMALL(Dong1,ROWS($1:88)),)="1111",OFFSET(TH!D$1,SMALL(Dong1,ROWS($1:88)),),""))</f>
        <v>C47</v>
      </c>
      <c r="E101" s="375" t="str">
        <f ca="1">IF(ROWS($1:88)&gt;COUNT(Dong1),"",OFFSET(TH!F$1,SMALL(Dong1,ROWS($1:88)),))</f>
        <v>VAT Phí CPN</v>
      </c>
      <c r="F101" s="168" t="str">
        <f ca="1">IF(ROWS($1:88)&gt;COUNT(Dong1),"",IF(OFFSET(TH!O$1,SMALL(Dong1,ROWS($1:88)),)="1111",OFFSET(TH!N$1,SMALL(Dong1,ROWS($1:88)),),OFFSET(TH!O$1,SMALL(Dong1,ROWS($1:88)),)))</f>
        <v>1331</v>
      </c>
      <c r="G101" s="169">
        <f ca="1">IF(ROWS($1:88)&gt;COUNT(Dong1),"",IF(OFFSET(TH!N$1,SMALL(Dong1,ROWS($1:88)),)="1111",OFFSET(TH!M$1,SMALL(Dong1,ROWS($1:88)),),0))</f>
        <v>0</v>
      </c>
      <c r="H101" s="167">
        <f ca="1">IF(ROWS($1:88)&gt;COUNT(Dong1),"",IF(OFFSET(TH!O$1,SMALL(Dong1,ROWS($1:88)),)="1111",OFFSET(TH!M$1,SMALL(Dong1,ROWS($1:88)),),0))</f>
        <v>35453</v>
      </c>
      <c r="I101" s="165">
        <f ca="1">IF(E101&lt;&gt;"",I100+G101-H101,0)</f>
        <v>6077860501</v>
      </c>
      <c r="J101" s="170"/>
    </row>
    <row r="102" spans="1:12" ht="19.5" customHeight="1">
      <c r="A102" s="164">
        <f ca="1">IF(ROWS($1:89)&gt;COUNT(Dong1),"",OFFSET(TH!C$1,SMALL(Dong1,ROWS($1:89)),))</f>
        <v>42400</v>
      </c>
      <c r="B102" s="164">
        <f ca="1">IF(ROWS($1:89)&gt;COUNT(Dong1),"",OFFSET(TH!E$1,SMALL(Dong1,ROWS($1:89)),))</f>
        <v>42400</v>
      </c>
      <c r="C102" s="165" t="str">
        <f ca="1">IF(ROWS($1:89)&gt;COUNT(Dong1),"",IF(OFFSET(TH!N$1,SMALL(Dong1,ROWS($1:89)),)="1111",OFFSET(TH!D$1,SMALL(Dong1,ROWS($1:89)),),""))</f>
        <v/>
      </c>
      <c r="D102" s="166" t="str">
        <f ca="1">IF(ROWS($1:89)&gt;COUNT(Dong1),"",IF(OFFSET(TH!O$1,SMALL(Dong1,ROWS($1:89)),)="1111",OFFSET(TH!D$1,SMALL(Dong1,ROWS($1:89)),),""))</f>
        <v>C48</v>
      </c>
      <c r="E102" s="375" t="str">
        <f ca="1">IF(ROWS($1:89)&gt;COUNT(Dong1),"",OFFSET(TH!F$1,SMALL(Dong1,ROWS($1:89)),))</f>
        <v>Tạm ứng mua NL</v>
      </c>
      <c r="F102" s="168" t="str">
        <f ca="1">IF(ROWS($1:89)&gt;COUNT(Dong1),"",IF(OFFSET(TH!O$1,SMALL(Dong1,ROWS($1:89)),)="1111",OFFSET(TH!N$1,SMALL(Dong1,ROWS($1:89)),),OFFSET(TH!O$1,SMALL(Dong1,ROWS($1:89)),)))</f>
        <v>141</v>
      </c>
      <c r="G102" s="169">
        <f ca="1">IF(ROWS($1:89)&gt;COUNT(Dong1),"",IF(OFFSET(TH!N$1,SMALL(Dong1,ROWS($1:89)),)="1111",OFFSET(TH!M$1,SMALL(Dong1,ROWS($1:89)),),0))</f>
        <v>0</v>
      </c>
      <c r="H102" s="167">
        <f ca="1">IF(ROWS($1:89)&gt;COUNT(Dong1),"",IF(OFFSET(TH!O$1,SMALL(Dong1,ROWS($1:89)),)="1111",OFFSET(TH!M$1,SMALL(Dong1,ROWS($1:89)),),0))</f>
        <v>440000000</v>
      </c>
      <c r="I102" s="165">
        <f ca="1">IF(E102&lt;&gt;"",I101+G102-H102,0)</f>
        <v>5637860501</v>
      </c>
      <c r="J102" s="170"/>
    </row>
    <row r="103" spans="1:12" ht="19.5" customHeight="1">
      <c r="A103" s="164">
        <f ca="1">IF(ROWS($1:90)&gt;COUNT(Dong1),"",OFFSET(TH!C$1,SMALL(Dong1,ROWS($1:90)),))</f>
        <v>42400</v>
      </c>
      <c r="B103" s="164">
        <f ca="1">IF(ROWS($1:90)&gt;COUNT(Dong1),"",OFFSET(TH!E$1,SMALL(Dong1,ROWS($1:90)),))</f>
        <v>42400</v>
      </c>
      <c r="C103" s="165" t="str">
        <f ca="1">IF(ROWS($1:90)&gt;COUNT(Dong1),"",IF(OFFSET(TH!N$1,SMALL(Dong1,ROWS($1:90)),)="1111",OFFSET(TH!D$1,SMALL(Dong1,ROWS($1:90)),),""))</f>
        <v/>
      </c>
      <c r="D103" s="166" t="str">
        <f ca="1">IF(ROWS($1:90)&gt;COUNT(Dong1),"",IF(OFFSET(TH!O$1,SMALL(Dong1,ROWS($1:90)),)="1111",OFFSET(TH!D$1,SMALL(Dong1,ROWS($1:90)),),""))</f>
        <v>C49</v>
      </c>
      <c r="E103" s="375" t="str">
        <f ca="1">IF(ROWS($1:90)&gt;COUNT(Dong1),"",OFFSET(TH!F$1,SMALL(Dong1,ROWS($1:90)),))</f>
        <v>Thanh toán lương T1/2016</v>
      </c>
      <c r="F103" s="168" t="str">
        <f ca="1">IF(ROWS($1:90)&gt;COUNT(Dong1),"",IF(OFFSET(TH!O$1,SMALL(Dong1,ROWS($1:90)),)="1111",OFFSET(TH!N$1,SMALL(Dong1,ROWS($1:90)),),OFFSET(TH!O$1,SMALL(Dong1,ROWS($1:90)),)))</f>
        <v>3341</v>
      </c>
      <c r="G103" s="169">
        <f ca="1">IF(ROWS($1:90)&gt;COUNT(Dong1),"",IF(OFFSET(TH!N$1,SMALL(Dong1,ROWS($1:90)),)="1111",OFFSET(TH!M$1,SMALL(Dong1,ROWS($1:90)),),0))</f>
        <v>0</v>
      </c>
      <c r="H103" s="167">
        <f ca="1">IF(ROWS($1:90)&gt;COUNT(Dong1),"",IF(OFFSET(TH!O$1,SMALL(Dong1,ROWS($1:90)),)="1111",OFFSET(TH!M$1,SMALL(Dong1,ROWS($1:90)),),0))</f>
        <v>140608780</v>
      </c>
      <c r="I103" s="165">
        <f ca="1">IF(E103&lt;&gt;"",I102+G103-H103,0)</f>
        <v>5497251721</v>
      </c>
      <c r="J103" s="170"/>
    </row>
    <row r="104" spans="1:12" ht="19.5" customHeight="1">
      <c r="A104" s="164" t="str">
        <f ca="1">IF(ROWS($1:91)&gt;COUNT(Dong1),"",OFFSET(TH!C$1,SMALL(Dong1,ROWS($1:91)),))</f>
        <v/>
      </c>
      <c r="B104" s="164" t="str">
        <f ca="1">IF(ROWS($1:91)&gt;COUNT(Dong1),"",OFFSET(TH!E$1,SMALL(Dong1,ROWS($1:91)),))</f>
        <v/>
      </c>
      <c r="C104" s="165" t="str">
        <f ca="1">IF(ROWS($1:91)&gt;COUNT(Dong1),"",IF(OFFSET(TH!N$1,SMALL(Dong1,ROWS($1:91)),)="1111",OFFSET(TH!D$1,SMALL(Dong1,ROWS($1:91)),),""))</f>
        <v/>
      </c>
      <c r="D104" s="166" t="str">
        <f ca="1">IF(ROWS($1:91)&gt;COUNT(Dong1),"",IF(OFFSET(TH!O$1,SMALL(Dong1,ROWS($1:91)),)="1111",OFFSET(TH!D$1,SMALL(Dong1,ROWS($1:91)),),""))</f>
        <v/>
      </c>
      <c r="E104" s="375" t="str">
        <f ca="1">IF(ROWS($1:91)&gt;COUNT(Dong1),"",OFFSET(TH!F$1,SMALL(Dong1,ROWS($1:91)),))</f>
        <v/>
      </c>
      <c r="F104" s="168" t="str">
        <f ca="1">IF(ROWS($1:91)&gt;COUNT(Dong1),"",IF(OFFSET(TH!O$1,SMALL(Dong1,ROWS($1:91)),)="1111",OFFSET(TH!N$1,SMALL(Dong1,ROWS($1:91)),),OFFSET(TH!O$1,SMALL(Dong1,ROWS($1:91)),)))</f>
        <v/>
      </c>
      <c r="G104" s="169" t="str">
        <f ca="1">IF(ROWS($1:91)&gt;COUNT(Dong1),"",IF(OFFSET(TH!N$1,SMALL(Dong1,ROWS($1:91)),)="1111",OFFSET(TH!M$1,SMALL(Dong1,ROWS($1:91)),),0))</f>
        <v/>
      </c>
      <c r="H104" s="167" t="str">
        <f ca="1">IF(ROWS($1:91)&gt;COUNT(Dong1),"",IF(OFFSET(TH!O$1,SMALL(Dong1,ROWS($1:91)),)="1111",OFFSET(TH!M$1,SMALL(Dong1,ROWS($1:91)),),0))</f>
        <v/>
      </c>
      <c r="I104" s="165">
        <f ca="1">IF(E104&lt;&gt;"",I103+G104-H104,0)</f>
        <v>0</v>
      </c>
      <c r="J104" s="170"/>
    </row>
    <row r="105" spans="1:12" ht="19.5" customHeight="1">
      <c r="A105" s="171"/>
      <c r="B105" s="170"/>
      <c r="C105" s="170"/>
      <c r="D105" s="170"/>
      <c r="E105" s="376"/>
      <c r="F105" s="172"/>
      <c r="G105" s="170"/>
      <c r="H105" s="170"/>
      <c r="I105" s="165"/>
      <c r="J105" s="170"/>
    </row>
    <row r="106" spans="1:12" s="160" customFormat="1" ht="19.5" customHeight="1">
      <c r="A106" s="173"/>
      <c r="B106" s="173"/>
      <c r="C106" s="173"/>
      <c r="D106" s="173"/>
      <c r="E106" s="173" t="s">
        <v>158</v>
      </c>
      <c r="F106" s="174" t="s">
        <v>21</v>
      </c>
      <c r="G106" s="173">
        <f ca="1">SUM(G14:G105)</f>
        <v>6858920000</v>
      </c>
      <c r="H106" s="173">
        <f ca="1">SUM(H14:H105)</f>
        <v>5066707374</v>
      </c>
      <c r="I106" s="174" t="s">
        <v>21</v>
      </c>
      <c r="J106" s="174" t="s">
        <v>21</v>
      </c>
    </row>
    <row r="107" spans="1:12" s="160" customFormat="1" ht="19.5" customHeight="1">
      <c r="A107" s="175"/>
      <c r="B107" s="175"/>
      <c r="C107" s="175"/>
      <c r="D107" s="175"/>
      <c r="E107" s="175" t="s">
        <v>159</v>
      </c>
      <c r="F107" s="176" t="s">
        <v>21</v>
      </c>
      <c r="G107" s="176" t="s">
        <v>21</v>
      </c>
      <c r="H107" s="176" t="s">
        <v>21</v>
      </c>
      <c r="I107" s="177">
        <f ca="1">I13+G106-H106</f>
        <v>5497251721</v>
      </c>
      <c r="J107" s="176" t="s">
        <v>21</v>
      </c>
    </row>
    <row r="108" spans="1:12">
      <c r="L108" s="420" t="s">
        <v>252</v>
      </c>
    </row>
    <row r="109" spans="1:12">
      <c r="A109" s="178" t="s">
        <v>234</v>
      </c>
      <c r="L109" s="420" t="s">
        <v>253</v>
      </c>
    </row>
    <row r="110" spans="1:12">
      <c r="A110" s="227" t="str">
        <f ca="1">"- Ngày mở sổ: "&amp;DAY($A$14)&amp;"/"&amp;MONTH($A$14)&amp;"/ 2015"</f>
        <v>- Ngày mở sổ: 2/1/ 2015</v>
      </c>
      <c r="L110" s="420" t="s">
        <v>160</v>
      </c>
    </row>
    <row r="111" spans="1:12">
      <c r="I111" s="317" t="str">
        <f>"Ngày "&amp;IF(OR($L$11=4,$L$11=6,$L$11=9,$L$11=11),"30",IF($L$11=2,"28","31"))&amp;" tháng "&amp;$L$11&amp;"  năm  2016 "</f>
        <v xml:space="preserve">Ngày 31 tháng 1  năm  2016 </v>
      </c>
      <c r="L111" s="420" t="s">
        <v>234</v>
      </c>
    </row>
    <row r="112" spans="1:12" s="179" customFormat="1" ht="14.25">
      <c r="C112" s="179" t="s">
        <v>11</v>
      </c>
      <c r="E112" s="179" t="s">
        <v>12</v>
      </c>
      <c r="I112" s="179" t="s">
        <v>131</v>
      </c>
    </row>
    <row r="113" spans="1:10" s="180" customFormat="1">
      <c r="C113" s="180" t="s">
        <v>13</v>
      </c>
      <c r="E113" s="180" t="s">
        <v>13</v>
      </c>
      <c r="I113" s="180" t="s">
        <v>161</v>
      </c>
    </row>
    <row r="114" spans="1:10" s="180" customFormat="1"/>
    <row r="115" spans="1:10" s="180" customFormat="1"/>
    <row r="116" spans="1:10" s="180" customFormat="1"/>
    <row r="117" spans="1:10" s="180" customFormat="1"/>
    <row r="120" spans="1:10" ht="15.75">
      <c r="C120" s="373" t="s">
        <v>229</v>
      </c>
      <c r="I120" s="374" t="s">
        <v>125</v>
      </c>
    </row>
    <row r="121" spans="1:10">
      <c r="E121" s="155">
        <f ca="1">SUMIF($D$14:$D$36,#REF!,H14:H36)</f>
        <v>0</v>
      </c>
    </row>
    <row r="124" spans="1:10">
      <c r="A124" s="155">
        <v>2</v>
      </c>
      <c r="B124" s="155">
        <v>3</v>
      </c>
      <c r="C124" s="155">
        <v>4</v>
      </c>
      <c r="D124" s="155">
        <v>5</v>
      </c>
      <c r="E124" s="155">
        <v>6</v>
      </c>
      <c r="F124" s="155">
        <v>9</v>
      </c>
      <c r="G124" s="155">
        <v>10</v>
      </c>
      <c r="H124" s="155">
        <v>11</v>
      </c>
      <c r="I124" s="155">
        <v>12</v>
      </c>
      <c r="J124" s="155">
        <v>13</v>
      </c>
    </row>
  </sheetData>
  <autoFilter ref="A12:J107"/>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04">
    <cfRule type="expression" dxfId="3" priority="1" stopIfTrue="1">
      <formula>$B14&lt;&gt;""</formula>
    </cfRule>
  </conditionalFormatting>
  <dataValidations count="1">
    <dataValidation type="list" allowBlank="1" showInputMessage="1" showErrorMessage="1" sqref="L11">
      <formula1>"1,2,3,4,5,6,7,8,9,11,12"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64" activePane="bottomLeft" state="frozen"/>
      <selection activeCell="A5" sqref="A5"/>
      <selection pane="bottomLeft" activeCell="G75" sqref="G75:G76"/>
    </sheetView>
  </sheetViews>
  <sheetFormatPr defaultRowHeight="15.75"/>
  <cols>
    <col min="1" max="1" width="7.7109375" style="220" customWidth="1"/>
    <col min="2" max="2" width="7.42578125" style="221" customWidth="1"/>
    <col min="3" max="3" width="7.7109375" style="220" customWidth="1"/>
    <col min="4" max="4" width="40.7109375" style="219" customWidth="1"/>
    <col min="5" max="5" width="7.7109375" style="219" customWidth="1"/>
    <col min="6" max="6" width="15.5703125" style="219" customWidth="1"/>
    <col min="7" max="7" width="16.28515625" style="219" customWidth="1"/>
    <col min="8" max="8" width="15.28515625" style="736" customWidth="1"/>
    <col min="9" max="9" width="6.5703125" style="219" customWidth="1"/>
    <col min="10" max="10" width="2.85546875" style="219" customWidth="1"/>
    <col min="11" max="11" width="6.28515625" style="219" customWidth="1"/>
    <col min="12" max="12" width="3.28515625" style="219" customWidth="1"/>
    <col min="13" max="13" width="5.7109375" style="219" customWidth="1"/>
    <col min="14" max="14" width="9.140625" style="219"/>
    <col min="15" max="15" width="12.85546875" style="219" bestFit="1" customWidth="1"/>
    <col min="16" max="19" width="12.7109375" style="219" customWidth="1"/>
    <col min="20" max="20" width="12" style="219" bestFit="1" customWidth="1"/>
    <col min="21" max="16384" width="9.140625" style="219"/>
  </cols>
  <sheetData>
    <row r="1" spans="1:20" s="184" customFormat="1" ht="16.5" customHeight="1">
      <c r="A1" s="131" t="s">
        <v>138</v>
      </c>
      <c r="B1" s="185"/>
      <c r="C1" s="186"/>
      <c r="F1" s="377"/>
      <c r="G1" s="379" t="s">
        <v>235</v>
      </c>
      <c r="H1" s="1149"/>
      <c r="I1" s="377"/>
      <c r="K1" s="187"/>
      <c r="L1" s="187"/>
    </row>
    <row r="2" spans="1:20" s="184" customFormat="1" ht="16.5" customHeight="1">
      <c r="A2" s="381" t="s">
        <v>139</v>
      </c>
      <c r="B2" s="222"/>
      <c r="C2" s="222"/>
      <c r="D2" s="222"/>
      <c r="F2" s="378"/>
      <c r="G2" s="380" t="s">
        <v>236</v>
      </c>
      <c r="H2" s="1150"/>
      <c r="I2" s="378"/>
      <c r="K2" s="188"/>
      <c r="L2" s="188"/>
    </row>
    <row r="3" spans="1:20" s="184" customFormat="1" ht="16.5" customHeight="1">
      <c r="A3" s="222"/>
      <c r="B3" s="222"/>
      <c r="C3" s="222"/>
      <c r="D3" s="222"/>
      <c r="F3" s="378"/>
      <c r="G3" s="380" t="s">
        <v>237</v>
      </c>
      <c r="H3" s="1150"/>
      <c r="I3" s="378"/>
    </row>
    <row r="4" spans="1:20" s="184" customFormat="1" ht="19.5" customHeight="1">
      <c r="A4" s="1287" t="s">
        <v>165</v>
      </c>
      <c r="B4" s="1287"/>
      <c r="C4" s="1287"/>
      <c r="D4" s="1287"/>
      <c r="E4" s="1287"/>
      <c r="F4" s="1287"/>
      <c r="G4" s="1287"/>
      <c r="H4" s="1287"/>
      <c r="I4" s="1287"/>
    </row>
    <row r="5" spans="1:20" s="184" customFormat="1" ht="15">
      <c r="A5" s="1288" t="str">
        <f>"Nơi mở tài khoản giao dịch: "&amp;IF($M$9="Q11","Ngân Hàng Eximbank Quận 11",IF($M$9="Q4","Ngân Hàng Eximbank Quận 4","Ngân Hàng PV Combank - CN Gia Định"))</f>
        <v>Nơi mở tài khoản giao dịch: Ngân Hàng Eximbank Quận 11</v>
      </c>
      <c r="B5" s="1288"/>
      <c r="C5" s="1288"/>
      <c r="D5" s="1288"/>
      <c r="E5" s="1288"/>
      <c r="F5" s="1288"/>
      <c r="G5" s="1288"/>
      <c r="H5" s="1288"/>
      <c r="I5" s="1288"/>
    </row>
    <row r="6" spans="1:20" s="184" customFormat="1" ht="15">
      <c r="D6" s="446" t="s">
        <v>270</v>
      </c>
      <c r="E6" s="1288" t="str">
        <f>IF($H$6="VNĐ",IF($M$9="Q11","1015 148 5100 9180",IF($M$9="Q4","1402 148 5100 9465","0000 0000 6072")),IF($M$9="Q11","1015 148 5100 9193",IF($M$9="Q4","1402 148 5100 9479","3700 0000 6072")))</f>
        <v>1015 148 5100 9180</v>
      </c>
      <c r="F6" s="1288"/>
      <c r="G6" s="1288"/>
      <c r="H6" s="1151" t="s">
        <v>130</v>
      </c>
      <c r="I6" s="447" t="str">
        <f>IF(H6="VNĐ","1121",IF(H6="USD","1122",""))</f>
        <v>1121</v>
      </c>
      <c r="O6" s="1285" t="s">
        <v>921</v>
      </c>
      <c r="P6" s="1285" t="s">
        <v>919</v>
      </c>
      <c r="Q6" s="1285" t="s">
        <v>918</v>
      </c>
      <c r="R6" s="1289" t="s">
        <v>1565</v>
      </c>
      <c r="S6" s="1285" t="s">
        <v>924</v>
      </c>
    </row>
    <row r="7" spans="1:20" s="184" customFormat="1" ht="8.25" customHeight="1">
      <c r="A7" s="189"/>
      <c r="B7" s="190"/>
      <c r="C7" s="189"/>
      <c r="D7" s="190"/>
      <c r="E7" s="190"/>
      <c r="F7" s="190"/>
      <c r="G7" s="190"/>
      <c r="H7" s="1152"/>
      <c r="I7" s="190"/>
      <c r="O7" s="1286"/>
      <c r="P7" s="1286"/>
      <c r="Q7" s="1286"/>
      <c r="R7" s="1290"/>
      <c r="S7" s="1286"/>
    </row>
    <row r="8" spans="1:20" s="191" customFormat="1" ht="22.5" customHeight="1" thickBot="1">
      <c r="A8" s="1293" t="s">
        <v>166</v>
      </c>
      <c r="B8" s="1295" t="s">
        <v>1</v>
      </c>
      <c r="C8" s="1296"/>
      <c r="D8" s="1291" t="s">
        <v>0</v>
      </c>
      <c r="E8" s="1297" t="s">
        <v>16</v>
      </c>
      <c r="F8" s="1295" t="s">
        <v>167</v>
      </c>
      <c r="G8" s="1295"/>
      <c r="H8" s="1296"/>
      <c r="I8" s="1291" t="s">
        <v>152</v>
      </c>
      <c r="K8" s="182"/>
      <c r="L8" s="184"/>
      <c r="O8" s="942" t="s">
        <v>923</v>
      </c>
      <c r="P8" s="432">
        <v>1749.9699999988079</v>
      </c>
      <c r="Q8" s="432">
        <v>97840.270000000019</v>
      </c>
      <c r="R8" s="432">
        <v>0</v>
      </c>
      <c r="S8" s="432">
        <v>0</v>
      </c>
      <c r="T8" s="944">
        <f>SUM(P8:S8)</f>
        <v>99590.239999998827</v>
      </c>
    </row>
    <row r="9" spans="1:20" s="191" customFormat="1" ht="22.5" customHeight="1" thickBot="1">
      <c r="A9" s="1294"/>
      <c r="B9" s="192" t="s">
        <v>17</v>
      </c>
      <c r="C9" s="193" t="s">
        <v>168</v>
      </c>
      <c r="D9" s="1292"/>
      <c r="E9" s="1298"/>
      <c r="F9" s="427" t="s">
        <v>169</v>
      </c>
      <c r="G9" s="194" t="s">
        <v>170</v>
      </c>
      <c r="H9" s="1153" t="s">
        <v>171</v>
      </c>
      <c r="I9" s="1292"/>
      <c r="K9" s="939">
        <v>6</v>
      </c>
      <c r="L9" s="184"/>
      <c r="M9" s="940" t="s">
        <v>919</v>
      </c>
      <c r="O9" s="941" t="s">
        <v>922</v>
      </c>
      <c r="P9" s="943">
        <v>12092853</v>
      </c>
      <c r="Q9" s="943">
        <v>7626450</v>
      </c>
      <c r="R9" s="943">
        <v>0</v>
      </c>
      <c r="S9" s="943">
        <v>109992</v>
      </c>
      <c r="T9" s="945">
        <f>SUM(P9:S9)</f>
        <v>19829295</v>
      </c>
    </row>
    <row r="10" spans="1:20" s="197" customFormat="1" ht="15">
      <c r="A10" s="195" t="s">
        <v>2</v>
      </c>
      <c r="B10" s="196" t="s">
        <v>3</v>
      </c>
      <c r="C10" s="195" t="s">
        <v>4</v>
      </c>
      <c r="D10" s="196" t="s">
        <v>5</v>
      </c>
      <c r="E10" s="196" t="s">
        <v>6</v>
      </c>
      <c r="F10" s="196">
        <v>1</v>
      </c>
      <c r="G10" s="196">
        <v>2</v>
      </c>
      <c r="H10" s="196">
        <v>3</v>
      </c>
      <c r="I10" s="196" t="s">
        <v>155</v>
      </c>
      <c r="L10" s="184"/>
    </row>
    <row r="11" spans="1:20" s="201" customFormat="1" ht="20.25" customHeight="1">
      <c r="A11" s="198"/>
      <c r="B11" s="199"/>
      <c r="C11" s="198"/>
      <c r="D11" s="200" t="s">
        <v>7</v>
      </c>
      <c r="E11" s="200"/>
      <c r="F11" s="946"/>
      <c r="G11" s="946"/>
      <c r="H11" s="946">
        <f>IF($H$6="USD",IF($M$9="Q11",$P$8,IF($M$9="Q4",$Q$8,$R$8))+SUMIF(_N112,"x",_TH)-SUMIF(_C112,"x",_TH),IF($M$9="Q11",$P$9,IF($M$9="Q4",$Q$9,$R$9))+SUMIF(_N112,"x",TH)-SUMIF(_C112,"x",TH))</f>
        <v>6276233</v>
      </c>
      <c r="I11" s="946"/>
      <c r="L11" s="184"/>
    </row>
    <row r="12" spans="1:20" s="191" customFormat="1" ht="20.25" customHeight="1">
      <c r="A12" s="202">
        <f ca="1">IF(ROWS($1:1)&gt;COUNT(Dong2),"",OFFSET(TH!C$1,SMALL(Dong2,ROWS($1:1)),))</f>
        <v>42523</v>
      </c>
      <c r="B12" s="202" t="str">
        <f ca="1">IF(ROWS($1:1)&gt;COUNT(Dong2),"",OFFSET(TH!D$1,SMALL(Dong2,ROWS($1:1)),))</f>
        <v>C03</v>
      </c>
      <c r="C12" s="202">
        <f ca="1">IF(ROWS($1:1)&gt;COUNT(Dong2),"",OFFSET(TH!E$1,SMALL(Dong2,ROWS($1:1)),))</f>
        <v>42523</v>
      </c>
      <c r="D12" s="382" t="str">
        <f ca="1">IF(ROWS($1:1)&gt;COUNT(Dong2),"",OFFSET(TH!F$1,SMALL(Dong2,ROWS($1:1)),))</f>
        <v>Nộp tiền mặt vào TK NH</v>
      </c>
      <c r="E12" s="202" t="str">
        <f ca="1">IF(ROWS($1:1)&gt;COUNT(Dong2),"",IF(OFFSET(TH!O$1,SMALL(Dong2,ROWS($1:1)),)=$I$6,OFFSET(TH!N$1,SMALL(Dong2,ROWS($1:1)),),OFFSET(TH!O$1,SMALL(Dong2,ROWS($1:1)),)))</f>
        <v>1111</v>
      </c>
      <c r="F12" s="1173">
        <f ca="1">IF(ROWS($1:1)&gt;COUNT(Dong2),"",IF(AND(IF($M$9="Q11",LEFT(OFFSET(TH!G$1,SMALL(Dong2,ROWS($1:1)),),3)=$M$9,LEFT(OFFSET(TH!G$1,SMALL(Dong2,ROWS($1:1)),),2)=$M$9),OFFSET(TH!N$1,SMALL(Dong2,ROWS($1:1)),)=$I$6),IF($I$6="1121",OFFSET(TH!M$1,SMALL(Dong2,ROWS($1:1)),),OFFSET(TH!K$1,SMALL(Dong2,ROWS($1:1)),)),0))</f>
        <v>35000000</v>
      </c>
      <c r="G12" s="1173">
        <f ca="1">IF(ROWS($1:1)&gt;COUNT(Dong2),"",IF(AND(IF($M$9="Q11",RIGHT(OFFSET(TH!G$1,SMALL(Dong2,ROWS($1:1)),),3)=$M$9,RIGHT(OFFSET(TH!G$1,SMALL(Dong2,ROWS($1:1)),),2)=$M$9),OFFSET(TH!O$1,SMALL(Dong2,ROWS($1:1)),)=$I$6),IF($I$6="1121",OFFSET(TH!M$1,SMALL(Dong2,ROWS($1:1)),),OFFSET(TH!K$1,SMALL(Dong2,ROWS($1:1)),)),0))</f>
        <v>0</v>
      </c>
      <c r="H12" s="947">
        <f ca="1">IF(A12&lt;&gt;"",H11+F12-G12,0)</f>
        <v>41276233</v>
      </c>
      <c r="I12" s="947"/>
      <c r="L12" s="184"/>
    </row>
    <row r="13" spans="1:20" s="191" customFormat="1" ht="20.25" customHeight="1">
      <c r="A13" s="202">
        <f ca="1">IF(ROWS($1:2)&gt;COUNT(Dong2),"",OFFSET(TH!C$1,SMALL(Dong2,ROWS($1:2)),))</f>
        <v>42523</v>
      </c>
      <c r="B13" s="202" t="str">
        <f ca="1">IF(ROWS($1:2)&gt;COUNT(Dong2),"",OFFSET(TH!D$1,SMALL(Dong2,ROWS($1:2)),))</f>
        <v>GBN</v>
      </c>
      <c r="C13" s="202">
        <f ca="1">IF(ROWS($1:2)&gt;COUNT(Dong2),"",OFFSET(TH!E$1,SMALL(Dong2,ROWS($1:2)),))</f>
        <v>42523</v>
      </c>
      <c r="D13" s="382" t="str">
        <f ca="1">IF(ROWS($1:2)&gt;COUNT(Dong2),"",OFFSET(TH!F$1,SMALL(Dong2,ROWS($1:2)),))</f>
        <v>Thanh toán tiền điện Kỳ 2 T5/2016</v>
      </c>
      <c r="E13" s="202" t="str">
        <f ca="1">IF(ROWS($1:2)&gt;COUNT(Dong2),"",IF(OFFSET(TH!O$1,SMALL(Dong2,ROWS($1:2)),)=$I$6,OFFSET(TH!N$1,SMALL(Dong2,ROWS($1:2)),),OFFSET(TH!O$1,SMALL(Dong2,ROWS($1:2)),)))</f>
        <v>331</v>
      </c>
      <c r="F13" s="1173">
        <f ca="1">IF(ROWS($1:2)&gt;COUNT(Dong2),"",IF(AND(IF($M$9="Q11",LEFT(OFFSET(TH!G$1,SMALL(Dong2,ROWS($1:2)),),3)=$M$9,LEFT(OFFSET(TH!G$1,SMALL(Dong2,ROWS($1:2)),),2)=$M$9),OFFSET(TH!N$1,SMALL(Dong2,ROWS($1:2)),)=$I$6),IF($I$6="1121",OFFSET(TH!M$1,SMALL(Dong2,ROWS($1:2)),),OFFSET(TH!K$1,SMALL(Dong2,ROWS($1:2)),)),0))</f>
        <v>0</v>
      </c>
      <c r="G13" s="1173">
        <f ca="1">IF(ROWS($1:2)&gt;COUNT(Dong2),"",IF(AND(IF($M$9="Q11",RIGHT(OFFSET(TH!G$1,SMALL(Dong2,ROWS($1:2)),),3)=$M$9,RIGHT(OFFSET(TH!G$1,SMALL(Dong2,ROWS($1:2)),),2)=$M$9),OFFSET(TH!O$1,SMALL(Dong2,ROWS($1:2)),)=$I$6),IF($I$6="1121",OFFSET(TH!M$1,SMALL(Dong2,ROWS($1:2)),),OFFSET(TH!K$1,SMALL(Dong2,ROWS($1:2)),)),0))</f>
        <v>35415270</v>
      </c>
      <c r="H13" s="947">
        <f t="shared" ref="H13:H76" ca="1" si="0">IF(A13&lt;&gt;"",H12+F13-G13,0)</f>
        <v>5860963</v>
      </c>
      <c r="I13" s="947"/>
      <c r="L13" s="184"/>
    </row>
    <row r="14" spans="1:20" s="191" customFormat="1" ht="20.25" customHeight="1">
      <c r="A14" s="202">
        <f ca="1">IF(ROWS($1:3)&gt;COUNT(Dong2),"",OFFSET(TH!C$1,SMALL(Dong2,ROWS($1:3)),))</f>
        <v>42523</v>
      </c>
      <c r="B14" s="202" t="str">
        <f ca="1">IF(ROWS($1:3)&gt;COUNT(Dong2),"",OFFSET(TH!D$1,SMALL(Dong2,ROWS($1:3)),))</f>
        <v>GBN</v>
      </c>
      <c r="C14" s="202">
        <f ca="1">IF(ROWS($1:3)&gt;COUNT(Dong2),"",OFFSET(TH!E$1,SMALL(Dong2,ROWS($1:3)),))</f>
        <v>42523</v>
      </c>
      <c r="D14" s="382" t="str">
        <f ca="1">IF(ROWS($1:3)&gt;COUNT(Dong2),"",OFFSET(TH!F$1,SMALL(Dong2,ROWS($1:3)),))</f>
        <v>Phí dịch vụ</v>
      </c>
      <c r="E14" s="202" t="str">
        <f ca="1">IF(ROWS($1:3)&gt;COUNT(Dong2),"",IF(OFFSET(TH!O$1,SMALL(Dong2,ROWS($1:3)),)=$I$6,OFFSET(TH!N$1,SMALL(Dong2,ROWS($1:3)),),OFFSET(TH!O$1,SMALL(Dong2,ROWS($1:3)),)))</f>
        <v>642</v>
      </c>
      <c r="F14" s="1173">
        <f ca="1">IF(ROWS($1:3)&gt;COUNT(Dong2),"",IF(AND(IF($M$9="Q11",LEFT(OFFSET(TH!G$1,SMALL(Dong2,ROWS($1:3)),),3)=$M$9,LEFT(OFFSET(TH!G$1,SMALL(Dong2,ROWS($1:3)),),2)=$M$9),OFFSET(TH!N$1,SMALL(Dong2,ROWS($1:3)),)=$I$6),IF($I$6="1121",OFFSET(TH!M$1,SMALL(Dong2,ROWS($1:3)),),OFFSET(TH!K$1,SMALL(Dong2,ROWS($1:3)),)),0))</f>
        <v>0</v>
      </c>
      <c r="G14" s="1173">
        <f ca="1">IF(ROWS($1:3)&gt;COUNT(Dong2),"",IF(AND(IF($M$9="Q11",RIGHT(OFFSET(TH!G$1,SMALL(Dong2,ROWS($1:3)),),3)=$M$9,RIGHT(OFFSET(TH!G$1,SMALL(Dong2,ROWS($1:3)),),2)=$M$9),OFFSET(TH!O$1,SMALL(Dong2,ROWS($1:3)),)=$I$6),IF($I$6="1121",OFFSET(TH!M$1,SMALL(Dong2,ROWS($1:3)),),OFFSET(TH!K$1,SMALL(Dong2,ROWS($1:3)),)),0))</f>
        <v>45000</v>
      </c>
      <c r="H14" s="947">
        <f t="shared" ca="1" si="0"/>
        <v>5815963</v>
      </c>
      <c r="I14" s="947"/>
      <c r="L14" s="184"/>
    </row>
    <row r="15" spans="1:20" s="191" customFormat="1" ht="20.25" customHeight="1">
      <c r="A15" s="202">
        <f ca="1">IF(ROWS($1:4)&gt;COUNT(Dong2),"",OFFSET(TH!C$1,SMALL(Dong2,ROWS($1:4)),))</f>
        <v>42523</v>
      </c>
      <c r="B15" s="202" t="str">
        <f ca="1">IF(ROWS($1:4)&gt;COUNT(Dong2),"",OFFSET(TH!D$1,SMALL(Dong2,ROWS($1:4)),))</f>
        <v>GBN</v>
      </c>
      <c r="C15" s="202">
        <f ca="1">IF(ROWS($1:4)&gt;COUNT(Dong2),"",OFFSET(TH!E$1,SMALL(Dong2,ROWS($1:4)),))</f>
        <v>42523</v>
      </c>
      <c r="D15" s="382" t="str">
        <f ca="1">IF(ROWS($1:4)&gt;COUNT(Dong2),"",OFFSET(TH!F$1,SMALL(Dong2,ROWS($1:4)),))</f>
        <v>VAT Phí dịch vụ</v>
      </c>
      <c r="E15" s="202" t="str">
        <f ca="1">IF(ROWS($1:4)&gt;COUNT(Dong2),"",IF(OFFSET(TH!O$1,SMALL(Dong2,ROWS($1:4)),)=$I$6,OFFSET(TH!N$1,SMALL(Dong2,ROWS($1:4)),),OFFSET(TH!O$1,SMALL(Dong2,ROWS($1:4)),)))</f>
        <v>1331</v>
      </c>
      <c r="F15" s="1173">
        <f ca="1">IF(ROWS($1:4)&gt;COUNT(Dong2),"",IF(AND(IF($M$9="Q11",LEFT(OFFSET(TH!G$1,SMALL(Dong2,ROWS($1:4)),),3)=$M$9,LEFT(OFFSET(TH!G$1,SMALL(Dong2,ROWS($1:4)),),2)=$M$9),OFFSET(TH!N$1,SMALL(Dong2,ROWS($1:4)),)=$I$6),IF($I$6="1121",OFFSET(TH!M$1,SMALL(Dong2,ROWS($1:4)),),OFFSET(TH!K$1,SMALL(Dong2,ROWS($1:4)),)),0))</f>
        <v>0</v>
      </c>
      <c r="G15" s="1173">
        <f ca="1">IF(ROWS($1:4)&gt;COUNT(Dong2),"",IF(AND(IF($M$9="Q11",RIGHT(OFFSET(TH!G$1,SMALL(Dong2,ROWS($1:4)),),3)=$M$9,RIGHT(OFFSET(TH!G$1,SMALL(Dong2,ROWS($1:4)),),2)=$M$9),OFFSET(TH!O$1,SMALL(Dong2,ROWS($1:4)),)=$I$6),IF($I$6="1121",OFFSET(TH!M$1,SMALL(Dong2,ROWS($1:4)),),OFFSET(TH!K$1,SMALL(Dong2,ROWS($1:4)),)),0))</f>
        <v>4500</v>
      </c>
      <c r="H15" s="947">
        <f t="shared" ca="1" si="0"/>
        <v>5811463</v>
      </c>
      <c r="I15" s="947"/>
      <c r="L15" s="184"/>
    </row>
    <row r="16" spans="1:20" s="191" customFormat="1" ht="20.25" customHeight="1">
      <c r="A16" s="202">
        <f ca="1">IF(ROWS($1:5)&gt;COUNT(Dong2),"",OFFSET(TH!C$1,SMALL(Dong2,ROWS($1:5)),))</f>
        <v>42523</v>
      </c>
      <c r="B16" s="202" t="str">
        <f ca="1">IF(ROWS($1:5)&gt;COUNT(Dong2),"",OFFSET(TH!D$1,SMALL(Dong2,ROWS($1:5)),))</f>
        <v>GBN</v>
      </c>
      <c r="C16" s="202">
        <f ca="1">IF(ROWS($1:5)&gt;COUNT(Dong2),"",OFFSET(TH!E$1,SMALL(Dong2,ROWS($1:5)),))</f>
        <v>42523</v>
      </c>
      <c r="D16" s="382" t="str">
        <f ca="1">IF(ROWS($1:5)&gt;COUNT(Dong2),"",OFFSET(TH!F$1,SMALL(Dong2,ROWS($1:5)),))</f>
        <v>Phí thông báo bộ chứng từ nhờ thu</v>
      </c>
      <c r="E16" s="202" t="str">
        <f ca="1">IF(ROWS($1:5)&gt;COUNT(Dong2),"",IF(OFFSET(TH!O$1,SMALL(Dong2,ROWS($1:5)),)=$I$6,OFFSET(TH!N$1,SMALL(Dong2,ROWS($1:5)),),OFFSET(TH!O$1,SMALL(Dong2,ROWS($1:5)),)))</f>
        <v>642</v>
      </c>
      <c r="F16" s="1173">
        <f ca="1">IF(ROWS($1:5)&gt;COUNT(Dong2),"",IF(AND(IF($M$9="Q11",LEFT(OFFSET(TH!G$1,SMALL(Dong2,ROWS($1:5)),),3)=$M$9,LEFT(OFFSET(TH!G$1,SMALL(Dong2,ROWS($1:5)),),2)=$M$9),OFFSET(TH!N$1,SMALL(Dong2,ROWS($1:5)),)=$I$6),IF($I$6="1121",OFFSET(TH!M$1,SMALL(Dong2,ROWS($1:5)),),OFFSET(TH!K$1,SMALL(Dong2,ROWS($1:5)),)),0))</f>
        <v>0</v>
      </c>
      <c r="G16" s="1173">
        <f ca="1">IF(ROWS($1:5)&gt;COUNT(Dong2),"",IF(AND(IF($M$9="Q11",RIGHT(OFFSET(TH!G$1,SMALL(Dong2,ROWS($1:5)),),3)=$M$9,RIGHT(OFFSET(TH!G$1,SMALL(Dong2,ROWS($1:5)),),2)=$M$9),OFFSET(TH!O$1,SMALL(Dong2,ROWS($1:5)),)=$I$6),IF($I$6="1121",OFFSET(TH!M$1,SMALL(Dong2,ROWS($1:5)),),OFFSET(TH!K$1,SMALL(Dong2,ROWS($1:5)),)),0))</f>
        <v>112450</v>
      </c>
      <c r="H16" s="947">
        <f t="shared" ca="1" si="0"/>
        <v>5699013</v>
      </c>
      <c r="I16" s="947"/>
      <c r="L16" s="184"/>
    </row>
    <row r="17" spans="1:15" s="191" customFormat="1" ht="20.25" customHeight="1">
      <c r="A17" s="202">
        <f ca="1">IF(ROWS($1:6)&gt;COUNT(Dong2),"",OFFSET(TH!C$1,SMALL(Dong2,ROWS($1:6)),))</f>
        <v>42523</v>
      </c>
      <c r="B17" s="202" t="str">
        <f ca="1">IF(ROWS($1:6)&gt;COUNT(Dong2),"",OFFSET(TH!D$1,SMALL(Dong2,ROWS($1:6)),))</f>
        <v>GBN</v>
      </c>
      <c r="C17" s="202">
        <f ca="1">IF(ROWS($1:6)&gt;COUNT(Dong2),"",OFFSET(TH!E$1,SMALL(Dong2,ROWS($1:6)),))</f>
        <v>42523</v>
      </c>
      <c r="D17" s="382" t="str">
        <f ca="1">IF(ROWS($1:6)&gt;COUNT(Dong2),"",OFFSET(TH!F$1,SMALL(Dong2,ROWS($1:6)),))</f>
        <v>VAT Phí thông báo bộ chứng từ nhờ thu</v>
      </c>
      <c r="E17" s="202" t="str">
        <f ca="1">IF(ROWS($1:6)&gt;COUNT(Dong2),"",IF(OFFSET(TH!O$1,SMALL(Dong2,ROWS($1:6)),)=$I$6,OFFSET(TH!N$1,SMALL(Dong2,ROWS($1:6)),),OFFSET(TH!O$1,SMALL(Dong2,ROWS($1:6)),)))</f>
        <v>1331</v>
      </c>
      <c r="F17" s="1173">
        <f ca="1">IF(ROWS($1:6)&gt;COUNT(Dong2),"",IF(AND(IF($M$9="Q11",LEFT(OFFSET(TH!G$1,SMALL(Dong2,ROWS($1:6)),),3)=$M$9,LEFT(OFFSET(TH!G$1,SMALL(Dong2,ROWS($1:6)),),2)=$M$9),OFFSET(TH!N$1,SMALL(Dong2,ROWS($1:6)),)=$I$6),IF($I$6="1121",OFFSET(TH!M$1,SMALL(Dong2,ROWS($1:6)),),OFFSET(TH!K$1,SMALL(Dong2,ROWS($1:6)),)),0))</f>
        <v>0</v>
      </c>
      <c r="G17" s="1173">
        <f ca="1">IF(ROWS($1:6)&gt;COUNT(Dong2),"",IF(AND(IF($M$9="Q11",RIGHT(OFFSET(TH!G$1,SMALL(Dong2,ROWS($1:6)),),3)=$M$9,RIGHT(OFFSET(TH!G$1,SMALL(Dong2,ROWS($1:6)),),2)=$M$9),OFFSET(TH!O$1,SMALL(Dong2,ROWS($1:6)),)=$I$6),IF($I$6="1121",OFFSET(TH!M$1,SMALL(Dong2,ROWS($1:6)),),OFFSET(TH!K$1,SMALL(Dong2,ROWS($1:6)),)),0))</f>
        <v>11245</v>
      </c>
      <c r="H17" s="947">
        <f t="shared" ca="1" si="0"/>
        <v>5687768</v>
      </c>
      <c r="I17" s="947"/>
      <c r="L17" s="184"/>
    </row>
    <row r="18" spans="1:15" s="191" customFormat="1" ht="20.25" customHeight="1">
      <c r="A18" s="202">
        <f ca="1">IF(ROWS($1:7)&gt;COUNT(Dong2),"",OFFSET(TH!C$1,SMALL(Dong2,ROWS($1:7)),))</f>
        <v>42527</v>
      </c>
      <c r="B18" s="202" t="str">
        <f ca="1">IF(ROWS($1:7)&gt;COUNT(Dong2),"",OFFSET(TH!D$1,SMALL(Dong2,ROWS($1:7)),))</f>
        <v>GBN</v>
      </c>
      <c r="C18" s="202">
        <f ca="1">IF(ROWS($1:7)&gt;COUNT(Dong2),"",OFFSET(TH!E$1,SMALL(Dong2,ROWS($1:7)),))</f>
        <v>42527</v>
      </c>
      <c r="D18" s="382" t="str">
        <f ca="1">IF(ROWS($1:7)&gt;COUNT(Dong2),"",OFFSET(TH!F$1,SMALL(Dong2,ROWS($1:7)),))</f>
        <v>Nộp lệ phí hải quan</v>
      </c>
      <c r="E18" s="202" t="str">
        <f ca="1">IF(ROWS($1:7)&gt;COUNT(Dong2),"",IF(OFFSET(TH!O$1,SMALL(Dong2,ROWS($1:7)),)=$I$6,OFFSET(TH!N$1,SMALL(Dong2,ROWS($1:7)),),OFFSET(TH!O$1,SMALL(Dong2,ROWS($1:7)),)))</f>
        <v>642</v>
      </c>
      <c r="F18" s="1173">
        <f ca="1">IF(ROWS($1:7)&gt;COUNT(Dong2),"",IF(AND(IF($M$9="Q11",LEFT(OFFSET(TH!G$1,SMALL(Dong2,ROWS($1:7)),),3)=$M$9,LEFT(OFFSET(TH!G$1,SMALL(Dong2,ROWS($1:7)),),2)=$M$9),OFFSET(TH!N$1,SMALL(Dong2,ROWS($1:7)),)=$I$6),IF($I$6="1121",OFFSET(TH!M$1,SMALL(Dong2,ROWS($1:7)),),OFFSET(TH!K$1,SMALL(Dong2,ROWS($1:7)),)),0))</f>
        <v>0</v>
      </c>
      <c r="G18" s="1173">
        <f ca="1">IF(ROWS($1:7)&gt;COUNT(Dong2),"",IF(AND(IF($M$9="Q11",RIGHT(OFFSET(TH!G$1,SMALL(Dong2,ROWS($1:7)),),3)=$M$9,RIGHT(OFFSET(TH!G$1,SMALL(Dong2,ROWS($1:7)),),2)=$M$9),OFFSET(TH!O$1,SMALL(Dong2,ROWS($1:7)),)=$I$6),IF($I$6="1121",OFFSET(TH!M$1,SMALL(Dong2,ROWS($1:7)),),OFFSET(TH!K$1,SMALL(Dong2,ROWS($1:7)),)),0))</f>
        <v>20000</v>
      </c>
      <c r="H18" s="947">
        <f t="shared" ca="1" si="0"/>
        <v>5667768</v>
      </c>
      <c r="I18" s="947"/>
      <c r="L18" s="184"/>
    </row>
    <row r="19" spans="1:15" s="191" customFormat="1" ht="20.25" customHeight="1">
      <c r="A19" s="202">
        <f ca="1">IF(ROWS($1:8)&gt;COUNT(Dong2),"",OFFSET(TH!C$1,SMALL(Dong2,ROWS($1:8)),))</f>
        <v>42527</v>
      </c>
      <c r="B19" s="202" t="str">
        <f ca="1">IF(ROWS($1:8)&gt;COUNT(Dong2),"",OFFSET(TH!D$1,SMALL(Dong2,ROWS($1:8)),))</f>
        <v>GBN</v>
      </c>
      <c r="C19" s="202">
        <f ca="1">IF(ROWS($1:8)&gt;COUNT(Dong2),"",OFFSET(TH!E$1,SMALL(Dong2,ROWS($1:8)),))</f>
        <v>42527</v>
      </c>
      <c r="D19" s="382" t="str">
        <f ca="1">IF(ROWS($1:8)&gt;COUNT(Dong2),"",OFFSET(TH!F$1,SMALL(Dong2,ROWS($1:8)),))</f>
        <v>Phí dịch vụ</v>
      </c>
      <c r="E19" s="202" t="str">
        <f ca="1">IF(ROWS($1:8)&gt;COUNT(Dong2),"",IF(OFFSET(TH!O$1,SMALL(Dong2,ROWS($1:8)),)=$I$6,OFFSET(TH!N$1,SMALL(Dong2,ROWS($1:8)),),OFFSET(TH!O$1,SMALL(Dong2,ROWS($1:8)),)))</f>
        <v>642</v>
      </c>
      <c r="F19" s="1173">
        <f ca="1">IF(ROWS($1:8)&gt;COUNT(Dong2),"",IF(AND(IF($M$9="Q11",LEFT(OFFSET(TH!G$1,SMALL(Dong2,ROWS($1:8)),),3)=$M$9,LEFT(OFFSET(TH!G$1,SMALL(Dong2,ROWS($1:8)),),2)=$M$9),OFFSET(TH!N$1,SMALL(Dong2,ROWS($1:8)),)=$I$6),IF($I$6="1121",OFFSET(TH!M$1,SMALL(Dong2,ROWS($1:8)),),OFFSET(TH!K$1,SMALL(Dong2,ROWS($1:8)),)),0))</f>
        <v>0</v>
      </c>
      <c r="G19" s="1173">
        <f ca="1">IF(ROWS($1:8)&gt;COUNT(Dong2),"",IF(AND(IF($M$9="Q11",RIGHT(OFFSET(TH!G$1,SMALL(Dong2,ROWS($1:8)),),3)=$M$9,RIGHT(OFFSET(TH!G$1,SMALL(Dong2,ROWS($1:8)),),2)=$M$9),OFFSET(TH!O$1,SMALL(Dong2,ROWS($1:8)),)=$I$6),IF($I$6="1121",OFFSET(TH!M$1,SMALL(Dong2,ROWS($1:8)),),OFFSET(TH!K$1,SMALL(Dong2,ROWS($1:8)),)),0))</f>
        <v>20000</v>
      </c>
      <c r="H19" s="947">
        <f t="shared" ca="1" si="0"/>
        <v>5647768</v>
      </c>
      <c r="I19" s="947"/>
      <c r="L19" s="184"/>
    </row>
    <row r="20" spans="1:15" s="191" customFormat="1" ht="20.25" customHeight="1">
      <c r="A20" s="202">
        <f ca="1">IF(ROWS($1:9)&gt;COUNT(Dong2),"",OFFSET(TH!C$1,SMALL(Dong2,ROWS($1:9)),))</f>
        <v>42527</v>
      </c>
      <c r="B20" s="202" t="str">
        <f ca="1">IF(ROWS($1:9)&gt;COUNT(Dong2),"",OFFSET(TH!D$1,SMALL(Dong2,ROWS($1:9)),))</f>
        <v>GBN</v>
      </c>
      <c r="C20" s="202">
        <f ca="1">IF(ROWS($1:9)&gt;COUNT(Dong2),"",OFFSET(TH!E$1,SMALL(Dong2,ROWS($1:9)),))</f>
        <v>42527</v>
      </c>
      <c r="D20" s="382" t="str">
        <f ca="1">IF(ROWS($1:9)&gt;COUNT(Dong2),"",OFFSET(TH!F$1,SMALL(Dong2,ROWS($1:9)),))</f>
        <v>VAT Phí dịch vụ</v>
      </c>
      <c r="E20" s="202" t="str">
        <f ca="1">IF(ROWS($1:9)&gt;COUNT(Dong2),"",IF(OFFSET(TH!O$1,SMALL(Dong2,ROWS($1:9)),)=$I$6,OFFSET(TH!N$1,SMALL(Dong2,ROWS($1:9)),),OFFSET(TH!O$1,SMALL(Dong2,ROWS($1:9)),)))</f>
        <v>1331</v>
      </c>
      <c r="F20" s="1173">
        <f ca="1">IF(ROWS($1:9)&gt;COUNT(Dong2),"",IF(AND(IF($M$9="Q11",LEFT(OFFSET(TH!G$1,SMALL(Dong2,ROWS($1:9)),),3)=$M$9,LEFT(OFFSET(TH!G$1,SMALL(Dong2,ROWS($1:9)),),2)=$M$9),OFFSET(TH!N$1,SMALL(Dong2,ROWS($1:9)),)=$I$6),IF($I$6="1121",OFFSET(TH!M$1,SMALL(Dong2,ROWS($1:9)),),OFFSET(TH!K$1,SMALL(Dong2,ROWS($1:9)),)),0))</f>
        <v>0</v>
      </c>
      <c r="G20" s="1173">
        <f ca="1">IF(ROWS($1:9)&gt;COUNT(Dong2),"",IF(AND(IF($M$9="Q11",RIGHT(OFFSET(TH!G$1,SMALL(Dong2,ROWS($1:9)),),3)=$M$9,RIGHT(OFFSET(TH!G$1,SMALL(Dong2,ROWS($1:9)),),2)=$M$9),OFFSET(TH!O$1,SMALL(Dong2,ROWS($1:9)),)=$I$6),IF($I$6="1121",OFFSET(TH!M$1,SMALL(Dong2,ROWS($1:9)),),OFFSET(TH!K$1,SMALL(Dong2,ROWS($1:9)),)),0))</f>
        <v>2000</v>
      </c>
      <c r="H20" s="947">
        <f t="shared" ca="1" si="0"/>
        <v>5645768</v>
      </c>
      <c r="I20" s="947"/>
      <c r="L20" s="184"/>
    </row>
    <row r="21" spans="1:15" s="191" customFormat="1" ht="20.25" customHeight="1">
      <c r="A21" s="202">
        <f ca="1">IF(ROWS($1:10)&gt;COUNT(Dong2),"",OFFSET(TH!C$1,SMALL(Dong2,ROWS($1:10)),))</f>
        <v>42527</v>
      </c>
      <c r="B21" s="202" t="str">
        <f ca="1">IF(ROWS($1:10)&gt;COUNT(Dong2),"",OFFSET(TH!D$1,SMALL(Dong2,ROWS($1:10)),))</f>
        <v>GBN</v>
      </c>
      <c r="C21" s="202">
        <f ca="1">IF(ROWS($1:10)&gt;COUNT(Dong2),"",OFFSET(TH!E$1,SMALL(Dong2,ROWS($1:10)),))</f>
        <v>42527</v>
      </c>
      <c r="D21" s="382" t="str">
        <f ca="1">IF(ROWS($1:10)&gt;COUNT(Dong2),"",OFFSET(TH!F$1,SMALL(Dong2,ROWS($1:10)),))</f>
        <v>Nộp lệ phí hải quan</v>
      </c>
      <c r="E21" s="202" t="str">
        <f ca="1">IF(ROWS($1:10)&gt;COUNT(Dong2),"",IF(OFFSET(TH!O$1,SMALL(Dong2,ROWS($1:10)),)=$I$6,OFFSET(TH!N$1,SMALL(Dong2,ROWS($1:10)),),OFFSET(TH!O$1,SMALL(Dong2,ROWS($1:10)),)))</f>
        <v>642</v>
      </c>
      <c r="F21" s="1173">
        <f ca="1">IF(ROWS($1:10)&gt;COUNT(Dong2),"",IF(AND(IF($M$9="Q11",LEFT(OFFSET(TH!G$1,SMALL(Dong2,ROWS($1:10)),),3)=$M$9,LEFT(OFFSET(TH!G$1,SMALL(Dong2,ROWS($1:10)),),2)=$M$9),OFFSET(TH!N$1,SMALL(Dong2,ROWS($1:10)),)=$I$6),IF($I$6="1121",OFFSET(TH!M$1,SMALL(Dong2,ROWS($1:10)),),OFFSET(TH!K$1,SMALL(Dong2,ROWS($1:10)),)),0))</f>
        <v>0</v>
      </c>
      <c r="G21" s="1173">
        <f ca="1">IF(ROWS($1:10)&gt;COUNT(Dong2),"",IF(AND(IF($M$9="Q11",RIGHT(OFFSET(TH!G$1,SMALL(Dong2,ROWS($1:10)),),3)=$M$9,RIGHT(OFFSET(TH!G$1,SMALL(Dong2,ROWS($1:10)),),2)=$M$9),OFFSET(TH!O$1,SMALL(Dong2,ROWS($1:10)),)=$I$6),IF($I$6="1121",OFFSET(TH!M$1,SMALL(Dong2,ROWS($1:10)),),OFFSET(TH!K$1,SMALL(Dong2,ROWS($1:10)),)),0))</f>
        <v>40000</v>
      </c>
      <c r="H21" s="947">
        <f t="shared" ca="1" si="0"/>
        <v>5605768</v>
      </c>
      <c r="I21" s="947"/>
      <c r="L21" s="184"/>
    </row>
    <row r="22" spans="1:15" s="191" customFormat="1" ht="20.25" customHeight="1">
      <c r="A22" s="202">
        <f ca="1">IF(ROWS($1:11)&gt;COUNT(Dong2),"",OFFSET(TH!C$1,SMALL(Dong2,ROWS($1:11)),))</f>
        <v>42527</v>
      </c>
      <c r="B22" s="202" t="str">
        <f ca="1">IF(ROWS($1:11)&gt;COUNT(Dong2),"",OFFSET(TH!D$1,SMALL(Dong2,ROWS($1:11)),))</f>
        <v>GBN</v>
      </c>
      <c r="C22" s="202">
        <f ca="1">IF(ROWS($1:11)&gt;COUNT(Dong2),"",OFFSET(TH!E$1,SMALL(Dong2,ROWS($1:11)),))</f>
        <v>42527</v>
      </c>
      <c r="D22" s="382" t="str">
        <f ca="1">IF(ROWS($1:11)&gt;COUNT(Dong2),"",OFFSET(TH!F$1,SMALL(Dong2,ROWS($1:11)),))</f>
        <v>Phí dịch vụ</v>
      </c>
      <c r="E22" s="202" t="str">
        <f ca="1">IF(ROWS($1:11)&gt;COUNT(Dong2),"",IF(OFFSET(TH!O$1,SMALL(Dong2,ROWS($1:11)),)=$I$6,OFFSET(TH!N$1,SMALL(Dong2,ROWS($1:11)),),OFFSET(TH!O$1,SMALL(Dong2,ROWS($1:11)),)))</f>
        <v>642</v>
      </c>
      <c r="F22" s="1173">
        <f ca="1">IF(ROWS($1:11)&gt;COUNT(Dong2),"",IF(AND(IF($M$9="Q11",LEFT(OFFSET(TH!G$1,SMALL(Dong2,ROWS($1:11)),),3)=$M$9,LEFT(OFFSET(TH!G$1,SMALL(Dong2,ROWS($1:11)),),2)=$M$9),OFFSET(TH!N$1,SMALL(Dong2,ROWS($1:11)),)=$I$6),IF($I$6="1121",OFFSET(TH!M$1,SMALL(Dong2,ROWS($1:11)),),OFFSET(TH!K$1,SMALL(Dong2,ROWS($1:11)),)),0))</f>
        <v>0</v>
      </c>
      <c r="G22" s="1173">
        <f ca="1">IF(ROWS($1:11)&gt;COUNT(Dong2),"",IF(AND(IF($M$9="Q11",RIGHT(OFFSET(TH!G$1,SMALL(Dong2,ROWS($1:11)),),3)=$M$9,RIGHT(OFFSET(TH!G$1,SMALL(Dong2,ROWS($1:11)),),2)=$M$9),OFFSET(TH!O$1,SMALL(Dong2,ROWS($1:11)),)=$I$6),IF($I$6="1121",OFFSET(TH!M$1,SMALL(Dong2,ROWS($1:11)),),OFFSET(TH!K$1,SMALL(Dong2,ROWS($1:11)),)),0))</f>
        <v>20000</v>
      </c>
      <c r="H22" s="947">
        <f t="shared" ca="1" si="0"/>
        <v>5585768</v>
      </c>
      <c r="I22" s="947"/>
      <c r="L22" s="184"/>
      <c r="O22" s="945"/>
    </row>
    <row r="23" spans="1:15" s="191" customFormat="1" ht="20.25" customHeight="1">
      <c r="A23" s="202">
        <f ca="1">IF(ROWS($1:12)&gt;COUNT(Dong2),"",OFFSET(TH!C$1,SMALL(Dong2,ROWS($1:12)),))</f>
        <v>42527</v>
      </c>
      <c r="B23" s="202" t="str">
        <f ca="1">IF(ROWS($1:12)&gt;COUNT(Dong2),"",OFFSET(TH!D$1,SMALL(Dong2,ROWS($1:12)),))</f>
        <v>GBN</v>
      </c>
      <c r="C23" s="202">
        <f ca="1">IF(ROWS($1:12)&gt;COUNT(Dong2),"",OFFSET(TH!E$1,SMALL(Dong2,ROWS($1:12)),))</f>
        <v>42527</v>
      </c>
      <c r="D23" s="382" t="str">
        <f ca="1">IF(ROWS($1:12)&gt;COUNT(Dong2),"",OFFSET(TH!F$1,SMALL(Dong2,ROWS($1:12)),))</f>
        <v>VAT Phí dịch vụ</v>
      </c>
      <c r="E23" s="202" t="str">
        <f ca="1">IF(ROWS($1:12)&gt;COUNT(Dong2),"",IF(OFFSET(TH!O$1,SMALL(Dong2,ROWS($1:12)),)=$I$6,OFFSET(TH!N$1,SMALL(Dong2,ROWS($1:12)),),OFFSET(TH!O$1,SMALL(Dong2,ROWS($1:12)),)))</f>
        <v>1331</v>
      </c>
      <c r="F23" s="1173">
        <f ca="1">IF(ROWS($1:12)&gt;COUNT(Dong2),"",IF(AND(IF($M$9="Q11",LEFT(OFFSET(TH!G$1,SMALL(Dong2,ROWS($1:12)),),3)=$M$9,LEFT(OFFSET(TH!G$1,SMALL(Dong2,ROWS($1:12)),),2)=$M$9),OFFSET(TH!N$1,SMALL(Dong2,ROWS($1:12)),)=$I$6),IF($I$6="1121",OFFSET(TH!M$1,SMALL(Dong2,ROWS($1:12)),),OFFSET(TH!K$1,SMALL(Dong2,ROWS($1:12)),)),0))</f>
        <v>0</v>
      </c>
      <c r="G23" s="1173">
        <f ca="1">IF(ROWS($1:12)&gt;COUNT(Dong2),"",IF(AND(IF($M$9="Q11",RIGHT(OFFSET(TH!G$1,SMALL(Dong2,ROWS($1:12)),),3)=$M$9,RIGHT(OFFSET(TH!G$1,SMALL(Dong2,ROWS($1:12)),),2)=$M$9),OFFSET(TH!O$1,SMALL(Dong2,ROWS($1:12)),)=$I$6),IF($I$6="1121",OFFSET(TH!M$1,SMALL(Dong2,ROWS($1:12)),),OFFSET(TH!K$1,SMALL(Dong2,ROWS($1:12)),)),0))</f>
        <v>2000</v>
      </c>
      <c r="H23" s="947">
        <f t="shared" ca="1" si="0"/>
        <v>5583768</v>
      </c>
      <c r="I23" s="947"/>
      <c r="L23" s="184"/>
    </row>
    <row r="24" spans="1:15" s="191" customFormat="1" ht="20.25" customHeight="1">
      <c r="A24" s="202">
        <f ca="1">IF(ROWS($1:13)&gt;COUNT(Dong2),"",OFFSET(TH!C$1,SMALL(Dong2,ROWS($1:13)),))</f>
        <v>42527</v>
      </c>
      <c r="B24" s="202" t="str">
        <f ca="1">IF(ROWS($1:13)&gt;COUNT(Dong2),"",OFFSET(TH!D$1,SMALL(Dong2,ROWS($1:13)),))</f>
        <v>GBN</v>
      </c>
      <c r="C24" s="202">
        <f ca="1">IF(ROWS($1:13)&gt;COUNT(Dong2),"",OFFSET(TH!E$1,SMALL(Dong2,ROWS($1:13)),))</f>
        <v>42527</v>
      </c>
      <c r="D24" s="382" t="str">
        <f ca="1">IF(ROWS($1:13)&gt;COUNT(Dong2),"",OFFSET(TH!F$1,SMALL(Dong2,ROWS($1:13)),))</f>
        <v>Nộp lệ phí hải quan</v>
      </c>
      <c r="E24" s="202" t="str">
        <f ca="1">IF(ROWS($1:13)&gt;COUNT(Dong2),"",IF(OFFSET(TH!O$1,SMALL(Dong2,ROWS($1:13)),)=$I$6,OFFSET(TH!N$1,SMALL(Dong2,ROWS($1:13)),),OFFSET(TH!O$1,SMALL(Dong2,ROWS($1:13)),)))</f>
        <v>642</v>
      </c>
      <c r="F24" s="1173">
        <f ca="1">IF(ROWS($1:13)&gt;COUNT(Dong2),"",IF(AND(IF($M$9="Q11",LEFT(OFFSET(TH!G$1,SMALL(Dong2,ROWS($1:13)),),3)=$M$9,LEFT(OFFSET(TH!G$1,SMALL(Dong2,ROWS($1:13)),),2)=$M$9),OFFSET(TH!N$1,SMALL(Dong2,ROWS($1:13)),)=$I$6),IF($I$6="1121",OFFSET(TH!M$1,SMALL(Dong2,ROWS($1:13)),),OFFSET(TH!K$1,SMALL(Dong2,ROWS($1:13)),)),0))</f>
        <v>0</v>
      </c>
      <c r="G24" s="1173">
        <f ca="1">IF(ROWS($1:13)&gt;COUNT(Dong2),"",IF(AND(IF($M$9="Q11",RIGHT(OFFSET(TH!G$1,SMALL(Dong2,ROWS($1:13)),),3)=$M$9,RIGHT(OFFSET(TH!G$1,SMALL(Dong2,ROWS($1:13)),),2)=$M$9),OFFSET(TH!O$1,SMALL(Dong2,ROWS($1:13)),)=$I$6),IF($I$6="1121",OFFSET(TH!M$1,SMALL(Dong2,ROWS($1:13)),),OFFSET(TH!K$1,SMALL(Dong2,ROWS($1:13)),)),0))</f>
        <v>300000</v>
      </c>
      <c r="H24" s="947">
        <f t="shared" ca="1" si="0"/>
        <v>5283768</v>
      </c>
      <c r="I24" s="947"/>
      <c r="L24" s="184"/>
      <c r="O24" s="1147"/>
    </row>
    <row r="25" spans="1:15" s="191" customFormat="1" ht="20.25" customHeight="1">
      <c r="A25" s="202">
        <f ca="1">IF(ROWS($1:14)&gt;COUNT(Dong2),"",OFFSET(TH!C$1,SMALL(Dong2,ROWS($1:14)),))</f>
        <v>42527</v>
      </c>
      <c r="B25" s="202" t="str">
        <f ca="1">IF(ROWS($1:14)&gt;COUNT(Dong2),"",OFFSET(TH!D$1,SMALL(Dong2,ROWS($1:14)),))</f>
        <v>GBN</v>
      </c>
      <c r="C25" s="202">
        <f ca="1">IF(ROWS($1:14)&gt;COUNT(Dong2),"",OFFSET(TH!E$1,SMALL(Dong2,ROWS($1:14)),))</f>
        <v>42527</v>
      </c>
      <c r="D25" s="382" t="str">
        <f ca="1">IF(ROWS($1:14)&gt;COUNT(Dong2),"",OFFSET(TH!F$1,SMALL(Dong2,ROWS($1:14)),))</f>
        <v>Phí dịch vụ</v>
      </c>
      <c r="E25" s="202" t="str">
        <f ca="1">IF(ROWS($1:14)&gt;COUNT(Dong2),"",IF(OFFSET(TH!O$1,SMALL(Dong2,ROWS($1:14)),)=$I$6,OFFSET(TH!N$1,SMALL(Dong2,ROWS($1:14)),),OFFSET(TH!O$1,SMALL(Dong2,ROWS($1:14)),)))</f>
        <v>642</v>
      </c>
      <c r="F25" s="1173">
        <f ca="1">IF(ROWS($1:14)&gt;COUNT(Dong2),"",IF(AND(IF($M$9="Q11",LEFT(OFFSET(TH!G$1,SMALL(Dong2,ROWS($1:14)),),3)=$M$9,LEFT(OFFSET(TH!G$1,SMALL(Dong2,ROWS($1:14)),),2)=$M$9),OFFSET(TH!N$1,SMALL(Dong2,ROWS($1:14)),)=$I$6),IF($I$6="1121",OFFSET(TH!M$1,SMALL(Dong2,ROWS($1:14)),),OFFSET(TH!K$1,SMALL(Dong2,ROWS($1:14)),)),0))</f>
        <v>0</v>
      </c>
      <c r="G25" s="1173">
        <f ca="1">IF(ROWS($1:14)&gt;COUNT(Dong2),"",IF(AND(IF($M$9="Q11",RIGHT(OFFSET(TH!G$1,SMALL(Dong2,ROWS($1:14)),),3)=$M$9,RIGHT(OFFSET(TH!G$1,SMALL(Dong2,ROWS($1:14)),),2)=$M$9),OFFSET(TH!O$1,SMALL(Dong2,ROWS($1:14)),)=$I$6),IF($I$6="1121",OFFSET(TH!M$1,SMALL(Dong2,ROWS($1:14)),),OFFSET(TH!K$1,SMALL(Dong2,ROWS($1:14)),)),0))</f>
        <v>20000</v>
      </c>
      <c r="H25" s="947">
        <f t="shared" ca="1" si="0"/>
        <v>5263768</v>
      </c>
      <c r="I25" s="947"/>
      <c r="L25" s="184"/>
    </row>
    <row r="26" spans="1:15" s="191" customFormat="1" ht="20.25" customHeight="1">
      <c r="A26" s="202">
        <f ca="1">IF(ROWS($1:15)&gt;COUNT(Dong2),"",OFFSET(TH!C$1,SMALL(Dong2,ROWS($1:15)),))</f>
        <v>42527</v>
      </c>
      <c r="B26" s="202" t="str">
        <f ca="1">IF(ROWS($1:15)&gt;COUNT(Dong2),"",OFFSET(TH!D$1,SMALL(Dong2,ROWS($1:15)),))</f>
        <v>GBN</v>
      </c>
      <c r="C26" s="202">
        <f ca="1">IF(ROWS($1:15)&gt;COUNT(Dong2),"",OFFSET(TH!E$1,SMALL(Dong2,ROWS($1:15)),))</f>
        <v>42527</v>
      </c>
      <c r="D26" s="382" t="str">
        <f ca="1">IF(ROWS($1:15)&gt;COUNT(Dong2),"",OFFSET(TH!F$1,SMALL(Dong2,ROWS($1:15)),))</f>
        <v>VAT Phí dịch vụ</v>
      </c>
      <c r="E26" s="202" t="str">
        <f ca="1">IF(ROWS($1:15)&gt;COUNT(Dong2),"",IF(OFFSET(TH!O$1,SMALL(Dong2,ROWS($1:15)),)=$I$6,OFFSET(TH!N$1,SMALL(Dong2,ROWS($1:15)),),OFFSET(TH!O$1,SMALL(Dong2,ROWS($1:15)),)))</f>
        <v>1331</v>
      </c>
      <c r="F26" s="1173">
        <f ca="1">IF(ROWS($1:15)&gt;COUNT(Dong2),"",IF(AND(IF($M$9="Q11",LEFT(OFFSET(TH!G$1,SMALL(Dong2,ROWS($1:15)),),3)=$M$9,LEFT(OFFSET(TH!G$1,SMALL(Dong2,ROWS($1:15)),),2)=$M$9),OFFSET(TH!N$1,SMALL(Dong2,ROWS($1:15)),)=$I$6),IF($I$6="1121",OFFSET(TH!M$1,SMALL(Dong2,ROWS($1:15)),),OFFSET(TH!K$1,SMALL(Dong2,ROWS($1:15)),)),0))</f>
        <v>0</v>
      </c>
      <c r="G26" s="1173">
        <f ca="1">IF(ROWS($1:15)&gt;COUNT(Dong2),"",IF(AND(IF($M$9="Q11",RIGHT(OFFSET(TH!G$1,SMALL(Dong2,ROWS($1:15)),),3)=$M$9,RIGHT(OFFSET(TH!G$1,SMALL(Dong2,ROWS($1:15)),),2)=$M$9),OFFSET(TH!O$1,SMALL(Dong2,ROWS($1:15)),)=$I$6),IF($I$6="1121",OFFSET(TH!M$1,SMALL(Dong2,ROWS($1:15)),),OFFSET(TH!K$1,SMALL(Dong2,ROWS($1:15)),)),0))</f>
        <v>2000</v>
      </c>
      <c r="H26" s="947">
        <f t="shared" ca="1" si="0"/>
        <v>5261768</v>
      </c>
      <c r="I26" s="947"/>
      <c r="L26" s="184"/>
    </row>
    <row r="27" spans="1:15" s="191" customFormat="1" ht="20.25" customHeight="1">
      <c r="A27" s="202">
        <f ca="1">IF(ROWS($1:16)&gt;COUNT(Dong2),"",OFFSET(TH!C$1,SMALL(Dong2,ROWS($1:16)),))</f>
        <v>42527</v>
      </c>
      <c r="B27" s="202" t="str">
        <f ca="1">IF(ROWS($1:16)&gt;COUNT(Dong2),"",OFFSET(TH!D$1,SMALL(Dong2,ROWS($1:16)),))</f>
        <v>GBN</v>
      </c>
      <c r="C27" s="202">
        <f ca="1">IF(ROWS($1:16)&gt;COUNT(Dong2),"",OFFSET(TH!E$1,SMALL(Dong2,ROWS($1:16)),))</f>
        <v>42527</v>
      </c>
      <c r="D27" s="382" t="str">
        <f ca="1">IF(ROWS($1:16)&gt;COUNT(Dong2),"",OFFSET(TH!F$1,SMALL(Dong2,ROWS($1:16)),))</f>
        <v>Q11 - Trả lãi KU 1015LDS201100376</v>
      </c>
      <c r="E27" s="202" t="str">
        <f ca="1">IF(ROWS($1:16)&gt;COUNT(Dong2),"",IF(OFFSET(TH!O$1,SMALL(Dong2,ROWS($1:16)),)=$I$6,OFFSET(TH!N$1,SMALL(Dong2,ROWS($1:16)),),OFFSET(TH!O$1,SMALL(Dong2,ROWS($1:16)),)))</f>
        <v>635</v>
      </c>
      <c r="F27" s="1173">
        <f ca="1">IF(ROWS($1:16)&gt;COUNT(Dong2),"",IF(AND(IF($M$9="Q11",LEFT(OFFSET(TH!G$1,SMALL(Dong2,ROWS($1:16)),),3)=$M$9,LEFT(OFFSET(TH!G$1,SMALL(Dong2,ROWS($1:16)),),2)=$M$9),OFFSET(TH!N$1,SMALL(Dong2,ROWS($1:16)),)=$I$6),IF($I$6="1121",OFFSET(TH!M$1,SMALL(Dong2,ROWS($1:16)),),OFFSET(TH!K$1,SMALL(Dong2,ROWS($1:16)),)),0))</f>
        <v>0</v>
      </c>
      <c r="G27" s="1173">
        <f ca="1">IF(ROWS($1:16)&gt;COUNT(Dong2),"",IF(AND(IF($M$9="Q11",RIGHT(OFFSET(TH!G$1,SMALL(Dong2,ROWS($1:16)),),3)=$M$9,RIGHT(OFFSET(TH!G$1,SMALL(Dong2,ROWS($1:16)),),2)=$M$9),OFFSET(TH!O$1,SMALL(Dong2,ROWS($1:16)),)=$I$6),IF($I$6="1121",OFFSET(TH!M$1,SMALL(Dong2,ROWS($1:16)),),OFFSET(TH!K$1,SMALL(Dong2,ROWS($1:16)),)),0))</f>
        <v>2893355</v>
      </c>
      <c r="H27" s="947">
        <f t="shared" ca="1" si="0"/>
        <v>2368413</v>
      </c>
      <c r="I27" s="947"/>
      <c r="L27" s="184"/>
    </row>
    <row r="28" spans="1:15" s="191" customFormat="1" ht="20.25" customHeight="1">
      <c r="A28" s="202">
        <f ca="1">IF(ROWS($1:17)&gt;COUNT(Dong2),"",OFFSET(TH!C$1,SMALL(Dong2,ROWS($1:17)),))</f>
        <v>42527</v>
      </c>
      <c r="B28" s="202" t="str">
        <f ca="1">IF(ROWS($1:17)&gt;COUNT(Dong2),"",OFFSET(TH!D$1,SMALL(Dong2,ROWS($1:17)),))</f>
        <v>GBN</v>
      </c>
      <c r="C28" s="202">
        <f ca="1">IF(ROWS($1:17)&gt;COUNT(Dong2),"",OFFSET(TH!E$1,SMALL(Dong2,ROWS($1:17)),))</f>
        <v>42527</v>
      </c>
      <c r="D28" s="382" t="str">
        <f ca="1">IF(ROWS($1:17)&gt;COUNT(Dong2),"",OFFSET(TH!F$1,SMALL(Dong2,ROWS($1:17)),))</f>
        <v>Q11 - Trả lãi KU 1015LDS201100377</v>
      </c>
      <c r="E28" s="202" t="str">
        <f ca="1">IF(ROWS($1:17)&gt;COUNT(Dong2),"",IF(OFFSET(TH!O$1,SMALL(Dong2,ROWS($1:17)),)=$I$6,OFFSET(TH!N$1,SMALL(Dong2,ROWS($1:17)),),OFFSET(TH!O$1,SMALL(Dong2,ROWS($1:17)),)))</f>
        <v>635</v>
      </c>
      <c r="F28" s="1173">
        <f ca="1">IF(ROWS($1:17)&gt;COUNT(Dong2),"",IF(AND(IF($M$9="Q11",LEFT(OFFSET(TH!G$1,SMALL(Dong2,ROWS($1:17)),),3)=$M$9,LEFT(OFFSET(TH!G$1,SMALL(Dong2,ROWS($1:17)),),2)=$M$9),OFFSET(TH!N$1,SMALL(Dong2,ROWS($1:17)),)=$I$6),IF($I$6="1121",OFFSET(TH!M$1,SMALL(Dong2,ROWS($1:17)),),OFFSET(TH!K$1,SMALL(Dong2,ROWS($1:17)),)),0))</f>
        <v>0</v>
      </c>
      <c r="G28" s="1173">
        <f ca="1">IF(ROWS($1:17)&gt;COUNT(Dong2),"",IF(AND(IF($M$9="Q11",RIGHT(OFFSET(TH!G$1,SMALL(Dong2,ROWS($1:17)),),3)=$M$9,RIGHT(OFFSET(TH!G$1,SMALL(Dong2,ROWS($1:17)),),2)=$M$9),OFFSET(TH!O$1,SMALL(Dong2,ROWS($1:17)),)=$I$6),IF($I$6="1121",OFFSET(TH!M$1,SMALL(Dong2,ROWS($1:17)),),OFFSET(TH!K$1,SMALL(Dong2,ROWS($1:17)),)),0))</f>
        <v>1781595</v>
      </c>
      <c r="H28" s="947">
        <f t="shared" ca="1" si="0"/>
        <v>586818</v>
      </c>
      <c r="I28" s="947"/>
      <c r="L28" s="184"/>
    </row>
    <row r="29" spans="1:15" s="191" customFormat="1" ht="20.25" customHeight="1">
      <c r="A29" s="202">
        <f ca="1">IF(ROWS($1:18)&gt;COUNT(Dong2),"",OFFSET(TH!C$1,SMALL(Dong2,ROWS($1:18)),))</f>
        <v>42528</v>
      </c>
      <c r="B29" s="202" t="str">
        <f ca="1">IF(ROWS($1:18)&gt;COUNT(Dong2),"",OFFSET(TH!D$1,SMALL(Dong2,ROWS($1:18)),))</f>
        <v>GBC</v>
      </c>
      <c r="C29" s="202">
        <f ca="1">IF(ROWS($1:18)&gt;COUNT(Dong2),"",OFFSET(TH!E$1,SMALL(Dong2,ROWS($1:18)),))</f>
        <v>42528</v>
      </c>
      <c r="D29" s="382" t="str">
        <f ca="1">IF(ROWS($1:18)&gt;COUNT(Dong2),"",OFFSET(TH!F$1,SMALL(Dong2,ROWS($1:18)),))</f>
        <v>Chiết khấu LC</v>
      </c>
      <c r="E29" s="202" t="str">
        <f ca="1">IF(ROWS($1:18)&gt;COUNT(Dong2),"",IF(OFFSET(TH!O$1,SMALL(Dong2,ROWS($1:18)),)=$I$6,OFFSET(TH!N$1,SMALL(Dong2,ROWS($1:18)),),OFFSET(TH!O$1,SMALL(Dong2,ROWS($1:18)),)))</f>
        <v>3412</v>
      </c>
      <c r="F29" s="1173">
        <f ca="1">IF(ROWS($1:18)&gt;COUNT(Dong2),"",IF(AND(IF($M$9="Q11",LEFT(OFFSET(TH!G$1,SMALL(Dong2,ROWS($1:18)),),3)=$M$9,LEFT(OFFSET(TH!G$1,SMALL(Dong2,ROWS($1:18)),),2)=$M$9),OFFSET(TH!N$1,SMALL(Dong2,ROWS($1:18)),)=$I$6),IF($I$6="1121",OFFSET(TH!M$1,SMALL(Dong2,ROWS($1:18)),),OFFSET(TH!K$1,SMALL(Dong2,ROWS($1:18)),)),0))</f>
        <v>1697436000</v>
      </c>
      <c r="G29" s="1173">
        <f ca="1">IF(ROWS($1:18)&gt;COUNT(Dong2),"",IF(AND(IF($M$9="Q11",RIGHT(OFFSET(TH!G$1,SMALL(Dong2,ROWS($1:18)),),3)=$M$9,RIGHT(OFFSET(TH!G$1,SMALL(Dong2,ROWS($1:18)),),2)=$M$9),OFFSET(TH!O$1,SMALL(Dong2,ROWS($1:18)),)=$I$6),IF($I$6="1121",OFFSET(TH!M$1,SMALL(Dong2,ROWS($1:18)),),OFFSET(TH!K$1,SMALL(Dong2,ROWS($1:18)),)),0))</f>
        <v>0</v>
      </c>
      <c r="H29" s="947">
        <f t="shared" ca="1" si="0"/>
        <v>1698022818</v>
      </c>
      <c r="I29" s="947"/>
      <c r="L29" s="184"/>
    </row>
    <row r="30" spans="1:15" s="191" customFormat="1" ht="20.25" customHeight="1">
      <c r="A30" s="202">
        <f ca="1">IF(ROWS($1:19)&gt;COUNT(Dong2),"",OFFSET(TH!C$1,SMALL(Dong2,ROWS($1:19)),))</f>
        <v>42528</v>
      </c>
      <c r="B30" s="202" t="str">
        <f ca="1">IF(ROWS($1:19)&gt;COUNT(Dong2),"",OFFSET(TH!D$1,SMALL(Dong2,ROWS($1:19)),))</f>
        <v>GBN</v>
      </c>
      <c r="C30" s="202">
        <f ca="1">IF(ROWS($1:19)&gt;COUNT(Dong2),"",OFFSET(TH!E$1,SMALL(Dong2,ROWS($1:19)),))</f>
        <v>42528</v>
      </c>
      <c r="D30" s="382" t="str">
        <f ca="1">IF(ROWS($1:19)&gt;COUNT(Dong2),"",OFFSET(TH!F$1,SMALL(Dong2,ROWS($1:19)),))</f>
        <v>Chuyển VNĐ</v>
      </c>
      <c r="E30" s="202" t="str">
        <f ca="1">IF(ROWS($1:19)&gt;COUNT(Dong2),"",IF(OFFSET(TH!O$1,SMALL(Dong2,ROWS($1:19)),)=$I$6,OFFSET(TH!N$1,SMALL(Dong2,ROWS($1:19)),),OFFSET(TH!O$1,SMALL(Dong2,ROWS($1:19)),)))</f>
        <v>1121</v>
      </c>
      <c r="F30" s="1173">
        <f ca="1">IF(ROWS($1:19)&gt;COUNT(Dong2),"",IF(AND(IF($M$9="Q11",LEFT(OFFSET(TH!G$1,SMALL(Dong2,ROWS($1:19)),),3)=$M$9,LEFT(OFFSET(TH!G$1,SMALL(Dong2,ROWS($1:19)),),2)=$M$9),OFFSET(TH!N$1,SMALL(Dong2,ROWS($1:19)),)=$I$6),IF($I$6="1121",OFFSET(TH!M$1,SMALL(Dong2,ROWS($1:19)),),OFFSET(TH!K$1,SMALL(Dong2,ROWS($1:19)),)),0))</f>
        <v>0</v>
      </c>
      <c r="G30" s="1173">
        <f ca="1">IF(ROWS($1:19)&gt;COUNT(Dong2),"",IF(AND(IF($M$9="Q11",RIGHT(OFFSET(TH!G$1,SMALL(Dong2,ROWS($1:19)),),3)=$M$9,RIGHT(OFFSET(TH!G$1,SMALL(Dong2,ROWS($1:19)),),2)=$M$9),OFFSET(TH!O$1,SMALL(Dong2,ROWS($1:19)),)=$I$6),IF($I$6="1121",OFFSET(TH!M$1,SMALL(Dong2,ROWS($1:19)),),OFFSET(TH!K$1,SMALL(Dong2,ROWS($1:19)),)),0))</f>
        <v>1690000000</v>
      </c>
      <c r="H30" s="947">
        <f t="shared" ca="1" si="0"/>
        <v>8022818</v>
      </c>
      <c r="I30" s="947"/>
      <c r="L30" s="184"/>
    </row>
    <row r="31" spans="1:15" s="191" customFormat="1" ht="20.25" customHeight="1">
      <c r="A31" s="202">
        <f ca="1">IF(ROWS($1:20)&gt;COUNT(Dong2),"",OFFSET(TH!C$1,SMALL(Dong2,ROWS($1:20)),))</f>
        <v>42529</v>
      </c>
      <c r="B31" s="202" t="str">
        <f ca="1">IF(ROWS($1:20)&gt;COUNT(Dong2),"",OFFSET(TH!D$1,SMALL(Dong2,ROWS($1:20)),))</f>
        <v>C09</v>
      </c>
      <c r="C31" s="202">
        <f ca="1">IF(ROWS($1:20)&gt;COUNT(Dong2),"",OFFSET(TH!E$1,SMALL(Dong2,ROWS($1:20)),))</f>
        <v>42529</v>
      </c>
      <c r="D31" s="382" t="str">
        <f ca="1">IF(ROWS($1:20)&gt;COUNT(Dong2),"",OFFSET(TH!F$1,SMALL(Dong2,ROWS($1:20)),))</f>
        <v>Nộp tiền mặt vào TK NH</v>
      </c>
      <c r="E31" s="202" t="str">
        <f ca="1">IF(ROWS($1:20)&gt;COUNT(Dong2),"",IF(OFFSET(TH!O$1,SMALL(Dong2,ROWS($1:20)),)=$I$6,OFFSET(TH!N$1,SMALL(Dong2,ROWS($1:20)),),OFFSET(TH!O$1,SMALL(Dong2,ROWS($1:20)),)))</f>
        <v>1111</v>
      </c>
      <c r="F31" s="1173">
        <f ca="1">IF(ROWS($1:20)&gt;COUNT(Dong2),"",IF(AND(IF($M$9="Q11",LEFT(OFFSET(TH!G$1,SMALL(Dong2,ROWS($1:20)),),3)=$M$9,LEFT(OFFSET(TH!G$1,SMALL(Dong2,ROWS($1:20)),),2)=$M$9),OFFSET(TH!N$1,SMALL(Dong2,ROWS($1:20)),)=$I$6),IF($I$6="1121",OFFSET(TH!M$1,SMALL(Dong2,ROWS($1:20)),),OFFSET(TH!K$1,SMALL(Dong2,ROWS($1:20)),)),0))</f>
        <v>300000000</v>
      </c>
      <c r="G31" s="1173">
        <f ca="1">IF(ROWS($1:20)&gt;COUNT(Dong2),"",IF(AND(IF($M$9="Q11",RIGHT(OFFSET(TH!G$1,SMALL(Dong2,ROWS($1:20)),),3)=$M$9,RIGHT(OFFSET(TH!G$1,SMALL(Dong2,ROWS($1:20)),),2)=$M$9),OFFSET(TH!O$1,SMALL(Dong2,ROWS($1:20)),)=$I$6),IF($I$6="1121",OFFSET(TH!M$1,SMALL(Dong2,ROWS($1:20)),),OFFSET(TH!K$1,SMALL(Dong2,ROWS($1:20)),)),0))</f>
        <v>0</v>
      </c>
      <c r="H31" s="947">
        <f t="shared" ca="1" si="0"/>
        <v>308022818</v>
      </c>
      <c r="I31" s="947"/>
      <c r="L31" s="184"/>
    </row>
    <row r="32" spans="1:15" s="191" customFormat="1" ht="20.25" customHeight="1">
      <c r="A32" s="202">
        <f ca="1">IF(ROWS($1:21)&gt;COUNT(Dong2),"",OFFSET(TH!C$1,SMALL(Dong2,ROWS($1:21)),))</f>
        <v>42529</v>
      </c>
      <c r="B32" s="202" t="str">
        <f ca="1">IF(ROWS($1:21)&gt;COUNT(Dong2),"",OFFSET(TH!D$1,SMALL(Dong2,ROWS($1:21)),))</f>
        <v>C10</v>
      </c>
      <c r="C32" s="202">
        <f ca="1">IF(ROWS($1:21)&gt;COUNT(Dong2),"",OFFSET(TH!E$1,SMALL(Dong2,ROWS($1:21)),))</f>
        <v>42529</v>
      </c>
      <c r="D32" s="382" t="str">
        <f ca="1">IF(ROWS($1:21)&gt;COUNT(Dong2),"",OFFSET(TH!F$1,SMALL(Dong2,ROWS($1:21)),))</f>
        <v>Nộp tiền mặt vào TK NH</v>
      </c>
      <c r="E32" s="202" t="str">
        <f ca="1">IF(ROWS($1:21)&gt;COUNT(Dong2),"",IF(OFFSET(TH!O$1,SMALL(Dong2,ROWS($1:21)),)=$I$6,OFFSET(TH!N$1,SMALL(Dong2,ROWS($1:21)),),OFFSET(TH!O$1,SMALL(Dong2,ROWS($1:21)),)))</f>
        <v>1111</v>
      </c>
      <c r="F32" s="1173">
        <f ca="1">IF(ROWS($1:21)&gt;COUNT(Dong2),"",IF(AND(IF($M$9="Q11",LEFT(OFFSET(TH!G$1,SMALL(Dong2,ROWS($1:21)),),3)=$M$9,LEFT(OFFSET(TH!G$1,SMALL(Dong2,ROWS($1:21)),),2)=$M$9),OFFSET(TH!N$1,SMALL(Dong2,ROWS($1:21)),)=$I$6),IF($I$6="1121",OFFSET(TH!M$1,SMALL(Dong2,ROWS($1:21)),),OFFSET(TH!K$1,SMALL(Dong2,ROWS($1:21)),)),0))</f>
        <v>1560000000</v>
      </c>
      <c r="G32" s="1173">
        <f ca="1">IF(ROWS($1:21)&gt;COUNT(Dong2),"",IF(AND(IF($M$9="Q11",RIGHT(OFFSET(TH!G$1,SMALL(Dong2,ROWS($1:21)),),3)=$M$9,RIGHT(OFFSET(TH!G$1,SMALL(Dong2,ROWS($1:21)),),2)=$M$9),OFFSET(TH!O$1,SMALL(Dong2,ROWS($1:21)),)=$I$6),IF($I$6="1121",OFFSET(TH!M$1,SMALL(Dong2,ROWS($1:21)),),OFFSET(TH!K$1,SMALL(Dong2,ROWS($1:21)),)),0))</f>
        <v>0</v>
      </c>
      <c r="H32" s="947">
        <f t="shared" ca="1" si="0"/>
        <v>1868022818</v>
      </c>
      <c r="I32" s="947"/>
      <c r="L32" s="184"/>
    </row>
    <row r="33" spans="1:12" s="191" customFormat="1" ht="20.25" customHeight="1">
      <c r="A33" s="202">
        <f ca="1">IF(ROWS($1:22)&gt;COUNT(Dong2),"",OFFSET(TH!C$1,SMALL(Dong2,ROWS($1:22)),))</f>
        <v>42529</v>
      </c>
      <c r="B33" s="202" t="str">
        <f ca="1">IF(ROWS($1:22)&gt;COUNT(Dong2),"",OFFSET(TH!D$1,SMALL(Dong2,ROWS($1:22)),))</f>
        <v>GBN</v>
      </c>
      <c r="C33" s="202">
        <f ca="1">IF(ROWS($1:22)&gt;COUNT(Dong2),"",OFFSET(TH!E$1,SMALL(Dong2,ROWS($1:22)),))</f>
        <v>42529</v>
      </c>
      <c r="D33" s="382" t="str">
        <f ca="1">IF(ROWS($1:22)&gt;COUNT(Dong2),"",OFFSET(TH!F$1,SMALL(Dong2,ROWS($1:22)),))</f>
        <v>Q11 - Trả lãi KU 1015LDS201100378</v>
      </c>
      <c r="E33" s="202" t="str">
        <f ca="1">IF(ROWS($1:22)&gt;COUNT(Dong2),"",IF(OFFSET(TH!O$1,SMALL(Dong2,ROWS($1:22)),)=$I$6,OFFSET(TH!N$1,SMALL(Dong2,ROWS($1:22)),),OFFSET(TH!O$1,SMALL(Dong2,ROWS($1:22)),)))</f>
        <v>635</v>
      </c>
      <c r="F33" s="1173">
        <f ca="1">IF(ROWS($1:22)&gt;COUNT(Dong2),"",IF(AND(IF($M$9="Q11",LEFT(OFFSET(TH!G$1,SMALL(Dong2,ROWS($1:22)),),3)=$M$9,LEFT(OFFSET(TH!G$1,SMALL(Dong2,ROWS($1:22)),),2)=$M$9),OFFSET(TH!N$1,SMALL(Dong2,ROWS($1:22)),)=$I$6),IF($I$6="1121",OFFSET(TH!M$1,SMALL(Dong2,ROWS($1:22)),),OFFSET(TH!K$1,SMALL(Dong2,ROWS($1:22)),)),0))</f>
        <v>0</v>
      </c>
      <c r="G33" s="1173">
        <f ca="1">IF(ROWS($1:22)&gt;COUNT(Dong2),"",IF(AND(IF($M$9="Q11",RIGHT(OFFSET(TH!G$1,SMALL(Dong2,ROWS($1:22)),),3)=$M$9,RIGHT(OFFSET(TH!G$1,SMALL(Dong2,ROWS($1:22)),),2)=$M$9),OFFSET(TH!O$1,SMALL(Dong2,ROWS($1:22)),)=$I$6),IF($I$6="1121",OFFSET(TH!M$1,SMALL(Dong2,ROWS($1:22)),),OFFSET(TH!K$1,SMALL(Dong2,ROWS($1:22)),)),0))</f>
        <v>2491565</v>
      </c>
      <c r="H33" s="947">
        <f t="shared" ca="1" si="0"/>
        <v>1865531253</v>
      </c>
      <c r="I33" s="947"/>
      <c r="L33" s="184"/>
    </row>
    <row r="34" spans="1:12" s="191" customFormat="1" ht="20.25" customHeight="1">
      <c r="A34" s="202">
        <f ca="1">IF(ROWS($1:23)&gt;COUNT(Dong2),"",OFFSET(TH!C$1,SMALL(Dong2,ROWS($1:23)),))</f>
        <v>42529</v>
      </c>
      <c r="B34" s="202" t="str">
        <f ca="1">IF(ROWS($1:23)&gt;COUNT(Dong2),"",OFFSET(TH!D$1,SMALL(Dong2,ROWS($1:23)),))</f>
        <v>GBN</v>
      </c>
      <c r="C34" s="202">
        <f ca="1">IF(ROWS($1:23)&gt;COUNT(Dong2),"",OFFSET(TH!E$1,SMALL(Dong2,ROWS($1:23)),))</f>
        <v>42529</v>
      </c>
      <c r="D34" s="382" t="str">
        <f ca="1">IF(ROWS($1:23)&gt;COUNT(Dong2),"",OFFSET(TH!F$1,SMALL(Dong2,ROWS($1:23)),))</f>
        <v>Q11 - Trả lãi KU 1015LDS201000102</v>
      </c>
      <c r="E34" s="202" t="str">
        <f ca="1">IF(ROWS($1:23)&gt;COUNT(Dong2),"",IF(OFFSET(TH!O$1,SMALL(Dong2,ROWS($1:23)),)=$I$6,OFFSET(TH!N$1,SMALL(Dong2,ROWS($1:23)),),OFFSET(TH!O$1,SMALL(Dong2,ROWS($1:23)),)))</f>
        <v>635</v>
      </c>
      <c r="F34" s="1173">
        <f ca="1">IF(ROWS($1:23)&gt;COUNT(Dong2),"",IF(AND(IF($M$9="Q11",LEFT(OFFSET(TH!G$1,SMALL(Dong2,ROWS($1:23)),),3)=$M$9,LEFT(OFFSET(TH!G$1,SMALL(Dong2,ROWS($1:23)),),2)=$M$9),OFFSET(TH!N$1,SMALL(Dong2,ROWS($1:23)),)=$I$6),IF($I$6="1121",OFFSET(TH!M$1,SMALL(Dong2,ROWS($1:23)),),OFFSET(TH!K$1,SMALL(Dong2,ROWS($1:23)),)),0))</f>
        <v>0</v>
      </c>
      <c r="G34" s="1173">
        <f ca="1">IF(ROWS($1:23)&gt;COUNT(Dong2),"",IF(AND(IF($M$9="Q11",RIGHT(OFFSET(TH!G$1,SMALL(Dong2,ROWS($1:23)),),3)=$M$9,RIGHT(OFFSET(TH!G$1,SMALL(Dong2,ROWS($1:23)),),2)=$M$9),OFFSET(TH!O$1,SMALL(Dong2,ROWS($1:23)),)=$I$6),IF($I$6="1121",OFFSET(TH!M$1,SMALL(Dong2,ROWS($1:23)),),OFFSET(TH!K$1,SMALL(Dong2,ROWS($1:23)),)),0))</f>
        <v>1206098</v>
      </c>
      <c r="H34" s="947">
        <f t="shared" ca="1" si="0"/>
        <v>1864325155</v>
      </c>
      <c r="I34" s="947"/>
      <c r="L34" s="184"/>
    </row>
    <row r="35" spans="1:12" s="191" customFormat="1" ht="20.25" customHeight="1">
      <c r="A35" s="202">
        <f ca="1">IF(ROWS($1:24)&gt;COUNT(Dong2),"",OFFSET(TH!C$1,SMALL(Dong2,ROWS($1:24)),))</f>
        <v>42529</v>
      </c>
      <c r="B35" s="202" t="str">
        <f ca="1">IF(ROWS($1:24)&gt;COUNT(Dong2),"",OFFSET(TH!D$1,SMALL(Dong2,ROWS($1:24)),))</f>
        <v>GBN</v>
      </c>
      <c r="C35" s="202">
        <f ca="1">IF(ROWS($1:24)&gt;COUNT(Dong2),"",OFFSET(TH!E$1,SMALL(Dong2,ROWS($1:24)),))</f>
        <v>42529</v>
      </c>
      <c r="D35" s="382" t="str">
        <f ca="1">IF(ROWS($1:24)&gt;COUNT(Dong2),"",OFFSET(TH!F$1,SMALL(Dong2,ROWS($1:24)),))</f>
        <v>Phí kiểm đếm</v>
      </c>
      <c r="E35" s="202" t="str">
        <f ca="1">IF(ROWS($1:24)&gt;COUNT(Dong2),"",IF(OFFSET(TH!O$1,SMALL(Dong2,ROWS($1:24)),)=$I$6,OFFSET(TH!N$1,SMALL(Dong2,ROWS($1:24)),),OFFSET(TH!O$1,SMALL(Dong2,ROWS($1:24)),)))</f>
        <v>642</v>
      </c>
      <c r="F35" s="1173">
        <f ca="1">IF(ROWS($1:24)&gt;COUNT(Dong2),"",IF(AND(IF($M$9="Q11",LEFT(OFFSET(TH!G$1,SMALL(Dong2,ROWS($1:24)),),3)=$M$9,LEFT(OFFSET(TH!G$1,SMALL(Dong2,ROWS($1:24)),),2)=$M$9),OFFSET(TH!N$1,SMALL(Dong2,ROWS($1:24)),)=$I$6),IF($I$6="1121",OFFSET(TH!M$1,SMALL(Dong2,ROWS($1:24)),),OFFSET(TH!K$1,SMALL(Dong2,ROWS($1:24)),)),0))</f>
        <v>0</v>
      </c>
      <c r="G35" s="1173">
        <f ca="1">IF(ROWS($1:24)&gt;COUNT(Dong2),"",IF(AND(IF($M$9="Q11",RIGHT(OFFSET(TH!G$1,SMALL(Dong2,ROWS($1:24)),),3)=$M$9,RIGHT(OFFSET(TH!G$1,SMALL(Dong2,ROWS($1:24)),),2)=$M$9),OFFSET(TH!O$1,SMALL(Dong2,ROWS($1:24)),)=$I$6),IF($I$6="1121",OFFSET(TH!M$1,SMALL(Dong2,ROWS($1:24)),),OFFSET(TH!K$1,SMALL(Dong2,ROWS($1:24)),)),0))</f>
        <v>466702</v>
      </c>
      <c r="H35" s="947">
        <f t="shared" ca="1" si="0"/>
        <v>1863858453</v>
      </c>
      <c r="I35" s="947"/>
      <c r="L35" s="184"/>
    </row>
    <row r="36" spans="1:12" s="191" customFormat="1" ht="20.25" customHeight="1">
      <c r="A36" s="202">
        <f ca="1">IF(ROWS($1:25)&gt;COUNT(Dong2),"",OFFSET(TH!C$1,SMALL(Dong2,ROWS($1:25)),))</f>
        <v>42529</v>
      </c>
      <c r="B36" s="202" t="str">
        <f ca="1">IF(ROWS($1:25)&gt;COUNT(Dong2),"",OFFSET(TH!D$1,SMALL(Dong2,ROWS($1:25)),))</f>
        <v>GBN</v>
      </c>
      <c r="C36" s="202">
        <f ca="1">IF(ROWS($1:25)&gt;COUNT(Dong2),"",OFFSET(TH!E$1,SMALL(Dong2,ROWS($1:25)),))</f>
        <v>42529</v>
      </c>
      <c r="D36" s="382" t="str">
        <f ca="1">IF(ROWS($1:25)&gt;COUNT(Dong2),"",OFFSET(TH!F$1,SMALL(Dong2,ROWS($1:25)),))</f>
        <v>VAT Phí kiểm đếm</v>
      </c>
      <c r="E36" s="202" t="str">
        <f ca="1">IF(ROWS($1:25)&gt;COUNT(Dong2),"",IF(OFFSET(TH!O$1,SMALL(Dong2,ROWS($1:25)),)=$I$6,OFFSET(TH!N$1,SMALL(Dong2,ROWS($1:25)),),OFFSET(TH!O$1,SMALL(Dong2,ROWS($1:25)),)))</f>
        <v>1331</v>
      </c>
      <c r="F36" s="1173">
        <f ca="1">IF(ROWS($1:25)&gt;COUNT(Dong2),"",IF(AND(IF($M$9="Q11",LEFT(OFFSET(TH!G$1,SMALL(Dong2,ROWS($1:25)),),3)=$M$9,LEFT(OFFSET(TH!G$1,SMALL(Dong2,ROWS($1:25)),),2)=$M$9),OFFSET(TH!N$1,SMALL(Dong2,ROWS($1:25)),)=$I$6),IF($I$6="1121",OFFSET(TH!M$1,SMALL(Dong2,ROWS($1:25)),),OFFSET(TH!K$1,SMALL(Dong2,ROWS($1:25)),)),0))</f>
        <v>0</v>
      </c>
      <c r="G36" s="1173">
        <f ca="1">IF(ROWS($1:25)&gt;COUNT(Dong2),"",IF(AND(IF($M$9="Q11",RIGHT(OFFSET(TH!G$1,SMALL(Dong2,ROWS($1:25)),),3)=$M$9,RIGHT(OFFSET(TH!G$1,SMALL(Dong2,ROWS($1:25)),),2)=$M$9),OFFSET(TH!O$1,SMALL(Dong2,ROWS($1:25)),)=$I$6),IF($I$6="1121",OFFSET(TH!M$1,SMALL(Dong2,ROWS($1:25)),),OFFSET(TH!K$1,SMALL(Dong2,ROWS($1:25)),)),0))</f>
        <v>46670</v>
      </c>
      <c r="H36" s="947">
        <f t="shared" ca="1" si="0"/>
        <v>1863811783</v>
      </c>
      <c r="I36" s="947"/>
      <c r="L36" s="184"/>
    </row>
    <row r="37" spans="1:12" s="191" customFormat="1" ht="20.25" customHeight="1">
      <c r="A37" s="202">
        <f ca="1">IF(ROWS($1:26)&gt;COUNT(Dong2),"",OFFSET(TH!C$1,SMALL(Dong2,ROWS($1:26)),))</f>
        <v>42529</v>
      </c>
      <c r="B37" s="202" t="str">
        <f ca="1">IF(ROWS($1:26)&gt;COUNT(Dong2),"",OFFSET(TH!D$1,SMALL(Dong2,ROWS($1:26)),))</f>
        <v>GBN</v>
      </c>
      <c r="C37" s="202">
        <f ca="1">IF(ROWS($1:26)&gt;COUNT(Dong2),"",OFFSET(TH!E$1,SMALL(Dong2,ROWS($1:26)),))</f>
        <v>42529</v>
      </c>
      <c r="D37" s="382" t="str">
        <f ca="1">IF(ROWS($1:26)&gt;COUNT(Dong2),"",OFFSET(TH!F$1,SMALL(Dong2,ROWS($1:26)),))</f>
        <v>Chuyển VNĐ</v>
      </c>
      <c r="E37" s="202" t="str">
        <f ca="1">IF(ROWS($1:26)&gt;COUNT(Dong2),"",IF(OFFSET(TH!O$1,SMALL(Dong2,ROWS($1:26)),)=$I$6,OFFSET(TH!N$1,SMALL(Dong2,ROWS($1:26)),),OFFSET(TH!O$1,SMALL(Dong2,ROWS($1:26)),)))</f>
        <v>1121</v>
      </c>
      <c r="F37" s="1173">
        <f ca="1">IF(ROWS($1:26)&gt;COUNT(Dong2),"",IF(AND(IF($M$9="Q11",LEFT(OFFSET(TH!G$1,SMALL(Dong2,ROWS($1:26)),),3)=$M$9,LEFT(OFFSET(TH!G$1,SMALL(Dong2,ROWS($1:26)),),2)=$M$9),OFFSET(TH!N$1,SMALL(Dong2,ROWS($1:26)),)=$I$6),IF($I$6="1121",OFFSET(TH!M$1,SMALL(Dong2,ROWS($1:26)),),OFFSET(TH!K$1,SMALL(Dong2,ROWS($1:26)),)),0))</f>
        <v>0</v>
      </c>
      <c r="G37" s="1173">
        <f ca="1">IF(ROWS($1:26)&gt;COUNT(Dong2),"",IF(AND(IF($M$9="Q11",RIGHT(OFFSET(TH!G$1,SMALL(Dong2,ROWS($1:26)),),3)=$M$9,RIGHT(OFFSET(TH!G$1,SMALL(Dong2,ROWS($1:26)),),2)=$M$9),OFFSET(TH!O$1,SMALL(Dong2,ROWS($1:26)),)=$I$6),IF($I$6="1121",OFFSET(TH!M$1,SMALL(Dong2,ROWS($1:26)),),OFFSET(TH!K$1,SMALL(Dong2,ROWS($1:26)),)),0))</f>
        <v>1560000000</v>
      </c>
      <c r="H37" s="947">
        <f t="shared" ca="1" si="0"/>
        <v>303811783</v>
      </c>
      <c r="I37" s="947"/>
      <c r="L37" s="184"/>
    </row>
    <row r="38" spans="1:12" s="191" customFormat="1" ht="20.25" customHeight="1">
      <c r="A38" s="202">
        <f ca="1">IF(ROWS($1:27)&gt;COUNT(Dong2),"",OFFSET(TH!C$1,SMALL(Dong2,ROWS($1:27)),))</f>
        <v>42531</v>
      </c>
      <c r="B38" s="202" t="str">
        <f ca="1">IF(ROWS($1:27)&gt;COUNT(Dong2),"",OFFSET(TH!D$1,SMALL(Dong2,ROWS($1:27)),))</f>
        <v>T03</v>
      </c>
      <c r="C38" s="202">
        <f ca="1">IF(ROWS($1:27)&gt;COUNT(Dong2),"",OFFSET(TH!E$1,SMALL(Dong2,ROWS($1:27)),))</f>
        <v>42531</v>
      </c>
      <c r="D38" s="382" t="str">
        <f ca="1">IF(ROWS($1:27)&gt;COUNT(Dong2),"",OFFSET(TH!F$1,SMALL(Dong2,ROWS($1:27)),))</f>
        <v>Rút tiền gửi NH nhập quỹ TM</v>
      </c>
      <c r="E38" s="202" t="str">
        <f ca="1">IF(ROWS($1:27)&gt;COUNT(Dong2),"",IF(OFFSET(TH!O$1,SMALL(Dong2,ROWS($1:27)),)=$I$6,OFFSET(TH!N$1,SMALL(Dong2,ROWS($1:27)),),OFFSET(TH!O$1,SMALL(Dong2,ROWS($1:27)),)))</f>
        <v>1111</v>
      </c>
      <c r="F38" s="1173">
        <f ca="1">IF(ROWS($1:27)&gt;COUNT(Dong2),"",IF(AND(IF($M$9="Q11",LEFT(OFFSET(TH!G$1,SMALL(Dong2,ROWS($1:27)),),3)=$M$9,LEFT(OFFSET(TH!G$1,SMALL(Dong2,ROWS($1:27)),),2)=$M$9),OFFSET(TH!N$1,SMALL(Dong2,ROWS($1:27)),)=$I$6),IF($I$6="1121",OFFSET(TH!M$1,SMALL(Dong2,ROWS($1:27)),),OFFSET(TH!K$1,SMALL(Dong2,ROWS($1:27)),)),0))</f>
        <v>0</v>
      </c>
      <c r="G38" s="1173">
        <f ca="1">IF(ROWS($1:27)&gt;COUNT(Dong2),"",IF(AND(IF($M$9="Q11",RIGHT(OFFSET(TH!G$1,SMALL(Dong2,ROWS($1:27)),),3)=$M$9,RIGHT(OFFSET(TH!G$1,SMALL(Dong2,ROWS($1:27)),),2)=$M$9),OFFSET(TH!O$1,SMALL(Dong2,ROWS($1:27)),)=$I$6),IF($I$6="1121",OFFSET(TH!M$1,SMALL(Dong2,ROWS($1:27)),),OFFSET(TH!K$1,SMALL(Dong2,ROWS($1:27)),)),0))</f>
        <v>300000000</v>
      </c>
      <c r="H38" s="947">
        <f t="shared" ca="1" si="0"/>
        <v>3811783</v>
      </c>
      <c r="I38" s="947"/>
      <c r="L38" s="184"/>
    </row>
    <row r="39" spans="1:12" s="191" customFormat="1" ht="20.25" customHeight="1">
      <c r="A39" s="202">
        <f ca="1">IF(ROWS($1:28)&gt;COUNT(Dong2),"",OFFSET(TH!C$1,SMALL(Dong2,ROWS($1:28)),))</f>
        <v>42531</v>
      </c>
      <c r="B39" s="202" t="str">
        <f ca="1">IF(ROWS($1:28)&gt;COUNT(Dong2),"",OFFSET(TH!D$1,SMALL(Dong2,ROWS($1:28)),))</f>
        <v>GBN</v>
      </c>
      <c r="C39" s="202">
        <f ca="1">IF(ROWS($1:28)&gt;COUNT(Dong2),"",OFFSET(TH!E$1,SMALL(Dong2,ROWS($1:28)),))</f>
        <v>42531</v>
      </c>
      <c r="D39" s="382" t="str">
        <f ca="1">IF(ROWS($1:28)&gt;COUNT(Dong2),"",OFFSET(TH!F$1,SMALL(Dong2,ROWS($1:28)),))</f>
        <v>Phí thanh toán bộ chứng từ</v>
      </c>
      <c r="E39" s="202" t="str">
        <f ca="1">IF(ROWS($1:28)&gt;COUNT(Dong2),"",IF(OFFSET(TH!O$1,SMALL(Dong2,ROWS($1:28)),)=$I$6,OFFSET(TH!N$1,SMALL(Dong2,ROWS($1:28)),),OFFSET(TH!O$1,SMALL(Dong2,ROWS($1:28)),)))</f>
        <v>642</v>
      </c>
      <c r="F39" s="1173">
        <f ca="1">IF(ROWS($1:28)&gt;COUNT(Dong2),"",IF(AND(IF($M$9="Q11",LEFT(OFFSET(TH!G$1,SMALL(Dong2,ROWS($1:28)),),3)=$M$9,LEFT(OFFSET(TH!G$1,SMALL(Dong2,ROWS($1:28)),),2)=$M$9),OFFSET(TH!N$1,SMALL(Dong2,ROWS($1:28)),)=$I$6),IF($I$6="1121",OFFSET(TH!M$1,SMALL(Dong2,ROWS($1:28)),),OFFSET(TH!K$1,SMALL(Dong2,ROWS($1:28)),)),0))</f>
        <v>0</v>
      </c>
      <c r="G39" s="1173">
        <f ca="1">IF(ROWS($1:28)&gt;COUNT(Dong2),"",IF(AND(IF($M$9="Q11",RIGHT(OFFSET(TH!G$1,SMALL(Dong2,ROWS($1:28)),),3)=$M$9,RIGHT(OFFSET(TH!G$1,SMALL(Dong2,ROWS($1:28)),),2)=$M$9),OFFSET(TH!O$1,SMALL(Dong2,ROWS($1:28)),)=$I$6),IF($I$6="1121",OFFSET(TH!M$1,SMALL(Dong2,ROWS($1:28)),),OFFSET(TH!K$1,SMALL(Dong2,ROWS($1:28)),)),0))</f>
        <v>1401257</v>
      </c>
      <c r="H39" s="947">
        <f t="shared" ca="1" si="0"/>
        <v>2410526</v>
      </c>
      <c r="I39" s="947"/>
      <c r="L39" s="184"/>
    </row>
    <row r="40" spans="1:12" s="191" customFormat="1" ht="20.25" customHeight="1">
      <c r="A40" s="202">
        <f ca="1">IF(ROWS($1:29)&gt;COUNT(Dong2),"",OFFSET(TH!C$1,SMALL(Dong2,ROWS($1:29)),))</f>
        <v>42531</v>
      </c>
      <c r="B40" s="202" t="str">
        <f ca="1">IF(ROWS($1:29)&gt;COUNT(Dong2),"",OFFSET(TH!D$1,SMALL(Dong2,ROWS($1:29)),))</f>
        <v>GBN</v>
      </c>
      <c r="C40" s="202">
        <f ca="1">IF(ROWS($1:29)&gt;COUNT(Dong2),"",OFFSET(TH!E$1,SMALL(Dong2,ROWS($1:29)),))</f>
        <v>42531</v>
      </c>
      <c r="D40" s="382" t="str">
        <f ca="1">IF(ROWS($1:29)&gt;COUNT(Dong2),"",OFFSET(TH!F$1,SMALL(Dong2,ROWS($1:29)),))</f>
        <v>VAT Phí thanh toán bộ chứng từ</v>
      </c>
      <c r="E40" s="202" t="str">
        <f ca="1">IF(ROWS($1:29)&gt;COUNT(Dong2),"",IF(OFFSET(TH!O$1,SMALL(Dong2,ROWS($1:29)),)=$I$6,OFFSET(TH!N$1,SMALL(Dong2,ROWS($1:29)),),OFFSET(TH!O$1,SMALL(Dong2,ROWS($1:29)),)))</f>
        <v>1331</v>
      </c>
      <c r="F40" s="1173">
        <f ca="1">IF(ROWS($1:29)&gt;COUNT(Dong2),"",IF(AND(IF($M$9="Q11",LEFT(OFFSET(TH!G$1,SMALL(Dong2,ROWS($1:29)),),3)=$M$9,LEFT(OFFSET(TH!G$1,SMALL(Dong2,ROWS($1:29)),),2)=$M$9),OFFSET(TH!N$1,SMALL(Dong2,ROWS($1:29)),)=$I$6),IF($I$6="1121",OFFSET(TH!M$1,SMALL(Dong2,ROWS($1:29)),),OFFSET(TH!K$1,SMALL(Dong2,ROWS($1:29)),)),0))</f>
        <v>0</v>
      </c>
      <c r="G40" s="1173">
        <f ca="1">IF(ROWS($1:29)&gt;COUNT(Dong2),"",IF(AND(IF($M$9="Q11",RIGHT(OFFSET(TH!G$1,SMALL(Dong2,ROWS($1:29)),),3)=$M$9,RIGHT(OFFSET(TH!G$1,SMALL(Dong2,ROWS($1:29)),),2)=$M$9),OFFSET(TH!O$1,SMALL(Dong2,ROWS($1:29)),)=$I$6),IF($I$6="1121",OFFSET(TH!M$1,SMALL(Dong2,ROWS($1:29)),),OFFSET(TH!K$1,SMALL(Dong2,ROWS($1:29)),)),0))</f>
        <v>140126</v>
      </c>
      <c r="H40" s="947">
        <f t="shared" ca="1" si="0"/>
        <v>2270400</v>
      </c>
      <c r="I40" s="947"/>
    </row>
    <row r="41" spans="1:12" s="191" customFormat="1" ht="20.25" customHeight="1">
      <c r="A41" s="202">
        <f ca="1">IF(ROWS($1:30)&gt;COUNT(Dong2),"",OFFSET(TH!C$1,SMALL(Dong2,ROWS($1:30)),))</f>
        <v>42534</v>
      </c>
      <c r="B41" s="202" t="str">
        <f ca="1">IF(ROWS($1:30)&gt;COUNT(Dong2),"",OFFSET(TH!D$1,SMALL(Dong2,ROWS($1:30)),))</f>
        <v>C12</v>
      </c>
      <c r="C41" s="202">
        <f ca="1">IF(ROWS($1:30)&gt;COUNT(Dong2),"",OFFSET(TH!E$1,SMALL(Dong2,ROWS($1:30)),))</f>
        <v>42534</v>
      </c>
      <c r="D41" s="382" t="str">
        <f ca="1">IF(ROWS($1:30)&gt;COUNT(Dong2),"",OFFSET(TH!F$1,SMALL(Dong2,ROWS($1:30)),))</f>
        <v>Nộp tiền mặt vào TK NH</v>
      </c>
      <c r="E41" s="202" t="str">
        <f ca="1">IF(ROWS($1:30)&gt;COUNT(Dong2),"",IF(OFFSET(TH!O$1,SMALL(Dong2,ROWS($1:30)),)=$I$6,OFFSET(TH!N$1,SMALL(Dong2,ROWS($1:30)),),OFFSET(TH!O$1,SMALL(Dong2,ROWS($1:30)),)))</f>
        <v>1111</v>
      </c>
      <c r="F41" s="1173">
        <f ca="1">IF(ROWS($1:30)&gt;COUNT(Dong2),"",IF(AND(IF($M$9="Q11",LEFT(OFFSET(TH!G$1,SMALL(Dong2,ROWS($1:30)),),3)=$M$9,LEFT(OFFSET(TH!G$1,SMALL(Dong2,ROWS($1:30)),),2)=$M$9),OFFSET(TH!N$1,SMALL(Dong2,ROWS($1:30)),)=$I$6),IF($I$6="1121",OFFSET(TH!M$1,SMALL(Dong2,ROWS($1:30)),),OFFSET(TH!K$1,SMALL(Dong2,ROWS($1:30)),)),0))</f>
        <v>32000000</v>
      </c>
      <c r="G41" s="1173">
        <f ca="1">IF(ROWS($1:30)&gt;COUNT(Dong2),"",IF(AND(IF($M$9="Q11",RIGHT(OFFSET(TH!G$1,SMALL(Dong2,ROWS($1:30)),),3)=$M$9,RIGHT(OFFSET(TH!G$1,SMALL(Dong2,ROWS($1:30)),),2)=$M$9),OFFSET(TH!O$1,SMALL(Dong2,ROWS($1:30)),)=$I$6),IF($I$6="1121",OFFSET(TH!M$1,SMALL(Dong2,ROWS($1:30)),),OFFSET(TH!K$1,SMALL(Dong2,ROWS($1:30)),)),0))</f>
        <v>0</v>
      </c>
      <c r="H41" s="947">
        <f t="shared" ca="1" si="0"/>
        <v>34270400</v>
      </c>
      <c r="I41" s="947"/>
    </row>
    <row r="42" spans="1:12" s="191" customFormat="1" ht="20.25" customHeight="1">
      <c r="A42" s="202">
        <f ca="1">IF(ROWS($1:31)&gt;COUNT(Dong2),"",OFFSET(TH!C$1,SMALL(Dong2,ROWS($1:31)),))</f>
        <v>42534</v>
      </c>
      <c r="B42" s="202" t="str">
        <f ca="1">IF(ROWS($1:31)&gt;COUNT(Dong2),"",OFFSET(TH!D$1,SMALL(Dong2,ROWS($1:31)),))</f>
        <v>GBN</v>
      </c>
      <c r="C42" s="202">
        <f ca="1">IF(ROWS($1:31)&gt;COUNT(Dong2),"",OFFSET(TH!E$1,SMALL(Dong2,ROWS($1:31)),))</f>
        <v>42534</v>
      </c>
      <c r="D42" s="382" t="str">
        <f ca="1">IF(ROWS($1:31)&gt;COUNT(Dong2),"",OFFSET(TH!F$1,SMALL(Dong2,ROWS($1:31)),))</f>
        <v>Thanh  toán tiền điện kỳ 3 T5/2016</v>
      </c>
      <c r="E42" s="202" t="str">
        <f ca="1">IF(ROWS($1:31)&gt;COUNT(Dong2),"",IF(OFFSET(TH!O$1,SMALL(Dong2,ROWS($1:31)),)=$I$6,OFFSET(TH!N$1,SMALL(Dong2,ROWS($1:31)),),OFFSET(TH!O$1,SMALL(Dong2,ROWS($1:31)),)))</f>
        <v>331</v>
      </c>
      <c r="F42" s="1173">
        <f ca="1">IF(ROWS($1:31)&gt;COUNT(Dong2),"",IF(AND(IF($M$9="Q11",LEFT(OFFSET(TH!G$1,SMALL(Dong2,ROWS($1:31)),),3)=$M$9,LEFT(OFFSET(TH!G$1,SMALL(Dong2,ROWS($1:31)),),2)=$M$9),OFFSET(TH!N$1,SMALL(Dong2,ROWS($1:31)),)=$I$6),IF($I$6="1121",OFFSET(TH!M$1,SMALL(Dong2,ROWS($1:31)),),OFFSET(TH!K$1,SMALL(Dong2,ROWS($1:31)),)),0))</f>
        <v>0</v>
      </c>
      <c r="G42" s="1173">
        <f ca="1">IF(ROWS($1:31)&gt;COUNT(Dong2),"",IF(AND(IF($M$9="Q11",RIGHT(OFFSET(TH!G$1,SMALL(Dong2,ROWS($1:31)),),3)=$M$9,RIGHT(OFFSET(TH!G$1,SMALL(Dong2,ROWS($1:31)),),2)=$M$9),OFFSET(TH!O$1,SMALL(Dong2,ROWS($1:31)),)=$I$6),IF($I$6="1121",OFFSET(TH!M$1,SMALL(Dong2,ROWS($1:31)),),OFFSET(TH!K$1,SMALL(Dong2,ROWS($1:31)),)),0))</f>
        <v>31328330</v>
      </c>
      <c r="H42" s="947">
        <f t="shared" ca="1" si="0"/>
        <v>2942070</v>
      </c>
      <c r="I42" s="947"/>
    </row>
    <row r="43" spans="1:12" s="191" customFormat="1" ht="20.25" customHeight="1">
      <c r="A43" s="202">
        <f ca="1">IF(ROWS($1:32)&gt;COUNT(Dong2),"",OFFSET(TH!C$1,SMALL(Dong2,ROWS($1:32)),))</f>
        <v>42534</v>
      </c>
      <c r="B43" s="202" t="str">
        <f ca="1">IF(ROWS($1:32)&gt;COUNT(Dong2),"",OFFSET(TH!D$1,SMALL(Dong2,ROWS($1:32)),))</f>
        <v>GBN</v>
      </c>
      <c r="C43" s="202">
        <f ca="1">IF(ROWS($1:32)&gt;COUNT(Dong2),"",OFFSET(TH!E$1,SMALL(Dong2,ROWS($1:32)),))</f>
        <v>42534</v>
      </c>
      <c r="D43" s="382" t="str">
        <f ca="1">IF(ROWS($1:32)&gt;COUNT(Dong2),"",OFFSET(TH!F$1,SMALL(Dong2,ROWS($1:32)),))</f>
        <v>Phí dịch vụ</v>
      </c>
      <c r="E43" s="202" t="str">
        <f ca="1">IF(ROWS($1:32)&gt;COUNT(Dong2),"",IF(OFFSET(TH!O$1,SMALL(Dong2,ROWS($1:32)),)=$I$6,OFFSET(TH!N$1,SMALL(Dong2,ROWS($1:32)),),OFFSET(TH!O$1,SMALL(Dong2,ROWS($1:32)),)))</f>
        <v>642</v>
      </c>
      <c r="F43" s="1173">
        <f ca="1">IF(ROWS($1:32)&gt;COUNT(Dong2),"",IF(AND(IF($M$9="Q11",LEFT(OFFSET(TH!G$1,SMALL(Dong2,ROWS($1:32)),),3)=$M$9,LEFT(OFFSET(TH!G$1,SMALL(Dong2,ROWS($1:32)),),2)=$M$9),OFFSET(TH!N$1,SMALL(Dong2,ROWS($1:32)),)=$I$6),IF($I$6="1121",OFFSET(TH!M$1,SMALL(Dong2,ROWS($1:32)),),OFFSET(TH!K$1,SMALL(Dong2,ROWS($1:32)),)),0))</f>
        <v>0</v>
      </c>
      <c r="G43" s="1173">
        <f ca="1">IF(ROWS($1:32)&gt;COUNT(Dong2),"",IF(AND(IF($M$9="Q11",RIGHT(OFFSET(TH!G$1,SMALL(Dong2,ROWS($1:32)),),3)=$M$9,RIGHT(OFFSET(TH!G$1,SMALL(Dong2,ROWS($1:32)),),2)=$M$9),OFFSET(TH!O$1,SMALL(Dong2,ROWS($1:32)),)=$I$6),IF($I$6="1121",OFFSET(TH!M$1,SMALL(Dong2,ROWS($1:32)),),OFFSET(TH!K$1,SMALL(Dong2,ROWS($1:32)),)),0))</f>
        <v>45000</v>
      </c>
      <c r="H43" s="947">
        <f t="shared" ca="1" si="0"/>
        <v>2897070</v>
      </c>
      <c r="I43" s="947"/>
    </row>
    <row r="44" spans="1:12" s="191" customFormat="1" ht="20.25" customHeight="1">
      <c r="A44" s="202">
        <f ca="1">IF(ROWS($1:33)&gt;COUNT(Dong2),"",OFFSET(TH!C$1,SMALL(Dong2,ROWS($1:33)),))</f>
        <v>42534</v>
      </c>
      <c r="B44" s="202" t="str">
        <f ca="1">IF(ROWS($1:33)&gt;COUNT(Dong2),"",OFFSET(TH!D$1,SMALL(Dong2,ROWS($1:33)),))</f>
        <v>GBN</v>
      </c>
      <c r="C44" s="202">
        <f ca="1">IF(ROWS($1:33)&gt;COUNT(Dong2),"",OFFSET(TH!E$1,SMALL(Dong2,ROWS($1:33)),))</f>
        <v>42534</v>
      </c>
      <c r="D44" s="382" t="str">
        <f ca="1">IF(ROWS($1:33)&gt;COUNT(Dong2),"",OFFSET(TH!F$1,SMALL(Dong2,ROWS($1:33)),))</f>
        <v>VAT Phí dịch vụ</v>
      </c>
      <c r="E44" s="202" t="str">
        <f ca="1">IF(ROWS($1:33)&gt;COUNT(Dong2),"",IF(OFFSET(TH!O$1,SMALL(Dong2,ROWS($1:33)),)=$I$6,OFFSET(TH!N$1,SMALL(Dong2,ROWS($1:33)),),OFFSET(TH!O$1,SMALL(Dong2,ROWS($1:33)),)))</f>
        <v>1331</v>
      </c>
      <c r="F44" s="1173">
        <f ca="1">IF(ROWS($1:33)&gt;COUNT(Dong2),"",IF(AND(IF($M$9="Q11",LEFT(OFFSET(TH!G$1,SMALL(Dong2,ROWS($1:33)),),3)=$M$9,LEFT(OFFSET(TH!G$1,SMALL(Dong2,ROWS($1:33)),),2)=$M$9),OFFSET(TH!N$1,SMALL(Dong2,ROWS($1:33)),)=$I$6),IF($I$6="1121",OFFSET(TH!M$1,SMALL(Dong2,ROWS($1:33)),),OFFSET(TH!K$1,SMALL(Dong2,ROWS($1:33)),)),0))</f>
        <v>0</v>
      </c>
      <c r="G44" s="1173">
        <f ca="1">IF(ROWS($1:33)&gt;COUNT(Dong2),"",IF(AND(IF($M$9="Q11",RIGHT(OFFSET(TH!G$1,SMALL(Dong2,ROWS($1:33)),),3)=$M$9,RIGHT(OFFSET(TH!G$1,SMALL(Dong2,ROWS($1:33)),),2)=$M$9),OFFSET(TH!O$1,SMALL(Dong2,ROWS($1:33)),)=$I$6),IF($I$6="1121",OFFSET(TH!M$1,SMALL(Dong2,ROWS($1:33)),),OFFSET(TH!K$1,SMALL(Dong2,ROWS($1:33)),)),0))</f>
        <v>4500</v>
      </c>
      <c r="H44" s="947">
        <f t="shared" ca="1" si="0"/>
        <v>2892570</v>
      </c>
      <c r="I44" s="947"/>
    </row>
    <row r="45" spans="1:12" s="191" customFormat="1" ht="20.25" customHeight="1">
      <c r="A45" s="202">
        <f ca="1">IF(ROWS($1:34)&gt;COUNT(Dong2),"",OFFSET(TH!C$1,SMALL(Dong2,ROWS($1:34)),))</f>
        <v>42536</v>
      </c>
      <c r="B45" s="202" t="str">
        <f ca="1">IF(ROWS($1:34)&gt;COUNT(Dong2),"",OFFSET(TH!D$1,SMALL(Dong2,ROWS($1:34)),))</f>
        <v>T04</v>
      </c>
      <c r="C45" s="202">
        <f ca="1">IF(ROWS($1:34)&gt;COUNT(Dong2),"",OFFSET(TH!E$1,SMALL(Dong2,ROWS($1:34)),))</f>
        <v>42536</v>
      </c>
      <c r="D45" s="382" t="str">
        <f ca="1">IF(ROWS($1:34)&gt;COUNT(Dong2),"",OFFSET(TH!F$1,SMALL(Dong2,ROWS($1:34)),))</f>
        <v>Rút tiền gửi NH nhập quỹ TM</v>
      </c>
      <c r="E45" s="202" t="str">
        <f ca="1">IF(ROWS($1:34)&gt;COUNT(Dong2),"",IF(OFFSET(TH!O$1,SMALL(Dong2,ROWS($1:34)),)=$I$6,OFFSET(TH!N$1,SMALL(Dong2,ROWS($1:34)),),OFFSET(TH!O$1,SMALL(Dong2,ROWS($1:34)),)))</f>
        <v>1111</v>
      </c>
      <c r="F45" s="1173">
        <f ca="1">IF(ROWS($1:34)&gt;COUNT(Dong2),"",IF(AND(IF($M$9="Q11",LEFT(OFFSET(TH!G$1,SMALL(Dong2,ROWS($1:34)),),3)=$M$9,LEFT(OFFSET(TH!G$1,SMALL(Dong2,ROWS($1:34)),),2)=$M$9),OFFSET(TH!N$1,SMALL(Dong2,ROWS($1:34)),)=$I$6),IF($I$6="1121",OFFSET(TH!M$1,SMALL(Dong2,ROWS($1:34)),),OFFSET(TH!K$1,SMALL(Dong2,ROWS($1:34)),)),0))</f>
        <v>0</v>
      </c>
      <c r="G45" s="1173">
        <f ca="1">IF(ROWS($1:34)&gt;COUNT(Dong2),"",IF(AND(IF($M$9="Q11",RIGHT(OFFSET(TH!G$1,SMALL(Dong2,ROWS($1:34)),),3)=$M$9,RIGHT(OFFSET(TH!G$1,SMALL(Dong2,ROWS($1:34)),),2)=$M$9),OFFSET(TH!O$1,SMALL(Dong2,ROWS($1:34)),)=$I$6),IF($I$6="1121",OFFSET(TH!M$1,SMALL(Dong2,ROWS($1:34)),),OFFSET(TH!K$1,SMALL(Dong2,ROWS($1:34)),)),0))</f>
        <v>460000000</v>
      </c>
      <c r="H45" s="947">
        <f t="shared" ca="1" si="0"/>
        <v>-457107430</v>
      </c>
      <c r="I45" s="947"/>
    </row>
    <row r="46" spans="1:12" s="191" customFormat="1" ht="20.25" customHeight="1">
      <c r="A46" s="202">
        <f ca="1">IF(ROWS($1:35)&gt;COUNT(Dong2),"",OFFSET(TH!C$1,SMALL(Dong2,ROWS($1:35)),))</f>
        <v>42536</v>
      </c>
      <c r="B46" s="202" t="str">
        <f ca="1">IF(ROWS($1:35)&gt;COUNT(Dong2),"",OFFSET(TH!D$1,SMALL(Dong2,ROWS($1:35)),))</f>
        <v>GBN</v>
      </c>
      <c r="C46" s="202">
        <f ca="1">IF(ROWS($1:35)&gt;COUNT(Dong2),"",OFFSET(TH!E$1,SMALL(Dong2,ROWS($1:35)),))</f>
        <v>42536</v>
      </c>
      <c r="D46" s="382" t="str">
        <f ca="1">IF(ROWS($1:35)&gt;COUNT(Dong2),"",OFFSET(TH!F$1,SMALL(Dong2,ROWS($1:35)),))</f>
        <v>Bán ngoại tệ</v>
      </c>
      <c r="E46" s="202" t="str">
        <f ca="1">IF(ROWS($1:35)&gt;COUNT(Dong2),"",IF(OFFSET(TH!O$1,SMALL(Dong2,ROWS($1:35)),)=$I$6,OFFSET(TH!N$1,SMALL(Dong2,ROWS($1:35)),),OFFSET(TH!O$1,SMALL(Dong2,ROWS($1:35)),)))</f>
        <v>1122</v>
      </c>
      <c r="F46" s="1173">
        <f ca="1">IF(ROWS($1:35)&gt;COUNT(Dong2),"",IF(AND(IF($M$9="Q11",LEFT(OFFSET(TH!G$1,SMALL(Dong2,ROWS($1:35)),),3)=$M$9,LEFT(OFFSET(TH!G$1,SMALL(Dong2,ROWS($1:35)),),2)=$M$9),OFFSET(TH!N$1,SMALL(Dong2,ROWS($1:35)),)=$I$6),IF($I$6="1121",OFFSET(TH!M$1,SMALL(Dong2,ROWS($1:35)),),OFFSET(TH!K$1,SMALL(Dong2,ROWS($1:35)),)),0))</f>
        <v>669300000</v>
      </c>
      <c r="G46" s="1173">
        <f ca="1">IF(ROWS($1:35)&gt;COUNT(Dong2),"",IF(AND(IF($M$9="Q11",RIGHT(OFFSET(TH!G$1,SMALL(Dong2,ROWS($1:35)),),3)=$M$9,RIGHT(OFFSET(TH!G$1,SMALL(Dong2,ROWS($1:35)),),2)=$M$9),OFFSET(TH!O$1,SMALL(Dong2,ROWS($1:35)),)=$I$6),IF($I$6="1121",OFFSET(TH!M$1,SMALL(Dong2,ROWS($1:35)),),OFFSET(TH!K$1,SMALL(Dong2,ROWS($1:35)),)),0))</f>
        <v>0</v>
      </c>
      <c r="H46" s="947">
        <f t="shared" ca="1" si="0"/>
        <v>212192570</v>
      </c>
      <c r="I46" s="947"/>
    </row>
    <row r="47" spans="1:12" s="191" customFormat="1" ht="20.25" customHeight="1">
      <c r="A47" s="202">
        <f ca="1">IF(ROWS($1:36)&gt;COUNT(Dong2),"",OFFSET(TH!C$1,SMALL(Dong2,ROWS($1:36)),))</f>
        <v>42536</v>
      </c>
      <c r="B47" s="202" t="str">
        <f ca="1">IF(ROWS($1:36)&gt;COUNT(Dong2),"",OFFSET(TH!D$1,SMALL(Dong2,ROWS($1:36)),))</f>
        <v>GBN</v>
      </c>
      <c r="C47" s="202">
        <f ca="1">IF(ROWS($1:36)&gt;COUNT(Dong2),"",OFFSET(TH!E$1,SMALL(Dong2,ROWS($1:36)),))</f>
        <v>42536</v>
      </c>
      <c r="D47" s="382" t="str">
        <f ca="1">IF(ROWS($1:36)&gt;COUNT(Dong2),"",OFFSET(TH!F$1,SMALL(Dong2,ROWS($1:36)),))</f>
        <v>Phí thông báo số dư</v>
      </c>
      <c r="E47" s="202" t="str">
        <f ca="1">IF(ROWS($1:36)&gt;COUNT(Dong2),"",IF(OFFSET(TH!O$1,SMALL(Dong2,ROWS($1:36)),)=$I$6,OFFSET(TH!N$1,SMALL(Dong2,ROWS($1:36)),),OFFSET(TH!O$1,SMALL(Dong2,ROWS($1:36)),)))</f>
        <v>642</v>
      </c>
      <c r="F47" s="1173">
        <f ca="1">IF(ROWS($1:36)&gt;COUNT(Dong2),"",IF(AND(IF($M$9="Q11",LEFT(OFFSET(TH!G$1,SMALL(Dong2,ROWS($1:36)),),3)=$M$9,LEFT(OFFSET(TH!G$1,SMALL(Dong2,ROWS($1:36)),),2)=$M$9),OFFSET(TH!N$1,SMALL(Dong2,ROWS($1:36)),)=$I$6),IF($I$6="1121",OFFSET(TH!M$1,SMALL(Dong2,ROWS($1:36)),),OFFSET(TH!K$1,SMALL(Dong2,ROWS($1:36)),)),0))</f>
        <v>0</v>
      </c>
      <c r="G47" s="1173">
        <f ca="1">IF(ROWS($1:36)&gt;COUNT(Dong2),"",IF(AND(IF($M$9="Q11",RIGHT(OFFSET(TH!G$1,SMALL(Dong2,ROWS($1:36)),),3)=$M$9,RIGHT(OFFSET(TH!G$1,SMALL(Dong2,ROWS($1:36)),),2)=$M$9),OFFSET(TH!O$1,SMALL(Dong2,ROWS($1:36)),)=$I$6),IF($I$6="1121",OFFSET(TH!M$1,SMALL(Dong2,ROWS($1:36)),),OFFSET(TH!K$1,SMALL(Dong2,ROWS($1:36)),)),0))</f>
        <v>50000</v>
      </c>
      <c r="H47" s="947">
        <f t="shared" ca="1" si="0"/>
        <v>212142570</v>
      </c>
      <c r="I47" s="947"/>
    </row>
    <row r="48" spans="1:12" s="191" customFormat="1" ht="20.25" customHeight="1">
      <c r="A48" s="202">
        <f ca="1">IF(ROWS($1:37)&gt;COUNT(Dong2),"",OFFSET(TH!C$1,SMALL(Dong2,ROWS($1:37)),))</f>
        <v>42536</v>
      </c>
      <c r="B48" s="202" t="str">
        <f ca="1">IF(ROWS($1:37)&gt;COUNT(Dong2),"",OFFSET(TH!D$1,SMALL(Dong2,ROWS($1:37)),))</f>
        <v>GBN</v>
      </c>
      <c r="C48" s="202">
        <f ca="1">IF(ROWS($1:37)&gt;COUNT(Dong2),"",OFFSET(TH!E$1,SMALL(Dong2,ROWS($1:37)),))</f>
        <v>42536</v>
      </c>
      <c r="D48" s="382" t="str">
        <f ca="1">IF(ROWS($1:37)&gt;COUNT(Dong2),"",OFFSET(TH!F$1,SMALL(Dong2,ROWS($1:37)),))</f>
        <v>VAT Phí thông báo số dư</v>
      </c>
      <c r="E48" s="202" t="str">
        <f ca="1">IF(ROWS($1:37)&gt;COUNT(Dong2),"",IF(OFFSET(TH!O$1,SMALL(Dong2,ROWS($1:37)),)=$I$6,OFFSET(TH!N$1,SMALL(Dong2,ROWS($1:37)),),OFFSET(TH!O$1,SMALL(Dong2,ROWS($1:37)),)))</f>
        <v>1331</v>
      </c>
      <c r="F48" s="1173">
        <f ca="1">IF(ROWS($1:37)&gt;COUNT(Dong2),"",IF(AND(IF($M$9="Q11",LEFT(OFFSET(TH!G$1,SMALL(Dong2,ROWS($1:37)),),3)=$M$9,LEFT(OFFSET(TH!G$1,SMALL(Dong2,ROWS($1:37)),),2)=$M$9),OFFSET(TH!N$1,SMALL(Dong2,ROWS($1:37)),)=$I$6),IF($I$6="1121",OFFSET(TH!M$1,SMALL(Dong2,ROWS($1:37)),),OFFSET(TH!K$1,SMALL(Dong2,ROWS($1:37)),)),0))</f>
        <v>0</v>
      </c>
      <c r="G48" s="1173">
        <f ca="1">IF(ROWS($1:37)&gt;COUNT(Dong2),"",IF(AND(IF($M$9="Q11",RIGHT(OFFSET(TH!G$1,SMALL(Dong2,ROWS($1:37)),),3)=$M$9,RIGHT(OFFSET(TH!G$1,SMALL(Dong2,ROWS($1:37)),),2)=$M$9),OFFSET(TH!O$1,SMALL(Dong2,ROWS($1:37)),)=$I$6),IF($I$6="1121",OFFSET(TH!M$1,SMALL(Dong2,ROWS($1:37)),),OFFSET(TH!K$1,SMALL(Dong2,ROWS($1:37)),)),0))</f>
        <v>5000</v>
      </c>
      <c r="H48" s="947">
        <f t="shared" ca="1" si="0"/>
        <v>212137570</v>
      </c>
      <c r="I48" s="947"/>
    </row>
    <row r="49" spans="1:9" s="191" customFormat="1" ht="20.25" customHeight="1">
      <c r="A49" s="202">
        <f ca="1">IF(ROWS($1:38)&gt;COUNT(Dong2),"",OFFSET(TH!C$1,SMALL(Dong2,ROWS($1:38)),))</f>
        <v>42537</v>
      </c>
      <c r="B49" s="202" t="str">
        <f ca="1">IF(ROWS($1:38)&gt;COUNT(Dong2),"",OFFSET(TH!D$1,SMALL(Dong2,ROWS($1:38)),))</f>
        <v>GBN</v>
      </c>
      <c r="C49" s="202">
        <f ca="1">IF(ROWS($1:38)&gt;COUNT(Dong2),"",OFFSET(TH!E$1,SMALL(Dong2,ROWS($1:38)),))</f>
        <v>42537</v>
      </c>
      <c r="D49" s="382" t="str">
        <f ca="1">IF(ROWS($1:38)&gt;COUNT(Dong2),"",OFFSET(TH!F$1,SMALL(Dong2,ROWS($1:38)),))</f>
        <v>Nộp tiền BHXH</v>
      </c>
      <c r="E49" s="202" t="str">
        <f ca="1">IF(ROWS($1:38)&gt;COUNT(Dong2),"",IF(OFFSET(TH!O$1,SMALL(Dong2,ROWS($1:38)),)=$I$6,OFFSET(TH!N$1,SMALL(Dong2,ROWS($1:38)),),OFFSET(TH!O$1,SMALL(Dong2,ROWS($1:38)),)))</f>
        <v>3383</v>
      </c>
      <c r="F49" s="1173">
        <f ca="1">IF(ROWS($1:38)&gt;COUNT(Dong2),"",IF(AND(IF($M$9="Q11",LEFT(OFFSET(TH!G$1,SMALL(Dong2,ROWS($1:38)),),3)=$M$9,LEFT(OFFSET(TH!G$1,SMALL(Dong2,ROWS($1:38)),),2)=$M$9),OFFSET(TH!N$1,SMALL(Dong2,ROWS($1:38)),)=$I$6),IF($I$6="1121",OFFSET(TH!M$1,SMALL(Dong2,ROWS($1:38)),),OFFSET(TH!K$1,SMALL(Dong2,ROWS($1:38)),)),0))</f>
        <v>0</v>
      </c>
      <c r="G49" s="1173">
        <f ca="1">IF(ROWS($1:38)&gt;COUNT(Dong2),"",IF(AND(IF($M$9="Q11",RIGHT(OFFSET(TH!G$1,SMALL(Dong2,ROWS($1:38)),),3)=$M$9,RIGHT(OFFSET(TH!G$1,SMALL(Dong2,ROWS($1:38)),),2)=$M$9),OFFSET(TH!O$1,SMALL(Dong2,ROWS($1:38)),)=$I$6),IF($I$6="1121",OFFSET(TH!M$1,SMALL(Dong2,ROWS($1:38)),),OFFSET(TH!K$1,SMALL(Dong2,ROWS($1:38)),)),0))</f>
        <v>90000000</v>
      </c>
      <c r="H49" s="947">
        <f t="shared" ca="1" si="0"/>
        <v>122137570</v>
      </c>
      <c r="I49" s="947"/>
    </row>
    <row r="50" spans="1:9" s="191" customFormat="1" ht="20.25" customHeight="1">
      <c r="A50" s="202">
        <f ca="1">IF(ROWS($1:39)&gt;COUNT(Dong2),"",OFFSET(TH!C$1,SMALL(Dong2,ROWS($1:39)),))</f>
        <v>42537</v>
      </c>
      <c r="B50" s="202" t="str">
        <f ca="1">IF(ROWS($1:39)&gt;COUNT(Dong2),"",OFFSET(TH!D$1,SMALL(Dong2,ROWS($1:39)),))</f>
        <v>GBN</v>
      </c>
      <c r="C50" s="202">
        <f ca="1">IF(ROWS($1:39)&gt;COUNT(Dong2),"",OFFSET(TH!E$1,SMALL(Dong2,ROWS($1:39)),))</f>
        <v>42537</v>
      </c>
      <c r="D50" s="382" t="str">
        <f ca="1">IF(ROWS($1:39)&gt;COUNT(Dong2),"",OFFSET(TH!F$1,SMALL(Dong2,ROWS($1:39)),))</f>
        <v>Phí dịch vụ</v>
      </c>
      <c r="E50" s="202" t="str">
        <f ca="1">IF(ROWS($1:39)&gt;COUNT(Dong2),"",IF(OFFSET(TH!O$1,SMALL(Dong2,ROWS($1:39)),)=$I$6,OFFSET(TH!N$1,SMALL(Dong2,ROWS($1:39)),),OFFSET(TH!O$1,SMALL(Dong2,ROWS($1:39)),)))</f>
        <v>642</v>
      </c>
      <c r="F50" s="1173">
        <f ca="1">IF(ROWS($1:39)&gt;COUNT(Dong2),"",IF(AND(IF($M$9="Q11",LEFT(OFFSET(TH!G$1,SMALL(Dong2,ROWS($1:39)),),3)=$M$9,LEFT(OFFSET(TH!G$1,SMALL(Dong2,ROWS($1:39)),),2)=$M$9),OFFSET(TH!N$1,SMALL(Dong2,ROWS($1:39)),)=$I$6),IF($I$6="1121",OFFSET(TH!M$1,SMALL(Dong2,ROWS($1:39)),),OFFSET(TH!K$1,SMALL(Dong2,ROWS($1:39)),)),0))</f>
        <v>0</v>
      </c>
      <c r="G50" s="1173">
        <f ca="1">IF(ROWS($1:39)&gt;COUNT(Dong2),"",IF(AND(IF($M$9="Q11",RIGHT(OFFSET(TH!G$1,SMALL(Dong2,ROWS($1:39)),),3)=$M$9,RIGHT(OFFSET(TH!G$1,SMALL(Dong2,ROWS($1:39)),),2)=$M$9),OFFSET(TH!O$1,SMALL(Dong2,ROWS($1:39)),)=$I$6),IF($I$6="1121",OFFSET(TH!M$1,SMALL(Dong2,ROWS($1:39)),),OFFSET(TH!K$1,SMALL(Dong2,ROWS($1:39)),)),0))</f>
        <v>45000</v>
      </c>
      <c r="H50" s="947">
        <f t="shared" ca="1" si="0"/>
        <v>122092570</v>
      </c>
      <c r="I50" s="947"/>
    </row>
    <row r="51" spans="1:9" s="191" customFormat="1" ht="20.25" customHeight="1">
      <c r="A51" s="202">
        <f ca="1">IF(ROWS($1:40)&gt;COUNT(Dong2),"",OFFSET(TH!C$1,SMALL(Dong2,ROWS($1:40)),))</f>
        <v>42537</v>
      </c>
      <c r="B51" s="202" t="str">
        <f ca="1">IF(ROWS($1:40)&gt;COUNT(Dong2),"",OFFSET(TH!D$1,SMALL(Dong2,ROWS($1:40)),))</f>
        <v>GBN</v>
      </c>
      <c r="C51" s="202">
        <f ca="1">IF(ROWS($1:40)&gt;COUNT(Dong2),"",OFFSET(TH!E$1,SMALL(Dong2,ROWS($1:40)),))</f>
        <v>42537</v>
      </c>
      <c r="D51" s="382" t="str">
        <f ca="1">IF(ROWS($1:40)&gt;COUNT(Dong2),"",OFFSET(TH!F$1,SMALL(Dong2,ROWS($1:40)),))</f>
        <v>VAT phí dịch vụ</v>
      </c>
      <c r="E51" s="202" t="str">
        <f ca="1">IF(ROWS($1:40)&gt;COUNT(Dong2),"",IF(OFFSET(TH!O$1,SMALL(Dong2,ROWS($1:40)),)=$I$6,OFFSET(TH!N$1,SMALL(Dong2,ROWS($1:40)),),OFFSET(TH!O$1,SMALL(Dong2,ROWS($1:40)),)))</f>
        <v>1331</v>
      </c>
      <c r="F51" s="1173">
        <f ca="1">IF(ROWS($1:40)&gt;COUNT(Dong2),"",IF(AND(IF($M$9="Q11",LEFT(OFFSET(TH!G$1,SMALL(Dong2,ROWS($1:40)),),3)=$M$9,LEFT(OFFSET(TH!G$1,SMALL(Dong2,ROWS($1:40)),),2)=$M$9),OFFSET(TH!N$1,SMALL(Dong2,ROWS($1:40)),)=$I$6),IF($I$6="1121",OFFSET(TH!M$1,SMALL(Dong2,ROWS($1:40)),),OFFSET(TH!K$1,SMALL(Dong2,ROWS($1:40)),)),0))</f>
        <v>0</v>
      </c>
      <c r="G51" s="1173">
        <f ca="1">IF(ROWS($1:40)&gt;COUNT(Dong2),"",IF(AND(IF($M$9="Q11",RIGHT(OFFSET(TH!G$1,SMALL(Dong2,ROWS($1:40)),),3)=$M$9,RIGHT(OFFSET(TH!G$1,SMALL(Dong2,ROWS($1:40)),),2)=$M$9),OFFSET(TH!O$1,SMALL(Dong2,ROWS($1:40)),)=$I$6),IF($I$6="1121",OFFSET(TH!M$1,SMALL(Dong2,ROWS($1:40)),),OFFSET(TH!K$1,SMALL(Dong2,ROWS($1:40)),)),0))</f>
        <v>4500</v>
      </c>
      <c r="H51" s="947">
        <f t="shared" ca="1" si="0"/>
        <v>122088070</v>
      </c>
      <c r="I51" s="947"/>
    </row>
    <row r="52" spans="1:9" s="191" customFormat="1" ht="20.25" customHeight="1">
      <c r="A52" s="202">
        <f ca="1">IF(ROWS($1:41)&gt;COUNT(Dong2),"",OFFSET(TH!C$1,SMALL(Dong2,ROWS($1:41)),))</f>
        <v>42537</v>
      </c>
      <c r="B52" s="202" t="str">
        <f ca="1">IF(ROWS($1:41)&gt;COUNT(Dong2),"",OFFSET(TH!D$1,SMALL(Dong2,ROWS($1:41)),))</f>
        <v>GBN</v>
      </c>
      <c r="C52" s="202">
        <f ca="1">IF(ROWS($1:41)&gt;COUNT(Dong2),"",OFFSET(TH!E$1,SMALL(Dong2,ROWS($1:41)),))</f>
        <v>42537</v>
      </c>
      <c r="D52" s="382" t="str">
        <f ca="1">IF(ROWS($1:41)&gt;COUNT(Dong2),"",OFFSET(TH!F$1,SMALL(Dong2,ROWS($1:41)),))</f>
        <v>Thanh toán cước vận chuyển và phí liên quan</v>
      </c>
      <c r="E52" s="202" t="str">
        <f ca="1">IF(ROWS($1:41)&gt;COUNT(Dong2),"",IF(OFFSET(TH!O$1,SMALL(Dong2,ROWS($1:41)),)=$I$6,OFFSET(TH!N$1,SMALL(Dong2,ROWS($1:41)),),OFFSET(TH!O$1,SMALL(Dong2,ROWS($1:41)),)))</f>
        <v>331</v>
      </c>
      <c r="F52" s="1173">
        <f ca="1">IF(ROWS($1:41)&gt;COUNT(Dong2),"",IF(AND(IF($M$9="Q11",LEFT(OFFSET(TH!G$1,SMALL(Dong2,ROWS($1:41)),),3)=$M$9,LEFT(OFFSET(TH!G$1,SMALL(Dong2,ROWS($1:41)),),2)=$M$9),OFFSET(TH!N$1,SMALL(Dong2,ROWS($1:41)),)=$I$6),IF($I$6="1121",OFFSET(TH!M$1,SMALL(Dong2,ROWS($1:41)),),OFFSET(TH!K$1,SMALL(Dong2,ROWS($1:41)),)),0))</f>
        <v>0</v>
      </c>
      <c r="G52" s="1173">
        <f ca="1">IF(ROWS($1:41)&gt;COUNT(Dong2),"",IF(AND(IF($M$9="Q11",RIGHT(OFFSET(TH!G$1,SMALL(Dong2,ROWS($1:41)),),3)=$M$9,RIGHT(OFFSET(TH!G$1,SMALL(Dong2,ROWS($1:41)),),2)=$M$9),OFFSET(TH!O$1,SMALL(Dong2,ROWS($1:41)),)=$I$6),IF($I$6="1121",OFFSET(TH!M$1,SMALL(Dong2,ROWS($1:41)),),OFFSET(TH!K$1,SMALL(Dong2,ROWS($1:41)),)),0))</f>
        <v>16269120</v>
      </c>
      <c r="H52" s="947">
        <f t="shared" ca="1" si="0"/>
        <v>105818950</v>
      </c>
      <c r="I52" s="947"/>
    </row>
    <row r="53" spans="1:9" s="191" customFormat="1" ht="20.25" customHeight="1">
      <c r="A53" s="202">
        <f ca="1">IF(ROWS($1:42)&gt;COUNT(Dong2),"",OFFSET(TH!C$1,SMALL(Dong2,ROWS($1:42)),))</f>
        <v>42537</v>
      </c>
      <c r="B53" s="202" t="str">
        <f ca="1">IF(ROWS($1:42)&gt;COUNT(Dong2),"",OFFSET(TH!D$1,SMALL(Dong2,ROWS($1:42)),))</f>
        <v>GBN</v>
      </c>
      <c r="C53" s="202">
        <f ca="1">IF(ROWS($1:42)&gt;COUNT(Dong2),"",OFFSET(TH!E$1,SMALL(Dong2,ROWS($1:42)),))</f>
        <v>42537</v>
      </c>
      <c r="D53" s="382" t="str">
        <f ca="1">IF(ROWS($1:42)&gt;COUNT(Dong2),"",OFFSET(TH!F$1,SMALL(Dong2,ROWS($1:42)),))</f>
        <v>Phí dịch vụ</v>
      </c>
      <c r="E53" s="202" t="str">
        <f ca="1">IF(ROWS($1:42)&gt;COUNT(Dong2),"",IF(OFFSET(TH!O$1,SMALL(Dong2,ROWS($1:42)),)=$I$6,OFFSET(TH!N$1,SMALL(Dong2,ROWS($1:42)),),OFFSET(TH!O$1,SMALL(Dong2,ROWS($1:42)),)))</f>
        <v>642</v>
      </c>
      <c r="F53" s="1173">
        <f ca="1">IF(ROWS($1:42)&gt;COUNT(Dong2),"",IF(AND(IF($M$9="Q11",LEFT(OFFSET(TH!G$1,SMALL(Dong2,ROWS($1:42)),),3)=$M$9,LEFT(OFFSET(TH!G$1,SMALL(Dong2,ROWS($1:42)),),2)=$M$9),OFFSET(TH!N$1,SMALL(Dong2,ROWS($1:42)),)=$I$6),IF($I$6="1121",OFFSET(TH!M$1,SMALL(Dong2,ROWS($1:42)),),OFFSET(TH!K$1,SMALL(Dong2,ROWS($1:42)),)),0))</f>
        <v>0</v>
      </c>
      <c r="G53" s="1173">
        <f ca="1">IF(ROWS($1:42)&gt;COUNT(Dong2),"",IF(AND(IF($M$9="Q11",RIGHT(OFFSET(TH!G$1,SMALL(Dong2,ROWS($1:42)),),3)=$M$9,RIGHT(OFFSET(TH!G$1,SMALL(Dong2,ROWS($1:42)),),2)=$M$9),OFFSET(TH!O$1,SMALL(Dong2,ROWS($1:42)),)=$I$6),IF($I$6="1121",OFFSET(TH!M$1,SMALL(Dong2,ROWS($1:42)),),OFFSET(TH!K$1,SMALL(Dong2,ROWS($1:42)),)),0))</f>
        <v>25000</v>
      </c>
      <c r="H53" s="947">
        <f t="shared" ca="1" si="0"/>
        <v>105793950</v>
      </c>
      <c r="I53" s="947"/>
    </row>
    <row r="54" spans="1:9" s="191" customFormat="1" ht="20.25" customHeight="1">
      <c r="A54" s="202">
        <f ca="1">IF(ROWS($1:43)&gt;COUNT(Dong2),"",OFFSET(TH!C$1,SMALL(Dong2,ROWS($1:43)),))</f>
        <v>42537</v>
      </c>
      <c r="B54" s="202" t="str">
        <f ca="1">IF(ROWS($1:43)&gt;COUNT(Dong2),"",OFFSET(TH!D$1,SMALL(Dong2,ROWS($1:43)),))</f>
        <v>GBN</v>
      </c>
      <c r="C54" s="202">
        <f ca="1">IF(ROWS($1:43)&gt;COUNT(Dong2),"",OFFSET(TH!E$1,SMALL(Dong2,ROWS($1:43)),))</f>
        <v>42537</v>
      </c>
      <c r="D54" s="382" t="str">
        <f ca="1">IF(ROWS($1:43)&gt;COUNT(Dong2),"",OFFSET(TH!F$1,SMALL(Dong2,ROWS($1:43)),))</f>
        <v>VAT Phí dịch vụ</v>
      </c>
      <c r="E54" s="202" t="str">
        <f ca="1">IF(ROWS($1:43)&gt;COUNT(Dong2),"",IF(OFFSET(TH!O$1,SMALL(Dong2,ROWS($1:43)),)=$I$6,OFFSET(TH!N$1,SMALL(Dong2,ROWS($1:43)),),OFFSET(TH!O$1,SMALL(Dong2,ROWS($1:43)),)))</f>
        <v>1331</v>
      </c>
      <c r="F54" s="1173">
        <f ca="1">IF(ROWS($1:43)&gt;COUNT(Dong2),"",IF(AND(IF($M$9="Q11",LEFT(OFFSET(TH!G$1,SMALL(Dong2,ROWS($1:43)),),3)=$M$9,LEFT(OFFSET(TH!G$1,SMALL(Dong2,ROWS($1:43)),),2)=$M$9),OFFSET(TH!N$1,SMALL(Dong2,ROWS($1:43)),)=$I$6),IF($I$6="1121",OFFSET(TH!M$1,SMALL(Dong2,ROWS($1:43)),),OFFSET(TH!K$1,SMALL(Dong2,ROWS($1:43)),)),0))</f>
        <v>0</v>
      </c>
      <c r="G54" s="1173">
        <f ca="1">IF(ROWS($1:43)&gt;COUNT(Dong2),"",IF(AND(IF($M$9="Q11",RIGHT(OFFSET(TH!G$1,SMALL(Dong2,ROWS($1:43)),),3)=$M$9,RIGHT(OFFSET(TH!G$1,SMALL(Dong2,ROWS($1:43)),),2)=$M$9),OFFSET(TH!O$1,SMALL(Dong2,ROWS($1:43)),)=$I$6),IF($I$6="1121",OFFSET(TH!M$1,SMALL(Dong2,ROWS($1:43)),),OFFSET(TH!K$1,SMALL(Dong2,ROWS($1:43)),)),0))</f>
        <v>2500</v>
      </c>
      <c r="H54" s="947">
        <f t="shared" ca="1" si="0"/>
        <v>105791450</v>
      </c>
      <c r="I54" s="947"/>
    </row>
    <row r="55" spans="1:9" s="191" customFormat="1" ht="20.25" customHeight="1">
      <c r="A55" s="202">
        <f ca="1">IF(ROWS($1:44)&gt;COUNT(Dong2),"",OFFSET(TH!C$1,SMALL(Dong2,ROWS($1:44)),))</f>
        <v>42537</v>
      </c>
      <c r="B55" s="202" t="str">
        <f ca="1">IF(ROWS($1:44)&gt;COUNT(Dong2),"",OFFSET(TH!D$1,SMALL(Dong2,ROWS($1:44)),))</f>
        <v>GBN</v>
      </c>
      <c r="C55" s="202">
        <f ca="1">IF(ROWS($1:44)&gt;COUNT(Dong2),"",OFFSET(TH!E$1,SMALL(Dong2,ROWS($1:44)),))</f>
        <v>42537</v>
      </c>
      <c r="D55" s="382" t="str">
        <f ca="1">IF(ROWS($1:44)&gt;COUNT(Dong2),"",OFFSET(TH!F$1,SMALL(Dong2,ROWS($1:44)),))</f>
        <v>Thanh toán phí kiểm nghiệm T2/2016</v>
      </c>
      <c r="E55" s="202" t="str">
        <f ca="1">IF(ROWS($1:44)&gt;COUNT(Dong2),"",IF(OFFSET(TH!O$1,SMALL(Dong2,ROWS($1:44)),)=$I$6,OFFSET(TH!N$1,SMALL(Dong2,ROWS($1:44)),),OFFSET(TH!O$1,SMALL(Dong2,ROWS($1:44)),)))</f>
        <v>331</v>
      </c>
      <c r="F55" s="1173">
        <f ca="1">IF(ROWS($1:44)&gt;COUNT(Dong2),"",IF(AND(IF($M$9="Q11",LEFT(OFFSET(TH!G$1,SMALL(Dong2,ROWS($1:44)),),3)=$M$9,LEFT(OFFSET(TH!G$1,SMALL(Dong2,ROWS($1:44)),),2)=$M$9),OFFSET(TH!N$1,SMALL(Dong2,ROWS($1:44)),)=$I$6),IF($I$6="1121",OFFSET(TH!M$1,SMALL(Dong2,ROWS($1:44)),),OFFSET(TH!K$1,SMALL(Dong2,ROWS($1:44)),)),0))</f>
        <v>0</v>
      </c>
      <c r="G55" s="1173">
        <f ca="1">IF(ROWS($1:44)&gt;COUNT(Dong2),"",IF(AND(IF($M$9="Q11",RIGHT(OFFSET(TH!G$1,SMALL(Dong2,ROWS($1:44)),),3)=$M$9,RIGHT(OFFSET(TH!G$1,SMALL(Dong2,ROWS($1:44)),),2)=$M$9),OFFSET(TH!O$1,SMALL(Dong2,ROWS($1:44)),)=$I$6),IF($I$6="1121",OFFSET(TH!M$1,SMALL(Dong2,ROWS($1:44)),),OFFSET(TH!K$1,SMALL(Dong2,ROWS($1:44)),)),0))</f>
        <v>990000</v>
      </c>
      <c r="H55" s="947">
        <f t="shared" ca="1" si="0"/>
        <v>104801450</v>
      </c>
      <c r="I55" s="947"/>
    </row>
    <row r="56" spans="1:9" s="191" customFormat="1" ht="20.25" customHeight="1">
      <c r="A56" s="202">
        <f ca="1">IF(ROWS($1:45)&gt;COUNT(Dong2),"",OFFSET(TH!C$1,SMALL(Dong2,ROWS($1:45)),))</f>
        <v>42537</v>
      </c>
      <c r="B56" s="202" t="str">
        <f ca="1">IF(ROWS($1:45)&gt;COUNT(Dong2),"",OFFSET(TH!D$1,SMALL(Dong2,ROWS($1:45)),))</f>
        <v>GBN</v>
      </c>
      <c r="C56" s="202">
        <f ca="1">IF(ROWS($1:45)&gt;COUNT(Dong2),"",OFFSET(TH!E$1,SMALL(Dong2,ROWS($1:45)),))</f>
        <v>42537</v>
      </c>
      <c r="D56" s="382" t="str">
        <f ca="1">IF(ROWS($1:45)&gt;COUNT(Dong2),"",OFFSET(TH!F$1,SMALL(Dong2,ROWS($1:45)),))</f>
        <v>Phí dịch vụ</v>
      </c>
      <c r="E56" s="202" t="str">
        <f ca="1">IF(ROWS($1:45)&gt;COUNT(Dong2),"",IF(OFFSET(TH!O$1,SMALL(Dong2,ROWS($1:45)),)=$I$6,OFFSET(TH!N$1,SMALL(Dong2,ROWS($1:45)),),OFFSET(TH!O$1,SMALL(Dong2,ROWS($1:45)),)))</f>
        <v>642</v>
      </c>
      <c r="F56" s="1173">
        <f ca="1">IF(ROWS($1:45)&gt;COUNT(Dong2),"",IF(AND(IF($M$9="Q11",LEFT(OFFSET(TH!G$1,SMALL(Dong2,ROWS($1:45)),),3)=$M$9,LEFT(OFFSET(TH!G$1,SMALL(Dong2,ROWS($1:45)),),2)=$M$9),OFFSET(TH!N$1,SMALL(Dong2,ROWS($1:45)),)=$I$6),IF($I$6="1121",OFFSET(TH!M$1,SMALL(Dong2,ROWS($1:45)),),OFFSET(TH!K$1,SMALL(Dong2,ROWS($1:45)),)),0))</f>
        <v>0</v>
      </c>
      <c r="G56" s="1173">
        <f ca="1">IF(ROWS($1:45)&gt;COUNT(Dong2),"",IF(AND(IF($M$9="Q11",RIGHT(OFFSET(TH!G$1,SMALL(Dong2,ROWS($1:45)),),3)=$M$9,RIGHT(OFFSET(TH!G$1,SMALL(Dong2,ROWS($1:45)),),2)=$M$9),OFFSET(TH!O$1,SMALL(Dong2,ROWS($1:45)),)=$I$6),IF($I$6="1121",OFFSET(TH!M$1,SMALL(Dong2,ROWS($1:45)),),OFFSET(TH!K$1,SMALL(Dong2,ROWS($1:45)),)),0))</f>
        <v>20000</v>
      </c>
      <c r="H56" s="947">
        <f t="shared" ca="1" si="0"/>
        <v>104781450</v>
      </c>
      <c r="I56" s="947"/>
    </row>
    <row r="57" spans="1:9" s="191" customFormat="1" ht="20.25" customHeight="1">
      <c r="A57" s="202">
        <f ca="1">IF(ROWS($1:46)&gt;COUNT(Dong2),"",OFFSET(TH!C$1,SMALL(Dong2,ROWS($1:46)),))</f>
        <v>42537</v>
      </c>
      <c r="B57" s="202" t="str">
        <f ca="1">IF(ROWS($1:46)&gt;COUNT(Dong2),"",OFFSET(TH!D$1,SMALL(Dong2,ROWS($1:46)),))</f>
        <v>GBN</v>
      </c>
      <c r="C57" s="202">
        <f ca="1">IF(ROWS($1:46)&gt;COUNT(Dong2),"",OFFSET(TH!E$1,SMALL(Dong2,ROWS($1:46)),))</f>
        <v>42537</v>
      </c>
      <c r="D57" s="382" t="str">
        <f ca="1">IF(ROWS($1:46)&gt;COUNT(Dong2),"",OFFSET(TH!F$1,SMALL(Dong2,ROWS($1:46)),))</f>
        <v>VAT Phí dịch vụ</v>
      </c>
      <c r="E57" s="202" t="str">
        <f ca="1">IF(ROWS($1:46)&gt;COUNT(Dong2),"",IF(OFFSET(TH!O$1,SMALL(Dong2,ROWS($1:46)),)=$I$6,OFFSET(TH!N$1,SMALL(Dong2,ROWS($1:46)),),OFFSET(TH!O$1,SMALL(Dong2,ROWS($1:46)),)))</f>
        <v>1331</v>
      </c>
      <c r="F57" s="1173">
        <f ca="1">IF(ROWS($1:46)&gt;COUNT(Dong2),"",IF(AND(IF($M$9="Q11",LEFT(OFFSET(TH!G$1,SMALL(Dong2,ROWS($1:46)),),3)=$M$9,LEFT(OFFSET(TH!G$1,SMALL(Dong2,ROWS($1:46)),),2)=$M$9),OFFSET(TH!N$1,SMALL(Dong2,ROWS($1:46)),)=$I$6),IF($I$6="1121",OFFSET(TH!M$1,SMALL(Dong2,ROWS($1:46)),),OFFSET(TH!K$1,SMALL(Dong2,ROWS($1:46)),)),0))</f>
        <v>0</v>
      </c>
      <c r="G57" s="1173">
        <f ca="1">IF(ROWS($1:46)&gt;COUNT(Dong2),"",IF(AND(IF($M$9="Q11",RIGHT(OFFSET(TH!G$1,SMALL(Dong2,ROWS($1:46)),),3)=$M$9,RIGHT(OFFSET(TH!G$1,SMALL(Dong2,ROWS($1:46)),),2)=$M$9),OFFSET(TH!O$1,SMALL(Dong2,ROWS($1:46)),)=$I$6),IF($I$6="1121",OFFSET(TH!M$1,SMALL(Dong2,ROWS($1:46)),),OFFSET(TH!K$1,SMALL(Dong2,ROWS($1:46)),)),0))</f>
        <v>2000</v>
      </c>
      <c r="H57" s="947">
        <f t="shared" ca="1" si="0"/>
        <v>104779450</v>
      </c>
      <c r="I57" s="947"/>
    </row>
    <row r="58" spans="1:9" s="191" customFormat="1" ht="20.25" customHeight="1">
      <c r="A58" s="202">
        <f ca="1">IF(ROWS($1:47)&gt;COUNT(Dong2),"",OFFSET(TH!C$1,SMALL(Dong2,ROWS($1:47)),))</f>
        <v>42537</v>
      </c>
      <c r="B58" s="202" t="str">
        <f ca="1">IF(ROWS($1:47)&gt;COUNT(Dong2),"",OFFSET(TH!D$1,SMALL(Dong2,ROWS($1:47)),))</f>
        <v>GBN</v>
      </c>
      <c r="C58" s="202">
        <f ca="1">IF(ROWS($1:47)&gt;COUNT(Dong2),"",OFFSET(TH!E$1,SMALL(Dong2,ROWS($1:47)),))</f>
        <v>42537</v>
      </c>
      <c r="D58" s="382" t="str">
        <f ca="1">IF(ROWS($1:47)&gt;COUNT(Dong2),"",OFFSET(TH!F$1,SMALL(Dong2,ROWS($1:47)),))</f>
        <v>Thanh toán phí kiểm nghiệm T2/2016</v>
      </c>
      <c r="E58" s="202" t="str">
        <f ca="1">IF(ROWS($1:47)&gt;COUNT(Dong2),"",IF(OFFSET(TH!O$1,SMALL(Dong2,ROWS($1:47)),)=$I$6,OFFSET(TH!N$1,SMALL(Dong2,ROWS($1:47)),),OFFSET(TH!O$1,SMALL(Dong2,ROWS($1:47)),)))</f>
        <v>331</v>
      </c>
      <c r="F58" s="1173">
        <f ca="1">IF(ROWS($1:47)&gt;COUNT(Dong2),"",IF(AND(IF($M$9="Q11",LEFT(OFFSET(TH!G$1,SMALL(Dong2,ROWS($1:47)),),3)=$M$9,LEFT(OFFSET(TH!G$1,SMALL(Dong2,ROWS($1:47)),),2)=$M$9),OFFSET(TH!N$1,SMALL(Dong2,ROWS($1:47)),)=$I$6),IF($I$6="1121",OFFSET(TH!M$1,SMALL(Dong2,ROWS($1:47)),),OFFSET(TH!K$1,SMALL(Dong2,ROWS($1:47)),)),0))</f>
        <v>0</v>
      </c>
      <c r="G58" s="1173">
        <f ca="1">IF(ROWS($1:47)&gt;COUNT(Dong2),"",IF(AND(IF($M$9="Q11",RIGHT(OFFSET(TH!G$1,SMALL(Dong2,ROWS($1:47)),),3)=$M$9,RIGHT(OFFSET(TH!G$1,SMALL(Dong2,ROWS($1:47)),),2)=$M$9),OFFSET(TH!O$1,SMALL(Dong2,ROWS($1:47)),)=$I$6),IF($I$6="1121",OFFSET(TH!M$1,SMALL(Dong2,ROWS($1:47)),),OFFSET(TH!K$1,SMALL(Dong2,ROWS($1:47)),)),0))</f>
        <v>5500000</v>
      </c>
      <c r="H58" s="947">
        <f t="shared" ca="1" si="0"/>
        <v>99279450</v>
      </c>
      <c r="I58" s="947"/>
    </row>
    <row r="59" spans="1:9" s="191" customFormat="1" ht="20.25" customHeight="1">
      <c r="A59" s="202">
        <f ca="1">IF(ROWS($1:48)&gt;COUNT(Dong2),"",OFFSET(TH!C$1,SMALL(Dong2,ROWS($1:48)),))</f>
        <v>42537</v>
      </c>
      <c r="B59" s="202" t="str">
        <f ca="1">IF(ROWS($1:48)&gt;COUNT(Dong2),"",OFFSET(TH!D$1,SMALL(Dong2,ROWS($1:48)),))</f>
        <v>GBN</v>
      </c>
      <c r="C59" s="202">
        <f ca="1">IF(ROWS($1:48)&gt;COUNT(Dong2),"",OFFSET(TH!E$1,SMALL(Dong2,ROWS($1:48)),))</f>
        <v>42537</v>
      </c>
      <c r="D59" s="382" t="str">
        <f ca="1">IF(ROWS($1:48)&gt;COUNT(Dong2),"",OFFSET(TH!F$1,SMALL(Dong2,ROWS($1:48)),))</f>
        <v>Phí dịch vụ</v>
      </c>
      <c r="E59" s="202" t="str">
        <f ca="1">IF(ROWS($1:48)&gt;COUNT(Dong2),"",IF(OFFSET(TH!O$1,SMALL(Dong2,ROWS($1:48)),)=$I$6,OFFSET(TH!N$1,SMALL(Dong2,ROWS($1:48)),),OFFSET(TH!O$1,SMALL(Dong2,ROWS($1:48)),)))</f>
        <v>642</v>
      </c>
      <c r="F59" s="1173">
        <f ca="1">IF(ROWS($1:48)&gt;COUNT(Dong2),"",IF(AND(IF($M$9="Q11",LEFT(OFFSET(TH!G$1,SMALL(Dong2,ROWS($1:48)),),3)=$M$9,LEFT(OFFSET(TH!G$1,SMALL(Dong2,ROWS($1:48)),),2)=$M$9),OFFSET(TH!N$1,SMALL(Dong2,ROWS($1:48)),)=$I$6),IF($I$6="1121",OFFSET(TH!M$1,SMALL(Dong2,ROWS($1:48)),),OFFSET(TH!K$1,SMALL(Dong2,ROWS($1:48)),)),0))</f>
        <v>0</v>
      </c>
      <c r="G59" s="1173">
        <f ca="1">IF(ROWS($1:48)&gt;COUNT(Dong2),"",IF(AND(IF($M$9="Q11",RIGHT(OFFSET(TH!G$1,SMALL(Dong2,ROWS($1:48)),),3)=$M$9,RIGHT(OFFSET(TH!G$1,SMALL(Dong2,ROWS($1:48)),),2)=$M$9),OFFSET(TH!O$1,SMALL(Dong2,ROWS($1:48)),)=$I$6),IF($I$6="1121",OFFSET(TH!M$1,SMALL(Dong2,ROWS($1:48)),),OFFSET(TH!K$1,SMALL(Dong2,ROWS($1:48)),)),0))</f>
        <v>20000</v>
      </c>
      <c r="H59" s="947">
        <f t="shared" ca="1" si="0"/>
        <v>99259450</v>
      </c>
      <c r="I59" s="947"/>
    </row>
    <row r="60" spans="1:9" s="191" customFormat="1" ht="20.25" customHeight="1">
      <c r="A60" s="202">
        <f ca="1">IF(ROWS($1:49)&gt;COUNT(Dong2),"",OFFSET(TH!C$1,SMALL(Dong2,ROWS($1:49)),))</f>
        <v>42537</v>
      </c>
      <c r="B60" s="202" t="str">
        <f ca="1">IF(ROWS($1:49)&gt;COUNT(Dong2),"",OFFSET(TH!D$1,SMALL(Dong2,ROWS($1:49)),))</f>
        <v>GBN</v>
      </c>
      <c r="C60" s="202">
        <f ca="1">IF(ROWS($1:49)&gt;COUNT(Dong2),"",OFFSET(TH!E$1,SMALL(Dong2,ROWS($1:49)),))</f>
        <v>42537</v>
      </c>
      <c r="D60" s="382" t="str">
        <f ca="1">IF(ROWS($1:49)&gt;COUNT(Dong2),"",OFFSET(TH!F$1,SMALL(Dong2,ROWS($1:49)),))</f>
        <v>VAT Phí dịch vụ</v>
      </c>
      <c r="E60" s="202" t="str">
        <f ca="1">IF(ROWS($1:49)&gt;COUNT(Dong2),"",IF(OFFSET(TH!O$1,SMALL(Dong2,ROWS($1:49)),)=$I$6,OFFSET(TH!N$1,SMALL(Dong2,ROWS($1:49)),),OFFSET(TH!O$1,SMALL(Dong2,ROWS($1:49)),)))</f>
        <v>1331</v>
      </c>
      <c r="F60" s="1173">
        <f ca="1">IF(ROWS($1:49)&gt;COUNT(Dong2),"",IF(AND(IF($M$9="Q11",LEFT(OFFSET(TH!G$1,SMALL(Dong2,ROWS($1:49)),),3)=$M$9,LEFT(OFFSET(TH!G$1,SMALL(Dong2,ROWS($1:49)),),2)=$M$9),OFFSET(TH!N$1,SMALL(Dong2,ROWS($1:49)),)=$I$6),IF($I$6="1121",OFFSET(TH!M$1,SMALL(Dong2,ROWS($1:49)),),OFFSET(TH!K$1,SMALL(Dong2,ROWS($1:49)),)),0))</f>
        <v>0</v>
      </c>
      <c r="G60" s="1173">
        <f ca="1">IF(ROWS($1:49)&gt;COUNT(Dong2),"",IF(AND(IF($M$9="Q11",RIGHT(OFFSET(TH!G$1,SMALL(Dong2,ROWS($1:49)),),3)=$M$9,RIGHT(OFFSET(TH!G$1,SMALL(Dong2,ROWS($1:49)),),2)=$M$9),OFFSET(TH!O$1,SMALL(Dong2,ROWS($1:49)),)=$I$6),IF($I$6="1121",OFFSET(TH!M$1,SMALL(Dong2,ROWS($1:49)),),OFFSET(TH!K$1,SMALL(Dong2,ROWS($1:49)),)),0))</f>
        <v>2000</v>
      </c>
      <c r="H60" s="947">
        <f t="shared" ca="1" si="0"/>
        <v>99257450</v>
      </c>
      <c r="I60" s="947"/>
    </row>
    <row r="61" spans="1:9" s="191" customFormat="1" ht="20.25" customHeight="1">
      <c r="A61" s="202">
        <f ca="1">IF(ROWS($1:50)&gt;COUNT(Dong2),"",OFFSET(TH!C$1,SMALL(Dong2,ROWS($1:50)),))</f>
        <v>42537</v>
      </c>
      <c r="B61" s="202" t="str">
        <f ca="1">IF(ROWS($1:50)&gt;COUNT(Dong2),"",OFFSET(TH!D$1,SMALL(Dong2,ROWS($1:50)),))</f>
        <v>GBN</v>
      </c>
      <c r="C61" s="202">
        <f ca="1">IF(ROWS($1:50)&gt;COUNT(Dong2),"",OFFSET(TH!E$1,SMALL(Dong2,ROWS($1:50)),))</f>
        <v>42537</v>
      </c>
      <c r="D61" s="382" t="str">
        <f ca="1">IF(ROWS($1:50)&gt;COUNT(Dong2),"",OFFSET(TH!F$1,SMALL(Dong2,ROWS($1:50)),))</f>
        <v>Thanh toán tiền muối</v>
      </c>
      <c r="E61" s="202" t="str">
        <f ca="1">IF(ROWS($1:50)&gt;COUNT(Dong2),"",IF(OFFSET(TH!O$1,SMALL(Dong2,ROWS($1:50)),)=$I$6,OFFSET(TH!N$1,SMALL(Dong2,ROWS($1:50)),),OFFSET(TH!O$1,SMALL(Dong2,ROWS($1:50)),)))</f>
        <v>331</v>
      </c>
      <c r="F61" s="1173">
        <f ca="1">IF(ROWS($1:50)&gt;COUNT(Dong2),"",IF(AND(IF($M$9="Q11",LEFT(OFFSET(TH!G$1,SMALL(Dong2,ROWS($1:50)),),3)=$M$9,LEFT(OFFSET(TH!G$1,SMALL(Dong2,ROWS($1:50)),),2)=$M$9),OFFSET(TH!N$1,SMALL(Dong2,ROWS($1:50)),)=$I$6),IF($I$6="1121",OFFSET(TH!M$1,SMALL(Dong2,ROWS($1:50)),),OFFSET(TH!K$1,SMALL(Dong2,ROWS($1:50)),)),0))</f>
        <v>0</v>
      </c>
      <c r="G61" s="1173">
        <f ca="1">IF(ROWS($1:50)&gt;COUNT(Dong2),"",IF(AND(IF($M$9="Q11",RIGHT(OFFSET(TH!G$1,SMALL(Dong2,ROWS($1:50)),),3)=$M$9,RIGHT(OFFSET(TH!G$1,SMALL(Dong2,ROWS($1:50)),),2)=$M$9),OFFSET(TH!O$1,SMALL(Dong2,ROWS($1:50)),)=$I$6),IF($I$6="1121",OFFSET(TH!M$1,SMALL(Dong2,ROWS($1:50)),),OFFSET(TH!K$1,SMALL(Dong2,ROWS($1:50)),)),0))</f>
        <v>6400000</v>
      </c>
      <c r="H61" s="947">
        <f t="shared" ca="1" si="0"/>
        <v>92857450</v>
      </c>
      <c r="I61" s="947"/>
    </row>
    <row r="62" spans="1:9" s="191" customFormat="1" ht="20.25" customHeight="1">
      <c r="A62" s="202">
        <f ca="1">IF(ROWS($1:51)&gt;COUNT(Dong2),"",OFFSET(TH!C$1,SMALL(Dong2,ROWS($1:51)),))</f>
        <v>42537</v>
      </c>
      <c r="B62" s="202" t="str">
        <f ca="1">IF(ROWS($1:51)&gt;COUNT(Dong2),"",OFFSET(TH!D$1,SMALL(Dong2,ROWS($1:51)),))</f>
        <v>GBN</v>
      </c>
      <c r="C62" s="202">
        <f ca="1">IF(ROWS($1:51)&gt;COUNT(Dong2),"",OFFSET(TH!E$1,SMALL(Dong2,ROWS($1:51)),))</f>
        <v>42537</v>
      </c>
      <c r="D62" s="382" t="str">
        <f ca="1">IF(ROWS($1:51)&gt;COUNT(Dong2),"",OFFSET(TH!F$1,SMALL(Dong2,ROWS($1:51)),))</f>
        <v>Phí dịch vụ</v>
      </c>
      <c r="E62" s="202" t="str">
        <f ca="1">IF(ROWS($1:51)&gt;COUNT(Dong2),"",IF(OFFSET(TH!O$1,SMALL(Dong2,ROWS($1:51)),)=$I$6,OFFSET(TH!N$1,SMALL(Dong2,ROWS($1:51)),),OFFSET(TH!O$1,SMALL(Dong2,ROWS($1:51)),)))</f>
        <v>642</v>
      </c>
      <c r="F62" s="1173">
        <f ca="1">IF(ROWS($1:51)&gt;COUNT(Dong2),"",IF(AND(IF($M$9="Q11",LEFT(OFFSET(TH!G$1,SMALL(Dong2,ROWS($1:51)),),3)=$M$9,LEFT(OFFSET(TH!G$1,SMALL(Dong2,ROWS($1:51)),),2)=$M$9),OFFSET(TH!N$1,SMALL(Dong2,ROWS($1:51)),)=$I$6),IF($I$6="1121",OFFSET(TH!M$1,SMALL(Dong2,ROWS($1:51)),),OFFSET(TH!K$1,SMALL(Dong2,ROWS($1:51)),)),0))</f>
        <v>0</v>
      </c>
      <c r="G62" s="1173">
        <f ca="1">IF(ROWS($1:51)&gt;COUNT(Dong2),"",IF(AND(IF($M$9="Q11",RIGHT(OFFSET(TH!G$1,SMALL(Dong2,ROWS($1:51)),),3)=$M$9,RIGHT(OFFSET(TH!G$1,SMALL(Dong2,ROWS($1:51)),),2)=$M$9),OFFSET(TH!O$1,SMALL(Dong2,ROWS($1:51)),)=$I$6),IF($I$6="1121",OFFSET(TH!M$1,SMALL(Dong2,ROWS($1:51)),),OFFSET(TH!K$1,SMALL(Dong2,ROWS($1:51)),)),0))</f>
        <v>20000</v>
      </c>
      <c r="H62" s="947">
        <f t="shared" ca="1" si="0"/>
        <v>92837450</v>
      </c>
      <c r="I62" s="947"/>
    </row>
    <row r="63" spans="1:9" s="191" customFormat="1" ht="20.25" customHeight="1">
      <c r="A63" s="202">
        <f ca="1">IF(ROWS($1:52)&gt;COUNT(Dong2),"",OFFSET(TH!C$1,SMALL(Dong2,ROWS($1:52)),))</f>
        <v>42537</v>
      </c>
      <c r="B63" s="202" t="str">
        <f ca="1">IF(ROWS($1:52)&gt;COUNT(Dong2),"",OFFSET(TH!D$1,SMALL(Dong2,ROWS($1:52)),))</f>
        <v>GBN</v>
      </c>
      <c r="C63" s="202">
        <f ca="1">IF(ROWS($1:52)&gt;COUNT(Dong2),"",OFFSET(TH!E$1,SMALL(Dong2,ROWS($1:52)),))</f>
        <v>42537</v>
      </c>
      <c r="D63" s="382" t="str">
        <f ca="1">IF(ROWS($1:52)&gt;COUNT(Dong2),"",OFFSET(TH!F$1,SMALL(Dong2,ROWS($1:52)),))</f>
        <v>VAT Phí dịch vụ</v>
      </c>
      <c r="E63" s="202" t="str">
        <f ca="1">IF(ROWS($1:52)&gt;COUNT(Dong2),"",IF(OFFSET(TH!O$1,SMALL(Dong2,ROWS($1:52)),)=$I$6,OFFSET(TH!N$1,SMALL(Dong2,ROWS($1:52)),),OFFSET(TH!O$1,SMALL(Dong2,ROWS($1:52)),)))</f>
        <v>1331</v>
      </c>
      <c r="F63" s="1173">
        <f ca="1">IF(ROWS($1:52)&gt;COUNT(Dong2),"",IF(AND(IF($M$9="Q11",LEFT(OFFSET(TH!G$1,SMALL(Dong2,ROWS($1:52)),),3)=$M$9,LEFT(OFFSET(TH!G$1,SMALL(Dong2,ROWS($1:52)),),2)=$M$9),OFFSET(TH!N$1,SMALL(Dong2,ROWS($1:52)),)=$I$6),IF($I$6="1121",OFFSET(TH!M$1,SMALL(Dong2,ROWS($1:52)),),OFFSET(TH!K$1,SMALL(Dong2,ROWS($1:52)),)),0))</f>
        <v>0</v>
      </c>
      <c r="G63" s="1173">
        <f ca="1">IF(ROWS($1:52)&gt;COUNT(Dong2),"",IF(AND(IF($M$9="Q11",RIGHT(OFFSET(TH!G$1,SMALL(Dong2,ROWS($1:52)),),3)=$M$9,RIGHT(OFFSET(TH!G$1,SMALL(Dong2,ROWS($1:52)),),2)=$M$9),OFFSET(TH!O$1,SMALL(Dong2,ROWS($1:52)),)=$I$6),IF($I$6="1121",OFFSET(TH!M$1,SMALL(Dong2,ROWS($1:52)),),OFFSET(TH!K$1,SMALL(Dong2,ROWS($1:52)),)),0))</f>
        <v>2000</v>
      </c>
      <c r="H63" s="947">
        <f t="shared" ca="1" si="0"/>
        <v>92835450</v>
      </c>
      <c r="I63" s="947"/>
    </row>
    <row r="64" spans="1:9" s="191" customFormat="1" ht="20.25" customHeight="1">
      <c r="A64" s="202">
        <f ca="1">IF(ROWS($1:53)&gt;COUNT(Dong2),"",OFFSET(TH!C$1,SMALL(Dong2,ROWS($1:53)),))</f>
        <v>42537</v>
      </c>
      <c r="B64" s="202" t="str">
        <f ca="1">IF(ROWS($1:53)&gt;COUNT(Dong2),"",OFFSET(TH!D$1,SMALL(Dong2,ROWS($1:53)),))</f>
        <v>GBN</v>
      </c>
      <c r="C64" s="202">
        <f ca="1">IF(ROWS($1:53)&gt;COUNT(Dong2),"",OFFSET(TH!E$1,SMALL(Dong2,ROWS($1:53)),))</f>
        <v>42537</v>
      </c>
      <c r="D64" s="382" t="str">
        <f ca="1">IF(ROWS($1:53)&gt;COUNT(Dong2),"",OFFSET(TH!F$1,SMALL(Dong2,ROWS($1:53)),))</f>
        <v>Thanh toán tiền BHLĐ</v>
      </c>
      <c r="E64" s="202" t="str">
        <f ca="1">IF(ROWS($1:53)&gt;COUNT(Dong2),"",IF(OFFSET(TH!O$1,SMALL(Dong2,ROWS($1:53)),)=$I$6,OFFSET(TH!N$1,SMALL(Dong2,ROWS($1:53)),),OFFSET(TH!O$1,SMALL(Dong2,ROWS($1:53)),)))</f>
        <v>331</v>
      </c>
      <c r="F64" s="1173">
        <f ca="1">IF(ROWS($1:53)&gt;COUNT(Dong2),"",IF(AND(IF($M$9="Q11",LEFT(OFFSET(TH!G$1,SMALL(Dong2,ROWS($1:53)),),3)=$M$9,LEFT(OFFSET(TH!G$1,SMALL(Dong2,ROWS($1:53)),),2)=$M$9),OFFSET(TH!N$1,SMALL(Dong2,ROWS($1:53)),)=$I$6),IF($I$6="1121",OFFSET(TH!M$1,SMALL(Dong2,ROWS($1:53)),),OFFSET(TH!K$1,SMALL(Dong2,ROWS($1:53)),)),0))</f>
        <v>0</v>
      </c>
      <c r="G64" s="1173">
        <f ca="1">IF(ROWS($1:53)&gt;COUNT(Dong2),"",IF(AND(IF($M$9="Q11",RIGHT(OFFSET(TH!G$1,SMALL(Dong2,ROWS($1:53)),),3)=$M$9,RIGHT(OFFSET(TH!G$1,SMALL(Dong2,ROWS($1:53)),),2)=$M$9),OFFSET(TH!O$1,SMALL(Dong2,ROWS($1:53)),)=$I$6),IF($I$6="1121",OFFSET(TH!M$1,SMALL(Dong2,ROWS($1:53)),),OFFSET(TH!K$1,SMALL(Dong2,ROWS($1:53)),)),0))</f>
        <v>7920000</v>
      </c>
      <c r="H64" s="947">
        <f t="shared" ca="1" si="0"/>
        <v>84915450</v>
      </c>
      <c r="I64" s="947"/>
    </row>
    <row r="65" spans="1:9" s="191" customFormat="1" ht="20.25" customHeight="1">
      <c r="A65" s="202">
        <f ca="1">IF(ROWS($1:54)&gt;COUNT(Dong2),"",OFFSET(TH!C$1,SMALL(Dong2,ROWS($1:54)),))</f>
        <v>42537</v>
      </c>
      <c r="B65" s="202" t="str">
        <f ca="1">IF(ROWS($1:54)&gt;COUNT(Dong2),"",OFFSET(TH!D$1,SMALL(Dong2,ROWS($1:54)),))</f>
        <v>GBN</v>
      </c>
      <c r="C65" s="202">
        <f ca="1">IF(ROWS($1:54)&gt;COUNT(Dong2),"",OFFSET(TH!E$1,SMALL(Dong2,ROWS($1:54)),))</f>
        <v>42537</v>
      </c>
      <c r="D65" s="382" t="str">
        <f ca="1">IF(ROWS($1:54)&gt;COUNT(Dong2),"",OFFSET(TH!F$1,SMALL(Dong2,ROWS($1:54)),))</f>
        <v>Phí dịch vụ</v>
      </c>
      <c r="E65" s="202" t="str">
        <f ca="1">IF(ROWS($1:54)&gt;COUNT(Dong2),"",IF(OFFSET(TH!O$1,SMALL(Dong2,ROWS($1:54)),)=$I$6,OFFSET(TH!N$1,SMALL(Dong2,ROWS($1:54)),),OFFSET(TH!O$1,SMALL(Dong2,ROWS($1:54)),)))</f>
        <v>642</v>
      </c>
      <c r="F65" s="1173">
        <f ca="1">IF(ROWS($1:54)&gt;COUNT(Dong2),"",IF(AND(IF($M$9="Q11",LEFT(OFFSET(TH!G$1,SMALL(Dong2,ROWS($1:54)),),3)=$M$9,LEFT(OFFSET(TH!G$1,SMALL(Dong2,ROWS($1:54)),),2)=$M$9),OFFSET(TH!N$1,SMALL(Dong2,ROWS($1:54)),)=$I$6),IF($I$6="1121",OFFSET(TH!M$1,SMALL(Dong2,ROWS($1:54)),),OFFSET(TH!K$1,SMALL(Dong2,ROWS($1:54)),)),0))</f>
        <v>0</v>
      </c>
      <c r="G65" s="1173">
        <f ca="1">IF(ROWS($1:54)&gt;COUNT(Dong2),"",IF(AND(IF($M$9="Q11",RIGHT(OFFSET(TH!G$1,SMALL(Dong2,ROWS($1:54)),),3)=$M$9,RIGHT(OFFSET(TH!G$1,SMALL(Dong2,ROWS($1:54)),),2)=$M$9),OFFSET(TH!O$1,SMALL(Dong2,ROWS($1:54)),)=$I$6),IF($I$6="1121",OFFSET(TH!M$1,SMALL(Dong2,ROWS($1:54)),),OFFSET(TH!K$1,SMALL(Dong2,ROWS($1:54)),)),0))</f>
        <v>20000</v>
      </c>
      <c r="H65" s="947">
        <f t="shared" ca="1" si="0"/>
        <v>84895450</v>
      </c>
      <c r="I65" s="947"/>
    </row>
    <row r="66" spans="1:9" s="191" customFormat="1" ht="20.25" customHeight="1">
      <c r="A66" s="202">
        <f ca="1">IF(ROWS($1:55)&gt;COUNT(Dong2),"",OFFSET(TH!C$1,SMALL(Dong2,ROWS($1:55)),))</f>
        <v>42537</v>
      </c>
      <c r="B66" s="202" t="str">
        <f ca="1">IF(ROWS($1:55)&gt;COUNT(Dong2),"",OFFSET(TH!D$1,SMALL(Dong2,ROWS($1:55)),))</f>
        <v>GBN</v>
      </c>
      <c r="C66" s="202">
        <f ca="1">IF(ROWS($1:55)&gt;COUNT(Dong2),"",OFFSET(TH!E$1,SMALL(Dong2,ROWS($1:55)),))</f>
        <v>42537</v>
      </c>
      <c r="D66" s="382" t="str">
        <f ca="1">IF(ROWS($1:55)&gt;COUNT(Dong2),"",OFFSET(TH!F$1,SMALL(Dong2,ROWS($1:55)),))</f>
        <v>VAT Phí dịch vụ</v>
      </c>
      <c r="E66" s="202" t="str">
        <f ca="1">IF(ROWS($1:55)&gt;COUNT(Dong2),"",IF(OFFSET(TH!O$1,SMALL(Dong2,ROWS($1:55)),)=$I$6,OFFSET(TH!N$1,SMALL(Dong2,ROWS($1:55)),),OFFSET(TH!O$1,SMALL(Dong2,ROWS($1:55)),)))</f>
        <v>1331</v>
      </c>
      <c r="F66" s="1173">
        <f ca="1">IF(ROWS($1:55)&gt;COUNT(Dong2),"",IF(AND(IF($M$9="Q11",LEFT(OFFSET(TH!G$1,SMALL(Dong2,ROWS($1:55)),),3)=$M$9,LEFT(OFFSET(TH!G$1,SMALL(Dong2,ROWS($1:55)),),2)=$M$9),OFFSET(TH!N$1,SMALL(Dong2,ROWS($1:55)),)=$I$6),IF($I$6="1121",OFFSET(TH!M$1,SMALL(Dong2,ROWS($1:55)),),OFFSET(TH!K$1,SMALL(Dong2,ROWS($1:55)),)),0))</f>
        <v>0</v>
      </c>
      <c r="G66" s="1173">
        <f ca="1">IF(ROWS($1:55)&gt;COUNT(Dong2),"",IF(AND(IF($M$9="Q11",RIGHT(OFFSET(TH!G$1,SMALL(Dong2,ROWS($1:55)),),3)=$M$9,RIGHT(OFFSET(TH!G$1,SMALL(Dong2,ROWS($1:55)),),2)=$M$9),OFFSET(TH!O$1,SMALL(Dong2,ROWS($1:55)),)=$I$6),IF($I$6="1121",OFFSET(TH!M$1,SMALL(Dong2,ROWS($1:55)),),OFFSET(TH!K$1,SMALL(Dong2,ROWS($1:55)),)),0))</f>
        <v>2000</v>
      </c>
      <c r="H66" s="947">
        <f t="shared" ca="1" si="0"/>
        <v>84893450</v>
      </c>
      <c r="I66" s="947"/>
    </row>
    <row r="67" spans="1:9" s="191" customFormat="1" ht="20.25" customHeight="1">
      <c r="A67" s="202">
        <f ca="1">IF(ROWS($1:56)&gt;COUNT(Dong2),"",OFFSET(TH!C$1,SMALL(Dong2,ROWS($1:56)),))</f>
        <v>42537</v>
      </c>
      <c r="B67" s="202" t="str">
        <f ca="1">IF(ROWS($1:56)&gt;COUNT(Dong2),"",OFFSET(TH!D$1,SMALL(Dong2,ROWS($1:56)),))</f>
        <v>GBN</v>
      </c>
      <c r="C67" s="202">
        <f ca="1">IF(ROWS($1:56)&gt;COUNT(Dong2),"",OFFSET(TH!E$1,SMALL(Dong2,ROWS($1:56)),))</f>
        <v>42537</v>
      </c>
      <c r="D67" s="382" t="str">
        <f ca="1">IF(ROWS($1:56)&gt;COUNT(Dong2),"",OFFSET(TH!F$1,SMALL(Dong2,ROWS($1:56)),))</f>
        <v>Thanh toán cước vận chuyển và phí liên quan</v>
      </c>
      <c r="E67" s="202" t="str">
        <f ca="1">IF(ROWS($1:56)&gt;COUNT(Dong2),"",IF(OFFSET(TH!O$1,SMALL(Dong2,ROWS($1:56)),)=$I$6,OFFSET(TH!N$1,SMALL(Dong2,ROWS($1:56)),),OFFSET(TH!O$1,SMALL(Dong2,ROWS($1:56)),)))</f>
        <v>331</v>
      </c>
      <c r="F67" s="1173">
        <f ca="1">IF(ROWS($1:56)&gt;COUNT(Dong2),"",IF(AND(IF($M$9="Q11",LEFT(OFFSET(TH!G$1,SMALL(Dong2,ROWS($1:56)),),3)=$M$9,LEFT(OFFSET(TH!G$1,SMALL(Dong2,ROWS($1:56)),),2)=$M$9),OFFSET(TH!N$1,SMALL(Dong2,ROWS($1:56)),)=$I$6),IF($I$6="1121",OFFSET(TH!M$1,SMALL(Dong2,ROWS($1:56)),),OFFSET(TH!K$1,SMALL(Dong2,ROWS($1:56)),)),0))</f>
        <v>0</v>
      </c>
      <c r="G67" s="1173">
        <f ca="1">IF(ROWS($1:56)&gt;COUNT(Dong2),"",IF(AND(IF($M$9="Q11",RIGHT(OFFSET(TH!G$1,SMALL(Dong2,ROWS($1:56)),),3)=$M$9,RIGHT(OFFSET(TH!G$1,SMALL(Dong2,ROWS($1:56)),),2)=$M$9),OFFSET(TH!O$1,SMALL(Dong2,ROWS($1:56)),)=$I$6),IF($I$6="1121",OFFSET(TH!M$1,SMALL(Dong2,ROWS($1:56)),),OFFSET(TH!K$1,SMALL(Dong2,ROWS($1:56)),)),0))</f>
        <v>40000000</v>
      </c>
      <c r="H67" s="947">
        <f t="shared" ca="1" si="0"/>
        <v>44893450</v>
      </c>
      <c r="I67" s="947"/>
    </row>
    <row r="68" spans="1:9" s="191" customFormat="1" ht="20.25" customHeight="1">
      <c r="A68" s="202">
        <f ca="1">IF(ROWS($1:57)&gt;COUNT(Dong2),"",OFFSET(TH!C$1,SMALL(Dong2,ROWS($1:57)),))</f>
        <v>42537</v>
      </c>
      <c r="B68" s="202" t="str">
        <f ca="1">IF(ROWS($1:57)&gt;COUNT(Dong2),"",OFFSET(TH!D$1,SMALL(Dong2,ROWS($1:57)),))</f>
        <v>GBN</v>
      </c>
      <c r="C68" s="202">
        <f ca="1">IF(ROWS($1:57)&gt;COUNT(Dong2),"",OFFSET(TH!E$1,SMALL(Dong2,ROWS($1:57)),))</f>
        <v>42537</v>
      </c>
      <c r="D68" s="382" t="str">
        <f ca="1">IF(ROWS($1:57)&gt;COUNT(Dong2),"",OFFSET(TH!F$1,SMALL(Dong2,ROWS($1:57)),))</f>
        <v>Phí dịch vụ</v>
      </c>
      <c r="E68" s="202" t="str">
        <f ca="1">IF(ROWS($1:57)&gt;COUNT(Dong2),"",IF(OFFSET(TH!O$1,SMALL(Dong2,ROWS($1:57)),)=$I$6,OFFSET(TH!N$1,SMALL(Dong2,ROWS($1:57)),),OFFSET(TH!O$1,SMALL(Dong2,ROWS($1:57)),)))</f>
        <v>642</v>
      </c>
      <c r="F68" s="1173">
        <f ca="1">IF(ROWS($1:57)&gt;COUNT(Dong2),"",IF(AND(IF($M$9="Q11",LEFT(OFFSET(TH!G$1,SMALL(Dong2,ROWS($1:57)),),3)=$M$9,LEFT(OFFSET(TH!G$1,SMALL(Dong2,ROWS($1:57)),),2)=$M$9),OFFSET(TH!N$1,SMALL(Dong2,ROWS($1:57)),)=$I$6),IF($I$6="1121",OFFSET(TH!M$1,SMALL(Dong2,ROWS($1:57)),),OFFSET(TH!K$1,SMALL(Dong2,ROWS($1:57)),)),0))</f>
        <v>0</v>
      </c>
      <c r="G68" s="1173">
        <f ca="1">IF(ROWS($1:57)&gt;COUNT(Dong2),"",IF(AND(IF($M$9="Q11",RIGHT(OFFSET(TH!G$1,SMALL(Dong2,ROWS($1:57)),),3)=$M$9,RIGHT(OFFSET(TH!G$1,SMALL(Dong2,ROWS($1:57)),),2)=$M$9),OFFSET(TH!O$1,SMALL(Dong2,ROWS($1:57)),)=$I$6),IF($I$6="1121",OFFSET(TH!M$1,SMALL(Dong2,ROWS($1:57)),),OFFSET(TH!K$1,SMALL(Dong2,ROWS($1:57)),)),0))</f>
        <v>20000</v>
      </c>
      <c r="H68" s="947">
        <f t="shared" ca="1" si="0"/>
        <v>44873450</v>
      </c>
      <c r="I68" s="947"/>
    </row>
    <row r="69" spans="1:9" s="191" customFormat="1" ht="20.25" customHeight="1">
      <c r="A69" s="202">
        <f ca="1">IF(ROWS($1:58)&gt;COUNT(Dong2),"",OFFSET(TH!C$1,SMALL(Dong2,ROWS($1:58)),))</f>
        <v>42537</v>
      </c>
      <c r="B69" s="202" t="str">
        <f ca="1">IF(ROWS($1:58)&gt;COUNT(Dong2),"",OFFSET(TH!D$1,SMALL(Dong2,ROWS($1:58)),))</f>
        <v>GBN</v>
      </c>
      <c r="C69" s="202">
        <f ca="1">IF(ROWS($1:58)&gt;COUNT(Dong2),"",OFFSET(TH!E$1,SMALL(Dong2,ROWS($1:58)),))</f>
        <v>42537</v>
      </c>
      <c r="D69" s="382" t="str">
        <f ca="1">IF(ROWS($1:58)&gt;COUNT(Dong2),"",OFFSET(TH!F$1,SMALL(Dong2,ROWS($1:58)),))</f>
        <v>VAT Phí dịch vụ</v>
      </c>
      <c r="E69" s="202" t="str">
        <f ca="1">IF(ROWS($1:58)&gt;COUNT(Dong2),"",IF(OFFSET(TH!O$1,SMALL(Dong2,ROWS($1:58)),)=$I$6,OFFSET(TH!N$1,SMALL(Dong2,ROWS($1:58)),),OFFSET(TH!O$1,SMALL(Dong2,ROWS($1:58)),)))</f>
        <v>1331</v>
      </c>
      <c r="F69" s="1173">
        <f ca="1">IF(ROWS($1:58)&gt;COUNT(Dong2),"",IF(AND(IF($M$9="Q11",LEFT(OFFSET(TH!G$1,SMALL(Dong2,ROWS($1:58)),),3)=$M$9,LEFT(OFFSET(TH!G$1,SMALL(Dong2,ROWS($1:58)),),2)=$M$9),OFFSET(TH!N$1,SMALL(Dong2,ROWS($1:58)),)=$I$6),IF($I$6="1121",OFFSET(TH!M$1,SMALL(Dong2,ROWS($1:58)),),OFFSET(TH!K$1,SMALL(Dong2,ROWS($1:58)),)),0))</f>
        <v>0</v>
      </c>
      <c r="G69" s="1173">
        <f ca="1">IF(ROWS($1:58)&gt;COUNT(Dong2),"",IF(AND(IF($M$9="Q11",RIGHT(OFFSET(TH!G$1,SMALL(Dong2,ROWS($1:58)),),3)=$M$9,RIGHT(OFFSET(TH!G$1,SMALL(Dong2,ROWS($1:58)),),2)=$M$9),OFFSET(TH!O$1,SMALL(Dong2,ROWS($1:58)),)=$I$6),IF($I$6="1121",OFFSET(TH!M$1,SMALL(Dong2,ROWS($1:58)),),OFFSET(TH!K$1,SMALL(Dong2,ROWS($1:58)),)),0))</f>
        <v>2000</v>
      </c>
      <c r="H69" s="947">
        <f t="shared" ca="1" si="0"/>
        <v>44871450</v>
      </c>
      <c r="I69" s="947"/>
    </row>
    <row r="70" spans="1:9" s="191" customFormat="1" ht="20.25" customHeight="1">
      <c r="A70" s="202">
        <f ca="1">IF(ROWS($1:59)&gt;COUNT(Dong2),"",OFFSET(TH!C$1,SMALL(Dong2,ROWS($1:59)),))</f>
        <v>42538</v>
      </c>
      <c r="B70" s="202" t="str">
        <f ca="1">IF(ROWS($1:59)&gt;COUNT(Dong2),"",OFFSET(TH!D$1,SMALL(Dong2,ROWS($1:59)),))</f>
        <v>T05</v>
      </c>
      <c r="C70" s="202">
        <f ca="1">IF(ROWS($1:59)&gt;COUNT(Dong2),"",OFFSET(TH!E$1,SMALL(Dong2,ROWS($1:59)),))</f>
        <v>42538</v>
      </c>
      <c r="D70" s="382" t="str">
        <f ca="1">IF(ROWS($1:59)&gt;COUNT(Dong2),"",OFFSET(TH!F$1,SMALL(Dong2,ROWS($1:59)),))</f>
        <v>Rút tiền gửi NH nhập quỹ TM</v>
      </c>
      <c r="E70" s="202" t="str">
        <f ca="1">IF(ROWS($1:59)&gt;COUNT(Dong2),"",IF(OFFSET(TH!O$1,SMALL(Dong2,ROWS($1:59)),)=$I$6,OFFSET(TH!N$1,SMALL(Dong2,ROWS($1:59)),),OFFSET(TH!O$1,SMALL(Dong2,ROWS($1:59)),)))</f>
        <v>1111</v>
      </c>
      <c r="F70" s="1173">
        <f ca="1">IF(ROWS($1:59)&gt;COUNT(Dong2),"",IF(AND(IF($M$9="Q11",LEFT(OFFSET(TH!G$1,SMALL(Dong2,ROWS($1:59)),),3)=$M$9,LEFT(OFFSET(TH!G$1,SMALL(Dong2,ROWS($1:59)),),2)=$M$9),OFFSET(TH!N$1,SMALL(Dong2,ROWS($1:59)),)=$I$6),IF($I$6="1121",OFFSET(TH!M$1,SMALL(Dong2,ROWS($1:59)),),OFFSET(TH!K$1,SMALL(Dong2,ROWS($1:59)),)),0))</f>
        <v>0</v>
      </c>
      <c r="G70" s="1173">
        <f ca="1">IF(ROWS($1:59)&gt;COUNT(Dong2),"",IF(AND(IF($M$9="Q11",RIGHT(OFFSET(TH!G$1,SMALL(Dong2,ROWS($1:59)),),3)=$M$9,RIGHT(OFFSET(TH!G$1,SMALL(Dong2,ROWS($1:59)),),2)=$M$9),OFFSET(TH!O$1,SMALL(Dong2,ROWS($1:59)),)=$I$6),IF($I$6="1121",OFFSET(TH!M$1,SMALL(Dong2,ROWS($1:59)),),OFFSET(TH!K$1,SMALL(Dong2,ROWS($1:59)),)),0))</f>
        <v>40000000</v>
      </c>
      <c r="H70" s="947">
        <f t="shared" ca="1" si="0"/>
        <v>4871450</v>
      </c>
      <c r="I70" s="947"/>
    </row>
    <row r="71" spans="1:9" s="191" customFormat="1" ht="20.25" customHeight="1">
      <c r="A71" s="202">
        <f ca="1">IF(ROWS($1:60)&gt;COUNT(Dong2),"",OFFSET(TH!C$1,SMALL(Dong2,ROWS($1:60)),))</f>
        <v>42538</v>
      </c>
      <c r="B71" s="202" t="str">
        <f ca="1">IF(ROWS($1:60)&gt;COUNT(Dong2),"",OFFSET(TH!D$1,SMALL(Dong2,ROWS($1:60)),))</f>
        <v>GBC</v>
      </c>
      <c r="C71" s="202">
        <f ca="1">IF(ROWS($1:60)&gt;COUNT(Dong2),"",OFFSET(TH!E$1,SMALL(Dong2,ROWS($1:60)),))</f>
        <v>42538</v>
      </c>
      <c r="D71" s="382" t="str">
        <f ca="1">IF(ROWS($1:60)&gt;COUNT(Dong2),"",OFFSET(TH!F$1,SMALL(Dong2,ROWS($1:60)),))</f>
        <v>Thu tiền vay chiết khấu LC</v>
      </c>
      <c r="E71" s="202" t="str">
        <f ca="1">IF(ROWS($1:60)&gt;COUNT(Dong2),"",IF(OFFSET(TH!O$1,SMALL(Dong2,ROWS($1:60)),)=$I$6,OFFSET(TH!N$1,SMALL(Dong2,ROWS($1:60)),),OFFSET(TH!O$1,SMALL(Dong2,ROWS($1:60)),)))</f>
        <v>3412</v>
      </c>
      <c r="F71" s="1173">
        <f ca="1">IF(ROWS($1:60)&gt;COUNT(Dong2),"",IF(AND(IF($M$9="Q11",LEFT(OFFSET(TH!G$1,SMALL(Dong2,ROWS($1:60)),),3)=$M$9,LEFT(OFFSET(TH!G$1,SMALL(Dong2,ROWS($1:60)),),2)=$M$9),OFFSET(TH!N$1,SMALL(Dong2,ROWS($1:60)),)=$I$6),IF($I$6="1121",OFFSET(TH!M$1,SMALL(Dong2,ROWS($1:60)),),OFFSET(TH!K$1,SMALL(Dong2,ROWS($1:60)),)),0))</f>
        <v>0</v>
      </c>
      <c r="G71" s="1173">
        <f ca="1">IF(ROWS($1:60)&gt;COUNT(Dong2),"",IF(AND(IF($M$9="Q11",RIGHT(OFFSET(TH!G$1,SMALL(Dong2,ROWS($1:60)),),3)=$M$9,RIGHT(OFFSET(TH!G$1,SMALL(Dong2,ROWS($1:60)),),2)=$M$9),OFFSET(TH!O$1,SMALL(Dong2,ROWS($1:60)),)=$I$6),IF($I$6="1121",OFFSET(TH!M$1,SMALL(Dong2,ROWS($1:60)),),OFFSET(TH!K$1,SMALL(Dong2,ROWS($1:60)),)),0))</f>
        <v>1697436000</v>
      </c>
      <c r="H71" s="947">
        <f t="shared" ca="1" si="0"/>
        <v>-1692564550</v>
      </c>
      <c r="I71" s="947"/>
    </row>
    <row r="72" spans="1:9" s="191" customFormat="1" ht="20.25" customHeight="1">
      <c r="A72" s="202">
        <f ca="1">IF(ROWS($1:61)&gt;COUNT(Dong2),"",OFFSET(TH!C$1,SMALL(Dong2,ROWS($1:61)),))</f>
        <v>42538</v>
      </c>
      <c r="B72" s="202" t="str">
        <f ca="1">IF(ROWS($1:61)&gt;COUNT(Dong2),"",OFFSET(TH!D$1,SMALL(Dong2,ROWS($1:61)),))</f>
        <v>GBN</v>
      </c>
      <c r="C72" s="202">
        <f ca="1">IF(ROWS($1:61)&gt;COUNT(Dong2),"",OFFSET(TH!E$1,SMALL(Dong2,ROWS($1:61)),))</f>
        <v>42538</v>
      </c>
      <c r="D72" s="382" t="str">
        <f ca="1">IF(ROWS($1:61)&gt;COUNT(Dong2),"",OFFSET(TH!F$1,SMALL(Dong2,ROWS($1:61)),))</f>
        <v>Bán ngoại tệ</v>
      </c>
      <c r="E72" s="202" t="str">
        <f ca="1">IF(ROWS($1:61)&gt;COUNT(Dong2),"",IF(OFFSET(TH!O$1,SMALL(Dong2,ROWS($1:61)),)=$I$6,OFFSET(TH!N$1,SMALL(Dong2,ROWS($1:61)),),OFFSET(TH!O$1,SMALL(Dong2,ROWS($1:61)),)))</f>
        <v>1122</v>
      </c>
      <c r="F72" s="1173">
        <f ca="1">IF(ROWS($1:61)&gt;COUNT(Dong2),"",IF(AND(IF($M$9="Q11",LEFT(OFFSET(TH!G$1,SMALL(Dong2,ROWS($1:61)),),3)=$M$9,LEFT(OFFSET(TH!G$1,SMALL(Dong2,ROWS($1:61)),),2)=$M$9),OFFSET(TH!N$1,SMALL(Dong2,ROWS($1:61)),)=$I$6),IF($I$6="1121",OFFSET(TH!M$1,SMALL(Dong2,ROWS($1:61)),),OFFSET(TH!K$1,SMALL(Dong2,ROWS($1:61)),)),0))</f>
        <v>2140800000</v>
      </c>
      <c r="G72" s="1173">
        <f ca="1">IF(ROWS($1:61)&gt;COUNT(Dong2),"",IF(AND(IF($M$9="Q11",RIGHT(OFFSET(TH!G$1,SMALL(Dong2,ROWS($1:61)),),3)=$M$9,RIGHT(OFFSET(TH!G$1,SMALL(Dong2,ROWS($1:61)),),2)=$M$9),OFFSET(TH!O$1,SMALL(Dong2,ROWS($1:61)),)=$I$6),IF($I$6="1121",OFFSET(TH!M$1,SMALL(Dong2,ROWS($1:61)),),OFFSET(TH!K$1,SMALL(Dong2,ROWS($1:61)),)),0))</f>
        <v>0</v>
      </c>
      <c r="H72" s="947">
        <f t="shared" ca="1" si="0"/>
        <v>448235450</v>
      </c>
      <c r="I72" s="947"/>
    </row>
    <row r="73" spans="1:9" s="191" customFormat="1" ht="20.25" customHeight="1">
      <c r="A73" s="202">
        <f ca="1">IF(ROWS($1:62)&gt;COUNT(Dong2),"",OFFSET(TH!C$1,SMALL(Dong2,ROWS($1:62)),))</f>
        <v>42538</v>
      </c>
      <c r="B73" s="202" t="str">
        <f ca="1">IF(ROWS($1:62)&gt;COUNT(Dong2),"",OFFSET(TH!D$1,SMALL(Dong2,ROWS($1:62)),))</f>
        <v>GBN</v>
      </c>
      <c r="C73" s="202">
        <f ca="1">IF(ROWS($1:62)&gt;COUNT(Dong2),"",OFFSET(TH!E$1,SMALL(Dong2,ROWS($1:62)),))</f>
        <v>42538</v>
      </c>
      <c r="D73" s="382" t="str">
        <f ca="1">IF(ROWS($1:62)&gt;COUNT(Dong2),"",OFFSET(TH!F$1,SMALL(Dong2,ROWS($1:62)),))</f>
        <v>Lãi suất chiết khấu</v>
      </c>
      <c r="E73" s="202" t="str">
        <f ca="1">IF(ROWS($1:62)&gt;COUNT(Dong2),"",IF(OFFSET(TH!O$1,SMALL(Dong2,ROWS($1:62)),)=$I$6,OFFSET(TH!N$1,SMALL(Dong2,ROWS($1:62)),),OFFSET(TH!O$1,SMALL(Dong2,ROWS($1:62)),)))</f>
        <v>635</v>
      </c>
      <c r="F73" s="1173">
        <f ca="1">IF(ROWS($1:62)&gt;COUNT(Dong2),"",IF(AND(IF($M$9="Q11",LEFT(OFFSET(TH!G$1,SMALL(Dong2,ROWS($1:62)),),3)=$M$9,LEFT(OFFSET(TH!G$1,SMALL(Dong2,ROWS($1:62)),),2)=$M$9),OFFSET(TH!N$1,SMALL(Dong2,ROWS($1:62)),)=$I$6),IF($I$6="1121",OFFSET(TH!M$1,SMALL(Dong2,ROWS($1:62)),),OFFSET(TH!K$1,SMALL(Dong2,ROWS($1:62)),)),0))</f>
        <v>0</v>
      </c>
      <c r="G73" s="1173">
        <f ca="1">IF(ROWS($1:62)&gt;COUNT(Dong2),"",IF(AND(IF($M$9="Q11",RIGHT(OFFSET(TH!G$1,SMALL(Dong2,ROWS($1:62)),),3)=$M$9,RIGHT(OFFSET(TH!G$1,SMALL(Dong2,ROWS($1:62)),),2)=$M$9),OFFSET(TH!O$1,SMALL(Dong2,ROWS($1:62)),)=$I$6),IF($I$6="1121",OFFSET(TH!M$1,SMALL(Dong2,ROWS($1:62)),),OFFSET(TH!K$1,SMALL(Dong2,ROWS($1:62)),)),0))</f>
        <v>1651820</v>
      </c>
      <c r="H73" s="947">
        <f t="shared" ca="1" si="0"/>
        <v>446583630</v>
      </c>
      <c r="I73" s="947"/>
    </row>
    <row r="74" spans="1:9" s="191" customFormat="1" ht="20.25" customHeight="1">
      <c r="A74" s="202">
        <f ca="1">IF(ROWS($1:63)&gt;COUNT(Dong2),"",OFFSET(TH!C$1,SMALL(Dong2,ROWS($1:63)),))</f>
        <v>42538</v>
      </c>
      <c r="B74" s="202" t="str">
        <f ca="1">IF(ROWS($1:63)&gt;COUNT(Dong2),"",OFFSET(TH!D$1,SMALL(Dong2,ROWS($1:63)),))</f>
        <v>GBN</v>
      </c>
      <c r="C74" s="202">
        <f ca="1">IF(ROWS($1:63)&gt;COUNT(Dong2),"",OFFSET(TH!E$1,SMALL(Dong2,ROWS($1:63)),))</f>
        <v>42538</v>
      </c>
      <c r="D74" s="382" t="str">
        <f ca="1">IF(ROWS($1:63)&gt;COUNT(Dong2),"",OFFSET(TH!F$1,SMALL(Dong2,ROWS($1:63)),))</f>
        <v>Bán ngoại tệ</v>
      </c>
      <c r="E74" s="202" t="str">
        <f ca="1">IF(ROWS($1:63)&gt;COUNT(Dong2),"",IF(OFFSET(TH!O$1,SMALL(Dong2,ROWS($1:63)),)=$I$6,OFFSET(TH!N$1,SMALL(Dong2,ROWS($1:63)),),OFFSET(TH!O$1,SMALL(Dong2,ROWS($1:63)),)))</f>
        <v>1122</v>
      </c>
      <c r="F74" s="1173">
        <f ca="1">IF(ROWS($1:63)&gt;COUNT(Dong2),"",IF(AND(IF($M$9="Q11",LEFT(OFFSET(TH!G$1,SMALL(Dong2,ROWS($1:63)),),3)=$M$9,LEFT(OFFSET(TH!G$1,SMALL(Dong2,ROWS($1:63)),),2)=$M$9),OFFSET(TH!N$1,SMALL(Dong2,ROWS($1:63)),)=$I$6),IF($I$6="1121",OFFSET(TH!M$1,SMALL(Dong2,ROWS($1:63)),),OFFSET(TH!K$1,SMALL(Dong2,ROWS($1:63)),)),0))</f>
        <v>1697436000</v>
      </c>
      <c r="G74" s="1173">
        <f ca="1">IF(ROWS($1:63)&gt;COUNT(Dong2),"",IF(AND(IF($M$9="Q11",RIGHT(OFFSET(TH!G$1,SMALL(Dong2,ROWS($1:63)),),3)=$M$9,RIGHT(OFFSET(TH!G$1,SMALL(Dong2,ROWS($1:63)),),2)=$M$9),OFFSET(TH!O$1,SMALL(Dong2,ROWS($1:63)),)=$I$6),IF($I$6="1121",OFFSET(TH!M$1,SMALL(Dong2,ROWS($1:63)),),OFFSET(TH!K$1,SMALL(Dong2,ROWS($1:63)),)),0))</f>
        <v>0</v>
      </c>
      <c r="H74" s="947">
        <f t="shared" ca="1" si="0"/>
        <v>2144019630</v>
      </c>
      <c r="I74" s="947"/>
    </row>
    <row r="75" spans="1:9" s="191" customFormat="1" ht="20.25" customHeight="1">
      <c r="A75" s="202">
        <f ca="1">IF(ROWS($1:64)&gt;COUNT(Dong2),"",OFFSET(TH!C$1,SMALL(Dong2,ROWS($1:64)),))</f>
        <v>42538</v>
      </c>
      <c r="B75" s="202" t="str">
        <f ca="1">IF(ROWS($1:64)&gt;COUNT(Dong2),"",OFFSET(TH!D$1,SMALL(Dong2,ROWS($1:64)),))</f>
        <v>GBN</v>
      </c>
      <c r="C75" s="202">
        <f ca="1">IF(ROWS($1:64)&gt;COUNT(Dong2),"",OFFSET(TH!E$1,SMALL(Dong2,ROWS($1:64)),))</f>
        <v>42538</v>
      </c>
      <c r="D75" s="382" t="str">
        <f ca="1">IF(ROWS($1:64)&gt;COUNT(Dong2),"",OFFSET(TH!F$1,SMALL(Dong2,ROWS($1:64)),))</f>
        <v>Phí thanh toán nhờ thu</v>
      </c>
      <c r="E75" s="202" t="str">
        <f ca="1">IF(ROWS($1:64)&gt;COUNT(Dong2),"",IF(OFFSET(TH!O$1,SMALL(Dong2,ROWS($1:64)),)=$I$6,OFFSET(TH!N$1,SMALL(Dong2,ROWS($1:64)),),OFFSET(TH!O$1,SMALL(Dong2,ROWS($1:64)),)))</f>
        <v>642</v>
      </c>
      <c r="F75" s="1173">
        <f ca="1">IF(ROWS($1:64)&gt;COUNT(Dong2),"",IF(AND(IF($M$9="Q11",LEFT(OFFSET(TH!G$1,SMALL(Dong2,ROWS($1:64)),),3)=$M$9,LEFT(OFFSET(TH!G$1,SMALL(Dong2,ROWS($1:64)),),2)=$M$9),OFFSET(TH!N$1,SMALL(Dong2,ROWS($1:64)),)=$I$6),IF($I$6="1121",OFFSET(TH!M$1,SMALL(Dong2,ROWS($1:64)),),OFFSET(TH!K$1,SMALL(Dong2,ROWS($1:64)),)),0))</f>
        <v>0</v>
      </c>
      <c r="G75" s="1173">
        <f ca="1">IF(ROWS($1:64)&gt;COUNT(Dong2),"",IF(AND(IF($M$9="Q11",RIGHT(OFFSET(TH!G$1,SMALL(Dong2,ROWS($1:64)),),3)=$M$9,RIGHT(OFFSET(TH!G$1,SMALL(Dong2,ROWS($1:64)),),2)=$M$9),OFFSET(TH!O$1,SMALL(Dong2,ROWS($1:64)),)=$I$6),IF($I$6="1121",OFFSET(TH!M$1,SMALL(Dong2,ROWS($1:64)),),OFFSET(TH!K$1,SMALL(Dong2,ROWS($1:64)),)),0))</f>
        <v>446800</v>
      </c>
      <c r="H75" s="947">
        <f t="shared" ca="1" si="0"/>
        <v>2143572830</v>
      </c>
      <c r="I75" s="947"/>
    </row>
    <row r="76" spans="1:9" s="191" customFormat="1" ht="20.25" customHeight="1">
      <c r="A76" s="202">
        <f ca="1">IF(ROWS($1:65)&gt;COUNT(Dong2),"",OFFSET(TH!C$1,SMALL(Dong2,ROWS($1:65)),))</f>
        <v>42538</v>
      </c>
      <c r="B76" s="202" t="str">
        <f ca="1">IF(ROWS($1:65)&gt;COUNT(Dong2),"",OFFSET(TH!D$1,SMALL(Dong2,ROWS($1:65)),))</f>
        <v>GBN</v>
      </c>
      <c r="C76" s="202">
        <f ca="1">IF(ROWS($1:65)&gt;COUNT(Dong2),"",OFFSET(TH!E$1,SMALL(Dong2,ROWS($1:65)),))</f>
        <v>42538</v>
      </c>
      <c r="D76" s="382" t="str">
        <f ca="1">IF(ROWS($1:65)&gt;COUNT(Dong2),"",OFFSET(TH!F$1,SMALL(Dong2,ROWS($1:65)),))</f>
        <v>VAT Phí thanh toán nhờ thu</v>
      </c>
      <c r="E76" s="202" t="str">
        <f ca="1">IF(ROWS($1:65)&gt;COUNT(Dong2),"",IF(OFFSET(TH!O$1,SMALL(Dong2,ROWS($1:65)),)=$I$6,OFFSET(TH!N$1,SMALL(Dong2,ROWS($1:65)),),OFFSET(TH!O$1,SMALL(Dong2,ROWS($1:65)),)))</f>
        <v>1331</v>
      </c>
      <c r="F76" s="1173">
        <f ca="1">IF(ROWS($1:65)&gt;COUNT(Dong2),"",IF(AND(IF($M$9="Q11",LEFT(OFFSET(TH!G$1,SMALL(Dong2,ROWS($1:65)),),3)=$M$9,LEFT(OFFSET(TH!G$1,SMALL(Dong2,ROWS($1:65)),),2)=$M$9),OFFSET(TH!N$1,SMALL(Dong2,ROWS($1:65)),)=$I$6),IF($I$6="1121",OFFSET(TH!M$1,SMALL(Dong2,ROWS($1:65)),),OFFSET(TH!K$1,SMALL(Dong2,ROWS($1:65)),)),0))</f>
        <v>0</v>
      </c>
      <c r="G76" s="1173">
        <f ca="1">IF(ROWS($1:65)&gt;COUNT(Dong2),"",IF(AND(IF($M$9="Q11",RIGHT(OFFSET(TH!G$1,SMALL(Dong2,ROWS($1:65)),),3)=$M$9,RIGHT(OFFSET(TH!G$1,SMALL(Dong2,ROWS($1:65)),),2)=$M$9),OFFSET(TH!O$1,SMALL(Dong2,ROWS($1:65)),)=$I$6),IF($I$6="1121",OFFSET(TH!M$1,SMALL(Dong2,ROWS($1:65)),),OFFSET(TH!K$1,SMALL(Dong2,ROWS($1:65)),)),0))</f>
        <v>44680</v>
      </c>
      <c r="H76" s="947">
        <f t="shared" ca="1" si="0"/>
        <v>2143528150</v>
      </c>
      <c r="I76" s="947"/>
    </row>
    <row r="77" spans="1:9" s="191" customFormat="1" ht="20.25" customHeight="1">
      <c r="A77" s="202">
        <f ca="1">IF(ROWS($1:66)&gt;COUNT(Dong2),"",OFFSET(TH!C$1,SMALL(Dong2,ROWS($1:66)),))</f>
        <v>42538</v>
      </c>
      <c r="B77" s="202" t="str">
        <f ca="1">IF(ROWS($1:66)&gt;COUNT(Dong2),"",OFFSET(TH!D$1,SMALL(Dong2,ROWS($1:66)),))</f>
        <v>GBN</v>
      </c>
      <c r="C77" s="202">
        <f ca="1">IF(ROWS($1:66)&gt;COUNT(Dong2),"",OFFSET(TH!E$1,SMALL(Dong2,ROWS($1:66)),))</f>
        <v>42538</v>
      </c>
      <c r="D77" s="382" t="str">
        <f ca="1">IF(ROWS($1:66)&gt;COUNT(Dong2),"",OFFSET(TH!F$1,SMALL(Dong2,ROWS($1:66)),))</f>
        <v>Ứng vốn Trà Vinh</v>
      </c>
      <c r="E77" s="202" t="str">
        <f ca="1">IF(ROWS($1:66)&gt;COUNT(Dong2),"",IF(OFFSET(TH!O$1,SMALL(Dong2,ROWS($1:66)),)=$I$6,OFFSET(TH!N$1,SMALL(Dong2,ROWS($1:66)),),OFFSET(TH!O$1,SMALL(Dong2,ROWS($1:66)),)))</f>
        <v>1388</v>
      </c>
      <c r="F77" s="1173">
        <f ca="1">IF(ROWS($1:66)&gt;COUNT(Dong2),"",IF(AND(IF($M$9="Q11",LEFT(OFFSET(TH!G$1,SMALL(Dong2,ROWS($1:66)),),3)=$M$9,LEFT(OFFSET(TH!G$1,SMALL(Dong2,ROWS($1:66)),),2)=$M$9),OFFSET(TH!N$1,SMALL(Dong2,ROWS($1:66)),)=$I$6),IF($I$6="1121",OFFSET(TH!M$1,SMALL(Dong2,ROWS($1:66)),),OFFSET(TH!K$1,SMALL(Dong2,ROWS($1:66)),)),0))</f>
        <v>0</v>
      </c>
      <c r="G77" s="1173">
        <f ca="1">IF(ROWS($1:66)&gt;COUNT(Dong2),"",IF(AND(IF($M$9="Q11",RIGHT(OFFSET(TH!G$1,SMALL(Dong2,ROWS($1:66)),),3)=$M$9,RIGHT(OFFSET(TH!G$1,SMALL(Dong2,ROWS($1:66)),),2)=$M$9),OFFSET(TH!O$1,SMALL(Dong2,ROWS($1:66)),)=$I$6),IF($I$6="1121",OFFSET(TH!M$1,SMALL(Dong2,ROWS($1:66)),),OFFSET(TH!K$1,SMALL(Dong2,ROWS($1:66)),)),0))</f>
        <v>1975000000</v>
      </c>
      <c r="H77" s="947">
        <f t="shared" ref="H77:H123" ca="1" si="1">IF(A77&lt;&gt;"",H76+F77-G77,0)</f>
        <v>168528150</v>
      </c>
      <c r="I77" s="947"/>
    </row>
    <row r="78" spans="1:9" s="191" customFormat="1" ht="20.25" customHeight="1">
      <c r="A78" s="202">
        <f ca="1">IF(ROWS($1:67)&gt;COUNT(Dong2),"",OFFSET(TH!C$1,SMALL(Dong2,ROWS($1:67)),))</f>
        <v>42539</v>
      </c>
      <c r="B78" s="202" t="str">
        <f ca="1">IF(ROWS($1:67)&gt;COUNT(Dong2),"",OFFSET(TH!D$1,SMALL(Dong2,ROWS($1:67)),))</f>
        <v>T06</v>
      </c>
      <c r="C78" s="202">
        <f ca="1">IF(ROWS($1:67)&gt;COUNT(Dong2),"",OFFSET(TH!E$1,SMALL(Dong2,ROWS($1:67)),))</f>
        <v>42539</v>
      </c>
      <c r="D78" s="382" t="str">
        <f ca="1">IF(ROWS($1:67)&gt;COUNT(Dong2),"",OFFSET(TH!F$1,SMALL(Dong2,ROWS($1:67)),))</f>
        <v>Rút tiền gửi NH nhập quỹ TM</v>
      </c>
      <c r="E78" s="202" t="str">
        <f ca="1">IF(ROWS($1:67)&gt;COUNT(Dong2),"",IF(OFFSET(TH!O$1,SMALL(Dong2,ROWS($1:67)),)=$I$6,OFFSET(TH!N$1,SMALL(Dong2,ROWS($1:67)),),OFFSET(TH!O$1,SMALL(Dong2,ROWS($1:67)),)))</f>
        <v>1111</v>
      </c>
      <c r="F78" s="1173">
        <f ca="1">IF(ROWS($1:67)&gt;COUNT(Dong2),"",IF(AND(IF($M$9="Q11",LEFT(OFFSET(TH!G$1,SMALL(Dong2,ROWS($1:67)),),3)=$M$9,LEFT(OFFSET(TH!G$1,SMALL(Dong2,ROWS($1:67)),),2)=$M$9),OFFSET(TH!N$1,SMALL(Dong2,ROWS($1:67)),)=$I$6),IF($I$6="1121",OFFSET(TH!M$1,SMALL(Dong2,ROWS($1:67)),),OFFSET(TH!K$1,SMALL(Dong2,ROWS($1:67)),)),0))</f>
        <v>0</v>
      </c>
      <c r="G78" s="1173">
        <f ca="1">IF(ROWS($1:67)&gt;COUNT(Dong2),"",IF(AND(IF($M$9="Q11",RIGHT(OFFSET(TH!G$1,SMALL(Dong2,ROWS($1:67)),),3)=$M$9,RIGHT(OFFSET(TH!G$1,SMALL(Dong2,ROWS($1:67)),),2)=$M$9),OFFSET(TH!O$1,SMALL(Dong2,ROWS($1:67)),)=$I$6),IF($I$6="1121",OFFSET(TH!M$1,SMALL(Dong2,ROWS($1:67)),),OFFSET(TH!K$1,SMALL(Dong2,ROWS($1:67)),)),0))</f>
        <v>160000000</v>
      </c>
      <c r="H78" s="947">
        <f t="shared" ca="1" si="1"/>
        <v>8528150</v>
      </c>
      <c r="I78" s="947"/>
    </row>
    <row r="79" spans="1:9" s="191" customFormat="1" ht="20.25" customHeight="1">
      <c r="A79" s="202">
        <f ca="1">IF(ROWS($1:68)&gt;COUNT(Dong2),"",OFFSET(TH!C$1,SMALL(Dong2,ROWS($1:68)),))</f>
        <v>42539</v>
      </c>
      <c r="B79" s="202" t="str">
        <f ca="1">IF(ROWS($1:68)&gt;COUNT(Dong2),"",OFFSET(TH!D$1,SMALL(Dong2,ROWS($1:68)),))</f>
        <v>GBN</v>
      </c>
      <c r="C79" s="202">
        <f ca="1">IF(ROWS($1:68)&gt;COUNT(Dong2),"",OFFSET(TH!E$1,SMALL(Dong2,ROWS($1:68)),))</f>
        <v>42539</v>
      </c>
      <c r="D79" s="382" t="str">
        <f ca="1">IF(ROWS($1:68)&gt;COUNT(Dong2),"",OFFSET(TH!F$1,SMALL(Dong2,ROWS($1:68)),))</f>
        <v>Q11 - Trả lãi KU 1015LDS201502514</v>
      </c>
      <c r="E79" s="202" t="str">
        <f ca="1">IF(ROWS($1:68)&gt;COUNT(Dong2),"",IF(OFFSET(TH!O$1,SMALL(Dong2,ROWS($1:68)),)=$I$6,OFFSET(TH!N$1,SMALL(Dong2,ROWS($1:68)),),OFFSET(TH!O$1,SMALL(Dong2,ROWS($1:68)),)))</f>
        <v>635</v>
      </c>
      <c r="F79" s="1173">
        <f ca="1">IF(ROWS($1:68)&gt;COUNT(Dong2),"",IF(AND(IF($M$9="Q11",LEFT(OFFSET(TH!G$1,SMALL(Dong2,ROWS($1:68)),),3)=$M$9,LEFT(OFFSET(TH!G$1,SMALL(Dong2,ROWS($1:68)),),2)=$M$9),OFFSET(TH!N$1,SMALL(Dong2,ROWS($1:68)),)=$I$6),IF($I$6="1121",OFFSET(TH!M$1,SMALL(Dong2,ROWS($1:68)),),OFFSET(TH!K$1,SMALL(Dong2,ROWS($1:68)),)),0))</f>
        <v>0</v>
      </c>
      <c r="G79" s="1173">
        <f ca="1">IF(ROWS($1:68)&gt;COUNT(Dong2),"",IF(AND(IF($M$9="Q11",RIGHT(OFFSET(TH!G$1,SMALL(Dong2,ROWS($1:68)),),3)=$M$9,RIGHT(OFFSET(TH!G$1,SMALL(Dong2,ROWS($1:68)),),2)=$M$9),OFFSET(TH!O$1,SMALL(Dong2,ROWS($1:68)),)=$I$6),IF($I$6="1121",OFFSET(TH!M$1,SMALL(Dong2,ROWS($1:68)),),OFFSET(TH!K$1,SMALL(Dong2,ROWS($1:68)),)),0))</f>
        <v>6886975</v>
      </c>
      <c r="H79" s="947">
        <f t="shared" ca="1" si="1"/>
        <v>1641175</v>
      </c>
      <c r="I79" s="947"/>
    </row>
    <row r="80" spans="1:9" s="191" customFormat="1" ht="20.25" customHeight="1">
      <c r="A80" s="202">
        <f ca="1">IF(ROWS($1:69)&gt;COUNT(Dong2),"",OFFSET(TH!C$1,SMALL(Dong2,ROWS($1:69)),))</f>
        <v>42542</v>
      </c>
      <c r="B80" s="202" t="str">
        <f ca="1">IF(ROWS($1:69)&gt;COUNT(Dong2),"",OFFSET(TH!D$1,SMALL(Dong2,ROWS($1:69)),))</f>
        <v>T07</v>
      </c>
      <c r="C80" s="202">
        <f ca="1">IF(ROWS($1:69)&gt;COUNT(Dong2),"",OFFSET(TH!E$1,SMALL(Dong2,ROWS($1:69)),))</f>
        <v>42542</v>
      </c>
      <c r="D80" s="382" t="str">
        <f ca="1">IF(ROWS($1:69)&gt;COUNT(Dong2),"",OFFSET(TH!F$1,SMALL(Dong2,ROWS($1:69)),))</f>
        <v>Rút tiền gửi NH nhập quỹ TM</v>
      </c>
      <c r="E80" s="202" t="str">
        <f ca="1">IF(ROWS($1:69)&gt;COUNT(Dong2),"",IF(OFFSET(TH!O$1,SMALL(Dong2,ROWS($1:69)),)=$I$6,OFFSET(TH!N$1,SMALL(Dong2,ROWS($1:69)),),OFFSET(TH!O$1,SMALL(Dong2,ROWS($1:69)),)))</f>
        <v>1111</v>
      </c>
      <c r="F80" s="1173">
        <f ca="1">IF(ROWS($1:69)&gt;COUNT(Dong2),"",IF(AND(IF($M$9="Q11",LEFT(OFFSET(TH!G$1,SMALL(Dong2,ROWS($1:69)),),3)=$M$9,LEFT(OFFSET(TH!G$1,SMALL(Dong2,ROWS($1:69)),),2)=$M$9),OFFSET(TH!N$1,SMALL(Dong2,ROWS($1:69)),)=$I$6),IF($I$6="1121",OFFSET(TH!M$1,SMALL(Dong2,ROWS($1:69)),),OFFSET(TH!K$1,SMALL(Dong2,ROWS($1:69)),)),0))</f>
        <v>0</v>
      </c>
      <c r="G80" s="1173">
        <f ca="1">IF(ROWS($1:69)&gt;COUNT(Dong2),"",IF(AND(IF($M$9="Q11",RIGHT(OFFSET(TH!G$1,SMALL(Dong2,ROWS($1:69)),),3)=$M$9,RIGHT(OFFSET(TH!G$1,SMALL(Dong2,ROWS($1:69)),),2)=$M$9),OFFSET(TH!O$1,SMALL(Dong2,ROWS($1:69)),)=$I$6),IF($I$6="1121",OFFSET(TH!M$1,SMALL(Dong2,ROWS($1:69)),),OFFSET(TH!K$1,SMALL(Dong2,ROWS($1:69)),)),0))</f>
        <v>1700000000</v>
      </c>
      <c r="H80" s="947">
        <f t="shared" ca="1" si="1"/>
        <v>-1698358825</v>
      </c>
      <c r="I80" s="947"/>
    </row>
    <row r="81" spans="1:9" s="191" customFormat="1" ht="20.25" customHeight="1">
      <c r="A81" s="202">
        <f ca="1">IF(ROWS($1:70)&gt;COUNT(Dong2),"",OFFSET(TH!C$1,SMALL(Dong2,ROWS($1:70)),))</f>
        <v>42542</v>
      </c>
      <c r="B81" s="202" t="str">
        <f ca="1">IF(ROWS($1:70)&gt;COUNT(Dong2),"",OFFSET(TH!D$1,SMALL(Dong2,ROWS($1:70)),))</f>
        <v>GBN</v>
      </c>
      <c r="C81" s="202">
        <f ca="1">IF(ROWS($1:70)&gt;COUNT(Dong2),"",OFFSET(TH!E$1,SMALL(Dong2,ROWS($1:70)),))</f>
        <v>42542</v>
      </c>
      <c r="D81" s="382" t="str">
        <f ca="1">IF(ROWS($1:70)&gt;COUNT(Dong2),"",OFFSET(TH!F$1,SMALL(Dong2,ROWS($1:70)),))</f>
        <v>Bán ngoại tệ</v>
      </c>
      <c r="E81" s="202" t="str">
        <f ca="1">IF(ROWS($1:70)&gt;COUNT(Dong2),"",IF(OFFSET(TH!O$1,SMALL(Dong2,ROWS($1:70)),)=$I$6,OFFSET(TH!N$1,SMALL(Dong2,ROWS($1:70)),),OFFSET(TH!O$1,SMALL(Dong2,ROWS($1:70)),)))</f>
        <v>1122</v>
      </c>
      <c r="F81" s="1173">
        <f ca="1">IF(ROWS($1:70)&gt;COUNT(Dong2),"",IF(AND(IF($M$9="Q11",LEFT(OFFSET(TH!G$1,SMALL(Dong2,ROWS($1:70)),),3)=$M$9,LEFT(OFFSET(TH!G$1,SMALL(Dong2,ROWS($1:70)),),2)=$M$9),OFFSET(TH!N$1,SMALL(Dong2,ROWS($1:70)),)=$I$6),IF($I$6="1121",OFFSET(TH!M$1,SMALL(Dong2,ROWS($1:70)),),OFFSET(TH!K$1,SMALL(Dong2,ROWS($1:70)),)),0))</f>
        <v>1739400000</v>
      </c>
      <c r="G81" s="1173">
        <f ca="1">IF(ROWS($1:70)&gt;COUNT(Dong2),"",IF(AND(IF($M$9="Q11",RIGHT(OFFSET(TH!G$1,SMALL(Dong2,ROWS($1:70)),),3)=$M$9,RIGHT(OFFSET(TH!G$1,SMALL(Dong2,ROWS($1:70)),),2)=$M$9),OFFSET(TH!O$1,SMALL(Dong2,ROWS($1:70)),)=$I$6),IF($I$6="1121",OFFSET(TH!M$1,SMALL(Dong2,ROWS($1:70)),),OFFSET(TH!K$1,SMALL(Dong2,ROWS($1:70)),)),0))</f>
        <v>0</v>
      </c>
      <c r="H81" s="947">
        <f t="shared" ca="1" si="1"/>
        <v>41041175</v>
      </c>
      <c r="I81" s="947"/>
    </row>
    <row r="82" spans="1:9" s="191" customFormat="1" ht="20.25" customHeight="1">
      <c r="A82" s="202">
        <f ca="1">IF(ROWS($1:71)&gt;COUNT(Dong2),"",OFFSET(TH!C$1,SMALL(Dong2,ROWS($1:71)),))</f>
        <v>42543</v>
      </c>
      <c r="B82" s="202" t="str">
        <f ca="1">IF(ROWS($1:71)&gt;COUNT(Dong2),"",OFFSET(TH!D$1,SMALL(Dong2,ROWS($1:71)),))</f>
        <v>GBN</v>
      </c>
      <c r="C82" s="202">
        <f ca="1">IF(ROWS($1:71)&gt;COUNT(Dong2),"",OFFSET(TH!E$1,SMALL(Dong2,ROWS($1:71)),))</f>
        <v>42543</v>
      </c>
      <c r="D82" s="382" t="str">
        <f ca="1">IF(ROWS($1:71)&gt;COUNT(Dong2),"",OFFSET(TH!F$1,SMALL(Dong2,ROWS($1:71)),))</f>
        <v>Thanh toán tiền điện kỳ 1 T6/2016</v>
      </c>
      <c r="E82" s="202" t="str">
        <f ca="1">IF(ROWS($1:71)&gt;COUNT(Dong2),"",IF(OFFSET(TH!O$1,SMALL(Dong2,ROWS($1:71)),)=$I$6,OFFSET(TH!N$1,SMALL(Dong2,ROWS($1:71)),),OFFSET(TH!O$1,SMALL(Dong2,ROWS($1:71)),)))</f>
        <v>331</v>
      </c>
      <c r="F82" s="1173">
        <f ca="1">IF(ROWS($1:71)&gt;COUNT(Dong2),"",IF(AND(IF($M$9="Q11",LEFT(OFFSET(TH!G$1,SMALL(Dong2,ROWS($1:71)),),3)=$M$9,LEFT(OFFSET(TH!G$1,SMALL(Dong2,ROWS($1:71)),),2)=$M$9),OFFSET(TH!N$1,SMALL(Dong2,ROWS($1:71)),)=$I$6),IF($I$6="1121",OFFSET(TH!M$1,SMALL(Dong2,ROWS($1:71)),),OFFSET(TH!K$1,SMALL(Dong2,ROWS($1:71)),)),0))</f>
        <v>0</v>
      </c>
      <c r="G82" s="1173">
        <f ca="1">IF(ROWS($1:71)&gt;COUNT(Dong2),"",IF(AND(IF($M$9="Q11",RIGHT(OFFSET(TH!G$1,SMALL(Dong2,ROWS($1:71)),),3)=$M$9,RIGHT(OFFSET(TH!G$1,SMALL(Dong2,ROWS($1:71)),),2)=$M$9),OFFSET(TH!O$1,SMALL(Dong2,ROWS($1:71)),)=$I$6),IF($I$6="1121",OFFSET(TH!M$1,SMALL(Dong2,ROWS($1:71)),),OFFSET(TH!K$1,SMALL(Dong2,ROWS($1:71)),)),0))</f>
        <v>36668390</v>
      </c>
      <c r="H82" s="947">
        <f t="shared" ca="1" si="1"/>
        <v>4372785</v>
      </c>
      <c r="I82" s="947"/>
    </row>
    <row r="83" spans="1:9" s="191" customFormat="1" ht="20.25" customHeight="1">
      <c r="A83" s="202">
        <f ca="1">IF(ROWS($1:72)&gt;COUNT(Dong2),"",OFFSET(TH!C$1,SMALL(Dong2,ROWS($1:72)),))</f>
        <v>42543</v>
      </c>
      <c r="B83" s="202" t="str">
        <f ca="1">IF(ROWS($1:72)&gt;COUNT(Dong2),"",OFFSET(TH!D$1,SMALL(Dong2,ROWS($1:72)),))</f>
        <v>GBN</v>
      </c>
      <c r="C83" s="202">
        <f ca="1">IF(ROWS($1:72)&gt;COUNT(Dong2),"",OFFSET(TH!E$1,SMALL(Dong2,ROWS($1:72)),))</f>
        <v>42543</v>
      </c>
      <c r="D83" s="382" t="str">
        <f ca="1">IF(ROWS($1:72)&gt;COUNT(Dong2),"",OFFSET(TH!F$1,SMALL(Dong2,ROWS($1:72)),))</f>
        <v>Phí dịch vụ</v>
      </c>
      <c r="E83" s="202" t="str">
        <f ca="1">IF(ROWS($1:72)&gt;COUNT(Dong2),"",IF(OFFSET(TH!O$1,SMALL(Dong2,ROWS($1:72)),)=$I$6,OFFSET(TH!N$1,SMALL(Dong2,ROWS($1:72)),),OFFSET(TH!O$1,SMALL(Dong2,ROWS($1:72)),)))</f>
        <v>642</v>
      </c>
      <c r="F83" s="1173">
        <f ca="1">IF(ROWS($1:72)&gt;COUNT(Dong2),"",IF(AND(IF($M$9="Q11",LEFT(OFFSET(TH!G$1,SMALL(Dong2,ROWS($1:72)),),3)=$M$9,LEFT(OFFSET(TH!G$1,SMALL(Dong2,ROWS($1:72)),),2)=$M$9),OFFSET(TH!N$1,SMALL(Dong2,ROWS($1:72)),)=$I$6),IF($I$6="1121",OFFSET(TH!M$1,SMALL(Dong2,ROWS($1:72)),),OFFSET(TH!K$1,SMALL(Dong2,ROWS($1:72)),)),0))</f>
        <v>0</v>
      </c>
      <c r="G83" s="1173">
        <f ca="1">IF(ROWS($1:72)&gt;COUNT(Dong2),"",IF(AND(IF($M$9="Q11",RIGHT(OFFSET(TH!G$1,SMALL(Dong2,ROWS($1:72)),),3)=$M$9,RIGHT(OFFSET(TH!G$1,SMALL(Dong2,ROWS($1:72)),),2)=$M$9),OFFSET(TH!O$1,SMALL(Dong2,ROWS($1:72)),)=$I$6),IF($I$6="1121",OFFSET(TH!M$1,SMALL(Dong2,ROWS($1:72)),),OFFSET(TH!K$1,SMALL(Dong2,ROWS($1:72)),)),0))</f>
        <v>25000</v>
      </c>
      <c r="H83" s="947">
        <f t="shared" ca="1" si="1"/>
        <v>4347785</v>
      </c>
      <c r="I83" s="947"/>
    </row>
    <row r="84" spans="1:9" s="191" customFormat="1" ht="20.25" customHeight="1">
      <c r="A84" s="202">
        <f ca="1">IF(ROWS($1:73)&gt;COUNT(Dong2),"",OFFSET(TH!C$1,SMALL(Dong2,ROWS($1:73)),))</f>
        <v>42543</v>
      </c>
      <c r="B84" s="202" t="str">
        <f ca="1">IF(ROWS($1:73)&gt;COUNT(Dong2),"",OFFSET(TH!D$1,SMALL(Dong2,ROWS($1:73)),))</f>
        <v>GBN</v>
      </c>
      <c r="C84" s="202">
        <f ca="1">IF(ROWS($1:73)&gt;COUNT(Dong2),"",OFFSET(TH!E$1,SMALL(Dong2,ROWS($1:73)),))</f>
        <v>42543</v>
      </c>
      <c r="D84" s="382" t="str">
        <f ca="1">IF(ROWS($1:73)&gt;COUNT(Dong2),"",OFFSET(TH!F$1,SMALL(Dong2,ROWS($1:73)),))</f>
        <v>VAT Phí dịch vụ</v>
      </c>
      <c r="E84" s="202" t="str">
        <f ca="1">IF(ROWS($1:73)&gt;COUNT(Dong2),"",IF(OFFSET(TH!O$1,SMALL(Dong2,ROWS($1:73)),)=$I$6,OFFSET(TH!N$1,SMALL(Dong2,ROWS($1:73)),),OFFSET(TH!O$1,SMALL(Dong2,ROWS($1:73)),)))</f>
        <v>1331</v>
      </c>
      <c r="F84" s="1173">
        <f ca="1">IF(ROWS($1:73)&gt;COUNT(Dong2),"",IF(AND(IF($M$9="Q11",LEFT(OFFSET(TH!G$1,SMALL(Dong2,ROWS($1:73)),),3)=$M$9,LEFT(OFFSET(TH!G$1,SMALL(Dong2,ROWS($1:73)),),2)=$M$9),OFFSET(TH!N$1,SMALL(Dong2,ROWS($1:73)),)=$I$6),IF($I$6="1121",OFFSET(TH!M$1,SMALL(Dong2,ROWS($1:73)),),OFFSET(TH!K$1,SMALL(Dong2,ROWS($1:73)),)),0))</f>
        <v>0</v>
      </c>
      <c r="G84" s="1173">
        <f ca="1">IF(ROWS($1:73)&gt;COUNT(Dong2),"",IF(AND(IF($M$9="Q11",RIGHT(OFFSET(TH!G$1,SMALL(Dong2,ROWS($1:73)),),3)=$M$9,RIGHT(OFFSET(TH!G$1,SMALL(Dong2,ROWS($1:73)),),2)=$M$9),OFFSET(TH!O$1,SMALL(Dong2,ROWS($1:73)),)=$I$6),IF($I$6="1121",OFFSET(TH!M$1,SMALL(Dong2,ROWS($1:73)),),OFFSET(TH!K$1,SMALL(Dong2,ROWS($1:73)),)),0))</f>
        <v>2500</v>
      </c>
      <c r="H84" s="947">
        <f t="shared" ca="1" si="1"/>
        <v>4345285</v>
      </c>
      <c r="I84" s="947"/>
    </row>
    <row r="85" spans="1:9" s="191" customFormat="1" ht="20.25" customHeight="1">
      <c r="A85" s="202">
        <f ca="1">IF(ROWS($1:74)&gt;COUNT(Dong2),"",OFFSET(TH!C$1,SMALL(Dong2,ROWS($1:74)),))</f>
        <v>42543</v>
      </c>
      <c r="B85" s="202" t="str">
        <f ca="1">IF(ROWS($1:74)&gt;COUNT(Dong2),"",OFFSET(TH!D$1,SMALL(Dong2,ROWS($1:74)),))</f>
        <v>GBC</v>
      </c>
      <c r="C85" s="202">
        <f ca="1">IF(ROWS($1:74)&gt;COUNT(Dong2),"",OFFSET(TH!E$1,SMALL(Dong2,ROWS($1:74)),))</f>
        <v>42543</v>
      </c>
      <c r="D85" s="382" t="str">
        <f ca="1">IF(ROWS($1:74)&gt;COUNT(Dong2),"",OFFSET(TH!F$1,SMALL(Dong2,ROWS($1:74)),))</f>
        <v xml:space="preserve">Hoàn vốn </v>
      </c>
      <c r="E85" s="202" t="str">
        <f ca="1">IF(ROWS($1:74)&gt;COUNT(Dong2),"",IF(OFFSET(TH!O$1,SMALL(Dong2,ROWS($1:74)),)=$I$6,OFFSET(TH!N$1,SMALL(Dong2,ROWS($1:74)),),OFFSET(TH!O$1,SMALL(Dong2,ROWS($1:74)),)))</f>
        <v>1388</v>
      </c>
      <c r="F85" s="1173">
        <f ca="1">IF(ROWS($1:74)&gt;COUNT(Dong2),"",IF(AND(IF($M$9="Q11",LEFT(OFFSET(TH!G$1,SMALL(Dong2,ROWS($1:74)),),3)=$M$9,LEFT(OFFSET(TH!G$1,SMALL(Dong2,ROWS($1:74)),),2)=$M$9),OFFSET(TH!N$1,SMALL(Dong2,ROWS($1:74)),)=$I$6),IF($I$6="1121",OFFSET(TH!M$1,SMALL(Dong2,ROWS($1:74)),),OFFSET(TH!K$1,SMALL(Dong2,ROWS($1:74)),)),0))</f>
        <v>7000000</v>
      </c>
      <c r="G85" s="1173">
        <f ca="1">IF(ROWS($1:74)&gt;COUNT(Dong2),"",IF(AND(IF($M$9="Q11",RIGHT(OFFSET(TH!G$1,SMALL(Dong2,ROWS($1:74)),),3)=$M$9,RIGHT(OFFSET(TH!G$1,SMALL(Dong2,ROWS($1:74)),),2)=$M$9),OFFSET(TH!O$1,SMALL(Dong2,ROWS($1:74)),)=$I$6),IF($I$6="1121",OFFSET(TH!M$1,SMALL(Dong2,ROWS($1:74)),),OFFSET(TH!K$1,SMALL(Dong2,ROWS($1:74)),)),0))</f>
        <v>0</v>
      </c>
      <c r="H85" s="947">
        <f t="shared" ca="1" si="1"/>
        <v>11345285</v>
      </c>
      <c r="I85" s="947"/>
    </row>
    <row r="86" spans="1:9" s="191" customFormat="1" ht="20.25" customHeight="1">
      <c r="A86" s="202">
        <f ca="1">IF(ROWS($1:75)&gt;COUNT(Dong2),"",OFFSET(TH!C$1,SMALL(Dong2,ROWS($1:75)),))</f>
        <v>42543</v>
      </c>
      <c r="B86" s="202" t="str">
        <f ca="1">IF(ROWS($1:75)&gt;COUNT(Dong2),"",OFFSET(TH!D$1,SMALL(Dong2,ROWS($1:75)),))</f>
        <v>GBN</v>
      </c>
      <c r="C86" s="202">
        <f ca="1">IF(ROWS($1:75)&gt;COUNT(Dong2),"",OFFSET(TH!E$1,SMALL(Dong2,ROWS($1:75)),))</f>
        <v>42543</v>
      </c>
      <c r="D86" s="382" t="str">
        <f ca="1">IF(ROWS($1:75)&gt;COUNT(Dong2),"",OFFSET(TH!F$1,SMALL(Dong2,ROWS($1:75)),))</f>
        <v>Q11 - Trả lãi KU 1015LDS201000102</v>
      </c>
      <c r="E86" s="202" t="str">
        <f ca="1">IF(ROWS($1:75)&gt;COUNT(Dong2),"",IF(OFFSET(TH!O$1,SMALL(Dong2,ROWS($1:75)),)=$I$6,OFFSET(TH!N$1,SMALL(Dong2,ROWS($1:75)),),OFFSET(TH!O$1,SMALL(Dong2,ROWS($1:75)),)))</f>
        <v>635</v>
      </c>
      <c r="F86" s="1173">
        <f ca="1">IF(ROWS($1:75)&gt;COUNT(Dong2),"",IF(AND(IF($M$9="Q11",LEFT(OFFSET(TH!G$1,SMALL(Dong2,ROWS($1:75)),),3)=$M$9,LEFT(OFFSET(TH!G$1,SMALL(Dong2,ROWS($1:75)),),2)=$M$9),OFFSET(TH!N$1,SMALL(Dong2,ROWS($1:75)),)=$I$6),IF($I$6="1121",OFFSET(TH!M$1,SMALL(Dong2,ROWS($1:75)),),OFFSET(TH!K$1,SMALL(Dong2,ROWS($1:75)),)),0))</f>
        <v>0</v>
      </c>
      <c r="G86" s="1173">
        <f ca="1">IF(ROWS($1:75)&gt;COUNT(Dong2),"",IF(AND(IF($M$9="Q11",RIGHT(OFFSET(TH!G$1,SMALL(Dong2,ROWS($1:75)),),3)=$M$9,RIGHT(OFFSET(TH!G$1,SMALL(Dong2,ROWS($1:75)),),2)=$M$9),OFFSET(TH!O$1,SMALL(Dong2,ROWS($1:75)),)=$I$6),IF($I$6="1121",OFFSET(TH!M$1,SMALL(Dong2,ROWS($1:75)),),OFFSET(TH!K$1,SMALL(Dong2,ROWS($1:75)),)),0))</f>
        <v>621444</v>
      </c>
      <c r="H86" s="947">
        <f t="shared" ca="1" si="1"/>
        <v>10723841</v>
      </c>
      <c r="I86" s="947"/>
    </row>
    <row r="87" spans="1:9" s="191" customFormat="1" ht="20.25" customHeight="1">
      <c r="A87" s="202">
        <f ca="1">IF(ROWS($1:76)&gt;COUNT(Dong2),"",OFFSET(TH!C$1,SMALL(Dong2,ROWS($1:76)),))</f>
        <v>42543</v>
      </c>
      <c r="B87" s="202" t="str">
        <f ca="1">IF(ROWS($1:76)&gt;COUNT(Dong2),"",OFFSET(TH!D$1,SMALL(Dong2,ROWS($1:76)),))</f>
        <v>GBN</v>
      </c>
      <c r="C87" s="202">
        <f ca="1">IF(ROWS($1:76)&gt;COUNT(Dong2),"",OFFSET(TH!E$1,SMALL(Dong2,ROWS($1:76)),))</f>
        <v>42543</v>
      </c>
      <c r="D87" s="382" t="str">
        <f ca="1">IF(ROWS($1:76)&gt;COUNT(Dong2),"",OFFSET(TH!F$1,SMALL(Dong2,ROWS($1:76)),))</f>
        <v>Q11 - Trả lãi KU 1015LDS201100376</v>
      </c>
      <c r="E87" s="202" t="str">
        <f ca="1">IF(ROWS($1:76)&gt;COUNT(Dong2),"",IF(OFFSET(TH!O$1,SMALL(Dong2,ROWS($1:76)),)=$I$6,OFFSET(TH!N$1,SMALL(Dong2,ROWS($1:76)),),OFFSET(TH!O$1,SMALL(Dong2,ROWS($1:76)),)))</f>
        <v>635</v>
      </c>
      <c r="F87" s="1173">
        <f ca="1">IF(ROWS($1:76)&gt;COUNT(Dong2),"",IF(AND(IF($M$9="Q11",LEFT(OFFSET(TH!G$1,SMALL(Dong2,ROWS($1:76)),),3)=$M$9,LEFT(OFFSET(TH!G$1,SMALL(Dong2,ROWS($1:76)),),2)=$M$9),OFFSET(TH!N$1,SMALL(Dong2,ROWS($1:76)),)=$I$6),IF($I$6="1121",OFFSET(TH!M$1,SMALL(Dong2,ROWS($1:76)),),OFFSET(TH!K$1,SMALL(Dong2,ROWS($1:76)),)),0))</f>
        <v>0</v>
      </c>
      <c r="G87" s="1173">
        <f ca="1">IF(ROWS($1:76)&gt;COUNT(Dong2),"",IF(AND(IF($M$9="Q11",RIGHT(OFFSET(TH!G$1,SMALL(Dong2,ROWS($1:76)),),3)=$M$9,RIGHT(OFFSET(TH!G$1,SMALL(Dong2,ROWS($1:76)),),2)=$M$9),OFFSET(TH!O$1,SMALL(Dong2,ROWS($1:76)),)=$I$6),IF($I$6="1121",OFFSET(TH!M$1,SMALL(Dong2,ROWS($1:76)),),OFFSET(TH!K$1,SMALL(Dong2,ROWS($1:76)),)),0))</f>
        <v>1488071</v>
      </c>
      <c r="H87" s="947">
        <f t="shared" ca="1" si="1"/>
        <v>9235770</v>
      </c>
      <c r="I87" s="947"/>
    </row>
    <row r="88" spans="1:9" s="191" customFormat="1" ht="20.25" customHeight="1">
      <c r="A88" s="202">
        <f ca="1">IF(ROWS($1:77)&gt;COUNT(Dong2),"",OFFSET(TH!C$1,SMALL(Dong2,ROWS($1:77)),))</f>
        <v>42543</v>
      </c>
      <c r="B88" s="202" t="str">
        <f ca="1">IF(ROWS($1:77)&gt;COUNT(Dong2),"",OFFSET(TH!D$1,SMALL(Dong2,ROWS($1:77)),))</f>
        <v>GBN</v>
      </c>
      <c r="C88" s="202">
        <f ca="1">IF(ROWS($1:77)&gt;COUNT(Dong2),"",OFFSET(TH!E$1,SMALL(Dong2,ROWS($1:77)),))</f>
        <v>42543</v>
      </c>
      <c r="D88" s="382" t="str">
        <f ca="1">IF(ROWS($1:77)&gt;COUNT(Dong2),"",OFFSET(TH!F$1,SMALL(Dong2,ROWS($1:77)),))</f>
        <v>Q11 - Trả lãi KU 1015LDS201100377</v>
      </c>
      <c r="E88" s="202" t="str">
        <f ca="1">IF(ROWS($1:77)&gt;COUNT(Dong2),"",IF(OFFSET(TH!O$1,SMALL(Dong2,ROWS($1:77)),)=$I$6,OFFSET(TH!N$1,SMALL(Dong2,ROWS($1:77)),),OFFSET(TH!O$1,SMALL(Dong2,ROWS($1:77)),)))</f>
        <v>635</v>
      </c>
      <c r="F88" s="1173">
        <f ca="1">IF(ROWS($1:77)&gt;COUNT(Dong2),"",IF(AND(IF($M$9="Q11",LEFT(OFFSET(TH!G$1,SMALL(Dong2,ROWS($1:77)),),3)=$M$9,LEFT(OFFSET(TH!G$1,SMALL(Dong2,ROWS($1:77)),),2)=$M$9),OFFSET(TH!N$1,SMALL(Dong2,ROWS($1:77)),)=$I$6),IF($I$6="1121",OFFSET(TH!M$1,SMALL(Dong2,ROWS($1:77)),),OFFSET(TH!K$1,SMALL(Dong2,ROWS($1:77)),)),0))</f>
        <v>0</v>
      </c>
      <c r="G88" s="1173">
        <f ca="1">IF(ROWS($1:77)&gt;COUNT(Dong2),"",IF(AND(IF($M$9="Q11",RIGHT(OFFSET(TH!G$1,SMALL(Dong2,ROWS($1:77)),),3)=$M$9,RIGHT(OFFSET(TH!G$1,SMALL(Dong2,ROWS($1:77)),),2)=$M$9),OFFSET(TH!O$1,SMALL(Dong2,ROWS($1:77)),)=$I$6),IF($I$6="1121",OFFSET(TH!M$1,SMALL(Dong2,ROWS($1:77)),),OFFSET(TH!K$1,SMALL(Dong2,ROWS($1:77)),)),0))</f>
        <v>916200</v>
      </c>
      <c r="H88" s="947">
        <f t="shared" ca="1" si="1"/>
        <v>8319570</v>
      </c>
      <c r="I88" s="947"/>
    </row>
    <row r="89" spans="1:9" s="191" customFormat="1" ht="20.25" customHeight="1">
      <c r="A89" s="202">
        <f ca="1">IF(ROWS($1:78)&gt;COUNT(Dong2),"",OFFSET(TH!C$1,SMALL(Dong2,ROWS($1:78)),))</f>
        <v>42543</v>
      </c>
      <c r="B89" s="202" t="str">
        <f ca="1">IF(ROWS($1:78)&gt;COUNT(Dong2),"",OFFSET(TH!D$1,SMALL(Dong2,ROWS($1:78)),))</f>
        <v>GBN</v>
      </c>
      <c r="C89" s="202">
        <f ca="1">IF(ROWS($1:78)&gt;COUNT(Dong2),"",OFFSET(TH!E$1,SMALL(Dong2,ROWS($1:78)),))</f>
        <v>42543</v>
      </c>
      <c r="D89" s="382" t="str">
        <f ca="1">IF(ROWS($1:78)&gt;COUNT(Dong2),"",OFFSET(TH!F$1,SMALL(Dong2,ROWS($1:78)),))</f>
        <v>Q11 - Trả lãi KU 1015LDS201100378</v>
      </c>
      <c r="E89" s="202" t="str">
        <f ca="1">IF(ROWS($1:78)&gt;COUNT(Dong2),"",IF(OFFSET(TH!O$1,SMALL(Dong2,ROWS($1:78)),)=$I$6,OFFSET(TH!N$1,SMALL(Dong2,ROWS($1:78)),),OFFSET(TH!O$1,SMALL(Dong2,ROWS($1:78)),)))</f>
        <v>635</v>
      </c>
      <c r="F89" s="1173">
        <f ca="1">IF(ROWS($1:78)&gt;COUNT(Dong2),"",IF(AND(IF($M$9="Q11",LEFT(OFFSET(TH!G$1,SMALL(Dong2,ROWS($1:78)),),3)=$M$9,LEFT(OFFSET(TH!G$1,SMALL(Dong2,ROWS($1:78)),),2)=$M$9),OFFSET(TH!N$1,SMALL(Dong2,ROWS($1:78)),)=$I$6),IF($I$6="1121",OFFSET(TH!M$1,SMALL(Dong2,ROWS($1:78)),),OFFSET(TH!K$1,SMALL(Dong2,ROWS($1:78)),)),0))</f>
        <v>0</v>
      </c>
      <c r="G89" s="1173">
        <f ca="1">IF(ROWS($1:78)&gt;COUNT(Dong2),"",IF(AND(IF($M$9="Q11",RIGHT(OFFSET(TH!G$1,SMALL(Dong2,ROWS($1:78)),),3)=$M$9,RIGHT(OFFSET(TH!G$1,SMALL(Dong2,ROWS($1:78)),),2)=$M$9),OFFSET(TH!O$1,SMALL(Dong2,ROWS($1:78)),)=$I$6),IF($I$6="1121",OFFSET(TH!M$1,SMALL(Dong2,ROWS($1:78)),),OFFSET(TH!K$1,SMALL(Dong2,ROWS($1:78)),)),0))</f>
        <v>1282635</v>
      </c>
      <c r="H89" s="947">
        <f t="shared" ca="1" si="1"/>
        <v>7036935</v>
      </c>
      <c r="I89" s="947"/>
    </row>
    <row r="90" spans="1:9" s="191" customFormat="1" ht="20.25" customHeight="1">
      <c r="A90" s="202">
        <f ca="1">IF(ROWS($1:79)&gt;COUNT(Dong2),"",OFFSET(TH!C$1,SMALL(Dong2,ROWS($1:79)),))</f>
        <v>42543</v>
      </c>
      <c r="B90" s="202" t="str">
        <f ca="1">IF(ROWS($1:79)&gt;COUNT(Dong2),"",OFFSET(TH!D$1,SMALL(Dong2,ROWS($1:79)),))</f>
        <v>GBN</v>
      </c>
      <c r="C90" s="202">
        <f ca="1">IF(ROWS($1:79)&gt;COUNT(Dong2),"",OFFSET(TH!E$1,SMALL(Dong2,ROWS($1:79)),))</f>
        <v>42543</v>
      </c>
      <c r="D90" s="382" t="str">
        <f ca="1">IF(ROWS($1:79)&gt;COUNT(Dong2),"",OFFSET(TH!F$1,SMALL(Dong2,ROWS($1:79)),))</f>
        <v>Q11 - Trả lãi KU 1015LDS201502514</v>
      </c>
      <c r="E90" s="202" t="str">
        <f ca="1">IF(ROWS($1:79)&gt;COUNT(Dong2),"",IF(OFFSET(TH!O$1,SMALL(Dong2,ROWS($1:79)),)=$I$6,OFFSET(TH!N$1,SMALL(Dong2,ROWS($1:79)),),OFFSET(TH!O$1,SMALL(Dong2,ROWS($1:79)),)))</f>
        <v>635</v>
      </c>
      <c r="F90" s="1173">
        <f ca="1">IF(ROWS($1:79)&gt;COUNT(Dong2),"",IF(AND(IF($M$9="Q11",LEFT(OFFSET(TH!G$1,SMALL(Dong2,ROWS($1:79)),),3)=$M$9,LEFT(OFFSET(TH!G$1,SMALL(Dong2,ROWS($1:79)),),2)=$M$9),OFFSET(TH!N$1,SMALL(Dong2,ROWS($1:79)),)=$I$6),IF($I$6="1121",OFFSET(TH!M$1,SMALL(Dong2,ROWS($1:79)),),OFFSET(TH!K$1,SMALL(Dong2,ROWS($1:79)),)),0))</f>
        <v>0</v>
      </c>
      <c r="G90" s="1173">
        <f ca="1">IF(ROWS($1:79)&gt;COUNT(Dong2),"",IF(AND(IF($M$9="Q11",RIGHT(OFFSET(TH!G$1,SMALL(Dong2,ROWS($1:79)),),3)=$M$9,RIGHT(OFFSET(TH!G$1,SMALL(Dong2,ROWS($1:79)),),2)=$M$9),OFFSET(TH!O$1,SMALL(Dong2,ROWS($1:79)),)=$I$6),IF($I$6="1121",OFFSET(TH!M$1,SMALL(Dong2,ROWS($1:79)),),OFFSET(TH!K$1,SMALL(Dong2,ROWS($1:79)),)),0))</f>
        <v>888287</v>
      </c>
      <c r="H90" s="947">
        <f t="shared" ca="1" si="1"/>
        <v>6148648</v>
      </c>
      <c r="I90" s="947"/>
    </row>
    <row r="91" spans="1:9" s="191" customFormat="1" ht="20.25" customHeight="1">
      <c r="A91" s="202">
        <f ca="1">IF(ROWS($1:80)&gt;COUNT(Dong2),"",OFFSET(TH!C$1,SMALL(Dong2,ROWS($1:80)),))</f>
        <v>42543</v>
      </c>
      <c r="B91" s="202" t="str">
        <f ca="1">IF(ROWS($1:80)&gt;COUNT(Dong2),"",OFFSET(TH!D$1,SMALL(Dong2,ROWS($1:80)),))</f>
        <v>GBN</v>
      </c>
      <c r="C91" s="202">
        <f ca="1">IF(ROWS($1:80)&gt;COUNT(Dong2),"",OFFSET(TH!E$1,SMALL(Dong2,ROWS($1:80)),))</f>
        <v>42543</v>
      </c>
      <c r="D91" s="382" t="str">
        <f ca="1">IF(ROWS($1:80)&gt;COUNT(Dong2),"",OFFSET(TH!F$1,SMALL(Dong2,ROWS($1:80)),))</f>
        <v>Q11 - Trả lãi KU 1015LDS201502531</v>
      </c>
      <c r="E91" s="202" t="str">
        <f ca="1">IF(ROWS($1:80)&gt;COUNT(Dong2),"",IF(OFFSET(TH!O$1,SMALL(Dong2,ROWS($1:80)),)=$I$6,OFFSET(TH!N$1,SMALL(Dong2,ROWS($1:80)),),OFFSET(TH!O$1,SMALL(Dong2,ROWS($1:80)),)))</f>
        <v>635</v>
      </c>
      <c r="F91" s="1173">
        <f ca="1">IF(ROWS($1:80)&gt;COUNT(Dong2),"",IF(AND(IF($M$9="Q11",LEFT(OFFSET(TH!G$1,SMALL(Dong2,ROWS($1:80)),),3)=$M$9,LEFT(OFFSET(TH!G$1,SMALL(Dong2,ROWS($1:80)),),2)=$M$9),OFFSET(TH!N$1,SMALL(Dong2,ROWS($1:80)),)=$I$6),IF($I$6="1121",OFFSET(TH!M$1,SMALL(Dong2,ROWS($1:80)),),OFFSET(TH!K$1,SMALL(Dong2,ROWS($1:80)),)),0))</f>
        <v>0</v>
      </c>
      <c r="G91" s="1173">
        <f ca="1">IF(ROWS($1:80)&gt;COUNT(Dong2),"",IF(AND(IF($M$9="Q11",RIGHT(OFFSET(TH!G$1,SMALL(Dong2,ROWS($1:80)),),3)=$M$9,RIGHT(OFFSET(TH!G$1,SMALL(Dong2,ROWS($1:80)),),2)=$M$9),OFFSET(TH!O$1,SMALL(Dong2,ROWS($1:80)),)=$I$6),IF($I$6="1121",OFFSET(TH!M$1,SMALL(Dong2,ROWS($1:80)),),OFFSET(TH!K$1,SMALL(Dong2,ROWS($1:80)),)),0))</f>
        <v>883375</v>
      </c>
      <c r="H91" s="947">
        <f t="shared" ca="1" si="1"/>
        <v>5265273</v>
      </c>
      <c r="I91" s="947"/>
    </row>
    <row r="92" spans="1:9" s="191" customFormat="1" ht="20.25" customHeight="1">
      <c r="A92" s="202">
        <f ca="1">IF(ROWS($1:81)&gt;COUNT(Dong2),"",OFFSET(TH!C$1,SMALL(Dong2,ROWS($1:81)),))</f>
        <v>42543</v>
      </c>
      <c r="B92" s="202" t="str">
        <f ca="1">IF(ROWS($1:81)&gt;COUNT(Dong2),"",OFFSET(TH!D$1,SMALL(Dong2,ROWS($1:81)),))</f>
        <v>GBN</v>
      </c>
      <c r="C92" s="202">
        <f ca="1">IF(ROWS($1:81)&gt;COUNT(Dong2),"",OFFSET(TH!E$1,SMALL(Dong2,ROWS($1:81)),))</f>
        <v>42543</v>
      </c>
      <c r="D92" s="382" t="str">
        <f ca="1">IF(ROWS($1:81)&gt;COUNT(Dong2),"",OFFSET(TH!F$1,SMALL(Dong2,ROWS($1:81)),))</f>
        <v>Q11 - Trả lãi KU1015LDS201503102</v>
      </c>
      <c r="E92" s="202" t="str">
        <f ca="1">IF(ROWS($1:81)&gt;COUNT(Dong2),"",IF(OFFSET(TH!O$1,SMALL(Dong2,ROWS($1:81)),)=$I$6,OFFSET(TH!N$1,SMALL(Dong2,ROWS($1:81)),),OFFSET(TH!O$1,SMALL(Dong2,ROWS($1:81)),)))</f>
        <v>635</v>
      </c>
      <c r="F92" s="1173">
        <f ca="1">IF(ROWS($1:81)&gt;COUNT(Dong2),"",IF(AND(IF($M$9="Q11",LEFT(OFFSET(TH!G$1,SMALL(Dong2,ROWS($1:81)),),3)=$M$9,LEFT(OFFSET(TH!G$1,SMALL(Dong2,ROWS($1:81)),),2)=$M$9),OFFSET(TH!N$1,SMALL(Dong2,ROWS($1:81)),)=$I$6),IF($I$6="1121",OFFSET(TH!M$1,SMALL(Dong2,ROWS($1:81)),),OFFSET(TH!K$1,SMALL(Dong2,ROWS($1:81)),)),0))</f>
        <v>0</v>
      </c>
      <c r="G92" s="1173">
        <f ca="1">IF(ROWS($1:81)&gt;COUNT(Dong2),"",IF(AND(IF($M$9="Q11",RIGHT(OFFSET(TH!G$1,SMALL(Dong2,ROWS($1:81)),),3)=$M$9,RIGHT(OFFSET(TH!G$1,SMALL(Dong2,ROWS($1:81)),),2)=$M$9),OFFSET(TH!O$1,SMALL(Dong2,ROWS($1:81)),)=$I$6),IF($I$6="1121",OFFSET(TH!M$1,SMALL(Dong2,ROWS($1:81)),),OFFSET(TH!K$1,SMALL(Dong2,ROWS($1:81)),)),0))</f>
        <v>605366</v>
      </c>
      <c r="H92" s="947">
        <f t="shared" ca="1" si="1"/>
        <v>4659907</v>
      </c>
      <c r="I92" s="947"/>
    </row>
    <row r="93" spans="1:9" s="191" customFormat="1" ht="20.25" customHeight="1">
      <c r="A93" s="202">
        <f ca="1">IF(ROWS($1:82)&gt;COUNT(Dong2),"",OFFSET(TH!C$1,SMALL(Dong2,ROWS($1:82)),))</f>
        <v>42543</v>
      </c>
      <c r="B93" s="202" t="str">
        <f ca="1">IF(ROWS($1:82)&gt;COUNT(Dong2),"",OFFSET(TH!D$1,SMALL(Dong2,ROWS($1:82)),))</f>
        <v>GBN</v>
      </c>
      <c r="C93" s="202">
        <f ca="1">IF(ROWS($1:82)&gt;COUNT(Dong2),"",OFFSET(TH!E$1,SMALL(Dong2,ROWS($1:82)),))</f>
        <v>42543</v>
      </c>
      <c r="D93" s="382" t="str">
        <f ca="1">IF(ROWS($1:82)&gt;COUNT(Dong2),"",OFFSET(TH!F$1,SMALL(Dong2,ROWS($1:82)),))</f>
        <v>Q11 - Trả lãi KU 1015LDS201503206</v>
      </c>
      <c r="E93" s="202" t="str">
        <f ca="1">IF(ROWS($1:82)&gt;COUNT(Dong2),"",IF(OFFSET(TH!O$1,SMALL(Dong2,ROWS($1:82)),)=$I$6,OFFSET(TH!N$1,SMALL(Dong2,ROWS($1:82)),),OFFSET(TH!O$1,SMALL(Dong2,ROWS($1:82)),)))</f>
        <v>635</v>
      </c>
      <c r="F93" s="1173">
        <f ca="1">IF(ROWS($1:82)&gt;COUNT(Dong2),"",IF(AND(IF($M$9="Q11",LEFT(OFFSET(TH!G$1,SMALL(Dong2,ROWS($1:82)),),3)=$M$9,LEFT(OFFSET(TH!G$1,SMALL(Dong2,ROWS($1:82)),),2)=$M$9),OFFSET(TH!N$1,SMALL(Dong2,ROWS($1:82)),)=$I$6),IF($I$6="1121",OFFSET(TH!M$1,SMALL(Dong2,ROWS($1:82)),),OFFSET(TH!K$1,SMALL(Dong2,ROWS($1:82)),)),0))</f>
        <v>0</v>
      </c>
      <c r="G93" s="1173">
        <f ca="1">IF(ROWS($1:82)&gt;COUNT(Dong2),"",IF(AND(IF($M$9="Q11",RIGHT(OFFSET(TH!G$1,SMALL(Dong2,ROWS($1:82)),),3)=$M$9,RIGHT(OFFSET(TH!G$1,SMALL(Dong2,ROWS($1:82)),),2)=$M$9),OFFSET(TH!O$1,SMALL(Dong2,ROWS($1:82)),)=$I$6),IF($I$6="1121",OFFSET(TH!M$1,SMALL(Dong2,ROWS($1:82)),),OFFSET(TH!K$1,SMALL(Dong2,ROWS($1:82)),)),0))</f>
        <v>883375</v>
      </c>
      <c r="H93" s="947">
        <f t="shared" ca="1" si="1"/>
        <v>3776532</v>
      </c>
      <c r="I93" s="947"/>
    </row>
    <row r="94" spans="1:9" s="191" customFormat="1" ht="20.25" customHeight="1">
      <c r="A94" s="202">
        <f ca="1">IF(ROWS($1:83)&gt;COUNT(Dong2),"",OFFSET(TH!C$1,SMALL(Dong2,ROWS($1:83)),))</f>
        <v>42543</v>
      </c>
      <c r="B94" s="202" t="str">
        <f ca="1">IF(ROWS($1:83)&gt;COUNT(Dong2),"",OFFSET(TH!D$1,SMALL(Dong2,ROWS($1:83)),))</f>
        <v>GBN</v>
      </c>
      <c r="C94" s="202">
        <f ca="1">IF(ROWS($1:83)&gt;COUNT(Dong2),"",OFFSET(TH!E$1,SMALL(Dong2,ROWS($1:83)),))</f>
        <v>42543</v>
      </c>
      <c r="D94" s="382" t="str">
        <f ca="1">IF(ROWS($1:83)&gt;COUNT(Dong2),"",OFFSET(TH!F$1,SMALL(Dong2,ROWS($1:83)),))</f>
        <v>Q11 - Trả lãi KU1015LDS201503420</v>
      </c>
      <c r="E94" s="202" t="str">
        <f ca="1">IF(ROWS($1:83)&gt;COUNT(Dong2),"",IF(OFFSET(TH!O$1,SMALL(Dong2,ROWS($1:83)),)=$I$6,OFFSET(TH!N$1,SMALL(Dong2,ROWS($1:83)),),OFFSET(TH!O$1,SMALL(Dong2,ROWS($1:83)),)))</f>
        <v>635</v>
      </c>
      <c r="F94" s="1173">
        <f ca="1">IF(ROWS($1:83)&gt;COUNT(Dong2),"",IF(AND(IF($M$9="Q11",LEFT(OFFSET(TH!G$1,SMALL(Dong2,ROWS($1:83)),),3)=$M$9,LEFT(OFFSET(TH!G$1,SMALL(Dong2,ROWS($1:83)),),2)=$M$9),OFFSET(TH!N$1,SMALL(Dong2,ROWS($1:83)),)=$I$6),IF($I$6="1121",OFFSET(TH!M$1,SMALL(Dong2,ROWS($1:83)),),OFFSET(TH!K$1,SMALL(Dong2,ROWS($1:83)),)),0))</f>
        <v>0</v>
      </c>
      <c r="G94" s="1173">
        <f ca="1">IF(ROWS($1:83)&gt;COUNT(Dong2),"",IF(AND(IF($M$9="Q11",RIGHT(OFFSET(TH!G$1,SMALL(Dong2,ROWS($1:83)),),3)=$M$9,RIGHT(OFFSET(TH!G$1,SMALL(Dong2,ROWS($1:83)),),2)=$M$9),OFFSET(TH!O$1,SMALL(Dong2,ROWS($1:83)),)=$I$6),IF($I$6="1121",OFFSET(TH!M$1,SMALL(Dong2,ROWS($1:83)),),OFFSET(TH!K$1,SMALL(Dong2,ROWS($1:83)),)),0))</f>
        <v>873326</v>
      </c>
      <c r="H94" s="947">
        <f t="shared" ca="1" si="1"/>
        <v>2903206</v>
      </c>
      <c r="I94" s="947"/>
    </row>
    <row r="95" spans="1:9" s="191" customFormat="1" ht="20.25" customHeight="1">
      <c r="A95" s="202">
        <f ca="1">IF(ROWS($1:84)&gt;COUNT(Dong2),"",OFFSET(TH!C$1,SMALL(Dong2,ROWS($1:84)),))</f>
        <v>42543</v>
      </c>
      <c r="B95" s="202" t="str">
        <f ca="1">IF(ROWS($1:84)&gt;COUNT(Dong2),"",OFFSET(TH!D$1,SMALL(Dong2,ROWS($1:84)),))</f>
        <v>GBN</v>
      </c>
      <c r="C95" s="202">
        <f ca="1">IF(ROWS($1:84)&gt;COUNT(Dong2),"",OFFSET(TH!E$1,SMALL(Dong2,ROWS($1:84)),))</f>
        <v>42543</v>
      </c>
      <c r="D95" s="382" t="str">
        <f ca="1">IF(ROWS($1:84)&gt;COUNT(Dong2),"",OFFSET(TH!F$1,SMALL(Dong2,ROWS($1:84)),))</f>
        <v>Q11 - Trả lãi KU 1015LDS201600190</v>
      </c>
      <c r="E95" s="202" t="str">
        <f ca="1">IF(ROWS($1:84)&gt;COUNT(Dong2),"",IF(OFFSET(TH!O$1,SMALL(Dong2,ROWS($1:84)),)=$I$6,OFFSET(TH!N$1,SMALL(Dong2,ROWS($1:84)),),OFFSET(TH!O$1,SMALL(Dong2,ROWS($1:84)),)))</f>
        <v>635</v>
      </c>
      <c r="F95" s="1173">
        <f ca="1">IF(ROWS($1:84)&gt;COUNT(Dong2),"",IF(AND(IF($M$9="Q11",LEFT(OFFSET(TH!G$1,SMALL(Dong2,ROWS($1:84)),),3)=$M$9,LEFT(OFFSET(TH!G$1,SMALL(Dong2,ROWS($1:84)),),2)=$M$9),OFFSET(TH!N$1,SMALL(Dong2,ROWS($1:84)),)=$I$6),IF($I$6="1121",OFFSET(TH!M$1,SMALL(Dong2,ROWS($1:84)),),OFFSET(TH!K$1,SMALL(Dong2,ROWS($1:84)),)),0))</f>
        <v>0</v>
      </c>
      <c r="G95" s="1173">
        <f ca="1">IF(ROWS($1:84)&gt;COUNT(Dong2),"",IF(AND(IF($M$9="Q11",RIGHT(OFFSET(TH!G$1,SMALL(Dong2,ROWS($1:84)),),3)=$M$9,RIGHT(OFFSET(TH!G$1,SMALL(Dong2,ROWS($1:84)),),2)=$M$9),OFFSET(TH!O$1,SMALL(Dong2,ROWS($1:84)),)=$I$6),IF($I$6="1121",OFFSET(TH!M$1,SMALL(Dong2,ROWS($1:84)),),OFFSET(TH!K$1,SMALL(Dong2,ROWS($1:84)),)),0))</f>
        <v>962646</v>
      </c>
      <c r="H95" s="947">
        <f t="shared" ca="1" si="1"/>
        <v>1940560</v>
      </c>
      <c r="I95" s="947"/>
    </row>
    <row r="96" spans="1:9" s="191" customFormat="1" ht="20.25" customHeight="1">
      <c r="A96" s="202">
        <f ca="1">IF(ROWS($1:85)&gt;COUNT(Dong2),"",OFFSET(TH!C$1,SMALL(Dong2,ROWS($1:85)),))</f>
        <v>42543</v>
      </c>
      <c r="B96" s="202" t="str">
        <f ca="1">IF(ROWS($1:85)&gt;COUNT(Dong2),"",OFFSET(TH!D$1,SMALL(Dong2,ROWS($1:85)),))</f>
        <v>GBN</v>
      </c>
      <c r="C96" s="202">
        <f ca="1">IF(ROWS($1:85)&gt;COUNT(Dong2),"",OFFSET(TH!E$1,SMALL(Dong2,ROWS($1:85)),))</f>
        <v>42543</v>
      </c>
      <c r="D96" s="382" t="str">
        <f ca="1">IF(ROWS($1:85)&gt;COUNT(Dong2),"",OFFSET(TH!F$1,SMALL(Dong2,ROWS($1:85)),))</f>
        <v>Q11 - Trả lãi KU 1015LDS201600429</v>
      </c>
      <c r="E96" s="202" t="str">
        <f ca="1">IF(ROWS($1:85)&gt;COUNT(Dong2),"",IF(OFFSET(TH!O$1,SMALL(Dong2,ROWS($1:85)),)=$I$6,OFFSET(TH!N$1,SMALL(Dong2,ROWS($1:85)),),OFFSET(TH!O$1,SMALL(Dong2,ROWS($1:85)),)))</f>
        <v>635</v>
      </c>
      <c r="F96" s="1173">
        <f ca="1">IF(ROWS($1:85)&gt;COUNT(Dong2),"",IF(AND(IF($M$9="Q11",LEFT(OFFSET(TH!G$1,SMALL(Dong2,ROWS($1:85)),),3)=$M$9,LEFT(OFFSET(TH!G$1,SMALL(Dong2,ROWS($1:85)),),2)=$M$9),OFFSET(TH!N$1,SMALL(Dong2,ROWS($1:85)),)=$I$6),IF($I$6="1121",OFFSET(TH!M$1,SMALL(Dong2,ROWS($1:85)),),OFFSET(TH!K$1,SMALL(Dong2,ROWS($1:85)),)),0))</f>
        <v>0</v>
      </c>
      <c r="G96" s="1173">
        <f ca="1">IF(ROWS($1:85)&gt;COUNT(Dong2),"",IF(AND(IF($M$9="Q11",RIGHT(OFFSET(TH!G$1,SMALL(Dong2,ROWS($1:85)),),3)=$M$9,RIGHT(OFFSET(TH!G$1,SMALL(Dong2,ROWS($1:85)),),2)=$M$9),OFFSET(TH!O$1,SMALL(Dong2,ROWS($1:85)),)=$I$6),IF($I$6="1121",OFFSET(TH!M$1,SMALL(Dong2,ROWS($1:85)),),OFFSET(TH!K$1,SMALL(Dong2,ROWS($1:85)),)),0))</f>
        <v>813705</v>
      </c>
      <c r="H96" s="947">
        <f t="shared" ca="1" si="1"/>
        <v>1126855</v>
      </c>
      <c r="I96" s="947"/>
    </row>
    <row r="97" spans="1:9" s="191" customFormat="1" ht="20.25" customHeight="1">
      <c r="A97" s="202">
        <f ca="1">IF(ROWS($1:86)&gt;COUNT(Dong2),"",OFFSET(TH!C$1,SMALL(Dong2,ROWS($1:86)),))</f>
        <v>42543</v>
      </c>
      <c r="B97" s="202" t="str">
        <f ca="1">IF(ROWS($1:86)&gt;COUNT(Dong2),"",OFFSET(TH!D$1,SMALL(Dong2,ROWS($1:86)),))</f>
        <v>GBN</v>
      </c>
      <c r="C97" s="202">
        <f ca="1">IF(ROWS($1:86)&gt;COUNT(Dong2),"",OFFSET(TH!E$1,SMALL(Dong2,ROWS($1:86)),))</f>
        <v>42543</v>
      </c>
      <c r="D97" s="382" t="str">
        <f ca="1">IF(ROWS($1:86)&gt;COUNT(Dong2),"",OFFSET(TH!F$1,SMALL(Dong2,ROWS($1:86)),))</f>
        <v>Q11 - Trả lãi KU 1015LDS201600434</v>
      </c>
      <c r="E97" s="202" t="str">
        <f ca="1">IF(ROWS($1:86)&gt;COUNT(Dong2),"",IF(OFFSET(TH!O$1,SMALL(Dong2,ROWS($1:86)),)=$I$6,OFFSET(TH!N$1,SMALL(Dong2,ROWS($1:86)),),OFFSET(TH!O$1,SMALL(Dong2,ROWS($1:86)),)))</f>
        <v>635</v>
      </c>
      <c r="F97" s="1173">
        <f ca="1">IF(ROWS($1:86)&gt;COUNT(Dong2),"",IF(AND(IF($M$9="Q11",LEFT(OFFSET(TH!G$1,SMALL(Dong2,ROWS($1:86)),),3)=$M$9,LEFT(OFFSET(TH!G$1,SMALL(Dong2,ROWS($1:86)),),2)=$M$9),OFFSET(TH!N$1,SMALL(Dong2,ROWS($1:86)),)=$I$6),IF($I$6="1121",OFFSET(TH!M$1,SMALL(Dong2,ROWS($1:86)),),OFFSET(TH!K$1,SMALL(Dong2,ROWS($1:86)),)),0))</f>
        <v>0</v>
      </c>
      <c r="G97" s="1173">
        <f ca="1">IF(ROWS($1:86)&gt;COUNT(Dong2),"",IF(AND(IF($M$9="Q11",RIGHT(OFFSET(TH!G$1,SMALL(Dong2,ROWS($1:86)),),3)=$M$9,RIGHT(OFFSET(TH!G$1,SMALL(Dong2,ROWS($1:86)),),2)=$M$9),OFFSET(TH!O$1,SMALL(Dong2,ROWS($1:86)),)=$I$6),IF($I$6="1121",OFFSET(TH!M$1,SMALL(Dong2,ROWS($1:86)),),OFFSET(TH!K$1,SMALL(Dong2,ROWS($1:86)),)),0))</f>
        <v>893200</v>
      </c>
      <c r="H97" s="947">
        <f t="shared" ca="1" si="1"/>
        <v>233655</v>
      </c>
      <c r="I97" s="947"/>
    </row>
    <row r="98" spans="1:9" s="191" customFormat="1" ht="20.25" customHeight="1">
      <c r="A98" s="202">
        <f ca="1">IF(ROWS($1:87)&gt;COUNT(Dong2),"",OFFSET(TH!C$1,SMALL(Dong2,ROWS($1:87)),))</f>
        <v>42545</v>
      </c>
      <c r="B98" s="202" t="str">
        <f ca="1">IF(ROWS($1:87)&gt;COUNT(Dong2),"",OFFSET(TH!D$1,SMALL(Dong2,ROWS($1:87)),))</f>
        <v>GBC</v>
      </c>
      <c r="C98" s="202">
        <f ca="1">IF(ROWS($1:87)&gt;COUNT(Dong2),"",OFFSET(TH!E$1,SMALL(Dong2,ROWS($1:87)),))</f>
        <v>42545</v>
      </c>
      <c r="D98" s="382" t="str">
        <f ca="1">IF(ROWS($1:87)&gt;COUNT(Dong2),"",OFFSET(TH!F$1,SMALL(Dong2,ROWS($1:87)),))</f>
        <v>Lãi tiền gửi</v>
      </c>
      <c r="E98" s="202" t="str">
        <f ca="1">IF(ROWS($1:87)&gt;COUNT(Dong2),"",IF(OFFSET(TH!O$1,SMALL(Dong2,ROWS($1:87)),)=$I$6,OFFSET(TH!N$1,SMALL(Dong2,ROWS($1:87)),),OFFSET(TH!O$1,SMALL(Dong2,ROWS($1:87)),)))</f>
        <v>515</v>
      </c>
      <c r="F98" s="1173">
        <f ca="1">IF(ROWS($1:87)&gt;COUNT(Dong2),"",IF(AND(IF($M$9="Q11",LEFT(OFFSET(TH!G$1,SMALL(Dong2,ROWS($1:87)),),3)=$M$9,LEFT(OFFSET(TH!G$1,SMALL(Dong2,ROWS($1:87)),),2)=$M$9),OFFSET(TH!N$1,SMALL(Dong2,ROWS($1:87)),)=$I$6),IF($I$6="1121",OFFSET(TH!M$1,SMALL(Dong2,ROWS($1:87)),),OFFSET(TH!K$1,SMALL(Dong2,ROWS($1:87)),)),0))</f>
        <v>9632</v>
      </c>
      <c r="G98" s="1173">
        <f ca="1">IF(ROWS($1:87)&gt;COUNT(Dong2),"",IF(AND(IF($M$9="Q11",RIGHT(OFFSET(TH!G$1,SMALL(Dong2,ROWS($1:87)),),3)=$M$9,RIGHT(OFFSET(TH!G$1,SMALL(Dong2,ROWS($1:87)),),2)=$M$9),OFFSET(TH!O$1,SMALL(Dong2,ROWS($1:87)),)=$I$6),IF($I$6="1121",OFFSET(TH!M$1,SMALL(Dong2,ROWS($1:87)),),OFFSET(TH!K$1,SMALL(Dong2,ROWS($1:87)),)),0))</f>
        <v>0</v>
      </c>
      <c r="H98" s="947">
        <f t="shared" ca="1" si="1"/>
        <v>243287</v>
      </c>
      <c r="I98" s="947"/>
    </row>
    <row r="99" spans="1:9" s="191" customFormat="1" ht="20.25" customHeight="1">
      <c r="A99" s="202">
        <f ca="1">IF(ROWS($1:88)&gt;COUNT(Dong2),"",OFFSET(TH!C$1,SMALL(Dong2,ROWS($1:88)),))</f>
        <v>42546</v>
      </c>
      <c r="B99" s="202" t="str">
        <f ca="1">IF(ROWS($1:88)&gt;COUNT(Dong2),"",OFFSET(TH!D$1,SMALL(Dong2,ROWS($1:88)),))</f>
        <v>GBN</v>
      </c>
      <c r="C99" s="202">
        <f ca="1">IF(ROWS($1:88)&gt;COUNT(Dong2),"",OFFSET(TH!E$1,SMALL(Dong2,ROWS($1:88)),))</f>
        <v>42546</v>
      </c>
      <c r="D99" s="382" t="str">
        <f ca="1">IF(ROWS($1:88)&gt;COUNT(Dong2),"",OFFSET(TH!F$1,SMALL(Dong2,ROWS($1:88)),))</f>
        <v>Phí dịch vụ thông báo số dư tự động</v>
      </c>
      <c r="E99" s="202" t="str">
        <f ca="1">IF(ROWS($1:88)&gt;COUNT(Dong2),"",IF(OFFSET(TH!O$1,SMALL(Dong2,ROWS($1:88)),)=$I$6,OFFSET(TH!N$1,SMALL(Dong2,ROWS($1:88)),),OFFSET(TH!O$1,SMALL(Dong2,ROWS($1:88)),)))</f>
        <v>642</v>
      </c>
      <c r="F99" s="1173">
        <f ca="1">IF(ROWS($1:88)&gt;COUNT(Dong2),"",IF(AND(IF($M$9="Q11",LEFT(OFFSET(TH!G$1,SMALL(Dong2,ROWS($1:88)),),3)=$M$9,LEFT(OFFSET(TH!G$1,SMALL(Dong2,ROWS($1:88)),),2)=$M$9),OFFSET(TH!N$1,SMALL(Dong2,ROWS($1:88)),)=$I$6),IF($I$6="1121",OFFSET(TH!M$1,SMALL(Dong2,ROWS($1:88)),),OFFSET(TH!K$1,SMALL(Dong2,ROWS($1:88)),)),0))</f>
        <v>0</v>
      </c>
      <c r="G99" s="1173">
        <f ca="1">IF(ROWS($1:88)&gt;COUNT(Dong2),"",IF(AND(IF($M$9="Q11",RIGHT(OFFSET(TH!G$1,SMALL(Dong2,ROWS($1:88)),),3)=$M$9,RIGHT(OFFSET(TH!G$1,SMALL(Dong2,ROWS($1:88)),),2)=$M$9),OFFSET(TH!O$1,SMALL(Dong2,ROWS($1:88)),)=$I$6),IF($I$6="1121",OFFSET(TH!M$1,SMALL(Dong2,ROWS($1:88)),),OFFSET(TH!K$1,SMALL(Dong2,ROWS($1:88)),)),0))</f>
        <v>50000</v>
      </c>
      <c r="H99" s="947">
        <f t="shared" ca="1" si="1"/>
        <v>193287</v>
      </c>
      <c r="I99" s="947"/>
    </row>
    <row r="100" spans="1:9" s="191" customFormat="1" ht="20.25" customHeight="1">
      <c r="A100" s="202">
        <f ca="1">IF(ROWS($1:89)&gt;COUNT(Dong2),"",OFFSET(TH!C$1,SMALL(Dong2,ROWS($1:89)),))</f>
        <v>42546</v>
      </c>
      <c r="B100" s="202" t="str">
        <f ca="1">IF(ROWS($1:89)&gt;COUNT(Dong2),"",OFFSET(TH!D$1,SMALL(Dong2,ROWS($1:89)),))</f>
        <v>GBN</v>
      </c>
      <c r="C100" s="202">
        <f ca="1">IF(ROWS($1:89)&gt;COUNT(Dong2),"",OFFSET(TH!E$1,SMALL(Dong2,ROWS($1:89)),))</f>
        <v>42546</v>
      </c>
      <c r="D100" s="382" t="str">
        <f ca="1">IF(ROWS($1:89)&gt;COUNT(Dong2),"",OFFSET(TH!F$1,SMALL(Dong2,ROWS($1:89)),))</f>
        <v>VAT Phí dịch vụ thông báo số dư tự động</v>
      </c>
      <c r="E100" s="202" t="str">
        <f ca="1">IF(ROWS($1:89)&gt;COUNT(Dong2),"",IF(OFFSET(TH!O$1,SMALL(Dong2,ROWS($1:89)),)=$I$6,OFFSET(TH!N$1,SMALL(Dong2,ROWS($1:89)),),OFFSET(TH!O$1,SMALL(Dong2,ROWS($1:89)),)))</f>
        <v>1331</v>
      </c>
      <c r="F100" s="1173">
        <f ca="1">IF(ROWS($1:89)&gt;COUNT(Dong2),"",IF(AND(IF($M$9="Q11",LEFT(OFFSET(TH!G$1,SMALL(Dong2,ROWS($1:89)),),3)=$M$9,LEFT(OFFSET(TH!G$1,SMALL(Dong2,ROWS($1:89)),),2)=$M$9),OFFSET(TH!N$1,SMALL(Dong2,ROWS($1:89)),)=$I$6),IF($I$6="1121",OFFSET(TH!M$1,SMALL(Dong2,ROWS($1:89)),),OFFSET(TH!K$1,SMALL(Dong2,ROWS($1:89)),)),0))</f>
        <v>0</v>
      </c>
      <c r="G100" s="1173">
        <f ca="1">IF(ROWS($1:89)&gt;COUNT(Dong2),"",IF(AND(IF($M$9="Q11",RIGHT(OFFSET(TH!G$1,SMALL(Dong2,ROWS($1:89)),),3)=$M$9,RIGHT(OFFSET(TH!G$1,SMALL(Dong2,ROWS($1:89)),),2)=$M$9),OFFSET(TH!O$1,SMALL(Dong2,ROWS($1:89)),)=$I$6),IF($I$6="1121",OFFSET(TH!M$1,SMALL(Dong2,ROWS($1:89)),),OFFSET(TH!K$1,SMALL(Dong2,ROWS($1:89)),)),0))</f>
        <v>5000</v>
      </c>
      <c r="H100" s="947">
        <f t="shared" ca="1" si="1"/>
        <v>188287</v>
      </c>
      <c r="I100" s="947"/>
    </row>
    <row r="101" spans="1:9" s="191" customFormat="1" ht="20.25" customHeight="1">
      <c r="A101" s="202">
        <f ca="1">IF(ROWS($1:90)&gt;COUNT(Dong2),"",OFFSET(TH!C$1,SMALL(Dong2,ROWS($1:90)),))</f>
        <v>42546</v>
      </c>
      <c r="B101" s="202" t="str">
        <f ca="1">IF(ROWS($1:90)&gt;COUNT(Dong2),"",OFFSET(TH!D$1,SMALL(Dong2,ROWS($1:90)),))</f>
        <v>GBN</v>
      </c>
      <c r="C101" s="202">
        <f ca="1">IF(ROWS($1:90)&gt;COUNT(Dong2),"",OFFSET(TH!E$1,SMALL(Dong2,ROWS($1:90)),))</f>
        <v>42546</v>
      </c>
      <c r="D101" s="382" t="str">
        <f ca="1">IF(ROWS($1:90)&gt;COUNT(Dong2),"",OFFSET(TH!F$1,SMALL(Dong2,ROWS($1:90)),))</f>
        <v>Phí dịch vụ thông báo số dư tự động</v>
      </c>
      <c r="E101" s="202" t="str">
        <f ca="1">IF(ROWS($1:90)&gt;COUNT(Dong2),"",IF(OFFSET(TH!O$1,SMALL(Dong2,ROWS($1:90)),)=$I$6,OFFSET(TH!N$1,SMALL(Dong2,ROWS($1:90)),),OFFSET(TH!O$1,SMALL(Dong2,ROWS($1:90)),)))</f>
        <v>642</v>
      </c>
      <c r="F101" s="1173">
        <f ca="1">IF(ROWS($1:90)&gt;COUNT(Dong2),"",IF(AND(IF($M$9="Q11",LEFT(OFFSET(TH!G$1,SMALL(Dong2,ROWS($1:90)),),3)=$M$9,LEFT(OFFSET(TH!G$1,SMALL(Dong2,ROWS($1:90)),),2)=$M$9),OFFSET(TH!N$1,SMALL(Dong2,ROWS($1:90)),)=$I$6),IF($I$6="1121",OFFSET(TH!M$1,SMALL(Dong2,ROWS($1:90)),),OFFSET(TH!K$1,SMALL(Dong2,ROWS($1:90)),)),0))</f>
        <v>0</v>
      </c>
      <c r="G101" s="1173">
        <f ca="1">IF(ROWS($1:90)&gt;COUNT(Dong2),"",IF(AND(IF($M$9="Q11",RIGHT(OFFSET(TH!G$1,SMALL(Dong2,ROWS($1:90)),),3)=$M$9,RIGHT(OFFSET(TH!G$1,SMALL(Dong2,ROWS($1:90)),),2)=$M$9),OFFSET(TH!O$1,SMALL(Dong2,ROWS($1:90)),)=$I$6),IF($I$6="1121",OFFSET(TH!M$1,SMALL(Dong2,ROWS($1:90)),),OFFSET(TH!K$1,SMALL(Dong2,ROWS($1:90)),)),0))</f>
        <v>50000</v>
      </c>
      <c r="H101" s="947">
        <f t="shared" ca="1" si="1"/>
        <v>138287</v>
      </c>
      <c r="I101" s="947"/>
    </row>
    <row r="102" spans="1:9" s="191" customFormat="1" ht="20.25" customHeight="1">
      <c r="A102" s="202">
        <f ca="1">IF(ROWS($1:91)&gt;COUNT(Dong2),"",OFFSET(TH!C$1,SMALL(Dong2,ROWS($1:91)),))</f>
        <v>42546</v>
      </c>
      <c r="B102" s="202" t="str">
        <f ca="1">IF(ROWS($1:91)&gt;COUNT(Dong2),"",OFFSET(TH!D$1,SMALL(Dong2,ROWS($1:91)),))</f>
        <v>GBN</v>
      </c>
      <c r="C102" s="202">
        <f ca="1">IF(ROWS($1:91)&gt;COUNT(Dong2),"",OFFSET(TH!E$1,SMALL(Dong2,ROWS($1:91)),))</f>
        <v>42546</v>
      </c>
      <c r="D102" s="382" t="str">
        <f ca="1">IF(ROWS($1:91)&gt;COUNT(Dong2),"",OFFSET(TH!F$1,SMALL(Dong2,ROWS($1:91)),))</f>
        <v>VAT Phí dịch vụ thông báo số dư tự động</v>
      </c>
      <c r="E102" s="202" t="str">
        <f ca="1">IF(ROWS($1:91)&gt;COUNT(Dong2),"",IF(OFFSET(TH!O$1,SMALL(Dong2,ROWS($1:91)),)=$I$6,OFFSET(TH!N$1,SMALL(Dong2,ROWS($1:91)),),OFFSET(TH!O$1,SMALL(Dong2,ROWS($1:91)),)))</f>
        <v>1331</v>
      </c>
      <c r="F102" s="1173">
        <f ca="1">IF(ROWS($1:91)&gt;COUNT(Dong2),"",IF(AND(IF($M$9="Q11",LEFT(OFFSET(TH!G$1,SMALL(Dong2,ROWS($1:91)),),3)=$M$9,LEFT(OFFSET(TH!G$1,SMALL(Dong2,ROWS($1:91)),),2)=$M$9),OFFSET(TH!N$1,SMALL(Dong2,ROWS($1:91)),)=$I$6),IF($I$6="1121",OFFSET(TH!M$1,SMALL(Dong2,ROWS($1:91)),),OFFSET(TH!K$1,SMALL(Dong2,ROWS($1:91)),)),0))</f>
        <v>0</v>
      </c>
      <c r="G102" s="1173">
        <f ca="1">IF(ROWS($1:91)&gt;COUNT(Dong2),"",IF(AND(IF($M$9="Q11",RIGHT(OFFSET(TH!G$1,SMALL(Dong2,ROWS($1:91)),),3)=$M$9,RIGHT(OFFSET(TH!G$1,SMALL(Dong2,ROWS($1:91)),),2)=$M$9),OFFSET(TH!O$1,SMALL(Dong2,ROWS($1:91)),)=$I$6),IF($I$6="1121",OFFSET(TH!M$1,SMALL(Dong2,ROWS($1:91)),),OFFSET(TH!K$1,SMALL(Dong2,ROWS($1:91)),)),0))</f>
        <v>5000</v>
      </c>
      <c r="H102" s="947">
        <f t="shared" ca="1" si="1"/>
        <v>133287</v>
      </c>
      <c r="I102" s="947"/>
    </row>
    <row r="103" spans="1:9" s="191" customFormat="1" ht="20.25" customHeight="1">
      <c r="A103" s="202">
        <f ca="1">IF(ROWS($1:92)&gt;COUNT(Dong2),"",OFFSET(TH!C$1,SMALL(Dong2,ROWS($1:92)),))</f>
        <v>42546</v>
      </c>
      <c r="B103" s="202" t="str">
        <f ca="1">IF(ROWS($1:92)&gt;COUNT(Dong2),"",OFFSET(TH!D$1,SMALL(Dong2,ROWS($1:92)),))</f>
        <v>GBN</v>
      </c>
      <c r="C103" s="202">
        <f ca="1">IF(ROWS($1:92)&gt;COUNT(Dong2),"",OFFSET(TH!E$1,SMALL(Dong2,ROWS($1:92)),))</f>
        <v>42546</v>
      </c>
      <c r="D103" s="382" t="str">
        <f ca="1">IF(ROWS($1:92)&gt;COUNT(Dong2),"",OFFSET(TH!F$1,SMALL(Dong2,ROWS($1:92)),))</f>
        <v>Phí dịch vụ thông báo số dư tự động</v>
      </c>
      <c r="E103" s="202" t="str">
        <f ca="1">IF(ROWS($1:92)&gt;COUNT(Dong2),"",IF(OFFSET(TH!O$1,SMALL(Dong2,ROWS($1:92)),)=$I$6,OFFSET(TH!N$1,SMALL(Dong2,ROWS($1:92)),),OFFSET(TH!O$1,SMALL(Dong2,ROWS($1:92)),)))</f>
        <v>642</v>
      </c>
      <c r="F103" s="1173">
        <f ca="1">IF(ROWS($1:92)&gt;COUNT(Dong2),"",IF(AND(IF($M$9="Q11",LEFT(OFFSET(TH!G$1,SMALL(Dong2,ROWS($1:92)),),3)=$M$9,LEFT(OFFSET(TH!G$1,SMALL(Dong2,ROWS($1:92)),),2)=$M$9),OFFSET(TH!N$1,SMALL(Dong2,ROWS($1:92)),)=$I$6),IF($I$6="1121",OFFSET(TH!M$1,SMALL(Dong2,ROWS($1:92)),),OFFSET(TH!K$1,SMALL(Dong2,ROWS($1:92)),)),0))</f>
        <v>0</v>
      </c>
      <c r="G103" s="1173">
        <f ca="1">IF(ROWS($1:92)&gt;COUNT(Dong2),"",IF(AND(IF($M$9="Q11",RIGHT(OFFSET(TH!G$1,SMALL(Dong2,ROWS($1:92)),),3)=$M$9,RIGHT(OFFSET(TH!G$1,SMALL(Dong2,ROWS($1:92)),),2)=$M$9),OFFSET(TH!O$1,SMALL(Dong2,ROWS($1:92)),)=$I$6),IF($I$6="1121",OFFSET(TH!M$1,SMALL(Dong2,ROWS($1:92)),),OFFSET(TH!K$1,SMALL(Dong2,ROWS($1:92)),)),0))</f>
        <v>50000</v>
      </c>
      <c r="H103" s="947">
        <f t="shared" ca="1" si="1"/>
        <v>83287</v>
      </c>
      <c r="I103" s="947"/>
    </row>
    <row r="104" spans="1:9" s="191" customFormat="1" ht="20.25" customHeight="1">
      <c r="A104" s="202">
        <f ca="1">IF(ROWS($1:93)&gt;COUNT(Dong2),"",OFFSET(TH!C$1,SMALL(Dong2,ROWS($1:93)),))</f>
        <v>42546</v>
      </c>
      <c r="B104" s="202" t="str">
        <f ca="1">IF(ROWS($1:93)&gt;COUNT(Dong2),"",OFFSET(TH!D$1,SMALL(Dong2,ROWS($1:93)),))</f>
        <v>GBN</v>
      </c>
      <c r="C104" s="202">
        <f ca="1">IF(ROWS($1:93)&gt;COUNT(Dong2),"",OFFSET(TH!E$1,SMALL(Dong2,ROWS($1:93)),))</f>
        <v>42546</v>
      </c>
      <c r="D104" s="382" t="str">
        <f ca="1">IF(ROWS($1:93)&gt;COUNT(Dong2),"",OFFSET(TH!F$1,SMALL(Dong2,ROWS($1:93)),))</f>
        <v>VAT Phí dịch vụ thông báo số dư tự động</v>
      </c>
      <c r="E104" s="202" t="str">
        <f ca="1">IF(ROWS($1:93)&gt;COUNT(Dong2),"",IF(OFFSET(TH!O$1,SMALL(Dong2,ROWS($1:93)),)=$I$6,OFFSET(TH!N$1,SMALL(Dong2,ROWS($1:93)),),OFFSET(TH!O$1,SMALL(Dong2,ROWS($1:93)),)))</f>
        <v>1331</v>
      </c>
      <c r="F104" s="1173">
        <f ca="1">IF(ROWS($1:93)&gt;COUNT(Dong2),"",IF(AND(IF($M$9="Q11",LEFT(OFFSET(TH!G$1,SMALL(Dong2,ROWS($1:93)),),3)=$M$9,LEFT(OFFSET(TH!G$1,SMALL(Dong2,ROWS($1:93)),),2)=$M$9),OFFSET(TH!N$1,SMALL(Dong2,ROWS($1:93)),)=$I$6),IF($I$6="1121",OFFSET(TH!M$1,SMALL(Dong2,ROWS($1:93)),),OFFSET(TH!K$1,SMALL(Dong2,ROWS($1:93)),)),0))</f>
        <v>0</v>
      </c>
      <c r="G104" s="1173">
        <f ca="1">IF(ROWS($1:93)&gt;COUNT(Dong2),"",IF(AND(IF($M$9="Q11",RIGHT(OFFSET(TH!G$1,SMALL(Dong2,ROWS($1:93)),),3)=$M$9,RIGHT(OFFSET(TH!G$1,SMALL(Dong2,ROWS($1:93)),),2)=$M$9),OFFSET(TH!O$1,SMALL(Dong2,ROWS($1:93)),)=$I$6),IF($I$6="1121",OFFSET(TH!M$1,SMALL(Dong2,ROWS($1:93)),),OFFSET(TH!K$1,SMALL(Dong2,ROWS($1:93)),)),0))</f>
        <v>5000</v>
      </c>
      <c r="H104" s="947">
        <f t="shared" ca="1" si="1"/>
        <v>78287</v>
      </c>
      <c r="I104" s="947"/>
    </row>
    <row r="105" spans="1:9" s="191" customFormat="1" ht="20.25" customHeight="1">
      <c r="A105" s="202">
        <f ca="1">IF(ROWS($1:94)&gt;COUNT(Dong2),"",OFFSET(TH!C$1,SMALL(Dong2,ROWS($1:94)),))</f>
        <v>42546</v>
      </c>
      <c r="B105" s="202" t="str">
        <f ca="1">IF(ROWS($1:94)&gt;COUNT(Dong2),"",OFFSET(TH!D$1,SMALL(Dong2,ROWS($1:94)),))</f>
        <v>GBN</v>
      </c>
      <c r="C105" s="202">
        <f ca="1">IF(ROWS($1:94)&gt;COUNT(Dong2),"",OFFSET(TH!E$1,SMALL(Dong2,ROWS($1:94)),))</f>
        <v>42546</v>
      </c>
      <c r="D105" s="382" t="str">
        <f ca="1">IF(ROWS($1:94)&gt;COUNT(Dong2),"",OFFSET(TH!F$1,SMALL(Dong2,ROWS($1:94)),))</f>
        <v>Phí dịch vụ thông báo số dư tự động</v>
      </c>
      <c r="E105" s="202" t="str">
        <f ca="1">IF(ROWS($1:94)&gt;COUNT(Dong2),"",IF(OFFSET(TH!O$1,SMALL(Dong2,ROWS($1:94)),)=$I$6,OFFSET(TH!N$1,SMALL(Dong2,ROWS($1:94)),),OFFSET(TH!O$1,SMALL(Dong2,ROWS($1:94)),)))</f>
        <v>642</v>
      </c>
      <c r="F105" s="1173">
        <f ca="1">IF(ROWS($1:94)&gt;COUNT(Dong2),"",IF(AND(IF($M$9="Q11",LEFT(OFFSET(TH!G$1,SMALL(Dong2,ROWS($1:94)),),3)=$M$9,LEFT(OFFSET(TH!G$1,SMALL(Dong2,ROWS($1:94)),),2)=$M$9),OFFSET(TH!N$1,SMALL(Dong2,ROWS($1:94)),)=$I$6),IF($I$6="1121",OFFSET(TH!M$1,SMALL(Dong2,ROWS($1:94)),),OFFSET(TH!K$1,SMALL(Dong2,ROWS($1:94)),)),0))</f>
        <v>0</v>
      </c>
      <c r="G105" s="1173">
        <f ca="1">IF(ROWS($1:94)&gt;COUNT(Dong2),"",IF(AND(IF($M$9="Q11",RIGHT(OFFSET(TH!G$1,SMALL(Dong2,ROWS($1:94)),),3)=$M$9,RIGHT(OFFSET(TH!G$1,SMALL(Dong2,ROWS($1:94)),),2)=$M$9),OFFSET(TH!O$1,SMALL(Dong2,ROWS($1:94)),)=$I$6),IF($I$6="1121",OFFSET(TH!M$1,SMALL(Dong2,ROWS($1:94)),),OFFSET(TH!K$1,SMALL(Dong2,ROWS($1:94)),)),0))</f>
        <v>50000</v>
      </c>
      <c r="H105" s="947">
        <f t="shared" ca="1" si="1"/>
        <v>28287</v>
      </c>
      <c r="I105" s="947"/>
    </row>
    <row r="106" spans="1:9" s="191" customFormat="1" ht="20.25" customHeight="1">
      <c r="A106" s="202">
        <f ca="1">IF(ROWS($1:95)&gt;COUNT(Dong2),"",OFFSET(TH!C$1,SMALL(Dong2,ROWS($1:95)),))</f>
        <v>42546</v>
      </c>
      <c r="B106" s="202" t="str">
        <f ca="1">IF(ROWS($1:95)&gt;COUNT(Dong2),"",OFFSET(TH!D$1,SMALL(Dong2,ROWS($1:95)),))</f>
        <v>GBN</v>
      </c>
      <c r="C106" s="202">
        <f ca="1">IF(ROWS($1:95)&gt;COUNT(Dong2),"",OFFSET(TH!E$1,SMALL(Dong2,ROWS($1:95)),))</f>
        <v>42546</v>
      </c>
      <c r="D106" s="382" t="str">
        <f ca="1">IF(ROWS($1:95)&gt;COUNT(Dong2),"",OFFSET(TH!F$1,SMALL(Dong2,ROWS($1:95)),))</f>
        <v>VAT Phí dịch vụ thông báo số dư tự động</v>
      </c>
      <c r="E106" s="202" t="str">
        <f ca="1">IF(ROWS($1:95)&gt;COUNT(Dong2),"",IF(OFFSET(TH!O$1,SMALL(Dong2,ROWS($1:95)),)=$I$6,OFFSET(TH!N$1,SMALL(Dong2,ROWS($1:95)),),OFFSET(TH!O$1,SMALL(Dong2,ROWS($1:95)),)))</f>
        <v>1331</v>
      </c>
      <c r="F106" s="1173">
        <f ca="1">IF(ROWS($1:95)&gt;COUNT(Dong2),"",IF(AND(IF($M$9="Q11",LEFT(OFFSET(TH!G$1,SMALL(Dong2,ROWS($1:95)),),3)=$M$9,LEFT(OFFSET(TH!G$1,SMALL(Dong2,ROWS($1:95)),),2)=$M$9),OFFSET(TH!N$1,SMALL(Dong2,ROWS($1:95)),)=$I$6),IF($I$6="1121",OFFSET(TH!M$1,SMALL(Dong2,ROWS($1:95)),),OFFSET(TH!K$1,SMALL(Dong2,ROWS($1:95)),)),0))</f>
        <v>0</v>
      </c>
      <c r="G106" s="1173">
        <f ca="1">IF(ROWS($1:95)&gt;COUNT(Dong2),"",IF(AND(IF($M$9="Q11",RIGHT(OFFSET(TH!G$1,SMALL(Dong2,ROWS($1:95)),),3)=$M$9,RIGHT(OFFSET(TH!G$1,SMALL(Dong2,ROWS($1:95)),),2)=$M$9),OFFSET(TH!O$1,SMALL(Dong2,ROWS($1:95)),)=$I$6),IF($I$6="1121",OFFSET(TH!M$1,SMALL(Dong2,ROWS($1:95)),),OFFSET(TH!K$1,SMALL(Dong2,ROWS($1:95)),)),0))</f>
        <v>5000</v>
      </c>
      <c r="H106" s="947">
        <f t="shared" ca="1" si="1"/>
        <v>23287</v>
      </c>
      <c r="I106" s="947"/>
    </row>
    <row r="107" spans="1:9" s="191" customFormat="1" ht="20.25" customHeight="1">
      <c r="A107" s="202">
        <f ca="1">IF(ROWS($1:96)&gt;COUNT(Dong2),"",OFFSET(TH!C$1,SMALL(Dong2,ROWS($1:96)),))</f>
        <v>42548</v>
      </c>
      <c r="B107" s="202" t="str">
        <f ca="1">IF(ROWS($1:96)&gt;COUNT(Dong2),"",OFFSET(TH!D$1,SMALL(Dong2,ROWS($1:96)),))</f>
        <v>C26</v>
      </c>
      <c r="C107" s="202">
        <f ca="1">IF(ROWS($1:96)&gt;COUNT(Dong2),"",OFFSET(TH!E$1,SMALL(Dong2,ROWS($1:96)),))</f>
        <v>42548</v>
      </c>
      <c r="D107" s="382" t="str">
        <f ca="1">IF(ROWS($1:96)&gt;COUNT(Dong2),"",OFFSET(TH!F$1,SMALL(Dong2,ROWS($1:96)),))</f>
        <v>Nộp tiền mặt vào TK NH</v>
      </c>
      <c r="E107" s="202" t="str">
        <f ca="1">IF(ROWS($1:96)&gt;COUNT(Dong2),"",IF(OFFSET(TH!O$1,SMALL(Dong2,ROWS($1:96)),)=$I$6,OFFSET(TH!N$1,SMALL(Dong2,ROWS($1:96)),),OFFSET(TH!O$1,SMALL(Dong2,ROWS($1:96)),)))</f>
        <v>1111</v>
      </c>
      <c r="F107" s="1173">
        <f ca="1">IF(ROWS($1:96)&gt;COUNT(Dong2),"",IF(AND(IF($M$9="Q11",LEFT(OFFSET(TH!G$1,SMALL(Dong2,ROWS($1:96)),),3)=$M$9,LEFT(OFFSET(TH!G$1,SMALL(Dong2,ROWS($1:96)),),2)=$M$9),OFFSET(TH!N$1,SMALL(Dong2,ROWS($1:96)),)=$I$6),IF($I$6="1121",OFFSET(TH!M$1,SMALL(Dong2,ROWS($1:96)),),OFFSET(TH!K$1,SMALL(Dong2,ROWS($1:96)),)),0))</f>
        <v>1170000000</v>
      </c>
      <c r="G107" s="1173">
        <f ca="1">IF(ROWS($1:96)&gt;COUNT(Dong2),"",IF(AND(IF($M$9="Q11",RIGHT(OFFSET(TH!G$1,SMALL(Dong2,ROWS($1:96)),),3)=$M$9,RIGHT(OFFSET(TH!G$1,SMALL(Dong2,ROWS($1:96)),),2)=$M$9),OFFSET(TH!O$1,SMALL(Dong2,ROWS($1:96)),)=$I$6),IF($I$6="1121",OFFSET(TH!M$1,SMALL(Dong2,ROWS($1:96)),),OFFSET(TH!K$1,SMALL(Dong2,ROWS($1:96)),)),0))</f>
        <v>0</v>
      </c>
      <c r="H107" s="947">
        <f t="shared" ca="1" si="1"/>
        <v>1170023287</v>
      </c>
      <c r="I107" s="947"/>
    </row>
    <row r="108" spans="1:9" s="191" customFormat="1" ht="20.25" customHeight="1">
      <c r="A108" s="202">
        <f ca="1">IF(ROWS($1:97)&gt;COUNT(Dong2),"",OFFSET(TH!C$1,SMALL(Dong2,ROWS($1:97)),))</f>
        <v>42549</v>
      </c>
      <c r="B108" s="202" t="str">
        <f ca="1">IF(ROWS($1:97)&gt;COUNT(Dong2),"",OFFSET(TH!D$1,SMALL(Dong2,ROWS($1:97)),))</f>
        <v>GBN</v>
      </c>
      <c r="C108" s="202">
        <f ca="1">IF(ROWS($1:97)&gt;COUNT(Dong2),"",OFFSET(TH!E$1,SMALL(Dong2,ROWS($1:97)),))</f>
        <v>42549</v>
      </c>
      <c r="D108" s="382" t="str">
        <f ca="1">IF(ROWS($1:97)&gt;COUNT(Dong2),"",OFFSET(TH!F$1,SMALL(Dong2,ROWS($1:97)),))</f>
        <v>Phí nộp tiền mặt và chuyển khoản</v>
      </c>
      <c r="E108" s="202" t="str">
        <f ca="1">IF(ROWS($1:97)&gt;COUNT(Dong2),"",IF(OFFSET(TH!O$1,SMALL(Dong2,ROWS($1:97)),)=$I$6,OFFSET(TH!N$1,SMALL(Dong2,ROWS($1:97)),),OFFSET(TH!O$1,SMALL(Dong2,ROWS($1:97)),)))</f>
        <v>642</v>
      </c>
      <c r="F108" s="1173">
        <f ca="1">IF(ROWS($1:97)&gt;COUNT(Dong2),"",IF(AND(IF($M$9="Q11",LEFT(OFFSET(TH!G$1,SMALL(Dong2,ROWS($1:97)),),3)=$M$9,LEFT(OFFSET(TH!G$1,SMALL(Dong2,ROWS($1:97)),),2)=$M$9),OFFSET(TH!N$1,SMALL(Dong2,ROWS($1:97)),)=$I$6),IF($I$6="1121",OFFSET(TH!M$1,SMALL(Dong2,ROWS($1:97)),),OFFSET(TH!K$1,SMALL(Dong2,ROWS($1:97)),)),0))</f>
        <v>0</v>
      </c>
      <c r="G108" s="1173">
        <f ca="1">IF(ROWS($1:97)&gt;COUNT(Dong2),"",IF(AND(IF($M$9="Q11",RIGHT(OFFSET(TH!G$1,SMALL(Dong2,ROWS($1:97)),),3)=$M$9,RIGHT(OFFSET(TH!G$1,SMALL(Dong2,ROWS($1:97)),),2)=$M$9),OFFSET(TH!O$1,SMALL(Dong2,ROWS($1:97)),)=$I$6),IF($I$6="1121",OFFSET(TH!M$1,SMALL(Dong2,ROWS($1:97)),),OFFSET(TH!K$1,SMALL(Dong2,ROWS($1:97)),)),0))</f>
        <v>290993</v>
      </c>
      <c r="H108" s="947">
        <f t="shared" ca="1" si="1"/>
        <v>1169732294</v>
      </c>
      <c r="I108" s="947"/>
    </row>
    <row r="109" spans="1:9" s="191" customFormat="1" ht="20.25" customHeight="1">
      <c r="A109" s="202">
        <f ca="1">IF(ROWS($1:98)&gt;COUNT(Dong2),"",OFFSET(TH!C$1,SMALL(Dong2,ROWS($1:98)),))</f>
        <v>42549</v>
      </c>
      <c r="B109" s="202" t="str">
        <f ca="1">IF(ROWS($1:98)&gt;COUNT(Dong2),"",OFFSET(TH!D$1,SMALL(Dong2,ROWS($1:98)),))</f>
        <v>GBN</v>
      </c>
      <c r="C109" s="202">
        <f ca="1">IF(ROWS($1:98)&gt;COUNT(Dong2),"",OFFSET(TH!E$1,SMALL(Dong2,ROWS($1:98)),))</f>
        <v>42549</v>
      </c>
      <c r="D109" s="382" t="str">
        <f ca="1">IF(ROWS($1:98)&gt;COUNT(Dong2),"",OFFSET(TH!F$1,SMALL(Dong2,ROWS($1:98)),))</f>
        <v>VAT Phí nộp tiền mặt và chuyển khoản</v>
      </c>
      <c r="E109" s="202" t="str">
        <f ca="1">IF(ROWS($1:98)&gt;COUNT(Dong2),"",IF(OFFSET(TH!O$1,SMALL(Dong2,ROWS($1:98)),)=$I$6,OFFSET(TH!N$1,SMALL(Dong2,ROWS($1:98)),),OFFSET(TH!O$1,SMALL(Dong2,ROWS($1:98)),)))</f>
        <v>1331</v>
      </c>
      <c r="F109" s="1173">
        <f ca="1">IF(ROWS($1:98)&gt;COUNT(Dong2),"",IF(AND(IF($M$9="Q11",LEFT(OFFSET(TH!G$1,SMALL(Dong2,ROWS($1:98)),),3)=$M$9,LEFT(OFFSET(TH!G$1,SMALL(Dong2,ROWS($1:98)),),2)=$M$9),OFFSET(TH!N$1,SMALL(Dong2,ROWS($1:98)),)=$I$6),IF($I$6="1121",OFFSET(TH!M$1,SMALL(Dong2,ROWS($1:98)),),OFFSET(TH!K$1,SMALL(Dong2,ROWS($1:98)),)),0))</f>
        <v>0</v>
      </c>
      <c r="G109" s="1173">
        <f ca="1">IF(ROWS($1:98)&gt;COUNT(Dong2),"",IF(AND(IF($M$9="Q11",RIGHT(OFFSET(TH!G$1,SMALL(Dong2,ROWS($1:98)),),3)=$M$9,RIGHT(OFFSET(TH!G$1,SMALL(Dong2,ROWS($1:98)),),2)=$M$9),OFFSET(TH!O$1,SMALL(Dong2,ROWS($1:98)),)=$I$6),IF($I$6="1121",OFFSET(TH!M$1,SMALL(Dong2,ROWS($1:98)),),OFFSET(TH!K$1,SMALL(Dong2,ROWS($1:98)),)),0))</f>
        <v>29099</v>
      </c>
      <c r="H109" s="947">
        <f t="shared" ca="1" si="1"/>
        <v>1169703195</v>
      </c>
      <c r="I109" s="947"/>
    </row>
    <row r="110" spans="1:9" s="191" customFormat="1" ht="20.25" customHeight="1">
      <c r="A110" s="202">
        <f ca="1">IF(ROWS($1:99)&gt;COUNT(Dong2),"",OFFSET(TH!C$1,SMALL(Dong2,ROWS($1:99)),))</f>
        <v>42549</v>
      </c>
      <c r="B110" s="202" t="str">
        <f ca="1">IF(ROWS($1:99)&gt;COUNT(Dong2),"",OFFSET(TH!D$1,SMALL(Dong2,ROWS($1:99)),))</f>
        <v>GBN</v>
      </c>
      <c r="C110" s="202">
        <f ca="1">IF(ROWS($1:99)&gt;COUNT(Dong2),"",OFFSET(TH!E$1,SMALL(Dong2,ROWS($1:99)),))</f>
        <v>42549</v>
      </c>
      <c r="D110" s="382" t="str">
        <f ca="1">IF(ROWS($1:99)&gt;COUNT(Dong2),"",OFFSET(TH!F$1,SMALL(Dong2,ROWS($1:99)),))</f>
        <v>Thanh toán tiền xử lý cá khô</v>
      </c>
      <c r="E110" s="202" t="str">
        <f ca="1">IF(ROWS($1:99)&gt;COUNT(Dong2),"",IF(OFFSET(TH!O$1,SMALL(Dong2,ROWS($1:99)),)=$I$6,OFFSET(TH!N$1,SMALL(Dong2,ROWS($1:99)),),OFFSET(TH!O$1,SMALL(Dong2,ROWS($1:99)),)))</f>
        <v>331</v>
      </c>
      <c r="F110" s="1173">
        <f ca="1">IF(ROWS($1:99)&gt;COUNT(Dong2),"",IF(AND(IF($M$9="Q11",LEFT(OFFSET(TH!G$1,SMALL(Dong2,ROWS($1:99)),),3)=$M$9,LEFT(OFFSET(TH!G$1,SMALL(Dong2,ROWS($1:99)),),2)=$M$9),OFFSET(TH!N$1,SMALL(Dong2,ROWS($1:99)),)=$I$6),IF($I$6="1121",OFFSET(TH!M$1,SMALL(Dong2,ROWS($1:99)),),OFFSET(TH!K$1,SMALL(Dong2,ROWS($1:99)),)),0))</f>
        <v>0</v>
      </c>
      <c r="G110" s="1173">
        <f ca="1">IF(ROWS($1:99)&gt;COUNT(Dong2),"",IF(AND(IF($M$9="Q11",RIGHT(OFFSET(TH!G$1,SMALL(Dong2,ROWS($1:99)),),3)=$M$9,RIGHT(OFFSET(TH!G$1,SMALL(Dong2,ROWS($1:99)),),2)=$M$9),OFFSET(TH!O$1,SMALL(Dong2,ROWS($1:99)),)=$I$6),IF($I$6="1121",OFFSET(TH!M$1,SMALL(Dong2,ROWS($1:99)),),OFFSET(TH!K$1,SMALL(Dong2,ROWS($1:99)),)),0))</f>
        <v>139997985</v>
      </c>
      <c r="H110" s="947">
        <f t="shared" ca="1" si="1"/>
        <v>1029705210</v>
      </c>
      <c r="I110" s="947"/>
    </row>
    <row r="111" spans="1:9" s="191" customFormat="1" ht="20.25" customHeight="1">
      <c r="A111" s="202">
        <f ca="1">IF(ROWS($1:100)&gt;COUNT(Dong2),"",OFFSET(TH!C$1,SMALL(Dong2,ROWS($1:100)),))</f>
        <v>42549</v>
      </c>
      <c r="B111" s="202" t="str">
        <f ca="1">IF(ROWS($1:100)&gt;COUNT(Dong2),"",OFFSET(TH!D$1,SMALL(Dong2,ROWS($1:100)),))</f>
        <v>GBN</v>
      </c>
      <c r="C111" s="202">
        <f ca="1">IF(ROWS($1:100)&gt;COUNT(Dong2),"",OFFSET(TH!E$1,SMALL(Dong2,ROWS($1:100)),))</f>
        <v>42549</v>
      </c>
      <c r="D111" s="382" t="str">
        <f ca="1">IF(ROWS($1:100)&gt;COUNT(Dong2),"",OFFSET(TH!F$1,SMALL(Dong2,ROWS($1:100)),))</f>
        <v>Phí dịch vụ</v>
      </c>
      <c r="E111" s="202" t="str">
        <f ca="1">IF(ROWS($1:100)&gt;COUNT(Dong2),"",IF(OFFSET(TH!O$1,SMALL(Dong2,ROWS($1:100)),)=$I$6,OFFSET(TH!N$1,SMALL(Dong2,ROWS($1:100)),),OFFSET(TH!O$1,SMALL(Dong2,ROWS($1:100)),)))</f>
        <v>642</v>
      </c>
      <c r="F111" s="1173">
        <f ca="1">IF(ROWS($1:100)&gt;COUNT(Dong2),"",IF(AND(IF($M$9="Q11",LEFT(OFFSET(TH!G$1,SMALL(Dong2,ROWS($1:100)),),3)=$M$9,LEFT(OFFSET(TH!G$1,SMALL(Dong2,ROWS($1:100)),),2)=$M$9),OFFSET(TH!N$1,SMALL(Dong2,ROWS($1:100)),)=$I$6),IF($I$6="1121",OFFSET(TH!M$1,SMALL(Dong2,ROWS($1:100)),),OFFSET(TH!K$1,SMALL(Dong2,ROWS($1:100)),)),0))</f>
        <v>0</v>
      </c>
      <c r="G111" s="1173">
        <f ca="1">IF(ROWS($1:100)&gt;COUNT(Dong2),"",IF(AND(IF($M$9="Q11",RIGHT(OFFSET(TH!G$1,SMALL(Dong2,ROWS($1:100)),),3)=$M$9,RIGHT(OFFSET(TH!G$1,SMALL(Dong2,ROWS($1:100)),),2)=$M$9),OFFSET(TH!O$1,SMALL(Dong2,ROWS($1:100)),)=$I$6),IF($I$6="1121",OFFSET(TH!M$1,SMALL(Dong2,ROWS($1:100)),),OFFSET(TH!K$1,SMALL(Dong2,ROWS($1:100)),)),0))</f>
        <v>69999</v>
      </c>
      <c r="H111" s="947">
        <f t="shared" ca="1" si="1"/>
        <v>1029635211</v>
      </c>
      <c r="I111" s="947"/>
    </row>
    <row r="112" spans="1:9" s="191" customFormat="1" ht="20.25" customHeight="1">
      <c r="A112" s="202">
        <f ca="1">IF(ROWS($1:101)&gt;COUNT(Dong2),"",OFFSET(TH!C$1,SMALL(Dong2,ROWS($1:101)),))</f>
        <v>42549</v>
      </c>
      <c r="B112" s="202" t="str">
        <f ca="1">IF(ROWS($1:101)&gt;COUNT(Dong2),"",OFFSET(TH!D$1,SMALL(Dong2,ROWS($1:101)),))</f>
        <v>GBN</v>
      </c>
      <c r="C112" s="202">
        <f ca="1">IF(ROWS($1:101)&gt;COUNT(Dong2),"",OFFSET(TH!E$1,SMALL(Dong2,ROWS($1:101)),))</f>
        <v>42549</v>
      </c>
      <c r="D112" s="382" t="str">
        <f ca="1">IF(ROWS($1:101)&gt;COUNT(Dong2),"",OFFSET(TH!F$1,SMALL(Dong2,ROWS($1:101)),))</f>
        <v>VAT Phí dịch vụ</v>
      </c>
      <c r="E112" s="202" t="str">
        <f ca="1">IF(ROWS($1:101)&gt;COUNT(Dong2),"",IF(OFFSET(TH!O$1,SMALL(Dong2,ROWS($1:101)),)=$I$6,OFFSET(TH!N$1,SMALL(Dong2,ROWS($1:101)),),OFFSET(TH!O$1,SMALL(Dong2,ROWS($1:101)),)))</f>
        <v>1331</v>
      </c>
      <c r="F112" s="1173">
        <f ca="1">IF(ROWS($1:101)&gt;COUNT(Dong2),"",IF(AND(IF($M$9="Q11",LEFT(OFFSET(TH!G$1,SMALL(Dong2,ROWS($1:101)),),3)=$M$9,LEFT(OFFSET(TH!G$1,SMALL(Dong2,ROWS($1:101)),),2)=$M$9),OFFSET(TH!N$1,SMALL(Dong2,ROWS($1:101)),)=$I$6),IF($I$6="1121",OFFSET(TH!M$1,SMALL(Dong2,ROWS($1:101)),),OFFSET(TH!K$1,SMALL(Dong2,ROWS($1:101)),)),0))</f>
        <v>0</v>
      </c>
      <c r="G112" s="1173">
        <f ca="1">IF(ROWS($1:101)&gt;COUNT(Dong2),"",IF(AND(IF($M$9="Q11",RIGHT(OFFSET(TH!G$1,SMALL(Dong2,ROWS($1:101)),),3)=$M$9,RIGHT(OFFSET(TH!G$1,SMALL(Dong2,ROWS($1:101)),),2)=$M$9),OFFSET(TH!O$1,SMALL(Dong2,ROWS($1:101)),)=$I$6),IF($I$6="1121",OFFSET(TH!M$1,SMALL(Dong2,ROWS($1:101)),),OFFSET(TH!K$1,SMALL(Dong2,ROWS($1:101)),)),0))</f>
        <v>7000</v>
      </c>
      <c r="H112" s="947">
        <f t="shared" ca="1" si="1"/>
        <v>1029628211</v>
      </c>
      <c r="I112" s="947"/>
    </row>
    <row r="113" spans="1:9" s="191" customFormat="1" ht="20.25" customHeight="1">
      <c r="A113" s="202">
        <f ca="1">IF(ROWS($1:102)&gt;COUNT(Dong2),"",OFFSET(TH!C$1,SMALL(Dong2,ROWS($1:102)),))</f>
        <v>42549</v>
      </c>
      <c r="B113" s="202" t="str">
        <f ca="1">IF(ROWS($1:102)&gt;COUNT(Dong2),"",OFFSET(TH!D$1,SMALL(Dong2,ROWS($1:102)),))</f>
        <v>GBN</v>
      </c>
      <c r="C113" s="202">
        <f ca="1">IF(ROWS($1:102)&gt;COUNT(Dong2),"",OFFSET(TH!E$1,SMALL(Dong2,ROWS($1:102)),))</f>
        <v>42549</v>
      </c>
      <c r="D113" s="382" t="str">
        <f ca="1">IF(ROWS($1:102)&gt;COUNT(Dong2),"",OFFSET(TH!F$1,SMALL(Dong2,ROWS($1:102)),))</f>
        <v>Thanh toán tiền baảo hiểm</v>
      </c>
      <c r="E113" s="202" t="str">
        <f ca="1">IF(ROWS($1:102)&gt;COUNT(Dong2),"",IF(OFFSET(TH!O$1,SMALL(Dong2,ROWS($1:102)),)=$I$6,OFFSET(TH!N$1,SMALL(Dong2,ROWS($1:102)),),OFFSET(TH!O$1,SMALL(Dong2,ROWS($1:102)),)))</f>
        <v>331</v>
      </c>
      <c r="F113" s="1173">
        <f ca="1">IF(ROWS($1:102)&gt;COUNT(Dong2),"",IF(AND(IF($M$9="Q11",LEFT(OFFSET(TH!G$1,SMALL(Dong2,ROWS($1:102)),),3)=$M$9,LEFT(OFFSET(TH!G$1,SMALL(Dong2,ROWS($1:102)),),2)=$M$9),OFFSET(TH!N$1,SMALL(Dong2,ROWS($1:102)),)=$I$6),IF($I$6="1121",OFFSET(TH!M$1,SMALL(Dong2,ROWS($1:102)),),OFFSET(TH!K$1,SMALL(Dong2,ROWS($1:102)),)),0))</f>
        <v>0</v>
      </c>
      <c r="G113" s="1173">
        <f ca="1">IF(ROWS($1:102)&gt;COUNT(Dong2),"",IF(AND(IF($M$9="Q11",RIGHT(OFFSET(TH!G$1,SMALL(Dong2,ROWS($1:102)),),3)=$M$9,RIGHT(OFFSET(TH!G$1,SMALL(Dong2,ROWS($1:102)),),2)=$M$9),OFFSET(TH!O$1,SMALL(Dong2,ROWS($1:102)),)=$I$6),IF($I$6="1121",OFFSET(TH!M$1,SMALL(Dong2,ROWS($1:102)),),OFFSET(TH!K$1,SMALL(Dong2,ROWS($1:102)),)),0))</f>
        <v>20293420</v>
      </c>
      <c r="H113" s="947">
        <f t="shared" ca="1" si="1"/>
        <v>1009334791</v>
      </c>
      <c r="I113" s="947"/>
    </row>
    <row r="114" spans="1:9" s="191" customFormat="1" ht="20.25" customHeight="1">
      <c r="A114" s="202">
        <f ca="1">IF(ROWS($1:103)&gt;COUNT(Dong2),"",OFFSET(TH!C$1,SMALL(Dong2,ROWS($1:103)),))</f>
        <v>42549</v>
      </c>
      <c r="B114" s="202" t="str">
        <f ca="1">IF(ROWS($1:103)&gt;COUNT(Dong2),"",OFFSET(TH!D$1,SMALL(Dong2,ROWS($1:103)),))</f>
        <v>GBN</v>
      </c>
      <c r="C114" s="202">
        <f ca="1">IF(ROWS($1:103)&gt;COUNT(Dong2),"",OFFSET(TH!E$1,SMALL(Dong2,ROWS($1:103)),))</f>
        <v>42549</v>
      </c>
      <c r="D114" s="382" t="str">
        <f ca="1">IF(ROWS($1:103)&gt;COUNT(Dong2),"",OFFSET(TH!F$1,SMALL(Dong2,ROWS($1:103)),))</f>
        <v>Phí dịch vụ</v>
      </c>
      <c r="E114" s="202" t="str">
        <f ca="1">IF(ROWS($1:103)&gt;COUNT(Dong2),"",IF(OFFSET(TH!O$1,SMALL(Dong2,ROWS($1:103)),)=$I$6,OFFSET(TH!N$1,SMALL(Dong2,ROWS($1:103)),),OFFSET(TH!O$1,SMALL(Dong2,ROWS($1:103)),)))</f>
        <v>642</v>
      </c>
      <c r="F114" s="1173">
        <f ca="1">IF(ROWS($1:103)&gt;COUNT(Dong2),"",IF(AND(IF($M$9="Q11",LEFT(OFFSET(TH!G$1,SMALL(Dong2,ROWS($1:103)),),3)=$M$9,LEFT(OFFSET(TH!G$1,SMALL(Dong2,ROWS($1:103)),),2)=$M$9),OFFSET(TH!N$1,SMALL(Dong2,ROWS($1:103)),)=$I$6),IF($I$6="1121",OFFSET(TH!M$1,SMALL(Dong2,ROWS($1:103)),),OFFSET(TH!K$1,SMALL(Dong2,ROWS($1:103)),)),0))</f>
        <v>0</v>
      </c>
      <c r="G114" s="1173">
        <f ca="1">IF(ROWS($1:103)&gt;COUNT(Dong2),"",IF(AND(IF($M$9="Q11",RIGHT(OFFSET(TH!G$1,SMALL(Dong2,ROWS($1:103)),),3)=$M$9,RIGHT(OFFSET(TH!G$1,SMALL(Dong2,ROWS($1:103)),),2)=$M$9),OFFSET(TH!O$1,SMALL(Dong2,ROWS($1:103)),)=$I$6),IF($I$6="1121",OFFSET(TH!M$1,SMALL(Dong2,ROWS($1:103)),),OFFSET(TH!K$1,SMALL(Dong2,ROWS($1:103)),)),0))</f>
        <v>20000</v>
      </c>
      <c r="H114" s="947">
        <f t="shared" ca="1" si="1"/>
        <v>1009314791</v>
      </c>
      <c r="I114" s="947"/>
    </row>
    <row r="115" spans="1:9" s="191" customFormat="1" ht="20.25" customHeight="1">
      <c r="A115" s="202">
        <f ca="1">IF(ROWS($1:104)&gt;COUNT(Dong2),"",OFFSET(TH!C$1,SMALL(Dong2,ROWS($1:104)),))</f>
        <v>42549</v>
      </c>
      <c r="B115" s="202" t="str">
        <f ca="1">IF(ROWS($1:104)&gt;COUNT(Dong2),"",OFFSET(TH!D$1,SMALL(Dong2,ROWS($1:104)),))</f>
        <v>GBN</v>
      </c>
      <c r="C115" s="202">
        <f ca="1">IF(ROWS($1:104)&gt;COUNT(Dong2),"",OFFSET(TH!E$1,SMALL(Dong2,ROWS($1:104)),))</f>
        <v>42549</v>
      </c>
      <c r="D115" s="382" t="str">
        <f ca="1">IF(ROWS($1:104)&gt;COUNT(Dong2),"",OFFSET(TH!F$1,SMALL(Dong2,ROWS($1:104)),))</f>
        <v>VAT Phí dịch vụ</v>
      </c>
      <c r="E115" s="202" t="str">
        <f ca="1">IF(ROWS($1:104)&gt;COUNT(Dong2),"",IF(OFFSET(TH!O$1,SMALL(Dong2,ROWS($1:104)),)=$I$6,OFFSET(TH!N$1,SMALL(Dong2,ROWS($1:104)),),OFFSET(TH!O$1,SMALL(Dong2,ROWS($1:104)),)))</f>
        <v>1331</v>
      </c>
      <c r="F115" s="1173">
        <f ca="1">IF(ROWS($1:104)&gt;COUNT(Dong2),"",IF(AND(IF($M$9="Q11",LEFT(OFFSET(TH!G$1,SMALL(Dong2,ROWS($1:104)),),3)=$M$9,LEFT(OFFSET(TH!G$1,SMALL(Dong2,ROWS($1:104)),),2)=$M$9),OFFSET(TH!N$1,SMALL(Dong2,ROWS($1:104)),)=$I$6),IF($I$6="1121",OFFSET(TH!M$1,SMALL(Dong2,ROWS($1:104)),),OFFSET(TH!K$1,SMALL(Dong2,ROWS($1:104)),)),0))</f>
        <v>0</v>
      </c>
      <c r="G115" s="1173">
        <f ca="1">IF(ROWS($1:104)&gt;COUNT(Dong2),"",IF(AND(IF($M$9="Q11",RIGHT(OFFSET(TH!G$1,SMALL(Dong2,ROWS($1:104)),),3)=$M$9,RIGHT(OFFSET(TH!G$1,SMALL(Dong2,ROWS($1:104)),),2)=$M$9),OFFSET(TH!O$1,SMALL(Dong2,ROWS($1:104)),)=$I$6),IF($I$6="1121",OFFSET(TH!M$1,SMALL(Dong2,ROWS($1:104)),),OFFSET(TH!K$1,SMALL(Dong2,ROWS($1:104)),)),0))</f>
        <v>2000</v>
      </c>
      <c r="H115" s="947">
        <f t="shared" ca="1" si="1"/>
        <v>1009312791</v>
      </c>
      <c r="I115" s="947"/>
    </row>
    <row r="116" spans="1:9" s="191" customFormat="1" ht="20.25" customHeight="1">
      <c r="A116" s="202">
        <f ca="1">IF(ROWS($1:105)&gt;COUNT(Dong2),"",OFFSET(TH!C$1,SMALL(Dong2,ROWS($1:105)),))</f>
        <v>42549</v>
      </c>
      <c r="B116" s="202" t="str">
        <f ca="1">IF(ROWS($1:105)&gt;COUNT(Dong2),"",OFFSET(TH!D$1,SMALL(Dong2,ROWS($1:105)),))</f>
        <v>GBN</v>
      </c>
      <c r="C116" s="202">
        <f ca="1">IF(ROWS($1:105)&gt;COUNT(Dong2),"",OFFSET(TH!E$1,SMALL(Dong2,ROWS($1:105)),))</f>
        <v>42549</v>
      </c>
      <c r="D116" s="382" t="str">
        <f ca="1">IF(ROWS($1:105)&gt;COUNT(Dong2),"",OFFSET(TH!F$1,SMALL(Dong2,ROWS($1:105)),))</f>
        <v>Ứng vốn Trà Vinh</v>
      </c>
      <c r="E116" s="202" t="str">
        <f ca="1">IF(ROWS($1:105)&gt;COUNT(Dong2),"",IF(OFFSET(TH!O$1,SMALL(Dong2,ROWS($1:105)),)=$I$6,OFFSET(TH!N$1,SMALL(Dong2,ROWS($1:105)),),OFFSET(TH!O$1,SMALL(Dong2,ROWS($1:105)),)))</f>
        <v>1388</v>
      </c>
      <c r="F116" s="1173">
        <f ca="1">IF(ROWS($1:105)&gt;COUNT(Dong2),"",IF(AND(IF($M$9="Q11",LEFT(OFFSET(TH!G$1,SMALL(Dong2,ROWS($1:105)),),3)=$M$9,LEFT(OFFSET(TH!G$1,SMALL(Dong2,ROWS($1:105)),),2)=$M$9),OFFSET(TH!N$1,SMALL(Dong2,ROWS($1:105)),)=$I$6),IF($I$6="1121",OFFSET(TH!M$1,SMALL(Dong2,ROWS($1:105)),),OFFSET(TH!K$1,SMALL(Dong2,ROWS($1:105)),)),0))</f>
        <v>0</v>
      </c>
      <c r="G116" s="1173">
        <f ca="1">IF(ROWS($1:105)&gt;COUNT(Dong2),"",IF(AND(IF($M$9="Q11",RIGHT(OFFSET(TH!G$1,SMALL(Dong2,ROWS($1:105)),),3)=$M$9,RIGHT(OFFSET(TH!G$1,SMALL(Dong2,ROWS($1:105)),),2)=$M$9),OFFSET(TH!O$1,SMALL(Dong2,ROWS($1:105)),)=$I$6),IF($I$6="1121",OFFSET(TH!M$1,SMALL(Dong2,ROWS($1:105)),),OFFSET(TH!K$1,SMALL(Dong2,ROWS($1:105)),)),0))</f>
        <v>31000000</v>
      </c>
      <c r="H116" s="947">
        <f t="shared" ca="1" si="1"/>
        <v>978312791</v>
      </c>
      <c r="I116" s="947"/>
    </row>
    <row r="117" spans="1:9" s="191" customFormat="1" ht="20.25" customHeight="1">
      <c r="A117" s="202">
        <f ca="1">IF(ROWS($1:106)&gt;COUNT(Dong2),"",OFFSET(TH!C$1,SMALL(Dong2,ROWS($1:106)),))</f>
        <v>42549</v>
      </c>
      <c r="B117" s="202" t="str">
        <f ca="1">IF(ROWS($1:106)&gt;COUNT(Dong2),"",OFFSET(TH!D$1,SMALL(Dong2,ROWS($1:106)),))</f>
        <v>GBN</v>
      </c>
      <c r="C117" s="202">
        <f ca="1">IF(ROWS($1:106)&gt;COUNT(Dong2),"",OFFSET(TH!E$1,SMALL(Dong2,ROWS($1:106)),))</f>
        <v>42549</v>
      </c>
      <c r="D117" s="382" t="str">
        <f ca="1">IF(ROWS($1:106)&gt;COUNT(Dong2),"",OFFSET(TH!F$1,SMALL(Dong2,ROWS($1:106)),))</f>
        <v>Chuyển VNĐ</v>
      </c>
      <c r="E117" s="202" t="str">
        <f ca="1">IF(ROWS($1:106)&gt;COUNT(Dong2),"",IF(OFFSET(TH!O$1,SMALL(Dong2,ROWS($1:106)),)=$I$6,OFFSET(TH!N$1,SMALL(Dong2,ROWS($1:106)),),OFFSET(TH!O$1,SMALL(Dong2,ROWS($1:106)),)))</f>
        <v>1121</v>
      </c>
      <c r="F117" s="1173">
        <f ca="1">IF(ROWS($1:106)&gt;COUNT(Dong2),"",IF(AND(IF($M$9="Q11",LEFT(OFFSET(TH!G$1,SMALL(Dong2,ROWS($1:106)),),3)=$M$9,LEFT(OFFSET(TH!G$1,SMALL(Dong2,ROWS($1:106)),),2)=$M$9),OFFSET(TH!N$1,SMALL(Dong2,ROWS($1:106)),)=$I$6),IF($I$6="1121",OFFSET(TH!M$1,SMALL(Dong2,ROWS($1:106)),),OFFSET(TH!K$1,SMALL(Dong2,ROWS($1:106)),)),0))</f>
        <v>0</v>
      </c>
      <c r="G117" s="1173">
        <f ca="1">IF(ROWS($1:106)&gt;COUNT(Dong2),"",IF(AND(IF($M$9="Q11",RIGHT(OFFSET(TH!G$1,SMALL(Dong2,ROWS($1:106)),),3)=$M$9,RIGHT(OFFSET(TH!G$1,SMALL(Dong2,ROWS($1:106)),),2)=$M$9),OFFSET(TH!O$1,SMALL(Dong2,ROWS($1:106)),)=$I$6),IF($I$6="1121",OFFSET(TH!M$1,SMALL(Dong2,ROWS($1:106)),),OFFSET(TH!K$1,SMALL(Dong2,ROWS($1:106)),)),0))</f>
        <v>970000000</v>
      </c>
      <c r="H117" s="947">
        <f t="shared" ca="1" si="1"/>
        <v>8312791</v>
      </c>
      <c r="I117" s="947"/>
    </row>
    <row r="118" spans="1:9" s="191" customFormat="1" ht="20.25" customHeight="1">
      <c r="A118" s="202">
        <f ca="1">IF(ROWS($1:107)&gt;COUNT(Dong2),"",OFFSET(TH!C$1,SMALL(Dong2,ROWS($1:107)),))</f>
        <v>42551</v>
      </c>
      <c r="B118" s="202" t="str">
        <f ca="1">IF(ROWS($1:107)&gt;COUNT(Dong2),"",OFFSET(TH!D$1,SMALL(Dong2,ROWS($1:107)),))</f>
        <v>GBN</v>
      </c>
      <c r="C118" s="202">
        <f ca="1">IF(ROWS($1:107)&gt;COUNT(Dong2),"",OFFSET(TH!E$1,SMALL(Dong2,ROWS($1:107)),))</f>
        <v>42551</v>
      </c>
      <c r="D118" s="382" t="str">
        <f ca="1">IF(ROWS($1:107)&gt;COUNT(Dong2),"",OFFSET(TH!F$1,SMALL(Dong2,ROWS($1:107)),))</f>
        <v>Phí chuyển tiền</v>
      </c>
      <c r="E118" s="202" t="str">
        <f ca="1">IF(ROWS($1:107)&gt;COUNT(Dong2),"",IF(OFFSET(TH!O$1,SMALL(Dong2,ROWS($1:107)),)=$I$6,OFFSET(TH!N$1,SMALL(Dong2,ROWS($1:107)),),OFFSET(TH!O$1,SMALL(Dong2,ROWS($1:107)),)))</f>
        <v>642</v>
      </c>
      <c r="F118" s="1173">
        <f ca="1">IF(ROWS($1:107)&gt;COUNT(Dong2),"",IF(AND(IF($M$9="Q11",LEFT(OFFSET(TH!G$1,SMALL(Dong2,ROWS($1:107)),),3)=$M$9,LEFT(OFFSET(TH!G$1,SMALL(Dong2,ROWS($1:107)),),2)=$M$9),OFFSET(TH!N$1,SMALL(Dong2,ROWS($1:107)),)=$I$6),IF($I$6="1121",OFFSET(TH!M$1,SMALL(Dong2,ROWS($1:107)),),OFFSET(TH!K$1,SMALL(Dong2,ROWS($1:107)),)),0))</f>
        <v>0</v>
      </c>
      <c r="G118" s="1173">
        <f ca="1">IF(ROWS($1:107)&gt;COUNT(Dong2),"",IF(AND(IF($M$9="Q11",RIGHT(OFFSET(TH!G$1,SMALL(Dong2,ROWS($1:107)),),3)=$M$9,RIGHT(OFFSET(TH!G$1,SMALL(Dong2,ROWS($1:107)),),2)=$M$9),OFFSET(TH!O$1,SMALL(Dong2,ROWS($1:107)),)=$I$6),IF($I$6="1121",OFFSET(TH!M$1,SMALL(Dong2,ROWS($1:107)),),OFFSET(TH!K$1,SMALL(Dong2,ROWS($1:107)),)),0))</f>
        <v>67020</v>
      </c>
      <c r="H118" s="947">
        <f t="shared" ca="1" si="1"/>
        <v>8245771</v>
      </c>
      <c r="I118" s="947"/>
    </row>
    <row r="119" spans="1:9" s="191" customFormat="1" ht="20.25" customHeight="1">
      <c r="A119" s="202">
        <f ca="1">IF(ROWS($1:108)&gt;COUNT(Dong2),"",OFFSET(TH!C$1,SMALL(Dong2,ROWS($1:108)),))</f>
        <v>42551</v>
      </c>
      <c r="B119" s="202" t="str">
        <f ca="1">IF(ROWS($1:108)&gt;COUNT(Dong2),"",OFFSET(TH!D$1,SMALL(Dong2,ROWS($1:108)),))</f>
        <v>GBN</v>
      </c>
      <c r="C119" s="202">
        <f ca="1">IF(ROWS($1:108)&gt;COUNT(Dong2),"",OFFSET(TH!E$1,SMALL(Dong2,ROWS($1:108)),))</f>
        <v>42551</v>
      </c>
      <c r="D119" s="382" t="str">
        <f ca="1">IF(ROWS($1:108)&gt;COUNT(Dong2),"",OFFSET(TH!F$1,SMALL(Dong2,ROWS($1:108)),))</f>
        <v>VAT Phí chuyển tiền</v>
      </c>
      <c r="E119" s="202" t="str">
        <f ca="1">IF(ROWS($1:108)&gt;COUNT(Dong2),"",IF(OFFSET(TH!O$1,SMALL(Dong2,ROWS($1:108)),)=$I$6,OFFSET(TH!N$1,SMALL(Dong2,ROWS($1:108)),),OFFSET(TH!O$1,SMALL(Dong2,ROWS($1:108)),)))</f>
        <v>1331</v>
      </c>
      <c r="F119" s="1173">
        <f ca="1">IF(ROWS($1:108)&gt;COUNT(Dong2),"",IF(AND(IF($M$9="Q11",LEFT(OFFSET(TH!G$1,SMALL(Dong2,ROWS($1:108)),),3)=$M$9,LEFT(OFFSET(TH!G$1,SMALL(Dong2,ROWS($1:108)),),2)=$M$9),OFFSET(TH!N$1,SMALL(Dong2,ROWS($1:108)),)=$I$6),IF($I$6="1121",OFFSET(TH!M$1,SMALL(Dong2,ROWS($1:108)),),OFFSET(TH!K$1,SMALL(Dong2,ROWS($1:108)),)),0))</f>
        <v>0</v>
      </c>
      <c r="G119" s="1173">
        <f ca="1">IF(ROWS($1:108)&gt;COUNT(Dong2),"",IF(AND(IF($M$9="Q11",RIGHT(OFFSET(TH!G$1,SMALL(Dong2,ROWS($1:108)),),3)=$M$9,RIGHT(OFFSET(TH!G$1,SMALL(Dong2,ROWS($1:108)),),2)=$M$9),OFFSET(TH!O$1,SMALL(Dong2,ROWS($1:108)),)=$I$6),IF($I$6="1121",OFFSET(TH!M$1,SMALL(Dong2,ROWS($1:108)),),OFFSET(TH!K$1,SMALL(Dong2,ROWS($1:108)),)),0))</f>
        <v>6702</v>
      </c>
      <c r="H119" s="947">
        <f t="shared" ca="1" si="1"/>
        <v>8239069</v>
      </c>
      <c r="I119" s="947"/>
    </row>
    <row r="120" spans="1:9" s="191" customFormat="1" ht="20.25" customHeight="1">
      <c r="A120" s="202" t="str">
        <f ca="1">IF(ROWS($1:109)&gt;COUNT(Dong2),"",OFFSET(TH!C$1,SMALL(Dong2,ROWS($1:109)),))</f>
        <v/>
      </c>
      <c r="B120" s="202" t="str">
        <f ca="1">IF(ROWS($1:109)&gt;COUNT(Dong2),"",OFFSET(TH!D$1,SMALL(Dong2,ROWS($1:109)),))</f>
        <v/>
      </c>
      <c r="C120" s="202" t="str">
        <f ca="1">IF(ROWS($1:109)&gt;COUNT(Dong2),"",OFFSET(TH!E$1,SMALL(Dong2,ROWS($1:109)),))</f>
        <v/>
      </c>
      <c r="D120" s="382" t="str">
        <f ca="1">IF(ROWS($1:109)&gt;COUNT(Dong2),"",OFFSET(TH!F$1,SMALL(Dong2,ROWS($1:109)),))</f>
        <v/>
      </c>
      <c r="E120" s="202" t="str">
        <f ca="1">IF(ROWS($1:109)&gt;COUNT(Dong2),"",IF(OFFSET(TH!O$1,SMALL(Dong2,ROWS($1:109)),)=$I$6,OFFSET(TH!N$1,SMALL(Dong2,ROWS($1:109)),),OFFSET(TH!O$1,SMALL(Dong2,ROWS($1:109)),)))</f>
        <v/>
      </c>
      <c r="F120" s="1173" t="str">
        <f ca="1">IF(ROWS($1:109)&gt;COUNT(Dong2),"",IF(AND(IF($M$9="Q11",LEFT(OFFSET(TH!G$1,SMALL(Dong2,ROWS($1:109)),),3)=$M$9,LEFT(OFFSET(TH!G$1,SMALL(Dong2,ROWS($1:109)),),2)=$M$9),OFFSET(TH!N$1,SMALL(Dong2,ROWS($1:109)),)=$I$6),IF($I$6="1121",OFFSET(TH!M$1,SMALL(Dong2,ROWS($1:109)),),OFFSET(TH!K$1,SMALL(Dong2,ROWS($1:109)),)),0))</f>
        <v/>
      </c>
      <c r="G120" s="1173" t="str">
        <f ca="1">IF(ROWS($1:109)&gt;COUNT(Dong2),"",IF(AND(IF($M$9="Q11",RIGHT(OFFSET(TH!G$1,SMALL(Dong2,ROWS($1:109)),),3)=$M$9,RIGHT(OFFSET(TH!G$1,SMALL(Dong2,ROWS($1:109)),),2)=$M$9),OFFSET(TH!O$1,SMALL(Dong2,ROWS($1:109)),)=$I$6),IF($I$6="1121",OFFSET(TH!M$1,SMALL(Dong2,ROWS($1:109)),),OFFSET(TH!K$1,SMALL(Dong2,ROWS($1:109)),)),0))</f>
        <v/>
      </c>
      <c r="H120" s="947">
        <f t="shared" ca="1" si="1"/>
        <v>0</v>
      </c>
      <c r="I120" s="947"/>
    </row>
    <row r="121" spans="1:9" s="191" customFormat="1" ht="20.25" customHeight="1">
      <c r="A121" s="202" t="str">
        <f ca="1">IF(ROWS($1:110)&gt;COUNT(Dong2),"",OFFSET(TH!C$1,SMALL(Dong2,ROWS($1:110)),))</f>
        <v/>
      </c>
      <c r="B121" s="202" t="str">
        <f ca="1">IF(ROWS($1:110)&gt;COUNT(Dong2),"",OFFSET(TH!D$1,SMALL(Dong2,ROWS($1:110)),))</f>
        <v/>
      </c>
      <c r="C121" s="202" t="str">
        <f ca="1">IF(ROWS($1:110)&gt;COUNT(Dong2),"",OFFSET(TH!E$1,SMALL(Dong2,ROWS($1:110)),))</f>
        <v/>
      </c>
      <c r="D121" s="382" t="str">
        <f ca="1">IF(ROWS($1:110)&gt;COUNT(Dong2),"",OFFSET(TH!F$1,SMALL(Dong2,ROWS($1:110)),))</f>
        <v/>
      </c>
      <c r="E121" s="202" t="str">
        <f ca="1">IF(ROWS($1:110)&gt;COUNT(Dong2),"",IF(OFFSET(TH!O$1,SMALL(Dong2,ROWS($1:110)),)=$I$6,OFFSET(TH!N$1,SMALL(Dong2,ROWS($1:110)),),OFFSET(TH!O$1,SMALL(Dong2,ROWS($1:110)),)))</f>
        <v/>
      </c>
      <c r="F121" s="1173" t="str">
        <f ca="1">IF(ROWS($1:110)&gt;COUNT(Dong2),"",IF(AND(IF($M$9="Q11",LEFT(OFFSET(TH!G$1,SMALL(Dong2,ROWS($1:110)),),3)=$M$9,LEFT(OFFSET(TH!G$1,SMALL(Dong2,ROWS($1:110)),),2)=$M$9),OFFSET(TH!N$1,SMALL(Dong2,ROWS($1:110)),)=$I$6),IF($I$6="1121",OFFSET(TH!M$1,SMALL(Dong2,ROWS($1:110)),),OFFSET(TH!K$1,SMALL(Dong2,ROWS($1:110)),)),0))</f>
        <v/>
      </c>
      <c r="G121" s="1173" t="str">
        <f ca="1">IF(ROWS($1:110)&gt;COUNT(Dong2),"",IF(AND(IF($M$9="Q11",RIGHT(OFFSET(TH!G$1,SMALL(Dong2,ROWS($1:110)),),3)=$M$9,RIGHT(OFFSET(TH!G$1,SMALL(Dong2,ROWS($1:110)),),2)=$M$9),OFFSET(TH!O$1,SMALL(Dong2,ROWS($1:110)),)=$I$6),IF($I$6="1121",OFFSET(TH!M$1,SMALL(Dong2,ROWS($1:110)),),OFFSET(TH!K$1,SMALL(Dong2,ROWS($1:110)),)),0))</f>
        <v/>
      </c>
      <c r="H121" s="947">
        <f t="shared" ca="1" si="1"/>
        <v>0</v>
      </c>
      <c r="I121" s="947"/>
    </row>
    <row r="122" spans="1:9" s="191" customFormat="1" ht="20.25" customHeight="1">
      <c r="A122" s="202" t="str">
        <f ca="1">IF(ROWS($1:111)&gt;COUNT(Dong2),"",OFFSET(TH!C$1,SMALL(Dong2,ROWS($1:111)),))</f>
        <v/>
      </c>
      <c r="B122" s="202" t="str">
        <f ca="1">IF(ROWS($1:111)&gt;COUNT(Dong2),"",OFFSET(TH!D$1,SMALL(Dong2,ROWS($1:111)),))</f>
        <v/>
      </c>
      <c r="C122" s="202" t="str">
        <f ca="1">IF(ROWS($1:111)&gt;COUNT(Dong2),"",OFFSET(TH!E$1,SMALL(Dong2,ROWS($1:111)),))</f>
        <v/>
      </c>
      <c r="D122" s="382" t="str">
        <f ca="1">IF(ROWS($1:111)&gt;COUNT(Dong2),"",OFFSET(TH!F$1,SMALL(Dong2,ROWS($1:111)),))</f>
        <v/>
      </c>
      <c r="E122" s="202" t="str">
        <f ca="1">IF(ROWS($1:111)&gt;COUNT(Dong2),"",IF(OFFSET(TH!O$1,SMALL(Dong2,ROWS($1:111)),)=$I$6,OFFSET(TH!N$1,SMALL(Dong2,ROWS($1:111)),),OFFSET(TH!O$1,SMALL(Dong2,ROWS($1:111)),)))</f>
        <v/>
      </c>
      <c r="F122" s="1173" t="str">
        <f ca="1">IF(ROWS($1:111)&gt;COUNT(Dong2),"",IF(AND(IF($M$9="Q11",LEFT(OFFSET(TH!G$1,SMALL(Dong2,ROWS($1:111)),),3)=$M$9,LEFT(OFFSET(TH!G$1,SMALL(Dong2,ROWS($1:111)),),2)=$M$9),OFFSET(TH!N$1,SMALL(Dong2,ROWS($1:111)),)=$I$6),IF($I$6="1121",OFFSET(TH!M$1,SMALL(Dong2,ROWS($1:111)),),OFFSET(TH!K$1,SMALL(Dong2,ROWS($1:111)),)),0))</f>
        <v/>
      </c>
      <c r="G122" s="1173" t="str">
        <f ca="1">IF(ROWS($1:111)&gt;COUNT(Dong2),"",IF(AND(IF($M$9="Q11",RIGHT(OFFSET(TH!G$1,SMALL(Dong2,ROWS($1:111)),),3)=$M$9,RIGHT(OFFSET(TH!G$1,SMALL(Dong2,ROWS($1:111)),),2)=$M$9),OFFSET(TH!O$1,SMALL(Dong2,ROWS($1:111)),)=$I$6),IF($I$6="1121",OFFSET(TH!M$1,SMALL(Dong2,ROWS($1:111)),),OFFSET(TH!K$1,SMALL(Dong2,ROWS($1:111)),)),0))</f>
        <v/>
      </c>
      <c r="H122" s="947">
        <f t="shared" ca="1" si="1"/>
        <v>0</v>
      </c>
      <c r="I122" s="947"/>
    </row>
    <row r="123" spans="1:9" s="191" customFormat="1" ht="20.25" customHeight="1">
      <c r="A123" s="202" t="str">
        <f ca="1">IF(ROWS($1:112)&gt;COUNT(Dong2),"",OFFSET(TH!C$1,SMALL(Dong2,ROWS($1:112)),))</f>
        <v/>
      </c>
      <c r="B123" s="202" t="str">
        <f ca="1">IF(ROWS($1:112)&gt;COUNT(Dong2),"",OFFSET(TH!D$1,SMALL(Dong2,ROWS($1:112)),))</f>
        <v/>
      </c>
      <c r="C123" s="202" t="str">
        <f ca="1">IF(ROWS($1:112)&gt;COUNT(Dong2),"",OFFSET(TH!E$1,SMALL(Dong2,ROWS($1:112)),))</f>
        <v/>
      </c>
      <c r="D123" s="382" t="str">
        <f ca="1">IF(ROWS($1:112)&gt;COUNT(Dong2),"",OFFSET(TH!F$1,SMALL(Dong2,ROWS($1:112)),))</f>
        <v/>
      </c>
      <c r="E123" s="202" t="str">
        <f ca="1">IF(ROWS($1:112)&gt;COUNT(Dong2),"",IF(OFFSET(TH!O$1,SMALL(Dong2,ROWS($1:112)),)=$I$6,OFFSET(TH!N$1,SMALL(Dong2,ROWS($1:112)),),OFFSET(TH!O$1,SMALL(Dong2,ROWS($1:112)),)))</f>
        <v/>
      </c>
      <c r="F123" s="1173" t="str">
        <f ca="1">IF(ROWS($1:112)&gt;COUNT(Dong2),"",IF(AND(IF($M$9="Q11",LEFT(OFFSET(TH!G$1,SMALL(Dong2,ROWS($1:112)),),3)=$M$9,LEFT(OFFSET(TH!G$1,SMALL(Dong2,ROWS($1:112)),),2)=$M$9),OFFSET(TH!N$1,SMALL(Dong2,ROWS($1:112)),)=$I$6),IF($I$6="1121",OFFSET(TH!M$1,SMALL(Dong2,ROWS($1:112)),),OFFSET(TH!K$1,SMALL(Dong2,ROWS($1:112)),)),0))</f>
        <v/>
      </c>
      <c r="G123" s="1173" t="str">
        <f ca="1">IF(ROWS($1:112)&gt;COUNT(Dong2),"",IF(AND(IF($M$9="Q11",RIGHT(OFFSET(TH!G$1,SMALL(Dong2,ROWS($1:112)),),3)=$M$9,RIGHT(OFFSET(TH!G$1,SMALL(Dong2,ROWS($1:112)),),2)=$M$9),OFFSET(TH!O$1,SMALL(Dong2,ROWS($1:112)),)=$I$6),IF($I$6="1121",OFFSET(TH!M$1,SMALL(Dong2,ROWS($1:112)),),OFFSET(TH!K$1,SMALL(Dong2,ROWS($1:112)),)),0))</f>
        <v/>
      </c>
      <c r="H123" s="947">
        <f t="shared" ca="1" si="1"/>
        <v>0</v>
      </c>
      <c r="I123" s="947"/>
    </row>
    <row r="124" spans="1:9" s="191" customFormat="1" ht="20.25" customHeight="1">
      <c r="A124" s="202"/>
      <c r="B124" s="202"/>
      <c r="C124" s="202"/>
      <c r="D124" s="382"/>
      <c r="E124" s="202"/>
      <c r="F124" s="1173"/>
      <c r="G124" s="1173"/>
      <c r="H124" s="947"/>
      <c r="I124" s="947"/>
    </row>
    <row r="125" spans="1:9" s="201" customFormat="1" ht="20.25" customHeight="1">
      <c r="A125" s="203"/>
      <c r="B125" s="204"/>
      <c r="C125" s="203"/>
      <c r="D125" s="200" t="s">
        <v>158</v>
      </c>
      <c r="E125" s="205"/>
      <c r="F125" s="946">
        <f ca="1">SUM(F12:F124)</f>
        <v>11048381632</v>
      </c>
      <c r="G125" s="946">
        <f ca="1">SUM(G12:G124)</f>
        <v>11046418796</v>
      </c>
      <c r="H125" s="946">
        <f ca="1">H11+F125-G125</f>
        <v>8239069</v>
      </c>
      <c r="I125" s="948"/>
    </row>
    <row r="126" spans="1:9" s="201" customFormat="1" ht="20.25" customHeight="1">
      <c r="A126" s="203"/>
      <c r="B126" s="204"/>
      <c r="C126" s="203"/>
      <c r="D126" s="200" t="s">
        <v>10</v>
      </c>
      <c r="E126" s="205"/>
      <c r="F126" s="946"/>
      <c r="G126" s="946"/>
      <c r="H126" s="946">
        <f ca="1">H125</f>
        <v>8239069</v>
      </c>
      <c r="I126" s="205"/>
    </row>
    <row r="127" spans="1:9" s="201" customFormat="1" ht="22.5" customHeight="1">
      <c r="A127" s="420" t="s">
        <v>234</v>
      </c>
      <c r="B127" s="206"/>
      <c r="F127" s="207"/>
      <c r="H127" s="1154"/>
      <c r="I127" s="208"/>
    </row>
    <row r="128" spans="1:9" s="201" customFormat="1" ht="12.75">
      <c r="A128" s="227" t="str">
        <f ca="1">"- Ngày mở sổ: "&amp;DAY($A$12)&amp;"/"&amp;MONTH($A$12)&amp;"/ 2015"</f>
        <v>- Ngày mở sổ: 2/6/ 2015</v>
      </c>
      <c r="B128" s="209"/>
      <c r="F128" s="207"/>
      <c r="H128" s="1154"/>
      <c r="I128" s="208"/>
    </row>
    <row r="129" spans="1:12" s="201" customFormat="1" ht="12.75">
      <c r="A129" s="210"/>
      <c r="B129" s="211"/>
      <c r="C129" s="212"/>
      <c r="F129" s="207"/>
      <c r="G129" s="317" t="str">
        <f>"Ngày "&amp;IF(OR($K$9=4,$K$9=6,$K$9=9,$K$9=11),"30",IF($K$9=2,"28","31"))&amp;" tháng "&amp;$K$9&amp;"  năm  2016 "</f>
        <v xml:space="preserve">Ngày 30 tháng 6  năm  2016 </v>
      </c>
      <c r="H129" s="1154"/>
    </row>
    <row r="130" spans="1:12" s="201" customFormat="1" ht="17.25" customHeight="1">
      <c r="B130" s="213" t="s">
        <v>11</v>
      </c>
      <c r="D130" s="213" t="s">
        <v>12</v>
      </c>
      <c r="F130" s="214"/>
      <c r="G130" s="362" t="s">
        <v>131</v>
      </c>
      <c r="H130" s="1155"/>
      <c r="I130" s="383"/>
      <c r="J130" s="215"/>
      <c r="K130" s="210"/>
      <c r="L130" s="210"/>
    </row>
    <row r="131" spans="1:12" s="201" customFormat="1" ht="12.75">
      <c r="B131" s="363" t="s">
        <v>13</v>
      </c>
      <c r="D131" s="216" t="s">
        <v>13</v>
      </c>
      <c r="F131" s="217"/>
      <c r="G131" s="364" t="s">
        <v>161</v>
      </c>
      <c r="H131" s="1154"/>
      <c r="K131" s="218"/>
      <c r="L131" s="218"/>
    </row>
    <row r="138" spans="1:12">
      <c r="B138" s="371" t="s">
        <v>229</v>
      </c>
      <c r="G138" s="384" t="s">
        <v>125</v>
      </c>
    </row>
  </sheetData>
  <autoFilter ref="A10:K128"/>
  <mergeCells count="14">
    <mergeCell ref="I8:I9"/>
    <mergeCell ref="E6:G6"/>
    <mergeCell ref="A8:A9"/>
    <mergeCell ref="B8:C8"/>
    <mergeCell ref="D8:D9"/>
    <mergeCell ref="E8:E9"/>
    <mergeCell ref="F8:H8"/>
    <mergeCell ref="O6:O7"/>
    <mergeCell ref="P6:P7"/>
    <mergeCell ref="Q6:Q7"/>
    <mergeCell ref="S6:S7"/>
    <mergeCell ref="A4:I4"/>
    <mergeCell ref="A5:I5"/>
    <mergeCell ref="R6:R7"/>
  </mergeCells>
  <dataValidations count="3">
    <dataValidation type="list" allowBlank="1" showInputMessage="1" showErrorMessage="1" sqref="H6">
      <formula1>"VNĐ,USD"</formula1>
    </dataValidation>
    <dataValidation type="list" allowBlank="1" showInputMessage="1" showErrorMessage="1" sqref="K9">
      <formula1>"1,2,3,4,5,6,7,8,9,11,12"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tabColor rgb="FF00B0F0"/>
  </sheetPr>
  <dimension ref="A1:N25"/>
  <sheetViews>
    <sheetView workbookViewId="0">
      <pane xSplit="2" ySplit="4" topLeftCell="E5" activePane="bottomRight" state="frozen"/>
      <selection activeCell="B5" sqref="B5"/>
      <selection pane="topRight" activeCell="B5" sqref="B5"/>
      <selection pane="bottomLeft" activeCell="B5" sqref="B5"/>
      <selection pane="bottomRight" activeCell="I25" sqref="I25"/>
    </sheetView>
  </sheetViews>
  <sheetFormatPr defaultColWidth="8" defaultRowHeight="13.5"/>
  <cols>
    <col min="1" max="1" width="4.28515625" style="881" customWidth="1"/>
    <col min="2" max="2" width="34" style="881" customWidth="1"/>
    <col min="3" max="3" width="10.5703125" style="230" customWidth="1"/>
    <col min="4" max="4" width="14" style="882" customWidth="1"/>
    <col min="5" max="5" width="10.85546875" style="230" customWidth="1"/>
    <col min="6" max="6" width="14" style="882" customWidth="1"/>
    <col min="7" max="7" width="12.7109375" style="230" customWidth="1"/>
    <col min="8" max="8" width="15.7109375" style="882" customWidth="1"/>
    <col min="9" max="9" width="15.5703125" style="230" customWidth="1"/>
    <col min="10" max="10" width="14.7109375" style="882" customWidth="1"/>
    <col min="11" max="11" width="11.140625" style="230" customWidth="1"/>
    <col min="12" max="12" width="12.5703125" style="882" customWidth="1"/>
    <col min="13" max="13" width="14.5703125" style="230" customWidth="1"/>
    <col min="14" max="14" width="14.42578125" style="882" customWidth="1"/>
    <col min="15" max="16384" width="8" style="881"/>
  </cols>
  <sheetData>
    <row r="1" spans="1:14" ht="21" customHeight="1">
      <c r="A1" s="1300" t="s">
        <v>606</v>
      </c>
      <c r="B1" s="1300"/>
      <c r="C1" s="1300"/>
      <c r="D1" s="1300"/>
      <c r="E1" s="1300"/>
      <c r="F1" s="1300"/>
      <c r="G1" s="1300"/>
      <c r="H1" s="1300"/>
      <c r="I1" s="1300"/>
      <c r="J1" s="1300"/>
      <c r="K1" s="1300"/>
      <c r="L1" s="1300"/>
      <c r="M1" s="1300"/>
      <c r="N1" s="1300"/>
    </row>
    <row r="2" spans="1:14" s="10" customFormat="1" ht="15.75" customHeight="1">
      <c r="A2" s="1301" t="s">
        <v>37</v>
      </c>
      <c r="B2" s="1299" t="s">
        <v>38</v>
      </c>
      <c r="C2" s="894" t="s">
        <v>39</v>
      </c>
      <c r="D2" s="893"/>
      <c r="E2" s="894"/>
      <c r="F2" s="893"/>
      <c r="G2" s="894" t="s">
        <v>40</v>
      </c>
      <c r="H2" s="893"/>
      <c r="I2" s="894"/>
      <c r="J2" s="893"/>
      <c r="K2" s="894" t="s">
        <v>44</v>
      </c>
      <c r="L2" s="893"/>
      <c r="M2" s="894"/>
      <c r="N2" s="893"/>
    </row>
    <row r="3" spans="1:14" s="10" customFormat="1" ht="15.75" customHeight="1">
      <c r="A3" s="1301"/>
      <c r="B3" s="1299"/>
      <c r="C3" s="1299" t="s">
        <v>45</v>
      </c>
      <c r="D3" s="1299"/>
      <c r="E3" s="1299" t="s">
        <v>46</v>
      </c>
      <c r="F3" s="1299"/>
      <c r="G3" s="1299" t="s">
        <v>45</v>
      </c>
      <c r="H3" s="1299"/>
      <c r="I3" s="1299" t="s">
        <v>46</v>
      </c>
      <c r="J3" s="1299"/>
      <c r="K3" s="1299" t="s">
        <v>45</v>
      </c>
      <c r="L3" s="1299"/>
      <c r="M3" s="1299" t="s">
        <v>46</v>
      </c>
      <c r="N3" s="1299"/>
    </row>
    <row r="4" spans="1:14" s="10" customFormat="1" ht="15.75" customHeight="1">
      <c r="A4" s="1301"/>
      <c r="B4" s="1299"/>
      <c r="C4" s="992" t="s">
        <v>246</v>
      </c>
      <c r="D4" s="892" t="s">
        <v>605</v>
      </c>
      <c r="E4" s="992" t="s">
        <v>246</v>
      </c>
      <c r="F4" s="892" t="s">
        <v>605</v>
      </c>
      <c r="G4" s="992" t="s">
        <v>246</v>
      </c>
      <c r="H4" s="892" t="s">
        <v>605</v>
      </c>
      <c r="I4" s="992" t="s">
        <v>246</v>
      </c>
      <c r="J4" s="892" t="s">
        <v>605</v>
      </c>
      <c r="K4" s="992" t="s">
        <v>246</v>
      </c>
      <c r="L4" s="892" t="s">
        <v>605</v>
      </c>
      <c r="M4" s="992" t="s">
        <v>246</v>
      </c>
      <c r="N4" s="892" t="s">
        <v>605</v>
      </c>
    </row>
    <row r="5" spans="1:14" s="10" customFormat="1" ht="18" customHeight="1">
      <c r="A5" s="891">
        <f>IF(B5&lt;&gt;"",ROW()-4,"")</f>
        <v>1</v>
      </c>
      <c r="B5" s="994" t="s">
        <v>604</v>
      </c>
      <c r="C5" s="995">
        <v>0</v>
      </c>
      <c r="D5" s="996">
        <v>0</v>
      </c>
      <c r="E5" s="995">
        <v>0</v>
      </c>
      <c r="F5" s="996">
        <v>0</v>
      </c>
      <c r="G5" s="995">
        <f t="array" ref="G5">SUM(IF("131"&amp;B5=KHN&amp;KH,_TH))</f>
        <v>0</v>
      </c>
      <c r="H5" s="996">
        <f t="array" ref="H5">SUM(IF("131"&amp;B5=KHN&amp;KH,TH))</f>
        <v>0</v>
      </c>
      <c r="I5" s="995">
        <f t="array" ref="I5">SUM(IF("131"&amp;B5=KHC&amp;KH,_TH))</f>
        <v>0</v>
      </c>
      <c r="J5" s="996">
        <f t="array" ref="J5">SUM(IF("131"&amp;B5=KHC&amp;KH,TH))</f>
        <v>0</v>
      </c>
      <c r="K5" s="890">
        <f t="shared" ref="K5:K11" si="0">ROUND(MAX(C5+G5-E5-I5,0),2)</f>
        <v>0</v>
      </c>
      <c r="L5" s="889">
        <f t="shared" ref="L5:L11" si="1">ROUND(MAX(D5+H5-F5-J5,0),0)</f>
        <v>0</v>
      </c>
      <c r="M5" s="890">
        <f t="shared" ref="M5:M11" si="2">ROUND(MAX(E5+I5-C5-G5,0),2)</f>
        <v>0</v>
      </c>
      <c r="N5" s="889">
        <f t="shared" ref="N5:N11" si="3">ROUND(MAX(F5+J5-D5-H5,0),0)</f>
        <v>0</v>
      </c>
    </row>
    <row r="6" spans="1:14" s="10" customFormat="1" ht="18" customHeight="1">
      <c r="A6" s="891">
        <f t="shared" ref="A6:A19" si="4">IF(B6&lt;&gt;"",ROW()-4,"")</f>
        <v>2</v>
      </c>
      <c r="B6" s="7" t="s">
        <v>603</v>
      </c>
      <c r="C6" s="887">
        <v>0</v>
      </c>
      <c r="D6" s="886">
        <v>0</v>
      </c>
      <c r="E6" s="887">
        <v>0</v>
      </c>
      <c r="F6" s="886">
        <v>0</v>
      </c>
      <c r="G6" s="887">
        <f t="array" ref="G6">SUM(IF("131"&amp;B6=KHN&amp;KH,_TH))</f>
        <v>0</v>
      </c>
      <c r="H6" s="886">
        <f t="array" ref="H6">SUM(IF("131"&amp;B6=KHN&amp;KH,TH))</f>
        <v>0</v>
      </c>
      <c r="I6" s="887">
        <f t="array" ref="I6">SUM(IF("131"&amp;B6=KHC&amp;KH,_TH))</f>
        <v>0</v>
      </c>
      <c r="J6" s="886">
        <f t="array" ref="J6">SUM(IF("131"&amp;B6=KHC&amp;KH,TH))</f>
        <v>0</v>
      </c>
      <c r="K6" s="885">
        <f t="shared" si="0"/>
        <v>0</v>
      </c>
      <c r="L6" s="415">
        <f t="shared" si="1"/>
        <v>0</v>
      </c>
      <c r="M6" s="885">
        <f t="shared" si="2"/>
        <v>0</v>
      </c>
      <c r="N6" s="415">
        <f t="shared" si="3"/>
        <v>0</v>
      </c>
    </row>
    <row r="7" spans="1:14" s="10" customFormat="1" ht="18" customHeight="1">
      <c r="A7" s="891">
        <f t="shared" si="4"/>
        <v>3</v>
      </c>
      <c r="B7" s="7" t="s">
        <v>602</v>
      </c>
      <c r="C7" s="887">
        <v>44066.42</v>
      </c>
      <c r="D7" s="886">
        <v>986296391</v>
      </c>
      <c r="E7" s="887">
        <v>0</v>
      </c>
      <c r="F7" s="886">
        <v>0</v>
      </c>
      <c r="G7" s="887">
        <f t="array" ref="G7">SUM(IF("131"&amp;B7=KHN&amp;KH,_TH))</f>
        <v>0</v>
      </c>
      <c r="H7" s="886">
        <f t="array" ref="H7">SUM(IF("131"&amp;B7=KHN&amp;KH,TH))</f>
        <v>0</v>
      </c>
      <c r="I7" s="887">
        <f t="array" ref="I7">SUM(IF("131"&amp;B7=KHC&amp;KH,_TH))</f>
        <v>4997</v>
      </c>
      <c r="J7" s="886">
        <f t="array" ref="J7">SUM(IF("131"&amp;B7=KHC&amp;KH,TH))</f>
        <v>111333160</v>
      </c>
      <c r="K7" s="885">
        <f t="shared" si="0"/>
        <v>39069.42</v>
      </c>
      <c r="L7" s="415">
        <f t="shared" si="1"/>
        <v>874963231</v>
      </c>
      <c r="M7" s="885">
        <f t="shared" si="2"/>
        <v>0</v>
      </c>
      <c r="N7" s="415">
        <f t="shared" si="3"/>
        <v>0</v>
      </c>
    </row>
    <row r="8" spans="1:14" s="10" customFormat="1" ht="18" customHeight="1">
      <c r="A8" s="891">
        <f t="shared" si="4"/>
        <v>4</v>
      </c>
      <c r="B8" s="7" t="s">
        <v>601</v>
      </c>
      <c r="C8" s="887">
        <v>0</v>
      </c>
      <c r="D8" s="887">
        <v>0</v>
      </c>
      <c r="E8" s="887">
        <v>0</v>
      </c>
      <c r="F8" s="886">
        <v>0</v>
      </c>
      <c r="G8" s="887">
        <f t="array" ref="G8">SUM(IF("131"&amp;B8=KHN&amp;KH,_TH))</f>
        <v>232073</v>
      </c>
      <c r="H8" s="886">
        <f t="array" ref="H8">SUM(IF("131"&amp;B8=KHN&amp;KH,TH))</f>
        <v>5182241650</v>
      </c>
      <c r="I8" s="887">
        <f t="array" ref="I8">SUM(IF("131"&amp;B8=KHC&amp;KH,_TH))</f>
        <v>232073.00000000003</v>
      </c>
      <c r="J8" s="886">
        <f t="array" ref="J8">SUM(IF("131"&amp;B8=KHC&amp;KH,TH))</f>
        <v>5182241650</v>
      </c>
      <c r="K8" s="885">
        <f t="shared" si="0"/>
        <v>0</v>
      </c>
      <c r="L8" s="415">
        <f t="shared" si="1"/>
        <v>0</v>
      </c>
      <c r="M8" s="885">
        <f t="shared" si="2"/>
        <v>0</v>
      </c>
      <c r="N8" s="415">
        <f t="shared" si="3"/>
        <v>0</v>
      </c>
    </row>
    <row r="9" spans="1:14" s="10" customFormat="1" ht="18" customHeight="1">
      <c r="A9" s="891">
        <f t="shared" si="4"/>
        <v>5</v>
      </c>
      <c r="B9" s="7" t="s">
        <v>600</v>
      </c>
      <c r="C9" s="887">
        <v>103545</v>
      </c>
      <c r="D9" s="887">
        <v>2233983375</v>
      </c>
      <c r="E9" s="887">
        <v>0</v>
      </c>
      <c r="F9" s="887">
        <v>0</v>
      </c>
      <c r="G9" s="887">
        <f t="array" ref="G9">SUM(IF("131"&amp;B9=KHN&amp;KH,_TH))</f>
        <v>0</v>
      </c>
      <c r="H9" s="886">
        <f t="array" ref="H9">SUM(IF("131"&amp;B9=KHN&amp;KH,TH))</f>
        <v>0</v>
      </c>
      <c r="I9" s="887">
        <f t="array" ref="I9">SUM(IF("131"&amp;B9=KHC&amp;KH,_TH))</f>
        <v>0</v>
      </c>
      <c r="J9" s="886">
        <f t="array" ref="J9">SUM(IF("131"&amp;B9=KHC&amp;KH,TH))</f>
        <v>0</v>
      </c>
      <c r="K9" s="885">
        <f t="shared" si="0"/>
        <v>103545</v>
      </c>
      <c r="L9" s="415">
        <f t="shared" si="1"/>
        <v>2233983375</v>
      </c>
      <c r="M9" s="885">
        <f t="shared" si="2"/>
        <v>0</v>
      </c>
      <c r="N9" s="415">
        <f t="shared" si="3"/>
        <v>0</v>
      </c>
    </row>
    <row r="10" spans="1:14" s="10" customFormat="1" ht="18" customHeight="1">
      <c r="A10" s="891">
        <f t="shared" si="4"/>
        <v>6</v>
      </c>
      <c r="B10" s="7" t="s">
        <v>599</v>
      </c>
      <c r="C10" s="887">
        <v>5219.6400000000003</v>
      </c>
      <c r="D10" s="887">
        <v>123101834</v>
      </c>
      <c r="E10" s="887">
        <v>0</v>
      </c>
      <c r="F10" s="887">
        <v>0</v>
      </c>
      <c r="G10" s="887">
        <f t="array" ref="G10">SUM(IF("131"&amp;B10=KHN&amp;KH,_TH))</f>
        <v>208335</v>
      </c>
      <c r="H10" s="886">
        <f t="array" ref="H10">SUM(IF("131"&amp;B10=KHN&amp;KH,TH))</f>
        <v>4640606700</v>
      </c>
      <c r="I10" s="887">
        <f t="array" ref="I10">SUM(IF("131"&amp;B10=KHC&amp;KH,_TH))</f>
        <v>213554.64</v>
      </c>
      <c r="J10" s="886">
        <f t="array" ref="J10">SUM(IF("131"&amp;B10=KHC&amp;KH,TH))</f>
        <v>4763708534</v>
      </c>
      <c r="K10" s="885">
        <f t="shared" si="0"/>
        <v>0</v>
      </c>
      <c r="L10" s="415">
        <f t="shared" si="1"/>
        <v>0</v>
      </c>
      <c r="M10" s="885">
        <f t="shared" si="2"/>
        <v>0</v>
      </c>
      <c r="N10" s="415">
        <f t="shared" si="3"/>
        <v>0</v>
      </c>
    </row>
    <row r="11" spans="1:14" s="10" customFormat="1" ht="18" customHeight="1">
      <c r="A11" s="891">
        <f t="shared" si="4"/>
        <v>7</v>
      </c>
      <c r="B11" s="888" t="s">
        <v>598</v>
      </c>
      <c r="C11" s="887">
        <v>0</v>
      </c>
      <c r="D11" s="887">
        <v>0</v>
      </c>
      <c r="E11" s="887">
        <v>0</v>
      </c>
      <c r="F11" s="887">
        <v>0</v>
      </c>
      <c r="G11" s="887">
        <f t="array" ref="G11">SUM(IF("131"&amp;B11=KHN&amp;KH,_TH))</f>
        <v>125280</v>
      </c>
      <c r="H11" s="886">
        <f t="array" ref="H11">SUM(IF("131"&amp;B11=KHN&amp;KH,TH))</f>
        <v>2795975999</v>
      </c>
      <c r="I11" s="887">
        <f t="array" ref="I11">SUM(IF("131"&amp;B11=KHC&amp;KH,_TH))</f>
        <v>125280</v>
      </c>
      <c r="J11" s="886">
        <f t="array" ref="J11">SUM(IF("131"&amp;B11=KHC&amp;KH,TH))</f>
        <v>2795975999</v>
      </c>
      <c r="K11" s="885">
        <f t="shared" si="0"/>
        <v>0</v>
      </c>
      <c r="L11" s="415">
        <f t="shared" si="1"/>
        <v>0</v>
      </c>
      <c r="M11" s="885">
        <f t="shared" si="2"/>
        <v>0</v>
      </c>
      <c r="N11" s="415">
        <f t="shared" si="3"/>
        <v>0</v>
      </c>
    </row>
    <row r="12" spans="1:14" s="10" customFormat="1" ht="18" customHeight="1">
      <c r="A12" s="891">
        <f t="shared" si="4"/>
        <v>8</v>
      </c>
      <c r="B12" s="888" t="s">
        <v>1370</v>
      </c>
      <c r="C12" s="887">
        <v>0</v>
      </c>
      <c r="D12" s="887">
        <v>0</v>
      </c>
      <c r="E12" s="887">
        <v>0</v>
      </c>
      <c r="F12" s="887">
        <v>0</v>
      </c>
      <c r="G12" s="887">
        <f t="array" ref="G12">SUM(IF("131"&amp;B12=KHN&amp;KH,_TH))</f>
        <v>76560</v>
      </c>
      <c r="H12" s="886">
        <f t="array" ref="H12">SUM(IF("131"&amp;B12=KHN&amp;KH,TH))</f>
        <v>1704225600</v>
      </c>
      <c r="I12" s="887">
        <f t="array" ref="I12">SUM(IF("131"&amp;B12=KHC&amp;KH,_TH))</f>
        <v>76560.000000000015</v>
      </c>
      <c r="J12" s="886">
        <f t="array" ref="J12">SUM(IF("131"&amp;B12=KHC&amp;KH,TH))</f>
        <v>1704225600</v>
      </c>
      <c r="K12" s="885">
        <f t="shared" ref="K12:K19" si="5">ROUND(MAX(C12+G12-E12-I12,0),2)</f>
        <v>0</v>
      </c>
      <c r="L12" s="415">
        <f t="shared" ref="L12:L19" si="6">ROUND(MAX(D12+H12-F12-J12,0),0)</f>
        <v>0</v>
      </c>
      <c r="M12" s="885">
        <f t="shared" ref="M12:M19" si="7">ROUND(MAX(E12+I12-C12-G12,0),2)</f>
        <v>0</v>
      </c>
      <c r="N12" s="415">
        <f t="shared" ref="N12:N19" si="8">ROUND(MAX(F12+J12-D12-H12,0),0)</f>
        <v>0</v>
      </c>
    </row>
    <row r="13" spans="1:14" s="10" customFormat="1" ht="18" customHeight="1">
      <c r="A13" s="891">
        <f t="shared" si="4"/>
        <v>9</v>
      </c>
      <c r="B13" s="888" t="s">
        <v>1546</v>
      </c>
      <c r="C13" s="887">
        <v>0</v>
      </c>
      <c r="D13" s="887">
        <v>0</v>
      </c>
      <c r="E13" s="887">
        <v>0</v>
      </c>
      <c r="F13" s="887">
        <v>0</v>
      </c>
      <c r="G13" s="887">
        <f t="array" ref="G13">SUM(IF("131"&amp;B13=KHN&amp;KH,_TH))</f>
        <v>17942.5</v>
      </c>
      <c r="H13" s="886">
        <f t="array" ref="H13">SUM(IF("131"&amp;B13=KHN&amp;KH,TH))</f>
        <v>399636250</v>
      </c>
      <c r="I13" s="887">
        <f t="array" ref="I13">SUM(IF("131"&amp;B13=KHC&amp;KH,_TH))</f>
        <v>8634.1699999999983</v>
      </c>
      <c r="J13" s="886">
        <f t="array" ref="J13">SUM(IF("131"&amp;B13=KHC&amp;KH,TH))</f>
        <v>458225821</v>
      </c>
      <c r="K13" s="885">
        <f t="shared" si="5"/>
        <v>9308.33</v>
      </c>
      <c r="L13" s="415">
        <f t="shared" si="6"/>
        <v>0</v>
      </c>
      <c r="M13" s="885">
        <f t="shared" si="7"/>
        <v>0</v>
      </c>
      <c r="N13" s="415">
        <f t="shared" si="8"/>
        <v>58589571</v>
      </c>
    </row>
    <row r="14" spans="1:14" s="10" customFormat="1" ht="18" customHeight="1">
      <c r="A14" s="891">
        <f t="shared" si="4"/>
        <v>10</v>
      </c>
      <c r="B14" s="73" t="s">
        <v>1559</v>
      </c>
      <c r="C14" s="887">
        <v>0</v>
      </c>
      <c r="D14" s="887">
        <v>0</v>
      </c>
      <c r="E14" s="887">
        <v>0</v>
      </c>
      <c r="F14" s="887">
        <v>0</v>
      </c>
      <c r="G14" s="887">
        <f t="array" ref="G14">SUM(IF("131"&amp;B14=KHN&amp;KH,_TH))</f>
        <v>154500</v>
      </c>
      <c r="H14" s="886">
        <f t="array" ref="H14">SUM(IF("131"&amp;B14=KHN&amp;KH,TH))</f>
        <v>3453662500</v>
      </c>
      <c r="I14" s="887">
        <f t="array" ref="I14">SUM(IF("131"&amp;B14=KHC&amp;KH,_TH))</f>
        <v>154500</v>
      </c>
      <c r="J14" s="886">
        <f t="array" ref="J14">SUM(IF("131"&amp;B14=KHC&amp;KH,TH))</f>
        <v>3453662500</v>
      </c>
      <c r="K14" s="885">
        <f t="shared" si="5"/>
        <v>0</v>
      </c>
      <c r="L14" s="415">
        <f t="shared" si="6"/>
        <v>0</v>
      </c>
      <c r="M14" s="885">
        <f t="shared" si="7"/>
        <v>0</v>
      </c>
      <c r="N14" s="415">
        <f t="shared" si="8"/>
        <v>0</v>
      </c>
    </row>
    <row r="15" spans="1:14" s="10" customFormat="1" ht="18" customHeight="1">
      <c r="A15" s="891">
        <f t="shared" si="4"/>
        <v>11</v>
      </c>
      <c r="B15" s="73" t="s">
        <v>1695</v>
      </c>
      <c r="C15" s="887">
        <v>0</v>
      </c>
      <c r="D15" s="887">
        <v>0</v>
      </c>
      <c r="E15" s="887">
        <v>0</v>
      </c>
      <c r="F15" s="887">
        <v>0</v>
      </c>
      <c r="G15" s="887">
        <f t="array" ref="G15">SUM(IF("131"&amp;B15=KHN&amp;KH,_TH))</f>
        <v>174900</v>
      </c>
      <c r="H15" s="886">
        <f t="array" ref="H15">SUM(IF("131"&amp;B15=KHN&amp;KH,TH))</f>
        <v>3906746722</v>
      </c>
      <c r="I15" s="887">
        <f t="array" ref="I15">SUM(IF("131"&amp;B15=KHC&amp;KH,_TH))</f>
        <v>174900.00100000002</v>
      </c>
      <c r="J15" s="886">
        <f t="array" ref="J15">SUM(IF("131"&amp;B15=KHC&amp;KH,TH))</f>
        <v>3906746722</v>
      </c>
      <c r="K15" s="885">
        <f t="shared" si="5"/>
        <v>0</v>
      </c>
      <c r="L15" s="415">
        <f t="shared" si="6"/>
        <v>0</v>
      </c>
      <c r="M15" s="885">
        <f t="shared" si="7"/>
        <v>0</v>
      </c>
      <c r="N15" s="415">
        <f t="shared" si="8"/>
        <v>0</v>
      </c>
    </row>
    <row r="16" spans="1:14" s="10" customFormat="1" ht="18" customHeight="1">
      <c r="A16" s="891">
        <f t="shared" si="4"/>
        <v>12</v>
      </c>
      <c r="B16" s="96" t="s">
        <v>1775</v>
      </c>
      <c r="C16" s="993"/>
      <c r="D16" s="993"/>
      <c r="E16" s="887"/>
      <c r="F16" s="887"/>
      <c r="G16" s="887">
        <f t="array" ref="G16">SUM(IF("131"&amp;B16=KHN&amp;KH,_TH))</f>
        <v>0</v>
      </c>
      <c r="H16" s="886">
        <f t="array" ref="H16">SUM(IF("131"&amp;B16=KHN&amp;KH,TH))</f>
        <v>629501191</v>
      </c>
      <c r="I16" s="887">
        <f t="array" ref="I16">SUM(IF("131"&amp;B16=KHC&amp;KH,_TH))</f>
        <v>0</v>
      </c>
      <c r="J16" s="886">
        <f t="array" ref="J16">SUM(IF("131"&amp;B16=KHC&amp;KH,TH))</f>
        <v>629501191</v>
      </c>
      <c r="K16" s="885">
        <f t="shared" si="5"/>
        <v>0</v>
      </c>
      <c r="L16" s="415">
        <f t="shared" si="6"/>
        <v>0</v>
      </c>
      <c r="M16" s="885">
        <f t="shared" si="7"/>
        <v>0</v>
      </c>
      <c r="N16" s="415">
        <f t="shared" si="8"/>
        <v>0</v>
      </c>
    </row>
    <row r="17" spans="1:14" s="10" customFormat="1" ht="18" customHeight="1">
      <c r="A17" s="891">
        <f t="shared" si="4"/>
        <v>13</v>
      </c>
      <c r="B17" s="73" t="s">
        <v>1887</v>
      </c>
      <c r="C17" s="993"/>
      <c r="D17" s="993"/>
      <c r="E17" s="887"/>
      <c r="F17" s="887"/>
      <c r="G17" s="887">
        <f t="array" ref="G17">SUM(IF("131"&amp;B17=KHN&amp;KH,_TH))</f>
        <v>6000</v>
      </c>
      <c r="H17" s="886">
        <f t="array" ref="H17">SUM(IF("131"&amp;B17=KHN&amp;KH,TH))</f>
        <v>133560000</v>
      </c>
      <c r="I17" s="887">
        <f t="array" ref="I17">SUM(IF("131"&amp;B17=KHC&amp;KH,_TH))</f>
        <v>2761.29</v>
      </c>
      <c r="J17" s="886">
        <f t="array" ref="J17">SUM(IF("131"&amp;B17=KHC&amp;KH,TH))</f>
        <v>61576767</v>
      </c>
      <c r="K17" s="885">
        <f t="shared" si="5"/>
        <v>3238.71</v>
      </c>
      <c r="L17" s="415">
        <f t="shared" si="6"/>
        <v>71983233</v>
      </c>
      <c r="M17" s="885">
        <f t="shared" si="7"/>
        <v>0</v>
      </c>
      <c r="N17" s="415">
        <f t="shared" si="8"/>
        <v>0</v>
      </c>
    </row>
    <row r="18" spans="1:14" s="10" customFormat="1" ht="18" customHeight="1">
      <c r="A18" s="891">
        <f t="shared" si="4"/>
        <v>14</v>
      </c>
      <c r="B18" s="73" t="s">
        <v>1900</v>
      </c>
      <c r="C18" s="993"/>
      <c r="D18" s="993"/>
      <c r="E18" s="887"/>
      <c r="F18" s="887"/>
      <c r="G18" s="887">
        <f t="array" ref="G18">SUM(IF("131"&amp;B18=KHN&amp;KH,_TH))</f>
        <v>0</v>
      </c>
      <c r="H18" s="886">
        <f t="array" ref="H18">SUM(IF("131"&amp;B18=KHN&amp;KH,TH))</f>
        <v>0</v>
      </c>
      <c r="I18" s="887">
        <f t="array" ref="I18">SUM(IF("131"&amp;B18=KHC&amp;KH,_TH))</f>
        <v>83392.5</v>
      </c>
      <c r="J18" s="886">
        <f t="array" ref="J18">SUM(IF("131"&amp;B18=KHC&amp;KH,TH))</f>
        <v>1859652750</v>
      </c>
      <c r="K18" s="885">
        <f t="shared" si="5"/>
        <v>0</v>
      </c>
      <c r="L18" s="415">
        <f t="shared" si="6"/>
        <v>0</v>
      </c>
      <c r="M18" s="885">
        <f t="shared" si="7"/>
        <v>83392.5</v>
      </c>
      <c r="N18" s="415">
        <f t="shared" si="8"/>
        <v>1859652750</v>
      </c>
    </row>
    <row r="19" spans="1:14" s="10" customFormat="1" ht="18" customHeight="1">
      <c r="A19" s="891">
        <f t="shared" si="4"/>
        <v>15</v>
      </c>
      <c r="B19" s="82" t="s">
        <v>1913</v>
      </c>
      <c r="C19" s="993"/>
      <c r="D19" s="993"/>
      <c r="E19" s="887"/>
      <c r="F19" s="887"/>
      <c r="G19" s="887">
        <f t="array" ref="G19">SUM(IF("131"&amp;B19=KHN&amp;KH,_TH))</f>
        <v>296400</v>
      </c>
      <c r="H19" s="886">
        <f t="array" ref="H19">SUM(IF("131"&amp;B19=KHN&amp;KH,TH))</f>
        <v>6597864000</v>
      </c>
      <c r="I19" s="887">
        <f t="array" ref="I19">SUM(IF("131"&amp;B19=KHC&amp;KH,_TH))</f>
        <v>0</v>
      </c>
      <c r="J19" s="886">
        <f t="array" ref="J19">SUM(IF("131"&amp;B19=KHC&amp;KH,TH))</f>
        <v>0</v>
      </c>
      <c r="K19" s="885">
        <f t="shared" si="5"/>
        <v>296400</v>
      </c>
      <c r="L19" s="415">
        <f t="shared" si="6"/>
        <v>6597864000</v>
      </c>
      <c r="M19" s="885">
        <f t="shared" si="7"/>
        <v>0</v>
      </c>
      <c r="N19" s="415">
        <f t="shared" si="8"/>
        <v>0</v>
      </c>
    </row>
    <row r="20" spans="1:14" s="10" customFormat="1" ht="18" customHeight="1">
      <c r="A20" s="891"/>
      <c r="B20" s="96"/>
      <c r="C20" s="993"/>
      <c r="D20" s="993"/>
      <c r="E20" s="887"/>
      <c r="F20" s="887"/>
      <c r="G20" s="887"/>
      <c r="H20" s="886"/>
      <c r="I20" s="887"/>
      <c r="J20" s="886"/>
      <c r="K20" s="885"/>
      <c r="L20" s="415"/>
      <c r="M20" s="885"/>
      <c r="N20" s="415"/>
    </row>
    <row r="21" spans="1:14" ht="18" customHeight="1">
      <c r="A21" s="11"/>
      <c r="B21" s="12" t="s">
        <v>41</v>
      </c>
      <c r="C21" s="884">
        <f t="shared" ref="C21:N21" si="9">SUM(C5:C20)</f>
        <v>152831.06</v>
      </c>
      <c r="D21" s="883">
        <f t="shared" si="9"/>
        <v>3343381600</v>
      </c>
      <c r="E21" s="884">
        <f t="shared" si="9"/>
        <v>0</v>
      </c>
      <c r="F21" s="883">
        <f t="shared" si="9"/>
        <v>0</v>
      </c>
      <c r="G21" s="884">
        <f t="shared" si="9"/>
        <v>1291990.5</v>
      </c>
      <c r="H21" s="883">
        <f t="shared" si="9"/>
        <v>29444020612</v>
      </c>
      <c r="I21" s="884">
        <f t="shared" si="9"/>
        <v>1076652.6010000003</v>
      </c>
      <c r="J21" s="883">
        <f t="shared" si="9"/>
        <v>24926850694</v>
      </c>
      <c r="K21" s="884">
        <f t="shared" si="9"/>
        <v>451561.45999999996</v>
      </c>
      <c r="L21" s="883">
        <f t="shared" si="9"/>
        <v>9778793839</v>
      </c>
      <c r="M21" s="884">
        <f t="shared" si="9"/>
        <v>83392.5</v>
      </c>
      <c r="N21" s="883">
        <f t="shared" si="9"/>
        <v>1918242321</v>
      </c>
    </row>
    <row r="23" spans="1:14">
      <c r="D23" s="882">
        <f>D21-CDPS!C15</f>
        <v>0</v>
      </c>
      <c r="H23" s="882">
        <f>H21-CDPS!E15</f>
        <v>0</v>
      </c>
      <c r="J23" s="882">
        <f>J21-CDPS!F15</f>
        <v>0</v>
      </c>
      <c r="N23" s="882">
        <f>L21-N21-CDPS!G15</f>
        <v>0</v>
      </c>
    </row>
    <row r="25" spans="1:14">
      <c r="I25" s="882"/>
    </row>
  </sheetData>
  <autoFilter ref="A1:N21">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2.xml><?xml version="1.0" encoding="utf-8"?>
<worksheet xmlns="http://schemas.openxmlformats.org/spreadsheetml/2006/main" xmlns:r="http://schemas.openxmlformats.org/officeDocument/2006/relationships">
  <sheetPr>
    <tabColor rgb="FF00B0F0"/>
  </sheetPr>
  <dimension ref="A2:O129"/>
  <sheetViews>
    <sheetView topLeftCell="A6" zoomScale="90" zoomScaleNormal="90" workbookViewId="0">
      <pane ySplit="11" topLeftCell="A59" activePane="bottomLeft" state="frozen"/>
      <selection activeCell="B5" sqref="B5"/>
      <selection pane="bottomLeft" activeCell="A51" sqref="A51:XFD51"/>
    </sheetView>
  </sheetViews>
  <sheetFormatPr defaultRowHeight="14.25"/>
  <cols>
    <col min="1" max="1" width="9.85546875" style="146" customWidth="1"/>
    <col min="2" max="2" width="10.140625" style="146" bestFit="1" customWidth="1"/>
    <col min="3" max="3" width="9.85546875" style="146" customWidth="1"/>
    <col min="4" max="4" width="38" style="146" customWidth="1"/>
    <col min="5" max="5" width="8.28515625" style="146" customWidth="1"/>
    <col min="6" max="6" width="8.42578125" style="146" customWidth="1"/>
    <col min="7" max="7" width="9" style="146" customWidth="1"/>
    <col min="8" max="8" width="11.42578125" style="146" customWidth="1"/>
    <col min="9" max="9" width="14.85546875" style="146" customWidth="1"/>
    <col min="10" max="10" width="12.140625" style="146" customWidth="1"/>
    <col min="11" max="11" width="15.140625" style="146" customWidth="1"/>
    <col min="12" max="12" width="12.5703125" style="146" customWidth="1"/>
    <col min="13" max="13" width="13.42578125" style="146" customWidth="1"/>
    <col min="14" max="14" width="11.85546875" style="146" customWidth="1"/>
    <col min="15" max="15" width="14.5703125" style="146" customWidth="1"/>
    <col min="16" max="16" width="11" style="146" bestFit="1" customWidth="1"/>
    <col min="17" max="16384" width="9.140625" style="146"/>
  </cols>
  <sheetData>
    <row r="2" spans="1:15" s="864" customFormat="1" ht="16.5" customHeight="1">
      <c r="A2" s="937" t="s">
        <v>316</v>
      </c>
      <c r="B2" s="936"/>
      <c r="C2" s="935"/>
      <c r="D2" s="484"/>
      <c r="E2" s="929"/>
      <c r="G2" s="928"/>
      <c r="H2" s="927"/>
      <c r="I2" s="934"/>
      <c r="J2" s="933"/>
      <c r="K2" s="2"/>
      <c r="L2" s="2"/>
      <c r="M2" s="863" t="s">
        <v>613</v>
      </c>
      <c r="N2" s="2"/>
      <c r="O2" s="2"/>
    </row>
    <row r="3" spans="1:15" s="864" customFormat="1" ht="16.5" customHeight="1">
      <c r="A3" s="1309" t="s">
        <v>612</v>
      </c>
      <c r="B3" s="1309"/>
      <c r="C3" s="1309"/>
      <c r="D3" s="1309"/>
      <c r="E3" s="929"/>
      <c r="G3" s="928"/>
      <c r="H3" s="927"/>
      <c r="I3" s="926"/>
      <c r="J3" s="925"/>
      <c r="K3" s="17"/>
      <c r="L3" s="17"/>
      <c r="M3" s="931" t="s">
        <v>319</v>
      </c>
      <c r="N3" s="17"/>
      <c r="O3" s="17"/>
    </row>
    <row r="4" spans="1:15" s="864" customFormat="1" ht="16.5" customHeight="1">
      <c r="A4" s="932"/>
      <c r="B4" s="932"/>
      <c r="C4" s="932"/>
      <c r="D4" s="932"/>
      <c r="E4" s="929"/>
      <c r="G4" s="928" t="s">
        <v>611</v>
      </c>
      <c r="H4" s="927"/>
      <c r="I4" s="926"/>
      <c r="J4" s="925"/>
      <c r="K4" s="17"/>
      <c r="L4" s="17"/>
      <c r="M4" s="931" t="s">
        <v>320</v>
      </c>
      <c r="N4" s="17"/>
      <c r="O4" s="17"/>
    </row>
    <row r="5" spans="1:15" s="864" customFormat="1" ht="6.75" customHeight="1">
      <c r="A5" s="930"/>
      <c r="B5" s="930"/>
      <c r="C5" s="930"/>
      <c r="E5" s="929"/>
      <c r="G5" s="928"/>
      <c r="H5" s="927"/>
      <c r="I5" s="926"/>
      <c r="J5" s="925"/>
      <c r="K5" s="924"/>
      <c r="L5" s="861"/>
      <c r="M5" s="861"/>
      <c r="N5" s="861"/>
      <c r="O5" s="861"/>
    </row>
    <row r="6" spans="1:15" s="5" customFormat="1" ht="23.25" customHeight="1">
      <c r="A6" s="1310" t="s">
        <v>610</v>
      </c>
      <c r="B6" s="1310"/>
      <c r="C6" s="1310"/>
      <c r="D6" s="1310"/>
      <c r="E6" s="1310"/>
      <c r="F6" s="1310"/>
      <c r="G6" s="1310"/>
      <c r="H6" s="1310"/>
      <c r="I6" s="1310"/>
      <c r="J6" s="1310"/>
      <c r="K6" s="1310"/>
      <c r="L6" s="1310"/>
      <c r="M6" s="1310"/>
      <c r="N6" s="1310"/>
      <c r="O6" s="1310"/>
    </row>
    <row r="7" spans="1:15" s="5" customFormat="1" ht="15">
      <c r="H7" s="862" t="s">
        <v>29</v>
      </c>
    </row>
    <row r="8" spans="1:15" s="5" customFormat="1" ht="15">
      <c r="H8" s="862" t="s">
        <v>609</v>
      </c>
    </row>
    <row r="9" spans="1:15" s="5" customFormat="1" ht="15">
      <c r="G9" s="247" t="s">
        <v>608</v>
      </c>
      <c r="H9" s="1311" t="s">
        <v>601</v>
      </c>
      <c r="I9" s="1311"/>
      <c r="J9" s="1311"/>
    </row>
    <row r="10" spans="1:15" s="5" customFormat="1" ht="15">
      <c r="H10" s="862" t="s">
        <v>244</v>
      </c>
    </row>
    <row r="11" spans="1:15" s="5" customFormat="1" ht="15">
      <c r="A11" s="4"/>
      <c r="B11" s="4"/>
      <c r="C11" s="923"/>
      <c r="D11" s="923"/>
      <c r="E11" s="923"/>
      <c r="F11" s="923"/>
      <c r="G11" s="923"/>
      <c r="H11" s="923"/>
      <c r="I11" s="923"/>
      <c r="J11" s="923"/>
      <c r="K11" s="923"/>
      <c r="L11" s="923"/>
      <c r="M11" s="923"/>
      <c r="N11" s="923"/>
      <c r="O11" s="923"/>
    </row>
    <row r="12" spans="1:15" s="862" customFormat="1" ht="15.75" customHeight="1">
      <c r="A12" s="1312" t="s">
        <v>22</v>
      </c>
      <c r="B12" s="1302" t="s">
        <v>1</v>
      </c>
      <c r="C12" s="1315"/>
      <c r="D12" s="1312" t="s">
        <v>0</v>
      </c>
      <c r="E12" s="1312" t="s">
        <v>16</v>
      </c>
      <c r="F12" s="1312" t="s">
        <v>245</v>
      </c>
      <c r="G12" s="1316" t="s">
        <v>607</v>
      </c>
      <c r="H12" s="1302" t="s">
        <v>23</v>
      </c>
      <c r="I12" s="1319"/>
      <c r="J12" s="1319"/>
      <c r="K12" s="1315"/>
      <c r="L12" s="1302" t="s">
        <v>33</v>
      </c>
      <c r="M12" s="1303"/>
      <c r="N12" s="1303"/>
      <c r="O12" s="1304"/>
    </row>
    <row r="13" spans="1:15" s="862" customFormat="1" ht="15.75" customHeight="1">
      <c r="A13" s="1313"/>
      <c r="B13" s="1305" t="s">
        <v>17</v>
      </c>
      <c r="C13" s="1305" t="s">
        <v>34</v>
      </c>
      <c r="D13" s="1313"/>
      <c r="E13" s="1313"/>
      <c r="F13" s="1313"/>
      <c r="G13" s="1317"/>
      <c r="H13" s="1307" t="s">
        <v>24</v>
      </c>
      <c r="I13" s="1308"/>
      <c r="J13" s="1307" t="s">
        <v>25</v>
      </c>
      <c r="K13" s="1308"/>
      <c r="L13" s="1307" t="s">
        <v>24</v>
      </c>
      <c r="M13" s="1304"/>
      <c r="N13" s="1307" t="s">
        <v>25</v>
      </c>
      <c r="O13" s="1304"/>
    </row>
    <row r="14" spans="1:15" s="862" customFormat="1" ht="27.75" customHeight="1">
      <c r="A14" s="1314"/>
      <c r="B14" s="1306"/>
      <c r="C14" s="1306"/>
      <c r="D14" s="1314"/>
      <c r="E14" s="1314"/>
      <c r="F14" s="1314"/>
      <c r="G14" s="1318"/>
      <c r="H14" s="922" t="s">
        <v>246</v>
      </c>
      <c r="I14" s="920" t="s">
        <v>247</v>
      </c>
      <c r="J14" s="921" t="s">
        <v>246</v>
      </c>
      <c r="K14" s="920" t="s">
        <v>247</v>
      </c>
      <c r="L14" s="919" t="s">
        <v>246</v>
      </c>
      <c r="M14" s="919" t="s">
        <v>247</v>
      </c>
      <c r="N14" s="919" t="s">
        <v>246</v>
      </c>
      <c r="O14" s="919" t="s">
        <v>247</v>
      </c>
    </row>
    <row r="15" spans="1:15" s="862" customFormat="1" ht="15">
      <c r="A15" s="901" t="s">
        <v>2</v>
      </c>
      <c r="B15" s="918" t="s">
        <v>3</v>
      </c>
      <c r="C15" s="901" t="s">
        <v>4</v>
      </c>
      <c r="D15" s="901" t="s">
        <v>5</v>
      </c>
      <c r="E15" s="901" t="s">
        <v>6</v>
      </c>
      <c r="F15" s="901">
        <v>1</v>
      </c>
      <c r="G15" s="901">
        <v>2</v>
      </c>
      <c r="H15" s="901">
        <v>3</v>
      </c>
      <c r="I15" s="901">
        <v>4</v>
      </c>
      <c r="J15" s="901">
        <v>5</v>
      </c>
      <c r="K15" s="901">
        <v>6</v>
      </c>
      <c r="L15" s="901">
        <v>7</v>
      </c>
      <c r="M15" s="901">
        <v>8</v>
      </c>
      <c r="N15" s="901">
        <v>9</v>
      </c>
      <c r="O15" s="901">
        <v>10</v>
      </c>
    </row>
    <row r="16" spans="1:15" s="5" customFormat="1" ht="16.5" customHeight="1">
      <c r="A16" s="903"/>
      <c r="B16" s="903"/>
      <c r="C16" s="903"/>
      <c r="D16" s="902" t="s">
        <v>7</v>
      </c>
      <c r="E16" s="903"/>
      <c r="F16" s="901"/>
      <c r="G16" s="916"/>
      <c r="H16" s="915"/>
      <c r="I16" s="916"/>
      <c r="J16" s="917"/>
      <c r="K16" s="916"/>
      <c r="L16" s="915">
        <f>VLOOKUP($H$9,'131'!$B$5:$F$20,2,0)</f>
        <v>0</v>
      </c>
      <c r="M16" s="914">
        <f>VLOOKUP($H$9,'131'!$B$5:$F$20,3,0)</f>
        <v>0</v>
      </c>
      <c r="N16" s="915">
        <f>VLOOKUP($H$9,'131'!$B$5:$F$20,4,0)</f>
        <v>0</v>
      </c>
      <c r="O16" s="914">
        <f>VLOOKUP($H$9,'131'!$B$5:$F$20,5,0)</f>
        <v>0</v>
      </c>
    </row>
    <row r="17" spans="1:15" s="5" customFormat="1" ht="16.5" customHeight="1">
      <c r="A17" s="225">
        <f ca="1">IF(C17&lt;&gt;"",C17,"")</f>
        <v>42395</v>
      </c>
      <c r="B17" s="229" t="str">
        <f ca="1">IF(ROWS($1:1)&gt;COUNT(Dong14),"",OFFSET(TH!D$1,SMALL(Dong14,ROWS($1:1)),))</f>
        <v>TP/X01</v>
      </c>
      <c r="C17" s="225">
        <f ca="1">IF(ROWS($1:1)&gt;COUNT(Dong14),"",OFFSET(TH!E$1,SMALL(Dong14,ROWS($1:1)),))</f>
        <v>42395</v>
      </c>
      <c r="D17" s="913" t="str">
        <f ca="1">IF(ROWS($1:1)&gt;COUNT(Dong14),"",OFFSET(TH!F$1,SMALL(Dong14,ROWS($1:1)),))</f>
        <v>Cá bò khô tẩm TP</v>
      </c>
      <c r="E17" s="911" t="str">
        <f ca="1">IF(ROWS($1:1)&gt;COUNT(Dong14),"",IF(OFFSET(TH!N$1,SMALL(Dong14,ROWS($1:1)),)="131",OFFSET(TH!O$1,SMALL(Dong14,ROWS($1:1)),),OFFSET(TH!N$1,SMALL(Dong14,ROWS($1:1)),)))</f>
        <v>5112X</v>
      </c>
      <c r="F17" s="911">
        <f ca="1">IF(ROWS($1:1)&gt;COUNT(Dong14),0,OFFSET(TH!L$1,SMALL(Dong14,ROWS($1:1)),))</f>
        <v>22365</v>
      </c>
      <c r="G17" s="911"/>
      <c r="H17" s="912">
        <f ca="1">IF(ROWS($1:1)&gt;COUNT(Dong14),0,IF(OFFSET(TH!N$1,SMALL(Dong14,ROWS($1:1)),)="131",OFFSET(TH!K$1,SMALL(Dong14,ROWS($1:1)),),0))</f>
        <v>79520</v>
      </c>
      <c r="I17" s="911">
        <f ca="1">IF(ROWS($1:1)&gt;COUNT(Dong14),0,IF(OFFSET(TH!N$1,SMALL(Dong14,ROWS($1:1)),)="131",OFFSET(TH!M$1,SMALL(Dong14,ROWS($1:1)),),0))</f>
        <v>1778464800</v>
      </c>
      <c r="J17" s="912">
        <f ca="1">IF(ROWS($1:1)&gt;COUNT(Dong14),0,IF(OFFSET(TH!O$1,SMALL(Dong14,ROWS($1:1)),)="131",OFFSET(TH!K$1,SMALL(Dong14,ROWS($1:1)),),0))</f>
        <v>0</v>
      </c>
      <c r="K17" s="911">
        <f ca="1">IF(ROWS($1:1)&gt;COUNT(Dong14),0,IF(OFFSET(TH!O$1,SMALL(Dong14,ROWS($1:1)),)="131",OFFSET(TH!M$1,SMALL(Dong14,ROWS($1:1)),),0))</f>
        <v>0</v>
      </c>
      <c r="L17" s="905">
        <f ca="1">IF(D17&lt;&gt;"",ROUND(MAX(L16+H17-J17-N16,0),2),0)</f>
        <v>79520</v>
      </c>
      <c r="M17" s="904">
        <f ca="1">IF(D17&lt;&gt;"",MAX(M16-O16+I17-K17,0),0)</f>
        <v>1778464800</v>
      </c>
      <c r="N17" s="905">
        <f ca="1">IF(D17&lt;&gt;"",ROUND(MAX(N16+J17-H17-L16,0),2),0)</f>
        <v>0</v>
      </c>
      <c r="O17" s="904">
        <f ca="1">IF(D17&lt;&gt;"",MAX(O16-M16+K17-I17,0),0)</f>
        <v>0</v>
      </c>
    </row>
    <row r="18" spans="1:15" s="5" customFormat="1" ht="16.5" customHeight="1">
      <c r="A18" s="225">
        <f t="shared" ref="A18:A81" ca="1" si="0">IF(C18&lt;&gt;"",C18,"")</f>
        <v>42496</v>
      </c>
      <c r="B18" s="229" t="str">
        <f ca="1">IF(ROWS($1:2)&gt;COUNT(Dong14),"",OFFSET(TH!D$1,SMALL(Dong14,ROWS($1:2)),))</f>
        <v>TP/X01</v>
      </c>
      <c r="C18" s="225">
        <f ca="1">IF(ROWS($1:2)&gt;COUNT(Dong14),"",OFFSET(TH!E$1,SMALL(Dong14,ROWS($1:2)),))</f>
        <v>42496</v>
      </c>
      <c r="D18" s="913" t="str">
        <f ca="1">IF(ROWS($1:2)&gt;COUNT(Dong14),"",OFFSET(TH!F$1,SMALL(Dong14,ROWS($1:2)),))</f>
        <v>Cá bò khô tẩm TP</v>
      </c>
      <c r="E18" s="911" t="str">
        <f ca="1">IF(ROWS($1:2)&gt;COUNT(Dong14),"",IF(OFFSET(TH!N$1,SMALL(Dong14,ROWS($1:2)),)="131",OFFSET(TH!O$1,SMALL(Dong14,ROWS($1:2)),),OFFSET(TH!N$1,SMALL(Dong14,ROWS($1:2)),)))</f>
        <v>5112X</v>
      </c>
      <c r="F18" s="911">
        <f ca="1">IF(ROWS($1:2)&gt;COUNT(Dong14),0,OFFSET(TH!L$1,SMALL(Dong14,ROWS($1:2)),))</f>
        <v>22255</v>
      </c>
      <c r="G18" s="911"/>
      <c r="H18" s="912">
        <f ca="1">IF(ROWS($1:2)&gt;COUNT(Dong14),0,IF(OFFSET(TH!N$1,SMALL(Dong14,ROWS($1:2)),)="131",OFFSET(TH!K$1,SMALL(Dong14,ROWS($1:2)),),0))</f>
        <v>47610</v>
      </c>
      <c r="I18" s="911">
        <f ca="1">IF(ROWS($1:2)&gt;COUNT(Dong14),0,IF(OFFSET(TH!N$1,SMALL(Dong14,ROWS($1:2)),)="131",OFFSET(TH!M$1,SMALL(Dong14,ROWS($1:2)),),0))</f>
        <v>1059560550</v>
      </c>
      <c r="J18" s="912">
        <f ca="1">IF(ROWS($1:2)&gt;COUNT(Dong14),0,IF(OFFSET(TH!O$1,SMALL(Dong14,ROWS($1:2)),)="131",OFFSET(TH!K$1,SMALL(Dong14,ROWS($1:2)),),0))</f>
        <v>0</v>
      </c>
      <c r="K18" s="911">
        <f ca="1">IF(ROWS($1:2)&gt;COUNT(Dong14),0,IF(OFFSET(TH!O$1,SMALL(Dong14,ROWS($1:2)),)="131",OFFSET(TH!M$1,SMALL(Dong14,ROWS($1:2)),),0))</f>
        <v>0</v>
      </c>
      <c r="L18" s="905">
        <f t="shared" ref="L18:L81" ca="1" si="1">IF(D18&lt;&gt;"",ROUND(MAX(L17+H18-J18-N17,0),2),0)</f>
        <v>127130</v>
      </c>
      <c r="M18" s="904">
        <f t="shared" ref="M18:M81" ca="1" si="2">IF(D18&lt;&gt;"",MAX(M17-O17+I18-K18,0),0)</f>
        <v>2838025350</v>
      </c>
      <c r="N18" s="905">
        <f t="shared" ref="N18:N81" ca="1" si="3">IF(D18&lt;&gt;"",ROUND(MAX(N17+J18-H18-L17,0),2),0)</f>
        <v>0</v>
      </c>
      <c r="O18" s="904">
        <f t="shared" ref="O18:O81" ca="1" si="4">IF(D18&lt;&gt;"",MAX(O17-M17+K18-I18,0),0)</f>
        <v>0</v>
      </c>
    </row>
    <row r="19" spans="1:15" s="5" customFormat="1" ht="16.5" customHeight="1">
      <c r="A19" s="225">
        <f t="shared" ca="1" si="0"/>
        <v>42496</v>
      </c>
      <c r="B19" s="229" t="str">
        <f ca="1">IF(ROWS($1:3)&gt;COUNT(Dong14),"",OFFSET(TH!D$1,SMALL(Dong14,ROWS($1:3)),))</f>
        <v>TP/X01</v>
      </c>
      <c r="C19" s="225">
        <f ca="1">IF(ROWS($1:3)&gt;COUNT(Dong14),"",OFFSET(TH!E$1,SMALL(Dong14,ROWS($1:3)),))</f>
        <v>42496</v>
      </c>
      <c r="D19" s="913" t="str">
        <f ca="1">IF(ROWS($1:3)&gt;COUNT(Dong14),"",OFFSET(TH!F$1,SMALL(Dong14,ROWS($1:3)),))</f>
        <v>Cá đổng tẩm TP</v>
      </c>
      <c r="E19" s="911" t="str">
        <f ca="1">IF(ROWS($1:3)&gt;COUNT(Dong14),"",IF(OFFSET(TH!N$1,SMALL(Dong14,ROWS($1:3)),)="131",OFFSET(TH!O$1,SMALL(Dong14,ROWS($1:3)),),OFFSET(TH!N$1,SMALL(Dong14,ROWS($1:3)),)))</f>
        <v>5112X</v>
      </c>
      <c r="F19" s="911">
        <f ca="1">IF(ROWS($1:3)&gt;COUNT(Dong14),0,OFFSET(TH!L$1,SMALL(Dong14,ROWS($1:3)),))</f>
        <v>22255</v>
      </c>
      <c r="G19" s="911"/>
      <c r="H19" s="912">
        <f ca="1">IF(ROWS($1:3)&gt;COUNT(Dong14),0,IF(OFFSET(TH!N$1,SMALL(Dong14,ROWS($1:3)),)="131",OFFSET(TH!K$1,SMALL(Dong14,ROWS($1:3)),),0))</f>
        <v>7392</v>
      </c>
      <c r="I19" s="911">
        <f ca="1">IF(ROWS($1:3)&gt;COUNT(Dong14),0,IF(OFFSET(TH!N$1,SMALL(Dong14,ROWS($1:3)),)="131",OFFSET(TH!M$1,SMALL(Dong14,ROWS($1:3)),),0))</f>
        <v>164508960</v>
      </c>
      <c r="J19" s="912">
        <f ca="1">IF(ROWS($1:3)&gt;COUNT(Dong14),0,IF(OFFSET(TH!O$1,SMALL(Dong14,ROWS($1:3)),)="131",OFFSET(TH!K$1,SMALL(Dong14,ROWS($1:3)),),0))</f>
        <v>0</v>
      </c>
      <c r="K19" s="911">
        <f ca="1">IF(ROWS($1:3)&gt;COUNT(Dong14),0,IF(OFFSET(TH!O$1,SMALL(Dong14,ROWS($1:3)),)="131",OFFSET(TH!M$1,SMALL(Dong14,ROWS($1:3)),),0))</f>
        <v>0</v>
      </c>
      <c r="L19" s="905">
        <f t="shared" ca="1" si="1"/>
        <v>134522</v>
      </c>
      <c r="M19" s="904">
        <f t="shared" ca="1" si="2"/>
        <v>3002534310</v>
      </c>
      <c r="N19" s="905">
        <f t="shared" ca="1" si="3"/>
        <v>0</v>
      </c>
      <c r="O19" s="904">
        <f t="shared" ca="1" si="4"/>
        <v>0</v>
      </c>
    </row>
    <row r="20" spans="1:15" s="5" customFormat="1" ht="16.5" customHeight="1">
      <c r="A20" s="225">
        <f t="shared" ca="1" si="0"/>
        <v>42496</v>
      </c>
      <c r="B20" s="229" t="str">
        <f ca="1">IF(ROWS($1:4)&gt;COUNT(Dong14),"",OFFSET(TH!D$1,SMALL(Dong14,ROWS($1:4)),))</f>
        <v>TP/X01</v>
      </c>
      <c r="C20" s="225">
        <f ca="1">IF(ROWS($1:4)&gt;COUNT(Dong14),"",OFFSET(TH!E$1,SMALL(Dong14,ROWS($1:4)),))</f>
        <v>42496</v>
      </c>
      <c r="D20" s="913" t="str">
        <f ca="1">IF(ROWS($1:4)&gt;COUNT(Dong14),"",OFFSET(TH!F$1,SMALL(Dong14,ROWS($1:4)),))</f>
        <v>Cá đuối tẩm TP</v>
      </c>
      <c r="E20" s="911" t="str">
        <f ca="1">IF(ROWS($1:4)&gt;COUNT(Dong14),"",IF(OFFSET(TH!N$1,SMALL(Dong14,ROWS($1:4)),)="131",OFFSET(TH!O$1,SMALL(Dong14,ROWS($1:4)),),OFFSET(TH!N$1,SMALL(Dong14,ROWS($1:4)),)))</f>
        <v>5112X</v>
      </c>
      <c r="F20" s="911">
        <f ca="1">IF(ROWS($1:4)&gt;COUNT(Dong14),0,OFFSET(TH!L$1,SMALL(Dong14,ROWS($1:4)),))</f>
        <v>22255</v>
      </c>
      <c r="G20" s="911"/>
      <c r="H20" s="912">
        <f ca="1">IF(ROWS($1:4)&gt;COUNT(Dong14),0,IF(OFFSET(TH!N$1,SMALL(Dong14,ROWS($1:4)),)="131",OFFSET(TH!K$1,SMALL(Dong14,ROWS($1:4)),),0))</f>
        <v>7200</v>
      </c>
      <c r="I20" s="911">
        <f ca="1">IF(ROWS($1:4)&gt;COUNT(Dong14),0,IF(OFFSET(TH!N$1,SMALL(Dong14,ROWS($1:4)),)="131",OFFSET(TH!M$1,SMALL(Dong14,ROWS($1:4)),),0))</f>
        <v>160236000</v>
      </c>
      <c r="J20" s="912">
        <f ca="1">IF(ROWS($1:4)&gt;COUNT(Dong14),0,IF(OFFSET(TH!O$1,SMALL(Dong14,ROWS($1:4)),)="131",OFFSET(TH!K$1,SMALL(Dong14,ROWS($1:4)),),0))</f>
        <v>0</v>
      </c>
      <c r="K20" s="911">
        <f ca="1">IF(ROWS($1:4)&gt;COUNT(Dong14),0,IF(OFFSET(TH!O$1,SMALL(Dong14,ROWS($1:4)),)="131",OFFSET(TH!M$1,SMALL(Dong14,ROWS($1:4)),),0))</f>
        <v>0</v>
      </c>
      <c r="L20" s="905">
        <f t="shared" ca="1" si="1"/>
        <v>141722</v>
      </c>
      <c r="M20" s="904">
        <f t="shared" ca="1" si="2"/>
        <v>3162770310</v>
      </c>
      <c r="N20" s="905">
        <f t="shared" ca="1" si="3"/>
        <v>0</v>
      </c>
      <c r="O20" s="904">
        <f t="shared" ca="1" si="4"/>
        <v>0</v>
      </c>
    </row>
    <row r="21" spans="1:15" s="5" customFormat="1" ht="16.5" customHeight="1">
      <c r="A21" s="225">
        <f t="shared" ca="1" si="0"/>
        <v>42496</v>
      </c>
      <c r="B21" s="229" t="str">
        <f ca="1">IF(ROWS($1:5)&gt;COUNT(Dong14),"",OFFSET(TH!D$1,SMALL(Dong14,ROWS($1:5)),))</f>
        <v>TP/X01</v>
      </c>
      <c r="C21" s="225">
        <f ca="1">IF(ROWS($1:5)&gt;COUNT(Dong14),"",OFFSET(TH!E$1,SMALL(Dong14,ROWS($1:5)),))</f>
        <v>42496</v>
      </c>
      <c r="D21" s="913" t="str">
        <f ca="1">IF(ROWS($1:5)&gt;COUNT(Dong14),"",OFFSET(TH!F$1,SMALL(Dong14,ROWS($1:5)),))</f>
        <v>Ghẹ khô TP</v>
      </c>
      <c r="E21" s="911" t="str">
        <f ca="1">IF(ROWS($1:5)&gt;COUNT(Dong14),"",IF(OFFSET(TH!N$1,SMALL(Dong14,ROWS($1:5)),)="131",OFFSET(TH!O$1,SMALL(Dong14,ROWS($1:5)),),OFFSET(TH!N$1,SMALL(Dong14,ROWS($1:5)),)))</f>
        <v>5112X</v>
      </c>
      <c r="F21" s="911">
        <f ca="1">IF(ROWS($1:5)&gt;COUNT(Dong14),0,OFFSET(TH!L$1,SMALL(Dong14,ROWS($1:5)),))</f>
        <v>22255</v>
      </c>
      <c r="G21" s="911"/>
      <c r="H21" s="912">
        <f ca="1">IF(ROWS($1:5)&gt;COUNT(Dong14),0,IF(OFFSET(TH!N$1,SMALL(Dong14,ROWS($1:5)),)="131",OFFSET(TH!K$1,SMALL(Dong14,ROWS($1:5)),),0))</f>
        <v>8600</v>
      </c>
      <c r="I21" s="911">
        <f ca="1">IF(ROWS($1:5)&gt;COUNT(Dong14),0,IF(OFFSET(TH!N$1,SMALL(Dong14,ROWS($1:5)),)="131",OFFSET(TH!M$1,SMALL(Dong14,ROWS($1:5)),),0))</f>
        <v>191393000</v>
      </c>
      <c r="J21" s="912">
        <f ca="1">IF(ROWS($1:5)&gt;COUNT(Dong14),0,IF(OFFSET(TH!O$1,SMALL(Dong14,ROWS($1:5)),)="131",OFFSET(TH!K$1,SMALL(Dong14,ROWS($1:5)),),0))</f>
        <v>0</v>
      </c>
      <c r="K21" s="911">
        <f ca="1">IF(ROWS($1:5)&gt;COUNT(Dong14),0,IF(OFFSET(TH!O$1,SMALL(Dong14,ROWS($1:5)),)="131",OFFSET(TH!M$1,SMALL(Dong14,ROWS($1:5)),),0))</f>
        <v>0</v>
      </c>
      <c r="L21" s="905">
        <f t="shared" ca="1" si="1"/>
        <v>150322</v>
      </c>
      <c r="M21" s="904">
        <f t="shared" ca="1" si="2"/>
        <v>3354163310</v>
      </c>
      <c r="N21" s="905">
        <f t="shared" ca="1" si="3"/>
        <v>0</v>
      </c>
      <c r="O21" s="904">
        <f t="shared" ca="1" si="4"/>
        <v>0</v>
      </c>
    </row>
    <row r="22" spans="1:15" s="5" customFormat="1" ht="16.5" customHeight="1">
      <c r="A22" s="225">
        <f t="shared" ca="1" si="0"/>
        <v>42532</v>
      </c>
      <c r="B22" s="229" t="str">
        <f ca="1">IF(ROWS($1:6)&gt;COUNT(Dong14),"",OFFSET(TH!D$1,SMALL(Dong14,ROWS($1:6)),))</f>
        <v>TP/X02</v>
      </c>
      <c r="C22" s="225">
        <f ca="1">IF(ROWS($1:6)&gt;COUNT(Dong14),"",OFFSET(TH!E$1,SMALL(Dong14,ROWS($1:6)),))</f>
        <v>42532</v>
      </c>
      <c r="D22" s="913" t="str">
        <f ca="1">IF(ROWS($1:6)&gt;COUNT(Dong14),"",OFFSET(TH!F$1,SMALL(Dong14,ROWS($1:6)),))</f>
        <v>Cá bò khô tẩm TP</v>
      </c>
      <c r="E22" s="911" t="str">
        <f ca="1">IF(ROWS($1:6)&gt;COUNT(Dong14),"",IF(OFFSET(TH!N$1,SMALL(Dong14,ROWS($1:6)),)="131",OFFSET(TH!O$1,SMALL(Dong14,ROWS($1:6)),),OFFSET(TH!N$1,SMALL(Dong14,ROWS($1:6)),)))</f>
        <v>5112X</v>
      </c>
      <c r="F22" s="911">
        <f ca="1">IF(ROWS($1:6)&gt;COUNT(Dong14),0,OFFSET(TH!L$1,SMALL(Dong14,ROWS($1:6)),))</f>
        <v>22405</v>
      </c>
      <c r="G22" s="911"/>
      <c r="H22" s="912">
        <f ca="1">IF(ROWS($1:6)&gt;COUNT(Dong14),0,IF(OFFSET(TH!N$1,SMALL(Dong14,ROWS($1:6)),)="131",OFFSET(TH!K$1,SMALL(Dong14,ROWS($1:6)),),0))</f>
        <v>11500</v>
      </c>
      <c r="I22" s="911">
        <f ca="1">IF(ROWS($1:6)&gt;COUNT(Dong14),0,IF(OFFSET(TH!N$1,SMALL(Dong14,ROWS($1:6)),)="131",OFFSET(TH!M$1,SMALL(Dong14,ROWS($1:6)),),0))</f>
        <v>257657500</v>
      </c>
      <c r="J22" s="912">
        <f ca="1">IF(ROWS($1:6)&gt;COUNT(Dong14),0,IF(OFFSET(TH!O$1,SMALL(Dong14,ROWS($1:6)),)="131",OFFSET(TH!K$1,SMALL(Dong14,ROWS($1:6)),),0))</f>
        <v>0</v>
      </c>
      <c r="K22" s="911">
        <f ca="1">IF(ROWS($1:6)&gt;COUNT(Dong14),0,IF(OFFSET(TH!O$1,SMALL(Dong14,ROWS($1:6)),)="131",OFFSET(TH!M$1,SMALL(Dong14,ROWS($1:6)),),0))</f>
        <v>0</v>
      </c>
      <c r="L22" s="905">
        <f t="shared" ca="1" si="1"/>
        <v>161822</v>
      </c>
      <c r="M22" s="904">
        <f t="shared" ca="1" si="2"/>
        <v>3611820810</v>
      </c>
      <c r="N22" s="905">
        <f t="shared" ca="1" si="3"/>
        <v>0</v>
      </c>
      <c r="O22" s="904">
        <f t="shared" ca="1" si="4"/>
        <v>0</v>
      </c>
    </row>
    <row r="23" spans="1:15" s="5" customFormat="1" ht="16.5" customHeight="1">
      <c r="A23" s="225">
        <f t="shared" ca="1" si="0"/>
        <v>42532</v>
      </c>
      <c r="B23" s="229" t="str">
        <f ca="1">IF(ROWS($1:7)&gt;COUNT(Dong14),"",OFFSET(TH!D$1,SMALL(Dong14,ROWS($1:7)),))</f>
        <v>TP/X02</v>
      </c>
      <c r="C23" s="225">
        <f ca="1">IF(ROWS($1:7)&gt;COUNT(Dong14),"",OFFSET(TH!E$1,SMALL(Dong14,ROWS($1:7)),))</f>
        <v>42532</v>
      </c>
      <c r="D23" s="913" t="str">
        <f ca="1">IF(ROWS($1:7)&gt;COUNT(Dong14),"",OFFSET(TH!F$1,SMALL(Dong14,ROWS($1:7)),))</f>
        <v>Ghẹ khô TP</v>
      </c>
      <c r="E23" s="911" t="str">
        <f ca="1">IF(ROWS($1:7)&gt;COUNT(Dong14),"",IF(OFFSET(TH!N$1,SMALL(Dong14,ROWS($1:7)),)="131",OFFSET(TH!O$1,SMALL(Dong14,ROWS($1:7)),),OFFSET(TH!N$1,SMALL(Dong14,ROWS($1:7)),)))</f>
        <v>5112X</v>
      </c>
      <c r="F23" s="911">
        <f ca="1">IF(ROWS($1:7)&gt;COUNT(Dong14),0,OFFSET(TH!L$1,SMALL(Dong14,ROWS($1:7)),))</f>
        <v>22405</v>
      </c>
      <c r="G23" s="911"/>
      <c r="H23" s="912">
        <f ca="1">IF(ROWS($1:7)&gt;COUNT(Dong14),0,IF(OFFSET(TH!N$1,SMALL(Dong14,ROWS($1:7)),)="131",OFFSET(TH!K$1,SMALL(Dong14,ROWS($1:7)),),0))</f>
        <v>22704</v>
      </c>
      <c r="I23" s="911">
        <f ca="1">IF(ROWS($1:7)&gt;COUNT(Dong14),0,IF(OFFSET(TH!N$1,SMALL(Dong14,ROWS($1:7)),)="131",OFFSET(TH!M$1,SMALL(Dong14,ROWS($1:7)),),0))</f>
        <v>508683120</v>
      </c>
      <c r="J23" s="912">
        <f ca="1">IF(ROWS($1:7)&gt;COUNT(Dong14),0,IF(OFFSET(TH!O$1,SMALL(Dong14,ROWS($1:7)),)="131",OFFSET(TH!K$1,SMALL(Dong14,ROWS($1:7)),),0))</f>
        <v>0</v>
      </c>
      <c r="K23" s="911">
        <f ca="1">IF(ROWS($1:7)&gt;COUNT(Dong14),0,IF(OFFSET(TH!O$1,SMALL(Dong14,ROWS($1:7)),)="131",OFFSET(TH!M$1,SMALL(Dong14,ROWS($1:7)),),0))</f>
        <v>0</v>
      </c>
      <c r="L23" s="905">
        <f t="shared" ca="1" si="1"/>
        <v>184526</v>
      </c>
      <c r="M23" s="904">
        <f t="shared" ca="1" si="2"/>
        <v>4120503930</v>
      </c>
      <c r="N23" s="905">
        <f t="shared" ca="1" si="3"/>
        <v>0</v>
      </c>
      <c r="O23" s="904">
        <f t="shared" ca="1" si="4"/>
        <v>0</v>
      </c>
    </row>
    <row r="24" spans="1:15" s="5" customFormat="1" ht="16.5" customHeight="1">
      <c r="A24" s="225">
        <f t="shared" ca="1" si="0"/>
        <v>42583</v>
      </c>
      <c r="B24" s="229" t="str">
        <f ca="1">IF(ROWS($1:8)&gt;COUNT(Dong14),"",OFFSET(TH!D$1,SMALL(Dong14,ROWS($1:8)),))</f>
        <v>TP/X01</v>
      </c>
      <c r="C24" s="225">
        <f ca="1">IF(ROWS($1:8)&gt;COUNT(Dong14),"",OFFSET(TH!E$1,SMALL(Dong14,ROWS($1:8)),))</f>
        <v>42583</v>
      </c>
      <c r="D24" s="913" t="str">
        <f ca="1">IF(ROWS($1:8)&gt;COUNT(Dong14),"",OFFSET(TH!F$1,SMALL(Dong14,ROWS($1:8)),))</f>
        <v>Ghẹ khô lạt</v>
      </c>
      <c r="E24" s="911" t="str">
        <f ca="1">IF(ROWS($1:8)&gt;COUNT(Dong14),"",IF(OFFSET(TH!N$1,SMALL(Dong14,ROWS($1:8)),)="131",OFFSET(TH!O$1,SMALL(Dong14,ROWS($1:8)),),OFFSET(TH!N$1,SMALL(Dong14,ROWS($1:8)),)))</f>
        <v>5112X</v>
      </c>
      <c r="F24" s="911">
        <f ca="1">IF(ROWS($1:8)&gt;COUNT(Dong14),0,OFFSET(TH!L$1,SMALL(Dong14,ROWS($1:8)),))</f>
        <v>22260</v>
      </c>
      <c r="G24" s="911"/>
      <c r="H24" s="912">
        <f ca="1">IF(ROWS($1:8)&gt;COUNT(Dong14),0,IF(OFFSET(TH!N$1,SMALL(Dong14,ROWS($1:8)),)="131",OFFSET(TH!K$1,SMALL(Dong14,ROWS($1:8)),),0))</f>
        <v>15136</v>
      </c>
      <c r="I24" s="911">
        <f ca="1">IF(ROWS($1:8)&gt;COUNT(Dong14),0,IF(OFFSET(TH!N$1,SMALL(Dong14,ROWS($1:8)),)="131",OFFSET(TH!M$1,SMALL(Dong14,ROWS($1:8)),),0))</f>
        <v>336927360</v>
      </c>
      <c r="J24" s="912">
        <f ca="1">IF(ROWS($1:8)&gt;COUNT(Dong14),0,IF(OFFSET(TH!O$1,SMALL(Dong14,ROWS($1:8)),)="131",OFFSET(TH!K$1,SMALL(Dong14,ROWS($1:8)),),0))</f>
        <v>0</v>
      </c>
      <c r="K24" s="911">
        <f ca="1">IF(ROWS($1:8)&gt;COUNT(Dong14),0,IF(OFFSET(TH!O$1,SMALL(Dong14,ROWS($1:8)),)="131",OFFSET(TH!M$1,SMALL(Dong14,ROWS($1:8)),),0))</f>
        <v>0</v>
      </c>
      <c r="L24" s="905">
        <f t="shared" ca="1" si="1"/>
        <v>199662</v>
      </c>
      <c r="M24" s="904">
        <f t="shared" ca="1" si="2"/>
        <v>4457431290</v>
      </c>
      <c r="N24" s="905">
        <f t="shared" ca="1" si="3"/>
        <v>0</v>
      </c>
      <c r="O24" s="904">
        <f t="shared" ca="1" si="4"/>
        <v>0</v>
      </c>
    </row>
    <row r="25" spans="1:15" s="5" customFormat="1" ht="16.5" customHeight="1">
      <c r="A25" s="225">
        <f t="shared" ca="1" si="0"/>
        <v>42583</v>
      </c>
      <c r="B25" s="229" t="str">
        <f ca="1">IF(ROWS($1:9)&gt;COUNT(Dong14),"",OFFSET(TH!D$1,SMALL(Dong14,ROWS($1:9)),))</f>
        <v>TP/X01</v>
      </c>
      <c r="C25" s="225">
        <f ca="1">IF(ROWS($1:9)&gt;COUNT(Dong14),"",OFFSET(TH!E$1,SMALL(Dong14,ROWS($1:9)),))</f>
        <v>42583</v>
      </c>
      <c r="D25" s="913" t="str">
        <f ca="1">IF(ROWS($1:9)&gt;COUNT(Dong14),"",OFFSET(TH!F$1,SMALL(Dong14,ROWS($1:9)),))</f>
        <v>Khô cá bò tẩm</v>
      </c>
      <c r="E25" s="911" t="str">
        <f ca="1">IF(ROWS($1:9)&gt;COUNT(Dong14),"",IF(OFFSET(TH!N$1,SMALL(Dong14,ROWS($1:9)),)="131",OFFSET(TH!O$1,SMALL(Dong14,ROWS($1:9)),),OFFSET(TH!N$1,SMALL(Dong14,ROWS($1:9)),)))</f>
        <v>5112X</v>
      </c>
      <c r="F25" s="911">
        <f ca="1">IF(ROWS($1:9)&gt;COUNT(Dong14),0,OFFSET(TH!L$1,SMALL(Dong14,ROWS($1:9)),))</f>
        <v>22260</v>
      </c>
      <c r="G25" s="911"/>
      <c r="H25" s="912">
        <f ca="1">IF(ROWS($1:9)&gt;COUNT(Dong14),0,IF(OFFSET(TH!N$1,SMALL(Dong14,ROWS($1:9)),)="131",OFFSET(TH!K$1,SMALL(Dong14,ROWS($1:9)),),0))</f>
        <v>19550</v>
      </c>
      <c r="I25" s="911">
        <f ca="1">IF(ROWS($1:9)&gt;COUNT(Dong14),0,IF(OFFSET(TH!N$1,SMALL(Dong14,ROWS($1:9)),)="131",OFFSET(TH!M$1,SMALL(Dong14,ROWS($1:9)),),0))</f>
        <v>435183000</v>
      </c>
      <c r="J25" s="912">
        <f ca="1">IF(ROWS($1:9)&gt;COUNT(Dong14),0,IF(OFFSET(TH!O$1,SMALL(Dong14,ROWS($1:9)),)="131",OFFSET(TH!K$1,SMALL(Dong14,ROWS($1:9)),),0))</f>
        <v>0</v>
      </c>
      <c r="K25" s="911">
        <f ca="1">IF(ROWS($1:9)&gt;COUNT(Dong14),0,IF(OFFSET(TH!O$1,SMALL(Dong14,ROWS($1:9)),)="131",OFFSET(TH!M$1,SMALL(Dong14,ROWS($1:9)),),0))</f>
        <v>0</v>
      </c>
      <c r="L25" s="905">
        <f t="shared" ca="1" si="1"/>
        <v>219212</v>
      </c>
      <c r="M25" s="904">
        <f t="shared" ca="1" si="2"/>
        <v>4892614290</v>
      </c>
      <c r="N25" s="905">
        <f t="shared" ca="1" si="3"/>
        <v>0</v>
      </c>
      <c r="O25" s="904">
        <f t="shared" ca="1" si="4"/>
        <v>0</v>
      </c>
    </row>
    <row r="26" spans="1:15" s="5" customFormat="1" ht="16.5" customHeight="1">
      <c r="A26" s="225">
        <f t="shared" ca="1" si="0"/>
        <v>42583</v>
      </c>
      <c r="B26" s="229" t="str">
        <f ca="1">IF(ROWS($1:10)&gt;COUNT(Dong14),"",OFFSET(TH!D$1,SMALL(Dong14,ROWS($1:10)),))</f>
        <v>TP/X01</v>
      </c>
      <c r="C26" s="225">
        <f ca="1">IF(ROWS($1:10)&gt;COUNT(Dong14),"",OFFSET(TH!E$1,SMALL(Dong14,ROWS($1:10)),))</f>
        <v>42583</v>
      </c>
      <c r="D26" s="913" t="str">
        <f ca="1">IF(ROWS($1:10)&gt;COUNT(Dong14),"",OFFSET(TH!F$1,SMALL(Dong14,ROWS($1:10)),))</f>
        <v>Khô cá đổng tẩm</v>
      </c>
      <c r="E26" s="911" t="str">
        <f ca="1">IF(ROWS($1:10)&gt;COUNT(Dong14),"",IF(OFFSET(TH!N$1,SMALL(Dong14,ROWS($1:10)),)="131",OFFSET(TH!O$1,SMALL(Dong14,ROWS($1:10)),),OFFSET(TH!N$1,SMALL(Dong14,ROWS($1:10)),)))</f>
        <v>5112X</v>
      </c>
      <c r="F26" s="911">
        <f ca="1">IF(ROWS($1:10)&gt;COUNT(Dong14),0,OFFSET(TH!L$1,SMALL(Dong14,ROWS($1:10)),))</f>
        <v>22260</v>
      </c>
      <c r="G26" s="911"/>
      <c r="H26" s="912">
        <f ca="1">IF(ROWS($1:10)&gt;COUNT(Dong14),0,IF(OFFSET(TH!N$1,SMALL(Dong14,ROWS($1:10)),)="131",OFFSET(TH!K$1,SMALL(Dong14,ROWS($1:10)),),0))</f>
        <v>9156</v>
      </c>
      <c r="I26" s="911">
        <f ca="1">IF(ROWS($1:10)&gt;COUNT(Dong14),0,IF(OFFSET(TH!N$1,SMALL(Dong14,ROWS($1:10)),)="131",OFFSET(TH!M$1,SMALL(Dong14,ROWS($1:10)),),0))</f>
        <v>203812560</v>
      </c>
      <c r="J26" s="912">
        <f ca="1">IF(ROWS($1:10)&gt;COUNT(Dong14),0,IF(OFFSET(TH!O$1,SMALL(Dong14,ROWS($1:10)),)="131",OFFSET(TH!K$1,SMALL(Dong14,ROWS($1:10)),),0))</f>
        <v>0</v>
      </c>
      <c r="K26" s="911">
        <f ca="1">IF(ROWS($1:10)&gt;COUNT(Dong14),0,IF(OFFSET(TH!O$1,SMALL(Dong14,ROWS($1:10)),)="131",OFFSET(TH!M$1,SMALL(Dong14,ROWS($1:10)),),0))</f>
        <v>0</v>
      </c>
      <c r="L26" s="905">
        <f t="shared" ca="1" si="1"/>
        <v>228368</v>
      </c>
      <c r="M26" s="904">
        <f t="shared" ca="1" si="2"/>
        <v>5096426850</v>
      </c>
      <c r="N26" s="905">
        <f t="shared" ca="1" si="3"/>
        <v>0</v>
      </c>
      <c r="O26" s="904">
        <f t="shared" ca="1" si="4"/>
        <v>0</v>
      </c>
    </row>
    <row r="27" spans="1:15" s="5" customFormat="1" ht="16.5" customHeight="1">
      <c r="A27" s="225">
        <f t="shared" ca="1" si="0"/>
        <v>42583</v>
      </c>
      <c r="B27" s="229" t="str">
        <f ca="1">IF(ROWS($1:11)&gt;COUNT(Dong14),"",OFFSET(TH!D$1,SMALL(Dong14,ROWS($1:11)),))</f>
        <v>TP/X01</v>
      </c>
      <c r="C27" s="225">
        <f ca="1">IF(ROWS($1:11)&gt;COUNT(Dong14),"",OFFSET(TH!E$1,SMALL(Dong14,ROWS($1:11)),))</f>
        <v>42583</v>
      </c>
      <c r="D27" s="913" t="str">
        <f ca="1">IF(ROWS($1:11)&gt;COUNT(Dong14),"",OFFSET(TH!F$1,SMALL(Dong14,ROWS($1:11)),))</f>
        <v>Khô cá đục tẩm</v>
      </c>
      <c r="E27" s="911" t="str">
        <f ca="1">IF(ROWS($1:11)&gt;COUNT(Dong14),"",IF(OFFSET(TH!N$1,SMALL(Dong14,ROWS($1:11)),)="131",OFFSET(TH!O$1,SMALL(Dong14,ROWS($1:11)),),OFFSET(TH!N$1,SMALL(Dong14,ROWS($1:11)),)))</f>
        <v>5112X</v>
      </c>
      <c r="F27" s="911">
        <f ca="1">IF(ROWS($1:11)&gt;COUNT(Dong14),0,OFFSET(TH!L$1,SMALL(Dong14,ROWS($1:11)),))</f>
        <v>22260</v>
      </c>
      <c r="G27" s="911"/>
      <c r="H27" s="912">
        <f ca="1">IF(ROWS($1:11)&gt;COUNT(Dong14),0,IF(OFFSET(TH!N$1,SMALL(Dong14,ROWS($1:11)),)="131",OFFSET(TH!K$1,SMALL(Dong14,ROWS($1:11)),),0))</f>
        <v>3705</v>
      </c>
      <c r="I27" s="911">
        <f ca="1">IF(ROWS($1:11)&gt;COUNT(Dong14),0,IF(OFFSET(TH!N$1,SMALL(Dong14,ROWS($1:11)),)="131",OFFSET(TH!M$1,SMALL(Dong14,ROWS($1:11)),),0))</f>
        <v>82473300</v>
      </c>
      <c r="J27" s="912">
        <f ca="1">IF(ROWS($1:11)&gt;COUNT(Dong14),0,IF(OFFSET(TH!O$1,SMALL(Dong14,ROWS($1:11)),)="131",OFFSET(TH!K$1,SMALL(Dong14,ROWS($1:11)),),0))</f>
        <v>0</v>
      </c>
      <c r="K27" s="911">
        <f ca="1">IF(ROWS($1:11)&gt;COUNT(Dong14),0,IF(OFFSET(TH!O$1,SMALL(Dong14,ROWS($1:11)),)="131",OFFSET(TH!M$1,SMALL(Dong14,ROWS($1:11)),),0))</f>
        <v>0</v>
      </c>
      <c r="L27" s="905">
        <f t="shared" ca="1" si="1"/>
        <v>232073</v>
      </c>
      <c r="M27" s="904">
        <f t="shared" ca="1" si="2"/>
        <v>5178900150</v>
      </c>
      <c r="N27" s="905">
        <f t="shared" ca="1" si="3"/>
        <v>0</v>
      </c>
      <c r="O27" s="904">
        <f t="shared" ca="1" si="4"/>
        <v>0</v>
      </c>
    </row>
    <row r="28" spans="1:15" s="5" customFormat="1" ht="16.5" customHeight="1">
      <c r="A28" s="225">
        <f t="shared" ca="1" si="0"/>
        <v>42397</v>
      </c>
      <c r="B28" s="229" t="str">
        <f ca="1">IF(ROWS($1:12)&gt;COUNT(Dong14),"",OFFSET(TH!D$1,SMALL(Dong14,ROWS($1:12)),))</f>
        <v>GBC</v>
      </c>
      <c r="C28" s="225">
        <f ca="1">IF(ROWS($1:12)&gt;COUNT(Dong14),"",OFFSET(TH!E$1,SMALL(Dong14,ROWS($1:12)),))</f>
        <v>42397</v>
      </c>
      <c r="D28" s="913" t="str">
        <f ca="1">IF(ROWS($1:12)&gt;COUNT(Dong14),"",OFFSET(TH!F$1,SMALL(Dong14,ROWS($1:12)),))</f>
        <v>Q11 - Chiết khấu bộ chứng từ - Tokai</v>
      </c>
      <c r="E28" s="911" t="str">
        <f ca="1">IF(ROWS($1:12)&gt;COUNT(Dong14),"",IF(OFFSET(TH!N$1,SMALL(Dong14,ROWS($1:12)),)="131",OFFSET(TH!O$1,SMALL(Dong14,ROWS($1:12)),),OFFSET(TH!N$1,SMALL(Dong14,ROWS($1:12)),)))</f>
        <v>1122</v>
      </c>
      <c r="F28" s="911">
        <f ca="1">IF(ROWS($1:12)&gt;COUNT(Dong14),0,OFFSET(TH!L$1,SMALL(Dong14,ROWS($1:12)),))</f>
        <v>22300</v>
      </c>
      <c r="G28" s="911"/>
      <c r="H28" s="912">
        <f ca="1">IF(ROWS($1:12)&gt;COUNT(Dong14),0,IF(OFFSET(TH!N$1,SMALL(Dong14,ROWS($1:12)),)="131",OFFSET(TH!K$1,SMALL(Dong14,ROWS($1:12)),),0))</f>
        <v>0</v>
      </c>
      <c r="I28" s="911">
        <f ca="1">IF(ROWS($1:12)&gt;COUNT(Dong14),0,IF(OFFSET(TH!N$1,SMALL(Dong14,ROWS($1:12)),)="131",OFFSET(TH!M$1,SMALL(Dong14,ROWS($1:12)),),0))</f>
        <v>0</v>
      </c>
      <c r="J28" s="912">
        <f ca="1">IF(ROWS($1:12)&gt;COUNT(Dong14),0,IF(OFFSET(TH!O$1,SMALL(Dong14,ROWS($1:12)),)="131",OFFSET(TH!K$1,SMALL(Dong14,ROWS($1:12)),),0))</f>
        <v>71518.62</v>
      </c>
      <c r="K28" s="911">
        <f ca="1">IF(ROWS($1:12)&gt;COUNT(Dong14),0,IF(OFFSET(TH!O$1,SMALL(Dong14,ROWS($1:12)),)="131",OFFSET(TH!M$1,SMALL(Dong14,ROWS($1:12)),),0))</f>
        <v>1594865226</v>
      </c>
      <c r="L28" s="905">
        <f t="shared" ca="1" si="1"/>
        <v>160554.38</v>
      </c>
      <c r="M28" s="904">
        <f t="shared" ca="1" si="2"/>
        <v>3584034924</v>
      </c>
      <c r="N28" s="905">
        <f t="shared" ca="1" si="3"/>
        <v>0</v>
      </c>
      <c r="O28" s="904">
        <f t="shared" ca="1" si="4"/>
        <v>0</v>
      </c>
    </row>
    <row r="29" spans="1:15" s="5" customFormat="1" ht="16.5" customHeight="1">
      <c r="A29" s="225">
        <f t="shared" ca="1" si="0"/>
        <v>42397</v>
      </c>
      <c r="B29" s="229" t="str">
        <f ca="1">IF(ROWS($1:13)&gt;COUNT(Dong14),"",OFFSET(TH!D$1,SMALL(Dong14,ROWS($1:13)),))</f>
        <v>CTGS</v>
      </c>
      <c r="C29" s="225">
        <f ca="1">IF(ROWS($1:13)&gt;COUNT(Dong14),"",OFFSET(TH!E$1,SMALL(Dong14,ROWS($1:13)),))</f>
        <v>42397</v>
      </c>
      <c r="D29" s="913" t="str">
        <f ca="1">IF(ROWS($1:13)&gt;COUNT(Dong14),"",OFFSET(TH!F$1,SMALL(Dong14,ROWS($1:13)),))</f>
        <v>Phí xử lý bộ chứng từ</v>
      </c>
      <c r="E29" s="911" t="str">
        <f ca="1">IF(ROWS($1:13)&gt;COUNT(Dong14),"",IF(OFFSET(TH!N$1,SMALL(Dong14,ROWS($1:13)),)="131",OFFSET(TH!O$1,SMALL(Dong14,ROWS($1:13)),),OFFSET(TH!N$1,SMALL(Dong14,ROWS($1:13)),)))</f>
        <v>642</v>
      </c>
      <c r="F29" s="911">
        <f ca="1">IF(ROWS($1:13)&gt;COUNT(Dong14),0,OFFSET(TH!L$1,SMALL(Dong14,ROWS($1:13)),))</f>
        <v>22310</v>
      </c>
      <c r="G29" s="911"/>
      <c r="H29" s="912">
        <f ca="1">IF(ROWS($1:13)&gt;COUNT(Dong14),0,IF(OFFSET(TH!N$1,SMALL(Dong14,ROWS($1:13)),)="131",OFFSET(TH!K$1,SMALL(Dong14,ROWS($1:13)),),0))</f>
        <v>0</v>
      </c>
      <c r="I29" s="911">
        <f ca="1">IF(ROWS($1:13)&gt;COUNT(Dong14),0,IF(OFFSET(TH!N$1,SMALL(Dong14,ROWS($1:13)),)="131",OFFSET(TH!M$1,SMALL(Dong14,ROWS($1:13)),),0))</f>
        <v>0</v>
      </c>
      <c r="J29" s="912">
        <f ca="1">IF(ROWS($1:13)&gt;COUNT(Dong14),0,IF(OFFSET(TH!O$1,SMALL(Dong14,ROWS($1:13)),)="131",OFFSET(TH!K$1,SMALL(Dong14,ROWS($1:13)),),0))</f>
        <v>11</v>
      </c>
      <c r="K29" s="911">
        <f ca="1">IF(ROWS($1:13)&gt;COUNT(Dong14),0,IF(OFFSET(TH!O$1,SMALL(Dong14,ROWS($1:13)),)="131",OFFSET(TH!M$1,SMALL(Dong14,ROWS($1:13)),),0))</f>
        <v>245410</v>
      </c>
      <c r="L29" s="905">
        <f t="shared" ca="1" si="1"/>
        <v>160543.38</v>
      </c>
      <c r="M29" s="904">
        <f t="shared" ca="1" si="2"/>
        <v>3583789514</v>
      </c>
      <c r="N29" s="905">
        <f t="shared" ca="1" si="3"/>
        <v>0</v>
      </c>
      <c r="O29" s="904">
        <f t="shared" ca="1" si="4"/>
        <v>0</v>
      </c>
    </row>
    <row r="30" spans="1:15" s="5" customFormat="1" ht="16.5" customHeight="1">
      <c r="A30" s="225">
        <f t="shared" ca="1" si="0"/>
        <v>42397</v>
      </c>
      <c r="B30" s="229" t="str">
        <f ca="1">IF(ROWS($1:14)&gt;COUNT(Dong14),"",OFFSET(TH!D$1,SMALL(Dong14,ROWS($1:14)),))</f>
        <v>CTGS</v>
      </c>
      <c r="C30" s="225">
        <f ca="1">IF(ROWS($1:14)&gt;COUNT(Dong14),"",OFFSET(TH!E$1,SMALL(Dong14,ROWS($1:14)),))</f>
        <v>42397</v>
      </c>
      <c r="D30" s="913" t="str">
        <f ca="1">IF(ROWS($1:14)&gt;COUNT(Dong14),"",OFFSET(TH!F$1,SMALL(Dong14,ROWS($1:14)),))</f>
        <v>Phí DHL</v>
      </c>
      <c r="E30" s="911" t="str">
        <f ca="1">IF(ROWS($1:14)&gt;COUNT(Dong14),"",IF(OFFSET(TH!N$1,SMALL(Dong14,ROWS($1:14)),)="131",OFFSET(TH!O$1,SMALL(Dong14,ROWS($1:14)),),OFFSET(TH!N$1,SMALL(Dong14,ROWS($1:14)),)))</f>
        <v>642</v>
      </c>
      <c r="F30" s="911">
        <f ca="1">IF(ROWS($1:14)&gt;COUNT(Dong14),0,OFFSET(TH!L$1,SMALL(Dong14,ROWS($1:14)),))</f>
        <v>22310</v>
      </c>
      <c r="G30" s="911"/>
      <c r="H30" s="912">
        <f ca="1">IF(ROWS($1:14)&gt;COUNT(Dong14),0,IF(OFFSET(TH!N$1,SMALL(Dong14,ROWS($1:14)),)="131",OFFSET(TH!K$1,SMALL(Dong14,ROWS($1:14)),),0))</f>
        <v>0</v>
      </c>
      <c r="I30" s="911">
        <f ca="1">IF(ROWS($1:14)&gt;COUNT(Dong14),0,IF(OFFSET(TH!N$1,SMALL(Dong14,ROWS($1:14)),)="131",OFFSET(TH!M$1,SMALL(Dong14,ROWS($1:14)),),0))</f>
        <v>0</v>
      </c>
      <c r="J30" s="912">
        <f ca="1">IF(ROWS($1:14)&gt;COUNT(Dong14),0,IF(OFFSET(TH!O$1,SMALL(Dong14,ROWS($1:14)),)="131",OFFSET(TH!K$1,SMALL(Dong14,ROWS($1:14)),),0))</f>
        <v>30.38</v>
      </c>
      <c r="K30" s="911">
        <f ca="1">IF(ROWS($1:14)&gt;COUNT(Dong14),0,IF(OFFSET(TH!O$1,SMALL(Dong14,ROWS($1:14)),)="131",OFFSET(TH!M$1,SMALL(Dong14,ROWS($1:14)),),0))</f>
        <v>677778</v>
      </c>
      <c r="L30" s="905">
        <f t="shared" ca="1" si="1"/>
        <v>160513</v>
      </c>
      <c r="M30" s="904">
        <f t="shared" ca="1" si="2"/>
        <v>3583111736</v>
      </c>
      <c r="N30" s="905">
        <f t="shared" ca="1" si="3"/>
        <v>0</v>
      </c>
      <c r="O30" s="904">
        <f t="shared" ca="1" si="4"/>
        <v>0</v>
      </c>
    </row>
    <row r="31" spans="1:15" s="5" customFormat="1" ht="16.5" customHeight="1">
      <c r="A31" s="225">
        <f t="shared" ca="1" si="0"/>
        <v>42405</v>
      </c>
      <c r="B31" s="229" t="str">
        <f ca="1">IF(ROWS($1:15)&gt;COUNT(Dong14),"",OFFSET(TH!D$1,SMALL(Dong14,ROWS($1:15)),))</f>
        <v>GBC</v>
      </c>
      <c r="C31" s="225">
        <f ca="1">IF(ROWS($1:15)&gt;COUNT(Dong14),"",OFFSET(TH!E$1,SMALL(Dong14,ROWS($1:15)),))</f>
        <v>42405</v>
      </c>
      <c r="D31" s="913" t="str">
        <f ca="1">IF(ROWS($1:15)&gt;COUNT(Dong14),"",OFFSET(TH!F$1,SMALL(Dong14,ROWS($1:15)),))</f>
        <v>Q11 - Thu tiền hàng - Tokai</v>
      </c>
      <c r="E31" s="911" t="str">
        <f ca="1">IF(ROWS($1:15)&gt;COUNT(Dong14),"",IF(OFFSET(TH!N$1,SMALL(Dong14,ROWS($1:15)),)="131",OFFSET(TH!O$1,SMALL(Dong14,ROWS($1:15)),),OFFSET(TH!N$1,SMALL(Dong14,ROWS($1:15)),)))</f>
        <v>1122</v>
      </c>
      <c r="F31" s="911">
        <f ca="1">IF(ROWS($1:15)&gt;COUNT(Dong14),0,OFFSET(TH!L$1,SMALL(Dong14,ROWS($1:15)),))</f>
        <v>22270</v>
      </c>
      <c r="G31" s="911"/>
      <c r="H31" s="912">
        <f ca="1">IF(ROWS($1:15)&gt;COUNT(Dong14),0,IF(OFFSET(TH!N$1,SMALL(Dong14,ROWS($1:15)),)="131",OFFSET(TH!K$1,SMALL(Dong14,ROWS($1:15)),),0))</f>
        <v>0</v>
      </c>
      <c r="I31" s="911">
        <f ca="1">IF(ROWS($1:15)&gt;COUNT(Dong14),0,IF(OFFSET(TH!N$1,SMALL(Dong14,ROWS($1:15)),)="131",OFFSET(TH!M$1,SMALL(Dong14,ROWS($1:15)),),0))</f>
        <v>0</v>
      </c>
      <c r="J31" s="912">
        <f ca="1">IF(ROWS($1:15)&gt;COUNT(Dong14),0,IF(OFFSET(TH!O$1,SMALL(Dong14,ROWS($1:15)),)="131",OFFSET(TH!K$1,SMALL(Dong14,ROWS($1:15)),),0))</f>
        <v>7743.32</v>
      </c>
      <c r="K31" s="911">
        <f ca="1">IF(ROWS($1:15)&gt;COUNT(Dong14),0,IF(OFFSET(TH!O$1,SMALL(Dong14,ROWS($1:15)),)="131",OFFSET(TH!M$1,SMALL(Dong14,ROWS($1:15)),),0))</f>
        <v>172443736</v>
      </c>
      <c r="L31" s="905">
        <f t="shared" ca="1" si="1"/>
        <v>152769.68</v>
      </c>
      <c r="M31" s="904">
        <f t="shared" ca="1" si="2"/>
        <v>3410668000</v>
      </c>
      <c r="N31" s="905">
        <f t="shared" ca="1" si="3"/>
        <v>0</v>
      </c>
      <c r="O31" s="904">
        <f t="shared" ca="1" si="4"/>
        <v>0</v>
      </c>
    </row>
    <row r="32" spans="1:15" s="5" customFormat="1" ht="16.5" customHeight="1">
      <c r="A32" s="225">
        <f t="shared" ca="1" si="0"/>
        <v>42405</v>
      </c>
      <c r="B32" s="229" t="str">
        <f ca="1">IF(ROWS($1:16)&gt;COUNT(Dong14),"",OFFSET(TH!D$1,SMALL(Dong14,ROWS($1:16)),))</f>
        <v>CTGS</v>
      </c>
      <c r="C32" s="225">
        <f ca="1">IF(ROWS($1:16)&gt;COUNT(Dong14),"",OFFSET(TH!E$1,SMALL(Dong14,ROWS($1:16)),))</f>
        <v>42405</v>
      </c>
      <c r="D32" s="913" t="str">
        <f ca="1">IF(ROWS($1:16)&gt;COUNT(Dong14),"",OFFSET(TH!F$1,SMALL(Dong14,ROWS($1:16)),))</f>
        <v>Phí thanh toán bộ chứng từ</v>
      </c>
      <c r="E32" s="911" t="str">
        <f ca="1">IF(ROWS($1:16)&gt;COUNT(Dong14),"",IF(OFFSET(TH!N$1,SMALL(Dong14,ROWS($1:16)),)="131",OFFSET(TH!O$1,SMALL(Dong14,ROWS($1:16)),),OFFSET(TH!N$1,SMALL(Dong14,ROWS($1:16)),)))</f>
        <v>642</v>
      </c>
      <c r="F32" s="911">
        <f ca="1">IF(ROWS($1:16)&gt;COUNT(Dong14),0,OFFSET(TH!L$1,SMALL(Dong14,ROWS($1:16)),))</f>
        <v>22270</v>
      </c>
      <c r="G32" s="911"/>
      <c r="H32" s="912">
        <f ca="1">IF(ROWS($1:16)&gt;COUNT(Dong14),0,IF(OFFSET(TH!N$1,SMALL(Dong14,ROWS($1:16)),)="131",OFFSET(TH!K$1,SMALL(Dong14,ROWS($1:16)),),0))</f>
        <v>0</v>
      </c>
      <c r="I32" s="911">
        <f ca="1">IF(ROWS($1:16)&gt;COUNT(Dong14),0,IF(OFFSET(TH!N$1,SMALL(Dong14,ROWS($1:16)),)="131",OFFSET(TH!M$1,SMALL(Dong14,ROWS($1:16)),),0))</f>
        <v>0</v>
      </c>
      <c r="J32" s="912">
        <f ca="1">IF(ROWS($1:16)&gt;COUNT(Dong14),0,IF(OFFSET(TH!O$1,SMALL(Dong14,ROWS($1:16)),)="131",OFFSET(TH!K$1,SMALL(Dong14,ROWS($1:16)),),0))</f>
        <v>107.34</v>
      </c>
      <c r="K32" s="911">
        <f ca="1">IF(ROWS($1:16)&gt;COUNT(Dong14),0,IF(OFFSET(TH!O$1,SMALL(Dong14,ROWS($1:16)),)="131",OFFSET(TH!M$1,SMALL(Dong14,ROWS($1:16)),),0))</f>
        <v>2390462</v>
      </c>
      <c r="L32" s="905">
        <f t="shared" ca="1" si="1"/>
        <v>152662.34</v>
      </c>
      <c r="M32" s="904">
        <f t="shared" ca="1" si="2"/>
        <v>3408277538</v>
      </c>
      <c r="N32" s="905">
        <f t="shared" ca="1" si="3"/>
        <v>0</v>
      </c>
      <c r="O32" s="904">
        <f t="shared" ca="1" si="4"/>
        <v>0</v>
      </c>
    </row>
    <row r="33" spans="1:15" s="5" customFormat="1" ht="16.5" customHeight="1">
      <c r="A33" s="225">
        <f t="shared" ca="1" si="0"/>
        <v>42405</v>
      </c>
      <c r="B33" s="229" t="str">
        <f ca="1">IF(ROWS($1:17)&gt;COUNT(Dong14),"",OFFSET(TH!D$1,SMALL(Dong14,ROWS($1:17)),))</f>
        <v>CTGS</v>
      </c>
      <c r="C33" s="225">
        <f ca="1">IF(ROWS($1:17)&gt;COUNT(Dong14),"",OFFSET(TH!E$1,SMALL(Dong14,ROWS($1:17)),))</f>
        <v>42405</v>
      </c>
      <c r="D33" s="913" t="str">
        <f ca="1">IF(ROWS($1:17)&gt;COUNT(Dong14),"",OFFSET(TH!F$1,SMALL(Dong14,ROWS($1:17)),))</f>
        <v>VAT Phí thanh toán bộ chứng từ</v>
      </c>
      <c r="E33" s="911" t="str">
        <f ca="1">IF(ROWS($1:17)&gt;COUNT(Dong14),"",IF(OFFSET(TH!N$1,SMALL(Dong14,ROWS($1:17)),)="131",OFFSET(TH!O$1,SMALL(Dong14,ROWS($1:17)),),OFFSET(TH!N$1,SMALL(Dong14,ROWS($1:17)),)))</f>
        <v>1331</v>
      </c>
      <c r="F33" s="911">
        <f ca="1">IF(ROWS($1:17)&gt;COUNT(Dong14),0,OFFSET(TH!L$1,SMALL(Dong14,ROWS($1:17)),))</f>
        <v>22270</v>
      </c>
      <c r="G33" s="911"/>
      <c r="H33" s="912">
        <f ca="1">IF(ROWS($1:17)&gt;COUNT(Dong14),0,IF(OFFSET(TH!N$1,SMALL(Dong14,ROWS($1:17)),)="131",OFFSET(TH!K$1,SMALL(Dong14,ROWS($1:17)),),0))</f>
        <v>0</v>
      </c>
      <c r="I33" s="911">
        <f ca="1">IF(ROWS($1:17)&gt;COUNT(Dong14),0,IF(OFFSET(TH!N$1,SMALL(Dong14,ROWS($1:17)),)="131",OFFSET(TH!M$1,SMALL(Dong14,ROWS($1:17)),),0))</f>
        <v>0</v>
      </c>
      <c r="J33" s="912">
        <f ca="1">IF(ROWS($1:17)&gt;COUNT(Dong14),0,IF(OFFSET(TH!O$1,SMALL(Dong14,ROWS($1:17)),)="131",OFFSET(TH!K$1,SMALL(Dong14,ROWS($1:17)),),0))</f>
        <v>10.73</v>
      </c>
      <c r="K33" s="911">
        <f ca="1">IF(ROWS($1:17)&gt;COUNT(Dong14),0,IF(OFFSET(TH!O$1,SMALL(Dong14,ROWS($1:17)),)="131",OFFSET(TH!M$1,SMALL(Dong14,ROWS($1:17)),),0))</f>
        <v>238957</v>
      </c>
      <c r="L33" s="905">
        <f t="shared" ca="1" si="1"/>
        <v>152651.60999999999</v>
      </c>
      <c r="M33" s="904">
        <f t="shared" ca="1" si="2"/>
        <v>3408038581</v>
      </c>
      <c r="N33" s="905">
        <f t="shared" ca="1" si="3"/>
        <v>0</v>
      </c>
      <c r="O33" s="904">
        <f t="shared" ca="1" si="4"/>
        <v>0</v>
      </c>
    </row>
    <row r="34" spans="1:15" s="5" customFormat="1" ht="16.5" customHeight="1">
      <c r="A34" s="225">
        <f t="shared" ca="1" si="0"/>
        <v>42405</v>
      </c>
      <c r="B34" s="229" t="str">
        <f ca="1">IF(ROWS($1:18)&gt;COUNT(Dong14),"",OFFSET(TH!D$1,SMALL(Dong14,ROWS($1:18)),))</f>
        <v>CTGS</v>
      </c>
      <c r="C34" s="225">
        <f ca="1">IF(ROWS($1:18)&gt;COUNT(Dong14),"",OFFSET(TH!E$1,SMALL(Dong14,ROWS($1:18)),))</f>
        <v>42405</v>
      </c>
      <c r="D34" s="913" t="str">
        <f ca="1">IF(ROWS($1:18)&gt;COUNT(Dong14),"",OFFSET(TH!F$1,SMALL(Dong14,ROWS($1:18)),))</f>
        <v>Lãi suất chiết khấu</v>
      </c>
      <c r="E34" s="911" t="str">
        <f ca="1">IF(ROWS($1:18)&gt;COUNT(Dong14),"",IF(OFFSET(TH!N$1,SMALL(Dong14,ROWS($1:18)),)="131",OFFSET(TH!O$1,SMALL(Dong14,ROWS($1:18)),),OFFSET(TH!N$1,SMALL(Dong14,ROWS($1:18)),)))</f>
        <v>635</v>
      </c>
      <c r="F34" s="911">
        <f ca="1">IF(ROWS($1:18)&gt;COUNT(Dong14),0,OFFSET(TH!L$1,SMALL(Dong14,ROWS($1:18)),))</f>
        <v>22270</v>
      </c>
      <c r="G34" s="911"/>
      <c r="H34" s="912">
        <f ca="1">IF(ROWS($1:18)&gt;COUNT(Dong14),0,IF(OFFSET(TH!N$1,SMALL(Dong14,ROWS($1:18)),)="131",OFFSET(TH!K$1,SMALL(Dong14,ROWS($1:18)),),0))</f>
        <v>0</v>
      </c>
      <c r="I34" s="911">
        <f ca="1">IF(ROWS($1:18)&gt;COUNT(Dong14),0,IF(OFFSET(TH!N$1,SMALL(Dong14,ROWS($1:18)),)="131",OFFSET(TH!M$1,SMALL(Dong14,ROWS($1:18)),),0))</f>
        <v>0</v>
      </c>
      <c r="J34" s="912">
        <f ca="1">IF(ROWS($1:18)&gt;COUNT(Dong14),0,IF(OFFSET(TH!O$1,SMALL(Dong14,ROWS($1:18)),)="131",OFFSET(TH!K$1,SMALL(Dong14,ROWS($1:18)),),0))</f>
        <v>63.61</v>
      </c>
      <c r="K34" s="911">
        <f ca="1">IF(ROWS($1:18)&gt;COUNT(Dong14),0,IF(OFFSET(TH!O$1,SMALL(Dong14,ROWS($1:18)),)="131",OFFSET(TH!M$1,SMALL(Dong14,ROWS($1:18)),),0))</f>
        <v>1416595</v>
      </c>
      <c r="L34" s="905">
        <f t="shared" ca="1" si="1"/>
        <v>152588</v>
      </c>
      <c r="M34" s="904">
        <f t="shared" ca="1" si="2"/>
        <v>3406621986</v>
      </c>
      <c r="N34" s="905">
        <f t="shared" ca="1" si="3"/>
        <v>0</v>
      </c>
      <c r="O34" s="904">
        <f t="shared" ca="1" si="4"/>
        <v>0</v>
      </c>
    </row>
    <row r="35" spans="1:15" s="5" customFormat="1" ht="16.5" customHeight="1">
      <c r="A35" s="225">
        <f t="shared" ca="1" si="0"/>
        <v>42405</v>
      </c>
      <c r="B35" s="229" t="str">
        <f ca="1">IF(ROWS($1:19)&gt;COUNT(Dong14),"",OFFSET(TH!D$1,SMALL(Dong14,ROWS($1:19)),))</f>
        <v>CTGS</v>
      </c>
      <c r="C35" s="225">
        <f ca="1">IF(ROWS($1:19)&gt;COUNT(Dong14),"",OFFSET(TH!E$1,SMALL(Dong14,ROWS($1:19)),))</f>
        <v>42405</v>
      </c>
      <c r="D35" s="913" t="str">
        <f ca="1">IF(ROWS($1:19)&gt;COUNT(Dong14),"",OFFSET(TH!F$1,SMALL(Dong14,ROWS($1:19)),))</f>
        <v>Phí NH Nước ngoài gairm trừ</v>
      </c>
      <c r="E35" s="911" t="str">
        <f ca="1">IF(ROWS($1:19)&gt;COUNT(Dong14),"",IF(OFFSET(TH!N$1,SMALL(Dong14,ROWS($1:19)),)="131",OFFSET(TH!O$1,SMALL(Dong14,ROWS($1:19)),),OFFSET(TH!N$1,SMALL(Dong14,ROWS($1:19)),)))</f>
        <v>642</v>
      </c>
      <c r="F35" s="911">
        <f ca="1">IF(ROWS($1:19)&gt;COUNT(Dong14),0,OFFSET(TH!L$1,SMALL(Dong14,ROWS($1:19)),))</f>
        <v>22270</v>
      </c>
      <c r="G35" s="911"/>
      <c r="H35" s="912">
        <f ca="1">IF(ROWS($1:19)&gt;COUNT(Dong14),0,IF(OFFSET(TH!N$1,SMALL(Dong14,ROWS($1:19)),)="131",OFFSET(TH!K$1,SMALL(Dong14,ROWS($1:19)),),0))</f>
        <v>0</v>
      </c>
      <c r="I35" s="911">
        <f ca="1">IF(ROWS($1:19)&gt;COUNT(Dong14),0,IF(OFFSET(TH!N$1,SMALL(Dong14,ROWS($1:19)),)="131",OFFSET(TH!M$1,SMALL(Dong14,ROWS($1:19)),),0))</f>
        <v>0</v>
      </c>
      <c r="J35" s="912">
        <f ca="1">IF(ROWS($1:19)&gt;COUNT(Dong14),0,IF(OFFSET(TH!O$1,SMALL(Dong14,ROWS($1:19)),)="131",OFFSET(TH!K$1,SMALL(Dong14,ROWS($1:19)),),0))</f>
        <v>35</v>
      </c>
      <c r="K35" s="911">
        <f ca="1">IF(ROWS($1:19)&gt;COUNT(Dong14),0,IF(OFFSET(TH!O$1,SMALL(Dong14,ROWS($1:19)),)="131",OFFSET(TH!M$1,SMALL(Dong14,ROWS($1:19)),),0))</f>
        <v>779450</v>
      </c>
      <c r="L35" s="905">
        <f t="shared" ca="1" si="1"/>
        <v>152553</v>
      </c>
      <c r="M35" s="904">
        <f t="shared" ca="1" si="2"/>
        <v>3405842536</v>
      </c>
      <c r="N35" s="905">
        <f t="shared" ca="1" si="3"/>
        <v>0</v>
      </c>
      <c r="O35" s="904">
        <f t="shared" ca="1" si="4"/>
        <v>0</v>
      </c>
    </row>
    <row r="36" spans="1:15" s="5" customFormat="1" ht="16.5" customHeight="1">
      <c r="A36" s="225">
        <f t="shared" ca="1" si="0"/>
        <v>42405</v>
      </c>
      <c r="B36" s="229" t="str">
        <f ca="1">IF(ROWS($1:20)&gt;COUNT(Dong14),"",OFFSET(TH!D$1,SMALL(Dong14,ROWS($1:20)),))</f>
        <v>CTGS</v>
      </c>
      <c r="C36" s="225">
        <f ca="1">IF(ROWS($1:20)&gt;COUNT(Dong14),"",OFFSET(TH!E$1,SMALL(Dong14,ROWS($1:20)),))</f>
        <v>42405</v>
      </c>
      <c r="D36" s="913" t="str">
        <f ca="1">IF(ROWS($1:20)&gt;COUNT(Dong14),"",OFFSET(TH!F$1,SMALL(Dong14,ROWS($1:20)),))</f>
        <v>Chênh lệch tỷ giá</v>
      </c>
      <c r="E36" s="911" t="str">
        <f ca="1">IF(ROWS($1:20)&gt;COUNT(Dong14),"",IF(OFFSET(TH!N$1,SMALL(Dong14,ROWS($1:20)),)="131",OFFSET(TH!O$1,SMALL(Dong14,ROWS($1:20)),),OFFSET(TH!N$1,SMALL(Dong14,ROWS($1:20)),)))</f>
        <v>635</v>
      </c>
      <c r="F36" s="911">
        <f ca="1">IF(ROWS($1:20)&gt;COUNT(Dong14),0,OFFSET(TH!L$1,SMALL(Dong14,ROWS($1:20)),))</f>
        <v>0</v>
      </c>
      <c r="G36" s="911"/>
      <c r="H36" s="912">
        <f ca="1">IF(ROWS($1:20)&gt;COUNT(Dong14),0,IF(OFFSET(TH!N$1,SMALL(Dong14,ROWS($1:20)),)="131",OFFSET(TH!K$1,SMALL(Dong14,ROWS($1:20)),),0))</f>
        <v>0</v>
      </c>
      <c r="I36" s="911">
        <f ca="1">IF(ROWS($1:20)&gt;COUNT(Dong14),0,IF(OFFSET(TH!N$1,SMALL(Dong14,ROWS($1:20)),)="131",OFFSET(TH!M$1,SMALL(Dong14,ROWS($1:20)),),0))</f>
        <v>0</v>
      </c>
      <c r="J36" s="912">
        <f ca="1">IF(ROWS($1:20)&gt;COUNT(Dong14),0,IF(OFFSET(TH!O$1,SMALL(Dong14,ROWS($1:20)),)="131",OFFSET(TH!K$1,SMALL(Dong14,ROWS($1:20)),),0))</f>
        <v>0</v>
      </c>
      <c r="K36" s="911">
        <f ca="1">IF(ROWS($1:20)&gt;COUNT(Dong14),0,IF(OFFSET(TH!O$1,SMALL(Dong14,ROWS($1:20)),)="131",OFFSET(TH!M$1,SMALL(Dong14,ROWS($1:20)),),0))</f>
        <v>5407186</v>
      </c>
      <c r="L36" s="905">
        <f t="shared" ca="1" si="1"/>
        <v>152553</v>
      </c>
      <c r="M36" s="904">
        <f t="shared" ca="1" si="2"/>
        <v>3400435350</v>
      </c>
      <c r="N36" s="905">
        <f t="shared" ca="1" si="3"/>
        <v>0</v>
      </c>
      <c r="O36" s="904">
        <f t="shared" ca="1" si="4"/>
        <v>0</v>
      </c>
    </row>
    <row r="37" spans="1:15" s="5" customFormat="1" ht="16.5" customHeight="1">
      <c r="A37" s="225">
        <f t="shared" ca="1" si="0"/>
        <v>42508</v>
      </c>
      <c r="B37" s="229" t="str">
        <f ca="1">IF(ROWS($1:21)&gt;COUNT(Dong14),"",OFFSET(TH!D$1,SMALL(Dong14,ROWS($1:21)),))</f>
        <v>GBC</v>
      </c>
      <c r="C37" s="225">
        <f ca="1">IF(ROWS($1:21)&gt;COUNT(Dong14),"",OFFSET(TH!E$1,SMALL(Dong14,ROWS($1:21)),))</f>
        <v>42508</v>
      </c>
      <c r="D37" s="913" t="str">
        <f ca="1">IF(ROWS($1:21)&gt;COUNT(Dong14),"",OFFSET(TH!F$1,SMALL(Dong14,ROWS($1:21)),))</f>
        <v>Thu tiền hàng</v>
      </c>
      <c r="E37" s="911" t="str">
        <f ca="1">IF(ROWS($1:21)&gt;COUNT(Dong14),"",IF(OFFSET(TH!N$1,SMALL(Dong14,ROWS($1:21)),)="131",OFFSET(TH!O$1,SMALL(Dong14,ROWS($1:21)),),OFFSET(TH!N$1,SMALL(Dong14,ROWS($1:21)),)))</f>
        <v>1122</v>
      </c>
      <c r="F37" s="911">
        <f ca="1">IF(ROWS($1:21)&gt;COUNT(Dong14),0,OFFSET(TH!L$1,SMALL(Dong14,ROWS($1:21)),))</f>
        <v>22270</v>
      </c>
      <c r="G37" s="911"/>
      <c r="H37" s="912">
        <f ca="1">IF(ROWS($1:21)&gt;COUNT(Dong14),0,IF(OFFSET(TH!N$1,SMALL(Dong14,ROWS($1:21)),)="131",OFFSET(TH!K$1,SMALL(Dong14,ROWS($1:21)),),0))</f>
        <v>0</v>
      </c>
      <c r="I37" s="911">
        <f ca="1">IF(ROWS($1:21)&gt;COUNT(Dong14),0,IF(OFFSET(TH!N$1,SMALL(Dong14,ROWS($1:21)),)="131",OFFSET(TH!M$1,SMALL(Dong14,ROWS($1:21)),),0))</f>
        <v>0</v>
      </c>
      <c r="J37" s="912">
        <f ca="1">IF(ROWS($1:21)&gt;COUNT(Dong14),0,IF(OFFSET(TH!O$1,SMALL(Dong14,ROWS($1:21)),)="131",OFFSET(TH!K$1,SMALL(Dong14,ROWS($1:21)),),0))</f>
        <v>70606.179999999993</v>
      </c>
      <c r="K37" s="911">
        <f ca="1">IF(ROWS($1:21)&gt;COUNT(Dong14),0,IF(OFFSET(TH!O$1,SMALL(Dong14,ROWS($1:21)),)="131",OFFSET(TH!M$1,SMALL(Dong14,ROWS($1:21)),),0))</f>
        <v>1572399629</v>
      </c>
      <c r="L37" s="905">
        <f t="shared" ca="1" si="1"/>
        <v>81946.820000000007</v>
      </c>
      <c r="M37" s="904">
        <f t="shared" ca="1" si="2"/>
        <v>1828035721</v>
      </c>
      <c r="N37" s="905">
        <f t="shared" ca="1" si="3"/>
        <v>0</v>
      </c>
      <c r="O37" s="904">
        <f t="shared" ca="1" si="4"/>
        <v>0</v>
      </c>
    </row>
    <row r="38" spans="1:15" s="5" customFormat="1" ht="16.5" customHeight="1">
      <c r="A38" s="225">
        <f t="shared" ca="1" si="0"/>
        <v>42508</v>
      </c>
      <c r="B38" s="229" t="str">
        <f ca="1">IF(ROWS($1:22)&gt;COUNT(Dong14),"",OFFSET(TH!D$1,SMALL(Dong14,ROWS($1:22)),))</f>
        <v>CTGS</v>
      </c>
      <c r="C38" s="225">
        <f ca="1">IF(ROWS($1:22)&gt;COUNT(Dong14),"",OFFSET(TH!E$1,SMALL(Dong14,ROWS($1:22)),))</f>
        <v>42508</v>
      </c>
      <c r="D38" s="913" t="str">
        <f ca="1">IF(ROWS($1:22)&gt;COUNT(Dong14),"",OFFSET(TH!F$1,SMALL(Dong14,ROWS($1:22)),))</f>
        <v>Phí nhận tiền từ nước ngoài</v>
      </c>
      <c r="E38" s="911" t="str">
        <f ca="1">IF(ROWS($1:22)&gt;COUNT(Dong14),"",IF(OFFSET(TH!N$1,SMALL(Dong14,ROWS($1:22)),)="131",OFFSET(TH!O$1,SMALL(Dong14,ROWS($1:22)),),OFFSET(TH!N$1,SMALL(Dong14,ROWS($1:22)),)))</f>
        <v>642</v>
      </c>
      <c r="F38" s="911">
        <f ca="1">IF(ROWS($1:22)&gt;COUNT(Dong14),0,OFFSET(TH!L$1,SMALL(Dong14,ROWS($1:22)),))</f>
        <v>22270</v>
      </c>
      <c r="G38" s="911"/>
      <c r="H38" s="912">
        <f ca="1">IF(ROWS($1:22)&gt;COUNT(Dong14),0,IF(OFFSET(TH!N$1,SMALL(Dong14,ROWS($1:22)),)="131",OFFSET(TH!K$1,SMALL(Dong14,ROWS($1:22)),),0))</f>
        <v>0</v>
      </c>
      <c r="I38" s="911">
        <f ca="1">IF(ROWS($1:22)&gt;COUNT(Dong14),0,IF(OFFSET(TH!N$1,SMALL(Dong14,ROWS($1:22)),)="131",OFFSET(TH!M$1,SMALL(Dong14,ROWS($1:22)),),0))</f>
        <v>0</v>
      </c>
      <c r="J38" s="912">
        <f ca="1">IF(ROWS($1:22)&gt;COUNT(Dong14),0,IF(OFFSET(TH!O$1,SMALL(Dong14,ROWS($1:22)),)="131",OFFSET(TH!K$1,SMALL(Dong14,ROWS($1:22)),),0))</f>
        <v>106.2</v>
      </c>
      <c r="K38" s="911">
        <f ca="1">IF(ROWS($1:22)&gt;COUNT(Dong14),0,IF(OFFSET(TH!O$1,SMALL(Dong14,ROWS($1:22)),)="131",OFFSET(TH!M$1,SMALL(Dong14,ROWS($1:22)),),0))</f>
        <v>2365074</v>
      </c>
      <c r="L38" s="905">
        <f t="shared" ca="1" si="1"/>
        <v>81840.62</v>
      </c>
      <c r="M38" s="904">
        <f t="shared" ca="1" si="2"/>
        <v>1825670647</v>
      </c>
      <c r="N38" s="905">
        <f t="shared" ca="1" si="3"/>
        <v>0</v>
      </c>
      <c r="O38" s="904">
        <f t="shared" ca="1" si="4"/>
        <v>0</v>
      </c>
    </row>
    <row r="39" spans="1:15" s="5" customFormat="1" ht="16.5" customHeight="1">
      <c r="A39" s="225">
        <f t="shared" ca="1" si="0"/>
        <v>42508</v>
      </c>
      <c r="B39" s="229" t="str">
        <f ca="1">IF(ROWS($1:23)&gt;COUNT(Dong14),"",OFFSET(TH!D$1,SMALL(Dong14,ROWS($1:23)),))</f>
        <v>CTGS</v>
      </c>
      <c r="C39" s="225">
        <f ca="1">IF(ROWS($1:23)&gt;COUNT(Dong14),"",OFFSET(TH!E$1,SMALL(Dong14,ROWS($1:23)),))</f>
        <v>42508</v>
      </c>
      <c r="D39" s="913" t="str">
        <f ca="1">IF(ROWS($1:23)&gt;COUNT(Dong14),"",OFFSET(TH!F$1,SMALL(Dong14,ROWS($1:23)),))</f>
        <v>Phí nhận tiền từ nước ngoài</v>
      </c>
      <c r="E39" s="911" t="str">
        <f ca="1">IF(ROWS($1:23)&gt;COUNT(Dong14),"",IF(OFFSET(TH!N$1,SMALL(Dong14,ROWS($1:23)),)="131",OFFSET(TH!O$1,SMALL(Dong14,ROWS($1:23)),),OFFSET(TH!N$1,SMALL(Dong14,ROWS($1:23)),)))</f>
        <v>642</v>
      </c>
      <c r="F39" s="911">
        <f ca="1">IF(ROWS($1:23)&gt;COUNT(Dong14),0,OFFSET(TH!L$1,SMALL(Dong14,ROWS($1:23)),))</f>
        <v>22270</v>
      </c>
      <c r="G39" s="911"/>
      <c r="H39" s="912">
        <f ca="1">IF(ROWS($1:23)&gt;COUNT(Dong14),0,IF(OFFSET(TH!N$1,SMALL(Dong14,ROWS($1:23)),)="131",OFFSET(TH!K$1,SMALL(Dong14,ROWS($1:23)),),0))</f>
        <v>0</v>
      </c>
      <c r="I39" s="911">
        <f ca="1">IF(ROWS($1:23)&gt;COUNT(Dong14),0,IF(OFFSET(TH!N$1,SMALL(Dong14,ROWS($1:23)),)="131",OFFSET(TH!M$1,SMALL(Dong14,ROWS($1:23)),),0))</f>
        <v>0</v>
      </c>
      <c r="J39" s="912">
        <f ca="1">IF(ROWS($1:23)&gt;COUNT(Dong14),0,IF(OFFSET(TH!O$1,SMALL(Dong14,ROWS($1:23)),)="131",OFFSET(TH!K$1,SMALL(Dong14,ROWS($1:23)),),0))</f>
        <v>10.62</v>
      </c>
      <c r="K39" s="911">
        <f ca="1">IF(ROWS($1:23)&gt;COUNT(Dong14),0,IF(OFFSET(TH!O$1,SMALL(Dong14,ROWS($1:23)),)="131",OFFSET(TH!M$1,SMALL(Dong14,ROWS($1:23)),),0))</f>
        <v>236507</v>
      </c>
      <c r="L39" s="905">
        <f t="shared" ca="1" si="1"/>
        <v>81830</v>
      </c>
      <c r="M39" s="904">
        <f t="shared" ca="1" si="2"/>
        <v>1825434140</v>
      </c>
      <c r="N39" s="905">
        <f t="shared" ca="1" si="3"/>
        <v>0</v>
      </c>
      <c r="O39" s="904">
        <f t="shared" ca="1" si="4"/>
        <v>0</v>
      </c>
    </row>
    <row r="40" spans="1:15" s="5" customFormat="1" ht="16.5" customHeight="1">
      <c r="A40" s="225">
        <f t="shared" ca="1" si="0"/>
        <v>42508</v>
      </c>
      <c r="B40" s="229" t="str">
        <f ca="1">IF(ROWS($1:24)&gt;COUNT(Dong14),"",OFFSET(TH!D$1,SMALL(Dong14,ROWS($1:24)),))</f>
        <v>CTGS</v>
      </c>
      <c r="C40" s="225">
        <f ca="1">IF(ROWS($1:24)&gt;COUNT(Dong14),"",OFFSET(TH!E$1,SMALL(Dong14,ROWS($1:24)),))</f>
        <v>42508</v>
      </c>
      <c r="D40" s="913" t="str">
        <f ca="1">IF(ROWS($1:24)&gt;COUNT(Dong14),"",OFFSET(TH!F$1,SMALL(Dong14,ROWS($1:24)),))</f>
        <v>Phí ngân hàng nước ngoài</v>
      </c>
      <c r="E40" s="911" t="str">
        <f ca="1">IF(ROWS($1:24)&gt;COUNT(Dong14),"",IF(OFFSET(TH!N$1,SMALL(Dong14,ROWS($1:24)),)="131",OFFSET(TH!O$1,SMALL(Dong14,ROWS($1:24)),),OFFSET(TH!N$1,SMALL(Dong14,ROWS($1:24)),)))</f>
        <v>1331</v>
      </c>
      <c r="F40" s="911">
        <f ca="1">IF(ROWS($1:24)&gt;COUNT(Dong14),0,OFFSET(TH!L$1,SMALL(Dong14,ROWS($1:24)),))</f>
        <v>22270</v>
      </c>
      <c r="G40" s="911"/>
      <c r="H40" s="912">
        <f ca="1">IF(ROWS($1:24)&gt;COUNT(Dong14),0,IF(OFFSET(TH!N$1,SMALL(Dong14,ROWS($1:24)),)="131",OFFSET(TH!K$1,SMALL(Dong14,ROWS($1:24)),),0))</f>
        <v>0</v>
      </c>
      <c r="I40" s="911">
        <f ca="1">IF(ROWS($1:24)&gt;COUNT(Dong14),0,IF(OFFSET(TH!N$1,SMALL(Dong14,ROWS($1:24)),)="131",OFFSET(TH!M$1,SMALL(Dong14,ROWS($1:24)),),0))</f>
        <v>0</v>
      </c>
      <c r="J40" s="912">
        <f ca="1">IF(ROWS($1:24)&gt;COUNT(Dong14),0,IF(OFFSET(TH!O$1,SMALL(Dong14,ROWS($1:24)),)="131",OFFSET(TH!K$1,SMALL(Dong14,ROWS($1:24)),),0))</f>
        <v>79</v>
      </c>
      <c r="K40" s="911">
        <f ca="1">IF(ROWS($1:24)&gt;COUNT(Dong14),0,IF(OFFSET(TH!O$1,SMALL(Dong14,ROWS($1:24)),)="131",OFFSET(TH!M$1,SMALL(Dong14,ROWS($1:24)),),0))</f>
        <v>1759330</v>
      </c>
      <c r="L40" s="905">
        <f t="shared" ca="1" si="1"/>
        <v>81751</v>
      </c>
      <c r="M40" s="904">
        <f t="shared" ca="1" si="2"/>
        <v>1823674810</v>
      </c>
      <c r="N40" s="905">
        <f t="shared" ca="1" si="3"/>
        <v>0</v>
      </c>
      <c r="O40" s="904">
        <f t="shared" ca="1" si="4"/>
        <v>0</v>
      </c>
    </row>
    <row r="41" spans="1:15" s="5" customFormat="1" ht="16.5" customHeight="1">
      <c r="A41" s="225">
        <f t="shared" ca="1" si="0"/>
        <v>42508</v>
      </c>
      <c r="B41" s="229" t="str">
        <f ca="1">IF(ROWS($1:25)&gt;COUNT(Dong14),"",OFFSET(TH!D$1,SMALL(Dong14,ROWS($1:25)),))</f>
        <v>CTGS</v>
      </c>
      <c r="C41" s="225">
        <f ca="1">IF(ROWS($1:25)&gt;COUNT(Dong14),"",OFFSET(TH!E$1,SMALL(Dong14,ROWS($1:25)),))</f>
        <v>42508</v>
      </c>
      <c r="D41" s="913" t="str">
        <f ca="1">IF(ROWS($1:25)&gt;COUNT(Dong14),"",OFFSET(TH!F$1,SMALL(Dong14,ROWS($1:25)),))</f>
        <v>Chênh lệch tỷ giá</v>
      </c>
      <c r="E41" s="911" t="str">
        <f ca="1">IF(ROWS($1:25)&gt;COUNT(Dong14),"",IF(OFFSET(TH!N$1,SMALL(Dong14,ROWS($1:25)),)="131",OFFSET(TH!O$1,SMALL(Dong14,ROWS($1:25)),),OFFSET(TH!N$1,SMALL(Dong14,ROWS($1:25)),)))</f>
        <v>515</v>
      </c>
      <c r="F41" s="911">
        <f ca="1">IF(ROWS($1:25)&gt;COUNT(Dong14),0,OFFSET(TH!L$1,SMALL(Dong14,ROWS($1:25)),))</f>
        <v>0</v>
      </c>
      <c r="G41" s="911"/>
      <c r="H41" s="912">
        <f ca="1">IF(ROWS($1:25)&gt;COUNT(Dong14),0,IF(OFFSET(TH!N$1,SMALL(Dong14,ROWS($1:25)),)="131",OFFSET(TH!K$1,SMALL(Dong14,ROWS($1:25)),),0))</f>
        <v>0</v>
      </c>
      <c r="I41" s="911">
        <f ca="1">IF(ROWS($1:25)&gt;COUNT(Dong14),0,IF(OFFSET(TH!N$1,SMALL(Dong14,ROWS($1:25)),)="131",OFFSET(TH!M$1,SMALL(Dong14,ROWS($1:25)),),0))</f>
        <v>1062030</v>
      </c>
      <c r="J41" s="912">
        <f ca="1">IF(ROWS($1:25)&gt;COUNT(Dong14),0,IF(OFFSET(TH!O$1,SMALL(Dong14,ROWS($1:25)),)="131",OFFSET(TH!K$1,SMALL(Dong14,ROWS($1:25)),),0))</f>
        <v>0</v>
      </c>
      <c r="K41" s="911">
        <f ca="1">IF(ROWS($1:25)&gt;COUNT(Dong14),0,IF(OFFSET(TH!O$1,SMALL(Dong14,ROWS($1:25)),)="131",OFFSET(TH!M$1,SMALL(Dong14,ROWS($1:25)),),0))</f>
        <v>0</v>
      </c>
      <c r="L41" s="905">
        <f t="shared" ca="1" si="1"/>
        <v>81751</v>
      </c>
      <c r="M41" s="904">
        <f t="shared" ca="1" si="2"/>
        <v>1824736840</v>
      </c>
      <c r="N41" s="905">
        <f t="shared" ca="1" si="3"/>
        <v>0</v>
      </c>
      <c r="O41" s="904">
        <f t="shared" ca="1" si="4"/>
        <v>0</v>
      </c>
    </row>
    <row r="42" spans="1:15" s="5" customFormat="1" ht="16.5" customHeight="1">
      <c r="A42" s="225">
        <f t="shared" ca="1" si="0"/>
        <v>42536</v>
      </c>
      <c r="B42" s="229" t="str">
        <f ca="1">IF(ROWS($1:26)&gt;COUNT(Dong14),"",OFFSET(TH!D$1,SMALL(Dong14,ROWS($1:26)),))</f>
        <v>GBC</v>
      </c>
      <c r="C42" s="225">
        <f ca="1">IF(ROWS($1:26)&gt;COUNT(Dong14),"",OFFSET(TH!E$1,SMALL(Dong14,ROWS($1:26)),))</f>
        <v>42536</v>
      </c>
      <c r="D42" s="913" t="str">
        <f ca="1">IF(ROWS($1:26)&gt;COUNT(Dong14),"",OFFSET(TH!F$1,SMALL(Dong14,ROWS($1:26)),))</f>
        <v>Chiết khấu LC</v>
      </c>
      <c r="E42" s="911" t="str">
        <f ca="1">IF(ROWS($1:26)&gt;COUNT(Dong14),"",IF(OFFSET(TH!N$1,SMALL(Dong14,ROWS($1:26)),)="131",OFFSET(TH!O$1,SMALL(Dong14,ROWS($1:26)),),OFFSET(TH!N$1,SMALL(Dong14,ROWS($1:26)),)))</f>
        <v>1122</v>
      </c>
      <c r="F42" s="911">
        <f ca="1">IF(ROWS($1:26)&gt;COUNT(Dong14),0,OFFSET(TH!L$1,SMALL(Dong14,ROWS($1:26)),))</f>
        <v>22350</v>
      </c>
      <c r="G42" s="911"/>
      <c r="H42" s="912">
        <f ca="1">IF(ROWS($1:26)&gt;COUNT(Dong14),0,IF(OFFSET(TH!N$1,SMALL(Dong14,ROWS($1:26)),)="131",OFFSET(TH!K$1,SMALL(Dong14,ROWS($1:26)),),0))</f>
        <v>0</v>
      </c>
      <c r="I42" s="911">
        <f ca="1">IF(ROWS($1:26)&gt;COUNT(Dong14),0,IF(OFFSET(TH!N$1,SMALL(Dong14,ROWS($1:26)),)="131",OFFSET(TH!M$1,SMALL(Dong14,ROWS($1:26)),),0))</f>
        <v>0</v>
      </c>
      <c r="J42" s="912">
        <f ca="1">IF(ROWS($1:26)&gt;COUNT(Dong14),0,IF(OFFSET(TH!O$1,SMALL(Dong14,ROWS($1:26)),)="131",OFFSET(TH!K$1,SMALL(Dong14,ROWS($1:26)),),0))</f>
        <v>32451.62</v>
      </c>
      <c r="K42" s="911">
        <f ca="1">IF(ROWS($1:26)&gt;COUNT(Dong14),0,IF(OFFSET(TH!O$1,SMALL(Dong14,ROWS($1:26)),)="131",OFFSET(TH!M$1,SMALL(Dong14,ROWS($1:26)),),0))</f>
        <v>725293707</v>
      </c>
      <c r="L42" s="905">
        <f t="shared" ca="1" si="1"/>
        <v>49299.38</v>
      </c>
      <c r="M42" s="904">
        <f t="shared" ca="1" si="2"/>
        <v>1099443133</v>
      </c>
      <c r="N42" s="905">
        <f t="shared" ca="1" si="3"/>
        <v>0</v>
      </c>
      <c r="O42" s="904">
        <f t="shared" ca="1" si="4"/>
        <v>0</v>
      </c>
    </row>
    <row r="43" spans="1:15" s="5" customFormat="1" ht="16.5" customHeight="1">
      <c r="A43" s="225">
        <f t="shared" ca="1" si="0"/>
        <v>42536</v>
      </c>
      <c r="B43" s="229" t="str">
        <f ca="1">IF(ROWS($1:27)&gt;COUNT(Dong14),"",OFFSET(TH!D$1,SMALL(Dong14,ROWS($1:27)),))</f>
        <v>CTGS</v>
      </c>
      <c r="C43" s="225">
        <f ca="1">IF(ROWS($1:27)&gt;COUNT(Dong14),"",OFFSET(TH!E$1,SMALL(Dong14,ROWS($1:27)),))</f>
        <v>42536</v>
      </c>
      <c r="D43" s="913" t="str">
        <f ca="1">IF(ROWS($1:27)&gt;COUNT(Dong14),"",OFFSET(TH!F$1,SMALL(Dong14,ROWS($1:27)),))</f>
        <v>Phí xử lý bộ chứng từ</v>
      </c>
      <c r="E43" s="911" t="str">
        <f ca="1">IF(ROWS($1:27)&gt;COUNT(Dong14),"",IF(OFFSET(TH!N$1,SMALL(Dong14,ROWS($1:27)),)="131",OFFSET(TH!O$1,SMALL(Dong14,ROWS($1:27)),),OFFSET(TH!N$1,SMALL(Dong14,ROWS($1:27)),)))</f>
        <v>642</v>
      </c>
      <c r="F43" s="911">
        <f ca="1">IF(ROWS($1:27)&gt;COUNT(Dong14),0,OFFSET(TH!L$1,SMALL(Dong14,ROWS($1:27)),))</f>
        <v>22350</v>
      </c>
      <c r="G43" s="911"/>
      <c r="H43" s="912">
        <f ca="1">IF(ROWS($1:27)&gt;COUNT(Dong14),0,IF(OFFSET(TH!N$1,SMALL(Dong14,ROWS($1:27)),)="131",OFFSET(TH!K$1,SMALL(Dong14,ROWS($1:27)),),0))</f>
        <v>0</v>
      </c>
      <c r="I43" s="911">
        <f ca="1">IF(ROWS($1:27)&gt;COUNT(Dong14),0,IF(OFFSET(TH!N$1,SMALL(Dong14,ROWS($1:27)),)="131",OFFSET(TH!M$1,SMALL(Dong14,ROWS($1:27)),),0))</f>
        <v>0</v>
      </c>
      <c r="J43" s="912">
        <f ca="1">IF(ROWS($1:27)&gt;COUNT(Dong14),0,IF(OFFSET(TH!O$1,SMALL(Dong14,ROWS($1:27)),)="131",OFFSET(TH!K$1,SMALL(Dong14,ROWS($1:27)),),0))</f>
        <v>10</v>
      </c>
      <c r="K43" s="911">
        <f ca="1">IF(ROWS($1:27)&gt;COUNT(Dong14),0,IF(OFFSET(TH!O$1,SMALL(Dong14,ROWS($1:27)),)="131",OFFSET(TH!M$1,SMALL(Dong14,ROWS($1:27)),),0))</f>
        <v>223500</v>
      </c>
      <c r="L43" s="905">
        <f t="shared" ca="1" si="1"/>
        <v>49289.38</v>
      </c>
      <c r="M43" s="904">
        <f t="shared" ca="1" si="2"/>
        <v>1099219633</v>
      </c>
      <c r="N43" s="905">
        <f t="shared" ca="1" si="3"/>
        <v>0</v>
      </c>
      <c r="O43" s="904">
        <f t="shared" ca="1" si="4"/>
        <v>0</v>
      </c>
    </row>
    <row r="44" spans="1:15" s="5" customFormat="1" ht="16.5" customHeight="1">
      <c r="A44" s="225">
        <f t="shared" ca="1" si="0"/>
        <v>42536</v>
      </c>
      <c r="B44" s="229" t="str">
        <f ca="1">IF(ROWS($1:28)&gt;COUNT(Dong14),"",OFFSET(TH!D$1,SMALL(Dong14,ROWS($1:28)),))</f>
        <v>CTGS</v>
      </c>
      <c r="C44" s="225">
        <f ca="1">IF(ROWS($1:28)&gt;COUNT(Dong14),"",OFFSET(TH!E$1,SMALL(Dong14,ROWS($1:28)),))</f>
        <v>42536</v>
      </c>
      <c r="D44" s="913" t="str">
        <f ca="1">IF(ROWS($1:28)&gt;COUNT(Dong14),"",OFFSET(TH!F$1,SMALL(Dong14,ROWS($1:28)),))</f>
        <v>VAT Phí xử lý bộ chứng từ</v>
      </c>
      <c r="E44" s="911" t="str">
        <f ca="1">IF(ROWS($1:28)&gt;COUNT(Dong14),"",IF(OFFSET(TH!N$1,SMALL(Dong14,ROWS($1:28)),)="131",OFFSET(TH!O$1,SMALL(Dong14,ROWS($1:28)),),OFFSET(TH!N$1,SMALL(Dong14,ROWS($1:28)),)))</f>
        <v>1331</v>
      </c>
      <c r="F44" s="911">
        <f ca="1">IF(ROWS($1:28)&gt;COUNT(Dong14),0,OFFSET(TH!L$1,SMALL(Dong14,ROWS($1:28)),))</f>
        <v>22350</v>
      </c>
      <c r="G44" s="911"/>
      <c r="H44" s="912">
        <f ca="1">IF(ROWS($1:28)&gt;COUNT(Dong14),0,IF(OFFSET(TH!N$1,SMALL(Dong14,ROWS($1:28)),)="131",OFFSET(TH!K$1,SMALL(Dong14,ROWS($1:28)),),0))</f>
        <v>0</v>
      </c>
      <c r="I44" s="911">
        <f ca="1">IF(ROWS($1:28)&gt;COUNT(Dong14),0,IF(OFFSET(TH!N$1,SMALL(Dong14,ROWS($1:28)),)="131",OFFSET(TH!M$1,SMALL(Dong14,ROWS($1:28)),),0))</f>
        <v>0</v>
      </c>
      <c r="J44" s="912">
        <f ca="1">IF(ROWS($1:28)&gt;COUNT(Dong14),0,IF(OFFSET(TH!O$1,SMALL(Dong14,ROWS($1:28)),)="131",OFFSET(TH!K$1,SMALL(Dong14,ROWS($1:28)),),0))</f>
        <v>1</v>
      </c>
      <c r="K44" s="911">
        <f ca="1">IF(ROWS($1:28)&gt;COUNT(Dong14),0,IF(OFFSET(TH!O$1,SMALL(Dong14,ROWS($1:28)),)="131",OFFSET(TH!M$1,SMALL(Dong14,ROWS($1:28)),),0))</f>
        <v>22350</v>
      </c>
      <c r="L44" s="905">
        <f t="shared" ca="1" si="1"/>
        <v>49288.38</v>
      </c>
      <c r="M44" s="904">
        <f t="shared" ca="1" si="2"/>
        <v>1099197283</v>
      </c>
      <c r="N44" s="905">
        <f t="shared" ca="1" si="3"/>
        <v>0</v>
      </c>
      <c r="O44" s="904">
        <f t="shared" ca="1" si="4"/>
        <v>0</v>
      </c>
    </row>
    <row r="45" spans="1:15" s="5" customFormat="1" ht="16.5" customHeight="1">
      <c r="A45" s="225">
        <f t="shared" ca="1" si="0"/>
        <v>42536</v>
      </c>
      <c r="B45" s="229" t="str">
        <f ca="1">IF(ROWS($1:29)&gt;COUNT(Dong14),"",OFFSET(TH!D$1,SMALL(Dong14,ROWS($1:29)),))</f>
        <v>CTGS</v>
      </c>
      <c r="C45" s="225">
        <f ca="1">IF(ROWS($1:29)&gt;COUNT(Dong14),"",OFFSET(TH!E$1,SMALL(Dong14,ROWS($1:29)),))</f>
        <v>42536</v>
      </c>
      <c r="D45" s="913" t="str">
        <f ca="1">IF(ROWS($1:29)&gt;COUNT(Dong14),"",OFFSET(TH!F$1,SMALL(Dong14,ROWS($1:29)),))</f>
        <v>Phí DHL</v>
      </c>
      <c r="E45" s="911" t="str">
        <f ca="1">IF(ROWS($1:29)&gt;COUNT(Dong14),"",IF(OFFSET(TH!N$1,SMALL(Dong14,ROWS($1:29)),)="131",OFFSET(TH!O$1,SMALL(Dong14,ROWS($1:29)),),OFFSET(TH!N$1,SMALL(Dong14,ROWS($1:29)),)))</f>
        <v>642</v>
      </c>
      <c r="F45" s="911">
        <f ca="1">IF(ROWS($1:29)&gt;COUNT(Dong14),0,OFFSET(TH!L$1,SMALL(Dong14,ROWS($1:29)),))</f>
        <v>22350</v>
      </c>
      <c r="G45" s="911"/>
      <c r="H45" s="912">
        <f ca="1">IF(ROWS($1:29)&gt;COUNT(Dong14),0,IF(OFFSET(TH!N$1,SMALL(Dong14,ROWS($1:29)),)="131",OFFSET(TH!K$1,SMALL(Dong14,ROWS($1:29)),),0))</f>
        <v>0</v>
      </c>
      <c r="I45" s="911">
        <f ca="1">IF(ROWS($1:29)&gt;COUNT(Dong14),0,IF(OFFSET(TH!N$1,SMALL(Dong14,ROWS($1:29)),)="131",OFFSET(TH!M$1,SMALL(Dong14,ROWS($1:29)),),0))</f>
        <v>0</v>
      </c>
      <c r="J45" s="912">
        <f ca="1">IF(ROWS($1:29)&gt;COUNT(Dong14),0,IF(OFFSET(TH!O$1,SMALL(Dong14,ROWS($1:29)),)="131",OFFSET(TH!K$1,SMALL(Dong14,ROWS($1:29)),),0))</f>
        <v>27.62</v>
      </c>
      <c r="K45" s="911">
        <f ca="1">IF(ROWS($1:29)&gt;COUNT(Dong14),0,IF(OFFSET(TH!O$1,SMALL(Dong14,ROWS($1:29)),)="131",OFFSET(TH!M$1,SMALL(Dong14,ROWS($1:29)),),0))</f>
        <v>617307</v>
      </c>
      <c r="L45" s="905">
        <f t="shared" ca="1" si="1"/>
        <v>49260.76</v>
      </c>
      <c r="M45" s="904">
        <f t="shared" ca="1" si="2"/>
        <v>1098579976</v>
      </c>
      <c r="N45" s="905">
        <f t="shared" ca="1" si="3"/>
        <v>0</v>
      </c>
      <c r="O45" s="904">
        <f t="shared" ca="1" si="4"/>
        <v>0</v>
      </c>
    </row>
    <row r="46" spans="1:15" s="5" customFormat="1" ht="16.5" customHeight="1">
      <c r="A46" s="225">
        <f t="shared" ca="1" si="0"/>
        <v>42536</v>
      </c>
      <c r="B46" s="229" t="str">
        <f ca="1">IF(ROWS($1:30)&gt;COUNT(Dong14),"",OFFSET(TH!D$1,SMALL(Dong14,ROWS($1:30)),))</f>
        <v>CTGS</v>
      </c>
      <c r="C46" s="225">
        <f ca="1">IF(ROWS($1:30)&gt;COUNT(Dong14),"",OFFSET(TH!E$1,SMALL(Dong14,ROWS($1:30)),))</f>
        <v>42536</v>
      </c>
      <c r="D46" s="913" t="str">
        <f ca="1">IF(ROWS($1:30)&gt;COUNT(Dong14),"",OFFSET(TH!F$1,SMALL(Dong14,ROWS($1:30)),))</f>
        <v>VAT Phí DHL</v>
      </c>
      <c r="E46" s="911" t="str">
        <f ca="1">IF(ROWS($1:30)&gt;COUNT(Dong14),"",IF(OFFSET(TH!N$1,SMALL(Dong14,ROWS($1:30)),)="131",OFFSET(TH!O$1,SMALL(Dong14,ROWS($1:30)),),OFFSET(TH!N$1,SMALL(Dong14,ROWS($1:30)),)))</f>
        <v>1331</v>
      </c>
      <c r="F46" s="911">
        <f ca="1">IF(ROWS($1:30)&gt;COUNT(Dong14),0,OFFSET(TH!L$1,SMALL(Dong14,ROWS($1:30)),))</f>
        <v>22350</v>
      </c>
      <c r="G46" s="911"/>
      <c r="H46" s="912">
        <f ca="1">IF(ROWS($1:30)&gt;COUNT(Dong14),0,IF(OFFSET(TH!N$1,SMALL(Dong14,ROWS($1:30)),)="131",OFFSET(TH!K$1,SMALL(Dong14,ROWS($1:30)),),0))</f>
        <v>0</v>
      </c>
      <c r="I46" s="911">
        <f ca="1">IF(ROWS($1:30)&gt;COUNT(Dong14),0,IF(OFFSET(TH!N$1,SMALL(Dong14,ROWS($1:30)),)="131",OFFSET(TH!M$1,SMALL(Dong14,ROWS($1:30)),),0))</f>
        <v>0</v>
      </c>
      <c r="J46" s="912">
        <f ca="1">IF(ROWS($1:30)&gt;COUNT(Dong14),0,IF(OFFSET(TH!O$1,SMALL(Dong14,ROWS($1:30)),)="131",OFFSET(TH!K$1,SMALL(Dong14,ROWS($1:30)),),0))</f>
        <v>2.76</v>
      </c>
      <c r="K46" s="911">
        <f ca="1">IF(ROWS($1:30)&gt;COUNT(Dong14),0,IF(OFFSET(TH!O$1,SMALL(Dong14,ROWS($1:30)),)="131",OFFSET(TH!M$1,SMALL(Dong14,ROWS($1:30)),),0))</f>
        <v>61686</v>
      </c>
      <c r="L46" s="905">
        <f t="shared" ca="1" si="1"/>
        <v>49258</v>
      </c>
      <c r="M46" s="904">
        <f t="shared" ca="1" si="2"/>
        <v>1098518290</v>
      </c>
      <c r="N46" s="905">
        <f t="shared" ca="1" si="3"/>
        <v>0</v>
      </c>
      <c r="O46" s="904">
        <f t="shared" ca="1" si="4"/>
        <v>0</v>
      </c>
    </row>
    <row r="47" spans="1:15" s="5" customFormat="1" ht="16.5" customHeight="1">
      <c r="A47" s="225">
        <f t="shared" ca="1" si="0"/>
        <v>42536</v>
      </c>
      <c r="B47" s="229" t="str">
        <f ca="1">IF(ROWS($1:31)&gt;COUNT(Dong14),"",OFFSET(TH!D$1,SMALL(Dong14,ROWS($1:31)),))</f>
        <v>CTGS</v>
      </c>
      <c r="C47" s="225">
        <f ca="1">IF(ROWS($1:31)&gt;COUNT(Dong14),"",OFFSET(TH!E$1,SMALL(Dong14,ROWS($1:31)),))</f>
        <v>42536</v>
      </c>
      <c r="D47" s="913" t="str">
        <f ca="1">IF(ROWS($1:31)&gt;COUNT(Dong14),"",OFFSET(TH!F$1,SMALL(Dong14,ROWS($1:31)),))</f>
        <v>Phí ngân hàng nước ngoài</v>
      </c>
      <c r="E47" s="911" t="str">
        <f ca="1">IF(ROWS($1:31)&gt;COUNT(Dong14),"",IF(OFFSET(TH!N$1,SMALL(Dong14,ROWS($1:31)),)="131",OFFSET(TH!O$1,SMALL(Dong14,ROWS($1:31)),),OFFSET(TH!N$1,SMALL(Dong14,ROWS($1:31)),)))</f>
        <v>642</v>
      </c>
      <c r="F47" s="911">
        <f ca="1">IF(ROWS($1:31)&gt;COUNT(Dong14),0,OFFSET(TH!L$1,SMALL(Dong14,ROWS($1:31)),))</f>
        <v>22350</v>
      </c>
      <c r="G47" s="911"/>
      <c r="H47" s="912">
        <f ca="1">IF(ROWS($1:31)&gt;COUNT(Dong14),0,IF(OFFSET(TH!N$1,SMALL(Dong14,ROWS($1:31)),)="131",OFFSET(TH!K$1,SMALL(Dong14,ROWS($1:31)),),0))</f>
        <v>0</v>
      </c>
      <c r="I47" s="911">
        <f ca="1">IF(ROWS($1:31)&gt;COUNT(Dong14),0,IF(OFFSET(TH!N$1,SMALL(Dong14,ROWS($1:31)),)="131",OFFSET(TH!M$1,SMALL(Dong14,ROWS($1:31)),),0))</f>
        <v>0</v>
      </c>
      <c r="J47" s="912">
        <f ca="1">IF(ROWS($1:31)&gt;COUNT(Dong14),0,IF(OFFSET(TH!O$1,SMALL(Dong14,ROWS($1:31)),)="131",OFFSET(TH!K$1,SMALL(Dong14,ROWS($1:31)),),0))</f>
        <v>35</v>
      </c>
      <c r="K47" s="911">
        <f ca="1">IF(ROWS($1:31)&gt;COUNT(Dong14),0,IF(OFFSET(TH!O$1,SMALL(Dong14,ROWS($1:31)),)="131",OFFSET(TH!M$1,SMALL(Dong14,ROWS($1:31)),),0))</f>
        <v>782250</v>
      </c>
      <c r="L47" s="905">
        <f t="shared" ca="1" si="1"/>
        <v>49223</v>
      </c>
      <c r="M47" s="904">
        <f t="shared" ca="1" si="2"/>
        <v>1097736040</v>
      </c>
      <c r="N47" s="905">
        <f t="shared" ca="1" si="3"/>
        <v>0</v>
      </c>
      <c r="O47" s="904">
        <f t="shared" ca="1" si="4"/>
        <v>0</v>
      </c>
    </row>
    <row r="48" spans="1:15" s="5" customFormat="1" ht="16.5" customHeight="1">
      <c r="A48" s="225">
        <f t="shared" ca="1" si="0"/>
        <v>42542</v>
      </c>
      <c r="B48" s="229" t="str">
        <f ca="1">IF(ROWS($1:32)&gt;COUNT(Dong14),"",OFFSET(TH!D$1,SMALL(Dong14,ROWS($1:32)),))</f>
        <v>GBC</v>
      </c>
      <c r="C48" s="225">
        <f ca="1">IF(ROWS($1:32)&gt;COUNT(Dong14),"",OFFSET(TH!E$1,SMALL(Dong14,ROWS($1:32)),))</f>
        <v>42542</v>
      </c>
      <c r="D48" s="913" t="str">
        <f ca="1">IF(ROWS($1:32)&gt;COUNT(Dong14),"",OFFSET(TH!F$1,SMALL(Dong14,ROWS($1:32)),))</f>
        <v>Tiền hàng</v>
      </c>
      <c r="E48" s="911" t="str">
        <f ca="1">IF(ROWS($1:32)&gt;COUNT(Dong14),"",IF(OFFSET(TH!N$1,SMALL(Dong14,ROWS($1:32)),)="131",OFFSET(TH!O$1,SMALL(Dong14,ROWS($1:32)),),OFFSET(TH!N$1,SMALL(Dong14,ROWS($1:32)),)))</f>
        <v>1122</v>
      </c>
      <c r="F48" s="911">
        <f ca="1">IF(ROWS($1:32)&gt;COUNT(Dong14),0,OFFSET(TH!L$1,SMALL(Dong14,ROWS($1:32)),))</f>
        <v>22270</v>
      </c>
      <c r="G48" s="911"/>
      <c r="H48" s="912">
        <f ca="1">IF(ROWS($1:32)&gt;COUNT(Dong14),0,IF(OFFSET(TH!N$1,SMALL(Dong14,ROWS($1:32)),)="131",OFFSET(TH!K$1,SMALL(Dong14,ROWS($1:32)),),0))</f>
        <v>0</v>
      </c>
      <c r="I48" s="911">
        <f ca="1">IF(ROWS($1:32)&gt;COUNT(Dong14),0,IF(OFFSET(TH!N$1,SMALL(Dong14,ROWS($1:32)),)="131",OFFSET(TH!M$1,SMALL(Dong14,ROWS($1:32)),),0))</f>
        <v>0</v>
      </c>
      <c r="J48" s="912">
        <f ca="1">IF(ROWS($1:32)&gt;COUNT(Dong14),0,IF(OFFSET(TH!O$1,SMALL(Dong14,ROWS($1:32)),)="131",OFFSET(TH!K$1,SMALL(Dong14,ROWS($1:32)),),0))</f>
        <v>1600.73</v>
      </c>
      <c r="K48" s="911">
        <f ca="1">IF(ROWS($1:32)&gt;COUNT(Dong14),0,IF(OFFSET(TH!O$1,SMALL(Dong14,ROWS($1:32)),)="131",OFFSET(TH!M$1,SMALL(Dong14,ROWS($1:32)),),0))</f>
        <v>35648257</v>
      </c>
      <c r="L48" s="905">
        <f t="shared" ca="1" si="1"/>
        <v>47622.27</v>
      </c>
      <c r="M48" s="904">
        <f t="shared" ca="1" si="2"/>
        <v>1062087783</v>
      </c>
      <c r="N48" s="905">
        <f t="shared" ca="1" si="3"/>
        <v>0</v>
      </c>
      <c r="O48" s="904">
        <f t="shared" ca="1" si="4"/>
        <v>0</v>
      </c>
    </row>
    <row r="49" spans="1:15" s="5" customFormat="1" ht="16.5" customHeight="1">
      <c r="A49" s="225">
        <f t="shared" ca="1" si="0"/>
        <v>42542</v>
      </c>
      <c r="B49" s="229" t="str">
        <f ca="1">IF(ROWS($1:33)&gt;COUNT(Dong14),"",OFFSET(TH!D$1,SMALL(Dong14,ROWS($1:33)),))</f>
        <v>CTGS</v>
      </c>
      <c r="C49" s="225">
        <f ca="1">IF(ROWS($1:33)&gt;COUNT(Dong14),"",OFFSET(TH!E$1,SMALL(Dong14,ROWS($1:33)),))</f>
        <v>42542</v>
      </c>
      <c r="D49" s="913" t="str">
        <f ca="1">IF(ROWS($1:33)&gt;COUNT(Dong14),"",OFFSET(TH!F$1,SMALL(Dong14,ROWS($1:33)),))</f>
        <v>Phí thanh toán bộ chứng từ</v>
      </c>
      <c r="E49" s="911" t="str">
        <f ca="1">IF(ROWS($1:33)&gt;COUNT(Dong14),"",IF(OFFSET(TH!N$1,SMALL(Dong14,ROWS($1:33)),)="131",OFFSET(TH!O$1,SMALL(Dong14,ROWS($1:33)),),OFFSET(TH!N$1,SMALL(Dong14,ROWS($1:33)),)))</f>
        <v>642</v>
      </c>
      <c r="F49" s="911">
        <f ca="1">IF(ROWS($1:33)&gt;COUNT(Dong14),0,OFFSET(TH!L$1,SMALL(Dong14,ROWS($1:33)),))</f>
        <v>22270</v>
      </c>
      <c r="G49" s="911"/>
      <c r="H49" s="912">
        <f ca="1">IF(ROWS($1:33)&gt;COUNT(Dong14),0,IF(OFFSET(TH!N$1,SMALL(Dong14,ROWS($1:33)),)="131",OFFSET(TH!K$1,SMALL(Dong14,ROWS($1:33)),),0))</f>
        <v>0</v>
      </c>
      <c r="I49" s="911">
        <f ca="1">IF(ROWS($1:33)&gt;COUNT(Dong14),0,IF(OFFSET(TH!N$1,SMALL(Dong14,ROWS($1:33)),)="131",OFFSET(TH!M$1,SMALL(Dong14,ROWS($1:33)),),0))</f>
        <v>0</v>
      </c>
      <c r="J49" s="912">
        <f ca="1">IF(ROWS($1:33)&gt;COUNT(Dong14),0,IF(OFFSET(TH!O$1,SMALL(Dong14,ROWS($1:33)),)="131",OFFSET(TH!K$1,SMALL(Dong14,ROWS($1:33)),),0))</f>
        <v>48.74</v>
      </c>
      <c r="K49" s="911">
        <f ca="1">IF(ROWS($1:33)&gt;COUNT(Dong14),0,IF(OFFSET(TH!O$1,SMALL(Dong14,ROWS($1:33)),)="131",OFFSET(TH!M$1,SMALL(Dong14,ROWS($1:33)),),0))</f>
        <v>1085440</v>
      </c>
      <c r="L49" s="905">
        <f t="shared" ca="1" si="1"/>
        <v>47573.53</v>
      </c>
      <c r="M49" s="904">
        <f t="shared" ca="1" si="2"/>
        <v>1061002343</v>
      </c>
      <c r="N49" s="905">
        <f t="shared" ca="1" si="3"/>
        <v>0</v>
      </c>
      <c r="O49" s="904">
        <f t="shared" ca="1" si="4"/>
        <v>0</v>
      </c>
    </row>
    <row r="50" spans="1:15" s="5" customFormat="1" ht="16.5" customHeight="1">
      <c r="A50" s="225">
        <f t="shared" ca="1" si="0"/>
        <v>42542</v>
      </c>
      <c r="B50" s="229" t="str">
        <f ca="1">IF(ROWS($1:34)&gt;COUNT(Dong14),"",OFFSET(TH!D$1,SMALL(Dong14,ROWS($1:34)),))</f>
        <v>CTGS</v>
      </c>
      <c r="C50" s="225">
        <f ca="1">IF(ROWS($1:34)&gt;COUNT(Dong14),"",OFFSET(TH!E$1,SMALL(Dong14,ROWS($1:34)),))</f>
        <v>42542</v>
      </c>
      <c r="D50" s="913" t="str">
        <f ca="1">IF(ROWS($1:34)&gt;COUNT(Dong14),"",OFFSET(TH!F$1,SMALL(Dong14,ROWS($1:34)),))</f>
        <v>VAT Phí thanh toán bộ chứng từ</v>
      </c>
      <c r="E50" s="911" t="str">
        <f ca="1">IF(ROWS($1:34)&gt;COUNT(Dong14),"",IF(OFFSET(TH!N$1,SMALL(Dong14,ROWS($1:34)),)="131",OFFSET(TH!O$1,SMALL(Dong14,ROWS($1:34)),),OFFSET(TH!N$1,SMALL(Dong14,ROWS($1:34)),)))</f>
        <v>1331</v>
      </c>
      <c r="F50" s="911">
        <f ca="1">IF(ROWS($1:34)&gt;COUNT(Dong14),0,OFFSET(TH!L$1,SMALL(Dong14,ROWS($1:34)),))</f>
        <v>22270</v>
      </c>
      <c r="G50" s="911"/>
      <c r="H50" s="912">
        <f ca="1">IF(ROWS($1:34)&gt;COUNT(Dong14),0,IF(OFFSET(TH!N$1,SMALL(Dong14,ROWS($1:34)),)="131",OFFSET(TH!K$1,SMALL(Dong14,ROWS($1:34)),),0))</f>
        <v>0</v>
      </c>
      <c r="I50" s="911">
        <f ca="1">IF(ROWS($1:34)&gt;COUNT(Dong14),0,IF(OFFSET(TH!N$1,SMALL(Dong14,ROWS($1:34)),)="131",OFFSET(TH!M$1,SMALL(Dong14,ROWS($1:34)),),0))</f>
        <v>0</v>
      </c>
      <c r="J50" s="912">
        <f ca="1">IF(ROWS($1:34)&gt;COUNT(Dong14),0,IF(OFFSET(TH!O$1,SMALL(Dong14,ROWS($1:34)),)="131",OFFSET(TH!K$1,SMALL(Dong14,ROWS($1:34)),),0))</f>
        <v>4.87</v>
      </c>
      <c r="K50" s="911">
        <f ca="1">IF(ROWS($1:34)&gt;COUNT(Dong14),0,IF(OFFSET(TH!O$1,SMALL(Dong14,ROWS($1:34)),)="131",OFFSET(TH!M$1,SMALL(Dong14,ROWS($1:34)),),0))</f>
        <v>108455</v>
      </c>
      <c r="L50" s="905">
        <f t="shared" ca="1" si="1"/>
        <v>47568.66</v>
      </c>
      <c r="M50" s="904">
        <f t="shared" ca="1" si="2"/>
        <v>1060893888</v>
      </c>
      <c r="N50" s="905">
        <f t="shared" ca="1" si="3"/>
        <v>0</v>
      </c>
      <c r="O50" s="904">
        <f t="shared" ca="1" si="4"/>
        <v>0</v>
      </c>
    </row>
    <row r="51" spans="1:15" s="5" customFormat="1" ht="16.5" customHeight="1">
      <c r="A51" s="225">
        <f t="shared" ca="1" si="0"/>
        <v>42542</v>
      </c>
      <c r="B51" s="229" t="str">
        <f ca="1">IF(ROWS($1:35)&gt;COUNT(Dong14),"",OFFSET(TH!D$1,SMALL(Dong14,ROWS($1:35)),))</f>
        <v>CTGS</v>
      </c>
      <c r="C51" s="225">
        <f ca="1">IF(ROWS($1:35)&gt;COUNT(Dong14),"",OFFSET(TH!E$1,SMALL(Dong14,ROWS($1:35)),))</f>
        <v>42542</v>
      </c>
      <c r="D51" s="913" t="str">
        <f ca="1">IF(ROWS($1:35)&gt;COUNT(Dong14),"",OFFSET(TH!F$1,SMALL(Dong14,ROWS($1:35)),))</f>
        <v>Lãi suất chiết khấu</v>
      </c>
      <c r="E51" s="911" t="str">
        <f ca="1">IF(ROWS($1:35)&gt;COUNT(Dong14),"",IF(OFFSET(TH!N$1,SMALL(Dong14,ROWS($1:35)),)="131",OFFSET(TH!O$1,SMALL(Dong14,ROWS($1:35)),),OFFSET(TH!N$1,SMALL(Dong14,ROWS($1:35)),)))</f>
        <v>635</v>
      </c>
      <c r="F51" s="911">
        <f ca="1">IF(ROWS($1:35)&gt;COUNT(Dong14),0,OFFSET(TH!L$1,SMALL(Dong14,ROWS($1:35)),))</f>
        <v>22270</v>
      </c>
      <c r="G51" s="911"/>
      <c r="H51" s="912">
        <f ca="1">IF(ROWS($1:35)&gt;COUNT(Dong14),0,IF(OFFSET(TH!N$1,SMALL(Dong14,ROWS($1:35)),)="131",OFFSET(TH!K$1,SMALL(Dong14,ROWS($1:35)),),0))</f>
        <v>0</v>
      </c>
      <c r="I51" s="911">
        <f ca="1">IF(ROWS($1:35)&gt;COUNT(Dong14),0,IF(OFFSET(TH!N$1,SMALL(Dong14,ROWS($1:35)),)="131",OFFSET(TH!M$1,SMALL(Dong14,ROWS($1:35)),),0))</f>
        <v>0</v>
      </c>
      <c r="J51" s="912">
        <f ca="1">IF(ROWS($1:35)&gt;COUNT(Dong14),0,IF(OFFSET(TH!O$1,SMALL(Dong14,ROWS($1:35)),)="131",OFFSET(TH!K$1,SMALL(Dong14,ROWS($1:35)),),0))</f>
        <v>21.66</v>
      </c>
      <c r="K51" s="911">
        <f ca="1">IF(ROWS($1:35)&gt;COUNT(Dong14),0,IF(OFFSET(TH!O$1,SMALL(Dong14,ROWS($1:35)),)="131",OFFSET(TH!M$1,SMALL(Dong14,ROWS($1:35)),),0))</f>
        <v>482368</v>
      </c>
      <c r="L51" s="905">
        <f t="shared" ca="1" si="1"/>
        <v>47547</v>
      </c>
      <c r="M51" s="904">
        <f t="shared" ca="1" si="2"/>
        <v>1060411520</v>
      </c>
      <c r="N51" s="905">
        <f t="shared" ca="1" si="3"/>
        <v>0</v>
      </c>
      <c r="O51" s="904">
        <f t="shared" ca="1" si="4"/>
        <v>0</v>
      </c>
    </row>
    <row r="52" spans="1:15" s="5" customFormat="1" ht="16.5" customHeight="1">
      <c r="A52" s="225">
        <f t="shared" ca="1" si="0"/>
        <v>42542</v>
      </c>
      <c r="B52" s="229" t="str">
        <f ca="1">IF(ROWS($1:36)&gt;COUNT(Dong14),"",OFFSET(TH!D$1,SMALL(Dong14,ROWS($1:36)),))</f>
        <v>CTGS</v>
      </c>
      <c r="C52" s="225">
        <f ca="1">IF(ROWS($1:36)&gt;COUNT(Dong14),"",OFFSET(TH!E$1,SMALL(Dong14,ROWS($1:36)),))</f>
        <v>42542</v>
      </c>
      <c r="D52" s="913" t="str">
        <f ca="1">IF(ROWS($1:36)&gt;COUNT(Dong14),"",OFFSET(TH!F$1,SMALL(Dong14,ROWS($1:36)),))</f>
        <v>Chênh lệch tỷ giá</v>
      </c>
      <c r="E52" s="911" t="str">
        <f ca="1">IF(ROWS($1:36)&gt;COUNT(Dong14),"",IF(OFFSET(TH!N$1,SMALL(Dong14,ROWS($1:36)),)="131",OFFSET(TH!O$1,SMALL(Dong14,ROWS($1:36)),),OFFSET(TH!N$1,SMALL(Dong14,ROWS($1:36)),)))</f>
        <v>635</v>
      </c>
      <c r="F52" s="911">
        <f ca="1">IF(ROWS($1:36)&gt;COUNT(Dong14),0,OFFSET(TH!L$1,SMALL(Dong14,ROWS($1:36)),))</f>
        <v>0</v>
      </c>
      <c r="G52" s="911"/>
      <c r="H52" s="912">
        <f ca="1">IF(ROWS($1:36)&gt;COUNT(Dong14),0,IF(OFFSET(TH!N$1,SMALL(Dong14,ROWS($1:36)),)="131",OFFSET(TH!K$1,SMALL(Dong14,ROWS($1:36)),),0))</f>
        <v>0</v>
      </c>
      <c r="I52" s="911">
        <f ca="1">IF(ROWS($1:36)&gt;COUNT(Dong14),0,IF(OFFSET(TH!N$1,SMALL(Dong14,ROWS($1:36)),)="131",OFFSET(TH!M$1,SMALL(Dong14,ROWS($1:36)),),0))</f>
        <v>0</v>
      </c>
      <c r="J52" s="912">
        <f ca="1">IF(ROWS($1:36)&gt;COUNT(Dong14),0,IF(OFFSET(TH!O$1,SMALL(Dong14,ROWS($1:36)),)="131",OFFSET(TH!K$1,SMALL(Dong14,ROWS($1:36)),),0))</f>
        <v>0</v>
      </c>
      <c r="K52" s="911">
        <f ca="1">IF(ROWS($1:36)&gt;COUNT(Dong14),0,IF(OFFSET(TH!O$1,SMALL(Dong14,ROWS($1:36)),)="131",OFFSET(TH!M$1,SMALL(Dong14,ROWS($1:36)),),0))</f>
        <v>2015300</v>
      </c>
      <c r="L52" s="905">
        <f t="shared" ca="1" si="1"/>
        <v>47547</v>
      </c>
      <c r="M52" s="904">
        <f t="shared" ca="1" si="2"/>
        <v>1058396220</v>
      </c>
      <c r="N52" s="905">
        <f t="shared" ca="1" si="3"/>
        <v>0</v>
      </c>
      <c r="O52" s="904">
        <f t="shared" ca="1" si="4"/>
        <v>0</v>
      </c>
    </row>
    <row r="53" spans="1:15" s="5" customFormat="1" ht="16.5" customHeight="1">
      <c r="A53" s="225">
        <f t="shared" ca="1" si="0"/>
        <v>42586</v>
      </c>
      <c r="B53" s="229" t="str">
        <f ca="1">IF(ROWS($1:37)&gt;COUNT(Dong14),"",OFFSET(TH!D$1,SMALL(Dong14,ROWS($1:37)),))</f>
        <v>GBC</v>
      </c>
      <c r="C53" s="225">
        <f ca="1">IF(ROWS($1:37)&gt;COUNT(Dong14),"",OFFSET(TH!E$1,SMALL(Dong14,ROWS($1:37)),))</f>
        <v>42586</v>
      </c>
      <c r="D53" s="913" t="str">
        <f ca="1">IF(ROWS($1:37)&gt;COUNT(Dong14),"",OFFSET(TH!F$1,SMALL(Dong14,ROWS($1:37)),))</f>
        <v>Chiết khấu LC</v>
      </c>
      <c r="E53" s="911" t="str">
        <f ca="1">IF(ROWS($1:37)&gt;COUNT(Dong14),"",IF(OFFSET(TH!N$1,SMALL(Dong14,ROWS($1:37)),)="131",OFFSET(TH!O$1,SMALL(Dong14,ROWS($1:37)),),OFFSET(TH!N$1,SMALL(Dong14,ROWS($1:37)),)))</f>
        <v>1122</v>
      </c>
      <c r="F53" s="911">
        <f ca="1">IF(ROWS($1:37)&gt;COUNT(Dong14),0,OFFSET(TH!L$1,SMALL(Dong14,ROWS($1:37)),))</f>
        <v>22310</v>
      </c>
      <c r="G53" s="911"/>
      <c r="H53" s="912">
        <f ca="1">IF(ROWS($1:37)&gt;COUNT(Dong14),0,IF(OFFSET(TH!N$1,SMALL(Dong14,ROWS($1:37)),)="131",OFFSET(TH!K$1,SMALL(Dong14,ROWS($1:37)),),0))</f>
        <v>0</v>
      </c>
      <c r="I53" s="911">
        <f ca="1">IF(ROWS($1:37)&gt;COUNT(Dong14),0,IF(OFFSET(TH!N$1,SMALL(Dong14,ROWS($1:37)),)="131",OFFSET(TH!M$1,SMALL(Dong14,ROWS($1:37)),),0))</f>
        <v>0</v>
      </c>
      <c r="J53" s="912">
        <f ca="1">IF(ROWS($1:37)&gt;COUNT(Dong14),0,IF(OFFSET(TH!O$1,SMALL(Dong14,ROWS($1:37)),)="131",OFFSET(TH!K$1,SMALL(Dong14,ROWS($1:37)),),0))</f>
        <v>45100</v>
      </c>
      <c r="K53" s="911">
        <f ca="1">IF(ROWS($1:37)&gt;COUNT(Dong14),0,IF(OFFSET(TH!O$1,SMALL(Dong14,ROWS($1:37)),)="131",OFFSET(TH!M$1,SMALL(Dong14,ROWS($1:37)),),0))</f>
        <v>1006181000</v>
      </c>
      <c r="L53" s="905">
        <f t="shared" ca="1" si="1"/>
        <v>2447</v>
      </c>
      <c r="M53" s="904">
        <f t="shared" ca="1" si="2"/>
        <v>52215220</v>
      </c>
      <c r="N53" s="905">
        <f t="shared" ca="1" si="3"/>
        <v>0</v>
      </c>
      <c r="O53" s="904">
        <f t="shared" ca="1" si="4"/>
        <v>0</v>
      </c>
    </row>
    <row r="54" spans="1:15" s="5" customFormat="1" ht="16.5" customHeight="1">
      <c r="A54" s="225">
        <f t="shared" ca="1" si="0"/>
        <v>42593</v>
      </c>
      <c r="B54" s="229" t="str">
        <f ca="1">IF(ROWS($1:38)&gt;COUNT(Dong14),"",OFFSET(TH!D$1,SMALL(Dong14,ROWS($1:38)),))</f>
        <v>GBC</v>
      </c>
      <c r="C54" s="225">
        <f ca="1">IF(ROWS($1:38)&gt;COUNT(Dong14),"",OFFSET(TH!E$1,SMALL(Dong14,ROWS($1:38)),))</f>
        <v>42593</v>
      </c>
      <c r="D54" s="913" t="str">
        <f ca="1">IF(ROWS($1:38)&gt;COUNT(Dong14),"",OFFSET(TH!F$1,SMALL(Dong14,ROWS($1:38)),))</f>
        <v>Thu tiền hàng</v>
      </c>
      <c r="E54" s="911" t="str">
        <f ca="1">IF(ROWS($1:38)&gt;COUNT(Dong14),"",IF(OFFSET(TH!N$1,SMALL(Dong14,ROWS($1:38)),)="131",OFFSET(TH!O$1,SMALL(Dong14,ROWS($1:38)),),OFFSET(TH!N$1,SMALL(Dong14,ROWS($1:38)),)))</f>
        <v>1122</v>
      </c>
      <c r="F54" s="911">
        <f ca="1">IF(ROWS($1:38)&gt;COUNT(Dong14),0,OFFSET(TH!L$1,SMALL(Dong14,ROWS($1:38)),))</f>
        <v>22270</v>
      </c>
      <c r="G54" s="911"/>
      <c r="H54" s="912">
        <f ca="1">IF(ROWS($1:38)&gt;COUNT(Dong14),0,IF(OFFSET(TH!N$1,SMALL(Dong14,ROWS($1:38)),)="131",OFFSET(TH!K$1,SMALL(Dong14,ROWS($1:38)),),0))</f>
        <v>0</v>
      </c>
      <c r="I54" s="911">
        <f ca="1">IF(ROWS($1:38)&gt;COUNT(Dong14),0,IF(OFFSET(TH!N$1,SMALL(Dong14,ROWS($1:38)),)="131",OFFSET(TH!M$1,SMALL(Dong14,ROWS($1:38)),),0))</f>
        <v>0</v>
      </c>
      <c r="J54" s="912">
        <f ca="1">IF(ROWS($1:38)&gt;COUNT(Dong14),0,IF(OFFSET(TH!O$1,SMALL(Dong14,ROWS($1:38)),)="131",OFFSET(TH!K$1,SMALL(Dong14,ROWS($1:38)),),0))</f>
        <v>2230.29</v>
      </c>
      <c r="K54" s="911">
        <f ca="1">IF(ROWS($1:38)&gt;COUNT(Dong14),0,IF(OFFSET(TH!O$1,SMALL(Dong14,ROWS($1:38)),)="131",OFFSET(TH!M$1,SMALL(Dong14,ROWS($1:38)),),0))</f>
        <v>49668558</v>
      </c>
      <c r="L54" s="905">
        <f t="shared" ca="1" si="1"/>
        <v>216.71</v>
      </c>
      <c r="M54" s="904">
        <f t="shared" ca="1" si="2"/>
        <v>2546662</v>
      </c>
      <c r="N54" s="905">
        <f t="shared" ca="1" si="3"/>
        <v>0</v>
      </c>
      <c r="O54" s="904">
        <f t="shared" ca="1" si="4"/>
        <v>0</v>
      </c>
    </row>
    <row r="55" spans="1:15" s="5" customFormat="1" ht="16.5" customHeight="1">
      <c r="A55" s="225">
        <f t="shared" ca="1" si="0"/>
        <v>42593</v>
      </c>
      <c r="B55" s="229" t="str">
        <f ca="1">IF(ROWS($1:39)&gt;COUNT(Dong14),"",OFFSET(TH!D$1,SMALL(Dong14,ROWS($1:39)),))</f>
        <v>CTGS</v>
      </c>
      <c r="C55" s="225">
        <f ca="1">IF(ROWS($1:39)&gt;COUNT(Dong14),"",OFFSET(TH!E$1,SMALL(Dong14,ROWS($1:39)),))</f>
        <v>42593</v>
      </c>
      <c r="D55" s="913" t="str">
        <f ca="1">IF(ROWS($1:39)&gt;COUNT(Dong14),"",OFFSET(TH!F$1,SMALL(Dong14,ROWS($1:39)),))</f>
        <v>Phí thanh toán bộ chứng từ</v>
      </c>
      <c r="E55" s="911" t="str">
        <f ca="1">IF(ROWS($1:39)&gt;COUNT(Dong14),"",IF(OFFSET(TH!N$1,SMALL(Dong14,ROWS($1:39)),)="131",OFFSET(TH!O$1,SMALL(Dong14,ROWS($1:39)),),OFFSET(TH!N$1,SMALL(Dong14,ROWS($1:39)),)))</f>
        <v>642</v>
      </c>
      <c r="F55" s="911">
        <f ca="1">IF(ROWS($1:39)&gt;COUNT(Dong14),0,OFFSET(TH!L$1,SMALL(Dong14,ROWS($1:39)),))</f>
        <v>22270</v>
      </c>
      <c r="G55" s="911"/>
      <c r="H55" s="912">
        <f ca="1">IF(ROWS($1:39)&gt;COUNT(Dong14),0,IF(OFFSET(TH!N$1,SMALL(Dong14,ROWS($1:39)),)="131",OFFSET(TH!K$1,SMALL(Dong14,ROWS($1:39)),),0))</f>
        <v>0</v>
      </c>
      <c r="I55" s="911">
        <f ca="1">IF(ROWS($1:39)&gt;COUNT(Dong14),0,IF(OFFSET(TH!N$1,SMALL(Dong14,ROWS($1:39)),)="131",OFFSET(TH!M$1,SMALL(Dong14,ROWS($1:39)),),0))</f>
        <v>0</v>
      </c>
      <c r="J55" s="912">
        <f ca="1">IF(ROWS($1:39)&gt;COUNT(Dong14),0,IF(OFFSET(TH!O$1,SMALL(Dong14,ROWS($1:39)),)="131",OFFSET(TH!K$1,SMALL(Dong14,ROWS($1:39)),),0))</f>
        <v>71.319999999999993</v>
      </c>
      <c r="K55" s="911">
        <f ca="1">IF(ROWS($1:39)&gt;COUNT(Dong14),0,IF(OFFSET(TH!O$1,SMALL(Dong14,ROWS($1:39)),)="131",OFFSET(TH!M$1,SMALL(Dong14,ROWS($1:39)),),0))</f>
        <v>1588296</v>
      </c>
      <c r="L55" s="905">
        <f t="shared" ca="1" si="1"/>
        <v>145.38999999999999</v>
      </c>
      <c r="M55" s="904">
        <f t="shared" ca="1" si="2"/>
        <v>958366</v>
      </c>
      <c r="N55" s="905">
        <f t="shared" ca="1" si="3"/>
        <v>0</v>
      </c>
      <c r="O55" s="904">
        <f t="shared" ca="1" si="4"/>
        <v>0</v>
      </c>
    </row>
    <row r="56" spans="1:15" s="5" customFormat="1" ht="16.5" customHeight="1">
      <c r="A56" s="225">
        <f t="shared" ca="1" si="0"/>
        <v>42593</v>
      </c>
      <c r="B56" s="229" t="str">
        <f ca="1">IF(ROWS($1:40)&gt;COUNT(Dong14),"",OFFSET(TH!D$1,SMALL(Dong14,ROWS($1:40)),))</f>
        <v>CTGS</v>
      </c>
      <c r="C56" s="225">
        <f ca="1">IF(ROWS($1:40)&gt;COUNT(Dong14),"",OFFSET(TH!E$1,SMALL(Dong14,ROWS($1:40)),))</f>
        <v>42593</v>
      </c>
      <c r="D56" s="913" t="str">
        <f ca="1">IF(ROWS($1:40)&gt;COUNT(Dong14),"",OFFSET(TH!F$1,SMALL(Dong14,ROWS($1:40)),))</f>
        <v>VAT Phí thanh toán bộ chứng từ</v>
      </c>
      <c r="E56" s="911" t="str">
        <f ca="1">IF(ROWS($1:40)&gt;COUNT(Dong14),"",IF(OFFSET(TH!N$1,SMALL(Dong14,ROWS($1:40)),)="131",OFFSET(TH!O$1,SMALL(Dong14,ROWS($1:40)),),OFFSET(TH!N$1,SMALL(Dong14,ROWS($1:40)),)))</f>
        <v>1332</v>
      </c>
      <c r="F56" s="911">
        <f ca="1">IF(ROWS($1:40)&gt;COUNT(Dong14),0,OFFSET(TH!L$1,SMALL(Dong14,ROWS($1:40)),))</f>
        <v>22270</v>
      </c>
      <c r="G56" s="911"/>
      <c r="H56" s="912">
        <f ca="1">IF(ROWS($1:40)&gt;COUNT(Dong14),0,IF(OFFSET(TH!N$1,SMALL(Dong14,ROWS($1:40)),)="131",OFFSET(TH!K$1,SMALL(Dong14,ROWS($1:40)),),0))</f>
        <v>0</v>
      </c>
      <c r="I56" s="911">
        <f ca="1">IF(ROWS($1:40)&gt;COUNT(Dong14),0,IF(OFFSET(TH!N$1,SMALL(Dong14,ROWS($1:40)),)="131",OFFSET(TH!M$1,SMALL(Dong14,ROWS($1:40)),),0))</f>
        <v>0</v>
      </c>
      <c r="J56" s="912">
        <f ca="1">IF(ROWS($1:40)&gt;COUNT(Dong14),0,IF(OFFSET(TH!O$1,SMALL(Dong14,ROWS($1:40)),)="131",OFFSET(TH!K$1,SMALL(Dong14,ROWS($1:40)),),0))</f>
        <v>7.13</v>
      </c>
      <c r="K56" s="911">
        <f ca="1">IF(ROWS($1:40)&gt;COUNT(Dong14),0,IF(OFFSET(TH!O$1,SMALL(Dong14,ROWS($1:40)),)="131",OFFSET(TH!M$1,SMALL(Dong14,ROWS($1:40)),),0))</f>
        <v>158785</v>
      </c>
      <c r="L56" s="905">
        <f t="shared" ca="1" si="1"/>
        <v>138.26</v>
      </c>
      <c r="M56" s="904">
        <f t="shared" ca="1" si="2"/>
        <v>799581</v>
      </c>
      <c r="N56" s="905">
        <f t="shared" ca="1" si="3"/>
        <v>0</v>
      </c>
      <c r="O56" s="904">
        <f t="shared" ca="1" si="4"/>
        <v>0</v>
      </c>
    </row>
    <row r="57" spans="1:15" s="5" customFormat="1" ht="16.5" customHeight="1">
      <c r="A57" s="225">
        <f t="shared" ca="1" si="0"/>
        <v>42593</v>
      </c>
      <c r="B57" s="229" t="str">
        <f ca="1">IF(ROWS($1:41)&gt;COUNT(Dong14),"",OFFSET(TH!D$1,SMALL(Dong14,ROWS($1:41)),))</f>
        <v>CTGS</v>
      </c>
      <c r="C57" s="225">
        <f ca="1">IF(ROWS($1:41)&gt;COUNT(Dong14),"",OFFSET(TH!E$1,SMALL(Dong14,ROWS($1:41)),))</f>
        <v>42593</v>
      </c>
      <c r="D57" s="913" t="str">
        <f ca="1">IF(ROWS($1:41)&gt;COUNT(Dong14),"",OFFSET(TH!F$1,SMALL(Dong14,ROWS($1:41)),))</f>
        <v>Phí xử lý bộ chứng từ</v>
      </c>
      <c r="E57" s="911" t="str">
        <f ca="1">IF(ROWS($1:41)&gt;COUNT(Dong14),"",IF(OFFSET(TH!N$1,SMALL(Dong14,ROWS($1:41)),)="131",OFFSET(TH!O$1,SMALL(Dong14,ROWS($1:41)),),OFFSET(TH!N$1,SMALL(Dong14,ROWS($1:41)),)))</f>
        <v>642</v>
      </c>
      <c r="F57" s="911">
        <f ca="1">IF(ROWS($1:41)&gt;COUNT(Dong14),0,OFFSET(TH!L$1,SMALL(Dong14,ROWS($1:41)),))</f>
        <v>22270</v>
      </c>
      <c r="G57" s="911"/>
      <c r="H57" s="912">
        <f ca="1">IF(ROWS($1:41)&gt;COUNT(Dong14),0,IF(OFFSET(TH!N$1,SMALL(Dong14,ROWS($1:41)),)="131",OFFSET(TH!K$1,SMALL(Dong14,ROWS($1:41)),),0))</f>
        <v>0</v>
      </c>
      <c r="I57" s="911">
        <f ca="1">IF(ROWS($1:41)&gt;COUNT(Dong14),0,IF(OFFSET(TH!N$1,SMALL(Dong14,ROWS($1:41)),)="131",OFFSET(TH!M$1,SMALL(Dong14,ROWS($1:41)),),0))</f>
        <v>0</v>
      </c>
      <c r="J57" s="912">
        <f ca="1">IF(ROWS($1:41)&gt;COUNT(Dong14),0,IF(OFFSET(TH!O$1,SMALL(Dong14,ROWS($1:41)),)="131",OFFSET(TH!K$1,SMALL(Dong14,ROWS($1:41)),),0))</f>
        <v>10</v>
      </c>
      <c r="K57" s="911">
        <f ca="1">IF(ROWS($1:41)&gt;COUNT(Dong14),0,IF(OFFSET(TH!O$1,SMALL(Dong14,ROWS($1:41)),)="131",OFFSET(TH!M$1,SMALL(Dong14,ROWS($1:41)),),0))</f>
        <v>222700</v>
      </c>
      <c r="L57" s="905">
        <f t="shared" ca="1" si="1"/>
        <v>128.26</v>
      </c>
      <c r="M57" s="904">
        <f t="shared" ca="1" si="2"/>
        <v>576881</v>
      </c>
      <c r="N57" s="905">
        <f t="shared" ca="1" si="3"/>
        <v>0</v>
      </c>
      <c r="O57" s="904">
        <f t="shared" ca="1" si="4"/>
        <v>0</v>
      </c>
    </row>
    <row r="58" spans="1:15" s="5" customFormat="1" ht="16.5" customHeight="1">
      <c r="A58" s="225">
        <f t="shared" ca="1" si="0"/>
        <v>42593</v>
      </c>
      <c r="B58" s="229" t="str">
        <f ca="1">IF(ROWS($1:42)&gt;COUNT(Dong14),"",OFFSET(TH!D$1,SMALL(Dong14,ROWS($1:42)),))</f>
        <v>CTGS</v>
      </c>
      <c r="C58" s="225">
        <f ca="1">IF(ROWS($1:42)&gt;COUNT(Dong14),"",OFFSET(TH!E$1,SMALL(Dong14,ROWS($1:42)),))</f>
        <v>42593</v>
      </c>
      <c r="D58" s="913" t="str">
        <f ca="1">IF(ROWS($1:42)&gt;COUNT(Dong14),"",OFFSET(TH!F$1,SMALL(Dong14,ROWS($1:42)),))</f>
        <v>VAT Phí xử lý bộ chứng từ</v>
      </c>
      <c r="E58" s="911" t="str">
        <f ca="1">IF(ROWS($1:42)&gt;COUNT(Dong14),"",IF(OFFSET(TH!N$1,SMALL(Dong14,ROWS($1:42)),)="131",OFFSET(TH!O$1,SMALL(Dong14,ROWS($1:42)),),OFFSET(TH!N$1,SMALL(Dong14,ROWS($1:42)),)))</f>
        <v>1332</v>
      </c>
      <c r="F58" s="911">
        <f ca="1">IF(ROWS($1:42)&gt;COUNT(Dong14),0,OFFSET(TH!L$1,SMALL(Dong14,ROWS($1:42)),))</f>
        <v>22270</v>
      </c>
      <c r="G58" s="911"/>
      <c r="H58" s="912">
        <f ca="1">IF(ROWS($1:42)&gt;COUNT(Dong14),0,IF(OFFSET(TH!N$1,SMALL(Dong14,ROWS($1:42)),)="131",OFFSET(TH!K$1,SMALL(Dong14,ROWS($1:42)),),0))</f>
        <v>0</v>
      </c>
      <c r="I58" s="911">
        <f ca="1">IF(ROWS($1:42)&gt;COUNT(Dong14),0,IF(OFFSET(TH!N$1,SMALL(Dong14,ROWS($1:42)),)="131",OFFSET(TH!M$1,SMALL(Dong14,ROWS($1:42)),),0))</f>
        <v>0</v>
      </c>
      <c r="J58" s="912">
        <f ca="1">IF(ROWS($1:42)&gt;COUNT(Dong14),0,IF(OFFSET(TH!O$1,SMALL(Dong14,ROWS($1:42)),)="131",OFFSET(TH!K$1,SMALL(Dong14,ROWS($1:42)),),0))</f>
        <v>1</v>
      </c>
      <c r="K58" s="911">
        <f ca="1">IF(ROWS($1:42)&gt;COUNT(Dong14),0,IF(OFFSET(TH!O$1,SMALL(Dong14,ROWS($1:42)),)="131",OFFSET(TH!M$1,SMALL(Dong14,ROWS($1:42)),),0))</f>
        <v>22270</v>
      </c>
      <c r="L58" s="905">
        <f t="shared" ca="1" si="1"/>
        <v>127.26</v>
      </c>
      <c r="M58" s="904">
        <f t="shared" ca="1" si="2"/>
        <v>554611</v>
      </c>
      <c r="N58" s="905">
        <f t="shared" ca="1" si="3"/>
        <v>0</v>
      </c>
      <c r="O58" s="904">
        <f t="shared" ca="1" si="4"/>
        <v>0</v>
      </c>
    </row>
    <row r="59" spans="1:15" s="5" customFormat="1" ht="16.5" customHeight="1">
      <c r="A59" s="225">
        <f t="shared" ca="1" si="0"/>
        <v>42593</v>
      </c>
      <c r="B59" s="229" t="str">
        <f ca="1">IF(ROWS($1:43)&gt;COUNT(Dong14),"",OFFSET(TH!D$1,SMALL(Dong14,ROWS($1:43)),))</f>
        <v>CTGS</v>
      </c>
      <c r="C59" s="225">
        <f ca="1">IF(ROWS($1:43)&gt;COUNT(Dong14),"",OFFSET(TH!E$1,SMALL(Dong14,ROWS($1:43)),))</f>
        <v>42593</v>
      </c>
      <c r="D59" s="913" t="str">
        <f ca="1">IF(ROWS($1:43)&gt;COUNT(Dong14),"",OFFSET(TH!F$1,SMALL(Dong14,ROWS($1:43)),))</f>
        <v>Lãi suất chiết khấu</v>
      </c>
      <c r="E59" s="911" t="str">
        <f ca="1">IF(ROWS($1:43)&gt;COUNT(Dong14),"",IF(OFFSET(TH!N$1,SMALL(Dong14,ROWS($1:43)),)="131",OFFSET(TH!O$1,SMALL(Dong14,ROWS($1:43)),),OFFSET(TH!N$1,SMALL(Dong14,ROWS($1:43)),)))</f>
        <v>635</v>
      </c>
      <c r="F59" s="911">
        <f ca="1">IF(ROWS($1:43)&gt;COUNT(Dong14),0,OFFSET(TH!L$1,SMALL(Dong14,ROWS($1:43)),))</f>
        <v>22270</v>
      </c>
      <c r="G59" s="911"/>
      <c r="H59" s="912">
        <f ca="1">IF(ROWS($1:43)&gt;COUNT(Dong14),0,IF(OFFSET(TH!N$1,SMALL(Dong14,ROWS($1:43)),)="131",OFFSET(TH!K$1,SMALL(Dong14,ROWS($1:43)),),0))</f>
        <v>0</v>
      </c>
      <c r="I59" s="911">
        <f ca="1">IF(ROWS($1:43)&gt;COUNT(Dong14),0,IF(OFFSET(TH!N$1,SMALL(Dong14,ROWS($1:43)),)="131",OFFSET(TH!M$1,SMALL(Dong14,ROWS($1:43)),),0))</f>
        <v>0</v>
      </c>
      <c r="J59" s="912">
        <f ca="1">IF(ROWS($1:43)&gt;COUNT(Dong14),0,IF(OFFSET(TH!O$1,SMALL(Dong14,ROWS($1:43)),)="131",OFFSET(TH!K$1,SMALL(Dong14,ROWS($1:43)),),0))</f>
        <v>35.08</v>
      </c>
      <c r="K59" s="911">
        <f ca="1">IF(ROWS($1:43)&gt;COUNT(Dong14),0,IF(OFFSET(TH!O$1,SMALL(Dong14,ROWS($1:43)),)="131",OFFSET(TH!M$1,SMALL(Dong14,ROWS($1:43)),),0))</f>
        <v>781232</v>
      </c>
      <c r="L59" s="905">
        <f t="shared" ca="1" si="1"/>
        <v>92.18</v>
      </c>
      <c r="M59" s="904">
        <f t="shared" ca="1" si="2"/>
        <v>0</v>
      </c>
      <c r="N59" s="905">
        <f t="shared" ca="1" si="3"/>
        <v>0</v>
      </c>
      <c r="O59" s="904">
        <f t="shared" ca="1" si="4"/>
        <v>226621</v>
      </c>
    </row>
    <row r="60" spans="1:15" s="5" customFormat="1" ht="16.5" customHeight="1">
      <c r="A60" s="225">
        <f t="shared" ca="1" si="0"/>
        <v>42593</v>
      </c>
      <c r="B60" s="229" t="str">
        <f ca="1">IF(ROWS($1:44)&gt;COUNT(Dong14),"",OFFSET(TH!D$1,SMALL(Dong14,ROWS($1:44)),))</f>
        <v>CTGS</v>
      </c>
      <c r="C60" s="225">
        <f ca="1">IF(ROWS($1:44)&gt;COUNT(Dong14),"",OFFSET(TH!E$1,SMALL(Dong14,ROWS($1:44)),))</f>
        <v>42593</v>
      </c>
      <c r="D60" s="913" t="str">
        <f ca="1">IF(ROWS($1:44)&gt;COUNT(Dong14),"",OFFSET(TH!F$1,SMALL(Dong14,ROWS($1:44)),))</f>
        <v>Điện phí</v>
      </c>
      <c r="E60" s="911" t="str">
        <f ca="1">IF(ROWS($1:44)&gt;COUNT(Dong14),"",IF(OFFSET(TH!N$1,SMALL(Dong14,ROWS($1:44)),)="131",OFFSET(TH!O$1,SMALL(Dong14,ROWS($1:44)),),OFFSET(TH!N$1,SMALL(Dong14,ROWS($1:44)),)))</f>
        <v>642</v>
      </c>
      <c r="F60" s="911">
        <f ca="1">IF(ROWS($1:44)&gt;COUNT(Dong14),0,OFFSET(TH!L$1,SMALL(Dong14,ROWS($1:44)),))</f>
        <v>22270</v>
      </c>
      <c r="G60" s="911"/>
      <c r="H60" s="912">
        <f ca="1">IF(ROWS($1:44)&gt;COUNT(Dong14),0,IF(OFFSET(TH!N$1,SMALL(Dong14,ROWS($1:44)),)="131",OFFSET(TH!K$1,SMALL(Dong14,ROWS($1:44)),),0))</f>
        <v>0</v>
      </c>
      <c r="I60" s="911">
        <f ca="1">IF(ROWS($1:44)&gt;COUNT(Dong14),0,IF(OFFSET(TH!N$1,SMALL(Dong14,ROWS($1:44)),)="131",OFFSET(TH!M$1,SMALL(Dong14,ROWS($1:44)),),0))</f>
        <v>0</v>
      </c>
      <c r="J60" s="912">
        <f ca="1">IF(ROWS($1:44)&gt;COUNT(Dong14),0,IF(OFFSET(TH!O$1,SMALL(Dong14,ROWS($1:44)),)="131",OFFSET(TH!K$1,SMALL(Dong14,ROWS($1:44)),),0))</f>
        <v>51.98</v>
      </c>
      <c r="K60" s="911">
        <f ca="1">IF(ROWS($1:44)&gt;COUNT(Dong14),0,IF(OFFSET(TH!O$1,SMALL(Dong14,ROWS($1:44)),)="131",OFFSET(TH!M$1,SMALL(Dong14,ROWS($1:44)),),0))</f>
        <v>1157595</v>
      </c>
      <c r="L60" s="905">
        <f t="shared" ca="1" si="1"/>
        <v>40.200000000000003</v>
      </c>
      <c r="M60" s="904">
        <f t="shared" ca="1" si="2"/>
        <v>0</v>
      </c>
      <c r="N60" s="905">
        <f t="shared" ca="1" si="3"/>
        <v>0</v>
      </c>
      <c r="O60" s="904">
        <f t="shared" ca="1" si="4"/>
        <v>1384216</v>
      </c>
    </row>
    <row r="61" spans="1:15" s="5" customFormat="1" ht="16.5" customHeight="1">
      <c r="A61" s="225">
        <f t="shared" ca="1" si="0"/>
        <v>42593</v>
      </c>
      <c r="B61" s="229" t="str">
        <f ca="1">IF(ROWS($1:45)&gt;COUNT(Dong14),"",OFFSET(TH!D$1,SMALL(Dong14,ROWS($1:45)),))</f>
        <v>CTGS</v>
      </c>
      <c r="C61" s="225">
        <f ca="1">IF(ROWS($1:45)&gt;COUNT(Dong14),"",OFFSET(TH!E$1,SMALL(Dong14,ROWS($1:45)),))</f>
        <v>42593</v>
      </c>
      <c r="D61" s="913" t="str">
        <f ca="1">IF(ROWS($1:45)&gt;COUNT(Dong14),"",OFFSET(TH!F$1,SMALL(Dong14,ROWS($1:45)),))</f>
        <v>VAT Điện phí</v>
      </c>
      <c r="E61" s="911" t="str">
        <f ca="1">IF(ROWS($1:45)&gt;COUNT(Dong14),"",IF(OFFSET(TH!N$1,SMALL(Dong14,ROWS($1:45)),)="131",OFFSET(TH!O$1,SMALL(Dong14,ROWS($1:45)),),OFFSET(TH!N$1,SMALL(Dong14,ROWS($1:45)),)))</f>
        <v>1332</v>
      </c>
      <c r="F61" s="911">
        <f ca="1">IF(ROWS($1:45)&gt;COUNT(Dong14),0,OFFSET(TH!L$1,SMALL(Dong14,ROWS($1:45)),))</f>
        <v>22270</v>
      </c>
      <c r="G61" s="911"/>
      <c r="H61" s="912">
        <f ca="1">IF(ROWS($1:45)&gt;COUNT(Dong14),0,IF(OFFSET(TH!N$1,SMALL(Dong14,ROWS($1:45)),)="131",OFFSET(TH!K$1,SMALL(Dong14,ROWS($1:45)),),0))</f>
        <v>0</v>
      </c>
      <c r="I61" s="911">
        <f ca="1">IF(ROWS($1:45)&gt;COUNT(Dong14),0,IF(OFFSET(TH!N$1,SMALL(Dong14,ROWS($1:45)),)="131",OFFSET(TH!M$1,SMALL(Dong14,ROWS($1:45)),),0))</f>
        <v>0</v>
      </c>
      <c r="J61" s="912">
        <f ca="1">IF(ROWS($1:45)&gt;COUNT(Dong14),0,IF(OFFSET(TH!O$1,SMALL(Dong14,ROWS($1:45)),)="131",OFFSET(TH!K$1,SMALL(Dong14,ROWS($1:45)),),0))</f>
        <v>5.2</v>
      </c>
      <c r="K61" s="911">
        <f ca="1">IF(ROWS($1:45)&gt;COUNT(Dong14),0,IF(OFFSET(TH!O$1,SMALL(Dong14,ROWS($1:45)),)="131",OFFSET(TH!M$1,SMALL(Dong14,ROWS($1:45)),),0))</f>
        <v>115804</v>
      </c>
      <c r="L61" s="905">
        <f t="shared" ca="1" si="1"/>
        <v>35</v>
      </c>
      <c r="M61" s="904">
        <f t="shared" ca="1" si="2"/>
        <v>0</v>
      </c>
      <c r="N61" s="905">
        <f t="shared" ca="1" si="3"/>
        <v>0</v>
      </c>
      <c r="O61" s="904">
        <f t="shared" ca="1" si="4"/>
        <v>1500020</v>
      </c>
    </row>
    <row r="62" spans="1:15" s="5" customFormat="1" ht="16.5" customHeight="1">
      <c r="A62" s="225">
        <f t="shared" ca="1" si="0"/>
        <v>42593</v>
      </c>
      <c r="B62" s="229" t="str">
        <f ca="1">IF(ROWS($1:46)&gt;COUNT(Dong14),"",OFFSET(TH!D$1,SMALL(Dong14,ROWS($1:46)),))</f>
        <v>CTGS</v>
      </c>
      <c r="C62" s="225">
        <f ca="1">IF(ROWS($1:46)&gt;COUNT(Dong14),"",OFFSET(TH!E$1,SMALL(Dong14,ROWS($1:46)),))</f>
        <v>42593</v>
      </c>
      <c r="D62" s="913" t="str">
        <f ca="1">IF(ROWS($1:46)&gt;COUNT(Dong14),"",OFFSET(TH!F$1,SMALL(Dong14,ROWS($1:46)),))</f>
        <v>Phí NH nước ngoài giảm trừ</v>
      </c>
      <c r="E62" s="911" t="str">
        <f ca="1">IF(ROWS($1:46)&gt;COUNT(Dong14),"",IF(OFFSET(TH!N$1,SMALL(Dong14,ROWS($1:46)),)="131",OFFSET(TH!O$1,SMALL(Dong14,ROWS($1:46)),),OFFSET(TH!N$1,SMALL(Dong14,ROWS($1:46)),)))</f>
        <v>642</v>
      </c>
      <c r="F62" s="911">
        <f ca="1">IF(ROWS($1:46)&gt;COUNT(Dong14),0,OFFSET(TH!L$1,SMALL(Dong14,ROWS($1:46)),))</f>
        <v>22270</v>
      </c>
      <c r="G62" s="911"/>
      <c r="H62" s="912">
        <f ca="1">IF(ROWS($1:46)&gt;COUNT(Dong14),0,IF(OFFSET(TH!N$1,SMALL(Dong14,ROWS($1:46)),)="131",OFFSET(TH!K$1,SMALL(Dong14,ROWS($1:46)),),0))</f>
        <v>0</v>
      </c>
      <c r="I62" s="911">
        <f ca="1">IF(ROWS($1:46)&gt;COUNT(Dong14),0,IF(OFFSET(TH!N$1,SMALL(Dong14,ROWS($1:46)),)="131",OFFSET(TH!M$1,SMALL(Dong14,ROWS($1:46)),),0))</f>
        <v>0</v>
      </c>
      <c r="J62" s="912">
        <f ca="1">IF(ROWS($1:46)&gt;COUNT(Dong14),0,IF(OFFSET(TH!O$1,SMALL(Dong14,ROWS($1:46)),)="131",OFFSET(TH!K$1,SMALL(Dong14,ROWS($1:46)),),0))</f>
        <v>35</v>
      </c>
      <c r="K62" s="911">
        <f ca="1">IF(ROWS($1:46)&gt;COUNT(Dong14),0,IF(OFFSET(TH!O$1,SMALL(Dong14,ROWS($1:46)),)="131",OFFSET(TH!M$1,SMALL(Dong14,ROWS($1:46)),),0))</f>
        <v>779450</v>
      </c>
      <c r="L62" s="905">
        <f t="shared" ca="1" si="1"/>
        <v>0</v>
      </c>
      <c r="M62" s="904">
        <f t="shared" ca="1" si="2"/>
        <v>0</v>
      </c>
      <c r="N62" s="905">
        <f t="shared" ca="1" si="3"/>
        <v>0</v>
      </c>
      <c r="O62" s="904">
        <f t="shared" ca="1" si="4"/>
        <v>2279470</v>
      </c>
    </row>
    <row r="63" spans="1:15" s="5" customFormat="1" ht="16.5" customHeight="1">
      <c r="A63" s="225">
        <f t="shared" ca="1" si="0"/>
        <v>42593</v>
      </c>
      <c r="B63" s="229" t="str">
        <f ca="1">IF(ROWS($1:47)&gt;COUNT(Dong14),"",OFFSET(TH!D$1,SMALL(Dong14,ROWS($1:47)),))</f>
        <v>CTGS</v>
      </c>
      <c r="C63" s="225">
        <f ca="1">IF(ROWS($1:47)&gt;COUNT(Dong14),"",OFFSET(TH!E$1,SMALL(Dong14,ROWS($1:47)),))</f>
        <v>42593</v>
      </c>
      <c r="D63" s="913" t="str">
        <f ca="1">IF(ROWS($1:47)&gt;COUNT(Dong14),"",OFFSET(TH!F$1,SMALL(Dong14,ROWS($1:47)),))</f>
        <v>Chênh lệch tỷ giá</v>
      </c>
      <c r="E63" s="911" t="str">
        <f ca="1">IF(ROWS($1:47)&gt;COUNT(Dong14),"",IF(OFFSET(TH!N$1,SMALL(Dong14,ROWS($1:47)),)="131",OFFSET(TH!O$1,SMALL(Dong14,ROWS($1:47)),),OFFSET(TH!N$1,SMALL(Dong14,ROWS($1:47)),)))</f>
        <v>515</v>
      </c>
      <c r="F63" s="911">
        <f ca="1">IF(ROWS($1:47)&gt;COUNT(Dong14),0,OFFSET(TH!L$1,SMALL(Dong14,ROWS($1:47)),))</f>
        <v>0</v>
      </c>
      <c r="G63" s="911"/>
      <c r="H63" s="912">
        <f ca="1">IF(ROWS($1:47)&gt;COUNT(Dong14),0,IF(OFFSET(TH!N$1,SMALL(Dong14,ROWS($1:47)),)="131",OFFSET(TH!K$1,SMALL(Dong14,ROWS($1:47)),),0))</f>
        <v>0</v>
      </c>
      <c r="I63" s="911">
        <f ca="1">IF(ROWS($1:47)&gt;COUNT(Dong14),0,IF(OFFSET(TH!N$1,SMALL(Dong14,ROWS($1:47)),)="131",OFFSET(TH!M$1,SMALL(Dong14,ROWS($1:47)),),0))</f>
        <v>2279470</v>
      </c>
      <c r="J63" s="912">
        <f ca="1">IF(ROWS($1:47)&gt;COUNT(Dong14),0,IF(OFFSET(TH!O$1,SMALL(Dong14,ROWS($1:47)),)="131",OFFSET(TH!K$1,SMALL(Dong14,ROWS($1:47)),),0))</f>
        <v>0</v>
      </c>
      <c r="K63" s="911">
        <f ca="1">IF(ROWS($1:47)&gt;COUNT(Dong14),0,IF(OFFSET(TH!O$1,SMALL(Dong14,ROWS($1:47)),)="131",OFFSET(TH!M$1,SMALL(Dong14,ROWS($1:47)),),0))</f>
        <v>0</v>
      </c>
      <c r="L63" s="905">
        <f t="shared" ca="1" si="1"/>
        <v>0</v>
      </c>
      <c r="M63" s="904">
        <f t="shared" ca="1" si="2"/>
        <v>0</v>
      </c>
      <c r="N63" s="905">
        <f t="shared" ca="1" si="3"/>
        <v>0</v>
      </c>
      <c r="O63" s="904">
        <f t="shared" ca="1" si="4"/>
        <v>0</v>
      </c>
    </row>
    <row r="64" spans="1:15" s="5" customFormat="1" ht="16.5" customHeight="1">
      <c r="A64" s="225" t="str">
        <f t="shared" ca="1" si="0"/>
        <v/>
      </c>
      <c r="B64" s="229" t="str">
        <f ca="1">IF(ROWS($1:48)&gt;COUNT(Dong14),"",OFFSET(TH!D$1,SMALL(Dong14,ROWS($1:48)),))</f>
        <v/>
      </c>
      <c r="C64" s="225" t="str">
        <f ca="1">IF(ROWS($1:48)&gt;COUNT(Dong14),"",OFFSET(TH!E$1,SMALL(Dong14,ROWS($1:48)),))</f>
        <v/>
      </c>
      <c r="D64" s="913" t="str">
        <f ca="1">IF(ROWS($1:48)&gt;COUNT(Dong14),"",OFFSET(TH!F$1,SMALL(Dong14,ROWS($1:48)),))</f>
        <v/>
      </c>
      <c r="E64" s="911" t="str">
        <f ca="1">IF(ROWS($1:48)&gt;COUNT(Dong14),"",IF(OFFSET(TH!N$1,SMALL(Dong14,ROWS($1:48)),)="131",OFFSET(TH!O$1,SMALL(Dong14,ROWS($1:48)),),OFFSET(TH!N$1,SMALL(Dong14,ROWS($1:48)),)))</f>
        <v/>
      </c>
      <c r="F64" s="911">
        <f ca="1">IF(ROWS($1:48)&gt;COUNT(Dong14),0,OFFSET(TH!L$1,SMALL(Dong14,ROWS($1:48)),))</f>
        <v>0</v>
      </c>
      <c r="G64" s="911"/>
      <c r="H64" s="912">
        <f ca="1">IF(ROWS($1:48)&gt;COUNT(Dong14),0,IF(OFFSET(TH!N$1,SMALL(Dong14,ROWS($1:48)),)="131",OFFSET(TH!K$1,SMALL(Dong14,ROWS($1:48)),),0))</f>
        <v>0</v>
      </c>
      <c r="I64" s="911">
        <f ca="1">IF(ROWS($1:48)&gt;COUNT(Dong14),0,IF(OFFSET(TH!N$1,SMALL(Dong14,ROWS($1:48)),)="131",OFFSET(TH!M$1,SMALL(Dong14,ROWS($1:48)),),0))</f>
        <v>0</v>
      </c>
      <c r="J64" s="912">
        <f ca="1">IF(ROWS($1:48)&gt;COUNT(Dong14),0,IF(OFFSET(TH!O$1,SMALL(Dong14,ROWS($1:48)),)="131",OFFSET(TH!K$1,SMALL(Dong14,ROWS($1:48)),),0))</f>
        <v>0</v>
      </c>
      <c r="K64" s="911">
        <f ca="1">IF(ROWS($1:48)&gt;COUNT(Dong14),0,IF(OFFSET(TH!O$1,SMALL(Dong14,ROWS($1:48)),)="131",OFFSET(TH!M$1,SMALL(Dong14,ROWS($1:48)),),0))</f>
        <v>0</v>
      </c>
      <c r="L64" s="905">
        <f t="shared" ca="1" si="1"/>
        <v>0</v>
      </c>
      <c r="M64" s="904">
        <f t="shared" ca="1" si="2"/>
        <v>0</v>
      </c>
      <c r="N64" s="905">
        <f t="shared" ca="1" si="3"/>
        <v>0</v>
      </c>
      <c r="O64" s="904">
        <f t="shared" ca="1" si="4"/>
        <v>0</v>
      </c>
    </row>
    <row r="65" spans="1:15" s="5" customFormat="1" ht="16.5" customHeight="1">
      <c r="A65" s="225" t="str">
        <f t="shared" ca="1" si="0"/>
        <v/>
      </c>
      <c r="B65" s="229" t="str">
        <f ca="1">IF(ROWS($1:49)&gt;COUNT(Dong14),"",OFFSET(TH!D$1,SMALL(Dong14,ROWS($1:49)),))</f>
        <v/>
      </c>
      <c r="C65" s="225" t="str">
        <f ca="1">IF(ROWS($1:49)&gt;COUNT(Dong14),"",OFFSET(TH!E$1,SMALL(Dong14,ROWS($1:49)),))</f>
        <v/>
      </c>
      <c r="D65" s="913" t="str">
        <f ca="1">IF(ROWS($1:49)&gt;COUNT(Dong14),"",OFFSET(TH!F$1,SMALL(Dong14,ROWS($1:49)),))</f>
        <v/>
      </c>
      <c r="E65" s="911" t="str">
        <f ca="1">IF(ROWS($1:49)&gt;COUNT(Dong14),"",IF(OFFSET(TH!N$1,SMALL(Dong14,ROWS($1:49)),)="131",OFFSET(TH!O$1,SMALL(Dong14,ROWS($1:49)),),OFFSET(TH!N$1,SMALL(Dong14,ROWS($1:49)),)))</f>
        <v/>
      </c>
      <c r="F65" s="911">
        <f ca="1">IF(ROWS($1:49)&gt;COUNT(Dong14),0,OFFSET(TH!L$1,SMALL(Dong14,ROWS($1:49)),))</f>
        <v>0</v>
      </c>
      <c r="G65" s="911"/>
      <c r="H65" s="912">
        <f ca="1">IF(ROWS($1:49)&gt;COUNT(Dong14),0,IF(OFFSET(TH!N$1,SMALL(Dong14,ROWS($1:49)),)="131",OFFSET(TH!K$1,SMALL(Dong14,ROWS($1:49)),),0))</f>
        <v>0</v>
      </c>
      <c r="I65" s="911">
        <f ca="1">IF(ROWS($1:49)&gt;COUNT(Dong14),0,IF(OFFSET(TH!N$1,SMALL(Dong14,ROWS($1:49)),)="131",OFFSET(TH!M$1,SMALL(Dong14,ROWS($1:49)),),0))</f>
        <v>0</v>
      </c>
      <c r="J65" s="912">
        <f ca="1">IF(ROWS($1:49)&gt;COUNT(Dong14),0,IF(OFFSET(TH!O$1,SMALL(Dong14,ROWS($1:49)),)="131",OFFSET(TH!K$1,SMALL(Dong14,ROWS($1:49)),),0))</f>
        <v>0</v>
      </c>
      <c r="K65" s="911">
        <f ca="1">IF(ROWS($1:49)&gt;COUNT(Dong14),0,IF(OFFSET(TH!O$1,SMALL(Dong14,ROWS($1:49)),)="131",OFFSET(TH!M$1,SMALL(Dong14,ROWS($1:49)),),0))</f>
        <v>0</v>
      </c>
      <c r="L65" s="905">
        <f t="shared" ca="1" si="1"/>
        <v>0</v>
      </c>
      <c r="M65" s="904">
        <f t="shared" ca="1" si="2"/>
        <v>0</v>
      </c>
      <c r="N65" s="905">
        <f t="shared" ca="1" si="3"/>
        <v>0</v>
      </c>
      <c r="O65" s="904">
        <f t="shared" ca="1" si="4"/>
        <v>0</v>
      </c>
    </row>
    <row r="66" spans="1:15" s="5" customFormat="1" ht="16.5" customHeight="1">
      <c r="A66" s="225" t="str">
        <f t="shared" ca="1" si="0"/>
        <v/>
      </c>
      <c r="B66" s="229" t="str">
        <f ca="1">IF(ROWS($1:50)&gt;COUNT(Dong14),"",OFFSET(TH!D$1,SMALL(Dong14,ROWS($1:50)),))</f>
        <v/>
      </c>
      <c r="C66" s="225" t="str">
        <f ca="1">IF(ROWS($1:50)&gt;COUNT(Dong14),"",OFFSET(TH!E$1,SMALL(Dong14,ROWS($1:50)),))</f>
        <v/>
      </c>
      <c r="D66" s="913" t="str">
        <f ca="1">IF(ROWS($1:50)&gt;COUNT(Dong14),"",OFFSET(TH!F$1,SMALL(Dong14,ROWS($1:50)),))</f>
        <v/>
      </c>
      <c r="E66" s="911" t="str">
        <f ca="1">IF(ROWS($1:50)&gt;COUNT(Dong14),"",IF(OFFSET(TH!N$1,SMALL(Dong14,ROWS($1:50)),)="131",OFFSET(TH!O$1,SMALL(Dong14,ROWS($1:50)),),OFFSET(TH!N$1,SMALL(Dong14,ROWS($1:50)),)))</f>
        <v/>
      </c>
      <c r="F66" s="911">
        <f ca="1">IF(ROWS($1:50)&gt;COUNT(Dong14),0,OFFSET(TH!L$1,SMALL(Dong14,ROWS($1:50)),))</f>
        <v>0</v>
      </c>
      <c r="G66" s="911"/>
      <c r="H66" s="912">
        <f ca="1">IF(ROWS($1:50)&gt;COUNT(Dong14),0,IF(OFFSET(TH!N$1,SMALL(Dong14,ROWS($1:50)),)="131",OFFSET(TH!K$1,SMALL(Dong14,ROWS($1:50)),),0))</f>
        <v>0</v>
      </c>
      <c r="I66" s="911">
        <f ca="1">IF(ROWS($1:50)&gt;COUNT(Dong14),0,IF(OFFSET(TH!N$1,SMALL(Dong14,ROWS($1:50)),)="131",OFFSET(TH!M$1,SMALL(Dong14,ROWS($1:50)),),0))</f>
        <v>0</v>
      </c>
      <c r="J66" s="912">
        <f ca="1">IF(ROWS($1:50)&gt;COUNT(Dong14),0,IF(OFFSET(TH!O$1,SMALL(Dong14,ROWS($1:50)),)="131",OFFSET(TH!K$1,SMALL(Dong14,ROWS($1:50)),),0))</f>
        <v>0</v>
      </c>
      <c r="K66" s="911">
        <f ca="1">IF(ROWS($1:50)&gt;COUNT(Dong14),0,IF(OFFSET(TH!O$1,SMALL(Dong14,ROWS($1:50)),)="131",OFFSET(TH!M$1,SMALL(Dong14,ROWS($1:50)),),0))</f>
        <v>0</v>
      </c>
      <c r="L66" s="905">
        <f t="shared" ca="1" si="1"/>
        <v>0</v>
      </c>
      <c r="M66" s="904">
        <f t="shared" ca="1" si="2"/>
        <v>0</v>
      </c>
      <c r="N66" s="905">
        <f t="shared" ca="1" si="3"/>
        <v>0</v>
      </c>
      <c r="O66" s="904">
        <f t="shared" ca="1" si="4"/>
        <v>0</v>
      </c>
    </row>
    <row r="67" spans="1:15" s="5" customFormat="1" ht="16.5" customHeight="1">
      <c r="A67" s="225" t="str">
        <f t="shared" ca="1" si="0"/>
        <v/>
      </c>
      <c r="B67" s="229" t="str">
        <f ca="1">IF(ROWS($1:51)&gt;COUNT(Dong14),"",OFFSET(TH!D$1,SMALL(Dong14,ROWS($1:51)),))</f>
        <v/>
      </c>
      <c r="C67" s="225" t="str">
        <f ca="1">IF(ROWS($1:51)&gt;COUNT(Dong14),"",OFFSET(TH!E$1,SMALL(Dong14,ROWS($1:51)),))</f>
        <v/>
      </c>
      <c r="D67" s="913" t="str">
        <f ca="1">IF(ROWS($1:51)&gt;COUNT(Dong14),"",OFFSET(TH!F$1,SMALL(Dong14,ROWS($1:51)),))</f>
        <v/>
      </c>
      <c r="E67" s="911" t="str">
        <f ca="1">IF(ROWS($1:51)&gt;COUNT(Dong14),"",IF(OFFSET(TH!N$1,SMALL(Dong14,ROWS($1:51)),)="131",OFFSET(TH!O$1,SMALL(Dong14,ROWS($1:51)),),OFFSET(TH!N$1,SMALL(Dong14,ROWS($1:51)),)))</f>
        <v/>
      </c>
      <c r="F67" s="911">
        <f ca="1">IF(ROWS($1:51)&gt;COUNT(Dong14),0,OFFSET(TH!L$1,SMALL(Dong14,ROWS($1:51)),))</f>
        <v>0</v>
      </c>
      <c r="G67" s="911"/>
      <c r="H67" s="912">
        <f ca="1">IF(ROWS($1:51)&gt;COUNT(Dong14),0,IF(OFFSET(TH!N$1,SMALL(Dong14,ROWS($1:51)),)="131",OFFSET(TH!K$1,SMALL(Dong14,ROWS($1:51)),),0))</f>
        <v>0</v>
      </c>
      <c r="I67" s="911">
        <f ca="1">IF(ROWS($1:51)&gt;COUNT(Dong14),0,IF(OFFSET(TH!N$1,SMALL(Dong14,ROWS($1:51)),)="131",OFFSET(TH!M$1,SMALL(Dong14,ROWS($1:51)),),0))</f>
        <v>0</v>
      </c>
      <c r="J67" s="912">
        <f ca="1">IF(ROWS($1:51)&gt;COUNT(Dong14),0,IF(OFFSET(TH!O$1,SMALL(Dong14,ROWS($1:51)),)="131",OFFSET(TH!K$1,SMALL(Dong14,ROWS($1:51)),),0))</f>
        <v>0</v>
      </c>
      <c r="K67" s="911">
        <f ca="1">IF(ROWS($1:51)&gt;COUNT(Dong14),0,IF(OFFSET(TH!O$1,SMALL(Dong14,ROWS($1:51)),)="131",OFFSET(TH!M$1,SMALL(Dong14,ROWS($1:51)),),0))</f>
        <v>0</v>
      </c>
      <c r="L67" s="905">
        <f t="shared" ca="1" si="1"/>
        <v>0</v>
      </c>
      <c r="M67" s="904">
        <f t="shared" ca="1" si="2"/>
        <v>0</v>
      </c>
      <c r="N67" s="905">
        <f t="shared" ca="1" si="3"/>
        <v>0</v>
      </c>
      <c r="O67" s="904">
        <f t="shared" ca="1" si="4"/>
        <v>0</v>
      </c>
    </row>
    <row r="68" spans="1:15" s="5" customFormat="1" ht="16.5" customHeight="1">
      <c r="A68" s="225" t="str">
        <f t="shared" ca="1" si="0"/>
        <v/>
      </c>
      <c r="B68" s="229" t="str">
        <f ca="1">IF(ROWS($1:52)&gt;COUNT(Dong14),"",OFFSET(TH!D$1,SMALL(Dong14,ROWS($1:52)),))</f>
        <v/>
      </c>
      <c r="C68" s="225" t="str">
        <f ca="1">IF(ROWS($1:52)&gt;COUNT(Dong14),"",OFFSET(TH!E$1,SMALL(Dong14,ROWS($1:52)),))</f>
        <v/>
      </c>
      <c r="D68" s="913" t="str">
        <f ca="1">IF(ROWS($1:52)&gt;COUNT(Dong14),"",OFFSET(TH!F$1,SMALL(Dong14,ROWS($1:52)),))</f>
        <v/>
      </c>
      <c r="E68" s="911" t="str">
        <f ca="1">IF(ROWS($1:52)&gt;COUNT(Dong14),"",IF(OFFSET(TH!N$1,SMALL(Dong14,ROWS($1:52)),)="131",OFFSET(TH!O$1,SMALL(Dong14,ROWS($1:52)),),OFFSET(TH!N$1,SMALL(Dong14,ROWS($1:52)),)))</f>
        <v/>
      </c>
      <c r="F68" s="911">
        <f ca="1">IF(ROWS($1:52)&gt;COUNT(Dong14),0,OFFSET(TH!L$1,SMALL(Dong14,ROWS($1:52)),))</f>
        <v>0</v>
      </c>
      <c r="G68" s="911"/>
      <c r="H68" s="912">
        <f ca="1">IF(ROWS($1:52)&gt;COUNT(Dong14),0,IF(OFFSET(TH!N$1,SMALL(Dong14,ROWS($1:52)),)="131",OFFSET(TH!K$1,SMALL(Dong14,ROWS($1:52)),),0))</f>
        <v>0</v>
      </c>
      <c r="I68" s="911">
        <f ca="1">IF(ROWS($1:52)&gt;COUNT(Dong14),0,IF(OFFSET(TH!N$1,SMALL(Dong14,ROWS($1:52)),)="131",OFFSET(TH!M$1,SMALL(Dong14,ROWS($1:52)),),0))</f>
        <v>0</v>
      </c>
      <c r="J68" s="912">
        <f ca="1">IF(ROWS($1:52)&gt;COUNT(Dong14),0,IF(OFFSET(TH!O$1,SMALL(Dong14,ROWS($1:52)),)="131",OFFSET(TH!K$1,SMALL(Dong14,ROWS($1:52)),),0))</f>
        <v>0</v>
      </c>
      <c r="K68" s="911">
        <f ca="1">IF(ROWS($1:52)&gt;COUNT(Dong14),0,IF(OFFSET(TH!O$1,SMALL(Dong14,ROWS($1:52)),)="131",OFFSET(TH!M$1,SMALL(Dong14,ROWS($1:52)),),0))</f>
        <v>0</v>
      </c>
      <c r="L68" s="905">
        <f t="shared" ca="1" si="1"/>
        <v>0</v>
      </c>
      <c r="M68" s="904">
        <f t="shared" ca="1" si="2"/>
        <v>0</v>
      </c>
      <c r="N68" s="905">
        <f t="shared" ca="1" si="3"/>
        <v>0</v>
      </c>
      <c r="O68" s="904">
        <f t="shared" ca="1" si="4"/>
        <v>0</v>
      </c>
    </row>
    <row r="69" spans="1:15" s="5" customFormat="1" ht="16.5" customHeight="1">
      <c r="A69" s="225" t="str">
        <f t="shared" ca="1" si="0"/>
        <v/>
      </c>
      <c r="B69" s="229" t="str">
        <f ca="1">IF(ROWS($1:53)&gt;COUNT(Dong14),"",OFFSET(TH!D$1,SMALL(Dong14,ROWS($1:53)),))</f>
        <v/>
      </c>
      <c r="C69" s="225" t="str">
        <f ca="1">IF(ROWS($1:53)&gt;COUNT(Dong14),"",OFFSET(TH!E$1,SMALL(Dong14,ROWS($1:53)),))</f>
        <v/>
      </c>
      <c r="D69" s="913" t="str">
        <f ca="1">IF(ROWS($1:53)&gt;COUNT(Dong14),"",OFFSET(TH!F$1,SMALL(Dong14,ROWS($1:53)),))</f>
        <v/>
      </c>
      <c r="E69" s="911" t="str">
        <f ca="1">IF(ROWS($1:53)&gt;COUNT(Dong14),"",IF(OFFSET(TH!N$1,SMALL(Dong14,ROWS($1:53)),)="131",OFFSET(TH!O$1,SMALL(Dong14,ROWS($1:53)),),OFFSET(TH!N$1,SMALL(Dong14,ROWS($1:53)),)))</f>
        <v/>
      </c>
      <c r="F69" s="911">
        <f ca="1">IF(ROWS($1:53)&gt;COUNT(Dong14),0,OFFSET(TH!L$1,SMALL(Dong14,ROWS($1:53)),))</f>
        <v>0</v>
      </c>
      <c r="G69" s="911"/>
      <c r="H69" s="912">
        <f ca="1">IF(ROWS($1:53)&gt;COUNT(Dong14),0,IF(OFFSET(TH!N$1,SMALL(Dong14,ROWS($1:53)),)="131",OFFSET(TH!K$1,SMALL(Dong14,ROWS($1:53)),),0))</f>
        <v>0</v>
      </c>
      <c r="I69" s="911">
        <f ca="1">IF(ROWS($1:53)&gt;COUNT(Dong14),0,IF(OFFSET(TH!N$1,SMALL(Dong14,ROWS($1:53)),)="131",OFFSET(TH!M$1,SMALL(Dong14,ROWS($1:53)),),0))</f>
        <v>0</v>
      </c>
      <c r="J69" s="912">
        <f ca="1">IF(ROWS($1:53)&gt;COUNT(Dong14),0,IF(OFFSET(TH!O$1,SMALL(Dong14,ROWS($1:53)),)="131",OFFSET(TH!K$1,SMALL(Dong14,ROWS($1:53)),),0))</f>
        <v>0</v>
      </c>
      <c r="K69" s="911">
        <f ca="1">IF(ROWS($1:53)&gt;COUNT(Dong14),0,IF(OFFSET(TH!O$1,SMALL(Dong14,ROWS($1:53)),)="131",OFFSET(TH!M$1,SMALL(Dong14,ROWS($1:53)),),0))</f>
        <v>0</v>
      </c>
      <c r="L69" s="905">
        <f t="shared" ca="1" si="1"/>
        <v>0</v>
      </c>
      <c r="M69" s="904">
        <f t="shared" ca="1" si="2"/>
        <v>0</v>
      </c>
      <c r="N69" s="905">
        <f t="shared" ca="1" si="3"/>
        <v>0</v>
      </c>
      <c r="O69" s="904">
        <f t="shared" ca="1" si="4"/>
        <v>0</v>
      </c>
    </row>
    <row r="70" spans="1:15" s="5" customFormat="1" ht="16.5" customHeight="1">
      <c r="A70" s="225" t="str">
        <f t="shared" ca="1" si="0"/>
        <v/>
      </c>
      <c r="B70" s="229" t="str">
        <f ca="1">IF(ROWS($1:54)&gt;COUNT(Dong14),"",OFFSET(TH!D$1,SMALL(Dong14,ROWS($1:54)),))</f>
        <v/>
      </c>
      <c r="C70" s="225" t="str">
        <f ca="1">IF(ROWS($1:54)&gt;COUNT(Dong14),"",OFFSET(TH!E$1,SMALL(Dong14,ROWS($1:54)),))</f>
        <v/>
      </c>
      <c r="D70" s="913" t="str">
        <f ca="1">IF(ROWS($1:54)&gt;COUNT(Dong14),"",OFFSET(TH!F$1,SMALL(Dong14,ROWS($1:54)),))</f>
        <v/>
      </c>
      <c r="E70" s="911" t="str">
        <f ca="1">IF(ROWS($1:54)&gt;COUNT(Dong14),"",IF(OFFSET(TH!N$1,SMALL(Dong14,ROWS($1:54)),)="131",OFFSET(TH!O$1,SMALL(Dong14,ROWS($1:54)),),OFFSET(TH!N$1,SMALL(Dong14,ROWS($1:54)),)))</f>
        <v/>
      </c>
      <c r="F70" s="911">
        <f ca="1">IF(ROWS($1:54)&gt;COUNT(Dong14),0,OFFSET(TH!L$1,SMALL(Dong14,ROWS($1:54)),))</f>
        <v>0</v>
      </c>
      <c r="G70" s="911"/>
      <c r="H70" s="912">
        <f ca="1">IF(ROWS($1:54)&gt;COUNT(Dong14),0,IF(OFFSET(TH!N$1,SMALL(Dong14,ROWS($1:54)),)="131",OFFSET(TH!K$1,SMALL(Dong14,ROWS($1:54)),),0))</f>
        <v>0</v>
      </c>
      <c r="I70" s="911">
        <f ca="1">IF(ROWS($1:54)&gt;COUNT(Dong14),0,IF(OFFSET(TH!N$1,SMALL(Dong14,ROWS($1:54)),)="131",OFFSET(TH!M$1,SMALL(Dong14,ROWS($1:54)),),0))</f>
        <v>0</v>
      </c>
      <c r="J70" s="912">
        <f ca="1">IF(ROWS($1:54)&gt;COUNT(Dong14),0,IF(OFFSET(TH!O$1,SMALL(Dong14,ROWS($1:54)),)="131",OFFSET(TH!K$1,SMALL(Dong14,ROWS($1:54)),),0))</f>
        <v>0</v>
      </c>
      <c r="K70" s="911">
        <f ca="1">IF(ROWS($1:54)&gt;COUNT(Dong14),0,IF(OFFSET(TH!O$1,SMALL(Dong14,ROWS($1:54)),)="131",OFFSET(TH!M$1,SMALL(Dong14,ROWS($1:54)),),0))</f>
        <v>0</v>
      </c>
      <c r="L70" s="905">
        <f t="shared" ca="1" si="1"/>
        <v>0</v>
      </c>
      <c r="M70" s="904">
        <f t="shared" ca="1" si="2"/>
        <v>0</v>
      </c>
      <c r="N70" s="905">
        <f t="shared" ca="1" si="3"/>
        <v>0</v>
      </c>
      <c r="O70" s="904">
        <f t="shared" ca="1" si="4"/>
        <v>0</v>
      </c>
    </row>
    <row r="71" spans="1:15" s="5" customFormat="1" ht="16.5" customHeight="1">
      <c r="A71" s="225" t="str">
        <f t="shared" ca="1" si="0"/>
        <v/>
      </c>
      <c r="B71" s="229" t="str">
        <f ca="1">IF(ROWS($1:55)&gt;COUNT(Dong14),"",OFFSET(TH!D$1,SMALL(Dong14,ROWS($1:55)),))</f>
        <v/>
      </c>
      <c r="C71" s="225" t="str">
        <f ca="1">IF(ROWS($1:55)&gt;COUNT(Dong14),"",OFFSET(TH!E$1,SMALL(Dong14,ROWS($1:55)),))</f>
        <v/>
      </c>
      <c r="D71" s="913" t="str">
        <f ca="1">IF(ROWS($1:55)&gt;COUNT(Dong14),"",OFFSET(TH!F$1,SMALL(Dong14,ROWS($1:55)),))</f>
        <v/>
      </c>
      <c r="E71" s="911" t="str">
        <f ca="1">IF(ROWS($1:55)&gt;COUNT(Dong14),"",IF(OFFSET(TH!N$1,SMALL(Dong14,ROWS($1:55)),)="131",OFFSET(TH!O$1,SMALL(Dong14,ROWS($1:55)),),OFFSET(TH!N$1,SMALL(Dong14,ROWS($1:55)),)))</f>
        <v/>
      </c>
      <c r="F71" s="911">
        <f ca="1">IF(ROWS($1:55)&gt;COUNT(Dong14),0,OFFSET(TH!L$1,SMALL(Dong14,ROWS($1:55)),))</f>
        <v>0</v>
      </c>
      <c r="G71" s="911"/>
      <c r="H71" s="912">
        <f ca="1">IF(ROWS($1:55)&gt;COUNT(Dong14),0,IF(OFFSET(TH!N$1,SMALL(Dong14,ROWS($1:55)),)="131",OFFSET(TH!K$1,SMALL(Dong14,ROWS($1:55)),),0))</f>
        <v>0</v>
      </c>
      <c r="I71" s="911">
        <f ca="1">IF(ROWS($1:55)&gt;COUNT(Dong14),0,IF(OFFSET(TH!N$1,SMALL(Dong14,ROWS($1:55)),)="131",OFFSET(TH!M$1,SMALL(Dong14,ROWS($1:55)),),0))</f>
        <v>0</v>
      </c>
      <c r="J71" s="912">
        <f ca="1">IF(ROWS($1:55)&gt;COUNT(Dong14),0,IF(OFFSET(TH!O$1,SMALL(Dong14,ROWS($1:55)),)="131",OFFSET(TH!K$1,SMALL(Dong14,ROWS($1:55)),),0))</f>
        <v>0</v>
      </c>
      <c r="K71" s="911">
        <f ca="1">IF(ROWS($1:55)&gt;COUNT(Dong14),0,IF(OFFSET(TH!O$1,SMALL(Dong14,ROWS($1:55)),)="131",OFFSET(TH!M$1,SMALL(Dong14,ROWS($1:55)),),0))</f>
        <v>0</v>
      </c>
      <c r="L71" s="905">
        <f t="shared" ca="1" si="1"/>
        <v>0</v>
      </c>
      <c r="M71" s="904">
        <f t="shared" ca="1" si="2"/>
        <v>0</v>
      </c>
      <c r="N71" s="905">
        <f t="shared" ca="1" si="3"/>
        <v>0</v>
      </c>
      <c r="O71" s="904">
        <f t="shared" ca="1" si="4"/>
        <v>0</v>
      </c>
    </row>
    <row r="72" spans="1:15" s="5" customFormat="1" ht="16.5" customHeight="1">
      <c r="A72" s="225" t="str">
        <f t="shared" ca="1" si="0"/>
        <v/>
      </c>
      <c r="B72" s="229" t="str">
        <f ca="1">IF(ROWS($1:56)&gt;COUNT(Dong14),"",OFFSET(TH!D$1,SMALL(Dong14,ROWS($1:56)),))</f>
        <v/>
      </c>
      <c r="C72" s="225" t="str">
        <f ca="1">IF(ROWS($1:56)&gt;COUNT(Dong14),"",OFFSET(TH!E$1,SMALL(Dong14,ROWS($1:56)),))</f>
        <v/>
      </c>
      <c r="D72" s="913" t="str">
        <f ca="1">IF(ROWS($1:56)&gt;COUNT(Dong14),"",OFFSET(TH!F$1,SMALL(Dong14,ROWS($1:56)),))</f>
        <v/>
      </c>
      <c r="E72" s="911" t="str">
        <f ca="1">IF(ROWS($1:56)&gt;COUNT(Dong14),"",IF(OFFSET(TH!N$1,SMALL(Dong14,ROWS($1:56)),)="131",OFFSET(TH!O$1,SMALL(Dong14,ROWS($1:56)),),OFFSET(TH!N$1,SMALL(Dong14,ROWS($1:56)),)))</f>
        <v/>
      </c>
      <c r="F72" s="911">
        <f ca="1">IF(ROWS($1:56)&gt;COUNT(Dong14),0,OFFSET(TH!L$1,SMALL(Dong14,ROWS($1:56)),))</f>
        <v>0</v>
      </c>
      <c r="G72" s="911"/>
      <c r="H72" s="912">
        <f ca="1">IF(ROWS($1:56)&gt;COUNT(Dong14),0,IF(OFFSET(TH!N$1,SMALL(Dong14,ROWS($1:56)),)="131",OFFSET(TH!K$1,SMALL(Dong14,ROWS($1:56)),),0))</f>
        <v>0</v>
      </c>
      <c r="I72" s="911">
        <f ca="1">IF(ROWS($1:56)&gt;COUNT(Dong14),0,IF(OFFSET(TH!N$1,SMALL(Dong14,ROWS($1:56)),)="131",OFFSET(TH!M$1,SMALL(Dong14,ROWS($1:56)),),0))</f>
        <v>0</v>
      </c>
      <c r="J72" s="912">
        <f ca="1">IF(ROWS($1:56)&gt;COUNT(Dong14),0,IF(OFFSET(TH!O$1,SMALL(Dong14,ROWS($1:56)),)="131",OFFSET(TH!K$1,SMALL(Dong14,ROWS($1:56)),),0))</f>
        <v>0</v>
      </c>
      <c r="K72" s="911">
        <f ca="1">IF(ROWS($1:56)&gt;COUNT(Dong14),0,IF(OFFSET(TH!O$1,SMALL(Dong14,ROWS($1:56)),)="131",OFFSET(TH!M$1,SMALL(Dong14,ROWS($1:56)),),0))</f>
        <v>0</v>
      </c>
      <c r="L72" s="905">
        <f t="shared" ca="1" si="1"/>
        <v>0</v>
      </c>
      <c r="M72" s="904">
        <f t="shared" ca="1" si="2"/>
        <v>0</v>
      </c>
      <c r="N72" s="905">
        <f t="shared" ca="1" si="3"/>
        <v>0</v>
      </c>
      <c r="O72" s="904">
        <f t="shared" ca="1" si="4"/>
        <v>0</v>
      </c>
    </row>
    <row r="73" spans="1:15" s="5" customFormat="1" ht="16.5" customHeight="1">
      <c r="A73" s="225" t="str">
        <f t="shared" ca="1" si="0"/>
        <v/>
      </c>
      <c r="B73" s="229" t="str">
        <f ca="1">IF(ROWS($1:57)&gt;COUNT(Dong14),"",OFFSET(TH!D$1,SMALL(Dong14,ROWS($1:57)),))</f>
        <v/>
      </c>
      <c r="C73" s="225" t="str">
        <f ca="1">IF(ROWS($1:57)&gt;COUNT(Dong14),"",OFFSET(TH!E$1,SMALL(Dong14,ROWS($1:57)),))</f>
        <v/>
      </c>
      <c r="D73" s="913" t="str">
        <f ca="1">IF(ROWS($1:57)&gt;COUNT(Dong14),"",OFFSET(TH!F$1,SMALL(Dong14,ROWS($1:57)),))</f>
        <v/>
      </c>
      <c r="E73" s="911" t="str">
        <f ca="1">IF(ROWS($1:57)&gt;COUNT(Dong14),"",IF(OFFSET(TH!N$1,SMALL(Dong14,ROWS($1:57)),)="131",OFFSET(TH!O$1,SMALL(Dong14,ROWS($1:57)),),OFFSET(TH!N$1,SMALL(Dong14,ROWS($1:57)),)))</f>
        <v/>
      </c>
      <c r="F73" s="911">
        <f ca="1">IF(ROWS($1:57)&gt;COUNT(Dong14),0,OFFSET(TH!L$1,SMALL(Dong14,ROWS($1:57)),))</f>
        <v>0</v>
      </c>
      <c r="G73" s="911"/>
      <c r="H73" s="912">
        <f ca="1">IF(ROWS($1:57)&gt;COUNT(Dong14),0,IF(OFFSET(TH!N$1,SMALL(Dong14,ROWS($1:57)),)="131",OFFSET(TH!K$1,SMALL(Dong14,ROWS($1:57)),),0))</f>
        <v>0</v>
      </c>
      <c r="I73" s="911">
        <f ca="1">IF(ROWS($1:57)&gt;COUNT(Dong14),0,IF(OFFSET(TH!N$1,SMALL(Dong14,ROWS($1:57)),)="131",OFFSET(TH!M$1,SMALL(Dong14,ROWS($1:57)),),0))</f>
        <v>0</v>
      </c>
      <c r="J73" s="912">
        <f ca="1">IF(ROWS($1:57)&gt;COUNT(Dong14),0,IF(OFFSET(TH!O$1,SMALL(Dong14,ROWS($1:57)),)="131",OFFSET(TH!K$1,SMALL(Dong14,ROWS($1:57)),),0))</f>
        <v>0</v>
      </c>
      <c r="K73" s="911">
        <f ca="1">IF(ROWS($1:57)&gt;COUNT(Dong14),0,IF(OFFSET(TH!O$1,SMALL(Dong14,ROWS($1:57)),)="131",OFFSET(TH!M$1,SMALL(Dong14,ROWS($1:57)),),0))</f>
        <v>0</v>
      </c>
      <c r="L73" s="905">
        <f t="shared" ca="1" si="1"/>
        <v>0</v>
      </c>
      <c r="M73" s="904">
        <f t="shared" ca="1" si="2"/>
        <v>0</v>
      </c>
      <c r="N73" s="905">
        <f t="shared" ca="1" si="3"/>
        <v>0</v>
      </c>
      <c r="O73" s="904">
        <f t="shared" ca="1" si="4"/>
        <v>0</v>
      </c>
    </row>
    <row r="74" spans="1:15" s="5" customFormat="1" ht="16.5" customHeight="1">
      <c r="A74" s="225" t="str">
        <f t="shared" ca="1" si="0"/>
        <v/>
      </c>
      <c r="B74" s="229" t="str">
        <f ca="1">IF(ROWS($1:58)&gt;COUNT(Dong14),"",OFFSET(TH!D$1,SMALL(Dong14,ROWS($1:58)),))</f>
        <v/>
      </c>
      <c r="C74" s="225" t="str">
        <f ca="1">IF(ROWS($1:58)&gt;COUNT(Dong14),"",OFFSET(TH!E$1,SMALL(Dong14,ROWS($1:58)),))</f>
        <v/>
      </c>
      <c r="D74" s="913" t="str">
        <f ca="1">IF(ROWS($1:58)&gt;COUNT(Dong14),"",OFFSET(TH!F$1,SMALL(Dong14,ROWS($1:58)),))</f>
        <v/>
      </c>
      <c r="E74" s="911" t="str">
        <f ca="1">IF(ROWS($1:58)&gt;COUNT(Dong14),"",IF(OFFSET(TH!N$1,SMALL(Dong14,ROWS($1:58)),)="131",OFFSET(TH!O$1,SMALL(Dong14,ROWS($1:58)),),OFFSET(TH!N$1,SMALL(Dong14,ROWS($1:58)),)))</f>
        <v/>
      </c>
      <c r="F74" s="911">
        <f ca="1">IF(ROWS($1:58)&gt;COUNT(Dong14),0,OFFSET(TH!L$1,SMALL(Dong14,ROWS($1:58)),))</f>
        <v>0</v>
      </c>
      <c r="G74" s="911"/>
      <c r="H74" s="912">
        <f ca="1">IF(ROWS($1:58)&gt;COUNT(Dong14),0,IF(OFFSET(TH!N$1,SMALL(Dong14,ROWS($1:58)),)="131",OFFSET(TH!K$1,SMALL(Dong14,ROWS($1:58)),),0))</f>
        <v>0</v>
      </c>
      <c r="I74" s="911">
        <f ca="1">IF(ROWS($1:58)&gt;COUNT(Dong14),0,IF(OFFSET(TH!N$1,SMALL(Dong14,ROWS($1:58)),)="131",OFFSET(TH!M$1,SMALL(Dong14,ROWS($1:58)),),0))</f>
        <v>0</v>
      </c>
      <c r="J74" s="912">
        <f ca="1">IF(ROWS($1:58)&gt;COUNT(Dong14),0,IF(OFFSET(TH!O$1,SMALL(Dong14,ROWS($1:58)),)="131",OFFSET(TH!K$1,SMALL(Dong14,ROWS($1:58)),),0))</f>
        <v>0</v>
      </c>
      <c r="K74" s="911">
        <f ca="1">IF(ROWS($1:58)&gt;COUNT(Dong14),0,IF(OFFSET(TH!O$1,SMALL(Dong14,ROWS($1:58)),)="131",OFFSET(TH!M$1,SMALL(Dong14,ROWS($1:58)),),0))</f>
        <v>0</v>
      </c>
      <c r="L74" s="905">
        <f t="shared" ca="1" si="1"/>
        <v>0</v>
      </c>
      <c r="M74" s="904">
        <f t="shared" ca="1" si="2"/>
        <v>0</v>
      </c>
      <c r="N74" s="905">
        <f t="shared" ca="1" si="3"/>
        <v>0</v>
      </c>
      <c r="O74" s="904">
        <f t="shared" ca="1" si="4"/>
        <v>0</v>
      </c>
    </row>
    <row r="75" spans="1:15" s="5" customFormat="1" ht="16.5" customHeight="1">
      <c r="A75" s="225" t="str">
        <f t="shared" ca="1" si="0"/>
        <v/>
      </c>
      <c r="B75" s="229" t="str">
        <f ca="1">IF(ROWS($1:59)&gt;COUNT(Dong14),"",OFFSET(TH!D$1,SMALL(Dong14,ROWS($1:59)),))</f>
        <v/>
      </c>
      <c r="C75" s="225" t="str">
        <f ca="1">IF(ROWS($1:59)&gt;COUNT(Dong14),"",OFFSET(TH!E$1,SMALL(Dong14,ROWS($1:59)),))</f>
        <v/>
      </c>
      <c r="D75" s="913" t="str">
        <f ca="1">IF(ROWS($1:59)&gt;COUNT(Dong14),"",OFFSET(TH!F$1,SMALL(Dong14,ROWS($1:59)),))</f>
        <v/>
      </c>
      <c r="E75" s="911" t="str">
        <f ca="1">IF(ROWS($1:59)&gt;COUNT(Dong14),"",IF(OFFSET(TH!N$1,SMALL(Dong14,ROWS($1:59)),)="131",OFFSET(TH!O$1,SMALL(Dong14,ROWS($1:59)),),OFFSET(TH!N$1,SMALL(Dong14,ROWS($1:59)),)))</f>
        <v/>
      </c>
      <c r="F75" s="911">
        <f ca="1">IF(ROWS($1:59)&gt;COUNT(Dong14),0,OFFSET(TH!L$1,SMALL(Dong14,ROWS($1:59)),))</f>
        <v>0</v>
      </c>
      <c r="G75" s="911"/>
      <c r="H75" s="912">
        <f ca="1">IF(ROWS($1:59)&gt;COUNT(Dong14),0,IF(OFFSET(TH!N$1,SMALL(Dong14,ROWS($1:59)),)="131",OFFSET(TH!K$1,SMALL(Dong14,ROWS($1:59)),),0))</f>
        <v>0</v>
      </c>
      <c r="I75" s="911">
        <f ca="1">IF(ROWS($1:59)&gt;COUNT(Dong14),0,IF(OFFSET(TH!N$1,SMALL(Dong14,ROWS($1:59)),)="131",OFFSET(TH!M$1,SMALL(Dong14,ROWS($1:59)),),0))</f>
        <v>0</v>
      </c>
      <c r="J75" s="912">
        <f ca="1">IF(ROWS($1:59)&gt;COUNT(Dong14),0,IF(OFFSET(TH!O$1,SMALL(Dong14,ROWS($1:59)),)="131",OFFSET(TH!K$1,SMALL(Dong14,ROWS($1:59)),),0))</f>
        <v>0</v>
      </c>
      <c r="K75" s="911">
        <f ca="1">IF(ROWS($1:59)&gt;COUNT(Dong14),0,IF(OFFSET(TH!O$1,SMALL(Dong14,ROWS($1:59)),)="131",OFFSET(TH!M$1,SMALL(Dong14,ROWS($1:59)),),0))</f>
        <v>0</v>
      </c>
      <c r="L75" s="905">
        <f t="shared" ca="1" si="1"/>
        <v>0</v>
      </c>
      <c r="M75" s="904">
        <f t="shared" ca="1" si="2"/>
        <v>0</v>
      </c>
      <c r="N75" s="905">
        <f t="shared" ca="1" si="3"/>
        <v>0</v>
      </c>
      <c r="O75" s="904">
        <f t="shared" ca="1" si="4"/>
        <v>0</v>
      </c>
    </row>
    <row r="76" spans="1:15" s="5" customFormat="1" ht="16.5" customHeight="1">
      <c r="A76" s="225" t="str">
        <f t="shared" ca="1" si="0"/>
        <v/>
      </c>
      <c r="B76" s="229" t="str">
        <f ca="1">IF(ROWS($1:60)&gt;COUNT(Dong14),"",OFFSET(TH!D$1,SMALL(Dong14,ROWS($1:60)),))</f>
        <v/>
      </c>
      <c r="C76" s="225" t="str">
        <f ca="1">IF(ROWS($1:60)&gt;COUNT(Dong14),"",OFFSET(TH!E$1,SMALL(Dong14,ROWS($1:60)),))</f>
        <v/>
      </c>
      <c r="D76" s="913" t="str">
        <f ca="1">IF(ROWS($1:60)&gt;COUNT(Dong14),"",OFFSET(TH!F$1,SMALL(Dong14,ROWS($1:60)),))</f>
        <v/>
      </c>
      <c r="E76" s="911" t="str">
        <f ca="1">IF(ROWS($1:60)&gt;COUNT(Dong14),"",IF(OFFSET(TH!N$1,SMALL(Dong14,ROWS($1:60)),)="131",OFFSET(TH!O$1,SMALL(Dong14,ROWS($1:60)),),OFFSET(TH!N$1,SMALL(Dong14,ROWS($1:60)),)))</f>
        <v/>
      </c>
      <c r="F76" s="911">
        <f ca="1">IF(ROWS($1:60)&gt;COUNT(Dong14),0,OFFSET(TH!L$1,SMALL(Dong14,ROWS($1:60)),))</f>
        <v>0</v>
      </c>
      <c r="G76" s="911"/>
      <c r="H76" s="912">
        <f ca="1">IF(ROWS($1:60)&gt;COUNT(Dong14),0,IF(OFFSET(TH!N$1,SMALL(Dong14,ROWS($1:60)),)="131",OFFSET(TH!K$1,SMALL(Dong14,ROWS($1:60)),),0))</f>
        <v>0</v>
      </c>
      <c r="I76" s="911">
        <f ca="1">IF(ROWS($1:60)&gt;COUNT(Dong14),0,IF(OFFSET(TH!N$1,SMALL(Dong14,ROWS($1:60)),)="131",OFFSET(TH!M$1,SMALL(Dong14,ROWS($1:60)),),0))</f>
        <v>0</v>
      </c>
      <c r="J76" s="912">
        <f ca="1">IF(ROWS($1:60)&gt;COUNT(Dong14),0,IF(OFFSET(TH!O$1,SMALL(Dong14,ROWS($1:60)),)="131",OFFSET(TH!K$1,SMALL(Dong14,ROWS($1:60)),),0))</f>
        <v>0</v>
      </c>
      <c r="K76" s="911">
        <f ca="1">IF(ROWS($1:60)&gt;COUNT(Dong14),0,IF(OFFSET(TH!O$1,SMALL(Dong14,ROWS($1:60)),)="131",OFFSET(TH!M$1,SMALL(Dong14,ROWS($1:60)),),0))</f>
        <v>0</v>
      </c>
      <c r="L76" s="905">
        <f t="shared" ca="1" si="1"/>
        <v>0</v>
      </c>
      <c r="M76" s="904">
        <f t="shared" ca="1" si="2"/>
        <v>0</v>
      </c>
      <c r="N76" s="905">
        <f t="shared" ca="1" si="3"/>
        <v>0</v>
      </c>
      <c r="O76" s="904">
        <f t="shared" ca="1" si="4"/>
        <v>0</v>
      </c>
    </row>
    <row r="77" spans="1:15" s="5" customFormat="1" ht="16.5" customHeight="1">
      <c r="A77" s="225" t="str">
        <f t="shared" ca="1" si="0"/>
        <v/>
      </c>
      <c r="B77" s="229" t="str">
        <f ca="1">IF(ROWS($1:61)&gt;COUNT(Dong14),"",OFFSET(TH!D$1,SMALL(Dong14,ROWS($1:61)),))</f>
        <v/>
      </c>
      <c r="C77" s="225" t="str">
        <f ca="1">IF(ROWS($1:61)&gt;COUNT(Dong14),"",OFFSET(TH!E$1,SMALL(Dong14,ROWS($1:61)),))</f>
        <v/>
      </c>
      <c r="D77" s="913" t="str">
        <f ca="1">IF(ROWS($1:61)&gt;COUNT(Dong14),"",OFFSET(TH!F$1,SMALL(Dong14,ROWS($1:61)),))</f>
        <v/>
      </c>
      <c r="E77" s="911" t="str">
        <f ca="1">IF(ROWS($1:61)&gt;COUNT(Dong14),"",IF(OFFSET(TH!N$1,SMALL(Dong14,ROWS($1:61)),)="131",OFFSET(TH!O$1,SMALL(Dong14,ROWS($1:61)),),OFFSET(TH!N$1,SMALL(Dong14,ROWS($1:61)),)))</f>
        <v/>
      </c>
      <c r="F77" s="911">
        <f ca="1">IF(ROWS($1:61)&gt;COUNT(Dong14),0,OFFSET(TH!L$1,SMALL(Dong14,ROWS($1:61)),))</f>
        <v>0</v>
      </c>
      <c r="G77" s="911"/>
      <c r="H77" s="912">
        <f ca="1">IF(ROWS($1:61)&gt;COUNT(Dong14),0,IF(OFFSET(TH!N$1,SMALL(Dong14,ROWS($1:61)),)="131",OFFSET(TH!K$1,SMALL(Dong14,ROWS($1:61)),),0))</f>
        <v>0</v>
      </c>
      <c r="I77" s="911">
        <f ca="1">IF(ROWS($1:61)&gt;COUNT(Dong14),0,IF(OFFSET(TH!N$1,SMALL(Dong14,ROWS($1:61)),)="131",OFFSET(TH!M$1,SMALL(Dong14,ROWS($1:61)),),0))</f>
        <v>0</v>
      </c>
      <c r="J77" s="912">
        <f ca="1">IF(ROWS($1:61)&gt;COUNT(Dong14),0,IF(OFFSET(TH!O$1,SMALL(Dong14,ROWS($1:61)),)="131",OFFSET(TH!K$1,SMALL(Dong14,ROWS($1:61)),),0))</f>
        <v>0</v>
      </c>
      <c r="K77" s="911">
        <f ca="1">IF(ROWS($1:61)&gt;COUNT(Dong14),0,IF(OFFSET(TH!O$1,SMALL(Dong14,ROWS($1:61)),)="131",OFFSET(TH!M$1,SMALL(Dong14,ROWS($1:61)),),0))</f>
        <v>0</v>
      </c>
      <c r="L77" s="905">
        <f t="shared" ca="1" si="1"/>
        <v>0</v>
      </c>
      <c r="M77" s="904">
        <f t="shared" ca="1" si="2"/>
        <v>0</v>
      </c>
      <c r="N77" s="905">
        <f t="shared" ca="1" si="3"/>
        <v>0</v>
      </c>
      <c r="O77" s="904">
        <f t="shared" ca="1" si="4"/>
        <v>0</v>
      </c>
    </row>
    <row r="78" spans="1:15" s="5" customFormat="1" ht="16.5" customHeight="1">
      <c r="A78" s="225" t="str">
        <f t="shared" ca="1" si="0"/>
        <v/>
      </c>
      <c r="B78" s="229" t="str">
        <f ca="1">IF(ROWS($1:62)&gt;COUNT(Dong14),"",OFFSET(TH!D$1,SMALL(Dong14,ROWS($1:62)),))</f>
        <v/>
      </c>
      <c r="C78" s="225" t="str">
        <f ca="1">IF(ROWS($1:62)&gt;COUNT(Dong14),"",OFFSET(TH!E$1,SMALL(Dong14,ROWS($1:62)),))</f>
        <v/>
      </c>
      <c r="D78" s="913" t="str">
        <f ca="1">IF(ROWS($1:62)&gt;COUNT(Dong14),"",OFFSET(TH!F$1,SMALL(Dong14,ROWS($1:62)),))</f>
        <v/>
      </c>
      <c r="E78" s="911" t="str">
        <f ca="1">IF(ROWS($1:62)&gt;COUNT(Dong14),"",IF(OFFSET(TH!N$1,SMALL(Dong14,ROWS($1:62)),)="131",OFFSET(TH!O$1,SMALL(Dong14,ROWS($1:62)),),OFFSET(TH!N$1,SMALL(Dong14,ROWS($1:62)),)))</f>
        <v/>
      </c>
      <c r="F78" s="911">
        <f ca="1">IF(ROWS($1:62)&gt;COUNT(Dong14),0,OFFSET(TH!L$1,SMALL(Dong14,ROWS($1:62)),))</f>
        <v>0</v>
      </c>
      <c r="G78" s="911"/>
      <c r="H78" s="912">
        <f ca="1">IF(ROWS($1:62)&gt;COUNT(Dong14),0,IF(OFFSET(TH!N$1,SMALL(Dong14,ROWS($1:62)),)="131",OFFSET(TH!K$1,SMALL(Dong14,ROWS($1:62)),),0))</f>
        <v>0</v>
      </c>
      <c r="I78" s="911">
        <f ca="1">IF(ROWS($1:62)&gt;COUNT(Dong14),0,IF(OFFSET(TH!N$1,SMALL(Dong14,ROWS($1:62)),)="131",OFFSET(TH!M$1,SMALL(Dong14,ROWS($1:62)),),0))</f>
        <v>0</v>
      </c>
      <c r="J78" s="912">
        <f ca="1">IF(ROWS($1:62)&gt;COUNT(Dong14),0,IF(OFFSET(TH!O$1,SMALL(Dong14,ROWS($1:62)),)="131",OFFSET(TH!K$1,SMALL(Dong14,ROWS($1:62)),),0))</f>
        <v>0</v>
      </c>
      <c r="K78" s="911">
        <f ca="1">IF(ROWS($1:62)&gt;COUNT(Dong14),0,IF(OFFSET(TH!O$1,SMALL(Dong14,ROWS($1:62)),)="131",OFFSET(TH!M$1,SMALL(Dong14,ROWS($1:62)),),0))</f>
        <v>0</v>
      </c>
      <c r="L78" s="905">
        <f t="shared" ca="1" si="1"/>
        <v>0</v>
      </c>
      <c r="M78" s="904">
        <f t="shared" ca="1" si="2"/>
        <v>0</v>
      </c>
      <c r="N78" s="905">
        <f t="shared" ca="1" si="3"/>
        <v>0</v>
      </c>
      <c r="O78" s="904">
        <f t="shared" ca="1" si="4"/>
        <v>0</v>
      </c>
    </row>
    <row r="79" spans="1:15" s="5" customFormat="1" ht="16.5" customHeight="1">
      <c r="A79" s="225" t="str">
        <f t="shared" ca="1" si="0"/>
        <v/>
      </c>
      <c r="B79" s="229" t="str">
        <f ca="1">IF(ROWS($1:63)&gt;COUNT(Dong14),"",OFFSET(TH!D$1,SMALL(Dong14,ROWS($1:63)),))</f>
        <v/>
      </c>
      <c r="C79" s="225" t="str">
        <f ca="1">IF(ROWS($1:63)&gt;COUNT(Dong14),"",OFFSET(TH!E$1,SMALL(Dong14,ROWS($1:63)),))</f>
        <v/>
      </c>
      <c r="D79" s="913" t="str">
        <f ca="1">IF(ROWS($1:63)&gt;COUNT(Dong14),"",OFFSET(TH!F$1,SMALL(Dong14,ROWS($1:63)),))</f>
        <v/>
      </c>
      <c r="E79" s="911" t="str">
        <f ca="1">IF(ROWS($1:63)&gt;COUNT(Dong14),"",IF(OFFSET(TH!N$1,SMALL(Dong14,ROWS($1:63)),)="131",OFFSET(TH!O$1,SMALL(Dong14,ROWS($1:63)),),OFFSET(TH!N$1,SMALL(Dong14,ROWS($1:63)),)))</f>
        <v/>
      </c>
      <c r="F79" s="911">
        <f ca="1">IF(ROWS($1:63)&gt;COUNT(Dong14),0,OFFSET(TH!L$1,SMALL(Dong14,ROWS($1:63)),))</f>
        <v>0</v>
      </c>
      <c r="G79" s="911"/>
      <c r="H79" s="912">
        <f ca="1">IF(ROWS($1:63)&gt;COUNT(Dong14),0,IF(OFFSET(TH!N$1,SMALL(Dong14,ROWS($1:63)),)="131",OFFSET(TH!K$1,SMALL(Dong14,ROWS($1:63)),),0))</f>
        <v>0</v>
      </c>
      <c r="I79" s="911">
        <f ca="1">IF(ROWS($1:63)&gt;COUNT(Dong14),0,IF(OFFSET(TH!N$1,SMALL(Dong14,ROWS($1:63)),)="131",OFFSET(TH!M$1,SMALL(Dong14,ROWS($1:63)),),0))</f>
        <v>0</v>
      </c>
      <c r="J79" s="912">
        <f ca="1">IF(ROWS($1:63)&gt;COUNT(Dong14),0,IF(OFFSET(TH!O$1,SMALL(Dong14,ROWS($1:63)),)="131",OFFSET(TH!K$1,SMALL(Dong14,ROWS($1:63)),),0))</f>
        <v>0</v>
      </c>
      <c r="K79" s="911">
        <f ca="1">IF(ROWS($1:63)&gt;COUNT(Dong14),0,IF(OFFSET(TH!O$1,SMALL(Dong14,ROWS($1:63)),)="131",OFFSET(TH!M$1,SMALL(Dong14,ROWS($1:63)),),0))</f>
        <v>0</v>
      </c>
      <c r="L79" s="905">
        <f t="shared" ca="1" si="1"/>
        <v>0</v>
      </c>
      <c r="M79" s="904">
        <f t="shared" ca="1" si="2"/>
        <v>0</v>
      </c>
      <c r="N79" s="905">
        <f t="shared" ca="1" si="3"/>
        <v>0</v>
      </c>
      <c r="O79" s="904">
        <f t="shared" ca="1" si="4"/>
        <v>0</v>
      </c>
    </row>
    <row r="80" spans="1:15" s="5" customFormat="1" ht="16.5" customHeight="1">
      <c r="A80" s="225" t="str">
        <f t="shared" ca="1" si="0"/>
        <v/>
      </c>
      <c r="B80" s="229" t="str">
        <f ca="1">IF(ROWS($1:64)&gt;COUNT(Dong14),"",OFFSET(TH!D$1,SMALL(Dong14,ROWS($1:64)),))</f>
        <v/>
      </c>
      <c r="C80" s="225" t="str">
        <f ca="1">IF(ROWS($1:64)&gt;COUNT(Dong14),"",OFFSET(TH!E$1,SMALL(Dong14,ROWS($1:64)),))</f>
        <v/>
      </c>
      <c r="D80" s="913" t="str">
        <f ca="1">IF(ROWS($1:64)&gt;COUNT(Dong14),"",OFFSET(TH!F$1,SMALL(Dong14,ROWS($1:64)),))</f>
        <v/>
      </c>
      <c r="E80" s="911" t="str">
        <f ca="1">IF(ROWS($1:64)&gt;COUNT(Dong14),"",IF(OFFSET(TH!N$1,SMALL(Dong14,ROWS($1:64)),)="131",OFFSET(TH!O$1,SMALL(Dong14,ROWS($1:64)),),OFFSET(TH!N$1,SMALL(Dong14,ROWS($1:64)),)))</f>
        <v/>
      </c>
      <c r="F80" s="911">
        <f ca="1">IF(ROWS($1:64)&gt;COUNT(Dong14),0,OFFSET(TH!L$1,SMALL(Dong14,ROWS($1:64)),))</f>
        <v>0</v>
      </c>
      <c r="G80" s="911"/>
      <c r="H80" s="912">
        <f ca="1">IF(ROWS($1:64)&gt;COUNT(Dong14),0,IF(OFFSET(TH!N$1,SMALL(Dong14,ROWS($1:64)),)="131",OFFSET(TH!K$1,SMALL(Dong14,ROWS($1:64)),),0))</f>
        <v>0</v>
      </c>
      <c r="I80" s="911">
        <f ca="1">IF(ROWS($1:64)&gt;COUNT(Dong14),0,IF(OFFSET(TH!N$1,SMALL(Dong14,ROWS($1:64)),)="131",OFFSET(TH!M$1,SMALL(Dong14,ROWS($1:64)),),0))</f>
        <v>0</v>
      </c>
      <c r="J80" s="912">
        <f ca="1">IF(ROWS($1:64)&gt;COUNT(Dong14),0,IF(OFFSET(TH!O$1,SMALL(Dong14,ROWS($1:64)),)="131",OFFSET(TH!K$1,SMALL(Dong14,ROWS($1:64)),),0))</f>
        <v>0</v>
      </c>
      <c r="K80" s="911">
        <f ca="1">IF(ROWS($1:64)&gt;COUNT(Dong14),0,IF(OFFSET(TH!O$1,SMALL(Dong14,ROWS($1:64)),)="131",OFFSET(TH!M$1,SMALL(Dong14,ROWS($1:64)),),0))</f>
        <v>0</v>
      </c>
      <c r="L80" s="905">
        <f t="shared" ca="1" si="1"/>
        <v>0</v>
      </c>
      <c r="M80" s="904">
        <f t="shared" ca="1" si="2"/>
        <v>0</v>
      </c>
      <c r="N80" s="905">
        <f t="shared" ca="1" si="3"/>
        <v>0</v>
      </c>
      <c r="O80" s="904">
        <f t="shared" ca="1" si="4"/>
        <v>0</v>
      </c>
    </row>
    <row r="81" spans="1:15" s="5" customFormat="1" ht="16.5" customHeight="1">
      <c r="A81" s="225" t="str">
        <f t="shared" ca="1" si="0"/>
        <v/>
      </c>
      <c r="B81" s="229" t="str">
        <f ca="1">IF(ROWS($1:65)&gt;COUNT(Dong14),"",OFFSET(TH!D$1,SMALL(Dong14,ROWS($1:65)),))</f>
        <v/>
      </c>
      <c r="C81" s="225" t="str">
        <f ca="1">IF(ROWS($1:65)&gt;COUNT(Dong14),"",OFFSET(TH!E$1,SMALL(Dong14,ROWS($1:65)),))</f>
        <v/>
      </c>
      <c r="D81" s="913" t="str">
        <f ca="1">IF(ROWS($1:65)&gt;COUNT(Dong14),"",OFFSET(TH!F$1,SMALL(Dong14,ROWS($1:65)),))</f>
        <v/>
      </c>
      <c r="E81" s="911" t="str">
        <f ca="1">IF(ROWS($1:65)&gt;COUNT(Dong14),"",IF(OFFSET(TH!N$1,SMALL(Dong14,ROWS($1:65)),)="131",OFFSET(TH!O$1,SMALL(Dong14,ROWS($1:65)),),OFFSET(TH!N$1,SMALL(Dong14,ROWS($1:65)),)))</f>
        <v/>
      </c>
      <c r="F81" s="911">
        <f ca="1">IF(ROWS($1:65)&gt;COUNT(Dong14),0,OFFSET(TH!L$1,SMALL(Dong14,ROWS($1:65)),))</f>
        <v>0</v>
      </c>
      <c r="G81" s="911"/>
      <c r="H81" s="912">
        <f ca="1">IF(ROWS($1:65)&gt;COUNT(Dong14),0,IF(OFFSET(TH!N$1,SMALL(Dong14,ROWS($1:65)),)="131",OFFSET(TH!K$1,SMALL(Dong14,ROWS($1:65)),),0))</f>
        <v>0</v>
      </c>
      <c r="I81" s="911">
        <f ca="1">IF(ROWS($1:65)&gt;COUNT(Dong14),0,IF(OFFSET(TH!N$1,SMALL(Dong14,ROWS($1:65)),)="131",OFFSET(TH!M$1,SMALL(Dong14,ROWS($1:65)),),0))</f>
        <v>0</v>
      </c>
      <c r="J81" s="912">
        <f ca="1">IF(ROWS($1:65)&gt;COUNT(Dong14),0,IF(OFFSET(TH!O$1,SMALL(Dong14,ROWS($1:65)),)="131",OFFSET(TH!K$1,SMALL(Dong14,ROWS($1:65)),),0))</f>
        <v>0</v>
      </c>
      <c r="K81" s="911">
        <f ca="1">IF(ROWS($1:65)&gt;COUNT(Dong14),0,IF(OFFSET(TH!O$1,SMALL(Dong14,ROWS($1:65)),)="131",OFFSET(TH!M$1,SMALL(Dong14,ROWS($1:65)),),0))</f>
        <v>0</v>
      </c>
      <c r="L81" s="905">
        <f t="shared" ca="1" si="1"/>
        <v>0</v>
      </c>
      <c r="M81" s="904">
        <f t="shared" ca="1" si="2"/>
        <v>0</v>
      </c>
      <c r="N81" s="905">
        <f t="shared" ca="1" si="3"/>
        <v>0</v>
      </c>
      <c r="O81" s="904">
        <f t="shared" ca="1" si="4"/>
        <v>0</v>
      </c>
    </row>
    <row r="82" spans="1:15" s="5" customFormat="1" ht="16.5" customHeight="1">
      <c r="A82" s="225" t="str">
        <f t="shared" ref="A82:A109" ca="1" si="5">IF(C82&lt;&gt;"",C82,"")</f>
        <v/>
      </c>
      <c r="B82" s="229" t="str">
        <f ca="1">IF(ROWS($1:66)&gt;COUNT(Dong14),"",OFFSET(TH!D$1,SMALL(Dong14,ROWS($1:66)),))</f>
        <v/>
      </c>
      <c r="C82" s="225" t="str">
        <f ca="1">IF(ROWS($1:66)&gt;COUNT(Dong14),"",OFFSET(TH!E$1,SMALL(Dong14,ROWS($1:66)),))</f>
        <v/>
      </c>
      <c r="D82" s="913" t="str">
        <f ca="1">IF(ROWS($1:66)&gt;COUNT(Dong14),"",OFFSET(TH!F$1,SMALL(Dong14,ROWS($1:66)),))</f>
        <v/>
      </c>
      <c r="E82" s="911" t="str">
        <f ca="1">IF(ROWS($1:66)&gt;COUNT(Dong14),"",IF(OFFSET(TH!N$1,SMALL(Dong14,ROWS($1:66)),)="131",OFFSET(TH!O$1,SMALL(Dong14,ROWS($1:66)),),OFFSET(TH!N$1,SMALL(Dong14,ROWS($1:66)),)))</f>
        <v/>
      </c>
      <c r="F82" s="911">
        <f ca="1">IF(ROWS($1:66)&gt;COUNT(Dong14),0,OFFSET(TH!L$1,SMALL(Dong14,ROWS($1:66)),))</f>
        <v>0</v>
      </c>
      <c r="G82" s="911"/>
      <c r="H82" s="912">
        <f ca="1">IF(ROWS($1:66)&gt;COUNT(Dong14),0,IF(OFFSET(TH!N$1,SMALL(Dong14,ROWS($1:66)),)="131",OFFSET(TH!K$1,SMALL(Dong14,ROWS($1:66)),),0))</f>
        <v>0</v>
      </c>
      <c r="I82" s="911">
        <f ca="1">IF(ROWS($1:66)&gt;COUNT(Dong14),0,IF(OFFSET(TH!N$1,SMALL(Dong14,ROWS($1:66)),)="131",OFFSET(TH!M$1,SMALL(Dong14,ROWS($1:66)),),0))</f>
        <v>0</v>
      </c>
      <c r="J82" s="912">
        <f ca="1">IF(ROWS($1:66)&gt;COUNT(Dong14),0,IF(OFFSET(TH!O$1,SMALL(Dong14,ROWS($1:66)),)="131",OFFSET(TH!K$1,SMALL(Dong14,ROWS($1:66)),),0))</f>
        <v>0</v>
      </c>
      <c r="K82" s="911">
        <f ca="1">IF(ROWS($1:66)&gt;COUNT(Dong14),0,IF(OFFSET(TH!O$1,SMALL(Dong14,ROWS($1:66)),)="131",OFFSET(TH!M$1,SMALL(Dong14,ROWS($1:66)),),0))</f>
        <v>0</v>
      </c>
      <c r="L82" s="905">
        <f t="shared" ref="L82:L109" ca="1" si="6">IF(D82&lt;&gt;"",ROUND(MAX(L81+H82-J82-N81,0),2),0)</f>
        <v>0</v>
      </c>
      <c r="M82" s="904">
        <f t="shared" ref="M82:M109" ca="1" si="7">IF(D82&lt;&gt;"",MAX(M81-O81+I82-K82,0),0)</f>
        <v>0</v>
      </c>
      <c r="N82" s="905">
        <f t="shared" ref="N82:N109" ca="1" si="8">IF(D82&lt;&gt;"",ROUND(MAX(N81+J82-H82-L81,0),2),0)</f>
        <v>0</v>
      </c>
      <c r="O82" s="904">
        <f t="shared" ref="O82:O109" ca="1" si="9">IF(D82&lt;&gt;"",MAX(O81-M81+K82-I82,0),0)</f>
        <v>0</v>
      </c>
    </row>
    <row r="83" spans="1:15" s="5" customFormat="1" ht="16.5" customHeight="1">
      <c r="A83" s="225" t="str">
        <f t="shared" ca="1" si="5"/>
        <v/>
      </c>
      <c r="B83" s="229" t="str">
        <f ca="1">IF(ROWS($1:67)&gt;COUNT(Dong14),"",OFFSET(TH!D$1,SMALL(Dong14,ROWS($1:67)),))</f>
        <v/>
      </c>
      <c r="C83" s="225" t="str">
        <f ca="1">IF(ROWS($1:67)&gt;COUNT(Dong14),"",OFFSET(TH!E$1,SMALL(Dong14,ROWS($1:67)),))</f>
        <v/>
      </c>
      <c r="D83" s="913" t="str">
        <f ca="1">IF(ROWS($1:67)&gt;COUNT(Dong14),"",OFFSET(TH!F$1,SMALL(Dong14,ROWS($1:67)),))</f>
        <v/>
      </c>
      <c r="E83" s="911" t="str">
        <f ca="1">IF(ROWS($1:67)&gt;COUNT(Dong14),"",IF(OFFSET(TH!N$1,SMALL(Dong14,ROWS($1:67)),)="131",OFFSET(TH!O$1,SMALL(Dong14,ROWS($1:67)),),OFFSET(TH!N$1,SMALL(Dong14,ROWS($1:67)),)))</f>
        <v/>
      </c>
      <c r="F83" s="911">
        <f ca="1">IF(ROWS($1:67)&gt;COUNT(Dong14),0,OFFSET(TH!L$1,SMALL(Dong14,ROWS($1:67)),))</f>
        <v>0</v>
      </c>
      <c r="G83" s="911"/>
      <c r="H83" s="912">
        <f ca="1">IF(ROWS($1:67)&gt;COUNT(Dong14),0,IF(OFFSET(TH!N$1,SMALL(Dong14,ROWS($1:67)),)="131",OFFSET(TH!K$1,SMALL(Dong14,ROWS($1:67)),),0))</f>
        <v>0</v>
      </c>
      <c r="I83" s="911">
        <f ca="1">IF(ROWS($1:67)&gt;COUNT(Dong14),0,IF(OFFSET(TH!N$1,SMALL(Dong14,ROWS($1:67)),)="131",OFFSET(TH!M$1,SMALL(Dong14,ROWS($1:67)),),0))</f>
        <v>0</v>
      </c>
      <c r="J83" s="912">
        <f ca="1">IF(ROWS($1:67)&gt;COUNT(Dong14),0,IF(OFFSET(TH!O$1,SMALL(Dong14,ROWS($1:67)),)="131",OFFSET(TH!K$1,SMALL(Dong14,ROWS($1:67)),),0))</f>
        <v>0</v>
      </c>
      <c r="K83" s="911">
        <f ca="1">IF(ROWS($1:67)&gt;COUNT(Dong14),0,IF(OFFSET(TH!O$1,SMALL(Dong14,ROWS($1:67)),)="131",OFFSET(TH!M$1,SMALL(Dong14,ROWS($1:67)),),0))</f>
        <v>0</v>
      </c>
      <c r="L83" s="905">
        <f t="shared" ca="1" si="6"/>
        <v>0</v>
      </c>
      <c r="M83" s="904">
        <f t="shared" ca="1" si="7"/>
        <v>0</v>
      </c>
      <c r="N83" s="905">
        <f t="shared" ca="1" si="8"/>
        <v>0</v>
      </c>
      <c r="O83" s="904">
        <f t="shared" ca="1" si="9"/>
        <v>0</v>
      </c>
    </row>
    <row r="84" spans="1:15" s="5" customFormat="1" ht="16.5" customHeight="1">
      <c r="A84" s="225" t="str">
        <f t="shared" ca="1" si="5"/>
        <v/>
      </c>
      <c r="B84" s="229" t="str">
        <f ca="1">IF(ROWS($1:68)&gt;COUNT(Dong14),"",OFFSET(TH!D$1,SMALL(Dong14,ROWS($1:68)),))</f>
        <v/>
      </c>
      <c r="C84" s="225" t="str">
        <f ca="1">IF(ROWS($1:68)&gt;COUNT(Dong14),"",OFFSET(TH!E$1,SMALL(Dong14,ROWS($1:68)),))</f>
        <v/>
      </c>
      <c r="D84" s="913" t="str">
        <f ca="1">IF(ROWS($1:68)&gt;COUNT(Dong14),"",OFFSET(TH!F$1,SMALL(Dong14,ROWS($1:68)),))</f>
        <v/>
      </c>
      <c r="E84" s="911" t="str">
        <f ca="1">IF(ROWS($1:68)&gt;COUNT(Dong14),"",IF(OFFSET(TH!N$1,SMALL(Dong14,ROWS($1:68)),)="131",OFFSET(TH!O$1,SMALL(Dong14,ROWS($1:68)),),OFFSET(TH!N$1,SMALL(Dong14,ROWS($1:68)),)))</f>
        <v/>
      </c>
      <c r="F84" s="911">
        <f ca="1">IF(ROWS($1:68)&gt;COUNT(Dong14),0,OFFSET(TH!L$1,SMALL(Dong14,ROWS($1:68)),))</f>
        <v>0</v>
      </c>
      <c r="G84" s="911"/>
      <c r="H84" s="912">
        <f ca="1">IF(ROWS($1:68)&gt;COUNT(Dong14),0,IF(OFFSET(TH!N$1,SMALL(Dong14,ROWS($1:68)),)="131",OFFSET(TH!K$1,SMALL(Dong14,ROWS($1:68)),),0))</f>
        <v>0</v>
      </c>
      <c r="I84" s="911">
        <f ca="1">IF(ROWS($1:68)&gt;COUNT(Dong14),0,IF(OFFSET(TH!N$1,SMALL(Dong14,ROWS($1:68)),)="131",OFFSET(TH!M$1,SMALL(Dong14,ROWS($1:68)),),0))</f>
        <v>0</v>
      </c>
      <c r="J84" s="912">
        <f ca="1">IF(ROWS($1:68)&gt;COUNT(Dong14),0,IF(OFFSET(TH!O$1,SMALL(Dong14,ROWS($1:68)),)="131",OFFSET(TH!K$1,SMALL(Dong14,ROWS($1:68)),),0))</f>
        <v>0</v>
      </c>
      <c r="K84" s="911">
        <f ca="1">IF(ROWS($1:68)&gt;COUNT(Dong14),0,IF(OFFSET(TH!O$1,SMALL(Dong14,ROWS($1:68)),)="131",OFFSET(TH!M$1,SMALL(Dong14,ROWS($1:68)),),0))</f>
        <v>0</v>
      </c>
      <c r="L84" s="905">
        <f t="shared" ca="1" si="6"/>
        <v>0</v>
      </c>
      <c r="M84" s="904">
        <f t="shared" ca="1" si="7"/>
        <v>0</v>
      </c>
      <c r="N84" s="905">
        <f t="shared" ca="1" si="8"/>
        <v>0</v>
      </c>
      <c r="O84" s="904">
        <f t="shared" ca="1" si="9"/>
        <v>0</v>
      </c>
    </row>
    <row r="85" spans="1:15" s="5" customFormat="1" ht="16.5" customHeight="1">
      <c r="A85" s="225" t="str">
        <f t="shared" ca="1" si="5"/>
        <v/>
      </c>
      <c r="B85" s="229" t="str">
        <f ca="1">IF(ROWS($1:69)&gt;COUNT(Dong14),"",OFFSET(TH!D$1,SMALL(Dong14,ROWS($1:69)),))</f>
        <v/>
      </c>
      <c r="C85" s="225" t="str">
        <f ca="1">IF(ROWS($1:69)&gt;COUNT(Dong14),"",OFFSET(TH!E$1,SMALL(Dong14,ROWS($1:69)),))</f>
        <v/>
      </c>
      <c r="D85" s="913" t="str">
        <f ca="1">IF(ROWS($1:69)&gt;COUNT(Dong14),"",OFFSET(TH!F$1,SMALL(Dong14,ROWS($1:69)),))</f>
        <v/>
      </c>
      <c r="E85" s="911" t="str">
        <f ca="1">IF(ROWS($1:69)&gt;COUNT(Dong14),"",IF(OFFSET(TH!N$1,SMALL(Dong14,ROWS($1:69)),)="131",OFFSET(TH!O$1,SMALL(Dong14,ROWS($1:69)),),OFFSET(TH!N$1,SMALL(Dong14,ROWS($1:69)),)))</f>
        <v/>
      </c>
      <c r="F85" s="911">
        <f ca="1">IF(ROWS($1:69)&gt;COUNT(Dong14),0,OFFSET(TH!L$1,SMALL(Dong14,ROWS($1:69)),))</f>
        <v>0</v>
      </c>
      <c r="G85" s="911"/>
      <c r="H85" s="912">
        <f ca="1">IF(ROWS($1:69)&gt;COUNT(Dong14),0,IF(OFFSET(TH!N$1,SMALL(Dong14,ROWS($1:69)),)="131",OFFSET(TH!K$1,SMALL(Dong14,ROWS($1:69)),),0))</f>
        <v>0</v>
      </c>
      <c r="I85" s="911">
        <f ca="1">IF(ROWS($1:69)&gt;COUNT(Dong14),0,IF(OFFSET(TH!N$1,SMALL(Dong14,ROWS($1:69)),)="131",OFFSET(TH!M$1,SMALL(Dong14,ROWS($1:69)),),0))</f>
        <v>0</v>
      </c>
      <c r="J85" s="912">
        <f ca="1">IF(ROWS($1:69)&gt;COUNT(Dong14),0,IF(OFFSET(TH!O$1,SMALL(Dong14,ROWS($1:69)),)="131",OFFSET(TH!K$1,SMALL(Dong14,ROWS($1:69)),),0))</f>
        <v>0</v>
      </c>
      <c r="K85" s="911">
        <f ca="1">IF(ROWS($1:69)&gt;COUNT(Dong14),0,IF(OFFSET(TH!O$1,SMALL(Dong14,ROWS($1:69)),)="131",OFFSET(TH!M$1,SMALL(Dong14,ROWS($1:69)),),0))</f>
        <v>0</v>
      </c>
      <c r="L85" s="905">
        <f t="shared" ca="1" si="6"/>
        <v>0</v>
      </c>
      <c r="M85" s="904">
        <f t="shared" ca="1" si="7"/>
        <v>0</v>
      </c>
      <c r="N85" s="905">
        <f t="shared" ca="1" si="8"/>
        <v>0</v>
      </c>
      <c r="O85" s="904">
        <f t="shared" ca="1" si="9"/>
        <v>0</v>
      </c>
    </row>
    <row r="86" spans="1:15" s="5" customFormat="1" ht="16.5" customHeight="1">
      <c r="A86" s="225" t="str">
        <f t="shared" ca="1" si="5"/>
        <v/>
      </c>
      <c r="B86" s="229" t="str">
        <f ca="1">IF(ROWS($1:70)&gt;COUNT(Dong14),"",OFFSET(TH!D$1,SMALL(Dong14,ROWS($1:70)),))</f>
        <v/>
      </c>
      <c r="C86" s="225" t="str">
        <f ca="1">IF(ROWS($1:70)&gt;COUNT(Dong14),"",OFFSET(TH!E$1,SMALL(Dong14,ROWS($1:70)),))</f>
        <v/>
      </c>
      <c r="D86" s="913" t="str">
        <f ca="1">IF(ROWS($1:70)&gt;COUNT(Dong14),"",OFFSET(TH!F$1,SMALL(Dong14,ROWS($1:70)),))</f>
        <v/>
      </c>
      <c r="E86" s="911" t="str">
        <f ca="1">IF(ROWS($1:70)&gt;COUNT(Dong14),"",IF(OFFSET(TH!N$1,SMALL(Dong14,ROWS($1:70)),)="131",OFFSET(TH!O$1,SMALL(Dong14,ROWS($1:70)),),OFFSET(TH!N$1,SMALL(Dong14,ROWS($1:70)),)))</f>
        <v/>
      </c>
      <c r="F86" s="911">
        <f ca="1">IF(ROWS($1:70)&gt;COUNT(Dong14),0,OFFSET(TH!L$1,SMALL(Dong14,ROWS($1:70)),))</f>
        <v>0</v>
      </c>
      <c r="G86" s="911"/>
      <c r="H86" s="912">
        <f ca="1">IF(ROWS($1:70)&gt;COUNT(Dong14),0,IF(OFFSET(TH!N$1,SMALL(Dong14,ROWS($1:70)),)="131",OFFSET(TH!K$1,SMALL(Dong14,ROWS($1:70)),),0))</f>
        <v>0</v>
      </c>
      <c r="I86" s="911">
        <f ca="1">IF(ROWS($1:70)&gt;COUNT(Dong14),0,IF(OFFSET(TH!N$1,SMALL(Dong14,ROWS($1:70)),)="131",OFFSET(TH!M$1,SMALL(Dong14,ROWS($1:70)),),0))</f>
        <v>0</v>
      </c>
      <c r="J86" s="912">
        <f ca="1">IF(ROWS($1:70)&gt;COUNT(Dong14),0,IF(OFFSET(TH!O$1,SMALL(Dong14,ROWS($1:70)),)="131",OFFSET(TH!K$1,SMALL(Dong14,ROWS($1:70)),),0))</f>
        <v>0</v>
      </c>
      <c r="K86" s="911">
        <f ca="1">IF(ROWS($1:70)&gt;COUNT(Dong14),0,IF(OFFSET(TH!O$1,SMALL(Dong14,ROWS($1:70)),)="131",OFFSET(TH!M$1,SMALL(Dong14,ROWS($1:70)),),0))</f>
        <v>0</v>
      </c>
      <c r="L86" s="905">
        <f t="shared" ca="1" si="6"/>
        <v>0</v>
      </c>
      <c r="M86" s="904">
        <f t="shared" ca="1" si="7"/>
        <v>0</v>
      </c>
      <c r="N86" s="905">
        <f t="shared" ca="1" si="8"/>
        <v>0</v>
      </c>
      <c r="O86" s="904">
        <f t="shared" ca="1" si="9"/>
        <v>0</v>
      </c>
    </row>
    <row r="87" spans="1:15" s="5" customFormat="1" ht="16.5" customHeight="1">
      <c r="A87" s="225" t="str">
        <f t="shared" ca="1" si="5"/>
        <v/>
      </c>
      <c r="B87" s="229" t="str">
        <f ca="1">IF(ROWS($1:71)&gt;COUNT(Dong14),"",OFFSET(TH!D$1,SMALL(Dong14,ROWS($1:71)),))</f>
        <v/>
      </c>
      <c r="C87" s="225" t="str">
        <f ca="1">IF(ROWS($1:71)&gt;COUNT(Dong14),"",OFFSET(TH!E$1,SMALL(Dong14,ROWS($1:71)),))</f>
        <v/>
      </c>
      <c r="D87" s="913" t="str">
        <f ca="1">IF(ROWS($1:71)&gt;COUNT(Dong14),"",OFFSET(TH!F$1,SMALL(Dong14,ROWS($1:71)),))</f>
        <v/>
      </c>
      <c r="E87" s="911" t="str">
        <f ca="1">IF(ROWS($1:71)&gt;COUNT(Dong14),"",IF(OFFSET(TH!N$1,SMALL(Dong14,ROWS($1:71)),)="131",OFFSET(TH!O$1,SMALL(Dong14,ROWS($1:71)),),OFFSET(TH!N$1,SMALL(Dong14,ROWS($1:71)),)))</f>
        <v/>
      </c>
      <c r="F87" s="911">
        <f ca="1">IF(ROWS($1:71)&gt;COUNT(Dong14),0,OFFSET(TH!L$1,SMALL(Dong14,ROWS($1:71)),))</f>
        <v>0</v>
      </c>
      <c r="G87" s="911"/>
      <c r="H87" s="912">
        <f ca="1">IF(ROWS($1:71)&gt;COUNT(Dong14),0,IF(OFFSET(TH!N$1,SMALL(Dong14,ROWS($1:71)),)="131",OFFSET(TH!K$1,SMALL(Dong14,ROWS($1:71)),),0))</f>
        <v>0</v>
      </c>
      <c r="I87" s="911">
        <f ca="1">IF(ROWS($1:71)&gt;COUNT(Dong14),0,IF(OFFSET(TH!N$1,SMALL(Dong14,ROWS($1:71)),)="131",OFFSET(TH!M$1,SMALL(Dong14,ROWS($1:71)),),0))</f>
        <v>0</v>
      </c>
      <c r="J87" s="912">
        <f ca="1">IF(ROWS($1:71)&gt;COUNT(Dong14),0,IF(OFFSET(TH!O$1,SMALL(Dong14,ROWS($1:71)),)="131",OFFSET(TH!K$1,SMALL(Dong14,ROWS($1:71)),),0))</f>
        <v>0</v>
      </c>
      <c r="K87" s="911">
        <f ca="1">IF(ROWS($1:71)&gt;COUNT(Dong14),0,IF(OFFSET(TH!O$1,SMALL(Dong14,ROWS($1:71)),)="131",OFFSET(TH!M$1,SMALL(Dong14,ROWS($1:71)),),0))</f>
        <v>0</v>
      </c>
      <c r="L87" s="905">
        <f t="shared" ca="1" si="6"/>
        <v>0</v>
      </c>
      <c r="M87" s="904">
        <f t="shared" ca="1" si="7"/>
        <v>0</v>
      </c>
      <c r="N87" s="905">
        <f t="shared" ca="1" si="8"/>
        <v>0</v>
      </c>
      <c r="O87" s="904">
        <f t="shared" ca="1" si="9"/>
        <v>0</v>
      </c>
    </row>
    <row r="88" spans="1:15" s="5" customFormat="1" ht="16.5" customHeight="1">
      <c r="A88" s="225" t="str">
        <f t="shared" ca="1" si="5"/>
        <v/>
      </c>
      <c r="B88" s="229" t="str">
        <f ca="1">IF(ROWS($1:72)&gt;COUNT(Dong14),"",OFFSET(TH!D$1,SMALL(Dong14,ROWS($1:72)),))</f>
        <v/>
      </c>
      <c r="C88" s="225" t="str">
        <f ca="1">IF(ROWS($1:72)&gt;COUNT(Dong14),"",OFFSET(TH!E$1,SMALL(Dong14,ROWS($1:72)),))</f>
        <v/>
      </c>
      <c r="D88" s="913" t="str">
        <f ca="1">IF(ROWS($1:72)&gt;COUNT(Dong14),"",OFFSET(TH!F$1,SMALL(Dong14,ROWS($1:72)),))</f>
        <v/>
      </c>
      <c r="E88" s="911" t="str">
        <f ca="1">IF(ROWS($1:72)&gt;COUNT(Dong14),"",IF(OFFSET(TH!N$1,SMALL(Dong14,ROWS($1:72)),)="131",OFFSET(TH!O$1,SMALL(Dong14,ROWS($1:72)),),OFFSET(TH!N$1,SMALL(Dong14,ROWS($1:72)),)))</f>
        <v/>
      </c>
      <c r="F88" s="911">
        <f ca="1">IF(ROWS($1:72)&gt;COUNT(Dong14),0,OFFSET(TH!L$1,SMALL(Dong14,ROWS($1:72)),))</f>
        <v>0</v>
      </c>
      <c r="G88" s="911"/>
      <c r="H88" s="912">
        <f ca="1">IF(ROWS($1:72)&gt;COUNT(Dong14),0,IF(OFFSET(TH!N$1,SMALL(Dong14,ROWS($1:72)),)="131",OFFSET(TH!K$1,SMALL(Dong14,ROWS($1:72)),),0))</f>
        <v>0</v>
      </c>
      <c r="I88" s="911">
        <f ca="1">IF(ROWS($1:72)&gt;COUNT(Dong14),0,IF(OFFSET(TH!N$1,SMALL(Dong14,ROWS($1:72)),)="131",OFFSET(TH!M$1,SMALL(Dong14,ROWS($1:72)),),0))</f>
        <v>0</v>
      </c>
      <c r="J88" s="912">
        <f ca="1">IF(ROWS($1:72)&gt;COUNT(Dong14),0,IF(OFFSET(TH!O$1,SMALL(Dong14,ROWS($1:72)),)="131",OFFSET(TH!K$1,SMALL(Dong14,ROWS($1:72)),),0))</f>
        <v>0</v>
      </c>
      <c r="K88" s="911">
        <f ca="1">IF(ROWS($1:72)&gt;COUNT(Dong14),0,IF(OFFSET(TH!O$1,SMALL(Dong14,ROWS($1:72)),)="131",OFFSET(TH!M$1,SMALL(Dong14,ROWS($1:72)),),0))</f>
        <v>0</v>
      </c>
      <c r="L88" s="905">
        <f t="shared" ca="1" si="6"/>
        <v>0</v>
      </c>
      <c r="M88" s="904">
        <f t="shared" ca="1" si="7"/>
        <v>0</v>
      </c>
      <c r="N88" s="905">
        <f t="shared" ca="1" si="8"/>
        <v>0</v>
      </c>
      <c r="O88" s="904">
        <f t="shared" ca="1" si="9"/>
        <v>0</v>
      </c>
    </row>
    <row r="89" spans="1:15" s="5" customFormat="1" ht="16.5" customHeight="1">
      <c r="A89" s="225" t="str">
        <f t="shared" ca="1" si="5"/>
        <v/>
      </c>
      <c r="B89" s="229" t="str">
        <f ca="1">IF(ROWS($1:73)&gt;COUNT(Dong14),"",OFFSET(TH!D$1,SMALL(Dong14,ROWS($1:73)),))</f>
        <v/>
      </c>
      <c r="C89" s="225" t="str">
        <f ca="1">IF(ROWS($1:73)&gt;COUNT(Dong14),"",OFFSET(TH!E$1,SMALL(Dong14,ROWS($1:73)),))</f>
        <v/>
      </c>
      <c r="D89" s="913" t="str">
        <f ca="1">IF(ROWS($1:73)&gt;COUNT(Dong14),"",OFFSET(TH!F$1,SMALL(Dong14,ROWS($1:73)),))</f>
        <v/>
      </c>
      <c r="E89" s="911" t="str">
        <f ca="1">IF(ROWS($1:73)&gt;COUNT(Dong14),"",IF(OFFSET(TH!N$1,SMALL(Dong14,ROWS($1:73)),)="131",OFFSET(TH!O$1,SMALL(Dong14,ROWS($1:73)),),OFFSET(TH!N$1,SMALL(Dong14,ROWS($1:73)),)))</f>
        <v/>
      </c>
      <c r="F89" s="911">
        <f ca="1">IF(ROWS($1:73)&gt;COUNT(Dong14),0,OFFSET(TH!L$1,SMALL(Dong14,ROWS($1:73)),))</f>
        <v>0</v>
      </c>
      <c r="G89" s="911"/>
      <c r="H89" s="912">
        <f ca="1">IF(ROWS($1:73)&gt;COUNT(Dong14),0,IF(OFFSET(TH!N$1,SMALL(Dong14,ROWS($1:73)),)="131",OFFSET(TH!K$1,SMALL(Dong14,ROWS($1:73)),),0))</f>
        <v>0</v>
      </c>
      <c r="I89" s="911">
        <f ca="1">IF(ROWS($1:73)&gt;COUNT(Dong14),0,IF(OFFSET(TH!N$1,SMALL(Dong14,ROWS($1:73)),)="131",OFFSET(TH!M$1,SMALL(Dong14,ROWS($1:73)),),0))</f>
        <v>0</v>
      </c>
      <c r="J89" s="912">
        <f ca="1">IF(ROWS($1:73)&gt;COUNT(Dong14),0,IF(OFFSET(TH!O$1,SMALL(Dong14,ROWS($1:73)),)="131",OFFSET(TH!K$1,SMALL(Dong14,ROWS($1:73)),),0))</f>
        <v>0</v>
      </c>
      <c r="K89" s="911">
        <f ca="1">IF(ROWS($1:73)&gt;COUNT(Dong14),0,IF(OFFSET(TH!O$1,SMALL(Dong14,ROWS($1:73)),)="131",OFFSET(TH!M$1,SMALL(Dong14,ROWS($1:73)),),0))</f>
        <v>0</v>
      </c>
      <c r="L89" s="905">
        <f t="shared" ca="1" si="6"/>
        <v>0</v>
      </c>
      <c r="M89" s="904">
        <f t="shared" ca="1" si="7"/>
        <v>0</v>
      </c>
      <c r="N89" s="905">
        <f t="shared" ca="1" si="8"/>
        <v>0</v>
      </c>
      <c r="O89" s="904">
        <f t="shared" ca="1" si="9"/>
        <v>0</v>
      </c>
    </row>
    <row r="90" spans="1:15" s="5" customFormat="1" ht="16.5" customHeight="1">
      <c r="A90" s="225" t="str">
        <f t="shared" ca="1" si="5"/>
        <v/>
      </c>
      <c r="B90" s="229" t="str">
        <f ca="1">IF(ROWS($1:74)&gt;COUNT(Dong14),"",OFFSET(TH!D$1,SMALL(Dong14,ROWS($1:74)),))</f>
        <v/>
      </c>
      <c r="C90" s="225" t="str">
        <f ca="1">IF(ROWS($1:74)&gt;COUNT(Dong14),"",OFFSET(TH!E$1,SMALL(Dong14,ROWS($1:74)),))</f>
        <v/>
      </c>
      <c r="D90" s="913" t="str">
        <f ca="1">IF(ROWS($1:74)&gt;COUNT(Dong14),"",OFFSET(TH!F$1,SMALL(Dong14,ROWS($1:74)),))</f>
        <v/>
      </c>
      <c r="E90" s="911" t="str">
        <f ca="1">IF(ROWS($1:74)&gt;COUNT(Dong14),"",IF(OFFSET(TH!N$1,SMALL(Dong14,ROWS($1:74)),)="131",OFFSET(TH!O$1,SMALL(Dong14,ROWS($1:74)),),OFFSET(TH!N$1,SMALL(Dong14,ROWS($1:74)),)))</f>
        <v/>
      </c>
      <c r="F90" s="911">
        <f ca="1">IF(ROWS($1:74)&gt;COUNT(Dong14),0,OFFSET(TH!L$1,SMALL(Dong14,ROWS($1:74)),))</f>
        <v>0</v>
      </c>
      <c r="G90" s="911"/>
      <c r="H90" s="912">
        <f ca="1">IF(ROWS($1:74)&gt;COUNT(Dong14),0,IF(OFFSET(TH!N$1,SMALL(Dong14,ROWS($1:74)),)="131",OFFSET(TH!K$1,SMALL(Dong14,ROWS($1:74)),),0))</f>
        <v>0</v>
      </c>
      <c r="I90" s="911">
        <f ca="1">IF(ROWS($1:74)&gt;COUNT(Dong14),0,IF(OFFSET(TH!N$1,SMALL(Dong14,ROWS($1:74)),)="131",OFFSET(TH!M$1,SMALL(Dong14,ROWS($1:74)),),0))</f>
        <v>0</v>
      </c>
      <c r="J90" s="912">
        <f ca="1">IF(ROWS($1:74)&gt;COUNT(Dong14),0,IF(OFFSET(TH!O$1,SMALL(Dong14,ROWS($1:74)),)="131",OFFSET(TH!K$1,SMALL(Dong14,ROWS($1:74)),),0))</f>
        <v>0</v>
      </c>
      <c r="K90" s="911">
        <f ca="1">IF(ROWS($1:74)&gt;COUNT(Dong14),0,IF(OFFSET(TH!O$1,SMALL(Dong14,ROWS($1:74)),)="131",OFFSET(TH!M$1,SMALL(Dong14,ROWS($1:74)),),0))</f>
        <v>0</v>
      </c>
      <c r="L90" s="905">
        <f t="shared" ca="1" si="6"/>
        <v>0</v>
      </c>
      <c r="M90" s="904">
        <f t="shared" ca="1" si="7"/>
        <v>0</v>
      </c>
      <c r="N90" s="905">
        <f t="shared" ca="1" si="8"/>
        <v>0</v>
      </c>
      <c r="O90" s="904">
        <f t="shared" ca="1" si="9"/>
        <v>0</v>
      </c>
    </row>
    <row r="91" spans="1:15" s="5" customFormat="1" ht="16.5" customHeight="1">
      <c r="A91" s="225" t="str">
        <f t="shared" ca="1" si="5"/>
        <v/>
      </c>
      <c r="B91" s="229" t="str">
        <f ca="1">IF(ROWS($1:75)&gt;COUNT(Dong14),"",OFFSET(TH!D$1,SMALL(Dong14,ROWS($1:75)),))</f>
        <v/>
      </c>
      <c r="C91" s="225" t="str">
        <f ca="1">IF(ROWS($1:75)&gt;COUNT(Dong14),"",OFFSET(TH!E$1,SMALL(Dong14,ROWS($1:75)),))</f>
        <v/>
      </c>
      <c r="D91" s="913" t="str">
        <f ca="1">IF(ROWS($1:75)&gt;COUNT(Dong14),"",OFFSET(TH!F$1,SMALL(Dong14,ROWS($1:75)),))</f>
        <v/>
      </c>
      <c r="E91" s="911" t="str">
        <f ca="1">IF(ROWS($1:75)&gt;COUNT(Dong14),"",IF(OFFSET(TH!N$1,SMALL(Dong14,ROWS($1:75)),)="131",OFFSET(TH!O$1,SMALL(Dong14,ROWS($1:75)),),OFFSET(TH!N$1,SMALL(Dong14,ROWS($1:75)),)))</f>
        <v/>
      </c>
      <c r="F91" s="911">
        <f ca="1">IF(ROWS($1:75)&gt;COUNT(Dong14),0,OFFSET(TH!L$1,SMALL(Dong14,ROWS($1:75)),))</f>
        <v>0</v>
      </c>
      <c r="G91" s="911"/>
      <c r="H91" s="912">
        <f ca="1">IF(ROWS($1:75)&gt;COUNT(Dong14),0,IF(OFFSET(TH!N$1,SMALL(Dong14,ROWS($1:75)),)="131",OFFSET(TH!K$1,SMALL(Dong14,ROWS($1:75)),),0))</f>
        <v>0</v>
      </c>
      <c r="I91" s="911">
        <f ca="1">IF(ROWS($1:75)&gt;COUNT(Dong14),0,IF(OFFSET(TH!N$1,SMALL(Dong14,ROWS($1:75)),)="131",OFFSET(TH!M$1,SMALL(Dong14,ROWS($1:75)),),0))</f>
        <v>0</v>
      </c>
      <c r="J91" s="912">
        <f ca="1">IF(ROWS($1:75)&gt;COUNT(Dong14),0,IF(OFFSET(TH!O$1,SMALL(Dong14,ROWS($1:75)),)="131",OFFSET(TH!K$1,SMALL(Dong14,ROWS($1:75)),),0))</f>
        <v>0</v>
      </c>
      <c r="K91" s="911">
        <f ca="1">IF(ROWS($1:75)&gt;COUNT(Dong14),0,IF(OFFSET(TH!O$1,SMALL(Dong14,ROWS($1:75)),)="131",OFFSET(TH!M$1,SMALL(Dong14,ROWS($1:75)),),0))</f>
        <v>0</v>
      </c>
      <c r="L91" s="905">
        <f t="shared" ca="1" si="6"/>
        <v>0</v>
      </c>
      <c r="M91" s="904">
        <f t="shared" ca="1" si="7"/>
        <v>0</v>
      </c>
      <c r="N91" s="905">
        <f t="shared" ca="1" si="8"/>
        <v>0</v>
      </c>
      <c r="O91" s="904">
        <f t="shared" ca="1" si="9"/>
        <v>0</v>
      </c>
    </row>
    <row r="92" spans="1:15" s="5" customFormat="1" ht="16.5" customHeight="1">
      <c r="A92" s="225" t="str">
        <f t="shared" ca="1" si="5"/>
        <v/>
      </c>
      <c r="B92" s="229" t="str">
        <f ca="1">IF(ROWS($1:76)&gt;COUNT(Dong14),"",OFFSET(TH!D$1,SMALL(Dong14,ROWS($1:76)),))</f>
        <v/>
      </c>
      <c r="C92" s="225" t="str">
        <f ca="1">IF(ROWS($1:76)&gt;COUNT(Dong14),"",OFFSET(TH!E$1,SMALL(Dong14,ROWS($1:76)),))</f>
        <v/>
      </c>
      <c r="D92" s="913" t="str">
        <f ca="1">IF(ROWS($1:76)&gt;COUNT(Dong14),"",OFFSET(TH!F$1,SMALL(Dong14,ROWS($1:76)),))</f>
        <v/>
      </c>
      <c r="E92" s="911" t="str">
        <f ca="1">IF(ROWS($1:76)&gt;COUNT(Dong14),"",IF(OFFSET(TH!N$1,SMALL(Dong14,ROWS($1:76)),)="131",OFFSET(TH!O$1,SMALL(Dong14,ROWS($1:76)),),OFFSET(TH!N$1,SMALL(Dong14,ROWS($1:76)),)))</f>
        <v/>
      </c>
      <c r="F92" s="911">
        <f ca="1">IF(ROWS($1:76)&gt;COUNT(Dong14),0,OFFSET(TH!L$1,SMALL(Dong14,ROWS($1:76)),))</f>
        <v>0</v>
      </c>
      <c r="G92" s="911"/>
      <c r="H92" s="912">
        <f ca="1">IF(ROWS($1:76)&gt;COUNT(Dong14),0,IF(OFFSET(TH!N$1,SMALL(Dong14,ROWS($1:76)),)="131",OFFSET(TH!K$1,SMALL(Dong14,ROWS($1:76)),),0))</f>
        <v>0</v>
      </c>
      <c r="I92" s="911">
        <f ca="1">IF(ROWS($1:76)&gt;COUNT(Dong14),0,IF(OFFSET(TH!N$1,SMALL(Dong14,ROWS($1:76)),)="131",OFFSET(TH!M$1,SMALL(Dong14,ROWS($1:76)),),0))</f>
        <v>0</v>
      </c>
      <c r="J92" s="912">
        <f ca="1">IF(ROWS($1:76)&gt;COUNT(Dong14),0,IF(OFFSET(TH!O$1,SMALL(Dong14,ROWS($1:76)),)="131",OFFSET(TH!K$1,SMALL(Dong14,ROWS($1:76)),),0))</f>
        <v>0</v>
      </c>
      <c r="K92" s="911">
        <f ca="1">IF(ROWS($1:76)&gt;COUNT(Dong14),0,IF(OFFSET(TH!O$1,SMALL(Dong14,ROWS($1:76)),)="131",OFFSET(TH!M$1,SMALL(Dong14,ROWS($1:76)),),0))</f>
        <v>0</v>
      </c>
      <c r="L92" s="905">
        <f t="shared" ca="1" si="6"/>
        <v>0</v>
      </c>
      <c r="M92" s="904">
        <f t="shared" ca="1" si="7"/>
        <v>0</v>
      </c>
      <c r="N92" s="905">
        <f t="shared" ca="1" si="8"/>
        <v>0</v>
      </c>
      <c r="O92" s="904">
        <f t="shared" ca="1" si="9"/>
        <v>0</v>
      </c>
    </row>
    <row r="93" spans="1:15" s="5" customFormat="1" ht="16.5" customHeight="1">
      <c r="A93" s="225" t="str">
        <f t="shared" ca="1" si="5"/>
        <v/>
      </c>
      <c r="B93" s="229" t="str">
        <f ca="1">IF(ROWS($1:77)&gt;COUNT(Dong14),"",OFFSET(TH!D$1,SMALL(Dong14,ROWS($1:77)),))</f>
        <v/>
      </c>
      <c r="C93" s="225" t="str">
        <f ca="1">IF(ROWS($1:77)&gt;COUNT(Dong14),"",OFFSET(TH!E$1,SMALL(Dong14,ROWS($1:77)),))</f>
        <v/>
      </c>
      <c r="D93" s="913" t="str">
        <f ca="1">IF(ROWS($1:77)&gt;COUNT(Dong14),"",OFFSET(TH!F$1,SMALL(Dong14,ROWS($1:77)),))</f>
        <v/>
      </c>
      <c r="E93" s="911" t="str">
        <f ca="1">IF(ROWS($1:77)&gt;COUNT(Dong14),"",IF(OFFSET(TH!N$1,SMALL(Dong14,ROWS($1:77)),)="131",OFFSET(TH!O$1,SMALL(Dong14,ROWS($1:77)),),OFFSET(TH!N$1,SMALL(Dong14,ROWS($1:77)),)))</f>
        <v/>
      </c>
      <c r="F93" s="911">
        <f ca="1">IF(ROWS($1:77)&gt;COUNT(Dong14),0,OFFSET(TH!L$1,SMALL(Dong14,ROWS($1:77)),))</f>
        <v>0</v>
      </c>
      <c r="G93" s="911"/>
      <c r="H93" s="912">
        <f ca="1">IF(ROWS($1:77)&gt;COUNT(Dong14),0,IF(OFFSET(TH!N$1,SMALL(Dong14,ROWS($1:77)),)="131",OFFSET(TH!K$1,SMALL(Dong14,ROWS($1:77)),),0))</f>
        <v>0</v>
      </c>
      <c r="I93" s="911">
        <f ca="1">IF(ROWS($1:77)&gt;COUNT(Dong14),0,IF(OFFSET(TH!N$1,SMALL(Dong14,ROWS($1:77)),)="131",OFFSET(TH!M$1,SMALL(Dong14,ROWS($1:77)),),0))</f>
        <v>0</v>
      </c>
      <c r="J93" s="912">
        <f ca="1">IF(ROWS($1:77)&gt;COUNT(Dong14),0,IF(OFFSET(TH!O$1,SMALL(Dong14,ROWS($1:77)),)="131",OFFSET(TH!K$1,SMALL(Dong14,ROWS($1:77)),),0))</f>
        <v>0</v>
      </c>
      <c r="K93" s="911">
        <f ca="1">IF(ROWS($1:77)&gt;COUNT(Dong14),0,IF(OFFSET(TH!O$1,SMALL(Dong14,ROWS($1:77)),)="131",OFFSET(TH!M$1,SMALL(Dong14,ROWS($1:77)),),0))</f>
        <v>0</v>
      </c>
      <c r="L93" s="905">
        <f t="shared" ca="1" si="6"/>
        <v>0</v>
      </c>
      <c r="M93" s="904">
        <f t="shared" ca="1" si="7"/>
        <v>0</v>
      </c>
      <c r="N93" s="905">
        <f t="shared" ca="1" si="8"/>
        <v>0</v>
      </c>
      <c r="O93" s="904">
        <f t="shared" ca="1" si="9"/>
        <v>0</v>
      </c>
    </row>
    <row r="94" spans="1:15" s="5" customFormat="1" ht="16.5" customHeight="1">
      <c r="A94" s="225" t="str">
        <f t="shared" ca="1" si="5"/>
        <v/>
      </c>
      <c r="B94" s="229" t="str">
        <f ca="1">IF(ROWS($1:78)&gt;COUNT(Dong14),"",OFFSET(TH!D$1,SMALL(Dong14,ROWS($1:78)),))</f>
        <v/>
      </c>
      <c r="C94" s="225" t="str">
        <f ca="1">IF(ROWS($1:78)&gt;COUNT(Dong14),"",OFFSET(TH!E$1,SMALL(Dong14,ROWS($1:78)),))</f>
        <v/>
      </c>
      <c r="D94" s="913" t="str">
        <f ca="1">IF(ROWS($1:78)&gt;COUNT(Dong14),"",OFFSET(TH!F$1,SMALL(Dong14,ROWS($1:78)),))</f>
        <v/>
      </c>
      <c r="E94" s="911" t="str">
        <f ca="1">IF(ROWS($1:78)&gt;COUNT(Dong14),"",IF(OFFSET(TH!N$1,SMALL(Dong14,ROWS($1:78)),)="131",OFFSET(TH!O$1,SMALL(Dong14,ROWS($1:78)),),OFFSET(TH!N$1,SMALL(Dong14,ROWS($1:78)),)))</f>
        <v/>
      </c>
      <c r="F94" s="911">
        <f ca="1">IF(ROWS($1:78)&gt;COUNT(Dong14),0,OFFSET(TH!L$1,SMALL(Dong14,ROWS($1:78)),))</f>
        <v>0</v>
      </c>
      <c r="G94" s="911"/>
      <c r="H94" s="912">
        <f ca="1">IF(ROWS($1:78)&gt;COUNT(Dong14),0,IF(OFFSET(TH!N$1,SMALL(Dong14,ROWS($1:78)),)="131",OFFSET(TH!K$1,SMALL(Dong14,ROWS($1:78)),),0))</f>
        <v>0</v>
      </c>
      <c r="I94" s="911">
        <f ca="1">IF(ROWS($1:78)&gt;COUNT(Dong14),0,IF(OFFSET(TH!N$1,SMALL(Dong14,ROWS($1:78)),)="131",OFFSET(TH!M$1,SMALL(Dong14,ROWS($1:78)),),0))</f>
        <v>0</v>
      </c>
      <c r="J94" s="912">
        <f ca="1">IF(ROWS($1:78)&gt;COUNT(Dong14),0,IF(OFFSET(TH!O$1,SMALL(Dong14,ROWS($1:78)),)="131",OFFSET(TH!K$1,SMALL(Dong14,ROWS($1:78)),),0))</f>
        <v>0</v>
      </c>
      <c r="K94" s="911">
        <f ca="1">IF(ROWS($1:78)&gt;COUNT(Dong14),0,IF(OFFSET(TH!O$1,SMALL(Dong14,ROWS($1:78)),)="131",OFFSET(TH!M$1,SMALL(Dong14,ROWS($1:78)),),0))</f>
        <v>0</v>
      </c>
      <c r="L94" s="905">
        <f t="shared" ca="1" si="6"/>
        <v>0</v>
      </c>
      <c r="M94" s="904">
        <f t="shared" ca="1" si="7"/>
        <v>0</v>
      </c>
      <c r="N94" s="905">
        <f t="shared" ca="1" si="8"/>
        <v>0</v>
      </c>
      <c r="O94" s="904">
        <f t="shared" ca="1" si="9"/>
        <v>0</v>
      </c>
    </row>
    <row r="95" spans="1:15" s="5" customFormat="1" ht="16.5" customHeight="1">
      <c r="A95" s="225" t="str">
        <f t="shared" ca="1" si="5"/>
        <v/>
      </c>
      <c r="B95" s="229" t="str">
        <f ca="1">IF(ROWS($1:79)&gt;COUNT(Dong14),"",OFFSET(TH!D$1,SMALL(Dong14,ROWS($1:79)),))</f>
        <v/>
      </c>
      <c r="C95" s="225" t="str">
        <f ca="1">IF(ROWS($1:79)&gt;COUNT(Dong14),"",OFFSET(TH!E$1,SMALL(Dong14,ROWS($1:79)),))</f>
        <v/>
      </c>
      <c r="D95" s="913" t="str">
        <f ca="1">IF(ROWS($1:79)&gt;COUNT(Dong14),"",OFFSET(TH!F$1,SMALL(Dong14,ROWS($1:79)),))</f>
        <v/>
      </c>
      <c r="E95" s="911" t="str">
        <f ca="1">IF(ROWS($1:79)&gt;COUNT(Dong14),"",IF(OFFSET(TH!N$1,SMALL(Dong14,ROWS($1:79)),)="131",OFFSET(TH!O$1,SMALL(Dong14,ROWS($1:79)),),OFFSET(TH!N$1,SMALL(Dong14,ROWS($1:79)),)))</f>
        <v/>
      </c>
      <c r="F95" s="911">
        <f ca="1">IF(ROWS($1:79)&gt;COUNT(Dong14),0,OFFSET(TH!L$1,SMALL(Dong14,ROWS($1:79)),))</f>
        <v>0</v>
      </c>
      <c r="G95" s="911"/>
      <c r="H95" s="912">
        <f ca="1">IF(ROWS($1:79)&gt;COUNT(Dong14),0,IF(OFFSET(TH!N$1,SMALL(Dong14,ROWS($1:79)),)="131",OFFSET(TH!K$1,SMALL(Dong14,ROWS($1:79)),),0))</f>
        <v>0</v>
      </c>
      <c r="I95" s="911">
        <f ca="1">IF(ROWS($1:79)&gt;COUNT(Dong14),0,IF(OFFSET(TH!N$1,SMALL(Dong14,ROWS($1:79)),)="131",OFFSET(TH!M$1,SMALL(Dong14,ROWS($1:79)),),0))</f>
        <v>0</v>
      </c>
      <c r="J95" s="912">
        <f ca="1">IF(ROWS($1:79)&gt;COUNT(Dong14),0,IF(OFFSET(TH!O$1,SMALL(Dong14,ROWS($1:79)),)="131",OFFSET(TH!K$1,SMALL(Dong14,ROWS($1:79)),),0))</f>
        <v>0</v>
      </c>
      <c r="K95" s="911">
        <f ca="1">IF(ROWS($1:79)&gt;COUNT(Dong14),0,IF(OFFSET(TH!O$1,SMALL(Dong14,ROWS($1:79)),)="131",OFFSET(TH!M$1,SMALL(Dong14,ROWS($1:79)),),0))</f>
        <v>0</v>
      </c>
      <c r="L95" s="905">
        <f t="shared" ca="1" si="6"/>
        <v>0</v>
      </c>
      <c r="M95" s="904">
        <f t="shared" ca="1" si="7"/>
        <v>0</v>
      </c>
      <c r="N95" s="905">
        <f t="shared" ca="1" si="8"/>
        <v>0</v>
      </c>
      <c r="O95" s="904">
        <f t="shared" ca="1" si="9"/>
        <v>0</v>
      </c>
    </row>
    <row r="96" spans="1:15" s="5" customFormat="1" ht="16.5" customHeight="1">
      <c r="A96" s="225" t="str">
        <f t="shared" ca="1" si="5"/>
        <v/>
      </c>
      <c r="B96" s="229" t="str">
        <f ca="1">IF(ROWS($1:80)&gt;COUNT(Dong14),"",OFFSET(TH!D$1,SMALL(Dong14,ROWS($1:80)),))</f>
        <v/>
      </c>
      <c r="C96" s="225" t="str">
        <f ca="1">IF(ROWS($1:80)&gt;COUNT(Dong14),"",OFFSET(TH!E$1,SMALL(Dong14,ROWS($1:80)),))</f>
        <v/>
      </c>
      <c r="D96" s="913" t="str">
        <f ca="1">IF(ROWS($1:80)&gt;COUNT(Dong14),"",OFFSET(TH!F$1,SMALL(Dong14,ROWS($1:80)),))</f>
        <v/>
      </c>
      <c r="E96" s="911" t="str">
        <f ca="1">IF(ROWS($1:80)&gt;COUNT(Dong14),"",IF(OFFSET(TH!N$1,SMALL(Dong14,ROWS($1:80)),)="131",OFFSET(TH!O$1,SMALL(Dong14,ROWS($1:80)),),OFFSET(TH!N$1,SMALL(Dong14,ROWS($1:80)),)))</f>
        <v/>
      </c>
      <c r="F96" s="911">
        <f ca="1">IF(ROWS($1:80)&gt;COUNT(Dong14),0,OFFSET(TH!L$1,SMALL(Dong14,ROWS($1:80)),))</f>
        <v>0</v>
      </c>
      <c r="G96" s="911"/>
      <c r="H96" s="912">
        <f ca="1">IF(ROWS($1:80)&gt;COUNT(Dong14),0,IF(OFFSET(TH!N$1,SMALL(Dong14,ROWS($1:80)),)="131",OFFSET(TH!K$1,SMALL(Dong14,ROWS($1:80)),),0))</f>
        <v>0</v>
      </c>
      <c r="I96" s="911">
        <f ca="1">IF(ROWS($1:80)&gt;COUNT(Dong14),0,IF(OFFSET(TH!N$1,SMALL(Dong14,ROWS($1:80)),)="131",OFFSET(TH!M$1,SMALL(Dong14,ROWS($1:80)),),0))</f>
        <v>0</v>
      </c>
      <c r="J96" s="912">
        <f ca="1">IF(ROWS($1:80)&gt;COUNT(Dong14),0,IF(OFFSET(TH!O$1,SMALL(Dong14,ROWS($1:80)),)="131",OFFSET(TH!K$1,SMALL(Dong14,ROWS($1:80)),),0))</f>
        <v>0</v>
      </c>
      <c r="K96" s="911">
        <f ca="1">IF(ROWS($1:80)&gt;COUNT(Dong14),0,IF(OFFSET(TH!O$1,SMALL(Dong14,ROWS($1:80)),)="131",OFFSET(TH!M$1,SMALL(Dong14,ROWS($1:80)),),0))</f>
        <v>0</v>
      </c>
      <c r="L96" s="905">
        <f t="shared" ca="1" si="6"/>
        <v>0</v>
      </c>
      <c r="M96" s="904">
        <f t="shared" ca="1" si="7"/>
        <v>0</v>
      </c>
      <c r="N96" s="905">
        <f t="shared" ca="1" si="8"/>
        <v>0</v>
      </c>
      <c r="O96" s="904">
        <f t="shared" ca="1" si="9"/>
        <v>0</v>
      </c>
    </row>
    <row r="97" spans="1:15" s="5" customFormat="1" ht="16.5" customHeight="1">
      <c r="A97" s="225" t="str">
        <f t="shared" ca="1" si="5"/>
        <v/>
      </c>
      <c r="B97" s="229" t="str">
        <f ca="1">IF(ROWS($1:81)&gt;COUNT(Dong14),"",OFFSET(TH!D$1,SMALL(Dong14,ROWS($1:81)),))</f>
        <v/>
      </c>
      <c r="C97" s="225" t="str">
        <f ca="1">IF(ROWS($1:81)&gt;COUNT(Dong14),"",OFFSET(TH!E$1,SMALL(Dong14,ROWS($1:81)),))</f>
        <v/>
      </c>
      <c r="D97" s="913" t="str">
        <f ca="1">IF(ROWS($1:81)&gt;COUNT(Dong14),"",OFFSET(TH!F$1,SMALL(Dong14,ROWS($1:81)),))</f>
        <v/>
      </c>
      <c r="E97" s="911" t="str">
        <f ca="1">IF(ROWS($1:81)&gt;COUNT(Dong14),"",IF(OFFSET(TH!N$1,SMALL(Dong14,ROWS($1:81)),)="131",OFFSET(TH!O$1,SMALL(Dong14,ROWS($1:81)),),OFFSET(TH!N$1,SMALL(Dong14,ROWS($1:81)),)))</f>
        <v/>
      </c>
      <c r="F97" s="911">
        <f ca="1">IF(ROWS($1:81)&gt;COUNT(Dong14),0,OFFSET(TH!L$1,SMALL(Dong14,ROWS($1:81)),))</f>
        <v>0</v>
      </c>
      <c r="G97" s="911"/>
      <c r="H97" s="912">
        <f ca="1">IF(ROWS($1:81)&gt;COUNT(Dong14),0,IF(OFFSET(TH!N$1,SMALL(Dong14,ROWS($1:81)),)="131",OFFSET(TH!K$1,SMALL(Dong14,ROWS($1:81)),),0))</f>
        <v>0</v>
      </c>
      <c r="I97" s="911">
        <f ca="1">IF(ROWS($1:81)&gt;COUNT(Dong14),0,IF(OFFSET(TH!N$1,SMALL(Dong14,ROWS($1:81)),)="131",OFFSET(TH!M$1,SMALL(Dong14,ROWS($1:81)),),0))</f>
        <v>0</v>
      </c>
      <c r="J97" s="912">
        <f ca="1">IF(ROWS($1:81)&gt;COUNT(Dong14),0,IF(OFFSET(TH!O$1,SMALL(Dong14,ROWS($1:81)),)="131",OFFSET(TH!K$1,SMALL(Dong14,ROWS($1:81)),),0))</f>
        <v>0</v>
      </c>
      <c r="K97" s="911">
        <f ca="1">IF(ROWS($1:81)&gt;COUNT(Dong14),0,IF(OFFSET(TH!O$1,SMALL(Dong14,ROWS($1:81)),)="131",OFFSET(TH!M$1,SMALL(Dong14,ROWS($1:81)),),0))</f>
        <v>0</v>
      </c>
      <c r="L97" s="905">
        <f t="shared" ca="1" si="6"/>
        <v>0</v>
      </c>
      <c r="M97" s="904">
        <f t="shared" ca="1" si="7"/>
        <v>0</v>
      </c>
      <c r="N97" s="905">
        <f t="shared" ca="1" si="8"/>
        <v>0</v>
      </c>
      <c r="O97" s="904">
        <f t="shared" ca="1" si="9"/>
        <v>0</v>
      </c>
    </row>
    <row r="98" spans="1:15" s="5" customFormat="1" ht="16.5" customHeight="1">
      <c r="A98" s="225" t="str">
        <f t="shared" ca="1" si="5"/>
        <v/>
      </c>
      <c r="B98" s="229" t="str">
        <f ca="1">IF(ROWS($1:82)&gt;COUNT(Dong14),"",OFFSET(TH!D$1,SMALL(Dong14,ROWS($1:82)),))</f>
        <v/>
      </c>
      <c r="C98" s="225" t="str">
        <f ca="1">IF(ROWS($1:82)&gt;COUNT(Dong14),"",OFFSET(TH!E$1,SMALL(Dong14,ROWS($1:82)),))</f>
        <v/>
      </c>
      <c r="D98" s="913" t="str">
        <f ca="1">IF(ROWS($1:82)&gt;COUNT(Dong14),"",OFFSET(TH!F$1,SMALL(Dong14,ROWS($1:82)),))</f>
        <v/>
      </c>
      <c r="E98" s="911" t="str">
        <f ca="1">IF(ROWS($1:82)&gt;COUNT(Dong14),"",IF(OFFSET(TH!N$1,SMALL(Dong14,ROWS($1:82)),)="131",OFFSET(TH!O$1,SMALL(Dong14,ROWS($1:82)),),OFFSET(TH!N$1,SMALL(Dong14,ROWS($1:82)),)))</f>
        <v/>
      </c>
      <c r="F98" s="911">
        <f ca="1">IF(ROWS($1:82)&gt;COUNT(Dong14),0,OFFSET(TH!L$1,SMALL(Dong14,ROWS($1:82)),))</f>
        <v>0</v>
      </c>
      <c r="G98" s="911"/>
      <c r="H98" s="912">
        <f ca="1">IF(ROWS($1:82)&gt;COUNT(Dong14),0,IF(OFFSET(TH!N$1,SMALL(Dong14,ROWS($1:82)),)="131",OFFSET(TH!K$1,SMALL(Dong14,ROWS($1:82)),),0))</f>
        <v>0</v>
      </c>
      <c r="I98" s="911">
        <f ca="1">IF(ROWS($1:82)&gt;COUNT(Dong14),0,IF(OFFSET(TH!N$1,SMALL(Dong14,ROWS($1:82)),)="131",OFFSET(TH!M$1,SMALL(Dong14,ROWS($1:82)),),0))</f>
        <v>0</v>
      </c>
      <c r="J98" s="912">
        <f ca="1">IF(ROWS($1:82)&gt;COUNT(Dong14),0,IF(OFFSET(TH!O$1,SMALL(Dong14,ROWS($1:82)),)="131",OFFSET(TH!K$1,SMALL(Dong14,ROWS($1:82)),),0))</f>
        <v>0</v>
      </c>
      <c r="K98" s="911">
        <f ca="1">IF(ROWS($1:82)&gt;COUNT(Dong14),0,IF(OFFSET(TH!O$1,SMALL(Dong14,ROWS($1:82)),)="131",OFFSET(TH!M$1,SMALL(Dong14,ROWS($1:82)),),0))</f>
        <v>0</v>
      </c>
      <c r="L98" s="905">
        <f t="shared" ca="1" si="6"/>
        <v>0</v>
      </c>
      <c r="M98" s="904">
        <f t="shared" ca="1" si="7"/>
        <v>0</v>
      </c>
      <c r="N98" s="905">
        <f t="shared" ca="1" si="8"/>
        <v>0</v>
      </c>
      <c r="O98" s="904">
        <f t="shared" ca="1" si="9"/>
        <v>0</v>
      </c>
    </row>
    <row r="99" spans="1:15" s="5" customFormat="1" ht="16.5" customHeight="1">
      <c r="A99" s="225" t="str">
        <f t="shared" ca="1" si="5"/>
        <v/>
      </c>
      <c r="B99" s="229" t="str">
        <f ca="1">IF(ROWS($1:83)&gt;COUNT(Dong14),"",OFFSET(TH!D$1,SMALL(Dong14,ROWS($1:83)),))</f>
        <v/>
      </c>
      <c r="C99" s="225" t="str">
        <f ca="1">IF(ROWS($1:83)&gt;COUNT(Dong14),"",OFFSET(TH!E$1,SMALL(Dong14,ROWS($1:83)),))</f>
        <v/>
      </c>
      <c r="D99" s="913" t="str">
        <f ca="1">IF(ROWS($1:83)&gt;COUNT(Dong14),"",OFFSET(TH!F$1,SMALL(Dong14,ROWS($1:83)),))</f>
        <v/>
      </c>
      <c r="E99" s="911" t="str">
        <f ca="1">IF(ROWS($1:83)&gt;COUNT(Dong14),"",IF(OFFSET(TH!N$1,SMALL(Dong14,ROWS($1:83)),)="131",OFFSET(TH!O$1,SMALL(Dong14,ROWS($1:83)),),OFFSET(TH!N$1,SMALL(Dong14,ROWS($1:83)),)))</f>
        <v/>
      </c>
      <c r="F99" s="911">
        <f ca="1">IF(ROWS($1:83)&gt;COUNT(Dong14),0,OFFSET(TH!L$1,SMALL(Dong14,ROWS($1:83)),))</f>
        <v>0</v>
      </c>
      <c r="G99" s="911"/>
      <c r="H99" s="912">
        <f ca="1">IF(ROWS($1:83)&gt;COUNT(Dong14),0,IF(OFFSET(TH!N$1,SMALL(Dong14,ROWS($1:83)),)="131",OFFSET(TH!K$1,SMALL(Dong14,ROWS($1:83)),),0))</f>
        <v>0</v>
      </c>
      <c r="I99" s="911">
        <f ca="1">IF(ROWS($1:83)&gt;COUNT(Dong14),0,IF(OFFSET(TH!N$1,SMALL(Dong14,ROWS($1:83)),)="131",OFFSET(TH!M$1,SMALL(Dong14,ROWS($1:83)),),0))</f>
        <v>0</v>
      </c>
      <c r="J99" s="912">
        <f ca="1">IF(ROWS($1:83)&gt;COUNT(Dong14),0,IF(OFFSET(TH!O$1,SMALL(Dong14,ROWS($1:83)),)="131",OFFSET(TH!K$1,SMALL(Dong14,ROWS($1:83)),),0))</f>
        <v>0</v>
      </c>
      <c r="K99" s="911">
        <f ca="1">IF(ROWS($1:83)&gt;COUNT(Dong14),0,IF(OFFSET(TH!O$1,SMALL(Dong14,ROWS($1:83)),)="131",OFFSET(TH!M$1,SMALL(Dong14,ROWS($1:83)),),0))</f>
        <v>0</v>
      </c>
      <c r="L99" s="905">
        <f t="shared" ca="1" si="6"/>
        <v>0</v>
      </c>
      <c r="M99" s="904">
        <f t="shared" ca="1" si="7"/>
        <v>0</v>
      </c>
      <c r="N99" s="905">
        <f t="shared" ca="1" si="8"/>
        <v>0</v>
      </c>
      <c r="O99" s="904">
        <f t="shared" ca="1" si="9"/>
        <v>0</v>
      </c>
    </row>
    <row r="100" spans="1:15" s="5" customFormat="1" ht="16.5" customHeight="1">
      <c r="A100" s="225" t="str">
        <f t="shared" ca="1" si="5"/>
        <v/>
      </c>
      <c r="B100" s="229" t="str">
        <f ca="1">IF(ROWS($1:84)&gt;COUNT(Dong14),"",OFFSET(TH!D$1,SMALL(Dong14,ROWS($1:84)),))</f>
        <v/>
      </c>
      <c r="C100" s="225" t="str">
        <f ca="1">IF(ROWS($1:84)&gt;COUNT(Dong14),"",OFFSET(TH!E$1,SMALL(Dong14,ROWS($1:84)),))</f>
        <v/>
      </c>
      <c r="D100" s="913" t="str">
        <f ca="1">IF(ROWS($1:84)&gt;COUNT(Dong14),"",OFFSET(TH!F$1,SMALL(Dong14,ROWS($1:84)),))</f>
        <v/>
      </c>
      <c r="E100" s="911" t="str">
        <f ca="1">IF(ROWS($1:84)&gt;COUNT(Dong14),"",IF(OFFSET(TH!N$1,SMALL(Dong14,ROWS($1:84)),)="131",OFFSET(TH!O$1,SMALL(Dong14,ROWS($1:84)),),OFFSET(TH!N$1,SMALL(Dong14,ROWS($1:84)),)))</f>
        <v/>
      </c>
      <c r="F100" s="911">
        <f ca="1">IF(ROWS($1:84)&gt;COUNT(Dong14),0,OFFSET(TH!L$1,SMALL(Dong14,ROWS($1:84)),))</f>
        <v>0</v>
      </c>
      <c r="G100" s="911"/>
      <c r="H100" s="912">
        <f ca="1">IF(ROWS($1:84)&gt;COUNT(Dong14),0,IF(OFFSET(TH!N$1,SMALL(Dong14,ROWS($1:84)),)="131",OFFSET(TH!K$1,SMALL(Dong14,ROWS($1:84)),),0))</f>
        <v>0</v>
      </c>
      <c r="I100" s="911">
        <f ca="1">IF(ROWS($1:84)&gt;COUNT(Dong14),0,IF(OFFSET(TH!N$1,SMALL(Dong14,ROWS($1:84)),)="131",OFFSET(TH!M$1,SMALL(Dong14,ROWS($1:84)),),0))</f>
        <v>0</v>
      </c>
      <c r="J100" s="912">
        <f ca="1">IF(ROWS($1:84)&gt;COUNT(Dong14),0,IF(OFFSET(TH!O$1,SMALL(Dong14,ROWS($1:84)),)="131",OFFSET(TH!K$1,SMALL(Dong14,ROWS($1:84)),),0))</f>
        <v>0</v>
      </c>
      <c r="K100" s="911">
        <f ca="1">IF(ROWS($1:84)&gt;COUNT(Dong14),0,IF(OFFSET(TH!O$1,SMALL(Dong14,ROWS($1:84)),)="131",OFFSET(TH!M$1,SMALL(Dong14,ROWS($1:84)),),0))</f>
        <v>0</v>
      </c>
      <c r="L100" s="905">
        <f t="shared" ca="1" si="6"/>
        <v>0</v>
      </c>
      <c r="M100" s="904">
        <f t="shared" ca="1" si="7"/>
        <v>0</v>
      </c>
      <c r="N100" s="905">
        <f t="shared" ca="1" si="8"/>
        <v>0</v>
      </c>
      <c r="O100" s="904">
        <f t="shared" ca="1" si="9"/>
        <v>0</v>
      </c>
    </row>
    <row r="101" spans="1:15" s="5" customFormat="1" ht="16.5" customHeight="1">
      <c r="A101" s="225" t="str">
        <f t="shared" ca="1" si="5"/>
        <v/>
      </c>
      <c r="B101" s="229" t="str">
        <f ca="1">IF(ROWS($1:85)&gt;COUNT(Dong14),"",OFFSET(TH!D$1,SMALL(Dong14,ROWS($1:85)),))</f>
        <v/>
      </c>
      <c r="C101" s="225" t="str">
        <f ca="1">IF(ROWS($1:85)&gt;COUNT(Dong14),"",OFFSET(TH!E$1,SMALL(Dong14,ROWS($1:85)),))</f>
        <v/>
      </c>
      <c r="D101" s="913" t="str">
        <f ca="1">IF(ROWS($1:85)&gt;COUNT(Dong14),"",OFFSET(TH!F$1,SMALL(Dong14,ROWS($1:85)),))</f>
        <v/>
      </c>
      <c r="E101" s="911" t="str">
        <f ca="1">IF(ROWS($1:85)&gt;COUNT(Dong14),"",IF(OFFSET(TH!N$1,SMALL(Dong14,ROWS($1:85)),)="131",OFFSET(TH!O$1,SMALL(Dong14,ROWS($1:85)),),OFFSET(TH!N$1,SMALL(Dong14,ROWS($1:85)),)))</f>
        <v/>
      </c>
      <c r="F101" s="911">
        <f ca="1">IF(ROWS($1:85)&gt;COUNT(Dong14),0,OFFSET(TH!L$1,SMALL(Dong14,ROWS($1:85)),))</f>
        <v>0</v>
      </c>
      <c r="G101" s="911"/>
      <c r="H101" s="912">
        <f ca="1">IF(ROWS($1:85)&gt;COUNT(Dong14),0,IF(OFFSET(TH!N$1,SMALL(Dong14,ROWS($1:85)),)="131",OFFSET(TH!K$1,SMALL(Dong14,ROWS($1:85)),),0))</f>
        <v>0</v>
      </c>
      <c r="I101" s="911">
        <f ca="1">IF(ROWS($1:85)&gt;COUNT(Dong14),0,IF(OFFSET(TH!N$1,SMALL(Dong14,ROWS($1:85)),)="131",OFFSET(TH!M$1,SMALL(Dong14,ROWS($1:85)),),0))</f>
        <v>0</v>
      </c>
      <c r="J101" s="912">
        <f ca="1">IF(ROWS($1:85)&gt;COUNT(Dong14),0,IF(OFFSET(TH!O$1,SMALL(Dong14,ROWS($1:85)),)="131",OFFSET(TH!K$1,SMALL(Dong14,ROWS($1:85)),),0))</f>
        <v>0</v>
      </c>
      <c r="K101" s="911">
        <f ca="1">IF(ROWS($1:85)&gt;COUNT(Dong14),0,IF(OFFSET(TH!O$1,SMALL(Dong14,ROWS($1:85)),)="131",OFFSET(TH!M$1,SMALL(Dong14,ROWS($1:85)),),0))</f>
        <v>0</v>
      </c>
      <c r="L101" s="905">
        <f t="shared" ca="1" si="6"/>
        <v>0</v>
      </c>
      <c r="M101" s="904">
        <f t="shared" ca="1" si="7"/>
        <v>0</v>
      </c>
      <c r="N101" s="905">
        <f t="shared" ca="1" si="8"/>
        <v>0</v>
      </c>
      <c r="O101" s="904">
        <f t="shared" ca="1" si="9"/>
        <v>0</v>
      </c>
    </row>
    <row r="102" spans="1:15" s="5" customFormat="1" ht="16.5" customHeight="1">
      <c r="A102" s="225" t="str">
        <f t="shared" ca="1" si="5"/>
        <v/>
      </c>
      <c r="B102" s="229" t="str">
        <f ca="1">IF(ROWS($1:86)&gt;COUNT(Dong14),"",OFFSET(TH!D$1,SMALL(Dong14,ROWS($1:86)),))</f>
        <v/>
      </c>
      <c r="C102" s="225" t="str">
        <f ca="1">IF(ROWS($1:86)&gt;COUNT(Dong14),"",OFFSET(TH!E$1,SMALL(Dong14,ROWS($1:86)),))</f>
        <v/>
      </c>
      <c r="D102" s="913" t="str">
        <f ca="1">IF(ROWS($1:86)&gt;COUNT(Dong14),"",OFFSET(TH!F$1,SMALL(Dong14,ROWS($1:86)),))</f>
        <v/>
      </c>
      <c r="E102" s="911" t="str">
        <f ca="1">IF(ROWS($1:86)&gt;COUNT(Dong14),"",IF(OFFSET(TH!N$1,SMALL(Dong14,ROWS($1:86)),)="131",OFFSET(TH!O$1,SMALL(Dong14,ROWS($1:86)),),OFFSET(TH!N$1,SMALL(Dong14,ROWS($1:86)),)))</f>
        <v/>
      </c>
      <c r="F102" s="911">
        <f ca="1">IF(ROWS($1:86)&gt;COUNT(Dong14),0,OFFSET(TH!L$1,SMALL(Dong14,ROWS($1:86)),))</f>
        <v>0</v>
      </c>
      <c r="G102" s="911"/>
      <c r="H102" s="912">
        <f ca="1">IF(ROWS($1:86)&gt;COUNT(Dong14),0,IF(OFFSET(TH!N$1,SMALL(Dong14,ROWS($1:86)),)="131",OFFSET(TH!K$1,SMALL(Dong14,ROWS($1:86)),),0))</f>
        <v>0</v>
      </c>
      <c r="I102" s="911">
        <f ca="1">IF(ROWS($1:86)&gt;COUNT(Dong14),0,IF(OFFSET(TH!N$1,SMALL(Dong14,ROWS($1:86)),)="131",OFFSET(TH!M$1,SMALL(Dong14,ROWS($1:86)),),0))</f>
        <v>0</v>
      </c>
      <c r="J102" s="912">
        <f ca="1">IF(ROWS($1:86)&gt;COUNT(Dong14),0,IF(OFFSET(TH!O$1,SMALL(Dong14,ROWS($1:86)),)="131",OFFSET(TH!K$1,SMALL(Dong14,ROWS($1:86)),),0))</f>
        <v>0</v>
      </c>
      <c r="K102" s="911">
        <f ca="1">IF(ROWS($1:86)&gt;COUNT(Dong14),0,IF(OFFSET(TH!O$1,SMALL(Dong14,ROWS($1:86)),)="131",OFFSET(TH!M$1,SMALL(Dong14,ROWS($1:86)),),0))</f>
        <v>0</v>
      </c>
      <c r="L102" s="905">
        <f t="shared" ca="1" si="6"/>
        <v>0</v>
      </c>
      <c r="M102" s="904">
        <f t="shared" ca="1" si="7"/>
        <v>0</v>
      </c>
      <c r="N102" s="905">
        <f t="shared" ca="1" si="8"/>
        <v>0</v>
      </c>
      <c r="O102" s="904">
        <f t="shared" ca="1" si="9"/>
        <v>0</v>
      </c>
    </row>
    <row r="103" spans="1:15" s="5" customFormat="1" ht="16.5" customHeight="1">
      <c r="A103" s="225" t="str">
        <f t="shared" ca="1" si="5"/>
        <v/>
      </c>
      <c r="B103" s="229" t="str">
        <f ca="1">IF(ROWS($1:87)&gt;COUNT(Dong14),"",OFFSET(TH!D$1,SMALL(Dong14,ROWS($1:87)),))</f>
        <v/>
      </c>
      <c r="C103" s="225" t="str">
        <f ca="1">IF(ROWS($1:87)&gt;COUNT(Dong14),"",OFFSET(TH!E$1,SMALL(Dong14,ROWS($1:87)),))</f>
        <v/>
      </c>
      <c r="D103" s="913" t="str">
        <f ca="1">IF(ROWS($1:87)&gt;COUNT(Dong14),"",OFFSET(TH!F$1,SMALL(Dong14,ROWS($1:87)),))</f>
        <v/>
      </c>
      <c r="E103" s="911" t="str">
        <f ca="1">IF(ROWS($1:87)&gt;COUNT(Dong14),"",IF(OFFSET(TH!N$1,SMALL(Dong14,ROWS($1:87)),)="131",OFFSET(TH!O$1,SMALL(Dong14,ROWS($1:87)),),OFFSET(TH!N$1,SMALL(Dong14,ROWS($1:87)),)))</f>
        <v/>
      </c>
      <c r="F103" s="911">
        <f ca="1">IF(ROWS($1:87)&gt;COUNT(Dong14),0,OFFSET(TH!L$1,SMALL(Dong14,ROWS($1:87)),))</f>
        <v>0</v>
      </c>
      <c r="G103" s="911"/>
      <c r="H103" s="912">
        <f ca="1">IF(ROWS($1:87)&gt;COUNT(Dong14),0,IF(OFFSET(TH!N$1,SMALL(Dong14,ROWS($1:87)),)="131",OFFSET(TH!K$1,SMALL(Dong14,ROWS($1:87)),),0))</f>
        <v>0</v>
      </c>
      <c r="I103" s="911">
        <f ca="1">IF(ROWS($1:87)&gt;COUNT(Dong14),0,IF(OFFSET(TH!N$1,SMALL(Dong14,ROWS($1:87)),)="131",OFFSET(TH!M$1,SMALL(Dong14,ROWS($1:87)),),0))</f>
        <v>0</v>
      </c>
      <c r="J103" s="912">
        <f ca="1">IF(ROWS($1:87)&gt;COUNT(Dong14),0,IF(OFFSET(TH!O$1,SMALL(Dong14,ROWS($1:87)),)="131",OFFSET(TH!K$1,SMALL(Dong14,ROWS($1:87)),),0))</f>
        <v>0</v>
      </c>
      <c r="K103" s="911">
        <f ca="1">IF(ROWS($1:87)&gt;COUNT(Dong14),0,IF(OFFSET(TH!O$1,SMALL(Dong14,ROWS($1:87)),)="131",OFFSET(TH!M$1,SMALL(Dong14,ROWS($1:87)),),0))</f>
        <v>0</v>
      </c>
      <c r="L103" s="905">
        <f t="shared" ca="1" si="6"/>
        <v>0</v>
      </c>
      <c r="M103" s="904">
        <f t="shared" ca="1" si="7"/>
        <v>0</v>
      </c>
      <c r="N103" s="905">
        <f t="shared" ca="1" si="8"/>
        <v>0</v>
      </c>
      <c r="O103" s="904">
        <f t="shared" ca="1" si="9"/>
        <v>0</v>
      </c>
    </row>
    <row r="104" spans="1:15" s="5" customFormat="1" ht="16.5" customHeight="1">
      <c r="A104" s="225" t="str">
        <f t="shared" ca="1" si="5"/>
        <v/>
      </c>
      <c r="B104" s="229" t="str">
        <f ca="1">IF(ROWS($1:88)&gt;COUNT(Dong14),"",OFFSET(TH!D$1,SMALL(Dong14,ROWS($1:88)),))</f>
        <v/>
      </c>
      <c r="C104" s="225" t="str">
        <f ca="1">IF(ROWS($1:88)&gt;COUNT(Dong14),"",OFFSET(TH!E$1,SMALL(Dong14,ROWS($1:88)),))</f>
        <v/>
      </c>
      <c r="D104" s="913" t="str">
        <f ca="1">IF(ROWS($1:88)&gt;COUNT(Dong14),"",OFFSET(TH!F$1,SMALL(Dong14,ROWS($1:88)),))</f>
        <v/>
      </c>
      <c r="E104" s="911" t="str">
        <f ca="1">IF(ROWS($1:88)&gt;COUNT(Dong14),"",IF(OFFSET(TH!N$1,SMALL(Dong14,ROWS($1:88)),)="131",OFFSET(TH!O$1,SMALL(Dong14,ROWS($1:88)),),OFFSET(TH!N$1,SMALL(Dong14,ROWS($1:88)),)))</f>
        <v/>
      </c>
      <c r="F104" s="911">
        <f ca="1">IF(ROWS($1:88)&gt;COUNT(Dong14),0,OFFSET(TH!L$1,SMALL(Dong14,ROWS($1:88)),))</f>
        <v>0</v>
      </c>
      <c r="G104" s="911"/>
      <c r="H104" s="912">
        <f ca="1">IF(ROWS($1:88)&gt;COUNT(Dong14),0,IF(OFFSET(TH!N$1,SMALL(Dong14,ROWS($1:88)),)="131",OFFSET(TH!K$1,SMALL(Dong14,ROWS($1:88)),),0))</f>
        <v>0</v>
      </c>
      <c r="I104" s="911">
        <f ca="1">IF(ROWS($1:88)&gt;COUNT(Dong14),0,IF(OFFSET(TH!N$1,SMALL(Dong14,ROWS($1:88)),)="131",OFFSET(TH!M$1,SMALL(Dong14,ROWS($1:88)),),0))</f>
        <v>0</v>
      </c>
      <c r="J104" s="912">
        <f ca="1">IF(ROWS($1:88)&gt;COUNT(Dong14),0,IF(OFFSET(TH!O$1,SMALL(Dong14,ROWS($1:88)),)="131",OFFSET(TH!K$1,SMALL(Dong14,ROWS($1:88)),),0))</f>
        <v>0</v>
      </c>
      <c r="K104" s="911">
        <f ca="1">IF(ROWS($1:88)&gt;COUNT(Dong14),0,IF(OFFSET(TH!O$1,SMALL(Dong14,ROWS($1:88)),)="131",OFFSET(TH!M$1,SMALL(Dong14,ROWS($1:88)),),0))</f>
        <v>0</v>
      </c>
      <c r="L104" s="905">
        <f t="shared" ca="1" si="6"/>
        <v>0</v>
      </c>
      <c r="M104" s="904">
        <f t="shared" ca="1" si="7"/>
        <v>0</v>
      </c>
      <c r="N104" s="905">
        <f t="shared" ca="1" si="8"/>
        <v>0</v>
      </c>
      <c r="O104" s="904">
        <f t="shared" ca="1" si="9"/>
        <v>0</v>
      </c>
    </row>
    <row r="105" spans="1:15" s="5" customFormat="1" ht="16.5" customHeight="1">
      <c r="A105" s="225" t="str">
        <f t="shared" ca="1" si="5"/>
        <v/>
      </c>
      <c r="B105" s="229" t="str">
        <f ca="1">IF(ROWS($1:89)&gt;COUNT(Dong14),"",OFFSET(TH!D$1,SMALL(Dong14,ROWS($1:89)),))</f>
        <v/>
      </c>
      <c r="C105" s="225" t="str">
        <f ca="1">IF(ROWS($1:89)&gt;COUNT(Dong14),"",OFFSET(TH!E$1,SMALL(Dong14,ROWS($1:89)),))</f>
        <v/>
      </c>
      <c r="D105" s="913" t="str">
        <f ca="1">IF(ROWS($1:89)&gt;COUNT(Dong14),"",OFFSET(TH!F$1,SMALL(Dong14,ROWS($1:89)),))</f>
        <v/>
      </c>
      <c r="E105" s="911" t="str">
        <f ca="1">IF(ROWS($1:89)&gt;COUNT(Dong14),"",IF(OFFSET(TH!N$1,SMALL(Dong14,ROWS($1:89)),)="131",OFFSET(TH!O$1,SMALL(Dong14,ROWS($1:89)),),OFFSET(TH!N$1,SMALL(Dong14,ROWS($1:89)),)))</f>
        <v/>
      </c>
      <c r="F105" s="911">
        <f ca="1">IF(ROWS($1:89)&gt;COUNT(Dong14),0,OFFSET(TH!L$1,SMALL(Dong14,ROWS($1:89)),))</f>
        <v>0</v>
      </c>
      <c r="G105" s="911"/>
      <c r="H105" s="912">
        <f ca="1">IF(ROWS($1:89)&gt;COUNT(Dong14),0,IF(OFFSET(TH!N$1,SMALL(Dong14,ROWS($1:89)),)="131",OFFSET(TH!K$1,SMALL(Dong14,ROWS($1:89)),),0))</f>
        <v>0</v>
      </c>
      <c r="I105" s="911">
        <f ca="1">IF(ROWS($1:89)&gt;COUNT(Dong14),0,IF(OFFSET(TH!N$1,SMALL(Dong14,ROWS($1:89)),)="131",OFFSET(TH!M$1,SMALL(Dong14,ROWS($1:89)),),0))</f>
        <v>0</v>
      </c>
      <c r="J105" s="912">
        <f ca="1">IF(ROWS($1:89)&gt;COUNT(Dong14),0,IF(OFFSET(TH!O$1,SMALL(Dong14,ROWS($1:89)),)="131",OFFSET(TH!K$1,SMALL(Dong14,ROWS($1:89)),),0))</f>
        <v>0</v>
      </c>
      <c r="K105" s="911">
        <f ca="1">IF(ROWS($1:89)&gt;COUNT(Dong14),0,IF(OFFSET(TH!O$1,SMALL(Dong14,ROWS($1:89)),)="131",OFFSET(TH!M$1,SMALL(Dong14,ROWS($1:89)),),0))</f>
        <v>0</v>
      </c>
      <c r="L105" s="905">
        <f t="shared" ca="1" si="6"/>
        <v>0</v>
      </c>
      <c r="M105" s="904">
        <f t="shared" ca="1" si="7"/>
        <v>0</v>
      </c>
      <c r="N105" s="905">
        <f t="shared" ca="1" si="8"/>
        <v>0</v>
      </c>
      <c r="O105" s="904">
        <f t="shared" ca="1" si="9"/>
        <v>0</v>
      </c>
    </row>
    <row r="106" spans="1:15" s="5" customFormat="1" ht="16.5" customHeight="1">
      <c r="A106" s="225" t="str">
        <f t="shared" ca="1" si="5"/>
        <v/>
      </c>
      <c r="B106" s="229" t="str">
        <f ca="1">IF(ROWS($1:90)&gt;COUNT(Dong14),"",OFFSET(TH!D$1,SMALL(Dong14,ROWS($1:90)),))</f>
        <v/>
      </c>
      <c r="C106" s="225" t="str">
        <f ca="1">IF(ROWS($1:90)&gt;COUNT(Dong14),"",OFFSET(TH!E$1,SMALL(Dong14,ROWS($1:90)),))</f>
        <v/>
      </c>
      <c r="D106" s="913" t="str">
        <f ca="1">IF(ROWS($1:90)&gt;COUNT(Dong14),"",OFFSET(TH!F$1,SMALL(Dong14,ROWS($1:90)),))</f>
        <v/>
      </c>
      <c r="E106" s="911" t="str">
        <f ca="1">IF(ROWS($1:90)&gt;COUNT(Dong14),"",IF(OFFSET(TH!N$1,SMALL(Dong14,ROWS($1:90)),)="131",OFFSET(TH!O$1,SMALL(Dong14,ROWS($1:90)),),OFFSET(TH!N$1,SMALL(Dong14,ROWS($1:90)),)))</f>
        <v/>
      </c>
      <c r="F106" s="911">
        <f ca="1">IF(ROWS($1:90)&gt;COUNT(Dong14),0,OFFSET(TH!L$1,SMALL(Dong14,ROWS($1:90)),))</f>
        <v>0</v>
      </c>
      <c r="G106" s="911"/>
      <c r="H106" s="912">
        <f ca="1">IF(ROWS($1:90)&gt;COUNT(Dong14),0,IF(OFFSET(TH!N$1,SMALL(Dong14,ROWS($1:90)),)="131",OFFSET(TH!K$1,SMALL(Dong14,ROWS($1:90)),),0))</f>
        <v>0</v>
      </c>
      <c r="I106" s="911">
        <f ca="1">IF(ROWS($1:90)&gt;COUNT(Dong14),0,IF(OFFSET(TH!N$1,SMALL(Dong14,ROWS($1:90)),)="131",OFFSET(TH!M$1,SMALL(Dong14,ROWS($1:90)),),0))</f>
        <v>0</v>
      </c>
      <c r="J106" s="912">
        <f ca="1">IF(ROWS($1:90)&gt;COUNT(Dong14),0,IF(OFFSET(TH!O$1,SMALL(Dong14,ROWS($1:90)),)="131",OFFSET(TH!K$1,SMALL(Dong14,ROWS($1:90)),),0))</f>
        <v>0</v>
      </c>
      <c r="K106" s="911">
        <f ca="1">IF(ROWS($1:90)&gt;COUNT(Dong14),0,IF(OFFSET(TH!O$1,SMALL(Dong14,ROWS($1:90)),)="131",OFFSET(TH!M$1,SMALL(Dong14,ROWS($1:90)),),0))</f>
        <v>0</v>
      </c>
      <c r="L106" s="905">
        <f t="shared" ca="1" si="6"/>
        <v>0</v>
      </c>
      <c r="M106" s="904">
        <f t="shared" ca="1" si="7"/>
        <v>0</v>
      </c>
      <c r="N106" s="905">
        <f t="shared" ca="1" si="8"/>
        <v>0</v>
      </c>
      <c r="O106" s="904">
        <f t="shared" ca="1" si="9"/>
        <v>0</v>
      </c>
    </row>
    <row r="107" spans="1:15" s="5" customFormat="1" ht="16.5" customHeight="1">
      <c r="A107" s="225" t="str">
        <f t="shared" ca="1" si="5"/>
        <v/>
      </c>
      <c r="B107" s="229" t="str">
        <f ca="1">IF(ROWS($1:91)&gt;COUNT(Dong14),"",OFFSET(TH!D$1,SMALL(Dong14,ROWS($1:91)),))</f>
        <v/>
      </c>
      <c r="C107" s="225" t="str">
        <f ca="1">IF(ROWS($1:91)&gt;COUNT(Dong14),"",OFFSET(TH!E$1,SMALL(Dong14,ROWS($1:91)),))</f>
        <v/>
      </c>
      <c r="D107" s="913" t="str">
        <f ca="1">IF(ROWS($1:91)&gt;COUNT(Dong14),"",OFFSET(TH!F$1,SMALL(Dong14,ROWS($1:91)),))</f>
        <v/>
      </c>
      <c r="E107" s="911" t="str">
        <f ca="1">IF(ROWS($1:91)&gt;COUNT(Dong14),"",IF(OFFSET(TH!N$1,SMALL(Dong14,ROWS($1:91)),)="131",OFFSET(TH!O$1,SMALL(Dong14,ROWS($1:91)),),OFFSET(TH!N$1,SMALL(Dong14,ROWS($1:91)),)))</f>
        <v/>
      </c>
      <c r="F107" s="911">
        <f ca="1">IF(ROWS($1:91)&gt;COUNT(Dong14),0,OFFSET(TH!L$1,SMALL(Dong14,ROWS($1:91)),))</f>
        <v>0</v>
      </c>
      <c r="G107" s="911"/>
      <c r="H107" s="912">
        <f ca="1">IF(ROWS($1:91)&gt;COUNT(Dong14),0,IF(OFFSET(TH!N$1,SMALL(Dong14,ROWS($1:91)),)="131",OFFSET(TH!K$1,SMALL(Dong14,ROWS($1:91)),),0))</f>
        <v>0</v>
      </c>
      <c r="I107" s="911">
        <f ca="1">IF(ROWS($1:91)&gt;COUNT(Dong14),0,IF(OFFSET(TH!N$1,SMALL(Dong14,ROWS($1:91)),)="131",OFFSET(TH!M$1,SMALL(Dong14,ROWS($1:91)),),0))</f>
        <v>0</v>
      </c>
      <c r="J107" s="912">
        <f ca="1">IF(ROWS($1:91)&gt;COUNT(Dong14),0,IF(OFFSET(TH!O$1,SMALL(Dong14,ROWS($1:91)),)="131",OFFSET(TH!K$1,SMALL(Dong14,ROWS($1:91)),),0))</f>
        <v>0</v>
      </c>
      <c r="K107" s="911">
        <f ca="1">IF(ROWS($1:91)&gt;COUNT(Dong14),0,IF(OFFSET(TH!O$1,SMALL(Dong14,ROWS($1:91)),)="131",OFFSET(TH!M$1,SMALL(Dong14,ROWS($1:91)),),0))</f>
        <v>0</v>
      </c>
      <c r="L107" s="905">
        <f t="shared" ca="1" si="6"/>
        <v>0</v>
      </c>
      <c r="M107" s="904">
        <f t="shared" ca="1" si="7"/>
        <v>0</v>
      </c>
      <c r="N107" s="905">
        <f t="shared" ca="1" si="8"/>
        <v>0</v>
      </c>
      <c r="O107" s="904">
        <f t="shared" ca="1" si="9"/>
        <v>0</v>
      </c>
    </row>
    <row r="108" spans="1:15" s="5" customFormat="1" ht="16.5" customHeight="1">
      <c r="A108" s="225" t="str">
        <f t="shared" ca="1" si="5"/>
        <v/>
      </c>
      <c r="B108" s="229" t="str">
        <f ca="1">IF(ROWS($1:92)&gt;COUNT(Dong14),"",OFFSET(TH!D$1,SMALL(Dong14,ROWS($1:92)),))</f>
        <v/>
      </c>
      <c r="C108" s="225" t="str">
        <f ca="1">IF(ROWS($1:92)&gt;COUNT(Dong14),"",OFFSET(TH!E$1,SMALL(Dong14,ROWS($1:92)),))</f>
        <v/>
      </c>
      <c r="D108" s="913" t="str">
        <f ca="1">IF(ROWS($1:92)&gt;COUNT(Dong14),"",OFFSET(TH!F$1,SMALL(Dong14,ROWS($1:92)),))</f>
        <v/>
      </c>
      <c r="E108" s="911" t="str">
        <f ca="1">IF(ROWS($1:92)&gt;COUNT(Dong14),"",IF(OFFSET(TH!N$1,SMALL(Dong14,ROWS($1:92)),)="131",OFFSET(TH!O$1,SMALL(Dong14,ROWS($1:92)),),OFFSET(TH!N$1,SMALL(Dong14,ROWS($1:92)),)))</f>
        <v/>
      </c>
      <c r="F108" s="911">
        <f ca="1">IF(ROWS($1:92)&gt;COUNT(Dong14),0,OFFSET(TH!L$1,SMALL(Dong14,ROWS($1:92)),))</f>
        <v>0</v>
      </c>
      <c r="G108" s="911"/>
      <c r="H108" s="912">
        <f ca="1">IF(ROWS($1:92)&gt;COUNT(Dong14),0,IF(OFFSET(TH!N$1,SMALL(Dong14,ROWS($1:92)),)="131",OFFSET(TH!K$1,SMALL(Dong14,ROWS($1:92)),),0))</f>
        <v>0</v>
      </c>
      <c r="I108" s="911">
        <f ca="1">IF(ROWS($1:92)&gt;COUNT(Dong14),0,IF(OFFSET(TH!N$1,SMALL(Dong14,ROWS($1:92)),)="131",OFFSET(TH!M$1,SMALL(Dong14,ROWS($1:92)),),0))</f>
        <v>0</v>
      </c>
      <c r="J108" s="912">
        <f ca="1">IF(ROWS($1:92)&gt;COUNT(Dong14),0,IF(OFFSET(TH!O$1,SMALL(Dong14,ROWS($1:92)),)="131",OFFSET(TH!K$1,SMALL(Dong14,ROWS($1:92)),),0))</f>
        <v>0</v>
      </c>
      <c r="K108" s="911">
        <f ca="1">IF(ROWS($1:92)&gt;COUNT(Dong14),0,IF(OFFSET(TH!O$1,SMALL(Dong14,ROWS($1:92)),)="131",OFFSET(TH!M$1,SMALL(Dong14,ROWS($1:92)),),0))</f>
        <v>0</v>
      </c>
      <c r="L108" s="905">
        <f t="shared" ca="1" si="6"/>
        <v>0</v>
      </c>
      <c r="M108" s="904">
        <f t="shared" ca="1" si="7"/>
        <v>0</v>
      </c>
      <c r="N108" s="905">
        <f t="shared" ca="1" si="8"/>
        <v>0</v>
      </c>
      <c r="O108" s="904">
        <f t="shared" ca="1" si="9"/>
        <v>0</v>
      </c>
    </row>
    <row r="109" spans="1:15" s="5" customFormat="1" ht="16.5" customHeight="1">
      <c r="A109" s="225" t="str">
        <f t="shared" ca="1" si="5"/>
        <v/>
      </c>
      <c r="B109" s="229" t="str">
        <f ca="1">IF(ROWS($1:93)&gt;COUNT(Dong14),"",OFFSET(TH!D$1,SMALL(Dong14,ROWS($1:93)),))</f>
        <v/>
      </c>
      <c r="C109" s="225" t="str">
        <f ca="1">IF(ROWS($1:93)&gt;COUNT(Dong14),"",OFFSET(TH!E$1,SMALL(Dong14,ROWS($1:93)),))</f>
        <v/>
      </c>
      <c r="D109" s="913" t="str">
        <f ca="1">IF(ROWS($1:93)&gt;COUNT(Dong14),"",OFFSET(TH!F$1,SMALL(Dong14,ROWS($1:93)),))</f>
        <v/>
      </c>
      <c r="E109" s="911" t="str">
        <f ca="1">IF(ROWS($1:93)&gt;COUNT(Dong14),"",IF(OFFSET(TH!N$1,SMALL(Dong14,ROWS($1:93)),)="131",OFFSET(TH!O$1,SMALL(Dong14,ROWS($1:93)),),OFFSET(TH!N$1,SMALL(Dong14,ROWS($1:93)),)))</f>
        <v/>
      </c>
      <c r="F109" s="911">
        <f ca="1">IF(ROWS($1:93)&gt;COUNT(Dong14),0,OFFSET(TH!L$1,SMALL(Dong14,ROWS($1:93)),))</f>
        <v>0</v>
      </c>
      <c r="G109" s="911"/>
      <c r="H109" s="912">
        <f ca="1">IF(ROWS($1:93)&gt;COUNT(Dong14),0,IF(OFFSET(TH!N$1,SMALL(Dong14,ROWS($1:93)),)="131",OFFSET(TH!K$1,SMALL(Dong14,ROWS($1:93)),),0))</f>
        <v>0</v>
      </c>
      <c r="I109" s="911">
        <f ca="1">IF(ROWS($1:93)&gt;COUNT(Dong14),0,IF(OFFSET(TH!N$1,SMALL(Dong14,ROWS($1:93)),)="131",OFFSET(TH!M$1,SMALL(Dong14,ROWS($1:93)),),0))</f>
        <v>0</v>
      </c>
      <c r="J109" s="912">
        <f ca="1">IF(ROWS($1:93)&gt;COUNT(Dong14),0,IF(OFFSET(TH!O$1,SMALL(Dong14,ROWS($1:93)),)="131",OFFSET(TH!K$1,SMALL(Dong14,ROWS($1:93)),),0))</f>
        <v>0</v>
      </c>
      <c r="K109" s="911">
        <f ca="1">IF(ROWS($1:93)&gt;COUNT(Dong14),0,IF(OFFSET(TH!O$1,SMALL(Dong14,ROWS($1:93)),)="131",OFFSET(TH!M$1,SMALL(Dong14,ROWS($1:93)),),0))</f>
        <v>0</v>
      </c>
      <c r="L109" s="905">
        <f t="shared" ca="1" si="6"/>
        <v>0</v>
      </c>
      <c r="M109" s="904">
        <f t="shared" ca="1" si="7"/>
        <v>0</v>
      </c>
      <c r="N109" s="905">
        <f t="shared" ca="1" si="8"/>
        <v>0</v>
      </c>
      <c r="O109" s="904">
        <f t="shared" ca="1" si="9"/>
        <v>0</v>
      </c>
    </row>
    <row r="110" spans="1:15" s="5" customFormat="1" ht="16.5" customHeight="1">
      <c r="A110" s="225"/>
      <c r="B110" s="908"/>
      <c r="C110" s="1472"/>
      <c r="D110" s="909"/>
      <c r="E110" s="1473"/>
      <c r="F110" s="1473"/>
      <c r="G110" s="1473"/>
      <c r="H110" s="1474"/>
      <c r="I110" s="911"/>
      <c r="J110" s="1474"/>
      <c r="K110" s="1473"/>
      <c r="L110" s="905"/>
      <c r="M110" s="904"/>
      <c r="N110" s="905"/>
      <c r="O110" s="904"/>
    </row>
    <row r="111" spans="1:15" s="5" customFormat="1" ht="16.5" customHeight="1">
      <c r="A111" s="225"/>
      <c r="B111" s="908"/>
      <c r="C111" s="1472"/>
      <c r="D111" s="909"/>
      <c r="E111" s="1473"/>
      <c r="F111" s="1473"/>
      <c r="G111" s="1473"/>
      <c r="H111" s="1474"/>
      <c r="I111" s="911"/>
      <c r="J111" s="1474"/>
      <c r="K111" s="1473"/>
      <c r="L111" s="905"/>
      <c r="M111" s="904"/>
      <c r="N111" s="905"/>
      <c r="O111" s="904"/>
    </row>
    <row r="112" spans="1:15" s="5" customFormat="1" ht="16.5" customHeight="1">
      <c r="A112" s="225"/>
      <c r="B112" s="908"/>
      <c r="C112" s="1472"/>
      <c r="D112" s="909"/>
      <c r="E112" s="1473"/>
      <c r="F112" s="1473"/>
      <c r="G112" s="1473"/>
      <c r="H112" s="1474"/>
      <c r="I112" s="911"/>
      <c r="J112" s="1474"/>
      <c r="K112" s="1473"/>
      <c r="L112" s="905"/>
      <c r="M112" s="904"/>
      <c r="N112" s="905"/>
      <c r="O112" s="904"/>
    </row>
    <row r="113" spans="1:15" s="5" customFormat="1" ht="16.5" customHeight="1">
      <c r="A113" s="225"/>
      <c r="B113" s="908"/>
      <c r="C113" s="1472"/>
      <c r="D113" s="909"/>
      <c r="E113" s="1473"/>
      <c r="F113" s="1473"/>
      <c r="G113" s="1473"/>
      <c r="H113" s="1474"/>
      <c r="I113" s="911"/>
      <c r="J113" s="1474"/>
      <c r="K113" s="1473"/>
      <c r="L113" s="905"/>
      <c r="M113" s="904"/>
      <c r="N113" s="905"/>
      <c r="O113" s="904"/>
    </row>
    <row r="114" spans="1:15" s="5" customFormat="1" ht="16.5" customHeight="1">
      <c r="A114" s="225" t="str">
        <f t="shared" ref="A114" si="10">IF(C114&lt;&gt;"",C114,"")</f>
        <v/>
      </c>
      <c r="B114" s="909"/>
      <c r="C114" s="909"/>
      <c r="D114" s="910"/>
      <c r="E114" s="909"/>
      <c r="F114" s="908"/>
      <c r="G114" s="906"/>
      <c r="H114" s="907"/>
      <c r="I114" s="904"/>
      <c r="J114" s="907"/>
      <c r="K114" s="906"/>
      <c r="L114" s="905"/>
      <c r="M114" s="904"/>
      <c r="N114" s="905"/>
      <c r="O114" s="904"/>
    </row>
    <row r="115" spans="1:15" s="5" customFormat="1" ht="16.5" customHeight="1">
      <c r="A115" s="903"/>
      <c r="B115" s="903"/>
      <c r="C115" s="903"/>
      <c r="D115" s="902" t="s">
        <v>35</v>
      </c>
      <c r="E115" s="901" t="s">
        <v>21</v>
      </c>
      <c r="F115" s="901"/>
      <c r="G115" s="898" t="s">
        <v>21</v>
      </c>
      <c r="H115" s="899">
        <f ca="1">SUM(H17:H114)</f>
        <v>232073</v>
      </c>
      <c r="I115" s="898">
        <f ca="1">SUM(I17:I114)</f>
        <v>5182241650</v>
      </c>
      <c r="J115" s="900">
        <f ca="1">SUM(J17:J114)</f>
        <v>232073.00000000003</v>
      </c>
      <c r="K115" s="898">
        <f ca="1">ROUND(SUM(K17:K114),0)</f>
        <v>5182241650</v>
      </c>
      <c r="L115" s="899" t="s">
        <v>21</v>
      </c>
      <c r="M115" s="898" t="s">
        <v>21</v>
      </c>
      <c r="N115" s="898" t="s">
        <v>21</v>
      </c>
      <c r="O115" s="898" t="s">
        <v>21</v>
      </c>
    </row>
    <row r="116" spans="1:15" s="5" customFormat="1" ht="16.5" customHeight="1">
      <c r="A116" s="903"/>
      <c r="B116" s="903"/>
      <c r="C116" s="903"/>
      <c r="D116" s="902" t="s">
        <v>10</v>
      </c>
      <c r="E116" s="901" t="s">
        <v>21</v>
      </c>
      <c r="F116" s="901"/>
      <c r="G116" s="898" t="s">
        <v>21</v>
      </c>
      <c r="H116" s="899" t="s">
        <v>21</v>
      </c>
      <c r="I116" s="898" t="s">
        <v>21</v>
      </c>
      <c r="J116" s="900" t="s">
        <v>21</v>
      </c>
      <c r="K116" s="898" t="s">
        <v>21</v>
      </c>
      <c r="L116" s="899">
        <f ca="1">ROUND(MAX(L16+H115-N16-J115,0),2)</f>
        <v>0</v>
      </c>
      <c r="M116" s="898">
        <f ca="1">ROUND(MAX(M16+I115-O16-K115,0),0)</f>
        <v>0</v>
      </c>
      <c r="N116" s="898">
        <f ca="1">ROUND(MAX(N16+J115-L16-H115,0),2)</f>
        <v>0</v>
      </c>
      <c r="O116" s="898">
        <f ca="1">ROUND(MAX(O16+K115-M16-I115,0),-1)</f>
        <v>0</v>
      </c>
    </row>
    <row r="117" spans="1:15" s="5" customFormat="1" ht="15">
      <c r="A117" s="226" t="s">
        <v>493</v>
      </c>
      <c r="B117" s="4"/>
      <c r="C117" s="4"/>
      <c r="E117" s="4"/>
      <c r="F117" s="862"/>
      <c r="G117" s="895"/>
      <c r="H117" s="897"/>
      <c r="I117" s="895"/>
      <c r="J117" s="249"/>
      <c r="K117" s="895"/>
    </row>
    <row r="118" spans="1:15" s="5" customFormat="1" ht="15">
      <c r="A118" s="226" t="s">
        <v>188</v>
      </c>
      <c r="B118" s="4"/>
      <c r="C118" s="4"/>
      <c r="E118" s="4"/>
      <c r="F118" s="862"/>
      <c r="G118" s="895"/>
      <c r="H118" s="897"/>
      <c r="I118" s="895"/>
      <c r="J118" s="249"/>
      <c r="K118" s="895"/>
    </row>
    <row r="119" spans="1:15" s="5" customFormat="1" ht="15">
      <c r="A119" s="4"/>
      <c r="B119" s="4"/>
      <c r="C119" s="4"/>
      <c r="E119" s="4"/>
      <c r="F119" s="862"/>
      <c r="G119" s="895"/>
      <c r="H119" s="896"/>
      <c r="I119" s="895"/>
      <c r="J119" s="1273" t="s">
        <v>175</v>
      </c>
      <c r="K119" s="1273"/>
      <c r="L119" s="1273"/>
      <c r="M119" s="1273"/>
      <c r="N119" s="1273"/>
      <c r="O119" s="1273"/>
    </row>
    <row r="120" spans="1:15" s="5" customFormat="1" ht="15">
      <c r="A120" s="4"/>
      <c r="C120" s="4"/>
      <c r="D120" s="1083" t="s">
        <v>11</v>
      </c>
      <c r="E120" s="4"/>
      <c r="F120" s="862"/>
      <c r="G120" s="895"/>
      <c r="H120" s="896"/>
      <c r="I120" s="895"/>
      <c r="J120" s="249"/>
      <c r="K120" s="895"/>
      <c r="L120" s="1273" t="s">
        <v>12</v>
      </c>
      <c r="M120" s="1273"/>
    </row>
    <row r="121" spans="1:15" s="5" customFormat="1" ht="15">
      <c r="A121" s="4"/>
      <c r="C121" s="4"/>
      <c r="D121" s="1083" t="s">
        <v>13</v>
      </c>
      <c r="E121" s="4"/>
      <c r="F121" s="862"/>
      <c r="G121" s="895"/>
      <c r="H121" s="896"/>
      <c r="I121" s="895"/>
      <c r="J121" s="249"/>
      <c r="K121" s="895"/>
      <c r="L121" s="1273" t="s">
        <v>13</v>
      </c>
      <c r="M121" s="1273"/>
    </row>
    <row r="122" spans="1:15">
      <c r="D122" s="1117"/>
    </row>
    <row r="123" spans="1:15">
      <c r="D123" s="1117"/>
    </row>
    <row r="124" spans="1:15">
      <c r="D124" s="1117"/>
    </row>
    <row r="125" spans="1:15">
      <c r="D125" s="1117"/>
    </row>
    <row r="126" spans="1:15">
      <c r="D126" s="1117"/>
    </row>
    <row r="127" spans="1:15">
      <c r="D127" s="1117"/>
    </row>
    <row r="128" spans="1:15">
      <c r="D128" s="1117"/>
    </row>
    <row r="129" spans="3:4">
      <c r="C129" s="1086"/>
      <c r="D129" s="1086" t="s">
        <v>229</v>
      </c>
    </row>
  </sheetData>
  <sortState ref="A17:P61">
    <sortCondition ref="A61"/>
  </sortState>
  <mergeCells count="20">
    <mergeCell ref="A3:D3"/>
    <mergeCell ref="A6:O6"/>
    <mergeCell ref="H9:J9"/>
    <mergeCell ref="A12:A14"/>
    <mergeCell ref="B12:C12"/>
    <mergeCell ref="D12:D14"/>
    <mergeCell ref="E12:E14"/>
    <mergeCell ref="F12:F14"/>
    <mergeCell ref="G12:G14"/>
    <mergeCell ref="H12:K12"/>
    <mergeCell ref="J119:O119"/>
    <mergeCell ref="L120:M120"/>
    <mergeCell ref="L121:M121"/>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3.xml><?xml version="1.0" encoding="utf-8"?>
<worksheet xmlns="http://schemas.openxmlformats.org/spreadsheetml/2006/main" xmlns:r="http://schemas.openxmlformats.org/officeDocument/2006/relationships">
  <sheetPr enableFormatConditionsCalculation="0">
    <tabColor rgb="FFFF0000"/>
  </sheetPr>
  <dimension ref="A1:I76"/>
  <sheetViews>
    <sheetView showZeros="0" workbookViewId="0">
      <pane ySplit="3" topLeftCell="A25" activePane="bottomLeft" state="frozen"/>
      <selection pane="bottomLeft" activeCell="E72" sqref="E72:H72"/>
    </sheetView>
  </sheetViews>
  <sheetFormatPr defaultColWidth="8" defaultRowHeight="13.5"/>
  <cols>
    <col min="1" max="1" width="5.5703125" style="230" customWidth="1"/>
    <col min="2" max="2" width="59.140625" style="230" customWidth="1"/>
    <col min="3" max="8" width="16.42578125" style="230" customWidth="1"/>
    <col min="9" max="16384" width="8" style="230"/>
  </cols>
  <sheetData>
    <row r="1" spans="1:9" ht="27" customHeight="1">
      <c r="A1" s="1300" t="s">
        <v>124</v>
      </c>
      <c r="B1" s="1300"/>
      <c r="C1" s="1300"/>
      <c r="D1" s="1300"/>
      <c r="E1" s="1300"/>
      <c r="F1" s="1300"/>
      <c r="G1" s="1300"/>
      <c r="H1" s="1300"/>
    </row>
    <row r="2" spans="1:9" s="10" customFormat="1" ht="14.25" customHeight="1">
      <c r="A2" s="1322" t="s">
        <v>37</v>
      </c>
      <c r="B2" s="1324" t="s">
        <v>38</v>
      </c>
      <c r="C2" s="1320" t="s">
        <v>39</v>
      </c>
      <c r="D2" s="1321"/>
      <c r="E2" s="1320" t="s">
        <v>40</v>
      </c>
      <c r="F2" s="1321"/>
      <c r="G2" s="1320" t="s">
        <v>44</v>
      </c>
      <c r="H2" s="1321"/>
    </row>
    <row r="3" spans="1:9" s="10" customFormat="1" ht="14.25" customHeight="1">
      <c r="A3" s="1323"/>
      <c r="B3" s="1325"/>
      <c r="C3" s="329" t="s">
        <v>45</v>
      </c>
      <c r="D3" s="329" t="s">
        <v>46</v>
      </c>
      <c r="E3" s="329" t="s">
        <v>45</v>
      </c>
      <c r="F3" s="329" t="s">
        <v>46</v>
      </c>
      <c r="G3" s="329" t="s">
        <v>45</v>
      </c>
      <c r="H3" s="329" t="s">
        <v>46</v>
      </c>
    </row>
    <row r="4" spans="1:9" s="965" customFormat="1" ht="16.5" customHeight="1">
      <c r="A4" s="6">
        <f>IF(B4&lt;&gt;"",ROW()-3,"")</f>
        <v>1</v>
      </c>
      <c r="B4" s="1209" t="s">
        <v>1996</v>
      </c>
      <c r="C4" s="959"/>
      <c r="D4" s="959"/>
      <c r="E4" s="959">
        <f t="array" ref="E4">SUM(IF("331"&amp;B4=KHN&amp;KH,TH))</f>
        <v>48983000</v>
      </c>
      <c r="F4" s="959">
        <f t="array" ref="F4">SUM(IF("331"&amp;B4=KHC&amp;KH,TH))</f>
        <v>48983000</v>
      </c>
      <c r="G4" s="964">
        <f>ROUND(MAX(C4+E4-D4-F4,0),2)</f>
        <v>0</v>
      </c>
      <c r="H4" s="964">
        <f>ROUND(MAX(D4+F4-C4-E4,0),2)</f>
        <v>0</v>
      </c>
      <c r="I4" s="965" t="str">
        <f>IF(ISNA(VLOOKUP(B4,DSNL,6,0)),"",VLOOKUP(B4,DSNL,6,0))</f>
        <v/>
      </c>
    </row>
    <row r="5" spans="1:9" s="10" customFormat="1" ht="16.5" customHeight="1">
      <c r="A5" s="6">
        <f>IF(B5&lt;&gt;"",ROW()-3,"")</f>
        <v>2</v>
      </c>
      <c r="B5" s="7" t="s">
        <v>619</v>
      </c>
      <c r="C5" s="8">
        <v>0</v>
      </c>
      <c r="D5" s="8">
        <v>0</v>
      </c>
      <c r="E5" s="8">
        <f t="array" ref="E5">SUM(IF("331"&amp;B5=KHN&amp;KH,TH))</f>
        <v>10890000</v>
      </c>
      <c r="F5" s="8">
        <f t="array" ref="F5">SUM(IF("331"&amp;B5=KHC&amp;KH,TH))</f>
        <v>10890000</v>
      </c>
      <c r="G5" s="90">
        <f>ROUND(MAX(C5+E5-D5-F5,0),2)</f>
        <v>0</v>
      </c>
      <c r="H5" s="90">
        <f>ROUND(MAX(D5+F5-C5-E5,0),2)</f>
        <v>0</v>
      </c>
    </row>
    <row r="6" spans="1:9" s="10" customFormat="1" ht="16.5" customHeight="1">
      <c r="A6" s="6">
        <f t="shared" ref="A6:A20" si="0">IF(B6&lt;&gt;"",ROW()-3,"")</f>
        <v>3</v>
      </c>
      <c r="B6" s="7" t="s">
        <v>621</v>
      </c>
      <c r="C6" s="8">
        <v>0</v>
      </c>
      <c r="D6" s="8">
        <v>0</v>
      </c>
      <c r="E6" s="8">
        <f t="array" ref="E6">SUM(IF("331"&amp;B6=KHN&amp;KH,TH))</f>
        <v>9114999</v>
      </c>
      <c r="F6" s="8">
        <f t="array" ref="F6">SUM(IF("331"&amp;B6=KHC&amp;KH,TH))</f>
        <v>9114999</v>
      </c>
      <c r="G6" s="90">
        <f t="shared" ref="G6:G11" si="1">ROUND(MAX(C6+E6-D6-F6,0),2)</f>
        <v>0</v>
      </c>
      <c r="H6" s="90">
        <f t="shared" ref="H6:H11" si="2">ROUND(MAX(D6+F6-C6-E6,0),2)</f>
        <v>0</v>
      </c>
    </row>
    <row r="7" spans="1:9" s="10" customFormat="1" ht="16.5" customHeight="1">
      <c r="A7" s="6">
        <f t="shared" si="0"/>
        <v>4</v>
      </c>
      <c r="B7" s="7" t="s">
        <v>622</v>
      </c>
      <c r="C7" s="8">
        <v>0</v>
      </c>
      <c r="D7" s="8">
        <v>0</v>
      </c>
      <c r="E7" s="8">
        <f t="array" ref="E7">SUM(IF("331"&amp;B7=KHN&amp;KH,TH))</f>
        <v>12800000</v>
      </c>
      <c r="F7" s="8">
        <f t="array" ref="F7">SUM(IF("331"&amp;B7=KHC&amp;KH,TH))</f>
        <v>22400000</v>
      </c>
      <c r="G7" s="90">
        <f t="shared" si="1"/>
        <v>0</v>
      </c>
      <c r="H7" s="90">
        <f t="shared" si="2"/>
        <v>9600000</v>
      </c>
    </row>
    <row r="8" spans="1:9" s="10" customFormat="1" ht="16.5" customHeight="1">
      <c r="A8" s="6">
        <f t="shared" si="0"/>
        <v>5</v>
      </c>
      <c r="B8" s="73" t="s">
        <v>1423</v>
      </c>
      <c r="C8" s="8">
        <v>0</v>
      </c>
      <c r="D8" s="8">
        <v>0</v>
      </c>
      <c r="E8" s="8">
        <f t="array" ref="E8">SUM(IF("331"&amp;B8=KHN&amp;KH,TH))</f>
        <v>138600000</v>
      </c>
      <c r="F8" s="8">
        <f t="array" ref="F8">SUM(IF("331"&amp;B8=KHC&amp;KH,TH))</f>
        <v>138600000</v>
      </c>
      <c r="G8" s="90">
        <f t="shared" si="1"/>
        <v>0</v>
      </c>
      <c r="H8" s="90">
        <f t="shared" si="2"/>
        <v>0</v>
      </c>
    </row>
    <row r="9" spans="1:9" s="10" customFormat="1" ht="16.5" customHeight="1">
      <c r="A9" s="6">
        <f t="shared" si="0"/>
        <v>6</v>
      </c>
      <c r="B9" s="7" t="s">
        <v>623</v>
      </c>
      <c r="C9" s="8">
        <v>0</v>
      </c>
      <c r="D9" s="8">
        <v>0</v>
      </c>
      <c r="E9" s="8">
        <f t="array" ref="E9">SUM(IF("331"&amp;B9=KHN&amp;KH,TH))</f>
        <v>100000000</v>
      </c>
      <c r="F9" s="8">
        <f t="array" ref="F9">SUM(IF("331"&amp;B9=KHC&amp;KH,TH))</f>
        <v>190788924</v>
      </c>
      <c r="G9" s="90">
        <f t="shared" si="1"/>
        <v>0</v>
      </c>
      <c r="H9" s="90">
        <f t="shared" si="2"/>
        <v>90788924</v>
      </c>
    </row>
    <row r="10" spans="1:9" s="10" customFormat="1" ht="16.5" customHeight="1">
      <c r="A10" s="6">
        <f t="shared" si="0"/>
        <v>7</v>
      </c>
      <c r="B10" s="76" t="s">
        <v>624</v>
      </c>
      <c r="C10" s="8">
        <v>0</v>
      </c>
      <c r="D10" s="8">
        <v>60990540</v>
      </c>
      <c r="E10" s="8">
        <f t="array" ref="E10">SUM(IF("331"&amp;B10=KHN&amp;KH,TH))</f>
        <v>98798640</v>
      </c>
      <c r="F10" s="8">
        <f t="array" ref="F10">SUM(IF("331"&amp;B10=KHC&amp;KH,TH))</f>
        <v>37808100</v>
      </c>
      <c r="G10" s="90">
        <f t="shared" si="1"/>
        <v>0</v>
      </c>
      <c r="H10" s="90">
        <f t="shared" si="2"/>
        <v>0</v>
      </c>
    </row>
    <row r="11" spans="1:9" s="10" customFormat="1" ht="16.5" customHeight="1">
      <c r="A11" s="6">
        <f t="shared" si="0"/>
        <v>8</v>
      </c>
      <c r="B11" s="7" t="s">
        <v>625</v>
      </c>
      <c r="C11" s="8">
        <v>0</v>
      </c>
      <c r="D11" s="8">
        <v>62480865</v>
      </c>
      <c r="E11" s="8">
        <f t="array" ref="E11">SUM(IF("331"&amp;B11=KHN&amp;KH,TH))</f>
        <v>0</v>
      </c>
      <c r="F11" s="8">
        <f t="array" ref="F11">SUM(IF("331"&amp;B11=KHC&amp;KH,TH))</f>
        <v>0</v>
      </c>
      <c r="G11" s="90">
        <f t="shared" si="1"/>
        <v>0</v>
      </c>
      <c r="H11" s="90">
        <f t="shared" si="2"/>
        <v>62480865</v>
      </c>
    </row>
    <row r="12" spans="1:9" s="10" customFormat="1" ht="16.5" customHeight="1">
      <c r="A12" s="6">
        <f t="shared" si="0"/>
        <v>9</v>
      </c>
      <c r="B12" s="7" t="s">
        <v>675</v>
      </c>
      <c r="C12" s="8">
        <v>0</v>
      </c>
      <c r="D12" s="8">
        <v>0</v>
      </c>
      <c r="E12" s="8">
        <f t="array" ref="E12">SUM(IF("331"&amp;B12=KHN&amp;KH,TH))</f>
        <v>59100000</v>
      </c>
      <c r="F12" s="8">
        <f t="array" ref="F12">SUM(IF("331"&amp;B12=KHC&amp;KH,TH))</f>
        <v>59100000</v>
      </c>
      <c r="G12" s="90">
        <f t="shared" ref="G12:G32" si="3">ROUND(MAX(C12+E12-D12-F12,0),2)</f>
        <v>0</v>
      </c>
      <c r="H12" s="90">
        <f t="shared" ref="H12:H32" si="4">ROUND(MAX(D12+F12-C12-E12,0),2)</f>
        <v>0</v>
      </c>
    </row>
    <row r="13" spans="1:9" s="10" customFormat="1" ht="16.5" customHeight="1">
      <c r="A13" s="6">
        <f t="shared" si="0"/>
        <v>10</v>
      </c>
      <c r="B13" s="7" t="s">
        <v>676</v>
      </c>
      <c r="C13" s="8">
        <v>0</v>
      </c>
      <c r="D13" s="8">
        <v>0</v>
      </c>
      <c r="E13" s="8">
        <f t="array" ref="E13">SUM(IF("331"&amp;B13=KHN&amp;KH,TH))</f>
        <v>36300000</v>
      </c>
      <c r="F13" s="8">
        <f t="array" ref="F13">SUM(IF("331"&amp;B13=KHC&amp;KH,TH))</f>
        <v>36300000</v>
      </c>
      <c r="G13" s="90">
        <f t="shared" si="3"/>
        <v>0</v>
      </c>
      <c r="H13" s="90">
        <f t="shared" si="4"/>
        <v>0</v>
      </c>
    </row>
    <row r="14" spans="1:9" s="10" customFormat="1" ht="16.5" customHeight="1">
      <c r="A14" s="6">
        <f t="shared" si="0"/>
        <v>11</v>
      </c>
      <c r="B14" s="76" t="s">
        <v>626</v>
      </c>
      <c r="C14" s="8">
        <v>0</v>
      </c>
      <c r="D14" s="8">
        <v>38506000</v>
      </c>
      <c r="E14" s="8">
        <f t="array" ref="E14">SUM(IF("331"&amp;B14=KHN&amp;KH,TH))</f>
        <v>233397400</v>
      </c>
      <c r="F14" s="8">
        <f t="array" ref="F14">SUM(IF("331"&amp;B14=KHC&amp;KH,TH))</f>
        <v>194891400</v>
      </c>
      <c r="G14" s="90">
        <f t="shared" si="3"/>
        <v>0</v>
      </c>
      <c r="H14" s="90">
        <f t="shared" si="4"/>
        <v>0</v>
      </c>
    </row>
    <row r="15" spans="1:9" s="10" customFormat="1" ht="16.5" customHeight="1">
      <c r="A15" s="6">
        <f>IF(B15&lt;&gt;"",ROW()-3,"")</f>
        <v>12</v>
      </c>
      <c r="B15" s="76" t="s">
        <v>1411</v>
      </c>
      <c r="C15" s="8">
        <v>0</v>
      </c>
      <c r="D15" s="8">
        <v>0</v>
      </c>
      <c r="E15" s="8">
        <f t="array" ref="E15">SUM(IF("331"&amp;B15=KHN&amp;KH,TH))</f>
        <v>8400480</v>
      </c>
      <c r="F15" s="8">
        <f t="array" ref="F15">SUM(IF("331"&amp;B15=KHC&amp;KH,TH))</f>
        <v>8400480</v>
      </c>
      <c r="G15" s="90">
        <f t="shared" si="3"/>
        <v>0</v>
      </c>
      <c r="H15" s="90">
        <f t="shared" si="4"/>
        <v>0</v>
      </c>
    </row>
    <row r="16" spans="1:9" s="10" customFormat="1" ht="16.5" customHeight="1">
      <c r="A16" s="6">
        <f>IF(B16&lt;&gt;"",ROW()-3,"")</f>
        <v>13</v>
      </c>
      <c r="B16" s="73" t="s">
        <v>1434</v>
      </c>
      <c r="C16" s="8">
        <v>0</v>
      </c>
      <c r="D16" s="8">
        <v>0</v>
      </c>
      <c r="E16" s="8">
        <f t="array" ref="E16">SUM(IF("331"&amp;B16=KHN&amp;KH,TH))</f>
        <v>7920000</v>
      </c>
      <c r="F16" s="8">
        <f t="array" ref="F16">SUM(IF("331"&amp;B16=KHC&amp;KH,TH))</f>
        <v>7920000</v>
      </c>
      <c r="G16" s="90">
        <f t="shared" si="3"/>
        <v>0</v>
      </c>
      <c r="H16" s="90">
        <f t="shared" si="4"/>
        <v>0</v>
      </c>
    </row>
    <row r="17" spans="1:9" s="10" customFormat="1" ht="16.5" customHeight="1">
      <c r="A17" s="6">
        <f t="shared" si="0"/>
        <v>14</v>
      </c>
      <c r="B17" s="7" t="s">
        <v>627</v>
      </c>
      <c r="C17" s="8">
        <v>0</v>
      </c>
      <c r="D17" s="8">
        <v>7500000</v>
      </c>
      <c r="E17" s="8">
        <f t="array" ref="E17">SUM(IF("331"&amp;B17=KHN&amp;KH,TH))</f>
        <v>7500000</v>
      </c>
      <c r="F17" s="8">
        <f t="array" ref="F17">SUM(IF("331"&amp;B17=KHC&amp;KH,TH))</f>
        <v>0</v>
      </c>
      <c r="G17" s="90">
        <f t="shared" si="3"/>
        <v>0</v>
      </c>
      <c r="H17" s="90">
        <f t="shared" si="4"/>
        <v>0</v>
      </c>
    </row>
    <row r="18" spans="1:9" s="10" customFormat="1" ht="16.5" customHeight="1">
      <c r="A18" s="6">
        <f t="shared" si="0"/>
        <v>15</v>
      </c>
      <c r="B18" s="7" t="s">
        <v>628</v>
      </c>
      <c r="C18" s="8">
        <v>0</v>
      </c>
      <c r="D18" s="8">
        <v>24446400</v>
      </c>
      <c r="E18" s="8">
        <f t="array" ref="E18">SUM(IF("331"&amp;B18=KHN&amp;KH,TH))</f>
        <v>24446400</v>
      </c>
      <c r="F18" s="8">
        <f t="array" ref="F18">SUM(IF("331"&amp;B18=KHC&amp;KH,TH))</f>
        <v>0</v>
      </c>
      <c r="G18" s="90">
        <f t="shared" si="3"/>
        <v>0</v>
      </c>
      <c r="H18" s="90">
        <f t="shared" si="4"/>
        <v>0</v>
      </c>
    </row>
    <row r="19" spans="1:9" s="10" customFormat="1" ht="16.5" customHeight="1">
      <c r="A19" s="6">
        <f>IF(B19&lt;&gt;"",ROW()-3,"")</f>
        <v>16</v>
      </c>
      <c r="B19" s="73" t="s">
        <v>1430</v>
      </c>
      <c r="C19" s="8">
        <v>0</v>
      </c>
      <c r="D19" s="8">
        <v>0</v>
      </c>
      <c r="E19" s="8">
        <f t="array" ref="E19">SUM(IF("331"&amp;B19=KHN&amp;KH,TH))</f>
        <v>1000000</v>
      </c>
      <c r="F19" s="8">
        <f t="array" ref="F19">SUM(IF("331"&amp;B19=KHC&amp;KH,TH))</f>
        <v>1000000</v>
      </c>
      <c r="G19" s="90">
        <f t="shared" si="3"/>
        <v>0</v>
      </c>
      <c r="H19" s="90">
        <f t="shared" si="4"/>
        <v>0</v>
      </c>
    </row>
    <row r="20" spans="1:9" s="10" customFormat="1" ht="16.5" customHeight="1">
      <c r="A20" s="6">
        <f t="shared" si="0"/>
        <v>17</v>
      </c>
      <c r="B20" s="7" t="s">
        <v>629</v>
      </c>
      <c r="C20" s="8">
        <v>0</v>
      </c>
      <c r="D20" s="8">
        <v>0</v>
      </c>
      <c r="E20" s="8">
        <f t="array" ref="E20">SUM(IF("331"&amp;B20=KHN&amp;KH,TH))</f>
        <v>41657000</v>
      </c>
      <c r="F20" s="8">
        <f t="array" ref="F20">SUM(IF("331"&amp;B20=KHC&amp;KH,TH))</f>
        <v>41657000</v>
      </c>
      <c r="G20" s="90">
        <f t="shared" si="3"/>
        <v>0</v>
      </c>
      <c r="H20" s="90">
        <f t="shared" si="4"/>
        <v>0</v>
      </c>
    </row>
    <row r="21" spans="1:9" s="10" customFormat="1" ht="16.5" customHeight="1">
      <c r="A21" s="6">
        <f t="shared" ref="A21:A26" si="5">IF(B21&lt;&gt;"",ROW()-3,"")</f>
        <v>18</v>
      </c>
      <c r="B21" s="7" t="s">
        <v>630</v>
      </c>
      <c r="C21" s="8">
        <v>0</v>
      </c>
      <c r="D21" s="8">
        <v>124797985</v>
      </c>
      <c r="E21" s="8">
        <f t="array" ref="E21">SUM(IF("331"&amp;B21=KHN&amp;KH,TH))</f>
        <v>139997985</v>
      </c>
      <c r="F21" s="8">
        <f t="array" ref="F21">SUM(IF("331"&amp;B21=KHC&amp;KH,TH))</f>
        <v>28445496</v>
      </c>
      <c r="G21" s="90">
        <f t="shared" si="3"/>
        <v>0</v>
      </c>
      <c r="H21" s="90">
        <f t="shared" si="4"/>
        <v>13245496</v>
      </c>
    </row>
    <row r="22" spans="1:9" s="10" customFormat="1" ht="16.5" customHeight="1">
      <c r="A22" s="6">
        <f t="shared" si="5"/>
        <v>19</v>
      </c>
      <c r="B22" s="7" t="s">
        <v>631</v>
      </c>
      <c r="C22" s="8">
        <v>0</v>
      </c>
      <c r="D22" s="8">
        <v>122052632</v>
      </c>
      <c r="E22" s="8">
        <f t="array" ref="E22">SUM(IF("331"&amp;B22=KHN&amp;KH,TH))</f>
        <v>222574576</v>
      </c>
      <c r="F22" s="8">
        <f t="array" ref="F22">SUM(IF("331"&amp;B22=KHC&amp;KH,TH))</f>
        <v>100521944</v>
      </c>
      <c r="G22" s="90">
        <f t="shared" si="3"/>
        <v>0</v>
      </c>
      <c r="H22" s="90">
        <f t="shared" si="4"/>
        <v>0</v>
      </c>
    </row>
    <row r="23" spans="1:9" s="10" customFormat="1" ht="16.5" customHeight="1">
      <c r="A23" s="6">
        <f t="shared" si="5"/>
        <v>20</v>
      </c>
      <c r="B23" s="7" t="s">
        <v>632</v>
      </c>
      <c r="C23" s="8">
        <v>0</v>
      </c>
      <c r="D23" s="8">
        <v>39198830</v>
      </c>
      <c r="E23" s="8">
        <f t="array" ref="E23">SUM(IF("331"&amp;B23=KHN&amp;KH,TH))</f>
        <v>646493926</v>
      </c>
      <c r="F23" s="8">
        <f t="array" ref="F23">SUM(IF("331"&amp;B23=KHC&amp;KH,TH))</f>
        <v>631363646</v>
      </c>
      <c r="G23" s="90">
        <f t="shared" si="3"/>
        <v>0</v>
      </c>
      <c r="H23" s="90">
        <f t="shared" si="4"/>
        <v>24068550</v>
      </c>
    </row>
    <row r="24" spans="1:9" s="10" customFormat="1" ht="16.5" customHeight="1">
      <c r="A24" s="6">
        <f t="shared" si="5"/>
        <v>21</v>
      </c>
      <c r="B24" s="7" t="s">
        <v>633</v>
      </c>
      <c r="C24" s="8">
        <v>60000000</v>
      </c>
      <c r="D24" s="8">
        <v>0</v>
      </c>
      <c r="E24" s="8">
        <f t="array" ref="E24">SUM(IF("331"&amp;B24=KHN&amp;KH,TH))</f>
        <v>40000000</v>
      </c>
      <c r="F24" s="8">
        <f t="array" ref="F24">SUM(IF("331"&amp;B24=KHC&amp;KH,TH))</f>
        <v>137480000</v>
      </c>
      <c r="G24" s="90">
        <f t="shared" si="3"/>
        <v>0</v>
      </c>
      <c r="H24" s="90">
        <f t="shared" si="4"/>
        <v>37480000</v>
      </c>
    </row>
    <row r="25" spans="1:9" s="10" customFormat="1" ht="16.5" customHeight="1">
      <c r="A25" s="6">
        <f t="shared" si="5"/>
        <v>22</v>
      </c>
      <c r="B25" s="7" t="s">
        <v>634</v>
      </c>
      <c r="C25" s="8">
        <v>0</v>
      </c>
      <c r="D25" s="8">
        <v>56980000</v>
      </c>
      <c r="E25" s="8">
        <f t="array" ref="E25">SUM(IF("331"&amp;B25=KHN&amp;KH,TH))</f>
        <v>56980000</v>
      </c>
      <c r="F25" s="8">
        <f t="array" ref="F25">SUM(IF("331"&amp;B25=KHC&amp;KH,TH))</f>
        <v>0</v>
      </c>
      <c r="G25" s="90">
        <f t="shared" si="3"/>
        <v>0</v>
      </c>
      <c r="H25" s="90">
        <f t="shared" si="4"/>
        <v>0</v>
      </c>
    </row>
    <row r="26" spans="1:9" s="10" customFormat="1" ht="16.5" customHeight="1">
      <c r="A26" s="6">
        <f t="shared" si="5"/>
        <v>23</v>
      </c>
      <c r="B26" s="73" t="s">
        <v>1175</v>
      </c>
      <c r="C26" s="8">
        <v>0</v>
      </c>
      <c r="D26" s="8">
        <v>0</v>
      </c>
      <c r="E26" s="8">
        <f t="array" ref="E26">SUM(IF("331"&amp;B26=KHN&amp;KH,TH))</f>
        <v>36900000</v>
      </c>
      <c r="F26" s="8">
        <f t="array" ref="F26">SUM(IF("331"&amp;B26=KHC&amp;KH,TH))</f>
        <v>36900000</v>
      </c>
      <c r="G26" s="90">
        <f t="shared" si="3"/>
        <v>0</v>
      </c>
      <c r="H26" s="90">
        <f t="shared" si="4"/>
        <v>0</v>
      </c>
    </row>
    <row r="27" spans="1:9" s="965" customFormat="1" ht="16.5" customHeight="1">
      <c r="A27" s="6">
        <f t="shared" ref="A27:A38" si="6">IF(B27&lt;&gt;"",ROW()-3,"")</f>
        <v>24</v>
      </c>
      <c r="B27" s="320" t="s">
        <v>1139</v>
      </c>
      <c r="C27" s="8"/>
      <c r="D27" s="8"/>
      <c r="E27" s="8">
        <f t="array" ref="E27">SUM(IF("331"&amp;B27=KHN&amp;KH,TH))</f>
        <v>16269120</v>
      </c>
      <c r="F27" s="8">
        <f t="array" ref="F27">SUM(IF("331"&amp;B27=KHC&amp;KH,TH))</f>
        <v>16269120</v>
      </c>
      <c r="G27" s="90">
        <f t="shared" si="3"/>
        <v>0</v>
      </c>
      <c r="H27" s="90">
        <f t="shared" si="4"/>
        <v>0</v>
      </c>
      <c r="I27" s="965" t="str">
        <f>IF(ISNA(VLOOKUP(B27,DSNL,6,0)),"",VLOOKUP(B27,DSNL,6,0))</f>
        <v/>
      </c>
    </row>
    <row r="28" spans="1:9" s="965" customFormat="1" ht="16.5" customHeight="1">
      <c r="A28" s="6">
        <f t="shared" si="6"/>
        <v>25</v>
      </c>
      <c r="B28" s="320" t="s">
        <v>1505</v>
      </c>
      <c r="C28" s="8">
        <v>0</v>
      </c>
      <c r="D28" s="8">
        <v>0</v>
      </c>
      <c r="E28" s="8">
        <f t="array" ref="E28">SUM(IF("331"&amp;B28=KHN&amp;KH,TH))</f>
        <v>64375104</v>
      </c>
      <c r="F28" s="8">
        <f t="array" ref="F28">SUM(IF("331"&amp;B28=KHC&amp;KH,TH))</f>
        <v>160462762</v>
      </c>
      <c r="G28" s="90">
        <f t="shared" si="3"/>
        <v>0</v>
      </c>
      <c r="H28" s="90">
        <f t="shared" si="4"/>
        <v>96087658</v>
      </c>
      <c r="I28" s="965" t="str">
        <f>IF(ISNA(VLOOKUP(B28,DSNL,6,0)),"",VLOOKUP(B28,DSNL,6,0))</f>
        <v/>
      </c>
    </row>
    <row r="29" spans="1:9" s="10" customFormat="1" ht="16.5" customHeight="1">
      <c r="A29" s="6">
        <f t="shared" si="6"/>
        <v>26</v>
      </c>
      <c r="B29" s="73" t="s">
        <v>1662</v>
      </c>
      <c r="C29" s="8">
        <v>0</v>
      </c>
      <c r="D29" s="8">
        <v>0</v>
      </c>
      <c r="E29" s="8">
        <f t="array" ref="E29">SUM(IF("331"&amp;B29=KHN&amp;KH,TH))</f>
        <v>28690200</v>
      </c>
      <c r="F29" s="8">
        <f t="array" ref="F29">SUM(IF("331"&amp;B29=KHC&amp;KH,TH))</f>
        <v>28690200</v>
      </c>
      <c r="G29" s="90">
        <f t="shared" si="3"/>
        <v>0</v>
      </c>
      <c r="H29" s="90">
        <f t="shared" si="4"/>
        <v>0</v>
      </c>
    </row>
    <row r="30" spans="1:9" s="10" customFormat="1" ht="16.5" customHeight="1">
      <c r="A30" s="6">
        <f t="shared" si="6"/>
        <v>27</v>
      </c>
      <c r="B30" s="73" t="s">
        <v>1218</v>
      </c>
      <c r="C30" s="8">
        <v>0</v>
      </c>
      <c r="D30" s="8">
        <v>0</v>
      </c>
      <c r="E30" s="8">
        <f t="array" ref="E30">SUM(IF("331"&amp;B30=KHN&amp;KH,TH))</f>
        <v>0</v>
      </c>
      <c r="F30" s="8">
        <f t="array" ref="F30">SUM(IF("331"&amp;B30=KHC&amp;KH,TH))</f>
        <v>0</v>
      </c>
      <c r="G30" s="90">
        <f t="shared" si="3"/>
        <v>0</v>
      </c>
      <c r="H30" s="90">
        <f t="shared" si="4"/>
        <v>0</v>
      </c>
    </row>
    <row r="31" spans="1:9" s="10" customFormat="1" ht="16.5" customHeight="1">
      <c r="A31" s="6">
        <f t="shared" si="6"/>
        <v>28</v>
      </c>
      <c r="B31" s="73" t="s">
        <v>1870</v>
      </c>
      <c r="C31" s="8">
        <v>0</v>
      </c>
      <c r="D31" s="8">
        <v>0</v>
      </c>
      <c r="E31" s="8">
        <f t="array" ref="E31">SUM(IF("331"&amp;B31=KHN&amp;KH,TH))</f>
        <v>0</v>
      </c>
      <c r="F31" s="8">
        <f t="array" ref="F31">SUM(IF("331"&amp;B31=KHC&amp;KH,TH))</f>
        <v>15624906</v>
      </c>
      <c r="G31" s="90">
        <f t="shared" si="3"/>
        <v>0</v>
      </c>
      <c r="H31" s="90">
        <f t="shared" si="4"/>
        <v>15624906</v>
      </c>
    </row>
    <row r="32" spans="1:9" s="10" customFormat="1" ht="16.5" customHeight="1">
      <c r="A32" s="6">
        <f t="shared" si="6"/>
        <v>29</v>
      </c>
      <c r="B32" s="73" t="s">
        <v>1851</v>
      </c>
      <c r="C32" s="8">
        <v>0</v>
      </c>
      <c r="D32" s="8">
        <v>0</v>
      </c>
      <c r="E32" s="8">
        <f t="array" ref="E32">SUM(IF("331"&amp;B32=KHN&amp;KH,TH))</f>
        <v>0</v>
      </c>
      <c r="F32" s="8">
        <f t="array" ref="F32">SUM(IF("331"&amp;B32=KHC&amp;KH,TH))</f>
        <v>84566900</v>
      </c>
      <c r="G32" s="90">
        <f t="shared" si="3"/>
        <v>0</v>
      </c>
      <c r="H32" s="90">
        <f t="shared" si="4"/>
        <v>84566900</v>
      </c>
    </row>
    <row r="33" spans="1:9" s="10" customFormat="1" ht="16.5" customHeight="1">
      <c r="A33" s="6">
        <f t="shared" si="6"/>
        <v>30</v>
      </c>
      <c r="B33" s="73" t="s">
        <v>1385</v>
      </c>
      <c r="C33" s="8">
        <v>0</v>
      </c>
      <c r="D33" s="8">
        <v>0</v>
      </c>
      <c r="E33" s="8">
        <f t="array" ref="E33">SUM(IF("331"&amp;B33=KHN&amp;KH,TH))</f>
        <v>45920878</v>
      </c>
      <c r="F33" s="8">
        <f t="array" ref="F33">SUM(IF("331"&amp;B33=KHC&amp;KH,TH))</f>
        <v>45920878</v>
      </c>
      <c r="G33" s="90">
        <f t="shared" ref="G33:G38" si="7">ROUND(MAX(C33+E33-D33-F33,0),2)</f>
        <v>0</v>
      </c>
      <c r="H33" s="90">
        <f t="shared" ref="H33:H38" si="8">ROUND(MAX(D33+F33-C33-E33,0),2)</f>
        <v>0</v>
      </c>
      <c r="I33" s="10" t="str">
        <f t="shared" ref="I33:I38" si="9">IF(ISNA(VLOOKUP(B33,DSNL,6,0)),"",VLOOKUP(B33,DSNL,6,0))</f>
        <v/>
      </c>
    </row>
    <row r="34" spans="1:9" s="10" customFormat="1" ht="16.5" customHeight="1">
      <c r="A34" s="6">
        <f t="shared" si="6"/>
        <v>31</v>
      </c>
      <c r="B34" s="73" t="s">
        <v>1943</v>
      </c>
      <c r="C34" s="8">
        <v>0</v>
      </c>
      <c r="D34" s="8">
        <v>0</v>
      </c>
      <c r="E34" s="8">
        <f t="array" ref="E34">SUM(IF("331"&amp;B34=KHN&amp;KH,TH))</f>
        <v>0</v>
      </c>
      <c r="F34" s="8">
        <f t="array" ref="F34">SUM(IF("331"&amp;B34=KHC&amp;KH,TH))</f>
        <v>27710536</v>
      </c>
      <c r="G34" s="90">
        <f t="shared" si="7"/>
        <v>0</v>
      </c>
      <c r="H34" s="90">
        <f t="shared" si="8"/>
        <v>27710536</v>
      </c>
      <c r="I34" s="10" t="str">
        <f t="shared" si="9"/>
        <v/>
      </c>
    </row>
    <row r="35" spans="1:9" s="10" customFormat="1" ht="16.5" customHeight="1">
      <c r="A35" s="6">
        <f t="shared" si="6"/>
        <v>32</v>
      </c>
      <c r="B35" s="73" t="s">
        <v>1756</v>
      </c>
      <c r="C35" s="8">
        <v>0</v>
      </c>
      <c r="D35" s="8">
        <v>0</v>
      </c>
      <c r="E35" s="8">
        <f t="array" ref="E35">SUM(IF("331"&amp;B35=KHN&amp;KH,TH))</f>
        <v>0</v>
      </c>
      <c r="F35" s="8">
        <f t="array" ref="F35">SUM(IF("331"&amp;B35=KHC&amp;KH,TH))</f>
        <v>58750000</v>
      </c>
      <c r="G35" s="90">
        <f t="shared" si="7"/>
        <v>0</v>
      </c>
      <c r="H35" s="90">
        <f t="shared" si="8"/>
        <v>58750000</v>
      </c>
      <c r="I35" s="10" t="str">
        <f t="shared" si="9"/>
        <v/>
      </c>
    </row>
    <row r="36" spans="1:9" s="10" customFormat="1" ht="16.5" customHeight="1">
      <c r="A36" s="6">
        <f t="shared" si="6"/>
        <v>33</v>
      </c>
      <c r="B36" s="73" t="s">
        <v>826</v>
      </c>
      <c r="C36" s="8">
        <v>0</v>
      </c>
      <c r="D36" s="8">
        <v>0</v>
      </c>
      <c r="E36" s="8">
        <f t="array" ref="E36">SUM(IF("331"&amp;B36=KHN&amp;KH,TH))</f>
        <v>0</v>
      </c>
      <c r="F36" s="8">
        <f t="array" ref="F36">SUM(IF("331"&amp;B36=KHC&amp;KH,TH))</f>
        <v>3657500</v>
      </c>
      <c r="G36" s="90">
        <f t="shared" si="7"/>
        <v>0</v>
      </c>
      <c r="H36" s="90">
        <f t="shared" si="8"/>
        <v>3657500</v>
      </c>
      <c r="I36" s="10" t="str">
        <f t="shared" si="9"/>
        <v/>
      </c>
    </row>
    <row r="37" spans="1:9" s="10" customFormat="1" ht="16.5" customHeight="1">
      <c r="A37" s="6">
        <f t="shared" si="6"/>
        <v>34</v>
      </c>
      <c r="B37" s="344" t="s">
        <v>1632</v>
      </c>
      <c r="C37" s="8"/>
      <c r="D37" s="8"/>
      <c r="E37" s="8">
        <f t="array" ref="E37">SUM(IF("331"&amp;B37=KHN&amp;KH,TH))</f>
        <v>20293420</v>
      </c>
      <c r="F37" s="8">
        <f t="array" ref="F37">SUM(IF("331"&amp;B37=KHC&amp;KH,TH))</f>
        <v>20293420</v>
      </c>
      <c r="G37" s="90">
        <f t="shared" si="7"/>
        <v>0</v>
      </c>
      <c r="H37" s="90">
        <f t="shared" si="8"/>
        <v>0</v>
      </c>
      <c r="I37" s="10" t="str">
        <f t="shared" si="9"/>
        <v/>
      </c>
    </row>
    <row r="38" spans="1:9" s="10" customFormat="1" ht="16.5" customHeight="1">
      <c r="A38" s="6">
        <f t="shared" si="6"/>
        <v>35</v>
      </c>
      <c r="B38" s="73" t="s">
        <v>1780</v>
      </c>
      <c r="C38" s="8"/>
      <c r="D38" s="8"/>
      <c r="E38" s="8">
        <f t="array" ref="E38">SUM(IF("331"&amp;B38=KHN&amp;KH,TH))</f>
        <v>11852379</v>
      </c>
      <c r="F38" s="8">
        <f t="array" ref="F38">SUM(IF("331"&amp;B38=KHC&amp;KH,TH))</f>
        <v>11852379</v>
      </c>
      <c r="G38" s="90">
        <f t="shared" si="7"/>
        <v>0</v>
      </c>
      <c r="H38" s="90">
        <f t="shared" si="8"/>
        <v>0</v>
      </c>
      <c r="I38" s="10" t="str">
        <f t="shared" si="9"/>
        <v/>
      </c>
    </row>
    <row r="39" spans="1:9" s="965" customFormat="1" ht="16.5" customHeight="1">
      <c r="A39" s="6">
        <f t="shared" ref="A39:A70" si="10">IF(B39&lt;&gt;"",ROW()-3,"")</f>
        <v>36</v>
      </c>
      <c r="B39" s="89" t="s">
        <v>1968</v>
      </c>
      <c r="C39" s="959"/>
      <c r="D39" s="959"/>
      <c r="E39" s="959">
        <f t="array" ref="E39">SUM(IF("331"&amp;B39=KHN&amp;KH,TH))</f>
        <v>86550000</v>
      </c>
      <c r="F39" s="959">
        <f t="array" ref="F39">SUM(IF("331"&amp;B39=KHC&amp;KH,TH))</f>
        <v>86550000</v>
      </c>
      <c r="G39" s="964">
        <f t="shared" ref="G39:G70" si="11">ROUND(MAX(C39+E39-D39-F39,0),2)</f>
        <v>0</v>
      </c>
      <c r="H39" s="964">
        <f t="shared" ref="H39:H70" si="12">ROUND(MAX(D39+F39-C39-E39,0),2)</f>
        <v>0</v>
      </c>
      <c r="I39" s="965" t="str">
        <f t="shared" ref="I39:I70" si="13">IF(ISNA(VLOOKUP(B39,DSNL,6,0)),"",VLOOKUP(B39,DSNL,6,0))</f>
        <v/>
      </c>
    </row>
    <row r="40" spans="1:9" s="965" customFormat="1" ht="16.5" customHeight="1">
      <c r="A40" s="6">
        <f t="shared" si="10"/>
        <v>37</v>
      </c>
      <c r="B40" s="82" t="s">
        <v>444</v>
      </c>
      <c r="C40" s="959"/>
      <c r="D40" s="959"/>
      <c r="E40" s="959">
        <f t="array" ref="E40">SUM(IF("331"&amp;B40=KHN&amp;KH,TH))</f>
        <v>314428000</v>
      </c>
      <c r="F40" s="959">
        <f t="array" ref="F40">SUM(IF("331"&amp;B40=KHC&amp;KH,TH))</f>
        <v>314428000</v>
      </c>
      <c r="G40" s="964">
        <f t="shared" si="11"/>
        <v>0</v>
      </c>
      <c r="H40" s="964">
        <f t="shared" si="12"/>
        <v>0</v>
      </c>
      <c r="I40" s="965" t="str">
        <f t="shared" si="13"/>
        <v>Hai</v>
      </c>
    </row>
    <row r="41" spans="1:9" s="965" customFormat="1" ht="16.5" customHeight="1">
      <c r="A41" s="6">
        <f t="shared" si="10"/>
        <v>38</v>
      </c>
      <c r="B41" s="82" t="s">
        <v>437</v>
      </c>
      <c r="C41" s="959"/>
      <c r="D41" s="959"/>
      <c r="E41" s="959">
        <f t="array" ref="E41">SUM(IF("331"&amp;B41=KHN&amp;KH,TH))</f>
        <v>506129800</v>
      </c>
      <c r="F41" s="959">
        <f t="array" ref="F41">SUM(IF("331"&amp;B41=KHC&amp;KH,TH))</f>
        <v>506129800</v>
      </c>
      <c r="G41" s="964">
        <f t="shared" si="11"/>
        <v>0</v>
      </c>
      <c r="H41" s="964">
        <f t="shared" si="12"/>
        <v>0</v>
      </c>
      <c r="I41" s="965" t="str">
        <f t="shared" si="13"/>
        <v>Hai</v>
      </c>
    </row>
    <row r="42" spans="1:9" s="965" customFormat="1" ht="16.5" customHeight="1">
      <c r="A42" s="6">
        <f t="shared" si="10"/>
        <v>39</v>
      </c>
      <c r="B42" s="89" t="s">
        <v>383</v>
      </c>
      <c r="C42" s="959"/>
      <c r="D42" s="959"/>
      <c r="E42" s="959">
        <f t="array" ref="E42">SUM(IF("331"&amp;B42=KHN&amp;KH,TH))</f>
        <v>3296800000</v>
      </c>
      <c r="F42" s="959">
        <f t="array" ref="F42">SUM(IF("331"&amp;B42=KHC&amp;KH,TH))</f>
        <v>3296800000</v>
      </c>
      <c r="G42" s="964">
        <f t="shared" si="11"/>
        <v>0</v>
      </c>
      <c r="H42" s="964">
        <f t="shared" si="12"/>
        <v>0</v>
      </c>
      <c r="I42" s="965" t="str">
        <f t="shared" si="13"/>
        <v>Tiền</v>
      </c>
    </row>
    <row r="43" spans="1:9" s="965" customFormat="1" ht="16.5" customHeight="1">
      <c r="A43" s="6">
        <f t="shared" si="10"/>
        <v>40</v>
      </c>
      <c r="B43" s="82" t="s">
        <v>1980</v>
      </c>
      <c r="C43" s="959"/>
      <c r="D43" s="959"/>
      <c r="E43" s="959">
        <f t="array" ref="E43">SUM(IF("331"&amp;B43=KHN&amp;KH,TH))</f>
        <v>463260000</v>
      </c>
      <c r="F43" s="959">
        <f t="array" ref="F43">SUM(IF("331"&amp;B43=KHC&amp;KH,TH))</f>
        <v>463260000</v>
      </c>
      <c r="G43" s="964">
        <f t="shared" si="11"/>
        <v>0</v>
      </c>
      <c r="H43" s="964">
        <f t="shared" si="12"/>
        <v>0</v>
      </c>
      <c r="I43" s="965" t="str">
        <f t="shared" si="13"/>
        <v/>
      </c>
    </row>
    <row r="44" spans="1:9" s="965" customFormat="1" ht="16.5" customHeight="1">
      <c r="A44" s="6">
        <f t="shared" si="10"/>
        <v>41</v>
      </c>
      <c r="B44" s="82" t="s">
        <v>442</v>
      </c>
      <c r="C44" s="959"/>
      <c r="D44" s="959"/>
      <c r="E44" s="959">
        <f t="array" ref="E44">SUM(IF("331"&amp;B44=KHN&amp;KH,TH))</f>
        <v>634805900</v>
      </c>
      <c r="F44" s="959">
        <f t="array" ref="F44">SUM(IF("331"&amp;B44=KHC&amp;KH,TH))</f>
        <v>634805900</v>
      </c>
      <c r="G44" s="964">
        <f t="shared" si="11"/>
        <v>0</v>
      </c>
      <c r="H44" s="964">
        <f t="shared" si="12"/>
        <v>0</v>
      </c>
      <c r="I44" s="965" t="str">
        <f t="shared" si="13"/>
        <v>Hai</v>
      </c>
    </row>
    <row r="45" spans="1:9" s="965" customFormat="1" ht="16.5" customHeight="1">
      <c r="A45" s="6">
        <f t="shared" si="10"/>
        <v>42</v>
      </c>
      <c r="B45" s="82" t="s">
        <v>1979</v>
      </c>
      <c r="C45" s="959"/>
      <c r="D45" s="959"/>
      <c r="E45" s="959">
        <f t="array" ref="E45">SUM(IF("331"&amp;B45=KHN&amp;KH,TH))</f>
        <v>745605000</v>
      </c>
      <c r="F45" s="959">
        <f t="array" ref="F45">SUM(IF("331"&amp;B45=KHC&amp;KH,TH))</f>
        <v>745605000</v>
      </c>
      <c r="G45" s="964">
        <f t="shared" si="11"/>
        <v>0</v>
      </c>
      <c r="H45" s="964">
        <f t="shared" si="12"/>
        <v>0</v>
      </c>
      <c r="I45" s="965" t="str">
        <f t="shared" si="13"/>
        <v/>
      </c>
    </row>
    <row r="46" spans="1:9" s="965" customFormat="1" ht="16.5" customHeight="1">
      <c r="A46" s="6">
        <f t="shared" si="10"/>
        <v>43</v>
      </c>
      <c r="B46" s="82" t="s">
        <v>388</v>
      </c>
      <c r="C46" s="959"/>
      <c r="D46" s="959"/>
      <c r="E46" s="959">
        <f t="array" ref="E46">SUM(IF("331"&amp;B46=KHN&amp;KH,TH))</f>
        <v>1141810000</v>
      </c>
      <c r="F46" s="959">
        <f t="array" ref="F46">SUM(IF("331"&amp;B46=KHC&amp;KH,TH))</f>
        <v>1141810000</v>
      </c>
      <c r="G46" s="964">
        <f t="shared" si="11"/>
        <v>0</v>
      </c>
      <c r="H46" s="964">
        <f t="shared" si="12"/>
        <v>0</v>
      </c>
      <c r="I46" s="965" t="str">
        <f t="shared" si="13"/>
        <v>Tiền</v>
      </c>
    </row>
    <row r="47" spans="1:9" s="965" customFormat="1" ht="16.5" customHeight="1">
      <c r="A47" s="6">
        <f t="shared" si="10"/>
        <v>44</v>
      </c>
      <c r="B47" s="966" t="s">
        <v>361</v>
      </c>
      <c r="C47" s="959"/>
      <c r="D47" s="959"/>
      <c r="E47" s="959">
        <f t="array" ref="E47">SUM(IF("331"&amp;B47=KHN&amp;KH,TH))</f>
        <v>642723500</v>
      </c>
      <c r="F47" s="959">
        <f t="array" ref="F47">SUM(IF("331"&amp;B47=KHC&amp;KH,TH))</f>
        <v>642723500</v>
      </c>
      <c r="G47" s="964">
        <f t="shared" si="11"/>
        <v>0</v>
      </c>
      <c r="H47" s="964">
        <f t="shared" si="12"/>
        <v>0</v>
      </c>
      <c r="I47" s="965" t="str">
        <f t="shared" si="13"/>
        <v>Tiền</v>
      </c>
    </row>
    <row r="48" spans="1:9" s="965" customFormat="1" ht="16.5" customHeight="1">
      <c r="A48" s="6">
        <f t="shared" si="10"/>
        <v>45</v>
      </c>
      <c r="B48" s="966" t="s">
        <v>346</v>
      </c>
      <c r="C48" s="959"/>
      <c r="D48" s="959"/>
      <c r="E48" s="959">
        <f t="array" ref="E48">SUM(IF("331"&amp;B48=KHN&amp;KH,TH))</f>
        <v>533420000</v>
      </c>
      <c r="F48" s="959">
        <f t="array" ref="F48">SUM(IF("331"&amp;B48=KHC&amp;KH,TH))</f>
        <v>533420000</v>
      </c>
      <c r="G48" s="964">
        <f t="shared" si="11"/>
        <v>0</v>
      </c>
      <c r="H48" s="964">
        <f t="shared" si="12"/>
        <v>0</v>
      </c>
      <c r="I48" s="965" t="str">
        <f t="shared" si="13"/>
        <v>Tiền</v>
      </c>
    </row>
    <row r="49" spans="1:9" s="965" customFormat="1" ht="16.5" customHeight="1">
      <c r="A49" s="6">
        <f t="shared" si="10"/>
        <v>46</v>
      </c>
      <c r="B49" s="82" t="s">
        <v>433</v>
      </c>
      <c r="C49" s="959"/>
      <c r="D49" s="959"/>
      <c r="E49" s="959">
        <f t="array" ref="E49">SUM(IF("331"&amp;B49=KHN&amp;KH,TH))</f>
        <v>1170332200</v>
      </c>
      <c r="F49" s="959">
        <f t="array" ref="F49">SUM(IF("331"&amp;B49=KHC&amp;KH,TH))</f>
        <v>1170332200</v>
      </c>
      <c r="G49" s="964">
        <f t="shared" si="11"/>
        <v>0</v>
      </c>
      <c r="H49" s="964">
        <f t="shared" si="12"/>
        <v>0</v>
      </c>
      <c r="I49" s="965" t="str">
        <f t="shared" si="13"/>
        <v>Hai</v>
      </c>
    </row>
    <row r="50" spans="1:9" s="965" customFormat="1" ht="16.5" customHeight="1">
      <c r="A50" s="6">
        <f t="shared" si="10"/>
        <v>47</v>
      </c>
      <c r="B50" s="82" t="s">
        <v>435</v>
      </c>
      <c r="C50" s="959"/>
      <c r="D50" s="959"/>
      <c r="E50" s="959">
        <f t="array" ref="E50">SUM(IF("331"&amp;B50=KHN&amp;KH,TH))</f>
        <v>519751200</v>
      </c>
      <c r="F50" s="959">
        <f t="array" ref="F50">SUM(IF("331"&amp;B50=KHC&amp;KH,TH))</f>
        <v>519751200</v>
      </c>
      <c r="G50" s="964">
        <f t="shared" si="11"/>
        <v>0</v>
      </c>
      <c r="H50" s="964">
        <f t="shared" si="12"/>
        <v>0</v>
      </c>
      <c r="I50" s="965" t="str">
        <f t="shared" si="13"/>
        <v>Hai</v>
      </c>
    </row>
    <row r="51" spans="1:9" s="965" customFormat="1" ht="16.5" customHeight="1">
      <c r="A51" s="6">
        <f t="shared" si="10"/>
        <v>48</v>
      </c>
      <c r="B51" s="82" t="s">
        <v>1988</v>
      </c>
      <c r="C51" s="959"/>
      <c r="D51" s="959"/>
      <c r="E51" s="959">
        <f t="array" ref="E51">SUM(IF("331"&amp;B51=KHN&amp;KH,TH))</f>
        <v>2082875000</v>
      </c>
      <c r="F51" s="959">
        <f t="array" ref="F51">SUM(IF("331"&amp;B51=KHC&amp;KH,TH))</f>
        <v>2082875000</v>
      </c>
      <c r="G51" s="964">
        <f t="shared" si="11"/>
        <v>0</v>
      </c>
      <c r="H51" s="964">
        <f t="shared" si="12"/>
        <v>0</v>
      </c>
      <c r="I51" s="965" t="str">
        <f t="shared" si="13"/>
        <v/>
      </c>
    </row>
    <row r="52" spans="1:9" s="965" customFormat="1" ht="16.5" customHeight="1">
      <c r="A52" s="6">
        <f t="shared" si="10"/>
        <v>49</v>
      </c>
      <c r="B52" s="966" t="s">
        <v>364</v>
      </c>
      <c r="C52" s="959"/>
      <c r="D52" s="959"/>
      <c r="E52" s="959">
        <f t="array" ref="E52">SUM(IF("331"&amp;B52=KHN&amp;KH,TH))</f>
        <v>661204500</v>
      </c>
      <c r="F52" s="959">
        <f t="array" ref="F52">SUM(IF("331"&amp;B52=KHC&amp;KH,TH))</f>
        <v>661204500</v>
      </c>
      <c r="G52" s="964">
        <f t="shared" si="11"/>
        <v>0</v>
      </c>
      <c r="H52" s="964">
        <f t="shared" si="12"/>
        <v>0</v>
      </c>
      <c r="I52" s="965" t="str">
        <f t="shared" si="13"/>
        <v>Tiền</v>
      </c>
    </row>
    <row r="53" spans="1:9" s="965" customFormat="1" ht="16.5" customHeight="1">
      <c r="A53" s="6">
        <f t="shared" si="10"/>
        <v>50</v>
      </c>
      <c r="B53" s="82" t="s">
        <v>1982</v>
      </c>
      <c r="C53" s="959"/>
      <c r="D53" s="959"/>
      <c r="E53" s="959">
        <f t="array" ref="E53">SUM(IF("331"&amp;B53=KHN&amp;KH,TH))</f>
        <v>729650000</v>
      </c>
      <c r="F53" s="959">
        <f t="array" ref="F53">SUM(IF("331"&amp;B53=KHC&amp;KH,TH))</f>
        <v>729650000</v>
      </c>
      <c r="G53" s="964">
        <f t="shared" si="11"/>
        <v>0</v>
      </c>
      <c r="H53" s="964">
        <f t="shared" si="12"/>
        <v>0</v>
      </c>
      <c r="I53" s="965" t="str">
        <f t="shared" si="13"/>
        <v/>
      </c>
    </row>
    <row r="54" spans="1:9" s="965" customFormat="1" ht="16.5" customHeight="1">
      <c r="A54" s="6">
        <f t="shared" si="10"/>
        <v>51</v>
      </c>
      <c r="B54" s="82" t="s">
        <v>391</v>
      </c>
      <c r="C54" s="959"/>
      <c r="D54" s="959"/>
      <c r="E54" s="959">
        <f t="array" ref="E54">SUM(IF("331"&amp;B54=KHN&amp;KH,TH))</f>
        <v>3073305000</v>
      </c>
      <c r="F54" s="959">
        <f t="array" ref="F54">SUM(IF("331"&amp;B54=KHC&amp;KH,TH))</f>
        <v>3073305000</v>
      </c>
      <c r="G54" s="964">
        <f t="shared" si="11"/>
        <v>0</v>
      </c>
      <c r="H54" s="964">
        <f t="shared" si="12"/>
        <v>0</v>
      </c>
      <c r="I54" s="965" t="str">
        <f t="shared" si="13"/>
        <v>Tiền</v>
      </c>
    </row>
    <row r="55" spans="1:9" s="965" customFormat="1" ht="16.5" customHeight="1">
      <c r="A55" s="6">
        <f t="shared" si="10"/>
        <v>52</v>
      </c>
      <c r="B55" s="966" t="s">
        <v>349</v>
      </c>
      <c r="C55" s="959"/>
      <c r="D55" s="959"/>
      <c r="E55" s="959">
        <f t="array" ref="E55">SUM(IF("331"&amp;B55=KHN&amp;KH,TH))</f>
        <v>607067000</v>
      </c>
      <c r="F55" s="959">
        <f t="array" ref="F55">SUM(IF("331"&amp;B55=KHC&amp;KH,TH))</f>
        <v>607067000</v>
      </c>
      <c r="G55" s="964">
        <f t="shared" si="11"/>
        <v>0</v>
      </c>
      <c r="H55" s="964">
        <f t="shared" si="12"/>
        <v>0</v>
      </c>
      <c r="I55" s="965" t="str">
        <f t="shared" si="13"/>
        <v>Tiền</v>
      </c>
    </row>
    <row r="56" spans="1:9" s="965" customFormat="1" ht="16.5" customHeight="1">
      <c r="A56" s="6">
        <f t="shared" si="10"/>
        <v>53</v>
      </c>
      <c r="B56" s="966" t="s">
        <v>367</v>
      </c>
      <c r="C56" s="959"/>
      <c r="D56" s="959"/>
      <c r="E56" s="959">
        <f t="array" ref="E56">SUM(IF("331"&amp;B56=KHN&amp;KH,TH))</f>
        <v>473735000</v>
      </c>
      <c r="F56" s="959">
        <f t="array" ref="F56">SUM(IF("331"&amp;B56=KHC&amp;KH,TH))</f>
        <v>473735000</v>
      </c>
      <c r="G56" s="964">
        <f t="shared" si="11"/>
        <v>0</v>
      </c>
      <c r="H56" s="964">
        <f t="shared" si="12"/>
        <v>0</v>
      </c>
      <c r="I56" s="965" t="str">
        <f t="shared" si="13"/>
        <v>Tiền</v>
      </c>
    </row>
    <row r="57" spans="1:9" s="965" customFormat="1" ht="16.5" customHeight="1">
      <c r="A57" s="6">
        <f t="shared" si="10"/>
        <v>54</v>
      </c>
      <c r="B57" s="82" t="s">
        <v>1981</v>
      </c>
      <c r="C57" s="959"/>
      <c r="D57" s="959"/>
      <c r="E57" s="959">
        <f t="array" ref="E57">SUM(IF("331"&amp;B57=KHN&amp;KH,TH))</f>
        <v>747735000</v>
      </c>
      <c r="F57" s="959">
        <f t="array" ref="F57">SUM(IF("331"&amp;B57=KHC&amp;KH,TH))</f>
        <v>747735000</v>
      </c>
      <c r="G57" s="964">
        <f t="shared" si="11"/>
        <v>0</v>
      </c>
      <c r="H57" s="964">
        <f t="shared" si="12"/>
        <v>0</v>
      </c>
      <c r="I57" s="965" t="str">
        <f t="shared" si="13"/>
        <v/>
      </c>
    </row>
    <row r="58" spans="1:9" s="965" customFormat="1" ht="16.5" customHeight="1">
      <c r="A58" s="6">
        <f t="shared" si="10"/>
        <v>55</v>
      </c>
      <c r="B58" s="82" t="s">
        <v>1984</v>
      </c>
      <c r="C58" s="959"/>
      <c r="D58" s="959"/>
      <c r="E58" s="959">
        <f t="array" ref="E58">SUM(IF("331"&amp;B58=KHN&amp;KH,TH))</f>
        <v>80150000</v>
      </c>
      <c r="F58" s="959">
        <f t="array" ref="F58">SUM(IF("331"&amp;B58=KHC&amp;KH,TH))</f>
        <v>80150000</v>
      </c>
      <c r="G58" s="964">
        <f t="shared" si="11"/>
        <v>0</v>
      </c>
      <c r="H58" s="964">
        <f t="shared" si="12"/>
        <v>0</v>
      </c>
      <c r="I58" s="965" t="str">
        <f t="shared" si="13"/>
        <v/>
      </c>
    </row>
    <row r="59" spans="1:9" s="965" customFormat="1" ht="16.5" customHeight="1">
      <c r="A59" s="6">
        <f t="shared" si="10"/>
        <v>56</v>
      </c>
      <c r="B59" s="966" t="s">
        <v>438</v>
      </c>
      <c r="C59" s="959"/>
      <c r="D59" s="959"/>
      <c r="E59" s="959">
        <f t="array" ref="E59">SUM(IF("331"&amp;B59=KHN&amp;KH,TH))</f>
        <v>1018171100</v>
      </c>
      <c r="F59" s="959">
        <f t="array" ref="F59">SUM(IF("331"&amp;B59=KHC&amp;KH,TH))</f>
        <v>1018171100</v>
      </c>
      <c r="G59" s="964">
        <f t="shared" si="11"/>
        <v>0</v>
      </c>
      <c r="H59" s="964">
        <f t="shared" si="12"/>
        <v>0</v>
      </c>
      <c r="I59" s="965" t="str">
        <f t="shared" si="13"/>
        <v>Hai</v>
      </c>
    </row>
    <row r="60" spans="1:9" s="965" customFormat="1" ht="16.5" customHeight="1">
      <c r="A60" s="6">
        <f t="shared" si="10"/>
        <v>57</v>
      </c>
      <c r="B60" s="82" t="s">
        <v>1986</v>
      </c>
      <c r="C60" s="959"/>
      <c r="D60" s="959"/>
      <c r="E60" s="959">
        <f t="array" ref="E60">SUM(IF("331"&amp;B60=KHN&amp;KH,TH))</f>
        <v>87150000</v>
      </c>
      <c r="F60" s="959">
        <f t="array" ref="F60">SUM(IF("331"&amp;B60=KHC&amp;KH,TH))</f>
        <v>87150000</v>
      </c>
      <c r="G60" s="964">
        <f t="shared" si="11"/>
        <v>0</v>
      </c>
      <c r="H60" s="964">
        <f t="shared" si="12"/>
        <v>0</v>
      </c>
      <c r="I60" s="965" t="str">
        <f t="shared" si="13"/>
        <v/>
      </c>
    </row>
    <row r="61" spans="1:9" s="965" customFormat="1" ht="16.5" customHeight="1">
      <c r="A61" s="6">
        <f t="shared" si="10"/>
        <v>58</v>
      </c>
      <c r="B61" s="82" t="s">
        <v>1985</v>
      </c>
      <c r="C61" s="959"/>
      <c r="D61" s="959"/>
      <c r="E61" s="959">
        <f t="array" ref="E61">SUM(IF("331"&amp;B61=KHN&amp;KH,TH))</f>
        <v>190225000</v>
      </c>
      <c r="F61" s="959">
        <f t="array" ref="F61">SUM(IF("331"&amp;B61=KHC&amp;KH,TH))</f>
        <v>190225000</v>
      </c>
      <c r="G61" s="964">
        <f t="shared" si="11"/>
        <v>0</v>
      </c>
      <c r="H61" s="964">
        <f t="shared" si="12"/>
        <v>0</v>
      </c>
      <c r="I61" s="965" t="str">
        <f t="shared" si="13"/>
        <v/>
      </c>
    </row>
    <row r="62" spans="1:9" s="965" customFormat="1" ht="16.5" customHeight="1">
      <c r="A62" s="6">
        <f t="shared" si="10"/>
        <v>59</v>
      </c>
      <c r="B62" s="82" t="s">
        <v>1967</v>
      </c>
      <c r="C62" s="959"/>
      <c r="D62" s="959"/>
      <c r="E62" s="959">
        <f t="array" ref="E62">SUM(IF("331"&amp;B62=KHN&amp;KH,TH))</f>
        <v>147750000</v>
      </c>
      <c r="F62" s="959">
        <f t="array" ref="F62">SUM(IF("331"&amp;B62=KHC&amp;KH,TH))</f>
        <v>147750000</v>
      </c>
      <c r="G62" s="964">
        <f t="shared" si="11"/>
        <v>0</v>
      </c>
      <c r="H62" s="964">
        <f t="shared" si="12"/>
        <v>0</v>
      </c>
      <c r="I62" s="965" t="str">
        <f t="shared" si="13"/>
        <v/>
      </c>
    </row>
    <row r="63" spans="1:9" s="965" customFormat="1" ht="16.5" customHeight="1">
      <c r="A63" s="6">
        <f t="shared" si="10"/>
        <v>60</v>
      </c>
      <c r="B63" s="82" t="s">
        <v>393</v>
      </c>
      <c r="C63" s="959"/>
      <c r="D63" s="959"/>
      <c r="E63" s="959">
        <f t="array" ref="E63">SUM(IF("331"&amp;B63=KHN&amp;KH,TH))</f>
        <v>1172310000</v>
      </c>
      <c r="F63" s="959">
        <f t="array" ref="F63">SUM(IF("331"&amp;B63=KHC&amp;KH,TH))</f>
        <v>1172310000</v>
      </c>
      <c r="G63" s="964">
        <f t="shared" si="11"/>
        <v>0</v>
      </c>
      <c r="H63" s="964">
        <f t="shared" si="12"/>
        <v>0</v>
      </c>
      <c r="I63" s="965" t="str">
        <f t="shared" si="13"/>
        <v>Tiền</v>
      </c>
    </row>
    <row r="64" spans="1:9" s="965" customFormat="1" ht="16.5" customHeight="1">
      <c r="A64" s="6">
        <f t="shared" si="10"/>
        <v>61</v>
      </c>
      <c r="B64" s="82" t="s">
        <v>385</v>
      </c>
      <c r="C64" s="959"/>
      <c r="D64" s="959"/>
      <c r="E64" s="959">
        <f t="array" ref="E64">SUM(IF("331"&amp;B64=KHN&amp;KH,TH))</f>
        <v>1986530000</v>
      </c>
      <c r="F64" s="959">
        <f t="array" ref="F64">SUM(IF("331"&amp;B64=KHC&amp;KH,TH))</f>
        <v>1986530000</v>
      </c>
      <c r="G64" s="964">
        <f t="shared" si="11"/>
        <v>0</v>
      </c>
      <c r="H64" s="964">
        <f t="shared" si="12"/>
        <v>0</v>
      </c>
      <c r="I64" s="965" t="str">
        <f t="shared" si="13"/>
        <v>Tiền</v>
      </c>
    </row>
    <row r="65" spans="1:9" s="965" customFormat="1" ht="16.5" customHeight="1">
      <c r="A65" s="6">
        <f t="shared" si="10"/>
        <v>62</v>
      </c>
      <c r="B65" s="966" t="s">
        <v>446</v>
      </c>
      <c r="C65" s="959"/>
      <c r="D65" s="959"/>
      <c r="E65" s="959">
        <f t="array" ref="E65">SUM(IF("331"&amp;B65=KHN&amp;KH,TH))</f>
        <v>759512500</v>
      </c>
      <c r="F65" s="959">
        <f t="array" ref="F65">SUM(IF("331"&amp;B65=KHC&amp;KH,TH))</f>
        <v>759512500</v>
      </c>
      <c r="G65" s="964">
        <f t="shared" si="11"/>
        <v>0</v>
      </c>
      <c r="H65" s="964">
        <f t="shared" si="12"/>
        <v>0</v>
      </c>
      <c r="I65" s="965">
        <f t="shared" si="13"/>
        <v>0</v>
      </c>
    </row>
    <row r="66" spans="1:9" s="965" customFormat="1" ht="16.5" customHeight="1">
      <c r="A66" s="6">
        <f t="shared" si="10"/>
        <v>63</v>
      </c>
      <c r="B66" s="82" t="s">
        <v>428</v>
      </c>
      <c r="C66" s="959"/>
      <c r="D66" s="959"/>
      <c r="E66" s="959">
        <f t="array" ref="E66">SUM(IF("331"&amp;B66=KHN&amp;KH,TH))</f>
        <v>677090100</v>
      </c>
      <c r="F66" s="959">
        <f t="array" ref="F66">SUM(IF("331"&amp;B66=KHC&amp;KH,TH))</f>
        <v>677090100</v>
      </c>
      <c r="G66" s="964">
        <f t="shared" si="11"/>
        <v>0</v>
      </c>
      <c r="H66" s="964">
        <f t="shared" si="12"/>
        <v>0</v>
      </c>
      <c r="I66" s="965" t="str">
        <f t="shared" si="13"/>
        <v>Hai</v>
      </c>
    </row>
    <row r="67" spans="1:9" s="965" customFormat="1" ht="16.5" customHeight="1">
      <c r="A67" s="6">
        <f t="shared" si="10"/>
        <v>64</v>
      </c>
      <c r="B67" s="82" t="s">
        <v>431</v>
      </c>
      <c r="C67" s="959"/>
      <c r="D67" s="959"/>
      <c r="E67" s="959">
        <f t="array" ref="E67">SUM(IF("331"&amp;B67=KHN&amp;KH,TH))</f>
        <v>849739200</v>
      </c>
      <c r="F67" s="959">
        <f t="array" ref="F67">SUM(IF("331"&amp;B67=KHC&amp;KH,TH))</f>
        <v>849739200</v>
      </c>
      <c r="G67" s="964">
        <f t="shared" si="11"/>
        <v>0</v>
      </c>
      <c r="H67" s="964">
        <f t="shared" si="12"/>
        <v>0</v>
      </c>
      <c r="I67" s="965" t="str">
        <f t="shared" si="13"/>
        <v>Hai</v>
      </c>
    </row>
    <row r="68" spans="1:9" s="965" customFormat="1" ht="16.5" customHeight="1">
      <c r="A68" s="6">
        <f t="shared" si="10"/>
        <v>65</v>
      </c>
      <c r="B68" s="82" t="s">
        <v>409</v>
      </c>
      <c r="C68" s="959"/>
      <c r="D68" s="959"/>
      <c r="E68" s="959">
        <f t="array" ref="E68">SUM(IF("331"&amp;B68=KHN&amp;KH,TH))</f>
        <v>112500000</v>
      </c>
      <c r="F68" s="959">
        <f t="array" ref="F68">SUM(IF("331"&amp;B68=KHC&amp;KH,TH))</f>
        <v>112500000</v>
      </c>
      <c r="G68" s="964">
        <f t="shared" si="11"/>
        <v>0</v>
      </c>
      <c r="H68" s="964">
        <f t="shared" si="12"/>
        <v>0</v>
      </c>
      <c r="I68" s="965" t="str">
        <f t="shared" si="13"/>
        <v>Hai</v>
      </c>
    </row>
    <row r="69" spans="1:9" s="965" customFormat="1" ht="16.5" customHeight="1">
      <c r="A69" s="6" t="str">
        <f t="shared" si="10"/>
        <v/>
      </c>
      <c r="B69" s="963"/>
      <c r="C69" s="959"/>
      <c r="D69" s="959"/>
      <c r="E69" s="959">
        <f t="array" ref="E69">SUM(IF("331"&amp;B69=KHN&amp;KH,TH))</f>
        <v>0</v>
      </c>
      <c r="F69" s="959">
        <f t="array" ref="F69">SUM(IF("331"&amp;B69=KHC&amp;KH,TH))</f>
        <v>0</v>
      </c>
      <c r="G69" s="964">
        <f t="shared" si="11"/>
        <v>0</v>
      </c>
      <c r="H69" s="964">
        <f t="shared" si="12"/>
        <v>0</v>
      </c>
      <c r="I69" s="965" t="str">
        <f t="shared" si="13"/>
        <v/>
      </c>
    </row>
    <row r="70" spans="1:9" s="965" customFormat="1" ht="16.5" customHeight="1">
      <c r="A70" s="6" t="str">
        <f t="shared" si="10"/>
        <v/>
      </c>
      <c r="B70" s="963"/>
      <c r="C70" s="959"/>
      <c r="D70" s="959"/>
      <c r="E70" s="959">
        <f t="array" ref="E70">SUM(IF("331"&amp;B70=KHN&amp;KH,TH))</f>
        <v>0</v>
      </c>
      <c r="F70" s="959">
        <f t="array" ref="F70">SUM(IF("331"&amp;B70=KHC&amp;KH,TH))</f>
        <v>0</v>
      </c>
      <c r="G70" s="964">
        <f t="shared" si="11"/>
        <v>0</v>
      </c>
      <c r="H70" s="964">
        <f t="shared" si="12"/>
        <v>0</v>
      </c>
      <c r="I70" s="965" t="str">
        <f t="shared" si="13"/>
        <v/>
      </c>
    </row>
    <row r="71" spans="1:9" s="10" customFormat="1" ht="16.5" customHeight="1">
      <c r="A71" s="6" t="str">
        <f>IF(B71&lt;&gt;"",ROW()-3,"")</f>
        <v/>
      </c>
      <c r="B71" s="73"/>
      <c r="C71" s="8"/>
      <c r="D71" s="8"/>
      <c r="E71" s="959"/>
      <c r="F71" s="959"/>
      <c r="G71" s="964"/>
      <c r="H71" s="964"/>
      <c r="I71" s="965" t="str">
        <f>IF(ISNA(VLOOKUP(B71,DSNL,6,0)),"",VLOOKUP(B71,DSNL,6,0))</f>
        <v/>
      </c>
    </row>
    <row r="72" spans="1:9" s="14" customFormat="1" ht="14.25" customHeight="1">
      <c r="A72" s="11"/>
      <c r="B72" s="12" t="s">
        <v>41</v>
      </c>
      <c r="C72" s="13">
        <f t="shared" ref="C72:H72" si="14">SUM(C4:C71)</f>
        <v>60000000</v>
      </c>
      <c r="D72" s="13">
        <f t="shared" si="14"/>
        <v>536953252</v>
      </c>
      <c r="E72" s="13">
        <f t="shared" si="14"/>
        <v>27681570507</v>
      </c>
      <c r="F72" s="13">
        <f t="shared" si="14"/>
        <v>27728678590</v>
      </c>
      <c r="G72" s="13">
        <f t="shared" si="14"/>
        <v>0</v>
      </c>
      <c r="H72" s="13">
        <f t="shared" si="14"/>
        <v>524061335</v>
      </c>
    </row>
    <row r="74" spans="1:9">
      <c r="D74" s="237">
        <f>D72-CDPS!D38-C72</f>
        <v>0</v>
      </c>
      <c r="E74" s="15">
        <f>E72-CDPS!E38</f>
        <v>0</v>
      </c>
      <c r="F74" s="15">
        <f>F72-CDPS!F38</f>
        <v>0</v>
      </c>
      <c r="H74" s="237">
        <f>H72-G72-CDPS!H38</f>
        <v>0</v>
      </c>
    </row>
    <row r="76" spans="1:9">
      <c r="E76" s="237"/>
      <c r="F76" s="237"/>
    </row>
  </sheetData>
  <autoFilter ref="A3:I72"/>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4.xml><?xml version="1.0" encoding="utf-8"?>
<worksheet xmlns="http://schemas.openxmlformats.org/spreadsheetml/2006/main" xmlns:r="http://schemas.openxmlformats.org/officeDocument/2006/relationships">
  <sheetPr>
    <tabColor rgb="FFFF0000"/>
  </sheetPr>
  <dimension ref="A1:K54"/>
  <sheetViews>
    <sheetView topLeftCell="A6" workbookViewId="0">
      <pane ySplit="8" topLeftCell="A14" activePane="bottomLeft" state="frozen"/>
      <selection activeCell="E32" sqref="E32"/>
      <selection pane="bottomLeft" activeCell="A14" sqref="A14:J30"/>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326" t="s">
        <v>49</v>
      </c>
      <c r="I1" s="1326"/>
      <c r="J1" s="1326"/>
    </row>
    <row r="2" spans="1:10" s="3" customFormat="1" ht="14.25" customHeight="1">
      <c r="A2" s="1" t="s">
        <v>15</v>
      </c>
      <c r="B2" s="16"/>
      <c r="C2" s="16"/>
      <c r="G2" s="17"/>
      <c r="H2" s="1327" t="s">
        <v>50</v>
      </c>
      <c r="I2" s="1327"/>
      <c r="J2" s="1327"/>
    </row>
    <row r="3" spans="1:10" s="3" customFormat="1" ht="14.25" customHeight="1">
      <c r="A3" s="4"/>
      <c r="B3" s="16"/>
      <c r="C3" s="16"/>
      <c r="G3" s="17"/>
      <c r="H3" s="1327"/>
      <c r="I3" s="1327"/>
      <c r="J3" s="1327"/>
    </row>
    <row r="4" spans="1:10" s="5" customFormat="1" ht="28.5" customHeight="1">
      <c r="A4" s="1333" t="s">
        <v>28</v>
      </c>
      <c r="B4" s="1333"/>
      <c r="C4" s="1333"/>
      <c r="D4" s="1333"/>
      <c r="E4" s="1333"/>
      <c r="F4" s="1333"/>
      <c r="G4" s="1333"/>
      <c r="H4" s="1333"/>
      <c r="I4" s="1333"/>
      <c r="J4" s="1333"/>
    </row>
    <row r="5" spans="1:10" s="18" customFormat="1" ht="14.25" customHeight="1">
      <c r="E5" s="19" t="s">
        <v>29</v>
      </c>
    </row>
    <row r="6" spans="1:10" s="18" customFormat="1" ht="14.25" customHeight="1">
      <c r="E6" s="19" t="s">
        <v>30</v>
      </c>
    </row>
    <row r="7" spans="1:10" s="18" customFormat="1" ht="14.25" customHeight="1">
      <c r="D7" s="20" t="s">
        <v>48</v>
      </c>
      <c r="E7" s="1328" t="s">
        <v>622</v>
      </c>
      <c r="F7" s="1328"/>
      <c r="G7" s="1328"/>
      <c r="H7" s="1328"/>
    </row>
    <row r="8" spans="1:10" s="18" customFormat="1" ht="14.25" customHeight="1">
      <c r="E8" s="19" t="s">
        <v>31</v>
      </c>
    </row>
    <row r="9" spans="1:10" s="18" customFormat="1" ht="6.75" customHeight="1">
      <c r="B9" s="19"/>
      <c r="C9" s="1329"/>
      <c r="D9" s="1329"/>
      <c r="E9" s="1329"/>
      <c r="F9" s="1329"/>
      <c r="G9" s="1329"/>
      <c r="H9" s="1329"/>
      <c r="I9" s="1329"/>
      <c r="J9" s="1329"/>
    </row>
    <row r="10" spans="1:10" s="18" customFormat="1" ht="14.25" customHeight="1">
      <c r="A10" s="1277" t="s">
        <v>22</v>
      </c>
      <c r="B10" s="1330" t="s">
        <v>1</v>
      </c>
      <c r="C10" s="1330"/>
      <c r="D10" s="1277" t="s">
        <v>0</v>
      </c>
      <c r="E10" s="1277" t="s">
        <v>16</v>
      </c>
      <c r="F10" s="1277" t="s">
        <v>32</v>
      </c>
      <c r="G10" s="1331" t="s">
        <v>23</v>
      </c>
      <c r="H10" s="1332"/>
      <c r="I10" s="1331" t="s">
        <v>33</v>
      </c>
      <c r="J10" s="1332"/>
    </row>
    <row r="11" spans="1:10" s="18" customFormat="1" ht="24.75" customHeight="1">
      <c r="A11" s="1277"/>
      <c r="B11" s="30" t="s">
        <v>17</v>
      </c>
      <c r="C11" s="30" t="s">
        <v>34</v>
      </c>
      <c r="D11" s="1277"/>
      <c r="E11" s="1277"/>
      <c r="F11" s="1277"/>
      <c r="G11" s="30" t="s">
        <v>24</v>
      </c>
      <c r="H11" s="30" t="s">
        <v>25</v>
      </c>
      <c r="I11" s="30" t="s">
        <v>24</v>
      </c>
      <c r="J11" s="30"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79">
        <f>VLOOKUP($E$7,'331'!$B$5:$H$71,2,0)</f>
        <v>0</v>
      </c>
      <c r="J13" s="79">
        <f>VLOOKUP($E$7,'331'!$B$5:$H$71,3,0)</f>
        <v>0</v>
      </c>
    </row>
    <row r="14" spans="1:10" s="18" customFormat="1" ht="18" customHeight="1">
      <c r="A14" s="9">
        <f ca="1">IF(ROWS($1:1)&gt;COUNT(Dong),"",OFFSET(TH!C$1,SMALL(Dong,ROWS($1:1)),))</f>
        <v>42461</v>
      </c>
      <c r="B14" s="9" t="str">
        <f ca="1">IF(ROWS($1:1)&gt;COUNT(Dong),"",OFFSET(TH!D$1,SMALL(Dong,ROWS($1:1)),))</f>
        <v>VL/N01</v>
      </c>
      <c r="C14" s="9">
        <f ca="1">IF(ROWS($1:1)&gt;COUNT(Dong),"",OFFSET(TH!E$1,SMALL(Dong,ROWS($1:1)),))</f>
        <v>42461</v>
      </c>
      <c r="D14" s="372" t="str">
        <f ca="1">IF(ROWS($1:1)&gt;COUNT(Dong),"",OFFSET(TH!F$1,SMALL(Dong,ROWS($1:1)),))</f>
        <v>Muối</v>
      </c>
      <c r="E14" s="78" t="str">
        <f ca="1">IF(ROWS($1:1)&gt;COUNT(Dong),"",IF(OFFSET(TH!N$1,SMALL(Dong,ROWS($1:1)),)="331",OFFSET(TH!O$1,SMALL(Dong,ROWS($1:1)),),OFFSET(TH!N$1,SMALL(Dong,ROWS($1:1)),)))</f>
        <v>1522</v>
      </c>
      <c r="F14" s="78"/>
      <c r="G14" s="98">
        <f ca="1">IF(ROWS($1:1)&gt;COUNT(Dong),"",IF(OFFSET(TH!N$1,SMALL(Dong,ROWS($1:1)),)="331",OFFSET(TH!M$1,SMALL(Dong,ROWS($1:1)),),0))</f>
        <v>0</v>
      </c>
      <c r="H14" s="98">
        <f ca="1">IF(ROWS($1:1)&gt;COUNT(Dong),"",IF(OFFSET(TH!O$1,SMALL(Dong,ROWS($1:1)),)="331",OFFSET(TH!M$1,SMALL(Dong,ROWS($1:1)),),0))</f>
        <v>6400000</v>
      </c>
      <c r="I14" s="25">
        <f ca="1">IF(D14&lt;&gt;"",MAX(I13+G14-H14-J13,0),0)</f>
        <v>0</v>
      </c>
      <c r="J14" s="25">
        <f ca="1">IF(D14&lt;&gt;"",MAX(J13+H14-I13-G14,0),0)</f>
        <v>6400000</v>
      </c>
    </row>
    <row r="15" spans="1:10" s="18" customFormat="1" ht="18" customHeight="1">
      <c r="A15" s="9">
        <f ca="1">IF(ROWS($1:2)&gt;COUNT(Dong),"",OFFSET(TH!C$1,SMALL(Dong,ROWS($1:2)),))</f>
        <v>42535</v>
      </c>
      <c r="B15" s="9" t="str">
        <f ca="1">IF(ROWS($1:2)&gt;COUNT(Dong),"",OFFSET(TH!D$1,SMALL(Dong,ROWS($1:2)),))</f>
        <v>VL/N02</v>
      </c>
      <c r="C15" s="9">
        <f ca="1">IF(ROWS($1:2)&gt;COUNT(Dong),"",OFFSET(TH!E$1,SMALL(Dong,ROWS($1:2)),))</f>
        <v>42535</v>
      </c>
      <c r="D15" s="372" t="str">
        <f ca="1">IF(ROWS($1:2)&gt;COUNT(Dong),"",OFFSET(TH!F$1,SMALL(Dong,ROWS($1:2)),))</f>
        <v>Muối</v>
      </c>
      <c r="E15" s="78" t="str">
        <f ca="1">IF(ROWS($1:2)&gt;COUNT(Dong),"",IF(OFFSET(TH!N$1,SMALL(Dong,ROWS($1:2)),)="331",OFFSET(TH!O$1,SMALL(Dong,ROWS($1:2)),),OFFSET(TH!N$1,SMALL(Dong,ROWS($1:2)),)))</f>
        <v>1522</v>
      </c>
      <c r="F15" s="78"/>
      <c r="G15" s="98">
        <f ca="1">IF(ROWS($1:2)&gt;COUNT(Dong),"",IF(OFFSET(TH!N$1,SMALL(Dong,ROWS($1:2)),)="331",OFFSET(TH!M$1,SMALL(Dong,ROWS($1:2)),),0))</f>
        <v>0</v>
      </c>
      <c r="H15" s="98">
        <f ca="1">IF(ROWS($1:2)&gt;COUNT(Dong),"",IF(OFFSET(TH!O$1,SMALL(Dong,ROWS($1:2)),)="331",OFFSET(TH!M$1,SMALL(Dong,ROWS($1:2)),),0))</f>
        <v>6400000</v>
      </c>
      <c r="I15" s="25">
        <f t="shared" ref="I15:I30" ca="1" si="0">IF(D15&lt;&gt;"",MAX(I14+G15-H15-J14,0),0)</f>
        <v>0</v>
      </c>
      <c r="J15" s="25">
        <f t="shared" ref="J15:J30" ca="1" si="1">IF(D15&lt;&gt;"",MAX(J14+H15-I14-G15,0),0)</f>
        <v>12800000</v>
      </c>
    </row>
    <row r="16" spans="1:10" s="18" customFormat="1" ht="18" customHeight="1">
      <c r="A16" s="9">
        <f ca="1">IF(ROWS($1:3)&gt;COUNT(Dong),"",OFFSET(TH!C$1,SMALL(Dong,ROWS($1:3)),))</f>
        <v>42594</v>
      </c>
      <c r="B16" s="9" t="str">
        <f ca="1">IF(ROWS($1:3)&gt;COUNT(Dong),"",OFFSET(TH!D$1,SMALL(Dong,ROWS($1:3)),))</f>
        <v>VL/N02</v>
      </c>
      <c r="C16" s="9">
        <f ca="1">IF(ROWS($1:3)&gt;COUNT(Dong),"",OFFSET(TH!E$1,SMALL(Dong,ROWS($1:3)),))</f>
        <v>42594</v>
      </c>
      <c r="D16" s="372" t="str">
        <f ca="1">IF(ROWS($1:3)&gt;COUNT(Dong),"",OFFSET(TH!F$1,SMALL(Dong,ROWS($1:3)),))</f>
        <v>Muối</v>
      </c>
      <c r="E16" s="78" t="str">
        <f ca="1">IF(ROWS($1:3)&gt;COUNT(Dong),"",IF(OFFSET(TH!N$1,SMALL(Dong,ROWS($1:3)),)="331",OFFSET(TH!O$1,SMALL(Dong,ROWS($1:3)),),OFFSET(TH!N$1,SMALL(Dong,ROWS($1:3)),)))</f>
        <v>1522</v>
      </c>
      <c r="F16" s="78"/>
      <c r="G16" s="98">
        <f ca="1">IF(ROWS($1:3)&gt;COUNT(Dong),"",IF(OFFSET(TH!N$1,SMALL(Dong,ROWS($1:3)),)="331",OFFSET(TH!M$1,SMALL(Dong,ROWS($1:3)),),0))</f>
        <v>0</v>
      </c>
      <c r="H16" s="98">
        <f ca="1">IF(ROWS($1:3)&gt;COUNT(Dong),"",IF(OFFSET(TH!O$1,SMALL(Dong,ROWS($1:3)),)="331",OFFSET(TH!M$1,SMALL(Dong,ROWS($1:3)),),0))</f>
        <v>9600000</v>
      </c>
      <c r="I16" s="25">
        <f t="shared" ca="1" si="0"/>
        <v>0</v>
      </c>
      <c r="J16" s="25">
        <f t="shared" ca="1" si="1"/>
        <v>22400000</v>
      </c>
    </row>
    <row r="17" spans="1:10" s="18" customFormat="1" ht="18" customHeight="1">
      <c r="A17" s="9" t="str">
        <f ca="1">IF(ROWS($1:4)&gt;COUNT(Dong),"",OFFSET(TH!C$1,SMALL(Dong,ROWS($1:4)),))</f>
        <v/>
      </c>
      <c r="B17" s="9" t="str">
        <f ca="1">IF(ROWS($1:4)&gt;COUNT(Dong),"",OFFSET(TH!D$1,SMALL(Dong,ROWS($1:4)),))</f>
        <v/>
      </c>
      <c r="C17" s="9" t="str">
        <f ca="1">IF(ROWS($1:4)&gt;COUNT(Dong),"",OFFSET(TH!E$1,SMALL(Dong,ROWS($1:4)),))</f>
        <v/>
      </c>
      <c r="D17" s="372" t="str">
        <f ca="1">IF(ROWS($1:4)&gt;COUNT(Dong),"",OFFSET(TH!F$1,SMALL(Dong,ROWS($1:4)),))</f>
        <v/>
      </c>
      <c r="E17" s="78" t="str">
        <f ca="1">IF(ROWS($1:4)&gt;COUNT(Dong),"",IF(OFFSET(TH!N$1,SMALL(Dong,ROWS($1:4)),)="331",OFFSET(TH!O$1,SMALL(Dong,ROWS($1:4)),),OFFSET(TH!N$1,SMALL(Dong,ROWS($1:4)),)))</f>
        <v/>
      </c>
      <c r="F17" s="78"/>
      <c r="G17" s="98" t="str">
        <f ca="1">IF(ROWS($1:4)&gt;COUNT(Dong),"",IF(OFFSET(TH!N$1,SMALL(Dong,ROWS($1:4)),)="331",OFFSET(TH!M$1,SMALL(Dong,ROWS($1:4)),),0))</f>
        <v/>
      </c>
      <c r="H17" s="98" t="str">
        <f ca="1">IF(ROWS($1:4)&gt;COUNT(Dong),"",IF(OFFSET(TH!O$1,SMALL(Dong,ROWS($1:4)),)="331",OFFSET(TH!M$1,SMALL(Dong,ROWS($1:4)),),0))</f>
        <v/>
      </c>
      <c r="I17" s="25">
        <f t="shared" ca="1" si="0"/>
        <v>0</v>
      </c>
      <c r="J17" s="25">
        <f t="shared" ca="1" si="1"/>
        <v>0</v>
      </c>
    </row>
    <row r="18" spans="1:10" s="18" customFormat="1" ht="18" customHeight="1">
      <c r="A18" s="9" t="str">
        <f ca="1">IF(ROWS($1:5)&gt;COUNT(Dong),"",OFFSET(TH!C$1,SMALL(Dong,ROWS($1:5)),))</f>
        <v/>
      </c>
      <c r="B18" s="9" t="str">
        <f ca="1">IF(ROWS($1:5)&gt;COUNT(Dong),"",OFFSET(TH!D$1,SMALL(Dong,ROWS($1:5)),))</f>
        <v/>
      </c>
      <c r="C18" s="9" t="str">
        <f ca="1">IF(ROWS($1:5)&gt;COUNT(Dong),"",OFFSET(TH!E$1,SMALL(Dong,ROWS($1:5)),))</f>
        <v/>
      </c>
      <c r="D18" s="372" t="str">
        <f ca="1">IF(ROWS($1:5)&gt;COUNT(Dong),"",OFFSET(TH!F$1,SMALL(Dong,ROWS($1:5)),))</f>
        <v/>
      </c>
      <c r="E18" s="78" t="str">
        <f ca="1">IF(ROWS($1:5)&gt;COUNT(Dong),"",IF(OFFSET(TH!N$1,SMALL(Dong,ROWS($1:5)),)="331",OFFSET(TH!O$1,SMALL(Dong,ROWS($1:5)),),OFFSET(TH!N$1,SMALL(Dong,ROWS($1:5)),)))</f>
        <v/>
      </c>
      <c r="F18" s="78"/>
      <c r="G18" s="98" t="str">
        <f ca="1">IF(ROWS($1:5)&gt;COUNT(Dong),"",IF(OFFSET(TH!N$1,SMALL(Dong,ROWS($1:5)),)="331",OFFSET(TH!M$1,SMALL(Dong,ROWS($1:5)),),0))</f>
        <v/>
      </c>
      <c r="H18" s="98" t="str">
        <f ca="1">IF(ROWS($1:5)&gt;COUNT(Dong),"",IF(OFFSET(TH!O$1,SMALL(Dong,ROWS($1:5)),)="331",OFFSET(TH!M$1,SMALL(Dong,ROWS($1:5)),),0))</f>
        <v/>
      </c>
      <c r="I18" s="25">
        <f t="shared" ca="1" si="0"/>
        <v>0</v>
      </c>
      <c r="J18" s="25">
        <f t="shared" ca="1" si="1"/>
        <v>0</v>
      </c>
    </row>
    <row r="19" spans="1:10" s="18" customFormat="1" ht="18" customHeight="1">
      <c r="A19" s="9" t="str">
        <f ca="1">IF(ROWS($1:6)&gt;COUNT(Dong),"",OFFSET(TH!C$1,SMALL(Dong,ROWS($1:6)),))</f>
        <v/>
      </c>
      <c r="B19" s="9" t="str">
        <f ca="1">IF(ROWS($1:6)&gt;COUNT(Dong),"",OFFSET(TH!D$1,SMALL(Dong,ROWS($1:6)),))</f>
        <v/>
      </c>
      <c r="C19" s="9" t="str">
        <f ca="1">IF(ROWS($1:6)&gt;COUNT(Dong),"",OFFSET(TH!E$1,SMALL(Dong,ROWS($1:6)),))</f>
        <v/>
      </c>
      <c r="D19" s="372" t="str">
        <f ca="1">IF(ROWS($1:6)&gt;COUNT(Dong),"",OFFSET(TH!F$1,SMALL(Dong,ROWS($1:6)),))</f>
        <v/>
      </c>
      <c r="E19" s="78" t="str">
        <f ca="1">IF(ROWS($1:6)&gt;COUNT(Dong),"",IF(OFFSET(TH!N$1,SMALL(Dong,ROWS($1:6)),)="331",OFFSET(TH!O$1,SMALL(Dong,ROWS($1:6)),),OFFSET(TH!N$1,SMALL(Dong,ROWS($1:6)),)))</f>
        <v/>
      </c>
      <c r="F19" s="78"/>
      <c r="G19" s="98" t="str">
        <f ca="1">IF(ROWS($1:6)&gt;COUNT(Dong),"",IF(OFFSET(TH!N$1,SMALL(Dong,ROWS($1:6)),)="331",OFFSET(TH!M$1,SMALL(Dong,ROWS($1:6)),),0))</f>
        <v/>
      </c>
      <c r="H19" s="98" t="str">
        <f ca="1">IF(ROWS($1:6)&gt;COUNT(Dong),"",IF(OFFSET(TH!O$1,SMALL(Dong,ROWS($1:6)),)="331",OFFSET(TH!M$1,SMALL(Dong,ROWS($1:6)),),0))</f>
        <v/>
      </c>
      <c r="I19" s="25">
        <f t="shared" ca="1" si="0"/>
        <v>0</v>
      </c>
      <c r="J19" s="25">
        <f t="shared" ca="1" si="1"/>
        <v>0</v>
      </c>
    </row>
    <row r="20" spans="1:10" s="18" customFormat="1" ht="18" customHeight="1">
      <c r="A20" s="9" t="str">
        <f ca="1">IF(ROWS($1:7)&gt;COUNT(Dong),"",OFFSET(TH!C$1,SMALL(Dong,ROWS($1:7)),))</f>
        <v/>
      </c>
      <c r="B20" s="9" t="str">
        <f ca="1">IF(ROWS($1:7)&gt;COUNT(Dong),"",OFFSET(TH!D$1,SMALL(Dong,ROWS($1:7)),))</f>
        <v/>
      </c>
      <c r="C20" s="9" t="str">
        <f ca="1">IF(ROWS($1:7)&gt;COUNT(Dong),"",OFFSET(TH!E$1,SMALL(Dong,ROWS($1:7)),))</f>
        <v/>
      </c>
      <c r="D20" s="372" t="str">
        <f ca="1">IF(ROWS($1:7)&gt;COUNT(Dong),"",OFFSET(TH!F$1,SMALL(Dong,ROWS($1:7)),))</f>
        <v/>
      </c>
      <c r="E20" s="78" t="str">
        <f ca="1">IF(ROWS($1:7)&gt;COUNT(Dong),"",IF(OFFSET(TH!N$1,SMALL(Dong,ROWS($1:7)),)="331",OFFSET(TH!O$1,SMALL(Dong,ROWS($1:7)),),OFFSET(TH!N$1,SMALL(Dong,ROWS($1:7)),)))</f>
        <v/>
      </c>
      <c r="F20" s="78"/>
      <c r="G20" s="98" t="str">
        <f ca="1">IF(ROWS($1:7)&gt;COUNT(Dong),"",IF(OFFSET(TH!N$1,SMALL(Dong,ROWS($1:7)),)="331",OFFSET(TH!M$1,SMALL(Dong,ROWS($1:7)),),0))</f>
        <v/>
      </c>
      <c r="H20" s="98" t="str">
        <f ca="1">IF(ROWS($1:7)&gt;COUNT(Dong),"",IF(OFFSET(TH!O$1,SMALL(Dong,ROWS($1:7)),)="331",OFFSET(TH!M$1,SMALL(Dong,ROWS($1:7)),),0))</f>
        <v/>
      </c>
      <c r="I20" s="25">
        <f t="shared" ca="1" si="0"/>
        <v>0</v>
      </c>
      <c r="J20" s="25">
        <f t="shared" ca="1" si="1"/>
        <v>0</v>
      </c>
    </row>
    <row r="21" spans="1:10" s="18" customFormat="1" ht="18" customHeight="1">
      <c r="A21" s="9" t="str">
        <f ca="1">IF(ROWS($1:8)&gt;COUNT(Dong),"",OFFSET(TH!C$1,SMALL(Dong,ROWS($1:8)),))</f>
        <v/>
      </c>
      <c r="B21" s="9" t="str">
        <f ca="1">IF(ROWS($1:8)&gt;COUNT(Dong),"",OFFSET(TH!D$1,SMALL(Dong,ROWS($1:8)),))</f>
        <v/>
      </c>
      <c r="C21" s="9" t="str">
        <f ca="1">IF(ROWS($1:8)&gt;COUNT(Dong),"",OFFSET(TH!E$1,SMALL(Dong,ROWS($1:8)),))</f>
        <v/>
      </c>
      <c r="D21" s="372" t="str">
        <f ca="1">IF(ROWS($1:8)&gt;COUNT(Dong),"",OFFSET(TH!F$1,SMALL(Dong,ROWS($1:8)),))</f>
        <v/>
      </c>
      <c r="E21" s="78" t="str">
        <f ca="1">IF(ROWS($1:8)&gt;COUNT(Dong),"",IF(OFFSET(TH!N$1,SMALL(Dong,ROWS($1:8)),)="331",OFFSET(TH!O$1,SMALL(Dong,ROWS($1:8)),),OFFSET(TH!N$1,SMALL(Dong,ROWS($1:8)),)))</f>
        <v/>
      </c>
      <c r="F21" s="78"/>
      <c r="G21" s="98" t="str">
        <f ca="1">IF(ROWS($1:8)&gt;COUNT(Dong),"",IF(OFFSET(TH!N$1,SMALL(Dong,ROWS($1:8)),)="331",OFFSET(TH!M$1,SMALL(Dong,ROWS($1:8)),),0))</f>
        <v/>
      </c>
      <c r="H21" s="98" t="str">
        <f ca="1">IF(ROWS($1:8)&gt;COUNT(Dong),"",IF(OFFSET(TH!O$1,SMALL(Dong,ROWS($1:8)),)="331",OFFSET(TH!M$1,SMALL(Dong,ROWS($1:8)),),0))</f>
        <v/>
      </c>
      <c r="I21" s="25">
        <f t="shared" ca="1" si="0"/>
        <v>0</v>
      </c>
      <c r="J21" s="25">
        <f t="shared" ca="1" si="1"/>
        <v>0</v>
      </c>
    </row>
    <row r="22" spans="1:10" s="18" customFormat="1" ht="18" customHeight="1">
      <c r="A22" s="9" t="str">
        <f ca="1">IF(ROWS($1:9)&gt;COUNT(Dong),"",OFFSET(TH!C$1,SMALL(Dong,ROWS($1:9)),))</f>
        <v/>
      </c>
      <c r="B22" s="9" t="str">
        <f ca="1">IF(ROWS($1:9)&gt;COUNT(Dong),"",OFFSET(TH!D$1,SMALL(Dong,ROWS($1:9)),))</f>
        <v/>
      </c>
      <c r="C22" s="9" t="str">
        <f ca="1">IF(ROWS($1:9)&gt;COUNT(Dong),"",OFFSET(TH!E$1,SMALL(Dong,ROWS($1:9)),))</f>
        <v/>
      </c>
      <c r="D22" s="372" t="str">
        <f ca="1">IF(ROWS($1:9)&gt;COUNT(Dong),"",OFFSET(TH!F$1,SMALL(Dong,ROWS($1:9)),))</f>
        <v/>
      </c>
      <c r="E22" s="78" t="str">
        <f ca="1">IF(ROWS($1:9)&gt;COUNT(Dong),"",IF(OFFSET(TH!N$1,SMALL(Dong,ROWS($1:9)),)="331",OFFSET(TH!O$1,SMALL(Dong,ROWS($1:9)),),OFFSET(TH!N$1,SMALL(Dong,ROWS($1:9)),)))</f>
        <v/>
      </c>
      <c r="F22" s="78"/>
      <c r="G22" s="98" t="str">
        <f ca="1">IF(ROWS($1:9)&gt;COUNT(Dong),"",IF(OFFSET(TH!N$1,SMALL(Dong,ROWS($1:9)),)="331",OFFSET(TH!M$1,SMALL(Dong,ROWS($1:9)),),0))</f>
        <v/>
      </c>
      <c r="H22" s="98" t="str">
        <f ca="1">IF(ROWS($1:9)&gt;COUNT(Dong),"",IF(OFFSET(TH!O$1,SMALL(Dong,ROWS($1:9)),)="331",OFFSET(TH!M$1,SMALL(Dong,ROWS($1:9)),),0))</f>
        <v/>
      </c>
      <c r="I22" s="25">
        <f t="shared" ca="1" si="0"/>
        <v>0</v>
      </c>
      <c r="J22" s="25">
        <f t="shared" ca="1" si="1"/>
        <v>0</v>
      </c>
    </row>
    <row r="23" spans="1:10" s="18" customFormat="1" ht="18" customHeight="1">
      <c r="A23" s="9" t="str">
        <f ca="1">IF(ROWS($1:10)&gt;COUNT(Dong),"",OFFSET(TH!C$1,SMALL(Dong,ROWS($1:10)),))</f>
        <v/>
      </c>
      <c r="B23" s="9" t="str">
        <f ca="1">IF(ROWS($1:10)&gt;COUNT(Dong),"",OFFSET(TH!D$1,SMALL(Dong,ROWS($1:10)),))</f>
        <v/>
      </c>
      <c r="C23" s="9" t="str">
        <f ca="1">IF(ROWS($1:10)&gt;COUNT(Dong),"",OFFSET(TH!E$1,SMALL(Dong,ROWS($1:10)),))</f>
        <v/>
      </c>
      <c r="D23" s="372" t="str">
        <f ca="1">IF(ROWS($1:10)&gt;COUNT(Dong),"",OFFSET(TH!F$1,SMALL(Dong,ROWS($1:10)),))</f>
        <v/>
      </c>
      <c r="E23" s="78" t="str">
        <f ca="1">IF(ROWS($1:10)&gt;COUNT(Dong),"",IF(OFFSET(TH!N$1,SMALL(Dong,ROWS($1:10)),)="331",OFFSET(TH!O$1,SMALL(Dong,ROWS($1:10)),),OFFSET(TH!N$1,SMALL(Dong,ROWS($1:10)),)))</f>
        <v/>
      </c>
      <c r="F23" s="78"/>
      <c r="G23" s="98" t="str">
        <f ca="1">IF(ROWS($1:10)&gt;COUNT(Dong),"",IF(OFFSET(TH!N$1,SMALL(Dong,ROWS($1:10)),)="331",OFFSET(TH!M$1,SMALL(Dong,ROWS($1:10)),),0))</f>
        <v/>
      </c>
      <c r="H23" s="98" t="str">
        <f ca="1">IF(ROWS($1:10)&gt;COUNT(Dong),"",IF(OFFSET(TH!O$1,SMALL(Dong,ROWS($1:10)),)="331",OFFSET(TH!M$1,SMALL(Dong,ROWS($1:10)),),0))</f>
        <v/>
      </c>
      <c r="I23" s="25">
        <f t="shared" ca="1" si="0"/>
        <v>0</v>
      </c>
      <c r="J23" s="25">
        <f t="shared" ca="1" si="1"/>
        <v>0</v>
      </c>
    </row>
    <row r="24" spans="1:10" s="18" customFormat="1" ht="18" customHeight="1">
      <c r="A24" s="9" t="str">
        <f ca="1">IF(ROWS($1:11)&gt;COUNT(Dong),"",OFFSET(TH!C$1,SMALL(Dong,ROWS($1:11)),))</f>
        <v/>
      </c>
      <c r="B24" s="9" t="str">
        <f ca="1">IF(ROWS($1:11)&gt;COUNT(Dong),"",OFFSET(TH!D$1,SMALL(Dong,ROWS($1:11)),))</f>
        <v/>
      </c>
      <c r="C24" s="9" t="str">
        <f ca="1">IF(ROWS($1:11)&gt;COUNT(Dong),"",OFFSET(TH!E$1,SMALL(Dong,ROWS($1:11)),))</f>
        <v/>
      </c>
      <c r="D24" s="372" t="str">
        <f ca="1">IF(ROWS($1:11)&gt;COUNT(Dong),"",OFFSET(TH!F$1,SMALL(Dong,ROWS($1:11)),))</f>
        <v/>
      </c>
      <c r="E24" s="78" t="str">
        <f ca="1">IF(ROWS($1:11)&gt;COUNT(Dong),"",IF(OFFSET(TH!N$1,SMALL(Dong,ROWS($1:11)),)="331",OFFSET(TH!O$1,SMALL(Dong,ROWS($1:11)),),OFFSET(TH!N$1,SMALL(Dong,ROWS($1:11)),)))</f>
        <v/>
      </c>
      <c r="F24" s="78"/>
      <c r="G24" s="98" t="str">
        <f ca="1">IF(ROWS($1:11)&gt;COUNT(Dong),"",IF(OFFSET(TH!N$1,SMALL(Dong,ROWS($1:11)),)="331",OFFSET(TH!M$1,SMALL(Dong,ROWS($1:11)),),0))</f>
        <v/>
      </c>
      <c r="H24" s="98" t="str">
        <f ca="1">IF(ROWS($1:11)&gt;COUNT(Dong),"",IF(OFFSET(TH!O$1,SMALL(Dong,ROWS($1:11)),)="331",OFFSET(TH!M$1,SMALL(Dong,ROWS($1:11)),),0))</f>
        <v/>
      </c>
      <c r="I24" s="25">
        <f t="shared" ca="1" si="0"/>
        <v>0</v>
      </c>
      <c r="J24" s="25">
        <f t="shared" ca="1" si="1"/>
        <v>0</v>
      </c>
    </row>
    <row r="25" spans="1:10" s="18" customFormat="1" ht="18" customHeight="1">
      <c r="A25" s="9" t="str">
        <f ca="1">IF(ROWS($1:12)&gt;COUNT(Dong),"",OFFSET(TH!C$1,SMALL(Dong,ROWS($1:12)),))</f>
        <v/>
      </c>
      <c r="B25" s="9" t="str">
        <f ca="1">IF(ROWS($1:12)&gt;COUNT(Dong),"",OFFSET(TH!D$1,SMALL(Dong,ROWS($1:12)),))</f>
        <v/>
      </c>
      <c r="C25" s="9" t="str">
        <f ca="1">IF(ROWS($1:12)&gt;COUNT(Dong),"",OFFSET(TH!E$1,SMALL(Dong,ROWS($1:12)),))</f>
        <v/>
      </c>
      <c r="D25" s="372" t="str">
        <f ca="1">IF(ROWS($1:12)&gt;COUNT(Dong),"",OFFSET(TH!F$1,SMALL(Dong,ROWS($1:12)),))</f>
        <v/>
      </c>
      <c r="E25" s="78" t="str">
        <f ca="1">IF(ROWS($1:12)&gt;COUNT(Dong),"",IF(OFFSET(TH!N$1,SMALL(Dong,ROWS($1:12)),)="331",OFFSET(TH!O$1,SMALL(Dong,ROWS($1:12)),),OFFSET(TH!N$1,SMALL(Dong,ROWS($1:12)),)))</f>
        <v/>
      </c>
      <c r="F25" s="78"/>
      <c r="G25" s="98" t="str">
        <f ca="1">IF(ROWS($1:12)&gt;COUNT(Dong),"",IF(OFFSET(TH!N$1,SMALL(Dong,ROWS($1:12)),)="331",OFFSET(TH!M$1,SMALL(Dong,ROWS($1:12)),),0))</f>
        <v/>
      </c>
      <c r="H25" s="98" t="str">
        <f ca="1">IF(ROWS($1:12)&gt;COUNT(Dong),"",IF(OFFSET(TH!O$1,SMALL(Dong,ROWS($1:12)),)="331",OFFSET(TH!M$1,SMALL(Dong,ROWS($1:12)),),0))</f>
        <v/>
      </c>
      <c r="I25" s="25">
        <f t="shared" ca="1" si="0"/>
        <v>0</v>
      </c>
      <c r="J25" s="25">
        <f t="shared" ca="1" si="1"/>
        <v>0</v>
      </c>
    </row>
    <row r="26" spans="1:10" s="18" customFormat="1" ht="18" customHeight="1">
      <c r="A26" s="9" t="str">
        <f ca="1">IF(ROWS($1:13)&gt;COUNT(Dong),"",OFFSET(TH!C$1,SMALL(Dong,ROWS($1:13)),))</f>
        <v/>
      </c>
      <c r="B26" s="9" t="str">
        <f ca="1">IF(ROWS($1:13)&gt;COUNT(Dong),"",OFFSET(TH!D$1,SMALL(Dong,ROWS($1:13)),))</f>
        <v/>
      </c>
      <c r="C26" s="9" t="str">
        <f ca="1">IF(ROWS($1:13)&gt;COUNT(Dong),"",OFFSET(TH!E$1,SMALL(Dong,ROWS($1:13)),))</f>
        <v/>
      </c>
      <c r="D26" s="372" t="str">
        <f ca="1">IF(ROWS($1:13)&gt;COUNT(Dong),"",OFFSET(TH!F$1,SMALL(Dong,ROWS($1:13)),))</f>
        <v/>
      </c>
      <c r="E26" s="78" t="str">
        <f ca="1">IF(ROWS($1:13)&gt;COUNT(Dong),"",IF(OFFSET(TH!N$1,SMALL(Dong,ROWS($1:13)),)="331",OFFSET(TH!O$1,SMALL(Dong,ROWS($1:13)),),OFFSET(TH!N$1,SMALL(Dong,ROWS($1:13)),)))</f>
        <v/>
      </c>
      <c r="F26" s="78"/>
      <c r="G26" s="98" t="str">
        <f ca="1">IF(ROWS($1:13)&gt;COUNT(Dong),"",IF(OFFSET(TH!N$1,SMALL(Dong,ROWS($1:13)),)="331",OFFSET(TH!M$1,SMALL(Dong,ROWS($1:13)),),0))</f>
        <v/>
      </c>
      <c r="H26" s="98" t="str">
        <f ca="1">IF(ROWS($1:13)&gt;COUNT(Dong),"",IF(OFFSET(TH!O$1,SMALL(Dong,ROWS($1:13)),)="331",OFFSET(TH!M$1,SMALL(Dong,ROWS($1:13)),),0))</f>
        <v/>
      </c>
      <c r="I26" s="25">
        <f t="shared" ca="1" si="0"/>
        <v>0</v>
      </c>
      <c r="J26" s="25">
        <f t="shared" ca="1" si="1"/>
        <v>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372" t="str">
        <f ca="1">IF(ROWS($1:14)&gt;COUNT(Dong),"",OFFSET(TH!F$1,SMALL(Dong,ROWS($1:14)),))</f>
        <v/>
      </c>
      <c r="E27" s="78" t="str">
        <f ca="1">IF(ROWS($1:14)&gt;COUNT(Dong),"",IF(OFFSET(TH!N$1,SMALL(Dong,ROWS($1:14)),)="331",OFFSET(TH!O$1,SMALL(Dong,ROWS($1:14)),),OFFSET(TH!N$1,SMALL(Dong,ROWS($1:14)),)))</f>
        <v/>
      </c>
      <c r="F27" s="78"/>
      <c r="G27" s="98" t="str">
        <f ca="1">IF(ROWS($1:14)&gt;COUNT(Dong),"",IF(OFFSET(TH!N$1,SMALL(Dong,ROWS($1:14)),)="331",OFFSET(TH!M$1,SMALL(Dong,ROWS($1:14)),),0))</f>
        <v/>
      </c>
      <c r="H27" s="98" t="str">
        <f ca="1">IF(ROWS($1:14)&gt;COUNT(Dong),"",IF(OFFSET(TH!O$1,SMALL(Dong,ROWS($1:14)),)="331",OFFSET(TH!M$1,SMALL(Dong,ROWS($1:14)),),0))</f>
        <v/>
      </c>
      <c r="I27" s="25">
        <f t="shared" ca="1" si="0"/>
        <v>0</v>
      </c>
      <c r="J27" s="25">
        <f t="shared" ca="1" si="1"/>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372" t="str">
        <f ca="1">IF(ROWS($1:15)&gt;COUNT(Dong),"",OFFSET(TH!F$1,SMALL(Dong,ROWS($1:15)),))</f>
        <v/>
      </c>
      <c r="E28" s="78" t="str">
        <f ca="1">IF(ROWS($1:15)&gt;COUNT(Dong),"",IF(OFFSET(TH!N$1,SMALL(Dong,ROWS($1:15)),)="331",OFFSET(TH!O$1,SMALL(Dong,ROWS($1:15)),),OFFSET(TH!N$1,SMALL(Dong,ROWS($1:15)),)))</f>
        <v/>
      </c>
      <c r="F28" s="78"/>
      <c r="G28" s="98" t="str">
        <f ca="1">IF(ROWS($1:15)&gt;COUNT(Dong),"",IF(OFFSET(TH!N$1,SMALL(Dong,ROWS($1:15)),)="331",OFFSET(TH!M$1,SMALL(Dong,ROWS($1:15)),),0))</f>
        <v/>
      </c>
      <c r="H28" s="98" t="str">
        <f ca="1">IF(ROWS($1:15)&gt;COUNT(Dong),"",IF(OFFSET(TH!O$1,SMALL(Dong,ROWS($1:15)),)="331",OFFSET(TH!M$1,SMALL(Dong,ROWS($1:15)),),0))</f>
        <v/>
      </c>
      <c r="I28" s="25">
        <f t="shared" ca="1" si="0"/>
        <v>0</v>
      </c>
      <c r="J28" s="25">
        <f t="shared" ca="1" si="1"/>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372" t="str">
        <f ca="1">IF(ROWS($1:16)&gt;COUNT(Dong),"",OFFSET(TH!F$1,SMALL(Dong,ROWS($1:16)),))</f>
        <v/>
      </c>
      <c r="E29" s="78" t="str">
        <f ca="1">IF(ROWS($1:16)&gt;COUNT(Dong),"",IF(OFFSET(TH!N$1,SMALL(Dong,ROWS($1:16)),)="331",OFFSET(TH!O$1,SMALL(Dong,ROWS($1:16)),),OFFSET(TH!N$1,SMALL(Dong,ROWS($1:16)),)))</f>
        <v/>
      </c>
      <c r="F29" s="78"/>
      <c r="G29" s="98" t="str">
        <f ca="1">IF(ROWS($1:16)&gt;COUNT(Dong),"",IF(OFFSET(TH!N$1,SMALL(Dong,ROWS($1:16)),)="331",OFFSET(TH!M$1,SMALL(Dong,ROWS($1:16)),),0))</f>
        <v/>
      </c>
      <c r="H29" s="98" t="str">
        <f ca="1">IF(ROWS($1:16)&gt;COUNT(Dong),"",IF(OFFSET(TH!O$1,SMALL(Dong,ROWS($1:16)),)="331",OFFSET(TH!M$1,SMALL(Dong,ROWS($1:16)),),0))</f>
        <v/>
      </c>
      <c r="I29" s="25">
        <f t="shared" ca="1" si="0"/>
        <v>0</v>
      </c>
      <c r="J29" s="25">
        <f t="shared" ca="1" si="1"/>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372" t="str">
        <f ca="1">IF(ROWS($1:17)&gt;COUNT(Dong),"",OFFSET(TH!F$1,SMALL(Dong,ROWS($1:17)),))</f>
        <v/>
      </c>
      <c r="E30" s="78" t="str">
        <f ca="1">IF(ROWS($1:17)&gt;COUNT(Dong),"",IF(OFFSET(TH!N$1,SMALL(Dong,ROWS($1:17)),)="331",OFFSET(TH!O$1,SMALL(Dong,ROWS($1:17)),),OFFSET(TH!N$1,SMALL(Dong,ROWS($1:17)),)))</f>
        <v/>
      </c>
      <c r="F30" s="78"/>
      <c r="G30" s="98" t="str">
        <f ca="1">IF(ROWS($1:17)&gt;COUNT(Dong),"",IF(OFFSET(TH!N$1,SMALL(Dong,ROWS($1:17)),)="331",OFFSET(TH!M$1,SMALL(Dong,ROWS($1:17)),),0))</f>
        <v/>
      </c>
      <c r="H30" s="98" t="str">
        <f ca="1">IF(ROWS($1:17)&gt;COUNT(Dong),"",IF(OFFSET(TH!O$1,SMALL(Dong,ROWS($1:17)),)="331",OFFSET(TH!M$1,SMALL(Dong,ROWS($1:17)),),0))</f>
        <v/>
      </c>
      <c r="I30" s="25">
        <f t="shared" ca="1" si="0"/>
        <v>0</v>
      </c>
      <c r="J30" s="25">
        <f t="shared" ca="1" si="1"/>
        <v>0</v>
      </c>
    </row>
    <row r="31" spans="1:10" s="18" customFormat="1" ht="18" customHeight="1">
      <c r="A31" s="9" t="str">
        <f ca="1">IF(ROWS($1:18)&gt;COUNT(Dong),"",OFFSET(TH!C$1,SMALL(Dong,ROWS($1:18)),))</f>
        <v/>
      </c>
      <c r="B31" s="9" t="str">
        <f ca="1">IF(ROWS($1:18)&gt;COUNT(Dong),"",OFFSET(TH!D$1,SMALL(Dong,ROWS($1:18)),))</f>
        <v/>
      </c>
      <c r="C31" s="9" t="str">
        <f ca="1">IF(ROWS($1:18)&gt;COUNT(Dong),"",OFFSET(TH!E$1,SMALL(Dong,ROWS($1:18)),))</f>
        <v/>
      </c>
      <c r="D31" s="372" t="str">
        <f ca="1">IF(ROWS($1:18)&gt;COUNT(Dong),"",OFFSET(TH!F$1,SMALL(Dong,ROWS($1:18)),))</f>
        <v/>
      </c>
      <c r="E31" s="78" t="str">
        <f ca="1">IF(ROWS($1:18)&gt;COUNT(Dong),"",IF(OFFSET(TH!N$1,SMALL(Dong,ROWS($1:18)),)="331",OFFSET(TH!O$1,SMALL(Dong,ROWS($1:18)),),OFFSET(TH!N$1,SMALL(Dong,ROWS($1:18)),)))</f>
        <v/>
      </c>
      <c r="F31" s="78"/>
      <c r="G31" s="98" t="str">
        <f ca="1">IF(ROWS($1:18)&gt;COUNT(Dong),"",IF(OFFSET(TH!N$1,SMALL(Dong,ROWS($1:18)),)="331",OFFSET(TH!M$1,SMALL(Dong,ROWS($1:18)),),0))</f>
        <v/>
      </c>
      <c r="H31" s="98" t="str">
        <f ca="1">IF(ROWS($1:18)&gt;COUNT(Dong),"",IF(OFFSET(TH!O$1,SMALL(Dong,ROWS($1:18)),)="331",OFFSET(TH!M$1,SMALL(Dong,ROWS($1:18)),),0))</f>
        <v/>
      </c>
      <c r="I31" s="25">
        <f t="shared" ref="I31:I38" ca="1" si="2">IF(D31&lt;&gt;"",MAX(I30+G31-H31-J30,0),0)</f>
        <v>0</v>
      </c>
      <c r="J31" s="25">
        <f t="shared" ref="J31:J38" ca="1" si="3">IF(D31&lt;&gt;"",MAX(J30+H31-I30-G31,0),0)</f>
        <v>0</v>
      </c>
    </row>
    <row r="32" spans="1:10" s="18" customFormat="1" ht="18" customHeight="1">
      <c r="A32" s="9" t="str">
        <f ca="1">IF(ROWS($1:19)&gt;COUNT(Dong),"",OFFSET(TH!C$1,SMALL(Dong,ROWS($1:19)),))</f>
        <v/>
      </c>
      <c r="B32" s="9" t="str">
        <f ca="1">IF(ROWS($1:19)&gt;COUNT(Dong),"",OFFSET(TH!D$1,SMALL(Dong,ROWS($1:19)),))</f>
        <v/>
      </c>
      <c r="C32" s="9" t="str">
        <f ca="1">IF(ROWS($1:19)&gt;COUNT(Dong),"",OFFSET(TH!E$1,SMALL(Dong,ROWS($1:19)),))</f>
        <v/>
      </c>
      <c r="D32" s="372" t="str">
        <f ca="1">IF(ROWS($1:19)&gt;COUNT(Dong),"",OFFSET(TH!F$1,SMALL(Dong,ROWS($1:19)),))</f>
        <v/>
      </c>
      <c r="E32" s="78" t="str">
        <f ca="1">IF(ROWS($1:19)&gt;COUNT(Dong),"",IF(OFFSET(TH!N$1,SMALL(Dong,ROWS($1:19)),)="331",OFFSET(TH!O$1,SMALL(Dong,ROWS($1:19)),),OFFSET(TH!N$1,SMALL(Dong,ROWS($1:19)),)))</f>
        <v/>
      </c>
      <c r="F32" s="78"/>
      <c r="G32" s="98" t="str">
        <f ca="1">IF(ROWS($1:19)&gt;COUNT(Dong),"",IF(OFFSET(TH!N$1,SMALL(Dong,ROWS($1:19)),)="331",OFFSET(TH!M$1,SMALL(Dong,ROWS($1:19)),),0))</f>
        <v/>
      </c>
      <c r="H32" s="98" t="str">
        <f ca="1">IF(ROWS($1:19)&gt;COUNT(Dong),"",IF(OFFSET(TH!O$1,SMALL(Dong,ROWS($1:19)),)="331",OFFSET(TH!M$1,SMALL(Dong,ROWS($1:19)),),0))</f>
        <v/>
      </c>
      <c r="I32" s="25">
        <f t="shared" ca="1" si="2"/>
        <v>0</v>
      </c>
      <c r="J32" s="25">
        <f t="shared" ca="1" si="3"/>
        <v>0</v>
      </c>
    </row>
    <row r="33" spans="1:11" s="18" customFormat="1" ht="18" customHeight="1">
      <c r="A33" s="9" t="str">
        <f ca="1">IF(ROWS($1:20)&gt;COUNT(Dong),"",OFFSET(TH!C$1,SMALL(Dong,ROWS($1:20)),))</f>
        <v/>
      </c>
      <c r="B33" s="9" t="str">
        <f ca="1">IF(ROWS($1:20)&gt;COUNT(Dong),"",OFFSET(TH!D$1,SMALL(Dong,ROWS($1:20)),))</f>
        <v/>
      </c>
      <c r="C33" s="9" t="str">
        <f ca="1">IF(ROWS($1:20)&gt;COUNT(Dong),"",OFFSET(TH!E$1,SMALL(Dong,ROWS($1:20)),))</f>
        <v/>
      </c>
      <c r="D33" s="372" t="str">
        <f ca="1">IF(ROWS($1:20)&gt;COUNT(Dong),"",OFFSET(TH!F$1,SMALL(Dong,ROWS($1:20)),))</f>
        <v/>
      </c>
      <c r="E33" s="78" t="str">
        <f ca="1">IF(ROWS($1:20)&gt;COUNT(Dong),"",IF(OFFSET(TH!N$1,SMALL(Dong,ROWS($1:20)),)="331",OFFSET(TH!O$1,SMALL(Dong,ROWS($1:20)),),OFFSET(TH!N$1,SMALL(Dong,ROWS($1:20)),)))</f>
        <v/>
      </c>
      <c r="F33" s="78"/>
      <c r="G33" s="98" t="str">
        <f ca="1">IF(ROWS($1:20)&gt;COUNT(Dong),"",IF(OFFSET(TH!N$1,SMALL(Dong,ROWS($1:20)),)="331",OFFSET(TH!M$1,SMALL(Dong,ROWS($1:20)),),0))</f>
        <v/>
      </c>
      <c r="H33" s="98" t="str">
        <f ca="1">IF(ROWS($1:20)&gt;COUNT(Dong),"",IF(OFFSET(TH!O$1,SMALL(Dong,ROWS($1:20)),)="331",OFFSET(TH!M$1,SMALL(Dong,ROWS($1:20)),),0))</f>
        <v/>
      </c>
      <c r="I33" s="25">
        <f t="shared" ca="1" si="2"/>
        <v>0</v>
      </c>
      <c r="J33" s="25">
        <f t="shared" ca="1" si="3"/>
        <v>0</v>
      </c>
    </row>
    <row r="34" spans="1:11" s="18" customFormat="1" ht="18" customHeight="1">
      <c r="A34" s="9" t="str">
        <f ca="1">IF(ROWS($1:21)&gt;COUNT(Dong),"",OFFSET(TH!C$1,SMALL(Dong,ROWS($1:21)),))</f>
        <v/>
      </c>
      <c r="B34" s="9" t="str">
        <f ca="1">IF(ROWS($1:21)&gt;COUNT(Dong),"",OFFSET(TH!D$1,SMALL(Dong,ROWS($1:21)),))</f>
        <v/>
      </c>
      <c r="C34" s="9" t="str">
        <f ca="1">IF(ROWS($1:21)&gt;COUNT(Dong),"",OFFSET(TH!E$1,SMALL(Dong,ROWS($1:21)),))</f>
        <v/>
      </c>
      <c r="D34" s="77" t="str">
        <f ca="1">IF(ROWS($1:21)&gt;COUNT(Dong),"",OFFSET(TH!F$1,SMALL(Dong,ROWS($1:21)),))</f>
        <v/>
      </c>
      <c r="E34" s="78" t="str">
        <f ca="1">IF(ROWS($1:21)&gt;COUNT(Dong),"",IF(OFFSET(TH!N$1,SMALL(Dong,ROWS($1:21)),)="331",OFFSET(TH!O$1,SMALL(Dong,ROWS($1:21)),),OFFSET(TH!N$1,SMALL(Dong,ROWS($1:21)),)))</f>
        <v/>
      </c>
      <c r="F34" s="78"/>
      <c r="G34" s="98" t="str">
        <f ca="1">IF(ROWS($1:21)&gt;COUNT(Dong),"",IF(OFFSET(TH!N$1,SMALL(Dong,ROWS($1:21)),)="331",OFFSET(TH!M$1,SMALL(Dong,ROWS($1:21)),),0))</f>
        <v/>
      </c>
      <c r="H34" s="98" t="str">
        <f ca="1">IF(ROWS($1:21)&gt;COUNT(Dong),"",IF(OFFSET(TH!O$1,SMALL(Dong,ROWS($1:21)),)="331",OFFSET(TH!M$1,SMALL(Dong,ROWS($1:21)),),0))</f>
        <v/>
      </c>
      <c r="I34" s="25">
        <f t="shared" ca="1" si="2"/>
        <v>0</v>
      </c>
      <c r="J34" s="25">
        <f t="shared" ca="1" si="3"/>
        <v>0</v>
      </c>
    </row>
    <row r="35" spans="1:11" s="18" customFormat="1" ht="18" customHeight="1">
      <c r="A35" s="9" t="str">
        <f ca="1">IF(ROWS($1:22)&gt;COUNT(Dong),"",OFFSET(TH!C$1,SMALL(Dong,ROWS($1:22)),))</f>
        <v/>
      </c>
      <c r="B35" s="9" t="str">
        <f ca="1">IF(ROWS($1:22)&gt;COUNT(Dong),"",OFFSET(TH!D$1,SMALL(Dong,ROWS($1:22)),))</f>
        <v/>
      </c>
      <c r="C35" s="9" t="str">
        <f ca="1">IF(ROWS($1:22)&gt;COUNT(Dong),"",OFFSET(TH!E$1,SMALL(Dong,ROWS($1:22)),))</f>
        <v/>
      </c>
      <c r="D35" s="77" t="str">
        <f ca="1">IF(ROWS($1:22)&gt;COUNT(Dong),"",OFFSET(TH!F$1,SMALL(Dong,ROWS($1:22)),))</f>
        <v/>
      </c>
      <c r="E35" s="78" t="str">
        <f ca="1">IF(ROWS($1:22)&gt;COUNT(Dong),"",IF(OFFSET(TH!N$1,SMALL(Dong,ROWS($1:22)),)="331",OFFSET(TH!O$1,SMALL(Dong,ROWS($1:22)),),OFFSET(TH!N$1,SMALL(Dong,ROWS($1:22)),)))</f>
        <v/>
      </c>
      <c r="F35" s="78"/>
      <c r="G35" s="98" t="str">
        <f ca="1">IF(ROWS($1:22)&gt;COUNT(Dong),"",IF(OFFSET(TH!N$1,SMALL(Dong,ROWS($1:22)),)="331",OFFSET(TH!M$1,SMALL(Dong,ROWS($1:22)),),0))</f>
        <v/>
      </c>
      <c r="H35" s="98" t="str">
        <f ca="1">IF(ROWS($1:22)&gt;COUNT(Dong),"",IF(OFFSET(TH!O$1,SMALL(Dong,ROWS($1:22)),)="331",OFFSET(TH!M$1,SMALL(Dong,ROWS($1:22)),),0))</f>
        <v/>
      </c>
      <c r="I35" s="25">
        <f t="shared" ca="1" si="2"/>
        <v>0</v>
      </c>
      <c r="J35" s="25">
        <f t="shared" ca="1" si="3"/>
        <v>0</v>
      </c>
    </row>
    <row r="36" spans="1:11" s="18" customFormat="1" ht="18" customHeight="1">
      <c r="A36" s="9" t="str">
        <f ca="1">IF(ROWS($1:23)&gt;COUNT(Dong),"",OFFSET(TH!C$1,SMALL(Dong,ROWS($1:23)),))</f>
        <v/>
      </c>
      <c r="B36" s="9" t="str">
        <f ca="1">IF(ROWS($1:23)&gt;COUNT(Dong),"",OFFSET(TH!D$1,SMALL(Dong,ROWS($1:23)),))</f>
        <v/>
      </c>
      <c r="C36" s="9" t="str">
        <f ca="1">IF(ROWS($1:23)&gt;COUNT(Dong),"",OFFSET(TH!E$1,SMALL(Dong,ROWS($1:23)),))</f>
        <v/>
      </c>
      <c r="D36" s="77" t="str">
        <f ca="1">IF(ROWS($1:23)&gt;COUNT(Dong),"",OFFSET(TH!F$1,SMALL(Dong,ROWS($1:23)),))</f>
        <v/>
      </c>
      <c r="E36" s="78" t="str">
        <f ca="1">IF(ROWS($1:23)&gt;COUNT(Dong),"",IF(OFFSET(TH!N$1,SMALL(Dong,ROWS($1:23)),)="331",OFFSET(TH!O$1,SMALL(Dong,ROWS($1:23)),),OFFSET(TH!N$1,SMALL(Dong,ROWS($1:23)),)))</f>
        <v/>
      </c>
      <c r="F36" s="78"/>
      <c r="G36" s="98" t="str">
        <f ca="1">IF(ROWS($1:23)&gt;COUNT(Dong),"",IF(OFFSET(TH!N$1,SMALL(Dong,ROWS($1:23)),)="331",OFFSET(TH!M$1,SMALL(Dong,ROWS($1:23)),),0))</f>
        <v/>
      </c>
      <c r="H36" s="98" t="str">
        <f ca="1">IF(ROWS($1:23)&gt;COUNT(Dong),"",IF(OFFSET(TH!O$1,SMALL(Dong,ROWS($1:23)),)="331",OFFSET(TH!M$1,SMALL(Dong,ROWS($1:23)),),0))</f>
        <v/>
      </c>
      <c r="I36" s="25">
        <f t="shared" ca="1" si="2"/>
        <v>0</v>
      </c>
      <c r="J36" s="25">
        <f t="shared" ca="1" si="3"/>
        <v>0</v>
      </c>
    </row>
    <row r="37" spans="1:11" s="18" customFormat="1" ht="18" customHeight="1">
      <c r="A37" s="9" t="str">
        <f ca="1">IF(ROWS($1:24)&gt;COUNT(Dong),"",OFFSET(TH!C$1,SMALL(Dong,ROWS($1:24)),))</f>
        <v/>
      </c>
      <c r="B37" s="9" t="str">
        <f ca="1">IF(ROWS($1:24)&gt;COUNT(Dong),"",OFFSET(TH!D$1,SMALL(Dong,ROWS($1:24)),))</f>
        <v/>
      </c>
      <c r="C37" s="9" t="str">
        <f ca="1">IF(ROWS($1:24)&gt;COUNT(Dong),"",OFFSET(TH!E$1,SMALL(Dong,ROWS($1:24)),))</f>
        <v/>
      </c>
      <c r="D37" s="77" t="str">
        <f ca="1">IF(ROWS($1:24)&gt;COUNT(Dong),"",OFFSET(TH!F$1,SMALL(Dong,ROWS($1:24)),))</f>
        <v/>
      </c>
      <c r="E37" s="78" t="str">
        <f ca="1">IF(ROWS($1:24)&gt;COUNT(Dong),"",IF(OFFSET(TH!N$1,SMALL(Dong,ROWS($1:24)),)="331",OFFSET(TH!O$1,SMALL(Dong,ROWS($1:24)),),OFFSET(TH!N$1,SMALL(Dong,ROWS($1:24)),)))</f>
        <v/>
      </c>
      <c r="F37" s="78"/>
      <c r="G37" s="98" t="str">
        <f ca="1">IF(ROWS($1:24)&gt;COUNT(Dong),"",IF(OFFSET(TH!N$1,SMALL(Dong,ROWS($1:24)),)="331",OFFSET(TH!M$1,SMALL(Dong,ROWS($1:24)),),0))</f>
        <v/>
      </c>
      <c r="H37" s="98" t="str">
        <f ca="1">IF(ROWS($1:24)&gt;COUNT(Dong),"",IF(OFFSET(TH!O$1,SMALL(Dong,ROWS($1:24)),)="331",OFFSET(TH!M$1,SMALL(Dong,ROWS($1:24)),),0))</f>
        <v/>
      </c>
      <c r="I37" s="25">
        <f t="shared" ca="1" si="2"/>
        <v>0</v>
      </c>
      <c r="J37" s="25">
        <f t="shared" ca="1" si="3"/>
        <v>0</v>
      </c>
    </row>
    <row r="38" spans="1:11" s="18" customFormat="1" ht="18" customHeight="1">
      <c r="A38" s="9" t="str">
        <f ca="1">IF(ROWS($1:25)&gt;COUNT(Dong),"",OFFSET(TH!C$1,SMALL(Dong,ROWS($1:25)),))</f>
        <v/>
      </c>
      <c r="B38" s="9" t="str">
        <f ca="1">IF(ROWS($1:25)&gt;COUNT(Dong),"",OFFSET(TH!D$1,SMALL(Dong,ROWS($1:25)),))</f>
        <v/>
      </c>
      <c r="C38" s="9" t="str">
        <f ca="1">IF(ROWS($1:25)&gt;COUNT(Dong),"",OFFSET(TH!E$1,SMALL(Dong,ROWS($1:25)),))</f>
        <v/>
      </c>
      <c r="D38" s="77" t="str">
        <f ca="1">IF(ROWS($1:25)&gt;COUNT(Dong),"",OFFSET(TH!F$1,SMALL(Dong,ROWS($1:25)),))</f>
        <v/>
      </c>
      <c r="E38" s="78" t="str">
        <f ca="1">IF(ROWS($1:25)&gt;COUNT(Dong),"",IF(OFFSET(TH!N$1,SMALL(Dong,ROWS($1:25)),)="331",OFFSET(TH!O$1,SMALL(Dong,ROWS($1:25)),),OFFSET(TH!N$1,SMALL(Dong,ROWS($1:25)),)))</f>
        <v/>
      </c>
      <c r="F38" s="78"/>
      <c r="G38" s="98" t="str">
        <f ca="1">IF(ROWS($1:25)&gt;COUNT(Dong),"",IF(OFFSET(TH!N$1,SMALL(Dong,ROWS($1:25)),)="331",OFFSET(TH!M$1,SMALL(Dong,ROWS($1:25)),),0))</f>
        <v/>
      </c>
      <c r="H38" s="98" t="str">
        <f ca="1">IF(ROWS($1:25)&gt;COUNT(Dong),"",IF(OFFSET(TH!O$1,SMALL(Dong,ROWS($1:25)),)="331",OFFSET(TH!M$1,SMALL(Dong,ROWS($1:25)),),0))</f>
        <v/>
      </c>
      <c r="I38" s="25">
        <f t="shared" ca="1" si="2"/>
        <v>0</v>
      </c>
      <c r="J38" s="25">
        <f t="shared" ca="1" si="3"/>
        <v>0</v>
      </c>
    </row>
    <row r="39" spans="1:11" s="18" customFormat="1" ht="18" customHeight="1">
      <c r="A39" s="366"/>
      <c r="B39" s="366"/>
      <c r="C39" s="366"/>
      <c r="D39" s="367"/>
      <c r="E39" s="368"/>
      <c r="F39" s="368"/>
      <c r="G39" s="369"/>
      <c r="H39" s="369"/>
      <c r="I39" s="370"/>
      <c r="J39" s="370"/>
    </row>
    <row r="40" spans="1:11" s="18" customFormat="1" ht="18" customHeight="1">
      <c r="A40" s="24"/>
      <c r="B40" s="21"/>
      <c r="C40" s="26"/>
      <c r="D40" s="23" t="s">
        <v>35</v>
      </c>
      <c r="E40" s="21" t="s">
        <v>21</v>
      </c>
      <c r="F40" s="21" t="s">
        <v>21</v>
      </c>
      <c r="G40" s="27">
        <f ca="1">SUM(G14:G30)</f>
        <v>0</v>
      </c>
      <c r="H40" s="27">
        <f ca="1">SUM(H14:H30)</f>
        <v>22400000</v>
      </c>
      <c r="I40" s="27" t="s">
        <v>21</v>
      </c>
      <c r="J40" s="27" t="s">
        <v>21</v>
      </c>
    </row>
    <row r="41" spans="1:11" s="18" customFormat="1" ht="18" customHeight="1">
      <c r="A41" s="24"/>
      <c r="B41" s="21"/>
      <c r="C41" s="21"/>
      <c r="D41" s="23" t="s">
        <v>10</v>
      </c>
      <c r="E41" s="21" t="s">
        <v>21</v>
      </c>
      <c r="F41" s="21" t="s">
        <v>21</v>
      </c>
      <c r="G41" s="27" t="s">
        <v>21</v>
      </c>
      <c r="H41" s="27" t="s">
        <v>21</v>
      </c>
      <c r="I41" s="27">
        <f ca="1">MAX(I13+G40-H40-J13,0)</f>
        <v>0</v>
      </c>
      <c r="J41" s="27">
        <f ca="1">MAX(J13+H40-G40-I13,0)</f>
        <v>22400000</v>
      </c>
    </row>
    <row r="42" spans="1:11" s="18" customFormat="1" ht="6" customHeight="1">
      <c r="B42" s="19"/>
      <c r="C42" s="19"/>
      <c r="E42" s="19"/>
    </row>
    <row r="43" spans="1:11" s="18" customFormat="1" ht="14.25" customHeight="1">
      <c r="A43" s="28" t="s">
        <v>233</v>
      </c>
      <c r="B43" s="19"/>
      <c r="C43" s="19"/>
      <c r="E43" s="19"/>
      <c r="K43" s="28" t="s">
        <v>233</v>
      </c>
    </row>
    <row r="44" spans="1:11" s="18" customFormat="1" ht="14.25" customHeight="1">
      <c r="A44" s="28" t="s">
        <v>188</v>
      </c>
      <c r="B44" s="19"/>
      <c r="C44" s="19"/>
      <c r="E44" s="19"/>
      <c r="K44" s="28" t="s">
        <v>36</v>
      </c>
    </row>
    <row r="45" spans="1:11" s="18" customFormat="1" ht="14.25" customHeight="1">
      <c r="B45" s="19"/>
      <c r="C45" s="19"/>
      <c r="E45" s="1265" t="s">
        <v>175</v>
      </c>
      <c r="F45" s="1265"/>
      <c r="G45" s="1265"/>
      <c r="H45" s="1265"/>
      <c r="I45" s="1265"/>
      <c r="J45" s="1265"/>
    </row>
    <row r="46" spans="1:11" s="18" customFormat="1" ht="14.25" customHeight="1">
      <c r="C46" s="356" t="s">
        <v>11</v>
      </c>
      <c r="E46" s="1265" t="s">
        <v>12</v>
      </c>
      <c r="F46" s="1265"/>
      <c r="G46" s="1265"/>
      <c r="H46" s="1265"/>
      <c r="I46" s="1265"/>
      <c r="J46" s="1265"/>
    </row>
    <row r="47" spans="1:11" s="18" customFormat="1" ht="14.25" customHeight="1">
      <c r="C47" s="356" t="s">
        <v>13</v>
      </c>
      <c r="E47" s="1265" t="s">
        <v>13</v>
      </c>
      <c r="F47" s="1265"/>
      <c r="G47" s="1265"/>
      <c r="H47" s="1265"/>
      <c r="I47" s="1265"/>
      <c r="J47" s="1265"/>
    </row>
    <row r="48" spans="1:11" s="29" customFormat="1"/>
    <row r="54" spans="3:3" ht="15">
      <c r="C54" s="371" t="s">
        <v>229</v>
      </c>
    </row>
  </sheetData>
  <autoFilter ref="A12:J25"/>
  <mergeCells count="15">
    <mergeCell ref="E46:J46"/>
    <mergeCell ref="E47:J47"/>
    <mergeCell ref="A10:A11"/>
    <mergeCell ref="H1:J1"/>
    <mergeCell ref="H2:J3"/>
    <mergeCell ref="E7:H7"/>
    <mergeCell ref="E45:J45"/>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5.xml><?xml version="1.0" encoding="utf-8"?>
<worksheet xmlns="http://schemas.openxmlformats.org/spreadsheetml/2006/main" xmlns:r="http://schemas.openxmlformats.org/officeDocument/2006/relationships">
  <sheetPr>
    <tabColor theme="3"/>
  </sheetPr>
  <dimension ref="A1:P57"/>
  <sheetViews>
    <sheetView showZeros="0" workbookViewId="0">
      <pane ySplit="4" topLeftCell="A5" activePane="bottomLeft" state="frozen"/>
      <selection activeCell="G34" sqref="G34"/>
      <selection pane="bottomLeft" activeCell="J9" sqref="J9:J12"/>
    </sheetView>
  </sheetViews>
  <sheetFormatPr defaultColWidth="8" defaultRowHeight="13.5"/>
  <cols>
    <col min="1" max="1" width="4.28515625" style="230" customWidth="1"/>
    <col min="2" max="2" width="21.85546875" style="230" customWidth="1"/>
    <col min="3" max="3" width="8.7109375" style="230" customWidth="1"/>
    <col min="4" max="4" width="8.7109375" style="230" hidden="1" customWidth="1"/>
    <col min="5" max="5" width="8.140625" style="230" customWidth="1"/>
    <col min="6" max="6" width="9.42578125" style="230" customWidth="1"/>
    <col min="7" max="7" width="9.140625" style="1172" customWidth="1"/>
    <col min="8" max="8" width="13.7109375" style="230" customWidth="1"/>
    <col min="9" max="9" width="10.5703125" style="1172" customWidth="1"/>
    <col min="10" max="10" width="14.5703125" style="230" customWidth="1"/>
    <col min="11" max="11" width="9.7109375" style="1172" customWidth="1"/>
    <col min="12" max="12" width="13.7109375" style="230" customWidth="1"/>
    <col min="13" max="13" width="8.140625" style="230" customWidth="1"/>
    <col min="14" max="14" width="12.140625" style="230" customWidth="1"/>
    <col min="15" max="15" width="10.85546875" style="1172" customWidth="1"/>
    <col min="16" max="16" width="14" style="230" customWidth="1"/>
    <col min="17" max="16384" width="8" style="230"/>
  </cols>
  <sheetData>
    <row r="1" spans="1:16" ht="21.75" customHeight="1">
      <c r="A1" s="1300" t="s">
        <v>176</v>
      </c>
      <c r="B1" s="1300"/>
      <c r="C1" s="1300"/>
      <c r="D1" s="1300"/>
      <c r="E1" s="1300"/>
      <c r="F1" s="1300"/>
      <c r="G1" s="1300"/>
      <c r="H1" s="1300"/>
      <c r="I1" s="1300"/>
      <c r="J1" s="1300"/>
      <c r="K1" s="1300"/>
      <c r="L1" s="1300"/>
      <c r="M1" s="1300"/>
      <c r="N1" s="1300"/>
      <c r="O1" s="1300"/>
      <c r="P1" s="1300"/>
    </row>
    <row r="2" spans="1:16" s="10" customFormat="1" ht="15.75" customHeight="1">
      <c r="A2" s="1322" t="s">
        <v>37</v>
      </c>
      <c r="B2" s="1324" t="s">
        <v>177</v>
      </c>
      <c r="C2" s="1324" t="s">
        <v>178</v>
      </c>
      <c r="D2" s="1324" t="s">
        <v>180</v>
      </c>
      <c r="E2" s="1299" t="s">
        <v>39</v>
      </c>
      <c r="F2" s="1299"/>
      <c r="G2" s="1299"/>
      <c r="H2" s="1299"/>
      <c r="I2" s="1299" t="s">
        <v>40</v>
      </c>
      <c r="J2" s="1299"/>
      <c r="K2" s="1299"/>
      <c r="L2" s="1299"/>
      <c r="M2" s="1320" t="s">
        <v>44</v>
      </c>
      <c r="N2" s="1334"/>
      <c r="O2" s="1334"/>
      <c r="P2" s="1321"/>
    </row>
    <row r="3" spans="1:16" s="10" customFormat="1" ht="15.75" customHeight="1">
      <c r="A3" s="1323"/>
      <c r="B3" s="1325"/>
      <c r="C3" s="1325"/>
      <c r="D3" s="1325"/>
      <c r="E3" s="1299" t="s">
        <v>45</v>
      </c>
      <c r="F3" s="1299"/>
      <c r="G3" s="1299" t="s">
        <v>46</v>
      </c>
      <c r="H3" s="1299"/>
      <c r="I3" s="1299" t="s">
        <v>45</v>
      </c>
      <c r="J3" s="1299"/>
      <c r="K3" s="1299" t="s">
        <v>46</v>
      </c>
      <c r="L3" s="1299"/>
      <c r="M3" s="1299" t="s">
        <v>45</v>
      </c>
      <c r="N3" s="1299"/>
      <c r="O3" s="1299" t="s">
        <v>46</v>
      </c>
      <c r="P3" s="1299"/>
    </row>
    <row r="4" spans="1:16" s="10" customFormat="1" ht="15.75" customHeight="1">
      <c r="A4" s="1323"/>
      <c r="B4" s="1325"/>
      <c r="C4" s="1325"/>
      <c r="D4" s="1325"/>
      <c r="E4" s="333" t="s">
        <v>227</v>
      </c>
      <c r="F4" s="333" t="s">
        <v>228</v>
      </c>
      <c r="G4" s="1170" t="s">
        <v>227</v>
      </c>
      <c r="H4" s="333" t="s">
        <v>228</v>
      </c>
      <c r="I4" s="1170" t="s">
        <v>227</v>
      </c>
      <c r="J4" s="333" t="s">
        <v>228</v>
      </c>
      <c r="K4" s="1170" t="s">
        <v>227</v>
      </c>
      <c r="L4" s="333" t="s">
        <v>228</v>
      </c>
      <c r="M4" s="333" t="s">
        <v>227</v>
      </c>
      <c r="N4" s="333" t="s">
        <v>228</v>
      </c>
      <c r="O4" s="1170" t="s">
        <v>227</v>
      </c>
      <c r="P4" s="333" t="s">
        <v>228</v>
      </c>
    </row>
    <row r="5" spans="1:16" s="10" customFormat="1" ht="18" customHeight="1">
      <c r="A5" s="891">
        <f t="shared" ref="A5:A41" si="0">IF(B5&lt;&gt;"",ROW()-4,"")</f>
        <v>1</v>
      </c>
      <c r="B5" s="888" t="s">
        <v>1456</v>
      </c>
      <c r="C5" s="231">
        <v>42475</v>
      </c>
      <c r="D5" s="231"/>
      <c r="E5" s="231"/>
      <c r="F5" s="8"/>
      <c r="G5" s="232"/>
      <c r="H5" s="8"/>
      <c r="I5" s="335">
        <f t="array" ref="I5">SUM(IF("341"&amp;B5=LEFT(KHN,3)&amp;KH,_TH))</f>
        <v>0</v>
      </c>
      <c r="J5" s="8">
        <f t="array" ref="J5">SUM(IF("341"&amp;B5=LEFT(KHN,3)&amp;KH,TH))</f>
        <v>1600000000</v>
      </c>
      <c r="K5" s="232">
        <f t="array" ref="K5">SUM(IF("341"&amp;B5=LEFT(KHC,3)&amp;KH,_TH))</f>
        <v>0</v>
      </c>
      <c r="L5" s="8">
        <f t="array" ref="L5">SUM(IF("341"&amp;B5=LEFT(KHC,3)&amp;KH,TH))</f>
        <v>1600000000</v>
      </c>
      <c r="M5" s="234">
        <f t="shared" ref="M5:M41" si="1">ROUND(MAX(E5+I5-G5-K5,0),2)</f>
        <v>0</v>
      </c>
      <c r="N5" s="234">
        <f t="shared" ref="N5:N41" si="2">ROUND(MAX(F5+J5-H5-L5,0),2)</f>
        <v>0</v>
      </c>
      <c r="O5" s="233">
        <f t="shared" ref="O5:O41" si="3">ROUND(MAX(G5+K5-E5-I5,0),2)</f>
        <v>0</v>
      </c>
      <c r="P5" s="234">
        <f t="shared" ref="P5:P41" si="4">ROUND(MAX(H5+L5-F5-J5,0),2)</f>
        <v>0</v>
      </c>
    </row>
    <row r="6" spans="1:16" s="10" customFormat="1" ht="18" customHeight="1">
      <c r="A6" s="891">
        <f t="shared" si="0"/>
        <v>2</v>
      </c>
      <c r="B6" s="888" t="s">
        <v>1547</v>
      </c>
      <c r="C6" s="231">
        <v>42501</v>
      </c>
      <c r="D6" s="231"/>
      <c r="E6" s="231"/>
      <c r="F6" s="8"/>
      <c r="G6" s="232"/>
      <c r="H6" s="8"/>
      <c r="I6" s="335">
        <f t="array" ref="I6">SUM(IF("341"&amp;B6=LEFT(KHN,3)&amp;KH,_TH))</f>
        <v>0</v>
      </c>
      <c r="J6" s="8">
        <f t="array" ref="J6">SUM(IF("341"&amp;B6=LEFT(KHN,3)&amp;KH,TH))</f>
        <v>1418407200</v>
      </c>
      <c r="K6" s="232">
        <f t="array" ref="K6">SUM(IF("341"&amp;B6=LEFT(KHC,3)&amp;KH,_TH))</f>
        <v>0</v>
      </c>
      <c r="L6" s="8">
        <f t="array" ref="L6">SUM(IF("341"&amp;B6=LEFT(KHC,3)&amp;KH,TH))</f>
        <v>1418407200</v>
      </c>
      <c r="M6" s="234">
        <f t="shared" si="1"/>
        <v>0</v>
      </c>
      <c r="N6" s="234">
        <f t="shared" si="2"/>
        <v>0</v>
      </c>
      <c r="O6" s="233">
        <f t="shared" si="3"/>
        <v>0</v>
      </c>
      <c r="P6" s="234">
        <f t="shared" si="4"/>
        <v>0</v>
      </c>
    </row>
    <row r="7" spans="1:16" s="10" customFormat="1" ht="18" customHeight="1">
      <c r="A7" s="891">
        <f t="shared" si="0"/>
        <v>3</v>
      </c>
      <c r="B7" s="888" t="s">
        <v>1548</v>
      </c>
      <c r="C7" s="231">
        <v>42503</v>
      </c>
      <c r="D7" s="231"/>
      <c r="E7" s="231"/>
      <c r="F7" s="8"/>
      <c r="G7" s="232"/>
      <c r="H7" s="8"/>
      <c r="I7" s="335">
        <f t="array" ref="I7">SUM(IF("341"&amp;B7=LEFT(KHN,3)&amp;KH,_TH))</f>
        <v>0</v>
      </c>
      <c r="J7" s="8">
        <f t="array" ref="J7">SUM(IF("341"&amp;B7=LEFT(KHN,3)&amp;KH,TH))</f>
        <v>837658200</v>
      </c>
      <c r="K7" s="232">
        <f t="array" ref="K7">SUM(IF("341"&amp;B7=LEFT(KHC,3)&amp;KH,_TH))</f>
        <v>0</v>
      </c>
      <c r="L7" s="8">
        <f t="array" ref="L7">SUM(IF("341"&amp;B7=LEFT(KHC,3)&amp;KH,TH))</f>
        <v>837658200</v>
      </c>
      <c r="M7" s="234">
        <f t="shared" si="1"/>
        <v>0</v>
      </c>
      <c r="N7" s="234">
        <f t="shared" si="2"/>
        <v>0</v>
      </c>
      <c r="O7" s="233">
        <f t="shared" si="3"/>
        <v>0</v>
      </c>
      <c r="P7" s="234">
        <f t="shared" si="4"/>
        <v>0</v>
      </c>
    </row>
    <row r="8" spans="1:16" s="10" customFormat="1" ht="18" customHeight="1">
      <c r="A8" s="891">
        <f t="shared" si="0"/>
        <v>4</v>
      </c>
      <c r="B8" s="888" t="s">
        <v>1897</v>
      </c>
      <c r="C8" s="231">
        <v>42528</v>
      </c>
      <c r="D8" s="231"/>
      <c r="E8" s="231"/>
      <c r="F8" s="8"/>
      <c r="G8" s="232"/>
      <c r="H8" s="8"/>
      <c r="I8" s="335">
        <f t="array" ref="I8">SUM(IF("341"&amp;B8=LEFT(KHN,3)&amp;KH,_TH))</f>
        <v>76050</v>
      </c>
      <c r="J8" s="8">
        <f t="array" ref="J8">SUM(IF("341"&amp;B8=LEFT(KHN,3)&amp;KH,TH))</f>
        <v>1697436000</v>
      </c>
      <c r="K8" s="232">
        <f t="array" ref="K8">SUM(IF("341"&amp;B8=LEFT(KHC,3)&amp;KH,_TH))</f>
        <v>76050</v>
      </c>
      <c r="L8" s="8">
        <f t="array" ref="L8">SUM(IF("341"&amp;B8=LEFT(KHC,3)&amp;KH,TH))</f>
        <v>1697436000</v>
      </c>
      <c r="M8" s="234">
        <f t="shared" si="1"/>
        <v>0</v>
      </c>
      <c r="N8" s="234">
        <f t="shared" si="2"/>
        <v>0</v>
      </c>
      <c r="O8" s="233">
        <f t="shared" si="3"/>
        <v>0</v>
      </c>
      <c r="P8" s="234">
        <f t="shared" si="4"/>
        <v>0</v>
      </c>
    </row>
    <row r="9" spans="1:16" s="10" customFormat="1" ht="18" customHeight="1">
      <c r="A9" s="891">
        <f t="shared" si="0"/>
        <v>5</v>
      </c>
      <c r="B9" s="7" t="s">
        <v>720</v>
      </c>
      <c r="C9" s="231">
        <v>40200</v>
      </c>
      <c r="D9" s="231">
        <v>0</v>
      </c>
      <c r="E9" s="231">
        <v>0</v>
      </c>
      <c r="F9" s="8">
        <v>0</v>
      </c>
      <c r="G9" s="232">
        <v>13915</v>
      </c>
      <c r="H9" s="8">
        <v>312878775</v>
      </c>
      <c r="I9" s="335">
        <f t="array" ref="I9">SUM(IF("341"&amp;B9=LEFT(KHN,3)&amp;KH,_TH))</f>
        <v>13915</v>
      </c>
      <c r="J9" s="8">
        <f t="array" ref="J9">SUM(IF("341"&amp;B9=LEFT(KHN,3)&amp;KH,TH))</f>
        <v>312878775</v>
      </c>
      <c r="K9" s="232">
        <f t="array" ref="K9">SUM(IF("341"&amp;B9=LEFT(KHC,3)&amp;KH,_TH))</f>
        <v>0</v>
      </c>
      <c r="L9" s="8">
        <f t="array" ref="L9">SUM(IF("341"&amp;B9=LEFT(KHC,3)&amp;KH,TH))</f>
        <v>0</v>
      </c>
      <c r="M9" s="234">
        <f t="shared" si="1"/>
        <v>0</v>
      </c>
      <c r="N9" s="234">
        <f t="shared" si="2"/>
        <v>0</v>
      </c>
      <c r="O9" s="233">
        <f t="shared" si="3"/>
        <v>0</v>
      </c>
      <c r="P9" s="234">
        <f t="shared" si="4"/>
        <v>0</v>
      </c>
    </row>
    <row r="10" spans="1:16" s="10" customFormat="1" ht="18" customHeight="1">
      <c r="A10" s="891">
        <f t="shared" si="0"/>
        <v>6</v>
      </c>
      <c r="B10" s="7" t="s">
        <v>713</v>
      </c>
      <c r="C10" s="231">
        <v>40964</v>
      </c>
      <c r="D10" s="231">
        <v>0</v>
      </c>
      <c r="E10" s="231">
        <v>0</v>
      </c>
      <c r="F10" s="8">
        <v>0</v>
      </c>
      <c r="G10" s="232">
        <v>33319.39</v>
      </c>
      <c r="H10" s="8">
        <v>749186484</v>
      </c>
      <c r="I10" s="335">
        <f t="array" ref="I10">SUM(IF("341"&amp;B10=LEFT(KHN,3)&amp;KH,_TH))</f>
        <v>33319.39</v>
      </c>
      <c r="J10" s="8">
        <f t="array" ref="J10">SUM(IF("341"&amp;B10=LEFT(KHN,3)&amp;KH,TH))</f>
        <v>749186484</v>
      </c>
      <c r="K10" s="232">
        <f t="array" ref="K10">SUM(IF("341"&amp;B10=LEFT(KHC,3)&amp;KH,_TH))</f>
        <v>0</v>
      </c>
      <c r="L10" s="8">
        <f t="array" ref="L10">SUM(IF("341"&amp;B10=LEFT(KHC,3)&amp;KH,TH))</f>
        <v>0</v>
      </c>
      <c r="M10" s="234">
        <f t="shared" si="1"/>
        <v>0</v>
      </c>
      <c r="N10" s="234">
        <f t="shared" si="2"/>
        <v>0</v>
      </c>
      <c r="O10" s="233">
        <f t="shared" si="3"/>
        <v>0</v>
      </c>
      <c r="P10" s="234">
        <f t="shared" si="4"/>
        <v>0</v>
      </c>
    </row>
    <row r="11" spans="1:16" s="10" customFormat="1" ht="18" customHeight="1">
      <c r="A11" s="891">
        <f t="shared" si="0"/>
        <v>7</v>
      </c>
      <c r="B11" s="7" t="s">
        <v>714</v>
      </c>
      <c r="C11" s="231">
        <v>40964</v>
      </c>
      <c r="D11" s="231">
        <v>0</v>
      </c>
      <c r="E11" s="231">
        <v>0</v>
      </c>
      <c r="F11" s="8">
        <v>0</v>
      </c>
      <c r="G11" s="232">
        <v>20515.96</v>
      </c>
      <c r="H11" s="8">
        <v>461301361</v>
      </c>
      <c r="I11" s="335">
        <f t="array" ref="I11">SUM(IF("341"&amp;B11=LEFT(KHN,3)&amp;KH,_TH))</f>
        <v>20515.96</v>
      </c>
      <c r="J11" s="8">
        <f t="array" ref="J11">SUM(IF("341"&amp;B11=LEFT(KHN,3)&amp;KH,TH))</f>
        <v>461301361</v>
      </c>
      <c r="K11" s="232">
        <f t="array" ref="K11">SUM(IF("341"&amp;B11=LEFT(KHC,3)&amp;KH,_TH))</f>
        <v>0</v>
      </c>
      <c r="L11" s="8">
        <f t="array" ref="L11">SUM(IF("341"&amp;B11=LEFT(KHC,3)&amp;KH,TH))</f>
        <v>0</v>
      </c>
      <c r="M11" s="234">
        <f t="shared" si="1"/>
        <v>0</v>
      </c>
      <c r="N11" s="234">
        <f t="shared" si="2"/>
        <v>0</v>
      </c>
      <c r="O11" s="233">
        <f t="shared" si="3"/>
        <v>0</v>
      </c>
      <c r="P11" s="234">
        <f t="shared" si="4"/>
        <v>0</v>
      </c>
    </row>
    <row r="12" spans="1:16" s="10" customFormat="1" ht="18" customHeight="1">
      <c r="A12" s="891">
        <f t="shared" si="0"/>
        <v>8</v>
      </c>
      <c r="B12" s="7" t="s">
        <v>721</v>
      </c>
      <c r="C12" s="231">
        <v>40964</v>
      </c>
      <c r="D12" s="231">
        <v>0</v>
      </c>
      <c r="E12" s="231">
        <v>0</v>
      </c>
      <c r="F12" s="8">
        <v>0</v>
      </c>
      <c r="G12" s="232">
        <v>28719.38</v>
      </c>
      <c r="H12" s="8">
        <v>645755259</v>
      </c>
      <c r="I12" s="335">
        <f t="array" ref="I12">SUM(IF("341"&amp;B12=LEFT(KHN,3)&amp;KH,_TH))</f>
        <v>28719.38</v>
      </c>
      <c r="J12" s="8">
        <f t="array" ref="J12">SUM(IF("341"&amp;B12=LEFT(KHN,3)&amp;KH,TH))</f>
        <v>645755259</v>
      </c>
      <c r="K12" s="232">
        <f t="array" ref="K12">SUM(IF("341"&amp;B12=LEFT(KHC,3)&amp;KH,_TH))</f>
        <v>0</v>
      </c>
      <c r="L12" s="8">
        <f t="array" ref="L12">SUM(IF("341"&amp;B12=LEFT(KHC,3)&amp;KH,TH))</f>
        <v>0</v>
      </c>
      <c r="M12" s="234">
        <f t="shared" si="1"/>
        <v>0</v>
      </c>
      <c r="N12" s="234">
        <f t="shared" si="2"/>
        <v>0</v>
      </c>
      <c r="O12" s="233">
        <f t="shared" si="3"/>
        <v>0</v>
      </c>
      <c r="P12" s="234">
        <f t="shared" si="4"/>
        <v>0</v>
      </c>
    </row>
    <row r="13" spans="1:16" s="10" customFormat="1" ht="18" customHeight="1">
      <c r="A13" s="891">
        <f t="shared" si="0"/>
        <v>9</v>
      </c>
      <c r="B13" s="7" t="s">
        <v>717</v>
      </c>
      <c r="C13" s="231">
        <v>42205</v>
      </c>
      <c r="D13" s="231">
        <v>0</v>
      </c>
      <c r="E13" s="231">
        <v>0</v>
      </c>
      <c r="F13" s="8">
        <v>0</v>
      </c>
      <c r="G13" s="232">
        <v>97000</v>
      </c>
      <c r="H13" s="8">
        <v>2117025000</v>
      </c>
      <c r="I13" s="335">
        <f t="array" ref="I13">SUM(IF("341"&amp;B13=LEFT(KHN,3)&amp;KH,_TH))</f>
        <v>97000</v>
      </c>
      <c r="J13" s="8">
        <f t="array" ref="J13">SUM(IF("341"&amp;B13=LEFT(KHN,3)&amp;KH,TH))</f>
        <v>2168920000</v>
      </c>
      <c r="K13" s="232">
        <f t="array" ref="K13">SUM(IF("341"&amp;B13=LEFT(KHC,3)&amp;KH,_TH))</f>
        <v>0</v>
      </c>
      <c r="L13" s="8">
        <f t="array" ref="L13">SUM(IF("341"&amp;B13=LEFT(KHC,3)&amp;KH,TH))</f>
        <v>51895000</v>
      </c>
      <c r="M13" s="234">
        <f t="shared" si="1"/>
        <v>0</v>
      </c>
      <c r="N13" s="234">
        <f t="shared" si="2"/>
        <v>0</v>
      </c>
      <c r="O13" s="233">
        <f t="shared" si="3"/>
        <v>0</v>
      </c>
      <c r="P13" s="234">
        <f t="shared" si="4"/>
        <v>0</v>
      </c>
    </row>
    <row r="14" spans="1:16" s="10" customFormat="1" ht="18" customHeight="1">
      <c r="A14" s="891">
        <f t="shared" si="0"/>
        <v>10</v>
      </c>
      <c r="B14" s="7" t="s">
        <v>722</v>
      </c>
      <c r="C14" s="231">
        <v>42247</v>
      </c>
      <c r="D14" s="231">
        <v>0</v>
      </c>
      <c r="E14" s="231">
        <v>0</v>
      </c>
      <c r="F14" s="8">
        <v>0</v>
      </c>
      <c r="G14" s="232">
        <v>82000</v>
      </c>
      <c r="H14" s="8">
        <v>1842950000</v>
      </c>
      <c r="I14" s="335">
        <f t="array" ref="I14">SUM(IF("341"&amp;B14=LEFT(KHN,3)&amp;KH,_TH))</f>
        <v>82000</v>
      </c>
      <c r="J14" s="8">
        <f t="array" ref="J14">SUM(IF("341"&amp;B14=LEFT(KHN,3)&amp;KH,TH))</f>
        <v>1842950000</v>
      </c>
      <c r="K14" s="232">
        <f t="array" ref="K14">SUM(IF("341"&amp;B14=LEFT(KHC,3)&amp;KH,_TH))</f>
        <v>0</v>
      </c>
      <c r="L14" s="8">
        <f t="array" ref="L14">SUM(IF("341"&amp;B14=LEFT(KHC,3)&amp;KH,TH))</f>
        <v>0</v>
      </c>
      <c r="M14" s="234">
        <f t="shared" si="1"/>
        <v>0</v>
      </c>
      <c r="N14" s="234">
        <f t="shared" si="2"/>
        <v>0</v>
      </c>
      <c r="O14" s="233">
        <f t="shared" si="3"/>
        <v>0</v>
      </c>
      <c r="P14" s="234">
        <f t="shared" si="4"/>
        <v>0</v>
      </c>
    </row>
    <row r="15" spans="1:16" s="10" customFormat="1" ht="18" customHeight="1">
      <c r="A15" s="891">
        <f t="shared" si="0"/>
        <v>11</v>
      </c>
      <c r="B15" s="7" t="s">
        <v>723</v>
      </c>
      <c r="C15" s="231">
        <v>42248</v>
      </c>
      <c r="D15" s="231">
        <v>0</v>
      </c>
      <c r="E15" s="231">
        <v>0</v>
      </c>
      <c r="F15" s="8">
        <v>0</v>
      </c>
      <c r="G15" s="232">
        <v>40000</v>
      </c>
      <c r="H15" s="8">
        <v>899520000</v>
      </c>
      <c r="I15" s="335">
        <f t="array" ref="I15">SUM(IF("341"&amp;B15=LEFT(KHN,3)&amp;KH,_TH))</f>
        <v>40000</v>
      </c>
      <c r="J15" s="8">
        <f t="array" ref="J15">SUM(IF("341"&amp;B15=LEFT(KHN,3)&amp;KH,TH))</f>
        <v>899520000</v>
      </c>
      <c r="K15" s="232">
        <f t="array" ref="K15">SUM(IF("341"&amp;B15=LEFT(KHC,3)&amp;KH,_TH))</f>
        <v>0</v>
      </c>
      <c r="L15" s="8">
        <f t="array" ref="L15">SUM(IF("341"&amp;B15=LEFT(KHC,3)&amp;KH,TH))</f>
        <v>0</v>
      </c>
      <c r="M15" s="234">
        <f t="shared" si="1"/>
        <v>0</v>
      </c>
      <c r="N15" s="234">
        <f t="shared" si="2"/>
        <v>0</v>
      </c>
      <c r="O15" s="233">
        <f t="shared" si="3"/>
        <v>0</v>
      </c>
      <c r="P15" s="234">
        <f t="shared" si="4"/>
        <v>0</v>
      </c>
    </row>
    <row r="16" spans="1:16" s="10" customFormat="1" ht="18" customHeight="1">
      <c r="A16" s="891">
        <f t="shared" si="0"/>
        <v>12</v>
      </c>
      <c r="B16" s="7" t="s">
        <v>724</v>
      </c>
      <c r="C16" s="231">
        <v>42251</v>
      </c>
      <c r="D16" s="231">
        <v>0</v>
      </c>
      <c r="E16" s="231">
        <v>0</v>
      </c>
      <c r="F16" s="8">
        <v>0</v>
      </c>
      <c r="G16" s="232">
        <v>50000</v>
      </c>
      <c r="H16" s="8">
        <v>1124250000</v>
      </c>
      <c r="I16" s="335">
        <f t="array" ref="I16">SUM(IF("341"&amp;B16=LEFT(KHN,3)&amp;KH,_TH))</f>
        <v>50000</v>
      </c>
      <c r="J16" s="8">
        <f t="array" ref="J16">SUM(IF("341"&amp;B16=LEFT(KHN,3)&amp;KH,TH))</f>
        <v>1124250000</v>
      </c>
      <c r="K16" s="232">
        <f t="array" ref="K16">SUM(IF("341"&amp;B16=LEFT(KHC,3)&amp;KH,_TH))</f>
        <v>0</v>
      </c>
      <c r="L16" s="8">
        <f t="array" ref="L16">SUM(IF("341"&amp;B16=LEFT(KHC,3)&amp;KH,TH))</f>
        <v>0</v>
      </c>
      <c r="M16" s="234">
        <f t="shared" si="1"/>
        <v>0</v>
      </c>
      <c r="N16" s="234">
        <f t="shared" si="2"/>
        <v>0</v>
      </c>
      <c r="O16" s="233">
        <f t="shared" si="3"/>
        <v>0</v>
      </c>
      <c r="P16" s="234">
        <f t="shared" si="4"/>
        <v>0</v>
      </c>
    </row>
    <row r="17" spans="1:16" s="10" customFormat="1" ht="18" customHeight="1">
      <c r="A17" s="891">
        <f t="shared" si="0"/>
        <v>13</v>
      </c>
      <c r="B17" s="7" t="s">
        <v>725</v>
      </c>
      <c r="C17" s="231">
        <v>42278</v>
      </c>
      <c r="D17" s="231">
        <v>0</v>
      </c>
      <c r="E17" s="231">
        <v>0</v>
      </c>
      <c r="F17" s="8">
        <v>0</v>
      </c>
      <c r="G17" s="232">
        <v>89500</v>
      </c>
      <c r="H17" s="8">
        <v>2011244000</v>
      </c>
      <c r="I17" s="335">
        <f t="array" ref="I17">SUM(IF("341"&amp;B17=LEFT(KHN,3)&amp;KH,_TH))</f>
        <v>89500</v>
      </c>
      <c r="J17" s="8">
        <f t="array" ref="J17">SUM(IF("341"&amp;B17=LEFT(KHN,3)&amp;KH,TH))</f>
        <v>2011244000</v>
      </c>
      <c r="K17" s="232">
        <f t="array" ref="K17">SUM(IF("341"&amp;B17=LEFT(KHC,3)&amp;KH,_TH))</f>
        <v>0</v>
      </c>
      <c r="L17" s="8">
        <f t="array" ref="L17">SUM(IF("341"&amp;B17=LEFT(KHC,3)&amp;KH,TH))</f>
        <v>0</v>
      </c>
      <c r="M17" s="234">
        <f t="shared" si="1"/>
        <v>0</v>
      </c>
      <c r="N17" s="234">
        <f t="shared" si="2"/>
        <v>0</v>
      </c>
      <c r="O17" s="233">
        <f t="shared" si="3"/>
        <v>0</v>
      </c>
      <c r="P17" s="234">
        <f t="shared" si="4"/>
        <v>0</v>
      </c>
    </row>
    <row r="18" spans="1:16" s="10" customFormat="1" ht="18" customHeight="1">
      <c r="A18" s="891">
        <f t="shared" si="0"/>
        <v>14</v>
      </c>
      <c r="B18" s="7" t="s">
        <v>726</v>
      </c>
      <c r="C18" s="231">
        <v>42279</v>
      </c>
      <c r="D18" s="231">
        <v>0</v>
      </c>
      <c r="E18" s="231">
        <v>0</v>
      </c>
      <c r="F18" s="8">
        <v>0</v>
      </c>
      <c r="G18" s="232">
        <v>89000</v>
      </c>
      <c r="H18" s="8">
        <v>2001165000</v>
      </c>
      <c r="I18" s="335">
        <f t="array" ref="I18">SUM(IF("341"&amp;B18=LEFT(KHN,3)&amp;KH,_TH))</f>
        <v>89000</v>
      </c>
      <c r="J18" s="8">
        <f t="array" ref="J18">SUM(IF("341"&amp;B18=LEFT(KHN,3)&amp;KH,TH))</f>
        <v>2001165000</v>
      </c>
      <c r="K18" s="232">
        <f t="array" ref="K18">SUM(IF("341"&amp;B18=LEFT(KHC,3)&amp;KH,_TH))</f>
        <v>0</v>
      </c>
      <c r="L18" s="8">
        <f t="array" ref="L18">SUM(IF("341"&amp;B18=LEFT(KHC,3)&amp;KH,TH))</f>
        <v>0</v>
      </c>
      <c r="M18" s="234">
        <f t="shared" si="1"/>
        <v>0</v>
      </c>
      <c r="N18" s="234">
        <f t="shared" si="2"/>
        <v>0</v>
      </c>
      <c r="O18" s="233">
        <f t="shared" si="3"/>
        <v>0</v>
      </c>
      <c r="P18" s="234">
        <f t="shared" si="4"/>
        <v>0</v>
      </c>
    </row>
    <row r="19" spans="1:16" s="10" customFormat="1" ht="18" customHeight="1">
      <c r="A19" s="891">
        <f t="shared" si="0"/>
        <v>15</v>
      </c>
      <c r="B19" s="7" t="s">
        <v>733</v>
      </c>
      <c r="C19" s="231">
        <v>42328</v>
      </c>
      <c r="D19" s="231">
        <v>0</v>
      </c>
      <c r="E19" s="231">
        <v>0</v>
      </c>
      <c r="F19" s="8">
        <v>0</v>
      </c>
      <c r="G19" s="232">
        <v>61000</v>
      </c>
      <c r="H19" s="8">
        <v>1368840000</v>
      </c>
      <c r="I19" s="335">
        <f t="array" ref="I19">SUM(IF("341"&amp;B19=LEFT(KHN,3)&amp;KH,_TH))</f>
        <v>61000</v>
      </c>
      <c r="J19" s="8">
        <f t="array" ref="J19">SUM(IF("341"&amp;B19=LEFT(KHN,3)&amp;KH,TH))</f>
        <v>1368840000</v>
      </c>
      <c r="K19" s="232">
        <f t="array" ref="K19">SUM(IF("341"&amp;B19=LEFT(KHC,3)&amp;KH,_TH))</f>
        <v>0</v>
      </c>
      <c r="L19" s="8">
        <f t="array" ref="L19">SUM(IF("341"&amp;B19=LEFT(KHC,3)&amp;KH,TH))</f>
        <v>0</v>
      </c>
      <c r="M19" s="234">
        <f t="shared" si="1"/>
        <v>0</v>
      </c>
      <c r="N19" s="234">
        <f t="shared" si="2"/>
        <v>0</v>
      </c>
      <c r="O19" s="233">
        <f t="shared" si="3"/>
        <v>0</v>
      </c>
      <c r="P19" s="234">
        <f t="shared" si="4"/>
        <v>0</v>
      </c>
    </row>
    <row r="20" spans="1:16" s="10" customFormat="1" ht="18" customHeight="1">
      <c r="A20" s="891">
        <f t="shared" si="0"/>
        <v>16</v>
      </c>
      <c r="B20" s="7" t="s">
        <v>727</v>
      </c>
      <c r="C20" s="231">
        <v>42339</v>
      </c>
      <c r="D20" s="231">
        <v>0</v>
      </c>
      <c r="E20" s="231">
        <v>0</v>
      </c>
      <c r="F20" s="8">
        <v>0</v>
      </c>
      <c r="G20" s="232">
        <v>89000</v>
      </c>
      <c r="H20" s="8">
        <v>2001343000</v>
      </c>
      <c r="I20" s="335">
        <f t="array" ref="I20">SUM(IF("341"&amp;B20=LEFT(KHN,3)&amp;KH,_TH))</f>
        <v>89000</v>
      </c>
      <c r="J20" s="8">
        <f t="array" ref="J20">SUM(IF("341"&amp;B20=LEFT(KHN,3)&amp;KH,TH))</f>
        <v>2001343000</v>
      </c>
      <c r="K20" s="232">
        <f t="array" ref="K20">SUM(IF("341"&amp;B20=LEFT(KHC,3)&amp;KH,_TH))</f>
        <v>0</v>
      </c>
      <c r="L20" s="8">
        <f t="array" ref="L20">SUM(IF("341"&amp;B20=LEFT(KHC,3)&amp;KH,TH))</f>
        <v>0</v>
      </c>
      <c r="M20" s="234">
        <f t="shared" si="1"/>
        <v>0</v>
      </c>
      <c r="N20" s="234">
        <f t="shared" si="2"/>
        <v>0</v>
      </c>
      <c r="O20" s="233">
        <f t="shared" si="3"/>
        <v>0</v>
      </c>
      <c r="P20" s="234">
        <f t="shared" si="4"/>
        <v>0</v>
      </c>
    </row>
    <row r="21" spans="1:16" s="10" customFormat="1" ht="18" customHeight="1">
      <c r="A21" s="891">
        <f t="shared" si="0"/>
        <v>17</v>
      </c>
      <c r="B21" s="7" t="s">
        <v>728</v>
      </c>
      <c r="C21" s="231">
        <v>42360</v>
      </c>
      <c r="D21" s="231">
        <v>0</v>
      </c>
      <c r="E21" s="231">
        <v>0</v>
      </c>
      <c r="F21" s="8">
        <v>0</v>
      </c>
      <c r="G21" s="232">
        <v>88000</v>
      </c>
      <c r="H21" s="8">
        <v>1983520000</v>
      </c>
      <c r="I21" s="335">
        <f t="array" ref="I21">SUM(IF("341"&amp;B21=LEFT(KHN,3)&amp;KH,_TH))</f>
        <v>88000</v>
      </c>
      <c r="J21" s="8">
        <f t="array" ref="J21">SUM(IF("341"&amp;B21=LEFT(KHN,3)&amp;KH,TH))</f>
        <v>1983520000</v>
      </c>
      <c r="K21" s="232">
        <f t="array" ref="K21">SUM(IF("341"&amp;B21=LEFT(KHC,3)&amp;KH,_TH))</f>
        <v>0</v>
      </c>
      <c r="L21" s="8">
        <f t="array" ref="L21">SUM(IF("341"&amp;B21=LEFT(KHC,3)&amp;KH,TH))</f>
        <v>0</v>
      </c>
      <c r="M21" s="234">
        <f t="shared" si="1"/>
        <v>0</v>
      </c>
      <c r="N21" s="234">
        <f t="shared" si="2"/>
        <v>0</v>
      </c>
      <c r="O21" s="233">
        <f t="shared" si="3"/>
        <v>0</v>
      </c>
      <c r="P21" s="234">
        <f t="shared" si="4"/>
        <v>0</v>
      </c>
    </row>
    <row r="22" spans="1:16" s="10" customFormat="1" ht="18" customHeight="1">
      <c r="A22" s="891">
        <f t="shared" si="0"/>
        <v>18</v>
      </c>
      <c r="B22" s="7" t="s">
        <v>736</v>
      </c>
      <c r="C22" s="231">
        <v>42394</v>
      </c>
      <c r="D22" s="231"/>
      <c r="E22" s="231"/>
      <c r="F22" s="8"/>
      <c r="G22" s="232"/>
      <c r="H22" s="8"/>
      <c r="I22" s="335">
        <f t="array" ref="I22">SUM(IF("341"&amp;B22=LEFT(KHN,3)&amp;KH,_TH))</f>
        <v>97000</v>
      </c>
      <c r="J22" s="8">
        <f t="array" ref="J22">SUM(IF("341"&amp;B22=LEFT(KHN,3)&amp;KH,TH))</f>
        <v>2168920000</v>
      </c>
      <c r="K22" s="232">
        <f t="array" ref="K22">SUM(IF("341"&amp;B22=LEFT(KHC,3)&amp;KH,_TH))</f>
        <v>97000</v>
      </c>
      <c r="L22" s="8">
        <f t="array" ref="L22">SUM(IF("341"&amp;B22=LEFT(KHC,3)&amp;KH,TH))</f>
        <v>2168920000</v>
      </c>
      <c r="M22" s="234">
        <f t="shared" si="1"/>
        <v>0</v>
      </c>
      <c r="N22" s="234">
        <f t="shared" si="2"/>
        <v>0</v>
      </c>
      <c r="O22" s="233">
        <f t="shared" si="3"/>
        <v>0</v>
      </c>
      <c r="P22" s="234">
        <f t="shared" si="4"/>
        <v>0</v>
      </c>
    </row>
    <row r="23" spans="1:16" s="10" customFormat="1" ht="18" customHeight="1">
      <c r="A23" s="891">
        <f t="shared" si="0"/>
        <v>19</v>
      </c>
      <c r="B23" s="73" t="s">
        <v>1188</v>
      </c>
      <c r="C23" s="231">
        <v>42436</v>
      </c>
      <c r="D23" s="231"/>
      <c r="E23" s="231"/>
      <c r="F23" s="8"/>
      <c r="G23" s="232"/>
      <c r="H23" s="8"/>
      <c r="I23" s="335">
        <f t="array" ref="I23">SUM(IF("341"&amp;B23=LEFT(KHN,3)&amp;KH,_TH))</f>
        <v>82000</v>
      </c>
      <c r="J23" s="8">
        <f t="array" ref="J23">SUM(IF("341"&amp;B23=LEFT(KHN,3)&amp;KH,TH))</f>
        <v>1829256000</v>
      </c>
      <c r="K23" s="232">
        <f t="array" ref="K23">SUM(IF("341"&amp;B23=LEFT(KHC,3)&amp;KH,_TH))</f>
        <v>82000</v>
      </c>
      <c r="L23" s="8">
        <f t="array" ref="L23">SUM(IF("341"&amp;B23=LEFT(KHC,3)&amp;KH,TH))</f>
        <v>1829256000</v>
      </c>
      <c r="M23" s="234">
        <f t="shared" si="1"/>
        <v>0</v>
      </c>
      <c r="N23" s="234">
        <f t="shared" si="2"/>
        <v>0</v>
      </c>
      <c r="O23" s="233">
        <f t="shared" si="3"/>
        <v>0</v>
      </c>
      <c r="P23" s="234">
        <f t="shared" si="4"/>
        <v>0</v>
      </c>
    </row>
    <row r="24" spans="1:16" s="10" customFormat="1" ht="18" customHeight="1">
      <c r="A24" s="891">
        <f t="shared" si="0"/>
        <v>20</v>
      </c>
      <c r="B24" s="73" t="s">
        <v>1189</v>
      </c>
      <c r="C24" s="231">
        <v>42437</v>
      </c>
      <c r="D24" s="231"/>
      <c r="E24" s="231"/>
      <c r="F24" s="8"/>
      <c r="G24" s="232"/>
      <c r="H24" s="8"/>
      <c r="I24" s="335">
        <f t="array" ref="I24">SUM(IF("341"&amp;B24=LEFT(KHN,3)&amp;KH,_TH))</f>
        <v>90000</v>
      </c>
      <c r="J24" s="8">
        <f t="array" ref="J24">SUM(IF("341"&amp;B24=LEFT(KHN,3)&amp;KH,TH))</f>
        <v>2007720000</v>
      </c>
      <c r="K24" s="232">
        <f t="array" ref="K24">SUM(IF("341"&amp;B24=LEFT(KHC,3)&amp;KH,_TH))</f>
        <v>90000</v>
      </c>
      <c r="L24" s="8">
        <f t="array" ref="L24">SUM(IF("341"&amp;B24=LEFT(KHC,3)&amp;KH,TH))</f>
        <v>2007720000</v>
      </c>
      <c r="M24" s="234">
        <f t="shared" si="1"/>
        <v>0</v>
      </c>
      <c r="N24" s="234">
        <f t="shared" si="2"/>
        <v>0</v>
      </c>
      <c r="O24" s="233">
        <f t="shared" si="3"/>
        <v>0</v>
      </c>
      <c r="P24" s="234">
        <f t="shared" si="4"/>
        <v>0</v>
      </c>
    </row>
    <row r="25" spans="1:16" s="10" customFormat="1" ht="18" customHeight="1">
      <c r="A25" s="891">
        <f t="shared" si="0"/>
        <v>21</v>
      </c>
      <c r="B25" s="7" t="s">
        <v>719</v>
      </c>
      <c r="C25" s="231">
        <v>42234</v>
      </c>
      <c r="D25" s="231">
        <v>0</v>
      </c>
      <c r="E25" s="231">
        <v>0</v>
      </c>
      <c r="F25" s="8">
        <v>0</v>
      </c>
      <c r="G25" s="232">
        <v>52300</v>
      </c>
      <c r="H25" s="8">
        <v>1154784000</v>
      </c>
      <c r="I25" s="335">
        <f t="array" ref="I25">SUM(IF("341"&amp;B25=LEFT(KHN,3)&amp;KH,_TH))</f>
        <v>52300</v>
      </c>
      <c r="J25" s="8">
        <f t="array" ref="J25">SUM(IF("341"&amp;B25=LEFT(KHN,3)&amp;KH,TH))</f>
        <v>1176227000</v>
      </c>
      <c r="K25" s="232">
        <f t="array" ref="K25">SUM(IF("341"&amp;B25=LEFT(KHC,3)&amp;KH,_TH))</f>
        <v>0</v>
      </c>
      <c r="L25" s="8">
        <f t="array" ref="L25">SUM(IF("341"&amp;B25=LEFT(KHC,3)&amp;KH,TH))</f>
        <v>21443000</v>
      </c>
      <c r="M25" s="234">
        <f t="shared" si="1"/>
        <v>0</v>
      </c>
      <c r="N25" s="234">
        <f t="shared" si="2"/>
        <v>0</v>
      </c>
      <c r="O25" s="233">
        <f t="shared" si="3"/>
        <v>0</v>
      </c>
      <c r="P25" s="234">
        <f t="shared" si="4"/>
        <v>0</v>
      </c>
    </row>
    <row r="26" spans="1:16" s="10" customFormat="1" ht="18" customHeight="1">
      <c r="A26" s="891">
        <f t="shared" si="0"/>
        <v>22</v>
      </c>
      <c r="B26" s="7" t="s">
        <v>729</v>
      </c>
      <c r="C26" s="231">
        <v>42340</v>
      </c>
      <c r="D26" s="231">
        <v>0</v>
      </c>
      <c r="E26" s="231">
        <v>0</v>
      </c>
      <c r="F26" s="8">
        <v>0</v>
      </c>
      <c r="G26" s="232">
        <v>70900</v>
      </c>
      <c r="H26" s="8">
        <v>1595604500</v>
      </c>
      <c r="I26" s="335">
        <f t="array" ref="I26">SUM(IF("341"&amp;B26=LEFT(KHN,3)&amp;KH,_TH))</f>
        <v>70900</v>
      </c>
      <c r="J26" s="8">
        <f t="array" ref="J26">SUM(IF("341"&amp;B26=LEFT(KHN,3)&amp;KH,TH))</f>
        <v>1595604500</v>
      </c>
      <c r="K26" s="232">
        <f t="array" ref="K26">SUM(IF("341"&amp;B26=LEFT(KHC,3)&amp;KH,_TH))</f>
        <v>0</v>
      </c>
      <c r="L26" s="8">
        <f t="array" ref="L26">SUM(IF("341"&amp;B26=LEFT(KHC,3)&amp;KH,TH))</f>
        <v>0</v>
      </c>
      <c r="M26" s="234">
        <f t="shared" si="1"/>
        <v>0</v>
      </c>
      <c r="N26" s="234">
        <f t="shared" si="2"/>
        <v>0</v>
      </c>
      <c r="O26" s="233">
        <f t="shared" si="3"/>
        <v>0</v>
      </c>
      <c r="P26" s="234">
        <f t="shared" si="4"/>
        <v>0</v>
      </c>
    </row>
    <row r="27" spans="1:16" s="10" customFormat="1" ht="18" customHeight="1">
      <c r="A27" s="891">
        <f t="shared" si="0"/>
        <v>23</v>
      </c>
      <c r="B27" s="7" t="s">
        <v>730</v>
      </c>
      <c r="C27" s="231">
        <v>42346</v>
      </c>
      <c r="D27" s="231">
        <v>0</v>
      </c>
      <c r="E27" s="231">
        <v>0</v>
      </c>
      <c r="F27" s="8">
        <v>0</v>
      </c>
      <c r="G27" s="232">
        <v>62000</v>
      </c>
      <c r="H27" s="8">
        <v>1392210000</v>
      </c>
      <c r="I27" s="335">
        <f t="array" ref="I27">SUM(IF("341"&amp;B27=LEFT(KHN,3)&amp;KH,_TH))</f>
        <v>62000</v>
      </c>
      <c r="J27" s="8">
        <f t="array" ref="J27">SUM(IF("341"&amp;B27=LEFT(KHN,3)&amp;KH,TH))</f>
        <v>1392210000</v>
      </c>
      <c r="K27" s="232">
        <f t="array" ref="K27">SUM(IF("341"&amp;B27=LEFT(KHC,3)&amp;KH,_TH))</f>
        <v>0</v>
      </c>
      <c r="L27" s="8">
        <f t="array" ref="L27">SUM(IF("341"&amp;B27=LEFT(KHC,3)&amp;KH,TH))</f>
        <v>0</v>
      </c>
      <c r="M27" s="234">
        <f t="shared" si="1"/>
        <v>0</v>
      </c>
      <c r="N27" s="234">
        <f t="shared" si="2"/>
        <v>0</v>
      </c>
      <c r="O27" s="233">
        <f t="shared" si="3"/>
        <v>0</v>
      </c>
      <c r="P27" s="234">
        <f t="shared" si="4"/>
        <v>0</v>
      </c>
    </row>
    <row r="28" spans="1:16" s="10" customFormat="1" ht="18" customHeight="1">
      <c r="A28" s="891">
        <f t="shared" si="0"/>
        <v>24</v>
      </c>
      <c r="B28" s="7" t="s">
        <v>731</v>
      </c>
      <c r="C28" s="231">
        <v>42348</v>
      </c>
      <c r="D28" s="231">
        <v>0</v>
      </c>
      <c r="E28" s="231">
        <v>0</v>
      </c>
      <c r="F28" s="8">
        <v>0</v>
      </c>
      <c r="G28" s="232">
        <v>33000</v>
      </c>
      <c r="H28" s="8">
        <v>741675000</v>
      </c>
      <c r="I28" s="335">
        <f t="array" ref="I28">SUM(IF("341"&amp;B28=LEFT(KHN,3)&amp;KH,_TH))</f>
        <v>33000</v>
      </c>
      <c r="J28" s="8">
        <f t="array" ref="J28">SUM(IF("341"&amp;B28=LEFT(KHN,3)&amp;KH,TH))</f>
        <v>741675000</v>
      </c>
      <c r="K28" s="232">
        <f t="array" ref="K28">SUM(IF("341"&amp;B28=LEFT(KHC,3)&amp;KH,_TH))</f>
        <v>0</v>
      </c>
      <c r="L28" s="8">
        <f t="array" ref="L28">SUM(IF("341"&amp;B28=LEFT(KHC,3)&amp;KH,TH))</f>
        <v>0</v>
      </c>
      <c r="M28" s="234">
        <f t="shared" si="1"/>
        <v>0</v>
      </c>
      <c r="N28" s="234">
        <f t="shared" si="2"/>
        <v>0</v>
      </c>
      <c r="O28" s="233">
        <f t="shared" si="3"/>
        <v>0</v>
      </c>
      <c r="P28" s="234">
        <f t="shared" si="4"/>
        <v>0</v>
      </c>
    </row>
    <row r="29" spans="1:16" s="10" customFormat="1" ht="18" customHeight="1">
      <c r="A29" s="891">
        <f t="shared" si="0"/>
        <v>25</v>
      </c>
      <c r="B29" s="7" t="s">
        <v>732</v>
      </c>
      <c r="C29" s="231">
        <v>42363</v>
      </c>
      <c r="D29" s="231">
        <v>0</v>
      </c>
      <c r="E29" s="231">
        <v>0</v>
      </c>
      <c r="F29" s="8">
        <v>0</v>
      </c>
      <c r="G29" s="232">
        <v>43000</v>
      </c>
      <c r="H29" s="8">
        <v>968790000</v>
      </c>
      <c r="I29" s="335">
        <f t="array" ref="I29">SUM(IF("341"&amp;B29=LEFT(KHN,3)&amp;KH,_TH))</f>
        <v>43000</v>
      </c>
      <c r="J29" s="8">
        <f t="array" ref="J29">SUM(IF("341"&amp;B29=LEFT(KHN,3)&amp;KH,TH))</f>
        <v>968790000</v>
      </c>
      <c r="K29" s="232">
        <f t="array" ref="K29">SUM(IF("341"&amp;B29=LEFT(KHC,3)&amp;KH,_TH))</f>
        <v>0</v>
      </c>
      <c r="L29" s="8">
        <f t="array" ref="L29">SUM(IF("341"&amp;B29=LEFT(KHC,3)&amp;KH,TH))</f>
        <v>0</v>
      </c>
      <c r="M29" s="234">
        <f t="shared" si="1"/>
        <v>0</v>
      </c>
      <c r="N29" s="234">
        <f t="shared" si="2"/>
        <v>0</v>
      </c>
      <c r="O29" s="233">
        <f t="shared" si="3"/>
        <v>0</v>
      </c>
      <c r="P29" s="234">
        <f t="shared" si="4"/>
        <v>0</v>
      </c>
    </row>
    <row r="30" spans="1:16" s="10" customFormat="1" ht="18" customHeight="1">
      <c r="A30" s="891">
        <f t="shared" si="0"/>
        <v>26</v>
      </c>
      <c r="B30" s="7" t="s">
        <v>742</v>
      </c>
      <c r="C30" s="231">
        <v>42398</v>
      </c>
      <c r="D30" s="231"/>
      <c r="E30" s="231"/>
      <c r="F30" s="8"/>
      <c r="G30" s="232"/>
      <c r="H30" s="8"/>
      <c r="I30" s="335">
        <f t="array" ref="I30">SUM(IF("341"&amp;B30=LEFT(KHN,3)&amp;KH,_TH))</f>
        <v>52300</v>
      </c>
      <c r="J30" s="8">
        <f t="array" ref="J30">SUM(IF("341"&amp;B30=LEFT(KHN,3)&amp;KH,TH))</f>
        <v>1165244000</v>
      </c>
      <c r="K30" s="232">
        <f t="array" ref="K30">SUM(IF("341"&amp;B30=LEFT(KHC,3)&amp;KH,_TH))</f>
        <v>52300</v>
      </c>
      <c r="L30" s="8">
        <f t="array" ref="L30">SUM(IF("341"&amp;B30=LEFT(KHC,3)&amp;KH,TH))</f>
        <v>1165244000</v>
      </c>
      <c r="M30" s="234">
        <f t="shared" si="1"/>
        <v>0</v>
      </c>
      <c r="N30" s="234">
        <f t="shared" si="2"/>
        <v>0</v>
      </c>
      <c r="O30" s="233">
        <f t="shared" si="3"/>
        <v>0</v>
      </c>
      <c r="P30" s="234">
        <f t="shared" si="4"/>
        <v>0</v>
      </c>
    </row>
    <row r="31" spans="1:16" s="10" customFormat="1" ht="18" customHeight="1">
      <c r="A31" s="891">
        <f t="shared" si="0"/>
        <v>27</v>
      </c>
      <c r="B31" s="73" t="s">
        <v>1673</v>
      </c>
      <c r="C31" s="64">
        <v>42529</v>
      </c>
      <c r="D31" s="231"/>
      <c r="E31" s="231"/>
      <c r="F31" s="8"/>
      <c r="G31" s="232"/>
      <c r="H31" s="8"/>
      <c r="I31" s="335">
        <f t="array" ref="I31">SUM(IF("341"&amp;B31=LEFT(KHN,3)&amp;KH,_TH))</f>
        <v>0</v>
      </c>
      <c r="J31" s="8">
        <f t="array" ref="J31">SUM(IF("341"&amp;B31=LEFT(KHN,3)&amp;KH,TH))</f>
        <v>0</v>
      </c>
      <c r="K31" s="232">
        <f t="array" ref="K31">SUM(IF("341"&amp;B31=LEFT(KHC,3)&amp;KH,_TH))</f>
        <v>70900</v>
      </c>
      <c r="L31" s="8">
        <f t="array" ref="L31">SUM(IF("341"&amp;B31=LEFT(KHC,3)&amp;KH,TH))</f>
        <v>1584615000</v>
      </c>
      <c r="M31" s="234">
        <f t="shared" si="1"/>
        <v>0</v>
      </c>
      <c r="N31" s="234">
        <f t="shared" si="2"/>
        <v>0</v>
      </c>
      <c r="O31" s="233">
        <f t="shared" si="3"/>
        <v>70900</v>
      </c>
      <c r="P31" s="234">
        <f t="shared" si="4"/>
        <v>1584615000</v>
      </c>
    </row>
    <row r="32" spans="1:16" s="10" customFormat="1" ht="18" customHeight="1">
      <c r="A32" s="891">
        <f t="shared" si="0"/>
        <v>28</v>
      </c>
      <c r="B32" s="73" t="s">
        <v>1675</v>
      </c>
      <c r="C32" s="64">
        <v>42529</v>
      </c>
      <c r="D32" s="231"/>
      <c r="E32" s="231"/>
      <c r="F32" s="8"/>
      <c r="G32" s="232"/>
      <c r="H32" s="8"/>
      <c r="I32" s="335">
        <f t="array" ref="I32">SUM(IF("341"&amp;B32=LEFT(KHN,3)&amp;KH,_TH))</f>
        <v>0</v>
      </c>
      <c r="J32" s="8">
        <f t="array" ref="J32">SUM(IF("341"&amp;B32=LEFT(KHN,3)&amp;KH,TH))</f>
        <v>0</v>
      </c>
      <c r="K32" s="232">
        <f t="array" ref="K32">SUM(IF("341"&amp;B32=LEFT(KHC,3)&amp;KH,_TH))</f>
        <v>95000</v>
      </c>
      <c r="L32" s="8">
        <f t="array" ref="L32">SUM(IF("341"&amp;B32=LEFT(KHC,3)&amp;KH,TH))</f>
        <v>2123725000</v>
      </c>
      <c r="M32" s="234">
        <f t="shared" si="1"/>
        <v>0</v>
      </c>
      <c r="N32" s="234">
        <f t="shared" si="2"/>
        <v>0</v>
      </c>
      <c r="O32" s="233">
        <f t="shared" si="3"/>
        <v>95000</v>
      </c>
      <c r="P32" s="234">
        <f t="shared" si="4"/>
        <v>2123725000</v>
      </c>
    </row>
    <row r="33" spans="1:16" s="10" customFormat="1" ht="18" customHeight="1">
      <c r="A33" s="891">
        <f t="shared" si="0"/>
        <v>29</v>
      </c>
      <c r="B33" s="73" t="s">
        <v>1902</v>
      </c>
      <c r="C33" s="231">
        <v>42552</v>
      </c>
      <c r="D33" s="231"/>
      <c r="E33" s="231"/>
      <c r="F33" s="8"/>
      <c r="G33" s="232"/>
      <c r="H33" s="8"/>
      <c r="I33" s="335">
        <f t="array" ref="I33">SUM(IF("341"&amp;B33=LEFT(KHN,3)&amp;KH,_TH))</f>
        <v>0</v>
      </c>
      <c r="J33" s="8">
        <f t="array" ref="J33">SUM(IF("341"&amp;B33=LEFT(KHN,3)&amp;KH,TH))</f>
        <v>0</v>
      </c>
      <c r="K33" s="232">
        <f t="array" ref="K33">SUM(IF("341"&amp;B33=LEFT(KHC,3)&amp;KH,_TH))</f>
        <v>43000</v>
      </c>
      <c r="L33" s="8">
        <f t="array" ref="L33">SUM(IF("341"&amp;B33=LEFT(KHC,3)&amp;KH,TH))</f>
        <v>959330000</v>
      </c>
      <c r="M33" s="234">
        <f t="shared" si="1"/>
        <v>0</v>
      </c>
      <c r="N33" s="234">
        <f t="shared" si="2"/>
        <v>0</v>
      </c>
      <c r="O33" s="233">
        <f t="shared" si="3"/>
        <v>43000</v>
      </c>
      <c r="P33" s="234">
        <f t="shared" si="4"/>
        <v>959330000</v>
      </c>
    </row>
    <row r="34" spans="1:16" s="10" customFormat="1" ht="18" customHeight="1">
      <c r="A34" s="891">
        <f t="shared" si="0"/>
        <v>30</v>
      </c>
      <c r="B34" s="73" t="s">
        <v>1905</v>
      </c>
      <c r="C34" s="231">
        <v>42586</v>
      </c>
      <c r="D34" s="231"/>
      <c r="E34" s="231"/>
      <c r="F34" s="8"/>
      <c r="G34" s="232"/>
      <c r="H34" s="8"/>
      <c r="I34" s="335">
        <f t="array" ref="I34">SUM(IF("341"&amp;B34=LEFT(KHN,3)&amp;KH,_TH))</f>
        <v>0</v>
      </c>
      <c r="J34" s="8">
        <f t="array" ref="J34">SUM(IF("341"&amp;B34=LEFT(KHN,3)&amp;KH,TH))</f>
        <v>0</v>
      </c>
      <c r="K34" s="232">
        <f t="array" ref="K34">SUM(IF("341"&amp;B34=LEFT(KHC,3)&amp;KH,_TH))</f>
        <v>52300</v>
      </c>
      <c r="L34" s="8">
        <f t="array" ref="L34">SUM(IF("341"&amp;B34=LEFT(KHC,3)&amp;KH,TH))</f>
        <v>1166028500</v>
      </c>
      <c r="M34" s="234">
        <f t="shared" si="1"/>
        <v>0</v>
      </c>
      <c r="N34" s="234">
        <f t="shared" si="2"/>
        <v>0</v>
      </c>
      <c r="O34" s="233">
        <f t="shared" si="3"/>
        <v>52300</v>
      </c>
      <c r="P34" s="234">
        <f t="shared" si="4"/>
        <v>1166028500</v>
      </c>
    </row>
    <row r="35" spans="1:16" s="10" customFormat="1" ht="18" customHeight="1">
      <c r="A35" s="891">
        <f t="shared" si="0"/>
        <v>31</v>
      </c>
      <c r="B35" s="1160" t="s">
        <v>1889</v>
      </c>
      <c r="C35" s="231">
        <v>42545</v>
      </c>
      <c r="D35" s="231"/>
      <c r="E35" s="334"/>
      <c r="F35" s="25"/>
      <c r="G35" s="335"/>
      <c r="H35" s="25"/>
      <c r="I35" s="335">
        <f t="array" ref="I35">SUM(IF("341"&amp;B35=LEFT(KHN,3)&amp;KH,_TH))</f>
        <v>0</v>
      </c>
      <c r="J35" s="8">
        <f t="array" ref="J35">SUM(IF("341"&amp;B35=LEFT(KHN,3)&amp;KH,TH))</f>
        <v>0</v>
      </c>
      <c r="K35" s="232">
        <f t="array" ref="K35">SUM(IF("341"&amp;B35=LEFT(KHC,3)&amp;KH,_TH))</f>
        <v>150000</v>
      </c>
      <c r="L35" s="8">
        <f t="array" ref="L35">SUM(IF("341"&amp;B35=LEFT(KHC,3)&amp;KH,TH))</f>
        <v>3348750000</v>
      </c>
      <c r="M35" s="234">
        <f t="shared" si="1"/>
        <v>0</v>
      </c>
      <c r="N35" s="234">
        <f t="shared" si="2"/>
        <v>0</v>
      </c>
      <c r="O35" s="233">
        <f t="shared" si="3"/>
        <v>150000</v>
      </c>
      <c r="P35" s="234">
        <f t="shared" si="4"/>
        <v>3348750000</v>
      </c>
    </row>
    <row r="36" spans="1:16" s="10" customFormat="1" ht="18" customHeight="1">
      <c r="A36" s="891">
        <f t="shared" si="0"/>
        <v>32</v>
      </c>
      <c r="B36" s="73" t="s">
        <v>1893</v>
      </c>
      <c r="C36" s="231">
        <v>42552</v>
      </c>
      <c r="D36" s="231"/>
      <c r="E36" s="231"/>
      <c r="F36" s="8"/>
      <c r="G36" s="232"/>
      <c r="H36" s="8"/>
      <c r="I36" s="335">
        <f t="array" ref="I36">SUM(IF("341"&amp;B36=LEFT(KHN,3)&amp;KH,_TH))</f>
        <v>0</v>
      </c>
      <c r="J36" s="8">
        <f t="array" ref="J36">SUM(IF("341"&amp;B36=LEFT(KHN,3)&amp;KH,TH))</f>
        <v>0</v>
      </c>
      <c r="K36" s="232">
        <f t="array" ref="K36">SUM(IF("341"&amp;B36=LEFT(KHC,3)&amp;KH,_TH))</f>
        <v>89500</v>
      </c>
      <c r="L36" s="8">
        <f t="array" ref="L36">SUM(IF("341"&amp;B36=LEFT(KHC,3)&amp;KH,TH))</f>
        <v>1995134000</v>
      </c>
      <c r="M36" s="234">
        <f t="shared" si="1"/>
        <v>0</v>
      </c>
      <c r="N36" s="234">
        <f t="shared" si="2"/>
        <v>0</v>
      </c>
      <c r="O36" s="233">
        <f t="shared" si="3"/>
        <v>89500</v>
      </c>
      <c r="P36" s="234">
        <f t="shared" si="4"/>
        <v>1995134000</v>
      </c>
    </row>
    <row r="37" spans="1:16" s="10" customFormat="1" ht="18" customHeight="1">
      <c r="A37" s="891">
        <f t="shared" si="0"/>
        <v>33</v>
      </c>
      <c r="B37" s="73" t="s">
        <v>1895</v>
      </c>
      <c r="C37" s="231">
        <v>42556</v>
      </c>
      <c r="D37" s="231"/>
      <c r="E37" s="231"/>
      <c r="F37" s="8"/>
      <c r="G37" s="232"/>
      <c r="H37" s="8"/>
      <c r="I37" s="335">
        <f t="array" ref="I37">SUM(IF("341"&amp;B37=LEFT(KHN,3)&amp;KH,_TH))</f>
        <v>0</v>
      </c>
      <c r="J37" s="8">
        <f t="array" ref="J37">SUM(IF("341"&amp;B37=LEFT(KHN,3)&amp;KH,TH))</f>
        <v>0</v>
      </c>
      <c r="K37" s="232">
        <f t="array" ref="K37">SUM(IF("341"&amp;B37=LEFT(KHC,3)&amp;KH,_TH))</f>
        <v>89000</v>
      </c>
      <c r="L37" s="8">
        <f t="array" ref="L37">SUM(IF("341"&amp;B37=LEFT(KHC,3)&amp;KH,TH))</f>
        <v>1983988000</v>
      </c>
      <c r="M37" s="234">
        <f t="shared" si="1"/>
        <v>0</v>
      </c>
      <c r="N37" s="234">
        <f t="shared" si="2"/>
        <v>0</v>
      </c>
      <c r="O37" s="233">
        <f t="shared" si="3"/>
        <v>89000</v>
      </c>
      <c r="P37" s="234">
        <f t="shared" si="4"/>
        <v>1983988000</v>
      </c>
    </row>
    <row r="38" spans="1:16" s="10" customFormat="1" ht="18" customHeight="1">
      <c r="A38" s="891">
        <f t="shared" si="0"/>
        <v>34</v>
      </c>
      <c r="B38" s="971" t="s">
        <v>1938</v>
      </c>
      <c r="C38" s="231">
        <v>42600</v>
      </c>
      <c r="D38" s="231"/>
      <c r="E38" s="231"/>
      <c r="F38" s="8"/>
      <c r="G38" s="232"/>
      <c r="H38" s="8"/>
      <c r="I38" s="335">
        <f t="array" ref="I38">SUM(IF("341"&amp;B38=LEFT(KHN,3)&amp;KH,_TH))</f>
        <v>0</v>
      </c>
      <c r="J38" s="8">
        <f t="array" ref="J38">SUM(IF("341"&amp;B38=LEFT(KHN,3)&amp;KH,TH))</f>
        <v>0</v>
      </c>
      <c r="K38" s="232">
        <f t="array" ref="K38">SUM(IF("341"&amp;B38=LEFT(KHC,3)&amp;KH,_TH))</f>
        <v>63000</v>
      </c>
      <c r="L38" s="8">
        <f t="array" ref="L38">SUM(IF("341"&amp;B38=LEFT(KHC,3)&amp;KH,TH))</f>
        <v>1404396000</v>
      </c>
      <c r="M38" s="234">
        <f t="shared" si="1"/>
        <v>0</v>
      </c>
      <c r="N38" s="234">
        <f t="shared" si="2"/>
        <v>0</v>
      </c>
      <c r="O38" s="233">
        <f t="shared" si="3"/>
        <v>63000</v>
      </c>
      <c r="P38" s="234">
        <f t="shared" si="4"/>
        <v>1404396000</v>
      </c>
    </row>
    <row r="39" spans="1:16" s="10" customFormat="1" ht="18" customHeight="1">
      <c r="A39" s="891">
        <f t="shared" si="0"/>
        <v>35</v>
      </c>
      <c r="B39" s="73" t="s">
        <v>1952</v>
      </c>
      <c r="C39" s="231">
        <v>42612</v>
      </c>
      <c r="D39" s="231"/>
      <c r="E39" s="231"/>
      <c r="F39" s="8"/>
      <c r="G39" s="232"/>
      <c r="H39" s="8"/>
      <c r="I39" s="335">
        <f t="array" ref="I39">SUM(IF("341"&amp;B39=LEFT(KHN,3)&amp;KH,_TH))</f>
        <v>0</v>
      </c>
      <c r="J39" s="8">
        <f t="array" ref="J39">SUM(IF("341"&amp;B39=LEFT(KHN,3)&amp;KH,TH))</f>
        <v>0</v>
      </c>
      <c r="K39" s="232">
        <f t="array" ref="K39">SUM(IF("341"&amp;B39=LEFT(KHC,3)&amp;KH,_TH))</f>
        <v>89500</v>
      </c>
      <c r="L39" s="8">
        <f t="array" ref="L39">SUM(IF("341"&amp;B39=LEFT(KHC,3)&amp;KH,TH))</f>
        <v>1996566000</v>
      </c>
      <c r="M39" s="234">
        <f t="shared" si="1"/>
        <v>0</v>
      </c>
      <c r="N39" s="234">
        <f t="shared" si="2"/>
        <v>0</v>
      </c>
      <c r="O39" s="233">
        <f t="shared" si="3"/>
        <v>89500</v>
      </c>
      <c r="P39" s="234">
        <f t="shared" si="4"/>
        <v>1996566000</v>
      </c>
    </row>
    <row r="40" spans="1:16" s="10" customFormat="1" ht="18" customHeight="1">
      <c r="A40" s="891">
        <f t="shared" si="0"/>
        <v>36</v>
      </c>
      <c r="B40" s="73" t="s">
        <v>1948</v>
      </c>
      <c r="C40" s="231">
        <v>42604</v>
      </c>
      <c r="D40" s="231"/>
      <c r="E40" s="231"/>
      <c r="F40" s="8"/>
      <c r="G40" s="232"/>
      <c r="H40" s="8"/>
      <c r="I40" s="335">
        <f t="array" ref="I40">SUM(IF("341"&amp;B40=LEFT(KHN,3)&amp;KH,_TH))</f>
        <v>63000</v>
      </c>
      <c r="J40" s="8">
        <f t="array" ref="J40">SUM(IF("341"&amp;B40=LEFT(KHN,3)&amp;KH,TH))</f>
        <v>1404396000</v>
      </c>
      <c r="K40" s="232">
        <f t="array" ref="K40">SUM(IF("341"&amp;B40=LEFT(KHC,3)&amp;KH,_TH))</f>
        <v>63000</v>
      </c>
      <c r="L40" s="8">
        <f t="array" ref="L40">SUM(IF("341"&amp;B40=LEFT(KHC,3)&amp;KH,TH))</f>
        <v>1404396000</v>
      </c>
      <c r="M40" s="234">
        <f t="shared" si="1"/>
        <v>0</v>
      </c>
      <c r="N40" s="234">
        <f t="shared" si="2"/>
        <v>0</v>
      </c>
      <c r="O40" s="233">
        <f t="shared" si="3"/>
        <v>0</v>
      </c>
      <c r="P40" s="234">
        <f t="shared" si="4"/>
        <v>0</v>
      </c>
    </row>
    <row r="41" spans="1:16" s="10" customFormat="1" ht="18" customHeight="1">
      <c r="A41" s="891">
        <f t="shared" si="0"/>
        <v>37</v>
      </c>
      <c r="B41" s="971" t="s">
        <v>1885</v>
      </c>
      <c r="C41" s="231">
        <v>42543</v>
      </c>
      <c r="D41" s="231"/>
      <c r="E41" s="231"/>
      <c r="F41" s="8"/>
      <c r="G41" s="232"/>
      <c r="H41" s="8"/>
      <c r="I41" s="335">
        <f t="array" ref="I41">SUM(IF("341"&amp;B41=LEFT(KHN,3)&amp;KH,_TH))</f>
        <v>328500</v>
      </c>
      <c r="J41" s="8">
        <f t="array" ref="J41">SUM(IF("341"&amp;B41=LEFT(KHN,3)&amp;KH,TH))</f>
        <v>7328178000</v>
      </c>
      <c r="K41" s="232">
        <f t="array" ref="K41">SUM(IF("341"&amp;B41=LEFT(KHC,3)&amp;KH,_TH))</f>
        <v>781969.73</v>
      </c>
      <c r="L41" s="8">
        <f t="array" ref="L41">SUM(IF("341"&amp;B41=LEFT(KHC,3)&amp;KH,TH))</f>
        <v>17444180737</v>
      </c>
      <c r="M41" s="234">
        <f t="shared" si="1"/>
        <v>0</v>
      </c>
      <c r="N41" s="234">
        <f t="shared" si="2"/>
        <v>0</v>
      </c>
      <c r="O41" s="233">
        <f t="shared" si="3"/>
        <v>453469.73</v>
      </c>
      <c r="P41" s="234">
        <f t="shared" si="4"/>
        <v>10116002737</v>
      </c>
    </row>
    <row r="42" spans="1:16" s="10" customFormat="1" ht="18" customHeight="1">
      <c r="A42" s="891" t="str">
        <f t="shared" ref="A42:A50" si="5">IF(B42&lt;&gt;"",ROW()-4,"")</f>
        <v/>
      </c>
      <c r="B42" s="73"/>
      <c r="C42" s="231"/>
      <c r="D42" s="231"/>
      <c r="E42" s="231"/>
      <c r="F42" s="8"/>
      <c r="G42" s="232"/>
      <c r="H42" s="8"/>
      <c r="I42" s="335">
        <f t="array" ref="I42">SUM(IF("341"&amp;B42=LEFT(KHN,3)&amp;KH,_TH))</f>
        <v>0</v>
      </c>
      <c r="J42" s="8">
        <f t="array" ref="J42">SUM(IF("341"&amp;B42=LEFT(KHN,3)&amp;KH,TH))</f>
        <v>0</v>
      </c>
      <c r="K42" s="232">
        <f t="array" ref="K42">SUM(IF("341"&amp;B42=LEFT(KHC,3)&amp;KH,_TH))</f>
        <v>0</v>
      </c>
      <c r="L42" s="8">
        <f t="array" ref="L42">SUM(IF("341"&amp;B42=LEFT(KHC,3)&amp;KH,TH))</f>
        <v>0</v>
      </c>
      <c r="M42" s="234">
        <f t="shared" ref="M42:M51" si="6">ROUND(MAX(E42+I42-G42-K42,0),2)</f>
        <v>0</v>
      </c>
      <c r="N42" s="234">
        <f t="shared" ref="N42:N51" si="7">ROUND(MAX(F42+J42-H42-L42,0),2)</f>
        <v>0</v>
      </c>
      <c r="O42" s="233">
        <f t="shared" ref="O42:O51" si="8">ROUND(MAX(G42+K42-E42-I42,0),2)</f>
        <v>0</v>
      </c>
      <c r="P42" s="234">
        <f t="shared" ref="P42:P51" si="9">ROUND(MAX(H42+L42-F42-J42,0),2)</f>
        <v>0</v>
      </c>
    </row>
    <row r="43" spans="1:16" s="10" customFormat="1" ht="18" customHeight="1">
      <c r="A43" s="891" t="str">
        <f t="shared" si="5"/>
        <v/>
      </c>
      <c r="B43" s="73"/>
      <c r="C43" s="231"/>
      <c r="D43" s="231"/>
      <c r="E43" s="231"/>
      <c r="F43" s="8"/>
      <c r="G43" s="232"/>
      <c r="H43" s="8"/>
      <c r="I43" s="335">
        <f t="array" ref="I43">SUM(IF("341"&amp;B43=LEFT(KHN,3)&amp;KH,_TH))</f>
        <v>0</v>
      </c>
      <c r="J43" s="8">
        <f t="array" ref="J43">SUM(IF("341"&amp;B43=LEFT(KHN,3)&amp;KH,TH))</f>
        <v>0</v>
      </c>
      <c r="K43" s="232">
        <f t="array" ref="K43">SUM(IF("341"&amp;B43=LEFT(KHC,3)&amp;KH,_TH))</f>
        <v>0</v>
      </c>
      <c r="L43" s="8">
        <f t="array" ref="L43">SUM(IF("341"&amp;B43=LEFT(KHC,3)&amp;KH,TH))</f>
        <v>0</v>
      </c>
      <c r="M43" s="234">
        <f t="shared" si="6"/>
        <v>0</v>
      </c>
      <c r="N43" s="234">
        <f t="shared" si="7"/>
        <v>0</v>
      </c>
      <c r="O43" s="233">
        <f t="shared" si="8"/>
        <v>0</v>
      </c>
      <c r="P43" s="234">
        <f t="shared" si="9"/>
        <v>0</v>
      </c>
    </row>
    <row r="44" spans="1:16" s="10" customFormat="1" ht="18" customHeight="1">
      <c r="A44" s="891" t="str">
        <f t="shared" si="5"/>
        <v/>
      </c>
      <c r="B44" s="73"/>
      <c r="C44" s="231"/>
      <c r="D44" s="231"/>
      <c r="E44" s="231"/>
      <c r="F44" s="8"/>
      <c r="G44" s="232"/>
      <c r="H44" s="8"/>
      <c r="I44" s="335">
        <f t="array" ref="I44">SUM(IF("341"&amp;B44=LEFT(KHN,3)&amp;KH,_TH))</f>
        <v>0</v>
      </c>
      <c r="J44" s="8">
        <f t="array" ref="J44">SUM(IF("341"&amp;B44=LEFT(KHN,3)&amp;KH,TH))</f>
        <v>0</v>
      </c>
      <c r="K44" s="232">
        <f t="array" ref="K44">SUM(IF("341"&amp;B44=LEFT(KHC,3)&amp;KH,_TH))</f>
        <v>0</v>
      </c>
      <c r="L44" s="8">
        <f t="array" ref="L44">SUM(IF("341"&amp;B44=LEFT(KHC,3)&amp;KH,TH))</f>
        <v>0</v>
      </c>
      <c r="M44" s="234">
        <f t="shared" si="6"/>
        <v>0</v>
      </c>
      <c r="N44" s="234">
        <f t="shared" si="7"/>
        <v>0</v>
      </c>
      <c r="O44" s="233">
        <f t="shared" si="8"/>
        <v>0</v>
      </c>
      <c r="P44" s="234">
        <f t="shared" si="9"/>
        <v>0</v>
      </c>
    </row>
    <row r="45" spans="1:16" s="10" customFormat="1" ht="18" customHeight="1">
      <c r="A45" s="891" t="str">
        <f t="shared" si="5"/>
        <v/>
      </c>
      <c r="B45" s="73"/>
      <c r="C45" s="231"/>
      <c r="D45" s="231"/>
      <c r="E45" s="231"/>
      <c r="F45" s="8"/>
      <c r="G45" s="232"/>
      <c r="H45" s="8"/>
      <c r="I45" s="335">
        <f t="array" ref="I45">SUM(IF("341"&amp;B45=LEFT(KHN,3)&amp;KH,_TH))</f>
        <v>0</v>
      </c>
      <c r="J45" s="8">
        <f t="array" ref="J45">SUM(IF("341"&amp;B45=LEFT(KHN,3)&amp;KH,TH))</f>
        <v>0</v>
      </c>
      <c r="K45" s="232">
        <f t="array" ref="K45">SUM(IF("341"&amp;B45=LEFT(KHC,3)&amp;KH,_TH))</f>
        <v>0</v>
      </c>
      <c r="L45" s="8">
        <f t="array" ref="L45">SUM(IF("341"&amp;B45=LEFT(KHC,3)&amp;KH,TH))</f>
        <v>0</v>
      </c>
      <c r="M45" s="234">
        <f t="shared" si="6"/>
        <v>0</v>
      </c>
      <c r="N45" s="234">
        <f t="shared" si="7"/>
        <v>0</v>
      </c>
      <c r="O45" s="233">
        <f t="shared" si="8"/>
        <v>0</v>
      </c>
      <c r="P45" s="234">
        <f t="shared" si="9"/>
        <v>0</v>
      </c>
    </row>
    <row r="46" spans="1:16" s="10" customFormat="1" ht="18" customHeight="1">
      <c r="A46" s="891" t="str">
        <f t="shared" si="5"/>
        <v/>
      </c>
      <c r="B46" s="73"/>
      <c r="C46" s="231"/>
      <c r="D46" s="231"/>
      <c r="E46" s="231"/>
      <c r="F46" s="8"/>
      <c r="G46" s="232"/>
      <c r="H46" s="8"/>
      <c r="I46" s="335">
        <f t="array" ref="I46">SUM(IF("341"&amp;B46=LEFT(KHN,3)&amp;KH,_TH))</f>
        <v>0</v>
      </c>
      <c r="J46" s="8">
        <f t="array" ref="J46">SUM(IF("341"&amp;B46=LEFT(KHN,3)&amp;KH,TH))</f>
        <v>0</v>
      </c>
      <c r="K46" s="232">
        <f t="array" ref="K46">SUM(IF("341"&amp;B46=LEFT(KHC,3)&amp;KH,_TH))</f>
        <v>0</v>
      </c>
      <c r="L46" s="8">
        <f t="array" ref="L46">SUM(IF("341"&amp;B46=LEFT(KHC,3)&amp;KH,TH))</f>
        <v>0</v>
      </c>
      <c r="M46" s="234">
        <f t="shared" si="6"/>
        <v>0</v>
      </c>
      <c r="N46" s="234">
        <f t="shared" si="7"/>
        <v>0</v>
      </c>
      <c r="O46" s="233">
        <f t="shared" si="8"/>
        <v>0</v>
      </c>
      <c r="P46" s="234">
        <f t="shared" si="9"/>
        <v>0</v>
      </c>
    </row>
    <row r="47" spans="1:16" s="10" customFormat="1" ht="18" customHeight="1">
      <c r="A47" s="891" t="str">
        <f t="shared" si="5"/>
        <v/>
      </c>
      <c r="B47" s="73"/>
      <c r="C47" s="231"/>
      <c r="D47" s="231"/>
      <c r="E47" s="231"/>
      <c r="F47" s="8"/>
      <c r="G47" s="232"/>
      <c r="H47" s="8"/>
      <c r="I47" s="335">
        <f t="array" ref="I47">SUM(IF("341"&amp;B47=LEFT(KHN,3)&amp;KH,_TH))</f>
        <v>0</v>
      </c>
      <c r="J47" s="8">
        <f t="array" ref="J47">SUM(IF("341"&amp;B47=LEFT(KHN,3)&amp;KH,TH))</f>
        <v>0</v>
      </c>
      <c r="K47" s="232">
        <f t="array" ref="K47">SUM(IF("341"&amp;B47=LEFT(KHC,3)&amp;KH,_TH))</f>
        <v>0</v>
      </c>
      <c r="L47" s="8">
        <f t="array" ref="L47">SUM(IF("341"&amp;B47=LEFT(KHC,3)&amp;KH,TH))</f>
        <v>0</v>
      </c>
      <c r="M47" s="234">
        <f t="shared" si="6"/>
        <v>0</v>
      </c>
      <c r="N47" s="234">
        <f t="shared" si="7"/>
        <v>0</v>
      </c>
      <c r="O47" s="233">
        <f t="shared" si="8"/>
        <v>0</v>
      </c>
      <c r="P47" s="234">
        <f t="shared" si="9"/>
        <v>0</v>
      </c>
    </row>
    <row r="48" spans="1:16" s="10" customFormat="1" ht="18" customHeight="1">
      <c r="A48" s="891" t="str">
        <f t="shared" si="5"/>
        <v/>
      </c>
      <c r="B48" s="73"/>
      <c r="C48" s="231"/>
      <c r="D48" s="231"/>
      <c r="E48" s="231"/>
      <c r="F48" s="8"/>
      <c r="G48" s="232"/>
      <c r="H48" s="8"/>
      <c r="I48" s="335">
        <f t="array" ref="I48">SUM(IF("341"&amp;B48=LEFT(KHN,3)&amp;KH,_TH))</f>
        <v>0</v>
      </c>
      <c r="J48" s="8">
        <f t="array" ref="J48">SUM(IF("341"&amp;B48=LEFT(KHN,3)&amp;KH,TH))</f>
        <v>0</v>
      </c>
      <c r="K48" s="232">
        <f t="array" ref="K48">SUM(IF("341"&amp;B48=LEFT(KHC,3)&amp;KH,_TH))</f>
        <v>0</v>
      </c>
      <c r="L48" s="8">
        <f t="array" ref="L48">SUM(IF("341"&amp;B48=LEFT(KHC,3)&amp;KH,TH))</f>
        <v>0</v>
      </c>
      <c r="M48" s="234">
        <f t="shared" si="6"/>
        <v>0</v>
      </c>
      <c r="N48" s="234">
        <f t="shared" si="7"/>
        <v>0</v>
      </c>
      <c r="O48" s="233">
        <f t="shared" si="8"/>
        <v>0</v>
      </c>
      <c r="P48" s="234">
        <f t="shared" si="9"/>
        <v>0</v>
      </c>
    </row>
    <row r="49" spans="1:16" s="10" customFormat="1" ht="18" customHeight="1">
      <c r="A49" s="891" t="str">
        <f>IF(B49&lt;&gt;"",ROW()-4,"")</f>
        <v/>
      </c>
      <c r="B49" s="73"/>
      <c r="C49" s="231"/>
      <c r="D49" s="231"/>
      <c r="E49" s="231"/>
      <c r="F49" s="8"/>
      <c r="G49" s="232"/>
      <c r="H49" s="8"/>
      <c r="I49" s="335">
        <f t="array" ref="I49">SUM(IF("341"&amp;B49=LEFT(KHN,3)&amp;KH,_TH))</f>
        <v>0</v>
      </c>
      <c r="J49" s="8">
        <f t="array" ref="J49">SUM(IF("341"&amp;B49=LEFT(KHN,3)&amp;KH,TH))</f>
        <v>0</v>
      </c>
      <c r="K49" s="232">
        <f t="array" ref="K49">SUM(IF("341"&amp;B49=LEFT(KHC,3)&amp;KH,_TH))</f>
        <v>0</v>
      </c>
      <c r="L49" s="8">
        <f t="array" ref="L49">SUM(IF("341"&amp;B49=LEFT(KHC,3)&amp;KH,TH))</f>
        <v>0</v>
      </c>
      <c r="M49" s="234">
        <f t="shared" si="6"/>
        <v>0</v>
      </c>
      <c r="N49" s="234">
        <f t="shared" si="7"/>
        <v>0</v>
      </c>
      <c r="O49" s="233">
        <f t="shared" si="8"/>
        <v>0</v>
      </c>
      <c r="P49" s="234">
        <f t="shared" si="9"/>
        <v>0</v>
      </c>
    </row>
    <row r="50" spans="1:16" s="10" customFormat="1" ht="18" customHeight="1">
      <c r="A50" s="891" t="str">
        <f t="shared" si="5"/>
        <v/>
      </c>
      <c r="B50" s="73"/>
      <c r="C50" s="231"/>
      <c r="D50" s="231"/>
      <c r="E50" s="231"/>
      <c r="F50" s="8"/>
      <c r="G50" s="232"/>
      <c r="H50" s="8"/>
      <c r="I50" s="335">
        <f t="array" ref="I50">SUM(IF("341"&amp;B50=LEFT(KHN,3)&amp;KH,_TH))</f>
        <v>0</v>
      </c>
      <c r="J50" s="8">
        <f t="array" ref="J50">SUM(IF("341"&amp;B50=LEFT(KHN,3)&amp;KH,TH))</f>
        <v>0</v>
      </c>
      <c r="K50" s="232">
        <f t="array" ref="K50">SUM(IF("341"&amp;B50=LEFT(KHC,3)&amp;KH,_TH))</f>
        <v>0</v>
      </c>
      <c r="L50" s="8">
        <f t="array" ref="L50">SUM(IF("341"&amp;B50=LEFT(KHC,3)&amp;KH,TH))</f>
        <v>0</v>
      </c>
      <c r="M50" s="234">
        <f t="shared" si="6"/>
        <v>0</v>
      </c>
      <c r="N50" s="234">
        <f t="shared" si="7"/>
        <v>0</v>
      </c>
      <c r="O50" s="233">
        <f t="shared" si="8"/>
        <v>0</v>
      </c>
      <c r="P50" s="234">
        <f t="shared" si="9"/>
        <v>0</v>
      </c>
    </row>
    <row r="51" spans="1:16" s="10" customFormat="1" ht="18" customHeight="1">
      <c r="A51" s="891" t="str">
        <f>IF(B51&lt;&gt;"",ROW()-4,"")</f>
        <v/>
      </c>
      <c r="B51" s="73"/>
      <c r="C51" s="231"/>
      <c r="D51" s="231"/>
      <c r="E51" s="231"/>
      <c r="F51" s="8"/>
      <c r="G51" s="232"/>
      <c r="H51" s="8"/>
      <c r="I51" s="335">
        <f t="array" ref="I51">SUM(IF("341"&amp;B51=LEFT(KHN,3)&amp;KH,_TH))</f>
        <v>0</v>
      </c>
      <c r="J51" s="8">
        <f t="array" ref="J51">SUM(IF("341"&amp;B51=LEFT(KHN,3)&amp;KH,TH))</f>
        <v>0</v>
      </c>
      <c r="K51" s="232">
        <f t="array" ref="K51">SUM(IF("341"&amp;B51=LEFT(KHC,3)&amp;KH,_TH))</f>
        <v>0</v>
      </c>
      <c r="L51" s="8">
        <f t="array" ref="L51">SUM(IF("341"&amp;B51=LEFT(KHC,3)&amp;KH,TH))</f>
        <v>0</v>
      </c>
      <c r="M51" s="234">
        <f t="shared" si="6"/>
        <v>0</v>
      </c>
      <c r="N51" s="234">
        <f t="shared" si="7"/>
        <v>0</v>
      </c>
      <c r="O51" s="233">
        <f t="shared" si="8"/>
        <v>0</v>
      </c>
      <c r="P51" s="234">
        <f t="shared" si="9"/>
        <v>0</v>
      </c>
    </row>
    <row r="52" spans="1:16" s="10" customFormat="1" ht="18" customHeight="1">
      <c r="A52" s="891" t="str">
        <f>IF(B52&lt;&gt;"",ROW()-4,"")</f>
        <v/>
      </c>
      <c r="B52" s="235"/>
      <c r="C52" s="236"/>
      <c r="D52" s="236"/>
      <c r="E52" s="236"/>
      <c r="F52" s="232"/>
      <c r="G52" s="232"/>
      <c r="H52" s="232"/>
      <c r="I52" s="232"/>
      <c r="J52" s="232"/>
      <c r="K52" s="232"/>
      <c r="L52" s="232"/>
      <c r="M52" s="335"/>
      <c r="N52" s="233"/>
      <c r="O52" s="233"/>
      <c r="P52" s="233"/>
    </row>
    <row r="53" spans="1:16" s="14" customFormat="1" ht="18" customHeight="1">
      <c r="A53" s="11"/>
      <c r="B53" s="12" t="s">
        <v>41</v>
      </c>
      <c r="C53" s="12"/>
      <c r="D53" s="12"/>
      <c r="E53" s="12"/>
      <c r="F53" s="13">
        <f>SUM(F5:F52)</f>
        <v>0</v>
      </c>
      <c r="G53" s="1171"/>
      <c r="H53" s="13">
        <f>SUM(H5:H52)</f>
        <v>23372042379</v>
      </c>
      <c r="I53" s="1171"/>
      <c r="J53" s="13">
        <f>SUM(J5:J52)</f>
        <v>44902595779</v>
      </c>
      <c r="K53" s="1171"/>
      <c r="L53" s="13">
        <f>SUM(L5:L52)</f>
        <v>48209088637</v>
      </c>
      <c r="M53" s="13">
        <f>SUM(M5:M52)</f>
        <v>0</v>
      </c>
      <c r="N53" s="13">
        <f>SUM(N5:N52)</f>
        <v>0</v>
      </c>
      <c r="O53" s="1171">
        <f>SUM(O5:O52)</f>
        <v>1195669.73</v>
      </c>
      <c r="P53" s="13">
        <f>SUM(P5:P52)</f>
        <v>26678535237</v>
      </c>
    </row>
    <row r="54" spans="1:16">
      <c r="P54" s="15">
        <f>CDPS!$H$56</f>
        <v>26678535237</v>
      </c>
    </row>
    <row r="55" spans="1:16">
      <c r="P55" s="237">
        <f>P53-P54</f>
        <v>0</v>
      </c>
    </row>
    <row r="57" spans="1:16">
      <c r="B57" s="230">
        <v>1</v>
      </c>
      <c r="C57" s="230">
        <v>2</v>
      </c>
      <c r="D57" s="230">
        <v>3</v>
      </c>
      <c r="E57" s="230">
        <v>4</v>
      </c>
      <c r="F57" s="230">
        <v>5</v>
      </c>
      <c r="G57" s="1172">
        <v>6</v>
      </c>
      <c r="H57" s="230">
        <v>7</v>
      </c>
      <c r="I57" s="1172">
        <v>8</v>
      </c>
      <c r="J57" s="230">
        <v>9</v>
      </c>
      <c r="K57" s="1172">
        <v>10</v>
      </c>
      <c r="L57" s="230">
        <v>11</v>
      </c>
      <c r="M57" s="230">
        <v>12</v>
      </c>
      <c r="N57" s="230">
        <v>13</v>
      </c>
      <c r="O57" s="1172">
        <v>14</v>
      </c>
      <c r="P57" s="230">
        <v>15</v>
      </c>
    </row>
  </sheetData>
  <sortState ref="A5:P41">
    <sortCondition ref="B5:B41"/>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6.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H9" sqref="H9:I9"/>
    </sheetView>
  </sheetViews>
  <sheetFormatPr defaultRowHeight="12.75"/>
  <cols>
    <col min="1" max="1" width="8.42578125" style="244" customWidth="1"/>
    <col min="2" max="2" width="7" style="244" customWidth="1"/>
    <col min="3" max="3" width="8.140625" style="244" customWidth="1"/>
    <col min="4" max="4" width="35.42578125" style="244" customWidth="1"/>
    <col min="5" max="5" width="6.5703125" style="244" customWidth="1"/>
    <col min="6" max="6" width="9.140625" style="244"/>
    <col min="7" max="7" width="9.7109375" style="244" customWidth="1"/>
    <col min="8" max="8" width="11.85546875" style="244" customWidth="1"/>
    <col min="9" max="9" width="9.7109375" style="244" customWidth="1"/>
    <col min="10" max="10" width="12.42578125" style="244" customWidth="1"/>
    <col min="11" max="11" width="9.28515625" style="244" customWidth="1"/>
    <col min="12" max="12" width="11" style="244" customWidth="1"/>
    <col min="13" max="13" width="10.85546875" style="244" customWidth="1"/>
    <col min="14" max="14" width="14" style="244" customWidth="1"/>
    <col min="15" max="16384" width="9.140625" style="244"/>
  </cols>
  <sheetData>
    <row r="1" spans="1:14" s="239" customFormat="1" ht="16.5" customHeight="1">
      <c r="A1" s="245" t="s">
        <v>14</v>
      </c>
      <c r="B1" s="238"/>
      <c r="C1" s="238"/>
      <c r="H1" s="238"/>
      <c r="I1" s="238"/>
      <c r="J1" s="1326" t="s">
        <v>238</v>
      </c>
      <c r="K1" s="1326"/>
      <c r="L1" s="1326"/>
      <c r="M1" s="1326"/>
      <c r="N1" s="1326"/>
    </row>
    <row r="2" spans="1:14" s="239" customFormat="1" ht="16.5" customHeight="1">
      <c r="A2" s="246" t="s">
        <v>179</v>
      </c>
      <c r="B2" s="357"/>
      <c r="C2" s="357"/>
      <c r="H2" s="240"/>
      <c r="I2" s="240"/>
      <c r="J2" s="1327" t="s">
        <v>239</v>
      </c>
      <c r="K2" s="1327"/>
      <c r="L2" s="1327"/>
      <c r="M2" s="1327"/>
      <c r="N2" s="1327"/>
    </row>
    <row r="3" spans="1:14" s="239" customFormat="1" ht="16.5" customHeight="1">
      <c r="A3" s="357"/>
      <c r="B3" s="357"/>
      <c r="C3" s="357"/>
      <c r="H3" s="240"/>
      <c r="I3" s="240"/>
      <c r="J3" s="1327"/>
      <c r="K3" s="1327"/>
      <c r="L3" s="1327"/>
      <c r="M3" s="1327"/>
      <c r="N3" s="1327"/>
    </row>
    <row r="4" spans="1:14" s="239" customFormat="1" ht="16.5" customHeight="1">
      <c r="A4" s="357"/>
      <c r="B4" s="357"/>
      <c r="C4" s="357"/>
      <c r="H4" s="240"/>
      <c r="I4" s="240"/>
      <c r="J4" s="358"/>
      <c r="K4" s="358"/>
      <c r="L4" s="358"/>
      <c r="M4" s="358"/>
      <c r="N4" s="358"/>
    </row>
    <row r="5" spans="1:14" s="18" customFormat="1" ht="23.25" customHeight="1">
      <c r="A5" s="1310" t="s">
        <v>240</v>
      </c>
      <c r="B5" s="1310"/>
      <c r="C5" s="1310"/>
      <c r="D5" s="1310"/>
      <c r="E5" s="1310"/>
      <c r="F5" s="1310"/>
      <c r="G5" s="1310"/>
      <c r="H5" s="1310"/>
      <c r="I5" s="1310"/>
      <c r="J5" s="1310"/>
      <c r="K5" s="1310"/>
      <c r="L5" s="1310"/>
      <c r="M5" s="1310"/>
      <c r="N5" s="1310"/>
    </row>
    <row r="6" spans="1:14" s="18" customFormat="1">
      <c r="A6" s="1265" t="s">
        <v>241</v>
      </c>
      <c r="B6" s="1265"/>
      <c r="C6" s="1265"/>
      <c r="D6" s="1265"/>
      <c r="E6" s="1265"/>
      <c r="F6" s="1265"/>
      <c r="G6" s="1265"/>
      <c r="H6" s="1265"/>
      <c r="I6" s="1265"/>
      <c r="J6" s="1265"/>
      <c r="K6" s="1265"/>
      <c r="L6" s="1265"/>
      <c r="M6" s="1265"/>
      <c r="N6" s="1265"/>
    </row>
    <row r="7" spans="1:14" s="18" customFormat="1">
      <c r="A7" s="1265" t="s">
        <v>242</v>
      </c>
      <c r="B7" s="1265"/>
      <c r="C7" s="1265"/>
      <c r="D7" s="1265"/>
      <c r="E7" s="1265"/>
      <c r="F7" s="1265"/>
      <c r="G7" s="1265"/>
      <c r="H7" s="1265"/>
      <c r="I7" s="1265"/>
      <c r="J7" s="1265"/>
      <c r="K7" s="1265"/>
      <c r="L7" s="1265"/>
      <c r="M7" s="1265"/>
      <c r="N7" s="1265"/>
    </row>
    <row r="8" spans="1:14" s="18" customFormat="1" ht="15" customHeight="1">
      <c r="A8" s="1265" t="str">
        <f>IF(MID($H$9,4,4)="1015","Đối tượng cho vay: NH Eximbank CN Q11","Đối tượng cho vay: NH Eximbank CN Q4")</f>
        <v>Đối tượng cho vay: NH Eximbank CN Q11</v>
      </c>
      <c r="B8" s="1265"/>
      <c r="C8" s="1265"/>
      <c r="D8" s="1265"/>
      <c r="E8" s="1265"/>
      <c r="F8" s="1265"/>
      <c r="G8" s="1265"/>
      <c r="H8" s="1265"/>
      <c r="I8" s="1265"/>
      <c r="J8" s="1265"/>
      <c r="K8" s="1265"/>
      <c r="L8" s="1265"/>
      <c r="M8" s="1265"/>
      <c r="N8" s="1265"/>
    </row>
    <row r="9" spans="1:14" s="18" customFormat="1">
      <c r="A9" s="356"/>
      <c r="B9" s="356"/>
      <c r="C9" s="356"/>
      <c r="D9" s="356"/>
      <c r="E9" s="356"/>
      <c r="F9" s="356"/>
      <c r="G9" s="20" t="s">
        <v>243</v>
      </c>
      <c r="H9" s="1337" t="s">
        <v>717</v>
      </c>
      <c r="I9" s="1337"/>
      <c r="J9" s="359" t="str">
        <f>"ngày "&amp; TEXT(VLOOKUP($H$9,'341'!$B$5:$P$52,2,0),"dd/MM/yy")</f>
        <v>ngày 20/07/15</v>
      </c>
      <c r="K9" s="356"/>
      <c r="L9" s="356"/>
      <c r="M9" s="356"/>
      <c r="N9" s="356"/>
    </row>
    <row r="10" spans="1:14" s="18" customFormat="1">
      <c r="A10" s="1265" t="s">
        <v>244</v>
      </c>
      <c r="B10" s="1265"/>
      <c r="C10" s="1265"/>
      <c r="D10" s="1265"/>
      <c r="E10" s="1265"/>
      <c r="F10" s="1265"/>
      <c r="G10" s="1265"/>
      <c r="H10" s="1265"/>
      <c r="I10" s="1265"/>
      <c r="J10" s="1265"/>
      <c r="K10" s="1265"/>
      <c r="L10" s="1265"/>
      <c r="M10" s="1265"/>
      <c r="N10" s="1265"/>
    </row>
    <row r="11" spans="1:14" s="18" customFormat="1">
      <c r="C11" s="1329"/>
      <c r="D11" s="1329"/>
      <c r="E11" s="1329"/>
      <c r="F11" s="1329"/>
      <c r="G11" s="1329"/>
      <c r="H11" s="1329"/>
      <c r="I11" s="1329"/>
      <c r="J11" s="1329"/>
      <c r="K11" s="1329"/>
      <c r="L11" s="1329"/>
      <c r="M11" s="1329"/>
      <c r="N11" s="1329"/>
    </row>
    <row r="12" spans="1:14" s="18" customFormat="1" ht="15.75" customHeight="1">
      <c r="A12" s="1338" t="s">
        <v>22</v>
      </c>
      <c r="B12" s="1331" t="s">
        <v>1</v>
      </c>
      <c r="C12" s="1332"/>
      <c r="D12" s="1338" t="s">
        <v>0</v>
      </c>
      <c r="E12" s="1338" t="s">
        <v>16</v>
      </c>
      <c r="F12" s="1338" t="s">
        <v>245</v>
      </c>
      <c r="G12" s="1331" t="s">
        <v>23</v>
      </c>
      <c r="H12" s="1343"/>
      <c r="I12" s="1343"/>
      <c r="J12" s="1336"/>
      <c r="K12" s="1331" t="s">
        <v>33</v>
      </c>
      <c r="L12" s="1343"/>
      <c r="M12" s="1343"/>
      <c r="N12" s="1336"/>
    </row>
    <row r="13" spans="1:14" s="18" customFormat="1" ht="15.75" customHeight="1">
      <c r="A13" s="1339"/>
      <c r="B13" s="1344" t="s">
        <v>17</v>
      </c>
      <c r="C13" s="1344" t="s">
        <v>34</v>
      </c>
      <c r="D13" s="1339"/>
      <c r="E13" s="1339"/>
      <c r="F13" s="1341"/>
      <c r="G13" s="1335" t="s">
        <v>24</v>
      </c>
      <c r="H13" s="1336"/>
      <c r="I13" s="1335" t="s">
        <v>25</v>
      </c>
      <c r="J13" s="1336"/>
      <c r="K13" s="1335" t="s">
        <v>24</v>
      </c>
      <c r="L13" s="1336"/>
      <c r="M13" s="1335" t="s">
        <v>25</v>
      </c>
      <c r="N13" s="1336"/>
    </row>
    <row r="14" spans="1:14" s="18" customFormat="1" ht="32.25" customHeight="1">
      <c r="A14" s="1340"/>
      <c r="B14" s="1345"/>
      <c r="C14" s="1345"/>
      <c r="D14" s="1340"/>
      <c r="E14" s="1340"/>
      <c r="F14" s="1342"/>
      <c r="G14" s="30" t="s">
        <v>246</v>
      </c>
      <c r="H14" s="30" t="s">
        <v>247</v>
      </c>
      <c r="I14" s="30" t="s">
        <v>246</v>
      </c>
      <c r="J14" s="30" t="s">
        <v>247</v>
      </c>
      <c r="K14" s="30" t="s">
        <v>246</v>
      </c>
      <c r="L14" s="30" t="s">
        <v>247</v>
      </c>
      <c r="M14" s="30" t="s">
        <v>246</v>
      </c>
      <c r="N14" s="30" t="s">
        <v>247</v>
      </c>
    </row>
    <row r="15" spans="1:14" s="356" customFormat="1">
      <c r="A15" s="360" t="s">
        <v>2</v>
      </c>
      <c r="B15" s="361" t="s">
        <v>3</v>
      </c>
      <c r="C15" s="360" t="s">
        <v>4</v>
      </c>
      <c r="D15" s="360" t="s">
        <v>5</v>
      </c>
      <c r="E15" s="360" t="s">
        <v>6</v>
      </c>
      <c r="F15" s="360">
        <v>1</v>
      </c>
      <c r="G15" s="360">
        <v>2</v>
      </c>
      <c r="H15" s="360">
        <v>3</v>
      </c>
      <c r="I15" s="360">
        <v>4</v>
      </c>
      <c r="J15" s="360">
        <v>5</v>
      </c>
      <c r="K15" s="360">
        <v>6</v>
      </c>
      <c r="L15" s="360">
        <v>7</v>
      </c>
      <c r="M15" s="360">
        <v>8</v>
      </c>
      <c r="N15" s="360">
        <v>9</v>
      </c>
    </row>
    <row r="16" spans="1:14" s="18" customFormat="1" ht="19.5" customHeight="1">
      <c r="A16" s="385"/>
      <c r="B16" s="385"/>
      <c r="C16" s="385"/>
      <c r="D16" s="386" t="s">
        <v>7</v>
      </c>
      <c r="E16" s="387"/>
      <c r="F16" s="387"/>
      <c r="G16" s="385"/>
      <c r="H16" s="385"/>
      <c r="I16" s="385"/>
      <c r="J16" s="385"/>
      <c r="K16" s="388">
        <f>VLOOKUP($H$9,'341'!$B$5:$P$52,4,0)</f>
        <v>0</v>
      </c>
      <c r="L16" s="389">
        <f>VLOOKUP($H$9,'341'!$B$5:$P$52,5,0)</f>
        <v>0</v>
      </c>
      <c r="M16" s="388">
        <f>VLOOKUP($H$9,'341'!$B$5:$P$52,6,0)</f>
        <v>97000</v>
      </c>
      <c r="N16" s="389">
        <f>VLOOKUP($H$9,'341'!$B$5:$P$52,7,0)</f>
        <v>2117025000</v>
      </c>
    </row>
    <row r="17" spans="1:14" s="18" customFormat="1" ht="19.5" customHeight="1">
      <c r="A17" s="331">
        <f ca="1">IF(ROWS($1:1)&gt;COUNT(Dong4),"",OFFSET(TH!C$1,SMALL(Dong4,ROWS($1:1)),))</f>
        <v>42394</v>
      </c>
      <c r="B17" s="241" t="str">
        <f ca="1">IF(ROWS($1:1)&gt;COUNT(Dong4),"",OFFSET(TH!D$1,SMALL(Dong4,ROWS($1:1)),))</f>
        <v>GBN</v>
      </c>
      <c r="C17" s="241">
        <f ca="1">IF(ROWS($1:1)&gt;COUNT(Dong4),"",OFFSET(TH!E$1,SMALL(Dong4,ROWS($1:1)),))</f>
        <v>42394</v>
      </c>
      <c r="D17" s="390" t="str">
        <f ca="1">IF(ROWS($1:1)&gt;COUNT(Dong4),"",OFFSET(TH!F$1,SMALL(Dong4,ROWS($1:1)),))</f>
        <v xml:space="preserve">Q11 - Trả gốc </v>
      </c>
      <c r="E17" s="241" t="str">
        <f ca="1">IF(ROWS($1:1)&gt;COUNT(Dong4),"",IF(LEFT(OFFSET(TH!O$1,SMALL(Dong4,ROWS($1:1)),),3)="341",OFFSET(TH!N$1,SMALL(Dong4,ROWS($1:1)),),OFFSET(TH!O$1,SMALL(Dong4,ROWS($1:1)),)))</f>
        <v>1122</v>
      </c>
      <c r="F17" s="391"/>
      <c r="G17" s="392">
        <f ca="1">IF(ROWS($1:1)&gt;COUNT(Dong4),"",IF(LEFT(OFFSET(TH!N$1,SMALL(Dong4,ROWS($1:1)),),3)="341",OFFSET(TH!K$1,SMALL(Dong4,ROWS($1:1)),),0))</f>
        <v>97000</v>
      </c>
      <c r="H17" s="391">
        <f ca="1">IF(ROWS($1:1)&gt;COUNT(Dong4),"",IF(LEFT(OFFSET(TH!N$1,SMALL(Dong4,ROWS($1:1)),),3)="341",OFFSET(TH!M$1,SMALL(Dong4,ROWS($1:1)),),0))</f>
        <v>2168920000</v>
      </c>
      <c r="I17" s="392">
        <f ca="1">IF(ROWS($1:1)&gt;COUNT(Dong4),"",IF(LEFT(OFFSET(TH!O$1,SMALL(Dong4,ROWS($1:1)),),3)="341",OFFSET(TH!K$1,SMALL(Dong4,ROWS($1:1)),),0))</f>
        <v>0</v>
      </c>
      <c r="J17" s="391">
        <f ca="1">IF(ROWS($1:1)&gt;COUNT(Dong4),"",IF(LEFT(OFFSET(TH!O$1,SMALL(Dong4,ROWS($1:1)),),3)="341",OFFSET(TH!M$1,SMALL(Dong4,ROWS($1:1)),),0))</f>
        <v>0</v>
      </c>
      <c r="K17" s="232">
        <f ca="1">IF(C17&lt;&gt;"",ROUND(MAX(K16+G17-I17-M16,0),2),0)</f>
        <v>0</v>
      </c>
      <c r="L17" s="8">
        <f ca="1">IF(C17&lt;&gt;"",MAX(L16-N16+H17-J17,0),0)</f>
        <v>51895000</v>
      </c>
      <c r="M17" s="232">
        <f ca="1">IF(C17&lt;&gt;"",ROUND(MAX(M16+I17-G17-K16,0),2),0)</f>
        <v>0</v>
      </c>
      <c r="N17" s="8">
        <f ca="1">IF(C17&lt;&gt;"",MAX(N16-L16+J17-H17,0),0)</f>
        <v>0</v>
      </c>
    </row>
    <row r="18" spans="1:14" s="393" customFormat="1" ht="19.5" customHeight="1">
      <c r="A18" s="331">
        <f ca="1">IF(ROWS($1:2)&gt;COUNT(Dong4),"",OFFSET(TH!C$1,SMALL(Dong4,ROWS($1:2)),))</f>
        <v>42394</v>
      </c>
      <c r="B18" s="241" t="str">
        <f ca="1">IF(ROWS($1:2)&gt;COUNT(Dong4),"",OFFSET(TH!D$1,SMALL(Dong4,ROWS($1:2)),))</f>
        <v>CTGS</v>
      </c>
      <c r="C18" s="241">
        <f ca="1">IF(ROWS($1:2)&gt;COUNT(Dong4),"",OFFSET(TH!E$1,SMALL(Dong4,ROWS($1:2)),))</f>
        <v>42394</v>
      </c>
      <c r="D18" s="390" t="str">
        <f ca="1">IF(ROWS($1:2)&gt;COUNT(Dong4),"",OFFSET(TH!F$1,SMALL(Dong4,ROWS($1:2)),))</f>
        <v>Q11 - Chênh lệch tỷ giá vay</v>
      </c>
      <c r="E18" s="241" t="str">
        <f ca="1">IF(ROWS($1:2)&gt;COUNT(Dong4),"",IF(LEFT(OFFSET(TH!O$1,SMALL(Dong4,ROWS($1:2)),),3)="341",OFFSET(TH!N$1,SMALL(Dong4,ROWS($1:2)),),OFFSET(TH!O$1,SMALL(Dong4,ROWS($1:2)),)))</f>
        <v>635</v>
      </c>
      <c r="F18" s="391"/>
      <c r="G18" s="392">
        <f ca="1">IF(ROWS($1:2)&gt;COUNT(Dong4),"",IF(LEFT(OFFSET(TH!N$1,SMALL(Dong4,ROWS($1:2)),),3)="341",OFFSET(TH!K$1,SMALL(Dong4,ROWS($1:2)),),0))</f>
        <v>0</v>
      </c>
      <c r="H18" s="391">
        <f ca="1">IF(ROWS($1:2)&gt;COUNT(Dong4),"",IF(LEFT(OFFSET(TH!N$1,SMALL(Dong4,ROWS($1:2)),),3)="341",OFFSET(TH!M$1,SMALL(Dong4,ROWS($1:2)),),0))</f>
        <v>0</v>
      </c>
      <c r="I18" s="392">
        <f ca="1">IF(ROWS($1:2)&gt;COUNT(Dong4),"",IF(LEFT(OFFSET(TH!O$1,SMALL(Dong4,ROWS($1:2)),),3)="341",OFFSET(TH!K$1,SMALL(Dong4,ROWS($1:2)),),0))</f>
        <v>0</v>
      </c>
      <c r="J18" s="391">
        <f ca="1">IF(ROWS($1:2)&gt;COUNT(Dong4),"",IF(LEFT(OFFSET(TH!O$1,SMALL(Dong4,ROWS($1:2)),),3)="341",OFFSET(TH!M$1,SMALL(Dong4,ROWS($1:2)),),0))</f>
        <v>51895000</v>
      </c>
      <c r="K18" s="232">
        <f ca="1">IF(C18&lt;&gt;"",ROUND(MAX(K17+G18-I18-M17,0),2),0)</f>
        <v>0</v>
      </c>
      <c r="L18" s="8">
        <f ca="1">IF(C18&lt;&gt;"",MAX(L17-N17+H18-J18,0),0)</f>
        <v>0</v>
      </c>
      <c r="M18" s="232">
        <f ca="1">IF(C18&lt;&gt;"",ROUND(MAX(M17+I18-G18-K17,0),2),0)</f>
        <v>0</v>
      </c>
      <c r="N18" s="8">
        <f ca="1">IF(C18&lt;&gt;"",MAX(N17-L17+J18-H18,0),0)</f>
        <v>0</v>
      </c>
    </row>
    <row r="19" spans="1:14" s="393" customFormat="1" ht="19.5" customHeight="1">
      <c r="A19" s="331" t="str">
        <f ca="1">IF(ROWS($1:3)&gt;COUNT(Dong4),"",OFFSET(TH!C$1,SMALL(Dong4,ROWS($1:3)),))</f>
        <v/>
      </c>
      <c r="B19" s="241" t="str">
        <f ca="1">IF(ROWS($1:3)&gt;COUNT(Dong4),"",OFFSET(TH!D$1,SMALL(Dong4,ROWS($1:3)),))</f>
        <v/>
      </c>
      <c r="C19" s="241" t="str">
        <f ca="1">IF(ROWS($1:3)&gt;COUNT(Dong4),"",OFFSET(TH!E$1,SMALL(Dong4,ROWS($1:3)),))</f>
        <v/>
      </c>
      <c r="D19" s="390" t="str">
        <f ca="1">IF(ROWS($1:3)&gt;COUNT(Dong4),"",OFFSET(TH!F$1,SMALL(Dong4,ROWS($1:3)),))</f>
        <v/>
      </c>
      <c r="E19" s="241" t="str">
        <f ca="1">IF(ROWS($1:3)&gt;COUNT(Dong4),"",IF(LEFT(OFFSET(TH!O$1,SMALL(Dong4,ROWS($1:3)),),3)="341",OFFSET(TH!N$1,SMALL(Dong4,ROWS($1:3)),),OFFSET(TH!O$1,SMALL(Dong4,ROWS($1:3)),)))</f>
        <v/>
      </c>
      <c r="F19" s="391"/>
      <c r="G19" s="392" t="str">
        <f ca="1">IF(ROWS($1:3)&gt;COUNT(Dong4),"",IF(LEFT(OFFSET(TH!N$1,SMALL(Dong4,ROWS($1:3)),),3)="341",OFFSET(TH!K$1,SMALL(Dong4,ROWS($1:3)),),0))</f>
        <v/>
      </c>
      <c r="H19" s="391" t="str">
        <f ca="1">IF(ROWS($1:3)&gt;COUNT(Dong4),"",IF(LEFT(OFFSET(TH!N$1,SMALL(Dong4,ROWS($1:3)),),3)="341",OFFSET(TH!M$1,SMALL(Dong4,ROWS($1:3)),),0))</f>
        <v/>
      </c>
      <c r="I19" s="392" t="str">
        <f ca="1">IF(ROWS($1:3)&gt;COUNT(Dong4),"",IF(LEFT(OFFSET(TH!O$1,SMALL(Dong4,ROWS($1:3)),),3)="341",OFFSET(TH!K$1,SMALL(Dong4,ROWS($1:3)),),0))</f>
        <v/>
      </c>
      <c r="J19" s="391" t="str">
        <f ca="1">IF(ROWS($1:3)&gt;COUNT(Dong4),"",IF(LEFT(OFFSET(TH!O$1,SMALL(Dong4,ROWS($1:3)),),3)="341",OFFSET(TH!M$1,SMALL(Dong4,ROWS($1:3)),),0))</f>
        <v/>
      </c>
      <c r="K19" s="232">
        <f ca="1">IF(C19&lt;&gt;"",ROUND(MAX(K18+G19-I19-M18,0),2),0)</f>
        <v>0</v>
      </c>
      <c r="L19" s="8">
        <f ca="1">IF(C19&lt;&gt;"",MAX(L18-N18+H19-J19,0),0)</f>
        <v>0</v>
      </c>
      <c r="M19" s="232">
        <f ca="1">IF(C19&lt;&gt;"",ROUND(MAX(M18+I19-G19-K18,0),2),0)</f>
        <v>0</v>
      </c>
      <c r="N19" s="8">
        <f ca="1">IF(C19&lt;&gt;"",MAX(N18-L18+J19-H19,0),0)</f>
        <v>0</v>
      </c>
    </row>
    <row r="20" spans="1:14" s="393" customFormat="1" ht="19.5" customHeight="1">
      <c r="A20" s="331" t="str">
        <f ca="1">IF(ROWS($1:4)&gt;COUNT(Dong4),"",OFFSET(TH!C$1,SMALL(Dong4,ROWS($1:4)),))</f>
        <v/>
      </c>
      <c r="B20" s="241" t="str">
        <f ca="1">IF(ROWS($1:4)&gt;COUNT(Dong4),"",OFFSET(TH!D$1,SMALL(Dong4,ROWS($1:4)),))</f>
        <v/>
      </c>
      <c r="C20" s="241" t="str">
        <f ca="1">IF(ROWS($1:4)&gt;COUNT(Dong4),"",OFFSET(TH!E$1,SMALL(Dong4,ROWS($1:4)),))</f>
        <v/>
      </c>
      <c r="D20" s="390" t="str">
        <f ca="1">IF(ROWS($1:4)&gt;COUNT(Dong4),"",OFFSET(TH!F$1,SMALL(Dong4,ROWS($1:4)),))</f>
        <v/>
      </c>
      <c r="E20" s="241" t="str">
        <f ca="1">IF(ROWS($1:4)&gt;COUNT(Dong4),"",IF(LEFT(OFFSET(TH!O$1,SMALL(Dong4,ROWS($1:4)),),3)="341",OFFSET(TH!N$1,SMALL(Dong4,ROWS($1:4)),),OFFSET(TH!O$1,SMALL(Dong4,ROWS($1:4)),)))</f>
        <v/>
      </c>
      <c r="F20" s="391"/>
      <c r="G20" s="392" t="str">
        <f ca="1">IF(ROWS($1:4)&gt;COUNT(Dong4),"",IF(LEFT(OFFSET(TH!N$1,SMALL(Dong4,ROWS($1:4)),),3)="341",OFFSET(TH!K$1,SMALL(Dong4,ROWS($1:4)),),0))</f>
        <v/>
      </c>
      <c r="H20" s="391" t="str">
        <f ca="1">IF(ROWS($1:4)&gt;COUNT(Dong4),"",IF(LEFT(OFFSET(TH!N$1,SMALL(Dong4,ROWS($1:4)),),3)="341",OFFSET(TH!M$1,SMALL(Dong4,ROWS($1:4)),),0))</f>
        <v/>
      </c>
      <c r="I20" s="392" t="str">
        <f ca="1">IF(ROWS($1:4)&gt;COUNT(Dong4),"",IF(LEFT(OFFSET(TH!O$1,SMALL(Dong4,ROWS($1:4)),),3)="341",OFFSET(TH!K$1,SMALL(Dong4,ROWS($1:4)),),0))</f>
        <v/>
      </c>
      <c r="J20" s="391" t="str">
        <f ca="1">IF(ROWS($1:4)&gt;COUNT(Dong4),"",IF(LEFT(OFFSET(TH!O$1,SMALL(Dong4,ROWS($1:4)),),3)="341",OFFSET(TH!M$1,SMALL(Dong4,ROWS($1:4)),),0))</f>
        <v/>
      </c>
      <c r="K20" s="232">
        <f t="shared" ref="K20:K25" ca="1" si="0">IF(C20&lt;&gt;"",ROUND(MAX(K19+G20-I20-M19,0),2),0)</f>
        <v>0</v>
      </c>
      <c r="L20" s="8">
        <f t="shared" ref="L20:L25" ca="1" si="1">IF(C20&lt;&gt;"",MAX(L19-N19+H20-J20,0),0)</f>
        <v>0</v>
      </c>
      <c r="M20" s="232">
        <f t="shared" ref="M20:M25" ca="1" si="2">IF(C20&lt;&gt;"",ROUND(MAX(M19+I20-G20-K19,0),2),0)</f>
        <v>0</v>
      </c>
      <c r="N20" s="8">
        <f t="shared" ref="N20:N25" ca="1" si="3">IF(C20&lt;&gt;"",MAX(N19-L19+J20-H20,0),0)</f>
        <v>0</v>
      </c>
    </row>
    <row r="21" spans="1:14" s="393" customFormat="1" ht="19.5" customHeight="1">
      <c r="A21" s="331" t="str">
        <f ca="1">IF(ROWS($1:5)&gt;COUNT(Dong4),"",OFFSET(TH!C$1,SMALL(Dong4,ROWS($1:5)),))</f>
        <v/>
      </c>
      <c r="B21" s="241" t="str">
        <f ca="1">IF(ROWS($1:5)&gt;COUNT(Dong4),"",OFFSET(TH!D$1,SMALL(Dong4,ROWS($1:5)),))</f>
        <v/>
      </c>
      <c r="C21" s="241" t="str">
        <f ca="1">IF(ROWS($1:5)&gt;COUNT(Dong4),"",OFFSET(TH!E$1,SMALL(Dong4,ROWS($1:5)),))</f>
        <v/>
      </c>
      <c r="D21" s="390" t="str">
        <f ca="1">IF(ROWS($1:5)&gt;COUNT(Dong4),"",OFFSET(TH!F$1,SMALL(Dong4,ROWS($1:5)),))</f>
        <v/>
      </c>
      <c r="E21" s="241" t="str">
        <f ca="1">IF(ROWS($1:5)&gt;COUNT(Dong4),"",IF(LEFT(OFFSET(TH!O$1,SMALL(Dong4,ROWS($1:5)),),3)="341",OFFSET(TH!N$1,SMALL(Dong4,ROWS($1:5)),),OFFSET(TH!O$1,SMALL(Dong4,ROWS($1:5)),)))</f>
        <v/>
      </c>
      <c r="F21" s="391"/>
      <c r="G21" s="392" t="str">
        <f ca="1">IF(ROWS($1:5)&gt;COUNT(Dong4),"",IF(LEFT(OFFSET(TH!N$1,SMALL(Dong4,ROWS($1:5)),),3)="341",OFFSET(TH!K$1,SMALL(Dong4,ROWS($1:5)),),0))</f>
        <v/>
      </c>
      <c r="H21" s="391" t="str">
        <f ca="1">IF(ROWS($1:5)&gt;COUNT(Dong4),"",IF(LEFT(OFFSET(TH!N$1,SMALL(Dong4,ROWS($1:5)),),3)="341",OFFSET(TH!M$1,SMALL(Dong4,ROWS($1:5)),),0))</f>
        <v/>
      </c>
      <c r="I21" s="392" t="str">
        <f ca="1">IF(ROWS($1:5)&gt;COUNT(Dong4),"",IF(LEFT(OFFSET(TH!O$1,SMALL(Dong4,ROWS($1:5)),),3)="341",OFFSET(TH!K$1,SMALL(Dong4,ROWS($1:5)),),0))</f>
        <v/>
      </c>
      <c r="J21" s="391" t="str">
        <f ca="1">IF(ROWS($1:5)&gt;COUNT(Dong4),"",IF(LEFT(OFFSET(TH!O$1,SMALL(Dong4,ROWS($1:5)),),3)="341",OFFSET(TH!M$1,SMALL(Dong4,ROWS($1:5)),),0))</f>
        <v/>
      </c>
      <c r="K21" s="232">
        <f t="shared" ca="1" si="0"/>
        <v>0</v>
      </c>
      <c r="L21" s="8">
        <f t="shared" ca="1" si="1"/>
        <v>0</v>
      </c>
      <c r="M21" s="232">
        <f t="shared" ca="1" si="2"/>
        <v>0</v>
      </c>
      <c r="N21" s="8">
        <f t="shared" ca="1" si="3"/>
        <v>0</v>
      </c>
    </row>
    <row r="22" spans="1:14" s="393" customFormat="1" ht="19.5" customHeight="1">
      <c r="A22" s="331" t="str">
        <f ca="1">IF(ROWS($1:6)&gt;COUNT(Dong4),"",OFFSET(TH!C$1,SMALL(Dong4,ROWS($1:6)),))</f>
        <v/>
      </c>
      <c r="B22" s="241" t="str">
        <f ca="1">IF(ROWS($1:6)&gt;COUNT(Dong4),"",OFFSET(TH!D$1,SMALL(Dong4,ROWS($1:6)),))</f>
        <v/>
      </c>
      <c r="C22" s="241" t="str">
        <f ca="1">IF(ROWS($1:6)&gt;COUNT(Dong4),"",OFFSET(TH!E$1,SMALL(Dong4,ROWS($1:6)),))</f>
        <v/>
      </c>
      <c r="D22" s="390" t="str">
        <f ca="1">IF(ROWS($1:6)&gt;COUNT(Dong4),"",OFFSET(TH!F$1,SMALL(Dong4,ROWS($1:6)),))</f>
        <v/>
      </c>
      <c r="E22" s="241" t="str">
        <f ca="1">IF(ROWS($1:6)&gt;COUNT(Dong4),"",IF(LEFT(OFFSET(TH!O$1,SMALL(Dong4,ROWS($1:6)),),3)="341",OFFSET(TH!N$1,SMALL(Dong4,ROWS($1:6)),),OFFSET(TH!O$1,SMALL(Dong4,ROWS($1:6)),)))</f>
        <v/>
      </c>
      <c r="F22" s="391"/>
      <c r="G22" s="392" t="str">
        <f ca="1">IF(ROWS($1:6)&gt;COUNT(Dong4),"",IF(LEFT(OFFSET(TH!N$1,SMALL(Dong4,ROWS($1:6)),),3)="341",OFFSET(TH!K$1,SMALL(Dong4,ROWS($1:6)),),0))</f>
        <v/>
      </c>
      <c r="H22" s="391" t="str">
        <f ca="1">IF(ROWS($1:6)&gt;COUNT(Dong4),"",IF(LEFT(OFFSET(TH!N$1,SMALL(Dong4,ROWS($1:6)),),3)="341",OFFSET(TH!M$1,SMALL(Dong4,ROWS($1:6)),),0))</f>
        <v/>
      </c>
      <c r="I22" s="392" t="str">
        <f ca="1">IF(ROWS($1:6)&gt;COUNT(Dong4),"",IF(LEFT(OFFSET(TH!O$1,SMALL(Dong4,ROWS($1:6)),),3)="341",OFFSET(TH!K$1,SMALL(Dong4,ROWS($1:6)),),0))</f>
        <v/>
      </c>
      <c r="J22" s="391" t="str">
        <f ca="1">IF(ROWS($1:6)&gt;COUNT(Dong4),"",IF(LEFT(OFFSET(TH!O$1,SMALL(Dong4,ROWS($1:6)),),3)="341",OFFSET(TH!M$1,SMALL(Dong4,ROWS($1:6)),),0))</f>
        <v/>
      </c>
      <c r="K22" s="232">
        <f t="shared" ca="1" si="0"/>
        <v>0</v>
      </c>
      <c r="L22" s="8">
        <f t="shared" ca="1" si="1"/>
        <v>0</v>
      </c>
      <c r="M22" s="232">
        <f t="shared" ca="1" si="2"/>
        <v>0</v>
      </c>
      <c r="N22" s="8">
        <f t="shared" ca="1" si="3"/>
        <v>0</v>
      </c>
    </row>
    <row r="23" spans="1:14" s="393" customFormat="1" ht="19.5" customHeight="1">
      <c r="A23" s="331" t="str">
        <f ca="1">IF(ROWS($1:7)&gt;COUNT(Dong4),"",OFFSET(TH!C$1,SMALL(Dong4,ROWS($1:7)),))</f>
        <v/>
      </c>
      <c r="B23" s="241" t="str">
        <f ca="1">IF(ROWS($1:7)&gt;COUNT(Dong4),"",OFFSET(TH!D$1,SMALL(Dong4,ROWS($1:7)),))</f>
        <v/>
      </c>
      <c r="C23" s="241" t="str">
        <f ca="1">IF(ROWS($1:7)&gt;COUNT(Dong4),"",OFFSET(TH!E$1,SMALL(Dong4,ROWS($1:7)),))</f>
        <v/>
      </c>
      <c r="D23" s="390" t="str">
        <f ca="1">IF(ROWS($1:7)&gt;COUNT(Dong4),"",OFFSET(TH!F$1,SMALL(Dong4,ROWS($1:7)),))</f>
        <v/>
      </c>
      <c r="E23" s="241" t="str">
        <f ca="1">IF(ROWS($1:7)&gt;COUNT(Dong4),"",IF(LEFT(OFFSET(TH!O$1,SMALL(Dong4,ROWS($1:7)),),3)="341",OFFSET(TH!N$1,SMALL(Dong4,ROWS($1:7)),),OFFSET(TH!O$1,SMALL(Dong4,ROWS($1:7)),)))</f>
        <v/>
      </c>
      <c r="F23" s="391"/>
      <c r="G23" s="392" t="str">
        <f ca="1">IF(ROWS($1:7)&gt;COUNT(Dong4),"",IF(LEFT(OFFSET(TH!N$1,SMALL(Dong4,ROWS($1:7)),),3)="341",OFFSET(TH!K$1,SMALL(Dong4,ROWS($1:7)),),0))</f>
        <v/>
      </c>
      <c r="H23" s="391" t="str">
        <f ca="1">IF(ROWS($1:7)&gt;COUNT(Dong4),"",IF(LEFT(OFFSET(TH!N$1,SMALL(Dong4,ROWS($1:7)),),3)="341",OFFSET(TH!M$1,SMALL(Dong4,ROWS($1:7)),),0))</f>
        <v/>
      </c>
      <c r="I23" s="392" t="str">
        <f ca="1">IF(ROWS($1:7)&gt;COUNT(Dong4),"",IF(LEFT(OFFSET(TH!O$1,SMALL(Dong4,ROWS($1:7)),),3)="341",OFFSET(TH!K$1,SMALL(Dong4,ROWS($1:7)),),0))</f>
        <v/>
      </c>
      <c r="J23" s="391" t="str">
        <f ca="1">IF(ROWS($1:7)&gt;COUNT(Dong4),"",IF(LEFT(OFFSET(TH!O$1,SMALL(Dong4,ROWS($1:7)),),3)="341",OFFSET(TH!M$1,SMALL(Dong4,ROWS($1:7)),),0))</f>
        <v/>
      </c>
      <c r="K23" s="232">
        <f t="shared" ca="1" si="0"/>
        <v>0</v>
      </c>
      <c r="L23" s="8">
        <f t="shared" ca="1" si="1"/>
        <v>0</v>
      </c>
      <c r="M23" s="232">
        <f t="shared" ca="1" si="2"/>
        <v>0</v>
      </c>
      <c r="N23" s="8">
        <f t="shared" ca="1" si="3"/>
        <v>0</v>
      </c>
    </row>
    <row r="24" spans="1:14" s="393" customFormat="1" ht="19.5" customHeight="1">
      <c r="A24" s="331" t="str">
        <f ca="1">IF(ROWS($1:8)&gt;COUNT(Dong4),"",OFFSET(TH!C$1,SMALL(Dong4,ROWS($1:8)),))</f>
        <v/>
      </c>
      <c r="B24" s="241" t="str">
        <f ca="1">IF(ROWS($1:8)&gt;COUNT(Dong4),"",OFFSET(TH!D$1,SMALL(Dong4,ROWS($1:8)),))</f>
        <v/>
      </c>
      <c r="C24" s="241" t="str">
        <f ca="1">IF(ROWS($1:8)&gt;COUNT(Dong4),"",OFFSET(TH!E$1,SMALL(Dong4,ROWS($1:8)),))</f>
        <v/>
      </c>
      <c r="D24" s="390" t="str">
        <f ca="1">IF(ROWS($1:8)&gt;COUNT(Dong4),"",OFFSET(TH!F$1,SMALL(Dong4,ROWS($1:8)),))</f>
        <v/>
      </c>
      <c r="E24" s="241" t="str">
        <f ca="1">IF(ROWS($1:8)&gt;COUNT(Dong4),"",IF(LEFT(OFFSET(TH!O$1,SMALL(Dong4,ROWS($1:8)),),3)="341",OFFSET(TH!N$1,SMALL(Dong4,ROWS($1:8)),),OFFSET(TH!O$1,SMALL(Dong4,ROWS($1:8)),)))</f>
        <v/>
      </c>
      <c r="F24" s="391"/>
      <c r="G24" s="392" t="str">
        <f ca="1">IF(ROWS($1:8)&gt;COUNT(Dong4),"",IF(LEFT(OFFSET(TH!N$1,SMALL(Dong4,ROWS($1:8)),),3)="341",OFFSET(TH!K$1,SMALL(Dong4,ROWS($1:8)),),0))</f>
        <v/>
      </c>
      <c r="H24" s="391" t="str">
        <f ca="1">IF(ROWS($1:8)&gt;COUNT(Dong4),"",IF(LEFT(OFFSET(TH!N$1,SMALL(Dong4,ROWS($1:8)),),3)="341",OFFSET(TH!M$1,SMALL(Dong4,ROWS($1:8)),),0))</f>
        <v/>
      </c>
      <c r="I24" s="392" t="str">
        <f ca="1">IF(ROWS($1:8)&gt;COUNT(Dong4),"",IF(LEFT(OFFSET(TH!O$1,SMALL(Dong4,ROWS($1:8)),),3)="341",OFFSET(TH!K$1,SMALL(Dong4,ROWS($1:8)),),0))</f>
        <v/>
      </c>
      <c r="J24" s="391" t="str">
        <f ca="1">IF(ROWS($1:8)&gt;COUNT(Dong4),"",IF(LEFT(OFFSET(TH!O$1,SMALL(Dong4,ROWS($1:8)),),3)="341",OFFSET(TH!M$1,SMALL(Dong4,ROWS($1:8)),),0))</f>
        <v/>
      </c>
      <c r="K24" s="232">
        <f t="shared" ca="1" si="0"/>
        <v>0</v>
      </c>
      <c r="L24" s="8">
        <f t="shared" ca="1" si="1"/>
        <v>0</v>
      </c>
      <c r="M24" s="232">
        <f t="shared" ca="1" si="2"/>
        <v>0</v>
      </c>
      <c r="N24" s="8">
        <f t="shared" ca="1" si="3"/>
        <v>0</v>
      </c>
    </row>
    <row r="25" spans="1:14" s="393" customFormat="1" ht="19.5" customHeight="1">
      <c r="A25" s="331" t="str">
        <f ca="1">IF(ROWS($1:9)&gt;COUNT(Dong4),"",OFFSET(TH!C$1,SMALL(Dong4,ROWS($1:9)),))</f>
        <v/>
      </c>
      <c r="B25" s="241" t="str">
        <f ca="1">IF(ROWS($1:9)&gt;COUNT(Dong4),"",OFFSET(TH!D$1,SMALL(Dong4,ROWS($1:9)),))</f>
        <v/>
      </c>
      <c r="C25" s="241" t="str">
        <f ca="1">IF(ROWS($1:9)&gt;COUNT(Dong4),"",OFFSET(TH!E$1,SMALL(Dong4,ROWS($1:9)),))</f>
        <v/>
      </c>
      <c r="D25" s="390" t="str">
        <f ca="1">IF(ROWS($1:9)&gt;COUNT(Dong4),"",OFFSET(TH!F$1,SMALL(Dong4,ROWS($1:9)),))</f>
        <v/>
      </c>
      <c r="E25" s="241" t="str">
        <f ca="1">IF(ROWS($1:9)&gt;COUNT(Dong4),"",IF(LEFT(OFFSET(TH!O$1,SMALL(Dong4,ROWS($1:9)),),3)="341",OFFSET(TH!N$1,SMALL(Dong4,ROWS($1:9)),),OFFSET(TH!O$1,SMALL(Dong4,ROWS($1:9)),)))</f>
        <v/>
      </c>
      <c r="F25" s="391"/>
      <c r="G25" s="392" t="str">
        <f ca="1">IF(ROWS($1:9)&gt;COUNT(Dong4),"",IF(LEFT(OFFSET(TH!N$1,SMALL(Dong4,ROWS($1:9)),),3)="341",OFFSET(TH!K$1,SMALL(Dong4,ROWS($1:9)),),0))</f>
        <v/>
      </c>
      <c r="H25" s="391" t="str">
        <f ca="1">IF(ROWS($1:9)&gt;COUNT(Dong4),"",IF(LEFT(OFFSET(TH!N$1,SMALL(Dong4,ROWS($1:9)),),3)="341",OFFSET(TH!M$1,SMALL(Dong4,ROWS($1:9)),),0))</f>
        <v/>
      </c>
      <c r="I25" s="392" t="str">
        <f ca="1">IF(ROWS($1:9)&gt;COUNT(Dong4),"",IF(LEFT(OFFSET(TH!O$1,SMALL(Dong4,ROWS($1:9)),),3)="341",OFFSET(TH!K$1,SMALL(Dong4,ROWS($1:9)),),0))</f>
        <v/>
      </c>
      <c r="J25" s="391" t="str">
        <f ca="1">IF(ROWS($1:9)&gt;COUNT(Dong4),"",IF(LEFT(OFFSET(TH!O$1,SMALL(Dong4,ROWS($1:9)),),3)="341",OFFSET(TH!M$1,SMALL(Dong4,ROWS($1:9)),),0))</f>
        <v/>
      </c>
      <c r="K25" s="232">
        <f t="shared" ca="1" si="0"/>
        <v>0</v>
      </c>
      <c r="L25" s="8">
        <f t="shared" ca="1" si="1"/>
        <v>0</v>
      </c>
      <c r="M25" s="232">
        <f t="shared" ca="1" si="2"/>
        <v>0</v>
      </c>
      <c r="N25" s="8">
        <f t="shared" ca="1" si="3"/>
        <v>0</v>
      </c>
    </row>
    <row r="26" spans="1:14" s="393" customFormat="1" ht="19.5" customHeight="1">
      <c r="A26" s="394"/>
      <c r="B26" s="394"/>
      <c r="C26" s="394"/>
      <c r="D26" s="395"/>
      <c r="E26" s="396"/>
      <c r="F26" s="397"/>
      <c r="G26" s="398"/>
      <c r="H26" s="398"/>
      <c r="I26" s="398"/>
      <c r="J26" s="399"/>
      <c r="K26" s="232"/>
      <c r="L26" s="8"/>
      <c r="M26" s="232"/>
      <c r="N26" s="8"/>
    </row>
    <row r="27" spans="1:14" s="18" customFormat="1" ht="19.5" customHeight="1">
      <c r="A27" s="241"/>
      <c r="B27" s="241"/>
      <c r="C27" s="241"/>
      <c r="D27" s="400" t="s">
        <v>35</v>
      </c>
      <c r="E27" s="332" t="s">
        <v>21</v>
      </c>
      <c r="F27" s="332" t="s">
        <v>21</v>
      </c>
      <c r="G27" s="401">
        <f ca="1">SUM(G17:G26)</f>
        <v>97000</v>
      </c>
      <c r="H27" s="1097">
        <f ca="1">SUM(H17:H26)</f>
        <v>2168920000</v>
      </c>
      <c r="I27" s="401">
        <f ca="1">SUM(I17:I26)</f>
        <v>0</v>
      </c>
      <c r="J27" s="1097">
        <f ca="1">SUM(J17:J26)</f>
        <v>51895000</v>
      </c>
      <c r="K27" s="402" t="s">
        <v>21</v>
      </c>
      <c r="L27" s="402" t="s">
        <v>21</v>
      </c>
      <c r="M27" s="402" t="s">
        <v>21</v>
      </c>
      <c r="N27" s="402" t="s">
        <v>21</v>
      </c>
    </row>
    <row r="28" spans="1:14" s="18" customFormat="1" ht="19.5" customHeight="1">
      <c r="A28" s="403"/>
      <c r="B28" s="403"/>
      <c r="C28" s="403"/>
      <c r="D28" s="404" t="s">
        <v>10</v>
      </c>
      <c r="E28" s="405" t="s">
        <v>21</v>
      </c>
      <c r="F28" s="405" t="s">
        <v>21</v>
      </c>
      <c r="G28" s="405" t="s">
        <v>21</v>
      </c>
      <c r="H28" s="405" t="s">
        <v>21</v>
      </c>
      <c r="I28" s="405" t="s">
        <v>21</v>
      </c>
      <c r="J28" s="405" t="s">
        <v>21</v>
      </c>
      <c r="K28" s="406">
        <f ca="1">MAX(K16+G27-M16-I27,0)</f>
        <v>0</v>
      </c>
      <c r="L28" s="407">
        <f ca="1">MAX(L16+H27-N16-J27,0)</f>
        <v>0</v>
      </c>
      <c r="M28" s="406">
        <f ca="1">MAX(M16+I27-K16-G27,0)</f>
        <v>0</v>
      </c>
      <c r="N28" s="407">
        <f ca="1">MAX(N16+J27-L16-H27,0)</f>
        <v>0</v>
      </c>
    </row>
    <row r="29" spans="1:14" s="18" customFormat="1">
      <c r="E29" s="356"/>
      <c r="F29" s="356"/>
    </row>
    <row r="30" spans="1:14" s="18" customFormat="1">
      <c r="A30" s="242" t="s">
        <v>248</v>
      </c>
      <c r="E30" s="356"/>
      <c r="F30" s="356"/>
    </row>
    <row r="31" spans="1:14" s="18" customFormat="1">
      <c r="A31" s="242" t="str">
        <f>"- Ngày mở sổ: "&amp; TEXT(VLOOKUP($H$9,'341'!$B$5:$P$52,2,0),"dd/MM/yy")</f>
        <v>- Ngày mở sổ: 20/07/15</v>
      </c>
      <c r="E31" s="356"/>
      <c r="F31" s="356"/>
    </row>
    <row r="32" spans="1:14" s="18" customFormat="1">
      <c r="E32" s="356"/>
      <c r="F32" s="356"/>
      <c r="L32" s="356" t="s">
        <v>249</v>
      </c>
    </row>
    <row r="33" spans="2:12" s="18" customFormat="1">
      <c r="C33" s="356" t="s">
        <v>11</v>
      </c>
      <c r="E33" s="356"/>
      <c r="F33" s="356"/>
      <c r="L33" s="356" t="s">
        <v>12</v>
      </c>
    </row>
    <row r="34" spans="2:12" s="18" customFormat="1">
      <c r="C34" s="356" t="s">
        <v>13</v>
      </c>
      <c r="E34" s="356"/>
      <c r="F34" s="356"/>
      <c r="L34" s="356" t="s">
        <v>13</v>
      </c>
    </row>
    <row r="35" spans="2:12" s="18" customFormat="1">
      <c r="E35" s="356"/>
      <c r="F35" s="356"/>
    </row>
    <row r="36" spans="2:12" s="18" customFormat="1">
      <c r="E36" s="356"/>
      <c r="F36" s="356"/>
    </row>
    <row r="37" spans="2:12" s="243" customFormat="1"/>
    <row r="38" spans="2:12" s="243" customFormat="1"/>
    <row r="39" spans="2:12" s="243" customFormat="1"/>
    <row r="40" spans="2:12" s="243" customFormat="1"/>
    <row r="41" spans="2:12" s="243" customFormat="1" ht="15">
      <c r="B41" s="408"/>
      <c r="C41" s="409" t="s">
        <v>250</v>
      </c>
      <c r="D41" s="408"/>
    </row>
    <row r="42" spans="2:12" s="243" customFormat="1"/>
    <row r="43" spans="2:12" s="243" customFormat="1"/>
    <row r="44" spans="2:12" s="243" customFormat="1"/>
    <row r="45" spans="2:12" s="243" customFormat="1"/>
    <row r="46" spans="2:12" s="243" customFormat="1"/>
    <row r="47" spans="2:12" s="243" customFormat="1"/>
    <row r="48" spans="2:12" s="243" customFormat="1"/>
    <row r="49" s="243" customFormat="1"/>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7.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62" customWidth="1"/>
    <col min="2" max="2" width="7" style="462" customWidth="1"/>
    <col min="3" max="3" width="9.140625" style="462"/>
    <col min="4" max="4" width="25" style="462" customWidth="1"/>
    <col min="5" max="5" width="6.5703125" style="462" customWidth="1"/>
    <col min="6" max="10" width="10" style="462" customWidth="1"/>
    <col min="11" max="11" width="8.7109375" style="462" customWidth="1"/>
    <col min="12" max="12" width="15" style="462" customWidth="1"/>
    <col min="13" max="13" width="10" style="462" customWidth="1"/>
    <col min="14" max="14" width="9.42578125" style="462" customWidth="1"/>
    <col min="15" max="16384" width="9.140625" style="462"/>
  </cols>
  <sheetData>
    <row r="2" spans="1:14">
      <c r="A2" s="461" t="s">
        <v>181</v>
      </c>
      <c r="C2" s="463"/>
      <c r="F2" s="464"/>
      <c r="G2" s="464"/>
      <c r="H2" s="464"/>
      <c r="I2" s="464"/>
      <c r="J2" s="464"/>
      <c r="K2" s="464" t="s">
        <v>304</v>
      </c>
      <c r="L2" s="464"/>
      <c r="M2" s="464"/>
      <c r="N2" s="464"/>
    </row>
    <row r="3" spans="1:14">
      <c r="A3" s="461" t="s">
        <v>183</v>
      </c>
      <c r="C3" s="463"/>
      <c r="F3" s="465"/>
      <c r="G3" s="465"/>
      <c r="H3" s="465"/>
      <c r="I3" s="465"/>
      <c r="J3" s="465"/>
      <c r="K3" s="465" t="s">
        <v>236</v>
      </c>
      <c r="L3" s="465"/>
      <c r="M3" s="465"/>
      <c r="N3" s="465"/>
    </row>
    <row r="4" spans="1:14">
      <c r="F4" s="465"/>
      <c r="G4" s="465"/>
      <c r="H4" s="465"/>
      <c r="I4" s="465"/>
      <c r="J4" s="465"/>
      <c r="K4" s="465" t="s">
        <v>237</v>
      </c>
      <c r="L4" s="465"/>
      <c r="M4" s="465"/>
      <c r="N4" s="465"/>
    </row>
    <row r="5" spans="1:14" s="466" customFormat="1" ht="23.25" customHeight="1">
      <c r="A5" s="1354" t="s">
        <v>305</v>
      </c>
      <c r="B5" s="1354"/>
      <c r="C5" s="1354"/>
      <c r="D5" s="1354"/>
      <c r="E5" s="1354"/>
      <c r="F5" s="1354"/>
      <c r="G5" s="1354"/>
      <c r="H5" s="1354"/>
      <c r="I5" s="1354"/>
      <c r="J5" s="1354"/>
      <c r="K5" s="1354"/>
      <c r="L5" s="1354"/>
      <c r="M5" s="1354"/>
      <c r="N5" s="1354"/>
    </row>
    <row r="6" spans="1:14">
      <c r="A6" s="1355" t="s">
        <v>256</v>
      </c>
      <c r="B6" s="1355" t="s">
        <v>306</v>
      </c>
      <c r="C6" s="1355"/>
      <c r="D6" s="1355"/>
      <c r="E6" s="1355"/>
      <c r="F6" s="1355"/>
      <c r="G6" s="1355"/>
      <c r="H6" s="1355"/>
      <c r="I6" s="1355"/>
      <c r="J6" s="1355"/>
      <c r="K6" s="1355"/>
      <c r="L6" s="1355"/>
      <c r="M6" s="1355"/>
      <c r="N6" s="1355"/>
    </row>
    <row r="7" spans="1:14">
      <c r="C7" s="1356"/>
      <c r="D7" s="1356"/>
      <c r="E7" s="1356"/>
      <c r="F7" s="1356"/>
      <c r="G7" s="1356"/>
      <c r="H7" s="1356"/>
      <c r="I7" s="1356"/>
      <c r="J7" s="1356"/>
      <c r="K7" s="1356"/>
      <c r="L7" s="1356"/>
      <c r="M7" s="1356"/>
      <c r="N7" s="1356"/>
    </row>
    <row r="8" spans="1:14" ht="15.75" customHeight="1">
      <c r="A8" s="1348" t="s">
        <v>22</v>
      </c>
      <c r="B8" s="1357" t="s">
        <v>1</v>
      </c>
      <c r="C8" s="1358"/>
      <c r="D8" s="1348" t="s">
        <v>0</v>
      </c>
      <c r="E8" s="1348" t="s">
        <v>16</v>
      </c>
      <c r="F8" s="1347" t="s">
        <v>23</v>
      </c>
      <c r="G8" s="1347"/>
      <c r="H8" s="1347"/>
      <c r="I8" s="1347"/>
      <c r="J8" s="1347"/>
      <c r="K8" s="1347"/>
      <c r="L8" s="1347" t="s">
        <v>33</v>
      </c>
      <c r="M8" s="1347"/>
      <c r="N8" s="1347"/>
    </row>
    <row r="9" spans="1:14" ht="15.75" customHeight="1">
      <c r="A9" s="1348"/>
      <c r="B9" s="1359"/>
      <c r="C9" s="1360"/>
      <c r="D9" s="1348"/>
      <c r="E9" s="1348"/>
      <c r="F9" s="1347" t="s">
        <v>307</v>
      </c>
      <c r="G9" s="1347"/>
      <c r="H9" s="1347"/>
      <c r="I9" s="1347" t="s">
        <v>308</v>
      </c>
      <c r="J9" s="1347"/>
      <c r="K9" s="1347"/>
      <c r="L9" s="1348" t="s">
        <v>309</v>
      </c>
      <c r="M9" s="1348" t="s">
        <v>310</v>
      </c>
      <c r="N9" s="1348" t="s">
        <v>311</v>
      </c>
    </row>
    <row r="10" spans="1:14" ht="15.75" customHeight="1">
      <c r="A10" s="1348"/>
      <c r="B10" s="1350" t="s">
        <v>17</v>
      </c>
      <c r="C10" s="1350" t="s">
        <v>34</v>
      </c>
      <c r="D10" s="1348"/>
      <c r="E10" s="1348"/>
      <c r="F10" s="1352" t="s">
        <v>309</v>
      </c>
      <c r="G10" s="1352" t="s">
        <v>310</v>
      </c>
      <c r="H10" s="1352" t="s">
        <v>311</v>
      </c>
      <c r="I10" s="1352" t="s">
        <v>309</v>
      </c>
      <c r="J10" s="1352" t="s">
        <v>310</v>
      </c>
      <c r="K10" s="1352" t="s">
        <v>311</v>
      </c>
      <c r="L10" s="1349"/>
      <c r="M10" s="1349"/>
      <c r="N10" s="1349"/>
    </row>
    <row r="11" spans="1:14">
      <c r="A11" s="1348"/>
      <c r="B11" s="1351"/>
      <c r="C11" s="1351"/>
      <c r="D11" s="1348"/>
      <c r="E11" s="1348"/>
      <c r="F11" s="1353"/>
      <c r="G11" s="1353"/>
      <c r="H11" s="1353"/>
      <c r="I11" s="1353"/>
      <c r="J11" s="1353"/>
      <c r="K11" s="1353"/>
      <c r="L11" s="1349"/>
      <c r="M11" s="1349"/>
      <c r="N11" s="1349"/>
    </row>
    <row r="12" spans="1:14" s="465" customFormat="1">
      <c r="A12" s="467" t="s">
        <v>2</v>
      </c>
      <c r="B12" s="468" t="s">
        <v>3</v>
      </c>
      <c r="C12" s="467" t="s">
        <v>4</v>
      </c>
      <c r="D12" s="467" t="s">
        <v>5</v>
      </c>
      <c r="E12" s="467" t="s">
        <v>6</v>
      </c>
      <c r="F12" s="467">
        <v>1</v>
      </c>
      <c r="G12" s="467"/>
      <c r="H12" s="467"/>
      <c r="I12" s="467"/>
      <c r="J12" s="467"/>
      <c r="K12" s="467"/>
      <c r="L12" s="467"/>
      <c r="M12" s="467"/>
      <c r="N12" s="467"/>
    </row>
    <row r="13" spans="1:14">
      <c r="A13" s="469"/>
      <c r="B13" s="469"/>
      <c r="C13" s="469"/>
      <c r="D13" s="470" t="s">
        <v>7</v>
      </c>
      <c r="E13" s="469"/>
      <c r="F13" s="469"/>
      <c r="G13" s="469"/>
      <c r="H13" s="469"/>
      <c r="I13" s="469"/>
      <c r="J13" s="469"/>
      <c r="K13" s="469"/>
      <c r="L13" s="471">
        <f>CDPS!$D$58</f>
        <v>10000000000</v>
      </c>
      <c r="M13" s="469"/>
      <c r="N13" s="469"/>
    </row>
    <row r="14" spans="1:14">
      <c r="A14" s="472"/>
      <c r="B14" s="472"/>
      <c r="C14" s="472"/>
      <c r="D14" s="473" t="s">
        <v>312</v>
      </c>
      <c r="E14" s="472"/>
      <c r="F14" s="472"/>
      <c r="G14" s="472"/>
      <c r="H14" s="472"/>
      <c r="I14" s="472"/>
      <c r="J14" s="472"/>
      <c r="K14" s="472"/>
      <c r="L14" s="472"/>
      <c r="M14" s="472"/>
      <c r="N14" s="472"/>
    </row>
    <row r="15" spans="1:14">
      <c r="A15" s="472"/>
      <c r="B15" s="472"/>
      <c r="C15" s="472"/>
      <c r="D15" s="472"/>
      <c r="E15" s="472"/>
      <c r="F15" s="472"/>
      <c r="G15" s="472"/>
      <c r="H15" s="472"/>
      <c r="I15" s="472"/>
      <c r="J15" s="472"/>
      <c r="K15" s="472"/>
      <c r="L15" s="472"/>
      <c r="M15" s="472"/>
      <c r="N15" s="472"/>
    </row>
    <row r="16" spans="1:14">
      <c r="A16" s="472"/>
      <c r="B16" s="472"/>
      <c r="C16" s="472"/>
      <c r="D16" s="474"/>
      <c r="E16" s="474"/>
      <c r="F16" s="474"/>
      <c r="G16" s="474"/>
      <c r="H16" s="474"/>
      <c r="I16" s="474"/>
      <c r="J16" s="474"/>
      <c r="K16" s="474"/>
      <c r="L16" s="474"/>
      <c r="M16" s="474"/>
      <c r="N16" s="474"/>
    </row>
    <row r="17" spans="1:14">
      <c r="A17" s="472"/>
      <c r="B17" s="472"/>
      <c r="C17" s="472"/>
      <c r="D17" s="475" t="s">
        <v>158</v>
      </c>
      <c r="E17" s="1001" t="s">
        <v>21</v>
      </c>
      <c r="F17" s="476"/>
      <c r="G17" s="476"/>
      <c r="H17" s="476"/>
      <c r="I17" s="476"/>
      <c r="J17" s="476"/>
      <c r="K17" s="476"/>
      <c r="L17" s="476"/>
      <c r="M17" s="476"/>
      <c r="N17" s="476"/>
    </row>
    <row r="18" spans="1:14">
      <c r="A18" s="477"/>
      <c r="B18" s="477"/>
      <c r="C18" s="477"/>
      <c r="D18" s="478" t="s">
        <v>10</v>
      </c>
      <c r="E18" s="1002" t="s">
        <v>21</v>
      </c>
      <c r="F18" s="477"/>
      <c r="G18" s="477"/>
      <c r="H18" s="477"/>
      <c r="I18" s="477"/>
      <c r="J18" s="477"/>
      <c r="K18" s="477"/>
      <c r="L18" s="479">
        <f>L13+L17</f>
        <v>10000000000</v>
      </c>
      <c r="M18" s="477"/>
      <c r="N18" s="477"/>
    </row>
    <row r="20" spans="1:14">
      <c r="C20" s="480" t="s">
        <v>313</v>
      </c>
    </row>
    <row r="21" spans="1:14">
      <c r="C21" s="480" t="s">
        <v>314</v>
      </c>
    </row>
    <row r="22" spans="1:14">
      <c r="B22" s="481"/>
      <c r="C22" s="481"/>
      <c r="D22" s="481"/>
      <c r="E22" s="1346" t="s">
        <v>315</v>
      </c>
      <c r="F22" s="1346"/>
      <c r="G22" s="1346"/>
      <c r="H22" s="1346"/>
      <c r="I22" s="1346"/>
      <c r="J22" s="1346"/>
      <c r="K22" s="1346"/>
      <c r="L22" s="1346"/>
      <c r="M22" s="1346"/>
      <c r="N22" s="1346"/>
    </row>
    <row r="23" spans="1:14">
      <c r="A23" s="1346" t="s">
        <v>11</v>
      </c>
      <c r="B23" s="1346"/>
      <c r="C23" s="1346"/>
      <c r="D23" s="1346"/>
      <c r="E23" s="1346" t="s">
        <v>12</v>
      </c>
      <c r="F23" s="1346"/>
      <c r="G23" s="1346"/>
      <c r="H23" s="1346"/>
      <c r="I23" s="1346"/>
      <c r="J23" s="1346"/>
      <c r="K23" s="1346"/>
      <c r="L23" s="1346"/>
      <c r="M23" s="1346"/>
      <c r="N23" s="1346"/>
    </row>
    <row r="24" spans="1:14">
      <c r="A24" s="1346" t="s">
        <v>13</v>
      </c>
      <c r="B24" s="1346"/>
      <c r="C24" s="1346"/>
      <c r="D24" s="1346"/>
      <c r="E24" s="1346" t="s">
        <v>13</v>
      </c>
      <c r="F24" s="1346"/>
      <c r="G24" s="1346"/>
      <c r="H24" s="1346"/>
      <c r="I24" s="1346"/>
      <c r="J24" s="1346"/>
      <c r="K24" s="1346"/>
      <c r="L24" s="1346"/>
      <c r="M24" s="1346"/>
      <c r="N24" s="1346"/>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indexed="28"/>
  </sheetPr>
  <dimension ref="A1:T115"/>
  <sheetViews>
    <sheetView topLeftCell="A6" workbookViewId="0">
      <pane xSplit="3" ySplit="6" topLeftCell="D72" activePane="bottomRight" state="frozen"/>
      <selection activeCell="C33" sqref="C33"/>
      <selection pane="topRight" activeCell="C33" sqref="C33"/>
      <selection pane="bottomLeft" activeCell="C33" sqref="C33"/>
      <selection pane="bottomRight" activeCell="G76" sqref="G76"/>
    </sheetView>
  </sheetViews>
  <sheetFormatPr defaultRowHeight="12.75"/>
  <cols>
    <col min="1" max="1" width="3.7109375" style="495" customWidth="1"/>
    <col min="2" max="2" width="3.42578125" style="495" customWidth="1"/>
    <col min="3" max="3" width="28.28515625" style="495" customWidth="1"/>
    <col min="4" max="4" width="7.7109375" style="500" customWidth="1"/>
    <col min="5" max="5" width="9.42578125" style="535" customWidth="1"/>
    <col min="6" max="6" width="12.5703125" style="535" customWidth="1"/>
    <col min="7" max="7" width="11.85546875" style="504" customWidth="1"/>
    <col min="8" max="8" width="15.42578125" style="504" customWidth="1"/>
    <col min="9" max="9" width="11.7109375" style="504" customWidth="1"/>
    <col min="10" max="10" width="13.85546875" style="504" customWidth="1"/>
    <col min="11" max="11" width="12" style="504" customWidth="1"/>
    <col min="12" max="12" width="12.85546875" style="504" customWidth="1"/>
    <col min="13" max="13" width="3.28515625" style="496" customWidth="1"/>
    <col min="14" max="14" width="24.140625" style="495" customWidth="1"/>
    <col min="15" max="15" width="10.5703125" style="495" customWidth="1"/>
    <col min="16" max="16" width="10.42578125" style="495" customWidth="1"/>
    <col min="17" max="17" width="22.28515625" style="495" customWidth="1"/>
    <col min="18" max="18" width="12" style="495" customWidth="1"/>
    <col min="19" max="19" width="4.85546875" style="495" customWidth="1"/>
    <col min="20" max="16384" width="9.140625" style="495"/>
  </cols>
  <sheetData>
    <row r="1" spans="1:19" s="450" customFormat="1" ht="14.25" customHeight="1">
      <c r="B1" s="482" t="s">
        <v>316</v>
      </c>
      <c r="C1" s="483"/>
      <c r="D1" s="483"/>
      <c r="E1" s="483"/>
      <c r="F1" s="484"/>
      <c r="G1" s="484"/>
      <c r="H1" s="1326" t="s">
        <v>317</v>
      </c>
      <c r="I1" s="1326"/>
      <c r="J1" s="1326"/>
      <c r="K1" s="1326"/>
      <c r="L1" s="1326"/>
      <c r="M1" s="485"/>
      <c r="N1" s="239"/>
      <c r="O1" s="448"/>
    </row>
    <row r="2" spans="1:19" s="450" customFormat="1" ht="14.25" customHeight="1">
      <c r="B2" s="486" t="s">
        <v>318</v>
      </c>
      <c r="C2" s="487"/>
      <c r="D2" s="487"/>
      <c r="E2" s="487"/>
      <c r="F2" s="487"/>
      <c r="G2" s="487"/>
      <c r="H2" s="1327" t="s">
        <v>319</v>
      </c>
      <c r="I2" s="1327"/>
      <c r="J2" s="1327"/>
      <c r="K2" s="1327"/>
      <c r="L2" s="1327"/>
      <c r="M2" s="488"/>
      <c r="N2" s="240"/>
      <c r="O2" s="449"/>
    </row>
    <row r="3" spans="1:19" s="450" customFormat="1" ht="14.25" customHeight="1">
      <c r="B3" s="487"/>
      <c r="C3" s="487"/>
      <c r="D3" s="487"/>
      <c r="E3" s="487"/>
      <c r="F3" s="487"/>
      <c r="G3" s="487"/>
      <c r="H3" s="1362" t="s">
        <v>320</v>
      </c>
      <c r="I3" s="1362"/>
      <c r="J3" s="1362"/>
      <c r="K3" s="1362"/>
      <c r="L3" s="1362"/>
      <c r="M3" s="489"/>
      <c r="N3" s="490"/>
      <c r="O3" s="449"/>
    </row>
    <row r="4" spans="1:19" s="491" customFormat="1" ht="27.75" customHeight="1">
      <c r="B4" s="1363" t="s">
        <v>321</v>
      </c>
      <c r="C4" s="1363"/>
      <c r="D4" s="1363"/>
      <c r="E4" s="1363"/>
      <c r="F4" s="1363"/>
      <c r="G4" s="1363"/>
      <c r="H4" s="1363"/>
      <c r="I4" s="1363"/>
      <c r="J4" s="1363"/>
      <c r="K4" s="1363"/>
      <c r="L4" s="1363"/>
      <c r="M4" s="492"/>
    </row>
    <row r="5" spans="1:19" s="491" customFormat="1" ht="15" customHeight="1">
      <c r="B5" s="1361" t="s">
        <v>322</v>
      </c>
      <c r="C5" s="1361"/>
      <c r="D5" s="1361"/>
      <c r="E5" s="1361"/>
      <c r="F5" s="1361"/>
      <c r="G5" s="1361"/>
      <c r="H5" s="1361"/>
      <c r="I5" s="1361"/>
      <c r="J5" s="1361"/>
      <c r="K5" s="1361"/>
      <c r="L5" s="1361"/>
      <c r="M5" s="492"/>
    </row>
    <row r="6" spans="1:19" s="491" customFormat="1" ht="12.75" hidden="1" customHeight="1">
      <c r="B6" s="1361" t="s">
        <v>323</v>
      </c>
      <c r="C6" s="1361"/>
      <c r="D6" s="1361"/>
      <c r="E6" s="1361"/>
      <c r="F6" s="1361"/>
      <c r="G6" s="1361"/>
      <c r="H6" s="1361"/>
      <c r="I6" s="1361"/>
      <c r="J6" s="1361"/>
      <c r="K6" s="1361"/>
      <c r="L6" s="1361"/>
      <c r="M6" s="492"/>
    </row>
    <row r="7" spans="1:19" s="493" customFormat="1" ht="24" hidden="1" customHeight="1">
      <c r="C7" s="1373" t="s">
        <v>324</v>
      </c>
      <c r="D7" s="1373"/>
      <c r="E7" s="1373"/>
      <c r="F7" s="1373"/>
      <c r="G7" s="1373"/>
      <c r="H7" s="1373"/>
      <c r="I7" s="1373"/>
      <c r="J7" s="1373"/>
      <c r="K7" s="1373"/>
      <c r="L7" s="1373"/>
      <c r="M7" s="494"/>
    </row>
    <row r="8" spans="1:19" ht="20.25" customHeight="1">
      <c r="B8" s="1364" t="s">
        <v>37</v>
      </c>
      <c r="C8" s="1365" t="s">
        <v>325</v>
      </c>
      <c r="D8" s="1366" t="s">
        <v>326</v>
      </c>
      <c r="E8" s="1368" t="s">
        <v>167</v>
      </c>
      <c r="F8" s="1368"/>
      <c r="G8" s="1368"/>
      <c r="H8" s="1368"/>
      <c r="I8" s="1368"/>
      <c r="J8" s="1368"/>
      <c r="K8" s="1368"/>
      <c r="L8" s="1368"/>
      <c r="N8" s="1369" t="s">
        <v>327</v>
      </c>
      <c r="O8" s="1369" t="s">
        <v>328</v>
      </c>
      <c r="P8" s="1369" t="s">
        <v>329</v>
      </c>
      <c r="Q8" s="1369" t="s">
        <v>330</v>
      </c>
      <c r="R8" s="1369" t="s">
        <v>331</v>
      </c>
      <c r="S8" s="1369" t="s">
        <v>332</v>
      </c>
    </row>
    <row r="9" spans="1:19" ht="20.25" customHeight="1">
      <c r="B9" s="1364"/>
      <c r="C9" s="1365"/>
      <c r="D9" s="1367"/>
      <c r="E9" s="1368" t="s">
        <v>333</v>
      </c>
      <c r="F9" s="1368"/>
      <c r="G9" s="1372" t="s">
        <v>334</v>
      </c>
      <c r="H9" s="1372"/>
      <c r="I9" s="1372" t="s">
        <v>335</v>
      </c>
      <c r="J9" s="1372"/>
      <c r="K9" s="1372" t="s">
        <v>336</v>
      </c>
      <c r="L9" s="1372"/>
      <c r="N9" s="1370"/>
      <c r="O9" s="1370"/>
      <c r="P9" s="1370"/>
      <c r="Q9" s="1370"/>
      <c r="R9" s="1370"/>
      <c r="S9" s="1370"/>
    </row>
    <row r="10" spans="1:19" ht="20.25" hidden="1" customHeight="1">
      <c r="B10" s="1364"/>
      <c r="C10" s="1365"/>
      <c r="D10" s="497"/>
      <c r="E10" s="498" t="s">
        <v>337</v>
      </c>
      <c r="F10" s="498" t="s">
        <v>338</v>
      </c>
      <c r="G10" s="498" t="s">
        <v>337</v>
      </c>
      <c r="H10" s="498" t="s">
        <v>338</v>
      </c>
      <c r="I10" s="498" t="s">
        <v>337</v>
      </c>
      <c r="J10" s="498" t="s">
        <v>338</v>
      </c>
      <c r="K10" s="498" t="s">
        <v>337</v>
      </c>
      <c r="L10" s="498" t="s">
        <v>338</v>
      </c>
      <c r="N10" s="1371"/>
      <c r="O10" s="1371"/>
      <c r="P10" s="1371"/>
      <c r="Q10" s="1371"/>
      <c r="R10" s="499"/>
      <c r="S10" s="1371"/>
    </row>
    <row r="11" spans="1:19" s="500" customFormat="1">
      <c r="B11" s="501" t="s">
        <v>2</v>
      </c>
      <c r="C11" s="497" t="s">
        <v>3</v>
      </c>
      <c r="D11" s="497"/>
      <c r="E11" s="498">
        <v>1</v>
      </c>
      <c r="F11" s="498">
        <v>1</v>
      </c>
      <c r="G11" s="498">
        <v>2</v>
      </c>
      <c r="H11" s="498">
        <v>2</v>
      </c>
      <c r="I11" s="498">
        <v>3</v>
      </c>
      <c r="J11" s="498">
        <v>3</v>
      </c>
      <c r="K11" s="498">
        <v>4</v>
      </c>
      <c r="L11" s="498">
        <v>4</v>
      </c>
      <c r="M11" s="502"/>
      <c r="N11" s="503"/>
      <c r="O11" s="503"/>
      <c r="P11" s="503"/>
      <c r="Q11" s="503"/>
      <c r="R11" s="503"/>
      <c r="S11" s="503"/>
    </row>
    <row r="12" spans="1:19" ht="18" customHeight="1">
      <c r="A12" s="504" t="str">
        <f>IF(B12&lt;&gt;"","VL","")</f>
        <v>VL</v>
      </c>
      <c r="B12" s="505">
        <f>IF(C12&lt;&gt;"",ROW()-11,"")</f>
        <v>1</v>
      </c>
      <c r="C12" s="506" t="s">
        <v>339</v>
      </c>
      <c r="D12" s="507" t="s">
        <v>340</v>
      </c>
      <c r="E12" s="25">
        <v>450</v>
      </c>
      <c r="F12" s="25">
        <v>15950000</v>
      </c>
      <c r="G12" s="25">
        <f t="array" ref="G12">SUM(IF("1522"&amp;C12=KHN&amp;MH,SL))</f>
        <v>0</v>
      </c>
      <c r="H12" s="25">
        <f t="array" ref="H12">SUM(IF("1522"&amp;C12=KHN&amp;MH,TH))</f>
        <v>0</v>
      </c>
      <c r="I12" s="25">
        <f t="array" ref="I12">SUM(IF("1522"&amp;C12=KHC&amp;MH,SL))</f>
        <v>280</v>
      </c>
      <c r="J12" s="25">
        <f t="array" ref="J12">SUM(IF("1522"&amp;C12=KHC&amp;MH,TH))</f>
        <v>9924443</v>
      </c>
      <c r="K12" s="25">
        <f t="shared" ref="K12:L29" si="0">E12+G12-I12</f>
        <v>170</v>
      </c>
      <c r="L12" s="25">
        <f t="shared" si="0"/>
        <v>6025557</v>
      </c>
      <c r="M12" s="508"/>
      <c r="N12" s="509" t="s">
        <v>341</v>
      </c>
      <c r="O12" s="506" t="s">
        <v>342</v>
      </c>
      <c r="P12" s="510">
        <v>330593933</v>
      </c>
      <c r="Q12" s="510" t="s">
        <v>343</v>
      </c>
      <c r="R12" s="510"/>
      <c r="S12" s="510" t="s">
        <v>338</v>
      </c>
    </row>
    <row r="13" spans="1:19" ht="18" customHeight="1">
      <c r="A13" s="504" t="str">
        <f t="shared" ref="A13:A54" si="1">IF(B13&lt;&gt;"","VL","")</f>
        <v>VL</v>
      </c>
      <c r="B13" s="505">
        <f t="shared" ref="B13:B53" si="2">IF(C13&lt;&gt;"",ROW()-11,"")</f>
        <v>2</v>
      </c>
      <c r="C13" s="511" t="s">
        <v>345</v>
      </c>
      <c r="D13" s="512" t="s">
        <v>340</v>
      </c>
      <c r="E13" s="8">
        <v>525</v>
      </c>
      <c r="F13" s="8">
        <v>24539130</v>
      </c>
      <c r="G13" s="25">
        <f t="array" ref="G13">SUM(IF("1522"&amp;C13=KHN&amp;MH,SL))</f>
        <v>1000</v>
      </c>
      <c r="H13" s="25">
        <f t="array" ref="H13">SUM(IF("1522"&amp;C13=KHN&amp;MH,TH))</f>
        <v>48983000</v>
      </c>
      <c r="I13" s="25">
        <f t="array" ref="I13">SUM(IF("1522"&amp;C13=KHC&amp;MH,SL))</f>
        <v>305</v>
      </c>
      <c r="J13" s="25">
        <f t="array" ref="J13">SUM(IF("1522"&amp;C13=KHC&amp;MH,TH))</f>
        <v>14256066</v>
      </c>
      <c r="K13" s="8">
        <f t="shared" si="0"/>
        <v>1220</v>
      </c>
      <c r="L13" s="8">
        <f t="shared" si="0"/>
        <v>59266064</v>
      </c>
      <c r="M13" s="508"/>
      <c r="N13" s="511" t="s">
        <v>346</v>
      </c>
      <c r="O13" s="510" t="s">
        <v>342</v>
      </c>
      <c r="P13" s="510">
        <v>320775664</v>
      </c>
      <c r="Q13" s="510" t="s">
        <v>347</v>
      </c>
      <c r="R13" s="510"/>
      <c r="S13" s="510" t="s">
        <v>338</v>
      </c>
    </row>
    <row r="14" spans="1:19" ht="18" customHeight="1">
      <c r="A14" s="504" t="str">
        <f t="shared" si="1"/>
        <v>VL</v>
      </c>
      <c r="B14" s="505">
        <f t="shared" si="2"/>
        <v>3</v>
      </c>
      <c r="C14" s="511" t="s">
        <v>348</v>
      </c>
      <c r="D14" s="512" t="s">
        <v>340</v>
      </c>
      <c r="E14" s="8">
        <v>300</v>
      </c>
      <c r="F14" s="8">
        <v>3500002</v>
      </c>
      <c r="G14" s="25">
        <f t="array" ref="G14">SUM(IF("1522"&amp;C14=KHN&amp;MH,SL))</f>
        <v>4000</v>
      </c>
      <c r="H14" s="25">
        <f t="array" ref="H14">SUM(IF("1522"&amp;C14=KHN&amp;MH,TH))</f>
        <v>56285715</v>
      </c>
      <c r="I14" s="25">
        <f t="array" ref="I14">SUM(IF("1522"&amp;C14=KHC&amp;MH,SL))</f>
        <v>1950</v>
      </c>
      <c r="J14" s="25">
        <f t="array" ref="J14">SUM(IF("1522"&amp;C14=KHC&amp;MH,TH))</f>
        <v>26511908</v>
      </c>
      <c r="K14" s="8">
        <f t="shared" si="0"/>
        <v>2350</v>
      </c>
      <c r="L14" s="8">
        <f t="shared" si="0"/>
        <v>33273809</v>
      </c>
      <c r="M14" s="508"/>
      <c r="N14" s="511" t="s">
        <v>349</v>
      </c>
      <c r="O14" s="513" t="s">
        <v>342</v>
      </c>
      <c r="P14" s="510">
        <v>320892558</v>
      </c>
      <c r="Q14" s="510" t="s">
        <v>350</v>
      </c>
      <c r="R14" s="510"/>
      <c r="S14" s="510" t="s">
        <v>338</v>
      </c>
    </row>
    <row r="15" spans="1:19" ht="18" customHeight="1">
      <c r="A15" s="504" t="str">
        <f t="shared" si="1"/>
        <v>VL</v>
      </c>
      <c r="B15" s="505">
        <f t="shared" si="2"/>
        <v>4</v>
      </c>
      <c r="C15" s="511" t="s">
        <v>224</v>
      </c>
      <c r="D15" s="512" t="s">
        <v>340</v>
      </c>
      <c r="E15" s="8">
        <v>495</v>
      </c>
      <c r="F15" s="8">
        <v>10879997</v>
      </c>
      <c r="G15" s="25">
        <f t="array" ref="G15">SUM(IF("1522"&amp;C15=KHN&amp;MH,SL))</f>
        <v>450</v>
      </c>
      <c r="H15" s="25">
        <f t="array" ref="H15">SUM(IF("1522"&amp;C15=KHN&amp;MH,TH))</f>
        <v>8286363</v>
      </c>
      <c r="I15" s="25">
        <f t="array" ref="I15">SUM(IF("1522"&amp;C15=KHC&amp;MH,SL))</f>
        <v>945</v>
      </c>
      <c r="J15" s="25">
        <f t="array" ref="J15">SUM(IF("1522"&amp;C15=KHC&amp;MH,TH))</f>
        <v>19166360</v>
      </c>
      <c r="K15" s="8">
        <f t="shared" si="0"/>
        <v>0</v>
      </c>
      <c r="L15" s="8">
        <f t="shared" si="0"/>
        <v>0</v>
      </c>
      <c r="M15" s="508"/>
      <c r="N15" s="511" t="s">
        <v>351</v>
      </c>
      <c r="O15" s="513" t="s">
        <v>342</v>
      </c>
      <c r="P15" s="510">
        <v>320892578</v>
      </c>
      <c r="Q15" s="510" t="s">
        <v>352</v>
      </c>
      <c r="R15" s="510"/>
      <c r="S15" s="510" t="s">
        <v>338</v>
      </c>
    </row>
    <row r="16" spans="1:19" ht="18" customHeight="1">
      <c r="A16" s="504" t="str">
        <f t="shared" si="1"/>
        <v>VL</v>
      </c>
      <c r="B16" s="505">
        <f t="shared" si="2"/>
        <v>5</v>
      </c>
      <c r="C16" s="511" t="s">
        <v>353</v>
      </c>
      <c r="D16" s="512" t="s">
        <v>340</v>
      </c>
      <c r="E16" s="8">
        <v>50</v>
      </c>
      <c r="F16" s="8">
        <v>175000</v>
      </c>
      <c r="G16" s="25">
        <f t="array" ref="G16">SUM(IF("1522"&amp;C16=KHN&amp;MH,SL))</f>
        <v>7000</v>
      </c>
      <c r="H16" s="25">
        <f t="array" ref="H16">SUM(IF("1522"&amp;C16=KHN&amp;MH,TH))</f>
        <v>22400000</v>
      </c>
      <c r="I16" s="25">
        <f t="array" ref="I16">SUM(IF("1522"&amp;C16=KHC&amp;MH,SL))</f>
        <v>5050</v>
      </c>
      <c r="J16" s="25">
        <f t="array" ref="J16">SUM(IF("1522"&amp;C16=KHC&amp;MH,TH))</f>
        <v>16175000</v>
      </c>
      <c r="K16" s="8">
        <f t="shared" si="0"/>
        <v>2000</v>
      </c>
      <c r="L16" s="8">
        <f t="shared" si="0"/>
        <v>6400000</v>
      </c>
      <c r="M16" s="508"/>
      <c r="N16" s="511" t="s">
        <v>354</v>
      </c>
      <c r="O16" s="513" t="s">
        <v>342</v>
      </c>
      <c r="P16" s="510">
        <v>321179471</v>
      </c>
      <c r="Q16" s="510" t="s">
        <v>355</v>
      </c>
      <c r="R16" s="510"/>
      <c r="S16" s="510" t="s">
        <v>338</v>
      </c>
    </row>
    <row r="17" spans="1:20" ht="18" customHeight="1">
      <c r="A17" s="504" t="str">
        <f t="shared" si="1"/>
        <v>VL</v>
      </c>
      <c r="B17" s="505">
        <f t="shared" si="2"/>
        <v>6</v>
      </c>
      <c r="C17" s="514" t="s">
        <v>356</v>
      </c>
      <c r="D17" s="515" t="s">
        <v>340</v>
      </c>
      <c r="E17" s="441">
        <v>5400</v>
      </c>
      <c r="F17" s="441">
        <v>80459999</v>
      </c>
      <c r="G17" s="25">
        <f t="array" ref="G17">SUM(IF("1522"&amp;C17=KHN&amp;MH,SL))</f>
        <v>12150</v>
      </c>
      <c r="H17" s="25">
        <f t="array" ref="H17">SUM(IF("1522"&amp;C17=KHN&amp;MH,TH))</f>
        <v>177174000</v>
      </c>
      <c r="I17" s="25">
        <f t="array" ref="I17">SUM(IF("1522"&amp;C17=KHC&amp;MH,SL))</f>
        <v>14040</v>
      </c>
      <c r="J17" s="25">
        <f t="array" ref="J17">SUM(IF("1522"&amp;C17=KHC&amp;MH,TH))</f>
        <v>208638719</v>
      </c>
      <c r="K17" s="8">
        <f t="shared" si="0"/>
        <v>3510</v>
      </c>
      <c r="L17" s="8">
        <f t="shared" si="0"/>
        <v>48995280</v>
      </c>
      <c r="M17" s="508"/>
      <c r="N17" s="511" t="s">
        <v>357</v>
      </c>
      <c r="O17" s="513" t="s">
        <v>342</v>
      </c>
      <c r="P17" s="510">
        <v>324478047</v>
      </c>
      <c r="Q17" s="510" t="s">
        <v>358</v>
      </c>
      <c r="R17" s="510"/>
      <c r="S17" s="510" t="s">
        <v>338</v>
      </c>
    </row>
    <row r="18" spans="1:20" ht="18" customHeight="1">
      <c r="A18" s="504" t="str">
        <f t="shared" si="1"/>
        <v>VL</v>
      </c>
      <c r="B18" s="505">
        <f t="shared" si="2"/>
        <v>7</v>
      </c>
      <c r="C18" s="514" t="s">
        <v>1409</v>
      </c>
      <c r="D18" s="516" t="s">
        <v>340</v>
      </c>
      <c r="E18" s="441"/>
      <c r="F18" s="441"/>
      <c r="G18" s="25">
        <f t="array" ref="G18">SUM(IF("1522"&amp;C18=KHN&amp;MH,SL))</f>
        <v>600</v>
      </c>
      <c r="H18" s="25">
        <f t="array" ref="H18">SUM(IF("1522"&amp;C18=KHN&amp;MH,TH))</f>
        <v>7636800</v>
      </c>
      <c r="I18" s="25">
        <f t="array" ref="I18">SUM(IF("1522"&amp;C18=KHC&amp;MH,SL))</f>
        <v>450</v>
      </c>
      <c r="J18" s="25">
        <f t="array" ref="J18">SUM(IF("1522"&amp;C18=KHC&amp;MH,TH))</f>
        <v>5727600</v>
      </c>
      <c r="K18" s="8">
        <f t="shared" si="0"/>
        <v>150</v>
      </c>
      <c r="L18" s="8">
        <f t="shared" si="0"/>
        <v>1909200</v>
      </c>
      <c r="M18" s="508"/>
      <c r="N18" s="511" t="s">
        <v>361</v>
      </c>
      <c r="O18" s="513" t="s">
        <v>342</v>
      </c>
      <c r="P18" s="510">
        <v>321413712</v>
      </c>
      <c r="Q18" s="510" t="s">
        <v>362</v>
      </c>
      <c r="R18" s="510"/>
      <c r="S18" s="510" t="s">
        <v>338</v>
      </c>
    </row>
    <row r="19" spans="1:20" ht="18" customHeight="1">
      <c r="A19" s="504" t="str">
        <f t="shared" si="1"/>
        <v>VL</v>
      </c>
      <c r="B19" s="505">
        <f t="shared" si="2"/>
        <v>8</v>
      </c>
      <c r="C19" s="514" t="s">
        <v>359</v>
      </c>
      <c r="D19" s="516" t="s">
        <v>360</v>
      </c>
      <c r="E19" s="441">
        <v>950</v>
      </c>
      <c r="F19" s="441">
        <v>8075000</v>
      </c>
      <c r="G19" s="25">
        <f t="array" ref="G19">SUM(IF("1522"&amp;C19=KHN&amp;MH,SL))</f>
        <v>1200</v>
      </c>
      <c r="H19" s="25">
        <f t="array" ref="H19">SUM(IF("1522"&amp;C19=KHN&amp;MH,TH))</f>
        <v>9900000</v>
      </c>
      <c r="I19" s="25">
        <f t="array" ref="I19">SUM(IF("1522"&amp;C19=KHC&amp;MH,SL))</f>
        <v>1900</v>
      </c>
      <c r="J19" s="25">
        <f t="array" ref="J19">SUM(IF("1522"&amp;C19=KHC&amp;MH,TH))</f>
        <v>15975000</v>
      </c>
      <c r="K19" s="441">
        <f t="shared" si="0"/>
        <v>250</v>
      </c>
      <c r="L19" s="441">
        <f t="shared" si="0"/>
        <v>2000000</v>
      </c>
      <c r="M19" s="508"/>
      <c r="N19" s="511" t="s">
        <v>364</v>
      </c>
      <c r="O19" s="506" t="s">
        <v>342</v>
      </c>
      <c r="P19" s="510">
        <v>320744085</v>
      </c>
      <c r="Q19" s="510" t="s">
        <v>347</v>
      </c>
      <c r="R19" s="510"/>
      <c r="S19" s="510" t="s">
        <v>338</v>
      </c>
    </row>
    <row r="20" spans="1:20" ht="18" customHeight="1">
      <c r="A20" s="504" t="str">
        <f t="shared" si="1"/>
        <v>VL</v>
      </c>
      <c r="B20" s="505">
        <f t="shared" si="2"/>
        <v>9</v>
      </c>
      <c r="C20" s="514" t="s">
        <v>363</v>
      </c>
      <c r="D20" s="516" t="s">
        <v>340</v>
      </c>
      <c r="E20" s="441">
        <v>1647</v>
      </c>
      <c r="F20" s="441">
        <v>531969</v>
      </c>
      <c r="G20" s="25">
        <f t="array" ref="G20">SUM(IF("1522"&amp;C20=KHN&amp;MH,SL))</f>
        <v>1000</v>
      </c>
      <c r="H20" s="25">
        <f t="array" ref="H20">SUM(IF("1522"&amp;C20=KHN&amp;MH,TH))</f>
        <v>33000000</v>
      </c>
      <c r="I20" s="25">
        <f t="array" ref="I20">SUM(IF("1522"&amp;C20=KHC&amp;MH,SL))</f>
        <v>2647</v>
      </c>
      <c r="J20" s="25">
        <f t="array" ref="J20">SUM(IF("1522"&amp;C20=KHC&amp;MH,TH))</f>
        <v>33531969</v>
      </c>
      <c r="K20" s="441">
        <f t="shared" ref="K20:L25" si="3">E20+G20-I20</f>
        <v>0</v>
      </c>
      <c r="L20" s="441">
        <f t="shared" si="3"/>
        <v>0</v>
      </c>
      <c r="M20" s="508"/>
      <c r="N20" s="511" t="s">
        <v>367</v>
      </c>
      <c r="O20" s="506" t="s">
        <v>342</v>
      </c>
      <c r="P20" s="510">
        <v>320807672</v>
      </c>
      <c r="Q20" s="510" t="s">
        <v>368</v>
      </c>
      <c r="R20" s="510"/>
      <c r="S20" s="510" t="s">
        <v>338</v>
      </c>
    </row>
    <row r="21" spans="1:20" ht="18" customHeight="1">
      <c r="A21" s="504" t="str">
        <f>IF(B21&lt;&gt;"","VL","")</f>
        <v>VL</v>
      </c>
      <c r="B21" s="505">
        <f>IF(C21&lt;&gt;"",ROW()-11,"")</f>
        <v>10</v>
      </c>
      <c r="C21" s="67" t="s">
        <v>1846</v>
      </c>
      <c r="D21" s="516" t="s">
        <v>340</v>
      </c>
      <c r="E21" s="441"/>
      <c r="F21" s="441"/>
      <c r="G21" s="25">
        <f t="array" ref="G21">SUM(IF("1522"&amp;C21=KHN&amp;MH,SL))</f>
        <v>47000</v>
      </c>
      <c r="H21" s="25">
        <f t="array" ref="H21">SUM(IF("1522"&amp;C21=KHN&amp;MH,TH))</f>
        <v>54050000</v>
      </c>
      <c r="I21" s="25">
        <f t="array" ref="I21">SUM(IF("1522"&amp;C21=KHC&amp;MH,SL))</f>
        <v>0</v>
      </c>
      <c r="J21" s="25">
        <f t="array" ref="J21">SUM(IF("1522"&amp;C21=KHC&amp;MH,TH))</f>
        <v>0</v>
      </c>
      <c r="K21" s="441">
        <f t="shared" si="3"/>
        <v>47000</v>
      </c>
      <c r="L21" s="441">
        <f t="shared" si="3"/>
        <v>54050000</v>
      </c>
      <c r="M21" s="508"/>
      <c r="N21" s="511" t="s">
        <v>370</v>
      </c>
      <c r="O21" s="506" t="s">
        <v>342</v>
      </c>
      <c r="P21" s="510">
        <v>320044169</v>
      </c>
      <c r="Q21" s="510" t="s">
        <v>371</v>
      </c>
      <c r="R21" s="510"/>
      <c r="S21" s="510" t="s">
        <v>338</v>
      </c>
    </row>
    <row r="22" spans="1:20" ht="18" customHeight="1">
      <c r="A22" s="504" t="str">
        <f>IF(B22&lt;&gt;"","VL","")</f>
        <v>VL</v>
      </c>
      <c r="B22" s="505">
        <f>IF(C22&lt;&gt;"",ROW()-11,"")</f>
        <v>11</v>
      </c>
      <c r="C22" s="67" t="s">
        <v>1847</v>
      </c>
      <c r="D22" s="516" t="s">
        <v>340</v>
      </c>
      <c r="E22" s="441"/>
      <c r="F22" s="441"/>
      <c r="G22" s="25">
        <f t="array" ref="G22">SUM(IF("1522"&amp;C22=KHN&amp;MH,SL))</f>
        <v>200</v>
      </c>
      <c r="H22" s="25">
        <f t="array" ref="H22">SUM(IF("1522"&amp;C22=KHN&amp;MH,TH))</f>
        <v>7400000</v>
      </c>
      <c r="I22" s="25">
        <f t="array" ref="I22">SUM(IF("1522"&amp;C22=KHC&amp;MH,SL))</f>
        <v>0</v>
      </c>
      <c r="J22" s="25">
        <f t="array" ref="J22">SUM(IF("1522"&amp;C22=KHC&amp;MH,TH))</f>
        <v>0</v>
      </c>
      <c r="K22" s="441">
        <f>E22+G22-I22</f>
        <v>200</v>
      </c>
      <c r="L22" s="441">
        <f>F22+H22-J22</f>
        <v>7400000</v>
      </c>
      <c r="M22" s="508"/>
      <c r="N22" s="517" t="s">
        <v>373</v>
      </c>
      <c r="O22" s="506" t="s">
        <v>342</v>
      </c>
      <c r="P22" s="510">
        <v>320881573</v>
      </c>
      <c r="Q22" s="510" t="s">
        <v>368</v>
      </c>
      <c r="R22" s="510"/>
      <c r="S22" s="510" t="s">
        <v>338</v>
      </c>
    </row>
    <row r="23" spans="1:20" ht="18" customHeight="1">
      <c r="A23" s="504" t="str">
        <f t="shared" si="1"/>
        <v>VL</v>
      </c>
      <c r="B23" s="505">
        <f t="shared" si="2"/>
        <v>12</v>
      </c>
      <c r="C23" s="67" t="s">
        <v>1848</v>
      </c>
      <c r="D23" s="516" t="s">
        <v>340</v>
      </c>
      <c r="E23" s="441"/>
      <c r="F23" s="441"/>
      <c r="G23" s="25">
        <f t="array" ref="G23">SUM(IF("1522"&amp;C23=KHN&amp;MH,SL))</f>
        <v>111</v>
      </c>
      <c r="H23" s="25">
        <f t="array" ref="H23">SUM(IF("1522"&amp;C23=KHN&amp;MH,TH))</f>
        <v>4107000</v>
      </c>
      <c r="I23" s="25">
        <f t="array" ref="I23">SUM(IF("1522"&amp;C23=KHC&amp;MH,SL))</f>
        <v>0</v>
      </c>
      <c r="J23" s="25">
        <f t="array" ref="J23">SUM(IF("1522"&amp;C23=KHC&amp;MH,TH))</f>
        <v>0</v>
      </c>
      <c r="K23" s="441">
        <f t="shared" si="3"/>
        <v>111</v>
      </c>
      <c r="L23" s="441">
        <f t="shared" si="3"/>
        <v>4107000</v>
      </c>
      <c r="M23" s="508"/>
      <c r="N23" s="511" t="s">
        <v>375</v>
      </c>
      <c r="O23" s="506" t="s">
        <v>342</v>
      </c>
      <c r="P23" s="510">
        <v>320876558</v>
      </c>
      <c r="Q23" s="510" t="s">
        <v>376</v>
      </c>
      <c r="R23" s="510"/>
      <c r="S23" s="510" t="s">
        <v>338</v>
      </c>
    </row>
    <row r="24" spans="1:20" ht="18" customHeight="1">
      <c r="A24" s="504" t="str">
        <f t="shared" si="1"/>
        <v>VL</v>
      </c>
      <c r="B24" s="505">
        <f t="shared" si="2"/>
        <v>13</v>
      </c>
      <c r="C24" s="67" t="s">
        <v>1849</v>
      </c>
      <c r="D24" s="516" t="s">
        <v>340</v>
      </c>
      <c r="E24" s="441"/>
      <c r="F24" s="441"/>
      <c r="G24" s="25">
        <f t="array" ref="G24">SUM(IF("1522"&amp;C24=KHN&amp;MH,SL))</f>
        <v>306</v>
      </c>
      <c r="H24" s="25">
        <f t="array" ref="H24">SUM(IF("1522"&amp;C24=KHN&amp;MH,TH))</f>
        <v>11322000</v>
      </c>
      <c r="I24" s="25">
        <f t="array" ref="I24">SUM(IF("1522"&amp;C24=KHC&amp;MH,SL))</f>
        <v>0</v>
      </c>
      <c r="J24" s="25">
        <f t="array" ref="J24">SUM(IF("1522"&amp;C24=KHC&amp;MH,TH))</f>
        <v>0</v>
      </c>
      <c r="K24" s="441">
        <f t="shared" si="3"/>
        <v>306</v>
      </c>
      <c r="L24" s="441">
        <f t="shared" si="3"/>
        <v>11322000</v>
      </c>
      <c r="M24" s="508"/>
      <c r="N24" s="511" t="s">
        <v>378</v>
      </c>
      <c r="O24" s="513" t="s">
        <v>379</v>
      </c>
      <c r="P24" s="510">
        <v>250746332</v>
      </c>
      <c r="Q24" s="510" t="s">
        <v>380</v>
      </c>
      <c r="R24" s="510"/>
      <c r="S24" s="510" t="s">
        <v>338</v>
      </c>
    </row>
    <row r="25" spans="1:20" ht="18" customHeight="1">
      <c r="A25" s="504" t="str">
        <f t="shared" si="1"/>
        <v>VL</v>
      </c>
      <c r="B25" s="505">
        <f t="shared" si="2"/>
        <v>14</v>
      </c>
      <c r="C25" s="962" t="s">
        <v>374</v>
      </c>
      <c r="D25" s="958" t="s">
        <v>366</v>
      </c>
      <c r="E25" s="959">
        <v>295214</v>
      </c>
      <c r="F25" s="959">
        <v>102435290</v>
      </c>
      <c r="G25" s="960">
        <f t="array" ref="G25">SUM(IF("1522"&amp;C25=KHN&amp;MH,SL))</f>
        <v>0</v>
      </c>
      <c r="H25" s="960">
        <f t="array" ref="H25">SUM(IF("1522"&amp;C25=KHN&amp;MH,TH))</f>
        <v>0</v>
      </c>
      <c r="I25" s="960">
        <f t="array" ref="I25">SUM(IF("1522"&amp;C25=KHC&amp;MH,SL))</f>
        <v>295214</v>
      </c>
      <c r="J25" s="960">
        <f t="array" ref="J25">SUM(IF("1522"&amp;C25=KHC&amp;MH,TH))</f>
        <v>102435290</v>
      </c>
      <c r="K25" s="961">
        <f t="shared" si="3"/>
        <v>0</v>
      </c>
      <c r="L25" s="961">
        <f t="shared" si="3"/>
        <v>0</v>
      </c>
      <c r="M25" s="508"/>
      <c r="N25" s="511" t="s">
        <v>383</v>
      </c>
      <c r="O25" s="513" t="s">
        <v>379</v>
      </c>
      <c r="P25" s="510">
        <v>260682094</v>
      </c>
      <c r="Q25" s="510" t="s">
        <v>380</v>
      </c>
      <c r="R25" s="510"/>
      <c r="S25" s="510" t="s">
        <v>338</v>
      </c>
    </row>
    <row r="26" spans="1:20" ht="18" customHeight="1">
      <c r="A26" s="504" t="str">
        <f t="shared" si="1"/>
        <v>VL</v>
      </c>
      <c r="B26" s="505">
        <f t="shared" si="2"/>
        <v>15</v>
      </c>
      <c r="C26" s="962" t="s">
        <v>377</v>
      </c>
      <c r="D26" s="958" t="s">
        <v>366</v>
      </c>
      <c r="E26" s="959">
        <v>6600</v>
      </c>
      <c r="F26" s="959">
        <v>3597000</v>
      </c>
      <c r="G26" s="960">
        <f t="array" ref="G26">SUM(IF("1522"&amp;C26=KHN&amp;MH,SL))</f>
        <v>0</v>
      </c>
      <c r="H26" s="960">
        <f t="array" ref="H26">SUM(IF("1522"&amp;C26=KHN&amp;MH,TH))</f>
        <v>0</v>
      </c>
      <c r="I26" s="960">
        <f t="array" ref="I26">SUM(IF("1522"&amp;C26=KHC&amp;MH,SL))</f>
        <v>6600</v>
      </c>
      <c r="J26" s="960">
        <f t="array" ref="J26">SUM(IF("1522"&amp;C26=KHC&amp;MH,TH))</f>
        <v>3597000</v>
      </c>
      <c r="K26" s="961">
        <f t="shared" si="0"/>
        <v>0</v>
      </c>
      <c r="L26" s="961">
        <f t="shared" si="0"/>
        <v>0</v>
      </c>
      <c r="M26" s="508"/>
      <c r="N26" s="511" t="s">
        <v>385</v>
      </c>
      <c r="O26" s="513" t="s">
        <v>379</v>
      </c>
      <c r="P26" s="510">
        <v>260690910</v>
      </c>
      <c r="Q26" s="510" t="s">
        <v>386</v>
      </c>
      <c r="R26" s="510"/>
      <c r="S26" s="510" t="s">
        <v>338</v>
      </c>
    </row>
    <row r="27" spans="1:20" ht="18" customHeight="1">
      <c r="A27" s="504" t="str">
        <f t="shared" si="1"/>
        <v>VL</v>
      </c>
      <c r="B27" s="505">
        <f t="shared" si="2"/>
        <v>16</v>
      </c>
      <c r="C27" s="957" t="s">
        <v>365</v>
      </c>
      <c r="D27" s="958" t="s">
        <v>366</v>
      </c>
      <c r="E27" s="959">
        <v>93800</v>
      </c>
      <c r="F27" s="959">
        <v>28140000</v>
      </c>
      <c r="G27" s="960">
        <f t="array" ref="G27">SUM(IF("1522"&amp;C27=KHN&amp;MH,SL))</f>
        <v>0</v>
      </c>
      <c r="H27" s="960">
        <f t="array" ref="H27">SUM(IF("1522"&amp;C27=KHN&amp;MH,TH))</f>
        <v>0</v>
      </c>
      <c r="I27" s="960">
        <f t="array" ref="I27">SUM(IF("1522"&amp;C27=KHC&amp;MH,SL))</f>
        <v>0</v>
      </c>
      <c r="J27" s="960">
        <f t="array" ref="J27">SUM(IF("1522"&amp;C27=KHC&amp;MH,TH))</f>
        <v>0</v>
      </c>
      <c r="K27" s="959">
        <f t="shared" si="0"/>
        <v>93800</v>
      </c>
      <c r="L27" s="959">
        <f t="shared" si="0"/>
        <v>28140000</v>
      </c>
      <c r="M27" s="508"/>
      <c r="N27" s="511" t="s">
        <v>388</v>
      </c>
      <c r="O27" s="513" t="s">
        <v>379</v>
      </c>
      <c r="P27" s="510">
        <v>260178873</v>
      </c>
      <c r="Q27" s="510" t="s">
        <v>389</v>
      </c>
      <c r="R27" s="510"/>
      <c r="S27" s="510" t="s">
        <v>338</v>
      </c>
    </row>
    <row r="28" spans="1:20" ht="18" customHeight="1">
      <c r="A28" s="504" t="str">
        <f t="shared" si="1"/>
        <v>VL</v>
      </c>
      <c r="B28" s="505">
        <f t="shared" si="2"/>
        <v>17</v>
      </c>
      <c r="C28" s="962" t="s">
        <v>369</v>
      </c>
      <c r="D28" s="958" t="s">
        <v>366</v>
      </c>
      <c r="E28" s="959">
        <v>48700</v>
      </c>
      <c r="F28" s="959">
        <v>19480000</v>
      </c>
      <c r="G28" s="960">
        <f t="array" ref="G28">SUM(IF("1522"&amp;C28=KHN&amp;MH,SL))</f>
        <v>0</v>
      </c>
      <c r="H28" s="960">
        <f t="array" ref="H28">SUM(IF("1522"&amp;C28=KHN&amp;MH,TH))</f>
        <v>0</v>
      </c>
      <c r="I28" s="960">
        <f t="array" ref="I28">SUM(IF("1522"&amp;C28=KHC&amp;MH,SL))</f>
        <v>0</v>
      </c>
      <c r="J28" s="960">
        <f t="array" ref="J28">SUM(IF("1522"&amp;C28=KHC&amp;MH,TH))</f>
        <v>0</v>
      </c>
      <c r="K28" s="959">
        <f t="shared" si="0"/>
        <v>48700</v>
      </c>
      <c r="L28" s="959">
        <f t="shared" si="0"/>
        <v>19480000</v>
      </c>
      <c r="M28" s="508"/>
      <c r="N28" s="511" t="s">
        <v>391</v>
      </c>
      <c r="O28" s="513" t="s">
        <v>379</v>
      </c>
      <c r="P28" s="510">
        <v>260850613</v>
      </c>
      <c r="Q28" s="510" t="s">
        <v>389</v>
      </c>
      <c r="R28" s="510"/>
      <c r="S28" s="510" t="s">
        <v>338</v>
      </c>
      <c r="T28" s="522"/>
    </row>
    <row r="29" spans="1:20" s="522" customFormat="1" ht="18" customHeight="1">
      <c r="A29" s="504" t="str">
        <f t="shared" si="1"/>
        <v>VL</v>
      </c>
      <c r="B29" s="505">
        <f t="shared" si="2"/>
        <v>18</v>
      </c>
      <c r="C29" s="962" t="s">
        <v>372</v>
      </c>
      <c r="D29" s="958" t="s">
        <v>366</v>
      </c>
      <c r="E29" s="959">
        <v>12300</v>
      </c>
      <c r="F29" s="959">
        <v>2890500</v>
      </c>
      <c r="G29" s="960">
        <f t="array" ref="G29">SUM(IF("1522"&amp;C29=KHN&amp;MH,SL))</f>
        <v>0</v>
      </c>
      <c r="H29" s="960">
        <f t="array" ref="H29">SUM(IF("1522"&amp;C29=KHN&amp;MH,TH))</f>
        <v>0</v>
      </c>
      <c r="I29" s="960">
        <f t="array" ref="I29">SUM(IF("1522"&amp;C29=KHC&amp;MH,SL))</f>
        <v>12300</v>
      </c>
      <c r="J29" s="960">
        <f t="array" ref="J29">SUM(IF("1522"&amp;C29=KHC&amp;MH,TH))</f>
        <v>2890500</v>
      </c>
      <c r="K29" s="959">
        <f t="shared" si="0"/>
        <v>0</v>
      </c>
      <c r="L29" s="959">
        <f t="shared" si="0"/>
        <v>0</v>
      </c>
      <c r="M29" s="508"/>
      <c r="N29" s="511" t="s">
        <v>393</v>
      </c>
      <c r="O29" s="513" t="s">
        <v>379</v>
      </c>
      <c r="P29" s="510">
        <v>280853616</v>
      </c>
      <c r="Q29" s="510" t="s">
        <v>389</v>
      </c>
      <c r="R29" s="510"/>
      <c r="S29" s="510" t="s">
        <v>338</v>
      </c>
    </row>
    <row r="30" spans="1:20" s="522" customFormat="1" ht="18" customHeight="1">
      <c r="A30" s="504" t="str">
        <f t="shared" si="1"/>
        <v>VL</v>
      </c>
      <c r="B30" s="505">
        <f t="shared" si="2"/>
        <v>19</v>
      </c>
      <c r="C30" s="320" t="s">
        <v>1633</v>
      </c>
      <c r="D30" s="519" t="s">
        <v>382</v>
      </c>
      <c r="E30" s="520"/>
      <c r="F30" s="520"/>
      <c r="G30" s="25">
        <f t="array" ref="G30">SUM(IF("1522"&amp;C30=KHN&amp;MH,SL))</f>
        <v>600</v>
      </c>
      <c r="H30" s="25">
        <f t="array" ref="H30">SUM(IF("1522"&amp;C30=KHN&amp;MH,TH))</f>
        <v>1440000</v>
      </c>
      <c r="I30" s="25">
        <f t="array" ref="I30">SUM(IF("1522"&amp;C30=KHC&amp;MH,SL))</f>
        <v>600</v>
      </c>
      <c r="J30" s="25">
        <f t="array" ref="J30">SUM(IF("1522"&amp;C30=KHC&amp;MH,TH))</f>
        <v>1440000</v>
      </c>
      <c r="K30" s="520">
        <f t="shared" ref="K30:K48" si="4">E30+G30-I30</f>
        <v>0</v>
      </c>
      <c r="L30" s="520">
        <f t="shared" ref="L30:L48" si="5">F30+H30-J30</f>
        <v>0</v>
      </c>
      <c r="M30" s="508"/>
      <c r="N30" s="511" t="s">
        <v>395</v>
      </c>
      <c r="O30" s="513" t="s">
        <v>379</v>
      </c>
      <c r="P30" s="510">
        <v>261005222</v>
      </c>
      <c r="Q30" s="510" t="s">
        <v>396</v>
      </c>
      <c r="R30" s="510"/>
      <c r="S30" s="510" t="s">
        <v>338</v>
      </c>
    </row>
    <row r="31" spans="1:20" s="522" customFormat="1" ht="18" customHeight="1">
      <c r="A31" s="504" t="str">
        <f t="shared" si="1"/>
        <v>VL</v>
      </c>
      <c r="B31" s="505">
        <f t="shared" si="2"/>
        <v>20</v>
      </c>
      <c r="C31" s="514" t="s">
        <v>653</v>
      </c>
      <c r="D31" s="519" t="s">
        <v>382</v>
      </c>
      <c r="E31" s="441"/>
      <c r="F31" s="441"/>
      <c r="G31" s="25">
        <f t="array" ref="G31">SUM(IF("1522"&amp;C31=KHN&amp;MH,SL))</f>
        <v>11268</v>
      </c>
      <c r="H31" s="25">
        <f t="array" ref="H31">SUM(IF("1522"&amp;C31=KHN&amp;MH,TH))</f>
        <v>152082000</v>
      </c>
      <c r="I31" s="25">
        <f t="array" ref="I31">SUM(IF("1522"&amp;C31=KHC&amp;MH,SL))</f>
        <v>11268</v>
      </c>
      <c r="J31" s="25">
        <f t="array" ref="J31">SUM(IF("1522"&amp;C31=KHC&amp;MH,TH))</f>
        <v>152082000</v>
      </c>
      <c r="K31" s="520">
        <f t="shared" si="4"/>
        <v>0</v>
      </c>
      <c r="L31" s="520">
        <f t="shared" si="5"/>
        <v>0</v>
      </c>
      <c r="M31" s="508"/>
      <c r="N31" s="511" t="s">
        <v>398</v>
      </c>
      <c r="O31" s="513" t="s">
        <v>399</v>
      </c>
      <c r="P31" s="510">
        <v>370047763</v>
      </c>
      <c r="Q31" s="510" t="s">
        <v>400</v>
      </c>
      <c r="R31" s="510"/>
      <c r="S31" s="510" t="s">
        <v>344</v>
      </c>
      <c r="T31" s="495"/>
    </row>
    <row r="32" spans="1:20" ht="18.75" customHeight="1">
      <c r="A32" s="504" t="str">
        <f t="shared" si="1"/>
        <v>VL</v>
      </c>
      <c r="B32" s="505">
        <f>IF(C32&lt;&gt;"",ROW()-11,"")</f>
        <v>21</v>
      </c>
      <c r="C32" s="518" t="s">
        <v>1091</v>
      </c>
      <c r="D32" s="519" t="s">
        <v>382</v>
      </c>
      <c r="E32" s="520"/>
      <c r="F32" s="520"/>
      <c r="G32" s="25">
        <f t="array" ref="G32">SUM(IF("1522"&amp;C32=KHN&amp;MH,SL))</f>
        <v>400</v>
      </c>
      <c r="H32" s="25">
        <f t="array" ref="H32">SUM(IF("1522"&amp;C32=KHN&amp;MH,TH))</f>
        <v>1000000</v>
      </c>
      <c r="I32" s="25">
        <f t="array" ref="I32">SUM(IF("1522"&amp;C32=KHC&amp;MH,SL))</f>
        <v>400</v>
      </c>
      <c r="J32" s="25">
        <f t="array" ref="J32">SUM(IF("1522"&amp;C32=KHC&amp;MH,TH))</f>
        <v>1000000</v>
      </c>
      <c r="K32" s="520">
        <f t="shared" si="4"/>
        <v>0</v>
      </c>
      <c r="L32" s="520">
        <f t="shared" si="5"/>
        <v>0</v>
      </c>
      <c r="M32" s="508"/>
      <c r="N32" s="511" t="s">
        <v>402</v>
      </c>
      <c r="O32" s="513" t="s">
        <v>399</v>
      </c>
      <c r="P32" s="510">
        <v>370054438</v>
      </c>
      <c r="Q32" s="510" t="s">
        <v>400</v>
      </c>
      <c r="R32" s="510"/>
      <c r="S32" s="510" t="s">
        <v>344</v>
      </c>
    </row>
    <row r="33" spans="1:19" ht="18.75" customHeight="1">
      <c r="A33" s="504" t="str">
        <f t="shared" si="1"/>
        <v>VL</v>
      </c>
      <c r="B33" s="505">
        <f t="shared" si="2"/>
        <v>22</v>
      </c>
      <c r="C33" s="518" t="s">
        <v>381</v>
      </c>
      <c r="D33" s="519" t="s">
        <v>382</v>
      </c>
      <c r="E33" s="520">
        <v>9928</v>
      </c>
      <c r="F33" s="520">
        <v>57392400</v>
      </c>
      <c r="G33" s="25">
        <f t="array" ref="G33">SUM(IF("1522"&amp;C33=KHN&amp;MH,SL))</f>
        <v>0</v>
      </c>
      <c r="H33" s="25">
        <f t="array" ref="H33">SUM(IF("1522"&amp;C33=KHN&amp;MH,TH))</f>
        <v>0</v>
      </c>
      <c r="I33" s="25">
        <f t="array" ref="I33">SUM(IF("1522"&amp;C33=KHC&amp;MH,SL))</f>
        <v>9928</v>
      </c>
      <c r="J33" s="25">
        <f t="array" ref="J33">SUM(IF("1522"&amp;C33=KHC&amp;MH,TH))</f>
        <v>57392400</v>
      </c>
      <c r="K33" s="521">
        <f t="shared" si="4"/>
        <v>0</v>
      </c>
      <c r="L33" s="521">
        <f t="shared" si="5"/>
        <v>0</v>
      </c>
      <c r="M33" s="508"/>
      <c r="N33" s="511" t="s">
        <v>403</v>
      </c>
      <c r="O33" s="513" t="s">
        <v>399</v>
      </c>
      <c r="P33" s="510">
        <v>370615318</v>
      </c>
      <c r="Q33" s="510" t="s">
        <v>404</v>
      </c>
      <c r="R33" s="510"/>
      <c r="S33" s="510" t="s">
        <v>344</v>
      </c>
    </row>
    <row r="34" spans="1:19" ht="18.75" customHeight="1">
      <c r="A34" s="504" t="str">
        <f t="shared" si="1"/>
        <v>VL</v>
      </c>
      <c r="B34" s="505">
        <f t="shared" si="2"/>
        <v>23</v>
      </c>
      <c r="C34" s="518" t="s">
        <v>384</v>
      </c>
      <c r="D34" s="519" t="s">
        <v>382</v>
      </c>
      <c r="E34" s="520">
        <v>13938</v>
      </c>
      <c r="F34" s="520">
        <v>62251600</v>
      </c>
      <c r="G34" s="25">
        <f t="array" ref="G34">SUM(IF("1522"&amp;C34=KHN&amp;MH,SL))</f>
        <v>0</v>
      </c>
      <c r="H34" s="25">
        <f t="array" ref="H34">SUM(IF("1522"&amp;C34=KHN&amp;MH,TH))</f>
        <v>0</v>
      </c>
      <c r="I34" s="25">
        <f t="array" ref="I34">SUM(IF("1522"&amp;C34=KHC&amp;MH,SL))</f>
        <v>13938</v>
      </c>
      <c r="J34" s="25">
        <f t="array" ref="J34">SUM(IF("1522"&amp;C34=KHC&amp;MH,TH))</f>
        <v>62251600</v>
      </c>
      <c r="K34" s="521">
        <f t="shared" si="4"/>
        <v>0</v>
      </c>
      <c r="L34" s="521">
        <f t="shared" si="5"/>
        <v>0</v>
      </c>
      <c r="M34" s="508"/>
      <c r="N34" s="511" t="s">
        <v>405</v>
      </c>
      <c r="O34" s="513" t="s">
        <v>399</v>
      </c>
      <c r="P34" s="510">
        <v>370825748</v>
      </c>
      <c r="Q34" s="510" t="s">
        <v>404</v>
      </c>
      <c r="R34" s="510"/>
      <c r="S34" s="510" t="s">
        <v>344</v>
      </c>
    </row>
    <row r="35" spans="1:19" ht="18.75" customHeight="1">
      <c r="A35" s="504" t="str">
        <f t="shared" si="1"/>
        <v>VL</v>
      </c>
      <c r="B35" s="505">
        <f t="shared" si="2"/>
        <v>24</v>
      </c>
      <c r="C35" s="320" t="s">
        <v>1838</v>
      </c>
      <c r="D35" s="519" t="s">
        <v>382</v>
      </c>
      <c r="E35" s="520"/>
      <c r="F35" s="520"/>
      <c r="G35" s="25">
        <f t="array" ref="G35">SUM(IF("1522"&amp;C35=KHN&amp;MH,SL))</f>
        <v>120</v>
      </c>
      <c r="H35" s="25">
        <f t="array" ref="H35">SUM(IF("1522"&amp;C35=KHN&amp;MH,TH))</f>
        <v>1320000</v>
      </c>
      <c r="I35" s="25">
        <f t="array" ref="I35">SUM(IF("1522"&amp;C35=KHC&amp;MH,SL))</f>
        <v>120</v>
      </c>
      <c r="J35" s="25">
        <f t="array" ref="J35">SUM(IF("1522"&amp;C35=KHC&amp;MH,TH))</f>
        <v>1320000</v>
      </c>
      <c r="K35" s="520">
        <f t="shared" si="4"/>
        <v>0</v>
      </c>
      <c r="L35" s="520">
        <f t="shared" si="5"/>
        <v>0</v>
      </c>
      <c r="M35" s="508"/>
      <c r="N35" s="511" t="s">
        <v>406</v>
      </c>
      <c r="O35" s="513" t="s">
        <v>399</v>
      </c>
      <c r="P35" s="510">
        <v>370698949</v>
      </c>
      <c r="Q35" s="510" t="s">
        <v>407</v>
      </c>
      <c r="R35" s="510" t="s">
        <v>408</v>
      </c>
      <c r="S35" s="510" t="s">
        <v>344</v>
      </c>
    </row>
    <row r="36" spans="1:19" ht="18.75" customHeight="1">
      <c r="A36" s="504" t="str">
        <f t="shared" ref="A36:A44" si="6">IF(B36&lt;&gt;"","VL","")</f>
        <v>VL</v>
      </c>
      <c r="B36" s="505">
        <f t="shared" ref="B36:B44" si="7">IF(C36&lt;&gt;"",ROW()-11,"")</f>
        <v>25</v>
      </c>
      <c r="C36" s="518" t="s">
        <v>392</v>
      </c>
      <c r="D36" s="519" t="s">
        <v>382</v>
      </c>
      <c r="E36" s="520"/>
      <c r="F36" s="520"/>
      <c r="G36" s="25">
        <f t="array" ref="G36">SUM(IF("1522"&amp;C36=KHN&amp;MH,SL))</f>
        <v>525</v>
      </c>
      <c r="H36" s="25">
        <f t="array" ref="H36">SUM(IF("1522"&amp;C36=KHN&amp;MH,TH))</f>
        <v>4987500</v>
      </c>
      <c r="I36" s="25">
        <f t="array" ref="I36">SUM(IF("1522"&amp;C36=KHC&amp;MH,SL))</f>
        <v>525</v>
      </c>
      <c r="J36" s="25">
        <f t="array" ref="J36">SUM(IF("1522"&amp;C36=KHC&amp;MH,TH))</f>
        <v>4987500</v>
      </c>
      <c r="K36" s="520">
        <f t="shared" si="4"/>
        <v>0</v>
      </c>
      <c r="L36" s="520">
        <f t="shared" si="5"/>
        <v>0</v>
      </c>
      <c r="M36" s="508"/>
      <c r="N36" s="511" t="s">
        <v>409</v>
      </c>
      <c r="O36" s="513" t="s">
        <v>399</v>
      </c>
      <c r="P36" s="510">
        <v>370803567</v>
      </c>
      <c r="Q36" s="510" t="s">
        <v>410</v>
      </c>
      <c r="R36" s="510"/>
      <c r="S36" s="510" t="s">
        <v>344</v>
      </c>
    </row>
    <row r="37" spans="1:19" ht="18.75" customHeight="1">
      <c r="A37" s="504" t="str">
        <f t="shared" si="6"/>
        <v>VL</v>
      </c>
      <c r="B37" s="505">
        <f t="shared" si="7"/>
        <v>26</v>
      </c>
      <c r="C37" s="518" t="s">
        <v>401</v>
      </c>
      <c r="D37" s="519" t="s">
        <v>382</v>
      </c>
      <c r="E37" s="520"/>
      <c r="F37" s="520"/>
      <c r="G37" s="25">
        <f t="array" ref="G37">SUM(IF("1522"&amp;C37=KHN&amp;MH,SL))</f>
        <v>3048</v>
      </c>
      <c r="H37" s="25">
        <f t="array" ref="H37">SUM(IF("1522"&amp;C37=KHN&amp;MH,TH))</f>
        <v>55170000</v>
      </c>
      <c r="I37" s="25">
        <f t="array" ref="I37">SUM(IF("1522"&amp;C37=KHC&amp;MH,SL))</f>
        <v>3048</v>
      </c>
      <c r="J37" s="25">
        <f t="array" ref="J37">SUM(IF("1522"&amp;C37=KHC&amp;MH,TH))</f>
        <v>55170000</v>
      </c>
      <c r="K37" s="520">
        <f t="shared" si="4"/>
        <v>0</v>
      </c>
      <c r="L37" s="520">
        <f t="shared" si="5"/>
        <v>0</v>
      </c>
      <c r="M37" s="508"/>
      <c r="N37" s="511" t="s">
        <v>411</v>
      </c>
      <c r="O37" s="513" t="s">
        <v>399</v>
      </c>
      <c r="P37" s="510">
        <v>370004125</v>
      </c>
      <c r="Q37" s="510" t="s">
        <v>400</v>
      </c>
      <c r="R37" s="510"/>
      <c r="S37" s="510" t="s">
        <v>344</v>
      </c>
    </row>
    <row r="38" spans="1:19" ht="18.75" customHeight="1">
      <c r="A38" s="504" t="str">
        <f t="shared" si="6"/>
        <v>VL</v>
      </c>
      <c r="B38" s="505">
        <f t="shared" si="7"/>
        <v>27</v>
      </c>
      <c r="C38" s="518" t="s">
        <v>390</v>
      </c>
      <c r="D38" s="519" t="s">
        <v>382</v>
      </c>
      <c r="E38" s="520"/>
      <c r="F38" s="520"/>
      <c r="G38" s="25">
        <f t="array" ref="G38">SUM(IF("1522"&amp;C38=KHN&amp;MH,SL))</f>
        <v>3702</v>
      </c>
      <c r="H38" s="25">
        <f t="array" ref="H38">SUM(IF("1522"&amp;C38=KHN&amp;MH,TH))</f>
        <v>53823188</v>
      </c>
      <c r="I38" s="25">
        <f t="array" ref="I38">SUM(IF("1522"&amp;C38=KHC&amp;MH,SL))</f>
        <v>3702</v>
      </c>
      <c r="J38" s="25">
        <f t="array" ref="J38">SUM(IF("1522"&amp;C38=KHC&amp;MH,TH))</f>
        <v>53823188</v>
      </c>
      <c r="K38" s="520">
        <f t="shared" si="4"/>
        <v>0</v>
      </c>
      <c r="L38" s="520">
        <f t="shared" si="5"/>
        <v>0</v>
      </c>
      <c r="M38" s="508"/>
      <c r="N38" s="511" t="s">
        <v>412</v>
      </c>
      <c r="O38" s="513" t="s">
        <v>399</v>
      </c>
      <c r="P38" s="510">
        <v>370033286</v>
      </c>
      <c r="Q38" s="510" t="s">
        <v>400</v>
      </c>
      <c r="R38" s="510"/>
      <c r="S38" s="510" t="s">
        <v>344</v>
      </c>
    </row>
    <row r="39" spans="1:19" ht="18.75" customHeight="1">
      <c r="A39" s="504" t="str">
        <f t="shared" si="6"/>
        <v>VL</v>
      </c>
      <c r="B39" s="505">
        <f t="shared" si="7"/>
        <v>28</v>
      </c>
      <c r="C39" s="320" t="s">
        <v>1840</v>
      </c>
      <c r="D39" s="519" t="s">
        <v>382</v>
      </c>
      <c r="E39" s="520"/>
      <c r="F39" s="520"/>
      <c r="G39" s="25">
        <f t="array" ref="G39">SUM(IF("1522"&amp;C39=KHN&amp;MH,SL))</f>
        <v>1009</v>
      </c>
      <c r="H39" s="25">
        <f t="array" ref="H39">SUM(IF("1522"&amp;C39=KHN&amp;MH,TH))</f>
        <v>15135000</v>
      </c>
      <c r="I39" s="25">
        <f t="array" ref="I39">SUM(IF("1522"&amp;C39=KHC&amp;MH,SL))</f>
        <v>1009</v>
      </c>
      <c r="J39" s="25">
        <f t="array" ref="J39">SUM(IF("1522"&amp;C39=KHC&amp;MH,TH))</f>
        <v>15135000</v>
      </c>
      <c r="K39" s="520">
        <f t="shared" si="4"/>
        <v>0</v>
      </c>
      <c r="L39" s="520">
        <f t="shared" si="5"/>
        <v>0</v>
      </c>
      <c r="M39" s="508"/>
      <c r="N39" s="511" t="s">
        <v>413</v>
      </c>
      <c r="O39" s="513" t="s">
        <v>414</v>
      </c>
      <c r="P39" s="510">
        <v>310703274</v>
      </c>
      <c r="Q39" s="510" t="s">
        <v>415</v>
      </c>
      <c r="R39" s="510"/>
      <c r="S39" s="510" t="s">
        <v>344</v>
      </c>
    </row>
    <row r="40" spans="1:19" ht="18.75" customHeight="1">
      <c r="A40" s="504" t="str">
        <f t="shared" si="6"/>
        <v>VL</v>
      </c>
      <c r="B40" s="505">
        <f t="shared" si="7"/>
        <v>29</v>
      </c>
      <c r="C40" s="67" t="s">
        <v>1844</v>
      </c>
      <c r="D40" s="519" t="s">
        <v>382</v>
      </c>
      <c r="E40" s="520"/>
      <c r="F40" s="520"/>
      <c r="G40" s="25">
        <f t="array" ref="G40">SUM(IF("1522"&amp;C40=KHN&amp;MH,SL))</f>
        <v>2000</v>
      </c>
      <c r="H40" s="25">
        <f t="array" ref="H40">SUM(IF("1522"&amp;C40=KHN&amp;MH,TH))</f>
        <v>23000000</v>
      </c>
      <c r="I40" s="25">
        <f t="array" ref="I40">SUM(IF("1522"&amp;C40=KHC&amp;MH,SL))</f>
        <v>0</v>
      </c>
      <c r="J40" s="25">
        <f t="array" ref="J40">SUM(IF("1522"&amp;C40=KHC&amp;MH,TH))</f>
        <v>0</v>
      </c>
      <c r="K40" s="520">
        <f t="shared" si="4"/>
        <v>2000</v>
      </c>
      <c r="L40" s="520">
        <f t="shared" si="5"/>
        <v>23000000</v>
      </c>
      <c r="M40" s="508"/>
      <c r="N40" s="511" t="s">
        <v>416</v>
      </c>
      <c r="O40" s="513" t="s">
        <v>414</v>
      </c>
      <c r="P40" s="510">
        <v>311704830</v>
      </c>
      <c r="Q40" s="510" t="s">
        <v>417</v>
      </c>
      <c r="R40" s="510"/>
      <c r="S40" s="510" t="s">
        <v>344</v>
      </c>
    </row>
    <row r="41" spans="1:19" ht="18.75" customHeight="1">
      <c r="A41" s="504" t="str">
        <f>IF(B41&lt;&gt;"","VL","")</f>
        <v>VL</v>
      </c>
      <c r="B41" s="505">
        <f>IF(C41&lt;&gt;"",ROW()-11,"")</f>
        <v>30</v>
      </c>
      <c r="C41" s="320" t="s">
        <v>1839</v>
      </c>
      <c r="D41" s="519" t="s">
        <v>382</v>
      </c>
      <c r="E41" s="520"/>
      <c r="F41" s="520"/>
      <c r="G41" s="25">
        <f t="array" ref="G41">SUM(IF("1522"&amp;C41=KHN&amp;MH,SL))</f>
        <v>2400</v>
      </c>
      <c r="H41" s="25">
        <f t="array" ref="H41">SUM(IF("1522"&amp;C41=KHN&amp;MH,TH))</f>
        <v>24200000</v>
      </c>
      <c r="I41" s="25">
        <f t="array" ref="I41">SUM(IF("1522"&amp;C41=KHC&amp;MH,SL))</f>
        <v>0</v>
      </c>
      <c r="J41" s="25">
        <f t="array" ref="J41">SUM(IF("1522"&amp;C41=KHC&amp;MH,TH))</f>
        <v>0</v>
      </c>
      <c r="K41" s="520">
        <f t="shared" si="4"/>
        <v>2400</v>
      </c>
      <c r="L41" s="520">
        <f t="shared" si="5"/>
        <v>24200000</v>
      </c>
      <c r="M41" s="508"/>
      <c r="N41" s="511" t="s">
        <v>418</v>
      </c>
      <c r="O41" s="513" t="s">
        <v>414</v>
      </c>
      <c r="P41" s="510">
        <v>311318331</v>
      </c>
      <c r="Q41" s="510" t="s">
        <v>419</v>
      </c>
      <c r="R41" s="510"/>
      <c r="S41" s="510" t="s">
        <v>344</v>
      </c>
    </row>
    <row r="42" spans="1:19" ht="18" customHeight="1">
      <c r="A42" s="504" t="str">
        <f>IF(B42&lt;&gt;"","VL","")</f>
        <v>VL</v>
      </c>
      <c r="B42" s="505">
        <f>IF(C42&lt;&gt;"",ROW()-11,"")</f>
        <v>31</v>
      </c>
      <c r="C42" s="320" t="s">
        <v>1515</v>
      </c>
      <c r="D42" s="519" t="s">
        <v>382</v>
      </c>
      <c r="E42" s="520"/>
      <c r="F42" s="520"/>
      <c r="G42" s="25">
        <f t="array" ref="G42">SUM(IF("1522"&amp;C42=KHN&amp;MH,SL))</f>
        <v>72</v>
      </c>
      <c r="H42" s="25">
        <f t="array" ref="H42">SUM(IF("1522"&amp;C42=KHN&amp;MH,TH))</f>
        <v>1536984</v>
      </c>
      <c r="I42" s="25">
        <f t="array" ref="I42">SUM(IF("1522"&amp;C42=KHC&amp;MH,SL))</f>
        <v>72</v>
      </c>
      <c r="J42" s="25">
        <f t="array" ref="J42">SUM(IF("1522"&amp;C42=KHC&amp;MH,TH))</f>
        <v>1536984</v>
      </c>
      <c r="K42" s="520">
        <f t="shared" si="4"/>
        <v>0</v>
      </c>
      <c r="L42" s="520">
        <f t="shared" si="5"/>
        <v>0</v>
      </c>
      <c r="M42" s="508"/>
      <c r="N42" s="511" t="s">
        <v>420</v>
      </c>
      <c r="O42" s="513" t="s">
        <v>414</v>
      </c>
      <c r="P42" s="510">
        <v>310882191</v>
      </c>
      <c r="Q42" s="510" t="s">
        <v>421</v>
      </c>
      <c r="R42" s="510"/>
      <c r="S42" s="510" t="s">
        <v>344</v>
      </c>
    </row>
    <row r="43" spans="1:19" ht="18" customHeight="1">
      <c r="A43" s="504" t="str">
        <f>IF(B43&lt;&gt;"","VL","")</f>
        <v>VL</v>
      </c>
      <c r="B43" s="505">
        <f>IF(C43&lt;&gt;"",ROW()-11,"")</f>
        <v>32</v>
      </c>
      <c r="C43" s="518" t="s">
        <v>387</v>
      </c>
      <c r="D43" s="519" t="s">
        <v>382</v>
      </c>
      <c r="E43" s="520">
        <v>7380</v>
      </c>
      <c r="F43" s="520">
        <v>106222000</v>
      </c>
      <c r="G43" s="25">
        <f t="array" ref="G43">SUM(IF("1522"&amp;C43=KHN&amp;MH,SL))</f>
        <v>0</v>
      </c>
      <c r="H43" s="25">
        <f t="array" ref="H43">SUM(IF("1522"&amp;C43=KHN&amp;MH,TH))</f>
        <v>0</v>
      </c>
      <c r="I43" s="25">
        <f t="array" ref="I43">SUM(IF("1522"&amp;C43=KHC&amp;MH,SL))</f>
        <v>1517</v>
      </c>
      <c r="J43" s="25">
        <f t="array" ref="J43">SUM(IF("1522"&amp;C43=KHC&amp;MH,TH))</f>
        <v>11443600</v>
      </c>
      <c r="K43" s="520">
        <f t="shared" si="4"/>
        <v>5863</v>
      </c>
      <c r="L43" s="520">
        <f t="shared" si="5"/>
        <v>94778400</v>
      </c>
      <c r="M43" s="508"/>
      <c r="N43" s="511" t="s">
        <v>423</v>
      </c>
      <c r="O43" s="513" t="s">
        <v>414</v>
      </c>
      <c r="P43" s="510">
        <v>310882158</v>
      </c>
      <c r="Q43" s="510" t="s">
        <v>424</v>
      </c>
      <c r="R43" s="510"/>
      <c r="S43" s="510" t="s">
        <v>344</v>
      </c>
    </row>
    <row r="44" spans="1:19" ht="19.5" customHeight="1">
      <c r="A44" s="504" t="str">
        <f t="shared" si="6"/>
        <v>VL</v>
      </c>
      <c r="B44" s="505">
        <f t="shared" si="7"/>
        <v>33</v>
      </c>
      <c r="C44" s="320" t="s">
        <v>1514</v>
      </c>
      <c r="D44" s="519" t="s">
        <v>382</v>
      </c>
      <c r="E44" s="520"/>
      <c r="F44" s="520"/>
      <c r="G44" s="25">
        <f t="array" ref="G44">SUM(IF("1522"&amp;C44=KHN&amp;MH,SL))</f>
        <v>62</v>
      </c>
      <c r="H44" s="25">
        <f t="array" ref="H44">SUM(IF("1522"&amp;C44=KHN&amp;MH,TH))</f>
        <v>806000</v>
      </c>
      <c r="I44" s="25">
        <f t="array" ref="I44">SUM(IF("1522"&amp;C44=KHC&amp;MH,SL))</f>
        <v>62</v>
      </c>
      <c r="J44" s="25">
        <f t="array" ref="J44">SUM(IF("1522"&amp;C44=KHC&amp;MH,TH))</f>
        <v>806000</v>
      </c>
      <c r="K44" s="520">
        <f t="shared" si="4"/>
        <v>0</v>
      </c>
      <c r="L44" s="520">
        <f t="shared" si="5"/>
        <v>0</v>
      </c>
      <c r="M44" s="508"/>
      <c r="N44" s="511" t="s">
        <v>425</v>
      </c>
      <c r="O44" s="513" t="s">
        <v>414</v>
      </c>
      <c r="P44" s="510">
        <v>310033074</v>
      </c>
      <c r="Q44" s="510" t="s">
        <v>415</v>
      </c>
      <c r="R44" s="510"/>
      <c r="S44" s="510" t="s">
        <v>344</v>
      </c>
    </row>
    <row r="45" spans="1:19" ht="19.5" customHeight="1">
      <c r="A45" s="504" t="str">
        <f>IF(B45&lt;&gt;"","VL","")</f>
        <v>VL</v>
      </c>
      <c r="B45" s="505">
        <f>IF(C45&lt;&gt;"",ROW()-11,"")</f>
        <v>34</v>
      </c>
      <c r="C45" s="320" t="s">
        <v>1516</v>
      </c>
      <c r="D45" s="519" t="s">
        <v>382</v>
      </c>
      <c r="E45" s="520"/>
      <c r="F45" s="520"/>
      <c r="G45" s="25">
        <f t="array" ref="G45">SUM(IF("1522"&amp;C45=KHN&amp;MH,SL))</f>
        <v>132</v>
      </c>
      <c r="H45" s="25">
        <f t="array" ref="H45">SUM(IF("1522"&amp;C45=KHN&amp;MH,TH))</f>
        <v>2817804</v>
      </c>
      <c r="I45" s="25">
        <f t="array" ref="I45">SUM(IF("1522"&amp;C45=KHC&amp;MH,SL))</f>
        <v>132</v>
      </c>
      <c r="J45" s="25">
        <f t="array" ref="J45">SUM(IF("1522"&amp;C45=KHC&amp;MH,TH))</f>
        <v>2817804</v>
      </c>
      <c r="K45" s="520">
        <f t="shared" si="4"/>
        <v>0</v>
      </c>
      <c r="L45" s="520">
        <f t="shared" si="5"/>
        <v>0</v>
      </c>
      <c r="M45" s="508"/>
      <c r="N45" s="511" t="s">
        <v>426</v>
      </c>
      <c r="O45" s="513" t="s">
        <v>414</v>
      </c>
      <c r="P45" s="510">
        <v>310526150</v>
      </c>
      <c r="Q45" s="510" t="s">
        <v>415</v>
      </c>
      <c r="R45" s="510"/>
      <c r="S45" s="510" t="s">
        <v>344</v>
      </c>
    </row>
    <row r="46" spans="1:19" ht="19.5" customHeight="1">
      <c r="A46" s="504" t="str">
        <f>IF(B46&lt;&gt;"","VL","")</f>
        <v>VL</v>
      </c>
      <c r="B46" s="505">
        <f>IF(C46&lt;&gt;"",ROW()-11,"")</f>
        <v>35</v>
      </c>
      <c r="C46" s="518" t="s">
        <v>394</v>
      </c>
      <c r="D46" s="519" t="s">
        <v>382</v>
      </c>
      <c r="E46" s="520"/>
      <c r="F46" s="520"/>
      <c r="G46" s="25">
        <f t="array" ref="G46">SUM(IF("1522"&amp;C46=KHN&amp;MH,SL))</f>
        <v>1000</v>
      </c>
      <c r="H46" s="25">
        <f t="array" ref="H46">SUM(IF("1522"&amp;C46=KHN&amp;MH,TH))</f>
        <v>17600000</v>
      </c>
      <c r="I46" s="25">
        <f t="array" ref="I46">SUM(IF("1522"&amp;C46=KHC&amp;MH,SL))</f>
        <v>1000</v>
      </c>
      <c r="J46" s="25">
        <f t="array" ref="J46">SUM(IF("1522"&amp;C46=KHC&amp;MH,TH))</f>
        <v>17600000</v>
      </c>
      <c r="K46" s="520">
        <f t="shared" si="4"/>
        <v>0</v>
      </c>
      <c r="L46" s="520">
        <f t="shared" si="5"/>
        <v>0</v>
      </c>
      <c r="M46" s="508"/>
      <c r="N46" s="511" t="s">
        <v>427</v>
      </c>
      <c r="O46" s="513" t="s">
        <v>414</v>
      </c>
      <c r="P46" s="510">
        <v>311514350</v>
      </c>
      <c r="Q46" s="510" t="s">
        <v>417</v>
      </c>
      <c r="R46" s="510"/>
      <c r="S46" s="510" t="s">
        <v>344</v>
      </c>
    </row>
    <row r="47" spans="1:19" ht="19.5" customHeight="1">
      <c r="A47" s="504" t="str">
        <f>IF(B47&lt;&gt;"","VL","")</f>
        <v>VL</v>
      </c>
      <c r="B47" s="505">
        <f>IF(C47&lt;&gt;"",ROW()-11,"")</f>
        <v>36</v>
      </c>
      <c r="C47" s="320" t="s">
        <v>1513</v>
      </c>
      <c r="D47" s="519"/>
      <c r="E47" s="520"/>
      <c r="F47" s="520"/>
      <c r="G47" s="25">
        <f t="array" ref="G47">SUM(IF("1522"&amp;C47=KHN&amp;MH,SL))</f>
        <v>383</v>
      </c>
      <c r="H47" s="25">
        <f t="array" ref="H47">SUM(IF("1522"&amp;C47=KHN&amp;MH,TH))</f>
        <v>4979000</v>
      </c>
      <c r="I47" s="25">
        <f t="array" ref="I47">SUM(IF("1522"&amp;C47=KHC&amp;MH,SL))</f>
        <v>383</v>
      </c>
      <c r="J47" s="25">
        <f t="array" ref="J47">SUM(IF("1522"&amp;C47=KHC&amp;MH,TH))</f>
        <v>4979000</v>
      </c>
      <c r="K47" s="520">
        <f t="shared" si="4"/>
        <v>0</v>
      </c>
      <c r="L47" s="520">
        <f t="shared" si="5"/>
        <v>0</v>
      </c>
      <c r="M47" s="508"/>
      <c r="N47" s="511" t="s">
        <v>428</v>
      </c>
      <c r="O47" s="513" t="s">
        <v>429</v>
      </c>
      <c r="P47" s="510">
        <v>270106056</v>
      </c>
      <c r="Q47" s="510" t="s">
        <v>429</v>
      </c>
      <c r="R47" s="510" t="s">
        <v>430</v>
      </c>
      <c r="S47" s="510" t="s">
        <v>344</v>
      </c>
    </row>
    <row r="48" spans="1:19" ht="19.5" customHeight="1">
      <c r="A48" s="504" t="str">
        <f>IF(B48&lt;&gt;"","VL","")</f>
        <v/>
      </c>
      <c r="B48" s="505" t="str">
        <f>IF(C48&lt;&gt;"",ROW()-11,"")</f>
        <v/>
      </c>
      <c r="C48" s="962"/>
      <c r="D48" s="519"/>
      <c r="E48" s="520"/>
      <c r="F48" s="520"/>
      <c r="G48" s="25">
        <f t="array" ref="G48">SUM(IF("1522"&amp;C48=KHN&amp;MH,SL))</f>
        <v>0</v>
      </c>
      <c r="H48" s="25">
        <f t="array" ref="H48">SUM(IF("1522"&amp;C48=KHN&amp;MH,TH))</f>
        <v>0</v>
      </c>
      <c r="I48" s="25">
        <f t="array" ref="I48">SUM(IF("1522"&amp;C48=KHC&amp;MH,SL))</f>
        <v>0</v>
      </c>
      <c r="J48" s="25">
        <f t="array" ref="J48">SUM(IF("1522"&amp;C48=KHC&amp;MH,TH))</f>
        <v>0</v>
      </c>
      <c r="K48" s="520">
        <f t="shared" si="4"/>
        <v>0</v>
      </c>
      <c r="L48" s="520">
        <f t="shared" si="5"/>
        <v>0</v>
      </c>
      <c r="M48" s="508"/>
      <c r="N48" s="511" t="s">
        <v>431</v>
      </c>
      <c r="O48" s="513" t="s">
        <v>429</v>
      </c>
      <c r="P48" s="510">
        <v>270176684</v>
      </c>
      <c r="Q48" s="510" t="s">
        <v>429</v>
      </c>
      <c r="R48" s="510" t="s">
        <v>432</v>
      </c>
      <c r="S48" s="510" t="s">
        <v>344</v>
      </c>
    </row>
    <row r="49" spans="1:19" ht="19.5" customHeight="1">
      <c r="A49" s="504" t="str">
        <f>IF(B49&lt;&gt;"","VL","")</f>
        <v/>
      </c>
      <c r="B49" s="505" t="str">
        <f>IF(C49&lt;&gt;"",ROW()-11,"")</f>
        <v/>
      </c>
      <c r="C49" s="962"/>
      <c r="D49" s="958"/>
      <c r="E49" s="959"/>
      <c r="F49" s="959"/>
      <c r="G49" s="25">
        <f t="array" ref="G49">SUM(IF("1522"&amp;C49=KHN&amp;MH,SL))</f>
        <v>0</v>
      </c>
      <c r="H49" s="25">
        <f t="array" ref="H49">SUM(IF("1522"&amp;C49=KHN&amp;MH,TH))</f>
        <v>0</v>
      </c>
      <c r="I49" s="25">
        <f t="array" ref="I49">SUM(IF("1522"&amp;C49=KHC&amp;MH,SL))</f>
        <v>0</v>
      </c>
      <c r="J49" s="25">
        <f t="array" ref="J49">SUM(IF("1522"&amp;C49=KHC&amp;MH,TH))</f>
        <v>0</v>
      </c>
      <c r="K49" s="520">
        <f t="shared" ref="K49:L52" si="8">E49+G49-I49</f>
        <v>0</v>
      </c>
      <c r="L49" s="520">
        <f t="shared" si="8"/>
        <v>0</v>
      </c>
      <c r="M49" s="508"/>
      <c r="N49" s="511" t="s">
        <v>433</v>
      </c>
      <c r="O49" s="513" t="s">
        <v>429</v>
      </c>
      <c r="P49" s="510">
        <v>270176960</v>
      </c>
      <c r="Q49" s="510" t="s">
        <v>429</v>
      </c>
      <c r="R49" s="510" t="s">
        <v>434</v>
      </c>
      <c r="S49" s="510" t="s">
        <v>344</v>
      </c>
    </row>
    <row r="50" spans="1:19" ht="18" customHeight="1">
      <c r="A50" s="504"/>
      <c r="B50" s="505"/>
      <c r="C50" s="962"/>
      <c r="D50" s="958"/>
      <c r="E50" s="959"/>
      <c r="F50" s="959"/>
      <c r="G50" s="25">
        <f t="array" ref="G50">SUM(IF("1522"&amp;C50=KHN&amp;MH,SL))</f>
        <v>0</v>
      </c>
      <c r="H50" s="25">
        <f t="array" ref="H50">SUM(IF("1522"&amp;C50=KHN&amp;MH,TH))</f>
        <v>0</v>
      </c>
      <c r="I50" s="25">
        <f t="array" ref="I50">SUM(IF("1522"&amp;C50=KHC&amp;MH,SL))</f>
        <v>0</v>
      </c>
      <c r="J50" s="25">
        <f t="array" ref="J50">SUM(IF("1522"&amp;C50=KHC&amp;MH,TH))</f>
        <v>0</v>
      </c>
      <c r="K50" s="520">
        <f t="shared" si="8"/>
        <v>0</v>
      </c>
      <c r="L50" s="520">
        <f t="shared" si="8"/>
        <v>0</v>
      </c>
      <c r="M50" s="508"/>
      <c r="N50" s="511" t="s">
        <v>435</v>
      </c>
      <c r="O50" s="513" t="s">
        <v>429</v>
      </c>
      <c r="P50" s="510">
        <v>271181056</v>
      </c>
      <c r="Q50" s="510" t="s">
        <v>429</v>
      </c>
      <c r="R50" s="510"/>
      <c r="S50" s="510" t="s">
        <v>344</v>
      </c>
    </row>
    <row r="51" spans="1:19" ht="18" customHeight="1">
      <c r="A51" s="504"/>
      <c r="B51" s="505"/>
      <c r="C51" s="962"/>
      <c r="D51" s="958"/>
      <c r="E51" s="959"/>
      <c r="F51" s="959"/>
      <c r="G51" s="25">
        <f t="array" ref="G51">SUM(IF("1522"&amp;C51=KHN&amp;MH,SL))</f>
        <v>0</v>
      </c>
      <c r="H51" s="25">
        <f t="array" ref="H51">SUM(IF("1522"&amp;C51=KHN&amp;MH,TH))</f>
        <v>0</v>
      </c>
      <c r="I51" s="25">
        <f t="array" ref="I51">SUM(IF("1522"&amp;C51=KHC&amp;MH,SL))</f>
        <v>0</v>
      </c>
      <c r="J51" s="25">
        <f t="array" ref="J51">SUM(IF("1522"&amp;C51=KHC&amp;MH,TH))</f>
        <v>0</v>
      </c>
      <c r="K51" s="520">
        <f t="shared" si="8"/>
        <v>0</v>
      </c>
      <c r="L51" s="520">
        <f t="shared" si="8"/>
        <v>0</v>
      </c>
      <c r="M51" s="508"/>
      <c r="N51" s="511" t="s">
        <v>437</v>
      </c>
      <c r="O51" s="513" t="s">
        <v>429</v>
      </c>
      <c r="P51" s="510">
        <v>270986506</v>
      </c>
      <c r="Q51" s="510" t="s">
        <v>429</v>
      </c>
      <c r="R51" s="510"/>
      <c r="S51" s="510" t="s">
        <v>344</v>
      </c>
    </row>
    <row r="52" spans="1:19" ht="18.75" customHeight="1">
      <c r="A52" s="504" t="str">
        <f t="shared" si="1"/>
        <v/>
      </c>
      <c r="B52" s="505" t="str">
        <f t="shared" si="2"/>
        <v/>
      </c>
      <c r="C52" s="518"/>
      <c r="D52" s="519"/>
      <c r="E52" s="520"/>
      <c r="F52" s="520"/>
      <c r="G52" s="25">
        <f t="array" ref="G52">SUM(IF("1522"&amp;C52=KHN&amp;MH,SL))</f>
        <v>0</v>
      </c>
      <c r="H52" s="25">
        <f t="array" ref="H52">SUM(IF("1522"&amp;C52=KHN&amp;MH,TH))</f>
        <v>0</v>
      </c>
      <c r="I52" s="25">
        <f t="array" ref="I52">SUM(IF("1522"&amp;C52=KHC&amp;MH,SL))</f>
        <v>0</v>
      </c>
      <c r="J52" s="25">
        <f t="array" ref="J52">SUM(IF("1522"&amp;C52=KHC&amp;MH,TH))</f>
        <v>0</v>
      </c>
      <c r="K52" s="520">
        <f t="shared" si="8"/>
        <v>0</v>
      </c>
      <c r="L52" s="520">
        <f t="shared" si="8"/>
        <v>0</v>
      </c>
      <c r="M52" s="508"/>
      <c r="N52" s="511" t="s">
        <v>438</v>
      </c>
      <c r="O52" s="513" t="s">
        <v>429</v>
      </c>
      <c r="P52" s="510">
        <v>273042454</v>
      </c>
      <c r="Q52" s="510" t="s">
        <v>439</v>
      </c>
      <c r="R52" s="510" t="s">
        <v>440</v>
      </c>
      <c r="S52" s="510" t="s">
        <v>344</v>
      </c>
    </row>
    <row r="53" spans="1:19" ht="18.75" customHeight="1">
      <c r="A53" s="504" t="str">
        <f t="shared" si="1"/>
        <v/>
      </c>
      <c r="B53" s="505" t="str">
        <f t="shared" si="2"/>
        <v/>
      </c>
      <c r="C53" s="517"/>
      <c r="D53" s="523"/>
      <c r="E53" s="524"/>
      <c r="F53" s="524"/>
      <c r="G53" s="25"/>
      <c r="H53" s="524"/>
      <c r="I53" s="524"/>
      <c r="J53" s="524"/>
      <c r="K53" s="524"/>
      <c r="L53" s="524"/>
      <c r="M53" s="508"/>
      <c r="N53" s="511" t="s">
        <v>442</v>
      </c>
      <c r="O53" s="513" t="s">
        <v>429</v>
      </c>
      <c r="P53" s="510">
        <v>273249576</v>
      </c>
      <c r="Q53" s="510" t="s">
        <v>429</v>
      </c>
      <c r="R53" s="510"/>
      <c r="S53" s="510" t="s">
        <v>344</v>
      </c>
    </row>
    <row r="54" spans="1:19" ht="18.75" customHeight="1">
      <c r="A54" s="504" t="str">
        <f t="shared" si="1"/>
        <v/>
      </c>
      <c r="B54" s="501"/>
      <c r="C54" s="525" t="s">
        <v>422</v>
      </c>
      <c r="D54" s="13"/>
      <c r="E54" s="13">
        <f t="shared" ref="E54:L54" si="9">SUM(E12:E53)</f>
        <v>497677</v>
      </c>
      <c r="F54" s="13">
        <f t="shared" si="9"/>
        <v>526519887</v>
      </c>
      <c r="G54" s="13">
        <f t="shared" si="9"/>
        <v>101738</v>
      </c>
      <c r="H54" s="13">
        <f t="shared" si="9"/>
        <v>800442354</v>
      </c>
      <c r="I54" s="13">
        <f t="shared" si="9"/>
        <v>389385</v>
      </c>
      <c r="J54" s="13">
        <f t="shared" si="9"/>
        <v>902614931</v>
      </c>
      <c r="K54" s="13">
        <f t="shared" si="9"/>
        <v>210030</v>
      </c>
      <c r="L54" s="13">
        <f t="shared" si="9"/>
        <v>424347310</v>
      </c>
      <c r="M54" s="508"/>
      <c r="N54" s="511" t="s">
        <v>444</v>
      </c>
      <c r="O54" s="513" t="s">
        <v>429</v>
      </c>
      <c r="P54" s="510">
        <v>271642418</v>
      </c>
      <c r="Q54" s="510" t="s">
        <v>429</v>
      </c>
      <c r="R54" s="510"/>
      <c r="S54" s="510" t="s">
        <v>344</v>
      </c>
    </row>
    <row r="55" spans="1:19" ht="18.75" customHeight="1">
      <c r="A55" s="504"/>
      <c r="B55" s="954"/>
      <c r="C55" s="955"/>
      <c r="D55" s="956"/>
      <c r="E55" s="956"/>
      <c r="F55" s="956">
        <f>F54-CDPS!C22</f>
        <v>0</v>
      </c>
      <c r="G55" s="956"/>
      <c r="H55" s="956">
        <f>H54-CDPS!E22</f>
        <v>0</v>
      </c>
      <c r="I55" s="956"/>
      <c r="J55" s="956">
        <f>J54-CDPS!F22</f>
        <v>0</v>
      </c>
      <c r="K55" s="956"/>
      <c r="L55" s="956">
        <f>L54-CDPS!G22</f>
        <v>0</v>
      </c>
      <c r="M55" s="508"/>
      <c r="N55" s="517" t="s">
        <v>446</v>
      </c>
      <c r="O55" s="513" t="s">
        <v>429</v>
      </c>
      <c r="P55" s="510">
        <v>273017840</v>
      </c>
      <c r="Q55" s="510" t="s">
        <v>447</v>
      </c>
      <c r="R55" s="510"/>
      <c r="S55" s="510"/>
    </row>
    <row r="56" spans="1:19" ht="18.75" customHeight="1">
      <c r="A56" s="504" t="str">
        <f t="shared" ref="A56:A61" si="10">IF(B56&lt;&gt;"","NL","")</f>
        <v>NL</v>
      </c>
      <c r="B56" s="953">
        <f>IF(C56&lt;&gt;"",ROW()-(ROW()-1),"")</f>
        <v>1</v>
      </c>
      <c r="C56" s="506" t="s">
        <v>683</v>
      </c>
      <c r="D56" s="507" t="s">
        <v>340</v>
      </c>
      <c r="E56" s="25">
        <v>46400</v>
      </c>
      <c r="F56" s="25">
        <v>858400000</v>
      </c>
      <c r="G56" s="25">
        <f t="array" ref="G56">SUM(IF("1521"&amp;C56=KHN&amp;MH,SL))</f>
        <v>185100</v>
      </c>
      <c r="H56" s="25">
        <f t="array" ref="H56">SUM(IF("1521"&amp;C56=KHN&amp;MH,TH))</f>
        <v>2918150000</v>
      </c>
      <c r="I56" s="25">
        <f t="array" ref="I56">SUM(IF("1521"&amp;C56=KHC&amp;MH,SL))</f>
        <v>231500</v>
      </c>
      <c r="J56" s="25">
        <f t="array" ref="J56">SUM(IF("1521"&amp;C56=KHC&amp;MH,TH))</f>
        <v>3776550000</v>
      </c>
      <c r="K56" s="25">
        <f t="shared" ref="K56:L60" si="11">E56+G56-I56</f>
        <v>0</v>
      </c>
      <c r="L56" s="25">
        <f t="shared" si="11"/>
        <v>0</v>
      </c>
      <c r="M56" s="508"/>
      <c r="N56" s="511" t="s">
        <v>449</v>
      </c>
      <c r="O56" s="511"/>
      <c r="P56" s="511"/>
      <c r="Q56" s="511"/>
      <c r="R56" s="511"/>
      <c r="S56" s="510"/>
    </row>
    <row r="57" spans="1:19" ht="18.75" customHeight="1">
      <c r="A57" s="504" t="str">
        <f t="shared" si="10"/>
        <v>NL</v>
      </c>
      <c r="B57" s="505">
        <f>IF(C57&lt;&gt;"",B56+1,"")</f>
        <v>2</v>
      </c>
      <c r="C57" s="511" t="s">
        <v>684</v>
      </c>
      <c r="D57" s="507" t="s">
        <v>340</v>
      </c>
      <c r="E57" s="8">
        <v>132000</v>
      </c>
      <c r="F57" s="8">
        <v>1914000000</v>
      </c>
      <c r="G57" s="25">
        <f t="array" ref="G57">SUM(IF("1521"&amp;C57=KHN&amp;MH,SL))</f>
        <v>400840</v>
      </c>
      <c r="H57" s="25">
        <f t="array" ref="H57">SUM(IF("1521"&amp;C57=KHN&amp;MH,TH))</f>
        <v>5553570000</v>
      </c>
      <c r="I57" s="25">
        <f t="array" ref="I57">SUM(IF("1521"&amp;C57=KHC&amp;MH,SL))</f>
        <v>532840</v>
      </c>
      <c r="J57" s="25">
        <f t="array" ref="J57">SUM(IF("1521"&amp;C57=KHC&amp;MH,TH))</f>
        <v>7467570000</v>
      </c>
      <c r="K57" s="8">
        <f t="shared" si="11"/>
        <v>0</v>
      </c>
      <c r="L57" s="8">
        <f t="shared" si="11"/>
        <v>0</v>
      </c>
      <c r="M57" s="508"/>
      <c r="N57" s="518"/>
      <c r="O57" s="519"/>
      <c r="P57" s="520"/>
      <c r="Q57" s="520"/>
      <c r="R57" s="510"/>
      <c r="S57" s="510"/>
    </row>
    <row r="58" spans="1:19" ht="18.75" customHeight="1">
      <c r="A58" s="504" t="str">
        <f t="shared" si="10"/>
        <v>NL</v>
      </c>
      <c r="B58" s="505">
        <f>IF(C58&lt;&gt;"",B57+1,"")</f>
        <v>3</v>
      </c>
      <c r="C58" s="511" t="s">
        <v>1958</v>
      </c>
      <c r="D58" s="507" t="s">
        <v>340</v>
      </c>
      <c r="E58" s="8"/>
      <c r="F58" s="8"/>
      <c r="G58" s="25">
        <f t="array" ref="G58">SUM(IF("1521"&amp;C58=KHN&amp;MH,SL))</f>
        <v>9850</v>
      </c>
      <c r="H58" s="25">
        <f t="array" ref="H58">SUM(IF("1521"&amp;C58=KHN&amp;MH,TH))</f>
        <v>147750000</v>
      </c>
      <c r="I58" s="25">
        <f t="array" ref="I58">SUM(IF("1521"&amp;C58=KHC&amp;MH,SL))</f>
        <v>9850</v>
      </c>
      <c r="J58" s="25">
        <f t="array" ref="J58">SUM(IF("1521"&amp;C58=KHC&amp;MH,TH))</f>
        <v>147750000</v>
      </c>
      <c r="K58" s="8">
        <f t="shared" si="11"/>
        <v>0</v>
      </c>
      <c r="L58" s="8">
        <f t="shared" si="11"/>
        <v>0</v>
      </c>
      <c r="M58" s="508"/>
      <c r="N58" s="518"/>
      <c r="O58" s="519"/>
      <c r="P58" s="520"/>
      <c r="Q58" s="520"/>
      <c r="R58" s="510"/>
      <c r="S58" s="510"/>
    </row>
    <row r="59" spans="1:19" ht="18.75" customHeight="1">
      <c r="A59" s="504" t="str">
        <f t="shared" si="10"/>
        <v>NL</v>
      </c>
      <c r="B59" s="505">
        <f>IF(C59&lt;&gt;"",B58+1,"")</f>
        <v>4</v>
      </c>
      <c r="C59" s="511" t="s">
        <v>1959</v>
      </c>
      <c r="D59" s="507" t="s">
        <v>340</v>
      </c>
      <c r="E59" s="8"/>
      <c r="F59" s="8"/>
      <c r="G59" s="25">
        <f t="array" ref="G59">SUM(IF("1521"&amp;C59=KHN&amp;MH,SL))</f>
        <v>3000</v>
      </c>
      <c r="H59" s="25">
        <f t="array" ref="H59">SUM(IF("1521"&amp;C59=KHN&amp;MH,TH))</f>
        <v>49500000</v>
      </c>
      <c r="I59" s="25">
        <f t="array" ref="I59">SUM(IF("1521"&amp;C59=KHC&amp;MH,SL))</f>
        <v>3000</v>
      </c>
      <c r="J59" s="25">
        <f t="array" ref="J59">SUM(IF("1521"&amp;C59=KHC&amp;MH,TH))</f>
        <v>49500000</v>
      </c>
      <c r="K59" s="8">
        <f t="shared" si="11"/>
        <v>0</v>
      </c>
      <c r="L59" s="8">
        <f t="shared" si="11"/>
        <v>0</v>
      </c>
      <c r="M59" s="508"/>
      <c r="N59" s="518"/>
      <c r="O59" s="519"/>
      <c r="P59" s="520"/>
      <c r="Q59" s="520"/>
      <c r="R59" s="510"/>
      <c r="S59" s="510" t="s">
        <v>344</v>
      </c>
    </row>
    <row r="60" spans="1:19" ht="19.5" customHeight="1">
      <c r="A60" s="504" t="str">
        <f t="shared" si="10"/>
        <v>NL</v>
      </c>
      <c r="B60" s="505">
        <f>IF(C60&lt;&gt;"",B59+1,"")</f>
        <v>5</v>
      </c>
      <c r="C60" s="511" t="s">
        <v>1960</v>
      </c>
      <c r="D60" s="507" t="s">
        <v>340</v>
      </c>
      <c r="E60" s="8"/>
      <c r="F60" s="8"/>
      <c r="G60" s="25">
        <f t="array" ref="G60">SUM(IF("1521"&amp;C60=KHN&amp;MH,SL))</f>
        <v>2500</v>
      </c>
      <c r="H60" s="25">
        <f t="array" ref="H60">SUM(IF("1521"&amp;C60=KHN&amp;MH,TH))</f>
        <v>112500000</v>
      </c>
      <c r="I60" s="25">
        <f t="array" ref="I60">SUM(IF("1521"&amp;C60=KHC&amp;MH,SL))</f>
        <v>2500</v>
      </c>
      <c r="J60" s="25">
        <f t="array" ref="J60">SUM(IF("1521"&amp;C60=KHC&amp;MH,TH))</f>
        <v>112500000</v>
      </c>
      <c r="K60" s="8">
        <f t="shared" si="11"/>
        <v>0</v>
      </c>
      <c r="L60" s="8">
        <f t="shared" si="11"/>
        <v>0</v>
      </c>
      <c r="M60" s="508"/>
      <c r="N60" s="511"/>
      <c r="O60" s="511"/>
      <c r="P60" s="511"/>
      <c r="Q60" s="511"/>
      <c r="R60" s="511"/>
      <c r="S60" s="511"/>
    </row>
    <row r="61" spans="1:19" ht="19.5" customHeight="1">
      <c r="A61" s="504" t="str">
        <f t="shared" si="10"/>
        <v>NL</v>
      </c>
      <c r="B61" s="505">
        <f>IF(C61&lt;&gt;"",B60+1,"")</f>
        <v>6</v>
      </c>
      <c r="C61" s="511" t="s">
        <v>1961</v>
      </c>
      <c r="D61" s="507" t="s">
        <v>340</v>
      </c>
      <c r="E61" s="8"/>
      <c r="F61" s="8"/>
      <c r="G61" s="25">
        <f t="array" ref="G61">SUM(IF("1521"&amp;C61=KHN&amp;MH,SL))</f>
        <v>1950</v>
      </c>
      <c r="H61" s="25">
        <f t="array" ref="H61">SUM(IF("1521"&amp;C61=KHN&amp;MH,TH))</f>
        <v>37050000</v>
      </c>
      <c r="I61" s="25">
        <f t="array" ref="I61">SUM(IF("1521"&amp;C61=KHC&amp;MH,SL))</f>
        <v>1950</v>
      </c>
      <c r="J61" s="25">
        <f t="array" ref="J61">SUM(IF("1521"&amp;C61=KHC&amp;MH,TH))</f>
        <v>37050000</v>
      </c>
      <c r="K61" s="8">
        <f t="shared" ref="K61:L67" si="12">E61+G61-I61</f>
        <v>0</v>
      </c>
      <c r="L61" s="8">
        <f t="shared" si="12"/>
        <v>0</v>
      </c>
      <c r="M61" s="508"/>
      <c r="N61" s="532"/>
      <c r="O61" s="532"/>
      <c r="P61" s="532"/>
      <c r="Q61" s="532"/>
      <c r="R61" s="532"/>
      <c r="S61" s="532"/>
    </row>
    <row r="62" spans="1:19" ht="19.5" customHeight="1">
      <c r="A62" s="504" t="str">
        <f t="shared" ref="A62:A68" si="13">IF(B62&lt;&gt;"","NL","")</f>
        <v>NL</v>
      </c>
      <c r="B62" s="505">
        <f t="shared" ref="B62:B68" si="14">IF(C62&lt;&gt;"",B61+1,"")</f>
        <v>7</v>
      </c>
      <c r="C62" s="511" t="s">
        <v>1962</v>
      </c>
      <c r="D62" s="507" t="s">
        <v>340</v>
      </c>
      <c r="E62" s="8"/>
      <c r="F62" s="8"/>
      <c r="G62" s="25">
        <f t="array" ref="G62">SUM(IF("1521"&amp;C62=KHN&amp;MH,SL))</f>
        <v>95000</v>
      </c>
      <c r="H62" s="25">
        <f t="array" ref="H62">SUM(IF("1521"&amp;C62=KHN&amp;MH,TH))</f>
        <v>1045000000</v>
      </c>
      <c r="I62" s="25">
        <f t="array" ref="I62">SUM(IF("1521"&amp;C62=KHC&amp;MH,SL))</f>
        <v>95000</v>
      </c>
      <c r="J62" s="25">
        <f t="array" ref="J62">SUM(IF("1521"&amp;C62=KHC&amp;MH,TH))</f>
        <v>1045000000</v>
      </c>
      <c r="K62" s="8">
        <f t="shared" si="12"/>
        <v>0</v>
      </c>
      <c r="L62" s="8">
        <f t="shared" si="12"/>
        <v>0</v>
      </c>
      <c r="M62" s="508"/>
      <c r="N62" s="532"/>
      <c r="O62" s="532"/>
      <c r="P62" s="532"/>
      <c r="Q62" s="532"/>
      <c r="R62" s="532"/>
      <c r="S62" s="532"/>
    </row>
    <row r="63" spans="1:19" ht="19.5" customHeight="1">
      <c r="A63" s="504" t="str">
        <f t="shared" si="13"/>
        <v>NL</v>
      </c>
      <c r="B63" s="505">
        <f t="shared" si="14"/>
        <v>8</v>
      </c>
      <c r="C63" s="511" t="s">
        <v>1963</v>
      </c>
      <c r="D63" s="507" t="s">
        <v>340</v>
      </c>
      <c r="E63" s="8"/>
      <c r="F63" s="8"/>
      <c r="G63" s="25">
        <f t="array" ref="G63">SUM(IF("1521"&amp;C63=KHN&amp;MH,SL))</f>
        <v>24168</v>
      </c>
      <c r="H63" s="25">
        <f t="array" ref="H63">SUM(IF("1521"&amp;C63=KHN&amp;MH,TH))</f>
        <v>2537640000</v>
      </c>
      <c r="I63" s="25">
        <f t="array" ref="I63">SUM(IF("1521"&amp;C63=KHC&amp;MH,SL))</f>
        <v>24168</v>
      </c>
      <c r="J63" s="25">
        <f t="array" ref="J63">SUM(IF("1521"&amp;C63=KHC&amp;MH,TH))</f>
        <v>2537640000</v>
      </c>
      <c r="K63" s="8">
        <f t="shared" si="12"/>
        <v>0</v>
      </c>
      <c r="L63" s="8">
        <f t="shared" si="12"/>
        <v>0</v>
      </c>
      <c r="M63" s="508"/>
      <c r="N63" s="532"/>
      <c r="O63" s="532"/>
      <c r="P63" s="532"/>
      <c r="Q63" s="532"/>
      <c r="R63" s="532"/>
      <c r="S63" s="532"/>
    </row>
    <row r="64" spans="1:19" ht="19.5" customHeight="1">
      <c r="A64" s="504" t="str">
        <f t="shared" si="13"/>
        <v>NL</v>
      </c>
      <c r="B64" s="505">
        <f t="shared" si="14"/>
        <v>9</v>
      </c>
      <c r="C64" s="511" t="s">
        <v>1983</v>
      </c>
      <c r="D64" s="507" t="s">
        <v>340</v>
      </c>
      <c r="E64" s="8"/>
      <c r="F64" s="8"/>
      <c r="G64" s="25">
        <f t="array" ref="G64">SUM(IF("1521"&amp;C64=KHN&amp;MH,SL))</f>
        <v>20430</v>
      </c>
      <c r="H64" s="25">
        <f t="array" ref="H64">SUM(IF("1521"&amp;C64=KHN&amp;MH,TH))</f>
        <v>357525000</v>
      </c>
      <c r="I64" s="25">
        <f t="array" ref="I64">SUM(IF("1521"&amp;C64=KHC&amp;MH,SL))</f>
        <v>20430</v>
      </c>
      <c r="J64" s="25">
        <f t="array" ref="J64">SUM(IF("1521"&amp;C64=KHC&amp;MH,TH))</f>
        <v>357525000</v>
      </c>
      <c r="K64" s="8">
        <f t="shared" si="12"/>
        <v>0</v>
      </c>
      <c r="L64" s="8">
        <f t="shared" si="12"/>
        <v>0</v>
      </c>
      <c r="M64" s="508"/>
      <c r="N64" s="532"/>
      <c r="O64" s="532"/>
      <c r="P64" s="532"/>
      <c r="Q64" s="532"/>
      <c r="R64" s="532"/>
      <c r="S64" s="532"/>
    </row>
    <row r="65" spans="1:20" ht="19.5" customHeight="1">
      <c r="A65" s="504" t="str">
        <f t="shared" si="13"/>
        <v>NL</v>
      </c>
      <c r="B65" s="505">
        <f t="shared" si="14"/>
        <v>10</v>
      </c>
      <c r="C65" s="511" t="s">
        <v>1987</v>
      </c>
      <c r="D65" s="507" t="s">
        <v>340</v>
      </c>
      <c r="E65" s="8"/>
      <c r="F65" s="8"/>
      <c r="G65" s="25">
        <f t="array" ref="G65">SUM(IF("1521"&amp;C65=KHN&amp;MH,SL))</f>
        <v>475818</v>
      </c>
      <c r="H65" s="25">
        <f t="array" ref="H65">SUM(IF("1521"&amp;C65=KHN&amp;MH,TH))</f>
        <v>12753630000</v>
      </c>
      <c r="I65" s="25">
        <f t="array" ref="I65">SUM(IF("1521"&amp;C65=KHC&amp;MH,SL))</f>
        <v>390000</v>
      </c>
      <c r="J65" s="25">
        <f t="array" ref="J65">SUM(IF("1521"&amp;C65=KHC&amp;MH,TH))</f>
        <v>9750000000</v>
      </c>
      <c r="K65" s="8">
        <f t="shared" si="12"/>
        <v>85818</v>
      </c>
      <c r="L65" s="8">
        <f t="shared" si="12"/>
        <v>3003630000</v>
      </c>
      <c r="M65" s="508"/>
      <c r="N65" s="532"/>
      <c r="O65" s="532"/>
      <c r="P65" s="532"/>
      <c r="Q65" s="532"/>
      <c r="R65" s="532"/>
      <c r="S65" s="532"/>
    </row>
    <row r="66" spans="1:20" ht="19.5" customHeight="1">
      <c r="A66" s="504" t="str">
        <f t="shared" si="13"/>
        <v>NL</v>
      </c>
      <c r="B66" s="505">
        <f t="shared" si="14"/>
        <v>11</v>
      </c>
      <c r="C66" s="511" t="s">
        <v>1964</v>
      </c>
      <c r="D66" s="507" t="s">
        <v>340</v>
      </c>
      <c r="E66" s="8"/>
      <c r="F66" s="8"/>
      <c r="G66" s="25">
        <f t="array" ref="G66">SUM(IF("1521"&amp;C66=KHN&amp;MH,SL))</f>
        <v>16100</v>
      </c>
      <c r="H66" s="25">
        <f t="array" ref="H66">SUM(IF("1521"&amp;C66=KHN&amp;MH,TH))</f>
        <v>179756500</v>
      </c>
      <c r="I66" s="25">
        <f t="array" ref="I66">SUM(IF("1521"&amp;C66=KHC&amp;MH,SL))</f>
        <v>16100</v>
      </c>
      <c r="J66" s="25">
        <f t="array" ref="J66">SUM(IF("1521"&amp;C66=KHC&amp;MH,TH))</f>
        <v>179756500</v>
      </c>
      <c r="K66" s="8">
        <f t="shared" si="12"/>
        <v>0</v>
      </c>
      <c r="L66" s="8">
        <f t="shared" si="12"/>
        <v>0</v>
      </c>
      <c r="M66" s="508"/>
      <c r="N66" s="532"/>
      <c r="O66" s="532"/>
      <c r="P66" s="532"/>
      <c r="Q66" s="532"/>
      <c r="R66" s="532"/>
      <c r="S66" s="532"/>
    </row>
    <row r="67" spans="1:20" ht="19.5" customHeight="1">
      <c r="A67" s="504" t="str">
        <f t="shared" si="13"/>
        <v>NL</v>
      </c>
      <c r="B67" s="505">
        <f t="shared" si="14"/>
        <v>12</v>
      </c>
      <c r="C67" s="511" t="s">
        <v>1965</v>
      </c>
      <c r="D67" s="507" t="s">
        <v>340</v>
      </c>
      <c r="E67" s="8"/>
      <c r="F67" s="8"/>
      <c r="G67" s="25">
        <f t="array" ref="G67">SUM(IF("1521"&amp;C67=KHN&amp;MH,SL))</f>
        <v>7700</v>
      </c>
      <c r="H67" s="25">
        <f t="array" ref="H67">SUM(IF("1521"&amp;C67=KHN&amp;MH,TH))</f>
        <v>85970500</v>
      </c>
      <c r="I67" s="25">
        <f t="array" ref="I67">SUM(IF("1521"&amp;C67=KHC&amp;MH,SL))</f>
        <v>7700</v>
      </c>
      <c r="J67" s="25">
        <f t="array" ref="J67">SUM(IF("1521"&amp;C67=KHC&amp;MH,TH))</f>
        <v>85970500</v>
      </c>
      <c r="K67" s="8">
        <f t="shared" si="12"/>
        <v>0</v>
      </c>
      <c r="L67" s="8">
        <f t="shared" si="12"/>
        <v>0</v>
      </c>
      <c r="M67" s="508"/>
      <c r="N67" s="532"/>
      <c r="O67" s="532"/>
      <c r="P67" s="532"/>
      <c r="Q67" s="532"/>
      <c r="R67" s="532"/>
      <c r="S67" s="532"/>
    </row>
    <row r="68" spans="1:20" ht="18.75" customHeight="1">
      <c r="A68" s="504" t="str">
        <f t="shared" si="13"/>
        <v/>
      </c>
      <c r="B68" s="505" t="str">
        <f t="shared" si="14"/>
        <v/>
      </c>
      <c r="C68" s="526"/>
      <c r="D68" s="527"/>
      <c r="E68" s="528"/>
      <c r="F68" s="528"/>
      <c r="G68" s="528"/>
      <c r="H68" s="528"/>
      <c r="I68" s="528"/>
      <c r="J68" s="528"/>
      <c r="K68" s="8"/>
      <c r="L68" s="8"/>
      <c r="M68" s="532"/>
      <c r="N68" s="532"/>
      <c r="O68" s="532"/>
      <c r="P68" s="532"/>
      <c r="Q68" s="532"/>
      <c r="R68" s="532"/>
      <c r="S68" s="532"/>
      <c r="T68" s="532"/>
    </row>
    <row r="69" spans="1:20" ht="18.75" customHeight="1">
      <c r="A69" s="504" t="str">
        <f>IF(B69&lt;&gt;"","NL","")</f>
        <v/>
      </c>
      <c r="B69" s="501"/>
      <c r="C69" s="525" t="s">
        <v>436</v>
      </c>
      <c r="D69" s="501"/>
      <c r="E69" s="13">
        <f>SUM(E56:E68)</f>
        <v>178400</v>
      </c>
      <c r="F69" s="13">
        <f t="shared" ref="F69:L69" si="15">SUM(F56:F68)</f>
        <v>2772400000</v>
      </c>
      <c r="G69" s="13">
        <f t="shared" si="15"/>
        <v>1242456</v>
      </c>
      <c r="H69" s="13">
        <f t="shared" si="15"/>
        <v>25778042000</v>
      </c>
      <c r="I69" s="13">
        <f t="shared" si="15"/>
        <v>1335038</v>
      </c>
      <c r="J69" s="13">
        <f t="shared" si="15"/>
        <v>25546812000</v>
      </c>
      <c r="K69" s="13">
        <f t="shared" si="15"/>
        <v>85818</v>
      </c>
      <c r="L69" s="13">
        <f t="shared" si="15"/>
        <v>3003630000</v>
      </c>
      <c r="M69" s="495"/>
      <c r="P69" s="532"/>
      <c r="Q69" s="532"/>
      <c r="R69" s="532"/>
      <c r="S69" s="532"/>
      <c r="T69" s="532"/>
    </row>
    <row r="70" spans="1:20" ht="19.5" customHeight="1">
      <c r="A70" s="504"/>
      <c r="B70" s="954"/>
      <c r="C70" s="955"/>
      <c r="D70" s="954"/>
      <c r="E70" s="956"/>
      <c r="F70" s="956">
        <f>F69-CDPS!C21</f>
        <v>0</v>
      </c>
      <c r="G70" s="956"/>
      <c r="H70" s="956">
        <f>H69-CDPS!E21</f>
        <v>0</v>
      </c>
      <c r="I70" s="956"/>
      <c r="J70" s="956">
        <f>J69-CDPS!F21</f>
        <v>0</v>
      </c>
      <c r="K70" s="956"/>
      <c r="L70" s="956">
        <f>L69-CDPS!G21</f>
        <v>0</v>
      </c>
      <c r="M70" s="495"/>
      <c r="P70" s="532"/>
      <c r="Q70" s="532"/>
      <c r="R70" s="532"/>
      <c r="S70" s="532"/>
    </row>
    <row r="71" spans="1:20" ht="19.5" customHeight="1">
      <c r="A71" s="504" t="str">
        <f t="shared" ref="A71:A81" si="16">IF(B71&lt;&gt;"","TP","")</f>
        <v>TP</v>
      </c>
      <c r="B71" s="529">
        <f>IF(C71&lt;&gt;"",ROW()-(ROW()-1),"")</f>
        <v>1</v>
      </c>
      <c r="C71" s="506" t="s">
        <v>441</v>
      </c>
      <c r="D71" s="530" t="s">
        <v>340</v>
      </c>
      <c r="E71" s="25">
        <v>4725</v>
      </c>
      <c r="F71" s="25">
        <v>600463535</v>
      </c>
      <c r="G71" s="25">
        <f t="array" ref="G71">SUM(IF("155"&amp;C71=KHN&amp;MH,SL))</f>
        <v>156000</v>
      </c>
      <c r="H71" s="25">
        <f t="array" ref="H71">SUM(IF("155"&amp;C71=KHN&amp;MH,TH))</f>
        <v>10361872671</v>
      </c>
      <c r="I71" s="25">
        <f t="array" ref="I71">SUM(IF("155"&amp;C71=KHC&amp;MH,SL))</f>
        <v>104000</v>
      </c>
      <c r="J71" s="25">
        <f t="array" ref="J71">SUM(IF("155"&amp;C71=KHC&amp;MH,TH))</f>
        <v>5646212000</v>
      </c>
      <c r="K71" s="25">
        <f t="shared" ref="K71:L75" si="17">E71+G71-I71</f>
        <v>56725</v>
      </c>
      <c r="L71" s="25">
        <f t="shared" si="17"/>
        <v>5316124206</v>
      </c>
      <c r="M71" s="495"/>
      <c r="Q71" s="533"/>
      <c r="R71" s="533"/>
      <c r="S71" s="533"/>
    </row>
    <row r="72" spans="1:20" ht="19.5" customHeight="1">
      <c r="A72" s="504" t="str">
        <f t="shared" si="16"/>
        <v>TP</v>
      </c>
      <c r="B72" s="531">
        <f>IF(C72&lt;&gt;"",B71+1,"")</f>
        <v>2</v>
      </c>
      <c r="C72" s="511" t="s">
        <v>443</v>
      </c>
      <c r="D72" s="530" t="s">
        <v>340</v>
      </c>
      <c r="E72" s="8">
        <v>31675</v>
      </c>
      <c r="F72" s="8">
        <v>4490555471</v>
      </c>
      <c r="G72" s="25">
        <f t="array" ref="G72">SUM(IF("155"&amp;C72=KHN&amp;MH,SL))</f>
        <v>0</v>
      </c>
      <c r="H72" s="25">
        <f t="array" ref="H72">SUM(IF("155"&amp;C72=KHN&amp;MH,TH))</f>
        <v>0</v>
      </c>
      <c r="I72" s="25">
        <f t="array" ref="I72">SUM(IF("155"&amp;C72=KHC&amp;MH,SL))</f>
        <v>0</v>
      </c>
      <c r="J72" s="25">
        <f t="array" ref="J72">SUM(IF("155"&amp;C72=KHC&amp;MH,TH))</f>
        <v>0</v>
      </c>
      <c r="K72" s="8">
        <f t="shared" si="17"/>
        <v>31675</v>
      </c>
      <c r="L72" s="8">
        <f t="shared" si="17"/>
        <v>4490555471</v>
      </c>
      <c r="M72" s="495"/>
      <c r="Q72" s="506" t="s">
        <v>441</v>
      </c>
      <c r="R72" s="506"/>
      <c r="S72" s="530">
        <v>4.5</v>
      </c>
    </row>
    <row r="73" spans="1:20" ht="19.5" customHeight="1">
      <c r="A73" s="504" t="str">
        <f t="shared" si="16"/>
        <v>TP</v>
      </c>
      <c r="B73" s="531">
        <f>IF(C73&lt;&gt;"",B72+1,"")</f>
        <v>3</v>
      </c>
      <c r="C73" s="511" t="s">
        <v>445</v>
      </c>
      <c r="D73" s="530" t="s">
        <v>340</v>
      </c>
      <c r="E73" s="8">
        <v>20987</v>
      </c>
      <c r="F73" s="8">
        <v>3171039713</v>
      </c>
      <c r="G73" s="25">
        <f t="array" ref="G73">SUM(IF("155"&amp;C73=KHN&amp;MH,SL))</f>
        <v>0</v>
      </c>
      <c r="H73" s="25">
        <f t="array" ref="H73">SUM(IF("155"&amp;C73=KHN&amp;MH,TH))</f>
        <v>0</v>
      </c>
      <c r="I73" s="25">
        <f t="array" ref="I73">SUM(IF("155"&amp;C73=KHC&amp;MH,SL))</f>
        <v>0</v>
      </c>
      <c r="J73" s="25">
        <f t="array" ref="J73">SUM(IF("155"&amp;C73=KHC&amp;MH,TH))</f>
        <v>0</v>
      </c>
      <c r="K73" s="8">
        <f t="shared" si="17"/>
        <v>20987</v>
      </c>
      <c r="L73" s="8">
        <f t="shared" si="17"/>
        <v>3171039713</v>
      </c>
      <c r="M73" s="495"/>
      <c r="Q73" s="511" t="s">
        <v>443</v>
      </c>
      <c r="R73" s="506"/>
      <c r="S73" s="530">
        <v>5</v>
      </c>
    </row>
    <row r="74" spans="1:20" ht="20.25" customHeight="1">
      <c r="A74" s="504" t="str">
        <f t="shared" si="16"/>
        <v>TP</v>
      </c>
      <c r="B74" s="531">
        <f>IF(C74&lt;&gt;"",B73+1,"")</f>
        <v>4</v>
      </c>
      <c r="C74" s="511" t="s">
        <v>448</v>
      </c>
      <c r="D74" s="530" t="s">
        <v>340</v>
      </c>
      <c r="E74" s="8">
        <v>122</v>
      </c>
      <c r="F74" s="8">
        <v>17080000</v>
      </c>
      <c r="G74" s="25">
        <f t="array" ref="G74">SUM(IF("155"&amp;C74=KHN&amp;MH,SL))</f>
        <v>0</v>
      </c>
      <c r="H74" s="25">
        <f t="array" ref="H74">SUM(IF("155"&amp;C74=KHN&amp;MH,TH))</f>
        <v>0</v>
      </c>
      <c r="I74" s="25">
        <f t="array" ref="I74">SUM(IF("155"&amp;C74=KHC&amp;MH,SL))</f>
        <v>0</v>
      </c>
      <c r="J74" s="25">
        <f t="array" ref="J74">SUM(IF("155"&amp;C74=KHC&amp;MH,TH))</f>
        <v>0</v>
      </c>
      <c r="K74" s="8">
        <f t="shared" si="17"/>
        <v>122</v>
      </c>
      <c r="L74" s="8">
        <f t="shared" si="17"/>
        <v>17080000</v>
      </c>
      <c r="M74" s="495"/>
      <c r="Q74" s="511" t="s">
        <v>445</v>
      </c>
      <c r="R74" s="506"/>
      <c r="S74" s="530">
        <v>5</v>
      </c>
    </row>
    <row r="75" spans="1:20" ht="20.25" customHeight="1">
      <c r="A75" s="504" t="str">
        <f t="shared" si="16"/>
        <v>TP</v>
      </c>
      <c r="B75" s="531">
        <f>IF(C75&lt;&gt;"",B74+1,"")</f>
        <v>5</v>
      </c>
      <c r="C75" s="511" t="s">
        <v>450</v>
      </c>
      <c r="D75" s="530" t="s">
        <v>340</v>
      </c>
      <c r="E75" s="8">
        <v>16075</v>
      </c>
      <c r="F75" s="8">
        <v>1107185105</v>
      </c>
      <c r="G75" s="25">
        <f t="array" ref="G75">SUM(IF("155"&amp;C75=KHN&amp;MH,SL))</f>
        <v>0</v>
      </c>
      <c r="H75" s="25">
        <f>SUM(IF("155"&amp;C75=KHN&amp;MH,TH))</f>
        <v>0</v>
      </c>
      <c r="I75" s="25">
        <f t="array" ref="I75">SUM(IF("155"&amp;C75=KHC&amp;MH,SL))</f>
        <v>16075</v>
      </c>
      <c r="J75" s="25">
        <f t="array" ref="J75">SUM(IF("155"&amp;C75=KHC&amp;MH,TH))</f>
        <v>1107185105</v>
      </c>
      <c r="K75" s="8">
        <f t="shared" si="17"/>
        <v>0</v>
      </c>
      <c r="L75" s="8">
        <f t="shared" si="17"/>
        <v>0</v>
      </c>
      <c r="M75" s="495"/>
      <c r="N75" s="1154">
        <f>F71/E71</f>
        <v>127082.22962962963</v>
      </c>
      <c r="Q75" s="511" t="s">
        <v>448</v>
      </c>
      <c r="R75" s="506"/>
      <c r="S75" s="530">
        <v>5</v>
      </c>
    </row>
    <row r="76" spans="1:20" ht="20.25" customHeight="1">
      <c r="A76" s="504" t="str">
        <f t="shared" si="16"/>
        <v>TP</v>
      </c>
      <c r="B76" s="531">
        <f>IF(C76&lt;&gt;"",B75+1,"")</f>
        <v>6</v>
      </c>
      <c r="C76" s="511" t="s">
        <v>451</v>
      </c>
      <c r="D76" s="530" t="s">
        <v>340</v>
      </c>
      <c r="E76" s="8">
        <v>0</v>
      </c>
      <c r="F76" s="8">
        <v>0</v>
      </c>
      <c r="G76" s="25">
        <f t="array" ref="G76">SUM(IF("155"&amp;C76=KHN&amp;MH,SL))</f>
        <v>13940</v>
      </c>
      <c r="H76" s="25">
        <f t="array" ref="H76">SUM(IF("155"&amp;C76=KHN&amp;MH,TH))</f>
        <v>2577960612</v>
      </c>
      <c r="I76" s="25">
        <f t="array" ref="I76">SUM(IF("155"&amp;C76=KHC&amp;MH,SL))</f>
        <v>13940</v>
      </c>
      <c r="J76" s="25">
        <f t="array" ref="J76">SUM(IF("155"&amp;C76=KHC&amp;MH,TH))</f>
        <v>2578293466</v>
      </c>
      <c r="K76" s="8">
        <f t="shared" ref="K76:K99" si="18">E76+G76-I76</f>
        <v>0</v>
      </c>
      <c r="L76" s="8">
        <f t="shared" ref="L76:L99" si="19">F76+H76-J76</f>
        <v>-332854</v>
      </c>
      <c r="M76" s="495"/>
      <c r="Q76" s="511" t="s">
        <v>450</v>
      </c>
      <c r="R76" s="511"/>
      <c r="S76" s="534"/>
    </row>
    <row r="77" spans="1:20" ht="20.25" customHeight="1">
      <c r="A77" s="504" t="str">
        <f t="shared" si="16"/>
        <v>TP</v>
      </c>
      <c r="B77" s="531">
        <f t="shared" ref="B77:B99" si="20">IF(C77&lt;&gt;"",B76+1,"")</f>
        <v>7</v>
      </c>
      <c r="C77" s="511" t="s">
        <v>452</v>
      </c>
      <c r="D77" s="530" t="s">
        <v>340</v>
      </c>
      <c r="E77" s="8">
        <v>0</v>
      </c>
      <c r="F77" s="8">
        <v>0</v>
      </c>
      <c r="G77" s="25">
        <f t="array" ref="G77">SUM(IF("155"&amp;C77=KHN&amp;MH,SL))</f>
        <v>42500</v>
      </c>
      <c r="H77" s="25">
        <f t="array" ref="H77">SUM(IF("155"&amp;C77=KHN&amp;MH,TH))</f>
        <v>7531379874</v>
      </c>
      <c r="I77" s="25">
        <f t="array" ref="I77">SUM(IF("155"&amp;C77=KHC&amp;MH,SL))</f>
        <v>42500</v>
      </c>
      <c r="J77" s="25">
        <f t="array" ref="J77">SUM(IF("155"&amp;C77=KHC&amp;MH,TH))</f>
        <v>7531379798</v>
      </c>
      <c r="K77" s="8">
        <f t="shared" si="18"/>
        <v>0</v>
      </c>
      <c r="L77" s="8">
        <f t="shared" si="19"/>
        <v>76</v>
      </c>
      <c r="M77" s="495"/>
      <c r="Q77" s="511" t="s">
        <v>454</v>
      </c>
      <c r="R77" s="511"/>
      <c r="S77" s="534">
        <v>8</v>
      </c>
    </row>
    <row r="78" spans="1:20" ht="20.25" customHeight="1">
      <c r="A78" s="504" t="str">
        <f t="shared" si="16"/>
        <v>TP</v>
      </c>
      <c r="B78" s="531">
        <f t="shared" si="20"/>
        <v>8</v>
      </c>
      <c r="C78" s="511" t="s">
        <v>1522</v>
      </c>
      <c r="D78" s="530" t="s">
        <v>340</v>
      </c>
      <c r="E78" s="8">
        <v>0</v>
      </c>
      <c r="F78" s="8">
        <v>0</v>
      </c>
      <c r="G78" s="25">
        <f t="array" ref="G78">SUM(IF("155"&amp;C78=KHN&amp;MH,SL))</f>
        <v>1970</v>
      </c>
      <c r="H78" s="25">
        <f t="array" ref="H78">SUM(IF("155"&amp;C78=KHN&amp;MH,TH))</f>
        <v>173917992</v>
      </c>
      <c r="I78" s="25">
        <f t="array" ref="I78">SUM(IF("155"&amp;C78=KHC&amp;MH,SL))</f>
        <v>1970</v>
      </c>
      <c r="J78" s="25">
        <f t="array" ref="J78">SUM(IF("155"&amp;C78=KHC&amp;MH,TH))</f>
        <v>173950640</v>
      </c>
      <c r="K78" s="8">
        <f t="shared" si="18"/>
        <v>0</v>
      </c>
      <c r="L78" s="8">
        <f t="shared" si="19"/>
        <v>-32648</v>
      </c>
      <c r="M78" s="495"/>
      <c r="Q78" s="511" t="s">
        <v>456</v>
      </c>
      <c r="R78" s="511"/>
      <c r="S78" s="534">
        <v>9</v>
      </c>
    </row>
    <row r="79" spans="1:20" ht="20.25" customHeight="1">
      <c r="A79" s="504" t="str">
        <f t="shared" si="16"/>
        <v>TP</v>
      </c>
      <c r="B79" s="531">
        <f t="shared" si="20"/>
        <v>9</v>
      </c>
      <c r="C79" s="511" t="s">
        <v>1957</v>
      </c>
      <c r="D79" s="530" t="s">
        <v>340</v>
      </c>
      <c r="E79" s="8">
        <v>0</v>
      </c>
      <c r="F79" s="8">
        <v>0</v>
      </c>
      <c r="G79" s="25">
        <f t="array" ref="G79">SUM(IF("155"&amp;C79=KHN&amp;MH,SL))</f>
        <v>390</v>
      </c>
      <c r="H79" s="25">
        <f t="array" ref="H79">SUM(IF("155"&amp;C79=KHN&amp;MH,TH))</f>
        <v>40030505</v>
      </c>
      <c r="I79" s="25">
        <f t="array" ref="I79">SUM(IF("155"&amp;C79=KHC&amp;MH,SL))</f>
        <v>390</v>
      </c>
      <c r="J79" s="25">
        <f t="array" ref="J79">SUM(IF("155"&amp;C79=KHC&amp;MH,TH))</f>
        <v>40030380</v>
      </c>
      <c r="K79" s="8">
        <f t="shared" si="18"/>
        <v>0</v>
      </c>
      <c r="L79" s="8">
        <f t="shared" si="19"/>
        <v>125</v>
      </c>
      <c r="M79" s="495"/>
      <c r="Q79" s="511" t="s">
        <v>457</v>
      </c>
      <c r="R79" s="511"/>
      <c r="S79" s="534">
        <v>8</v>
      </c>
    </row>
    <row r="80" spans="1:20" ht="20.25" customHeight="1">
      <c r="A80" s="504" t="str">
        <f t="shared" si="16"/>
        <v>TP</v>
      </c>
      <c r="B80" s="531">
        <f t="shared" si="20"/>
        <v>10</v>
      </c>
      <c r="C80" s="511" t="s">
        <v>1523</v>
      </c>
      <c r="D80" s="530" t="s">
        <v>340</v>
      </c>
      <c r="E80" s="8">
        <v>0</v>
      </c>
      <c r="F80" s="8">
        <v>0</v>
      </c>
      <c r="G80" s="25">
        <f t="array" ref="G80">SUM(IF("155"&amp;C80=KHN&amp;MH,SL))</f>
        <v>600</v>
      </c>
      <c r="H80" s="25">
        <f t="array" ref="H80">SUM(IF("155"&amp;C80=KHN&amp;MH,TH))</f>
        <v>60755225</v>
      </c>
      <c r="I80" s="25">
        <f t="array" ref="I80">SUM(IF("155"&amp;C80=KHC&amp;MH,SL))</f>
        <v>600</v>
      </c>
      <c r="J80" s="25">
        <f t="array" ref="J80">SUM(IF("155"&amp;C80=KHC&amp;MH,TH))</f>
        <v>60777153</v>
      </c>
      <c r="K80" s="8">
        <f t="shared" si="18"/>
        <v>0</v>
      </c>
      <c r="L80" s="8">
        <f t="shared" si="19"/>
        <v>-21928</v>
      </c>
      <c r="M80" s="495"/>
      <c r="Q80" s="511" t="s">
        <v>453</v>
      </c>
      <c r="R80" s="511"/>
      <c r="S80" s="534">
        <v>8</v>
      </c>
    </row>
    <row r="81" spans="1:19" ht="19.5" customHeight="1">
      <c r="A81" s="504" t="str">
        <f t="shared" si="16"/>
        <v>TP</v>
      </c>
      <c r="B81" s="531">
        <f t="shared" si="20"/>
        <v>11</v>
      </c>
      <c r="C81" s="511" t="s">
        <v>1922</v>
      </c>
      <c r="D81" s="530" t="s">
        <v>340</v>
      </c>
      <c r="E81" s="8">
        <v>0</v>
      </c>
      <c r="F81" s="8">
        <v>0</v>
      </c>
      <c r="G81" s="25">
        <f t="array" ref="G81">SUM(IF("155"&amp;C81=KHN&amp;MH,SL))</f>
        <v>500</v>
      </c>
      <c r="H81" s="25">
        <f t="array" ref="H81">SUM(IF("155"&amp;C81=KHN&amp;MH,TH))</f>
        <v>117005703</v>
      </c>
      <c r="I81" s="25">
        <f t="array" ref="I81">SUM(IF("155"&amp;C81=KHC&amp;MH,SL))</f>
        <v>500</v>
      </c>
      <c r="J81" s="25">
        <f t="array" ref="J81">SUM(IF("155"&amp;C81=KHC&amp;MH,TH))</f>
        <v>117005500</v>
      </c>
      <c r="K81" s="8">
        <f t="shared" si="18"/>
        <v>0</v>
      </c>
      <c r="L81" s="8">
        <f t="shared" si="19"/>
        <v>203</v>
      </c>
      <c r="M81" s="495"/>
      <c r="Q81" s="511" t="s">
        <v>458</v>
      </c>
      <c r="R81" s="511"/>
      <c r="S81" s="534">
        <v>5</v>
      </c>
    </row>
    <row r="82" spans="1:19" ht="20.25" customHeight="1">
      <c r="A82" s="504" t="str">
        <f t="shared" ref="A82:A92" si="21">IF(B82&lt;&gt;"","TP","")</f>
        <v>TP</v>
      </c>
      <c r="B82" s="531">
        <f t="shared" si="20"/>
        <v>12</v>
      </c>
      <c r="C82" s="511" t="s">
        <v>1682</v>
      </c>
      <c r="D82" s="530" t="s">
        <v>340</v>
      </c>
      <c r="E82" s="8">
        <v>0</v>
      </c>
      <c r="F82" s="8">
        <v>0</v>
      </c>
      <c r="G82" s="25">
        <f t="array" ref="G82">SUM(IF("155"&amp;C82=KHN&amp;MH,SL))</f>
        <v>5390</v>
      </c>
      <c r="H82" s="25">
        <f t="array" ref="H82">SUM(IF("155"&amp;C82=KHN&amp;MH,TH))</f>
        <v>102137132</v>
      </c>
      <c r="I82" s="25">
        <f t="array" ref="I82">SUM(IF("155"&amp;C82=KHC&amp;MH,SL))</f>
        <v>5390</v>
      </c>
      <c r="J82" s="25">
        <f t="array" ref="J82">SUM(IF("155"&amp;C82=KHC&amp;MH,TH))</f>
        <v>102135110</v>
      </c>
      <c r="K82" s="8">
        <f t="shared" si="18"/>
        <v>0</v>
      </c>
      <c r="L82" s="8">
        <f t="shared" si="19"/>
        <v>2022</v>
      </c>
      <c r="M82" s="495"/>
      <c r="Q82" s="511" t="s">
        <v>460</v>
      </c>
      <c r="R82" s="511"/>
      <c r="S82" s="534">
        <v>5</v>
      </c>
    </row>
    <row r="83" spans="1:19" ht="20.25" customHeight="1">
      <c r="A83" s="504" t="str">
        <f t="shared" si="21"/>
        <v>TP</v>
      </c>
      <c r="B83" s="531">
        <f t="shared" si="20"/>
        <v>13</v>
      </c>
      <c r="C83" s="511" t="s">
        <v>453</v>
      </c>
      <c r="D83" s="530" t="s">
        <v>340</v>
      </c>
      <c r="E83" s="8">
        <v>0</v>
      </c>
      <c r="F83" s="8">
        <v>0</v>
      </c>
      <c r="G83" s="25">
        <f t="array" ref="G83">SUM(IF("155"&amp;C83=KHN&amp;MH,SL))</f>
        <v>28200</v>
      </c>
      <c r="H83" s="25">
        <f t="array" ref="H83">SUM(IF("155"&amp;C83=KHN&amp;MH,TH))</f>
        <v>4835184887</v>
      </c>
      <c r="I83" s="25">
        <f t="array" ref="I83">SUM(IF("155"&amp;C83=KHC&amp;MH,SL))</f>
        <v>28200</v>
      </c>
      <c r="J83" s="25">
        <f t="array" ref="J83">SUM(IF("155"&amp;C83=KHC&amp;MH,TH))</f>
        <v>4835466541</v>
      </c>
      <c r="K83" s="8">
        <f t="shared" si="18"/>
        <v>0</v>
      </c>
      <c r="L83" s="8">
        <f t="shared" si="19"/>
        <v>-281654</v>
      </c>
      <c r="M83" s="495"/>
      <c r="Q83" s="511" t="s">
        <v>461</v>
      </c>
      <c r="R83" s="511"/>
      <c r="S83" s="534">
        <v>5</v>
      </c>
    </row>
    <row r="84" spans="1:19" ht="20.25" customHeight="1">
      <c r="A84" s="504" t="str">
        <f t="shared" si="21"/>
        <v>TP</v>
      </c>
      <c r="B84" s="531">
        <f t="shared" si="20"/>
        <v>14</v>
      </c>
      <c r="C84" s="511" t="s">
        <v>1524</v>
      </c>
      <c r="D84" s="530" t="s">
        <v>340</v>
      </c>
      <c r="E84" s="8">
        <v>0</v>
      </c>
      <c r="F84" s="8">
        <v>0</v>
      </c>
      <c r="G84" s="25">
        <f t="array" ref="G84">SUM(IF("155"&amp;C84=KHN&amp;MH,SL))</f>
        <v>5400</v>
      </c>
      <c r="H84" s="25">
        <f t="array" ref="H84">SUM(IF("155"&amp;C84=KHN&amp;MH,TH))</f>
        <v>805203762</v>
      </c>
      <c r="I84" s="25">
        <f t="array" ref="I84">SUM(IF("155"&amp;C84=KHC&amp;MH,SL))</f>
        <v>5400</v>
      </c>
      <c r="J84" s="25">
        <f t="array" ref="J84">SUM(IF("155"&amp;C84=KHC&amp;MH,TH))</f>
        <v>805265865</v>
      </c>
      <c r="K84" s="8">
        <f t="shared" si="18"/>
        <v>0</v>
      </c>
      <c r="L84" s="8">
        <f t="shared" si="19"/>
        <v>-62103</v>
      </c>
      <c r="M84" s="495"/>
      <c r="Q84" s="511" t="s">
        <v>463</v>
      </c>
      <c r="R84" s="511"/>
      <c r="S84" s="534">
        <v>4.5</v>
      </c>
    </row>
    <row r="85" spans="1:19" ht="20.25" customHeight="1">
      <c r="A85" s="504" t="str">
        <f t="shared" si="21"/>
        <v>TP</v>
      </c>
      <c r="B85" s="531">
        <f t="shared" si="20"/>
        <v>15</v>
      </c>
      <c r="C85" s="511" t="s">
        <v>1915</v>
      </c>
      <c r="D85" s="530" t="s">
        <v>340</v>
      </c>
      <c r="E85" s="8">
        <v>0</v>
      </c>
      <c r="F85" s="8">
        <v>0</v>
      </c>
      <c r="G85" s="25">
        <f t="array" ref="G85">SUM(IF("155"&amp;C85=KHN&amp;MH,SL))</f>
        <v>10000</v>
      </c>
      <c r="H85" s="25">
        <f t="array" ref="H85">SUM(IF("155"&amp;C85=KHN&amp;MH,TH))</f>
        <v>1460135000</v>
      </c>
      <c r="I85" s="25">
        <f t="array" ref="I85">SUM(IF("155"&amp;C85=KHC&amp;MH,SL))</f>
        <v>10000</v>
      </c>
      <c r="J85" s="25">
        <f t="array" ref="J85">SUM(IF("155"&amp;C85=KHC&amp;MH,TH))</f>
        <v>1460140000</v>
      </c>
      <c r="K85" s="8">
        <f t="shared" si="18"/>
        <v>0</v>
      </c>
      <c r="L85" s="8">
        <f t="shared" si="19"/>
        <v>-5000</v>
      </c>
      <c r="M85" s="495"/>
      <c r="Q85" s="511" t="s">
        <v>464</v>
      </c>
      <c r="R85" s="511"/>
      <c r="S85" s="534">
        <v>4.5</v>
      </c>
    </row>
    <row r="86" spans="1:19" ht="20.25" customHeight="1">
      <c r="A86" s="504" t="str">
        <f t="shared" si="21"/>
        <v>TP</v>
      </c>
      <c r="B86" s="531">
        <f t="shared" si="20"/>
        <v>16</v>
      </c>
      <c r="C86" s="511" t="s">
        <v>1795</v>
      </c>
      <c r="D86" s="530" t="s">
        <v>340</v>
      </c>
      <c r="E86" s="8">
        <v>0</v>
      </c>
      <c r="F86" s="8">
        <v>0</v>
      </c>
      <c r="G86" s="25">
        <f t="array" ref="G86">SUM(IF("155"&amp;C86=KHN&amp;MH,SL))</f>
        <v>2270</v>
      </c>
      <c r="H86" s="25">
        <f t="array" ref="H86">SUM(IF("155"&amp;C86=KHN&amp;MH,TH))</f>
        <v>385755118</v>
      </c>
      <c r="I86" s="25">
        <f t="array" ref="I86">SUM(IF("155"&amp;C86=KHC&amp;MH,SL))</f>
        <v>2270</v>
      </c>
      <c r="J86" s="25">
        <f t="array" ref="J86">SUM(IF("155"&amp;C86=KHC&amp;MH,TH))</f>
        <v>385754720</v>
      </c>
      <c r="K86" s="8">
        <f t="shared" si="18"/>
        <v>0</v>
      </c>
      <c r="L86" s="8">
        <f t="shared" si="19"/>
        <v>398</v>
      </c>
      <c r="M86" s="495"/>
      <c r="Q86" s="511" t="s">
        <v>451</v>
      </c>
      <c r="R86" s="511"/>
      <c r="S86" s="534">
        <v>11</v>
      </c>
    </row>
    <row r="87" spans="1:19" ht="20.25" customHeight="1">
      <c r="A87" s="504" t="str">
        <f t="shared" si="21"/>
        <v>TP</v>
      </c>
      <c r="B87" s="531">
        <f t="shared" si="20"/>
        <v>17</v>
      </c>
      <c r="C87" s="511" t="s">
        <v>1681</v>
      </c>
      <c r="D87" s="530" t="s">
        <v>340</v>
      </c>
      <c r="E87" s="8">
        <v>0</v>
      </c>
      <c r="F87" s="8">
        <v>0</v>
      </c>
      <c r="G87" s="25">
        <f t="array" ref="G87">SUM(IF("155"&amp;C87=KHN&amp;MH,SL))</f>
        <v>2650</v>
      </c>
      <c r="H87" s="25">
        <f t="array" ref="H87">SUM(IF("155"&amp;C87=KHN&amp;MH,TH))</f>
        <v>40200544</v>
      </c>
      <c r="I87" s="25">
        <f t="array" ref="I87">SUM(IF("155"&amp;C87=KHC&amp;MH,SL))</f>
        <v>2650</v>
      </c>
      <c r="J87" s="25">
        <f t="array" ref="J87">SUM(IF("155"&amp;C87=KHC&amp;MH,TH))</f>
        <v>40201350</v>
      </c>
      <c r="K87" s="8">
        <f t="shared" si="18"/>
        <v>0</v>
      </c>
      <c r="L87" s="8">
        <f t="shared" si="19"/>
        <v>-806</v>
      </c>
      <c r="M87" s="495"/>
      <c r="Q87" s="511" t="s">
        <v>452</v>
      </c>
      <c r="R87" s="511"/>
      <c r="S87" s="534">
        <v>11</v>
      </c>
    </row>
    <row r="88" spans="1:19" ht="20.25" customHeight="1">
      <c r="A88" s="504" t="str">
        <f t="shared" si="21"/>
        <v>TP</v>
      </c>
      <c r="B88" s="531">
        <f t="shared" si="20"/>
        <v>18</v>
      </c>
      <c r="C88" s="511" t="s">
        <v>1918</v>
      </c>
      <c r="D88" s="530" t="s">
        <v>340</v>
      </c>
      <c r="E88" s="8">
        <v>0</v>
      </c>
      <c r="F88" s="8">
        <v>0</v>
      </c>
      <c r="G88" s="25">
        <f t="array" ref="G88">SUM(IF("155"&amp;C88=KHN&amp;MH,SL))</f>
        <v>8100</v>
      </c>
      <c r="H88" s="25">
        <f t="array" ref="H88">SUM(IF("155"&amp;C88=KHN&amp;MH,TH))</f>
        <v>119405338</v>
      </c>
      <c r="I88" s="25">
        <f t="array" ref="I88">SUM(IF("155"&amp;C88=KHC&amp;MH,SL))</f>
        <v>8100</v>
      </c>
      <c r="J88" s="25">
        <f t="array" ref="J88">SUM(IF("155"&amp;C88=KHC&amp;MH,TH))</f>
        <v>119402100</v>
      </c>
      <c r="K88" s="8">
        <f t="shared" si="18"/>
        <v>0</v>
      </c>
      <c r="L88" s="8">
        <f t="shared" si="19"/>
        <v>3238</v>
      </c>
      <c r="M88" s="495"/>
      <c r="Q88" s="511" t="s">
        <v>465</v>
      </c>
      <c r="R88" s="511"/>
      <c r="S88" s="534">
        <v>4.4000000000000004</v>
      </c>
    </row>
    <row r="89" spans="1:19" ht="20.25" customHeight="1">
      <c r="A89" s="504" t="str">
        <f t="shared" si="21"/>
        <v>TP</v>
      </c>
      <c r="B89" s="531">
        <f t="shared" si="20"/>
        <v>19</v>
      </c>
      <c r="C89" s="511" t="s">
        <v>1919</v>
      </c>
      <c r="D89" s="530" t="s">
        <v>340</v>
      </c>
      <c r="E89" s="8">
        <v>0</v>
      </c>
      <c r="F89" s="8">
        <v>0</v>
      </c>
      <c r="G89" s="25">
        <f t="array" ref="G89">SUM(IF("155"&amp;C89=KHN&amp;MH,SL))</f>
        <v>3150</v>
      </c>
      <c r="H89" s="25">
        <f t="array" ref="H89">SUM(IF("155"&amp;C89=KHN&amp;MH,TH))</f>
        <v>45490937</v>
      </c>
      <c r="I89" s="25">
        <f t="array" ref="I89">SUM(IF("155"&amp;C89=KHC&amp;MH,SL))</f>
        <v>3150</v>
      </c>
      <c r="J89" s="25">
        <f t="array" ref="J89">SUM(IF("155"&amp;C89=KHC&amp;MH,TH))</f>
        <v>45492300</v>
      </c>
      <c r="K89" s="8">
        <f t="shared" si="18"/>
        <v>0</v>
      </c>
      <c r="L89" s="8">
        <f t="shared" si="19"/>
        <v>-1363</v>
      </c>
      <c r="M89" s="495"/>
      <c r="Q89" s="511" t="s">
        <v>466</v>
      </c>
      <c r="R89" s="511"/>
      <c r="S89" s="534">
        <v>4.5</v>
      </c>
    </row>
    <row r="90" spans="1:19" ht="20.25" customHeight="1">
      <c r="A90" s="504" t="str">
        <f t="shared" si="21"/>
        <v>TP</v>
      </c>
      <c r="B90" s="531">
        <f t="shared" si="20"/>
        <v>20</v>
      </c>
      <c r="C90" s="511" t="s">
        <v>1692</v>
      </c>
      <c r="D90" s="530" t="s">
        <v>340</v>
      </c>
      <c r="E90" s="8">
        <v>0</v>
      </c>
      <c r="F90" s="8">
        <v>0</v>
      </c>
      <c r="G90" s="25">
        <f t="array" ref="G90">SUM(IF("155"&amp;C90=KHN&amp;MH,SL))</f>
        <v>320</v>
      </c>
      <c r="H90" s="25">
        <f t="array" ref="H90">SUM(IF("155"&amp;C90=KHN&amp;MH,TH))</f>
        <v>188688050</v>
      </c>
      <c r="I90" s="25">
        <f t="array" ref="I90">SUM(IF("155"&amp;C90=KHC&amp;MH,SL))</f>
        <v>320</v>
      </c>
      <c r="J90" s="25">
        <f t="array" ref="J90">SUM(IF("155"&amp;C90=KHC&amp;MH,TH))</f>
        <v>188688000</v>
      </c>
      <c r="K90" s="8">
        <f t="shared" si="18"/>
        <v>0</v>
      </c>
      <c r="L90" s="8">
        <f t="shared" si="19"/>
        <v>50</v>
      </c>
      <c r="M90" s="495"/>
    </row>
    <row r="91" spans="1:19" ht="20.25" customHeight="1">
      <c r="A91" s="504" t="str">
        <f t="shared" si="21"/>
        <v>TP</v>
      </c>
      <c r="B91" s="531">
        <f t="shared" si="20"/>
        <v>21</v>
      </c>
      <c r="C91" s="511" t="s">
        <v>1688</v>
      </c>
      <c r="D91" s="530" t="s">
        <v>340</v>
      </c>
      <c r="E91" s="8">
        <v>0</v>
      </c>
      <c r="F91" s="8">
        <v>0</v>
      </c>
      <c r="G91" s="25">
        <f t="array" ref="G91">SUM(IF("155"&amp;C91=KHN&amp;MH,SL))</f>
        <v>870</v>
      </c>
      <c r="H91" s="25">
        <f t="array" ref="H91">SUM(IF("155"&amp;C91=KHN&amp;MH,TH))</f>
        <v>512995636</v>
      </c>
      <c r="I91" s="25">
        <f t="array" ref="I91">SUM(IF("155"&amp;C91=KHC&amp;MH,SL))</f>
        <v>870</v>
      </c>
      <c r="J91" s="25">
        <f t="array" ref="J91">SUM(IF("155"&amp;C91=KHC&amp;MH,TH))</f>
        <v>512995500</v>
      </c>
      <c r="K91" s="8">
        <f t="shared" si="18"/>
        <v>0</v>
      </c>
      <c r="L91" s="8">
        <f t="shared" si="19"/>
        <v>136</v>
      </c>
      <c r="M91" s="495"/>
    </row>
    <row r="92" spans="1:19" ht="20.25" customHeight="1">
      <c r="A92" s="504" t="str">
        <f t="shared" si="21"/>
        <v>TP</v>
      </c>
      <c r="B92" s="531">
        <f t="shared" si="20"/>
        <v>22</v>
      </c>
      <c r="C92" s="511" t="s">
        <v>1689</v>
      </c>
      <c r="D92" s="530" t="s">
        <v>340</v>
      </c>
      <c r="E92" s="8">
        <v>0</v>
      </c>
      <c r="F92" s="8">
        <v>0</v>
      </c>
      <c r="G92" s="25">
        <f t="array" ref="G92">SUM(IF("155"&amp;C92=KHN&amp;MH,SL))</f>
        <v>130</v>
      </c>
      <c r="H92" s="25">
        <f t="array" ref="H92">SUM(IF("155"&amp;C92=KHN&amp;MH,TH))</f>
        <v>76654521</v>
      </c>
      <c r="I92" s="25">
        <f t="array" ref="I92">SUM(IF("155"&amp;C92=KHC&amp;MH,SL))</f>
        <v>130</v>
      </c>
      <c r="J92" s="25">
        <f t="array" ref="J92">SUM(IF("155"&amp;C92=KHC&amp;MH,TH))</f>
        <v>76654500</v>
      </c>
      <c r="K92" s="8">
        <f t="shared" si="18"/>
        <v>0</v>
      </c>
      <c r="L92" s="8">
        <f t="shared" si="19"/>
        <v>21</v>
      </c>
      <c r="M92" s="495"/>
    </row>
    <row r="93" spans="1:19" ht="20.25" customHeight="1">
      <c r="A93" s="504" t="str">
        <f>IF(B93&lt;&gt;"","TP","")</f>
        <v>TP</v>
      </c>
      <c r="B93" s="531">
        <f t="shared" si="20"/>
        <v>23</v>
      </c>
      <c r="C93" s="511" t="s">
        <v>1684</v>
      </c>
      <c r="D93" s="530" t="s">
        <v>340</v>
      </c>
      <c r="E93" s="8">
        <v>0</v>
      </c>
      <c r="F93" s="8">
        <v>0</v>
      </c>
      <c r="G93" s="25">
        <f t="array" ref="G93">SUM(IF("155"&amp;C93=KHN&amp;MH,SL))</f>
        <v>690</v>
      </c>
      <c r="H93" s="25">
        <f t="array" ref="H93">SUM(IF("155"&amp;C93=KHN&amp;MH,TH))</f>
        <v>406858608</v>
      </c>
      <c r="I93" s="25">
        <f t="array" ref="I93">SUM(IF("155"&amp;C93=KHC&amp;MH,SL))</f>
        <v>690</v>
      </c>
      <c r="J93" s="25">
        <f t="array" ref="J93">SUM(IF("155"&amp;C93=KHC&amp;MH,TH))</f>
        <v>406858500</v>
      </c>
      <c r="K93" s="8">
        <f t="shared" si="18"/>
        <v>0</v>
      </c>
      <c r="L93" s="8">
        <f t="shared" si="19"/>
        <v>108</v>
      </c>
      <c r="M93" s="495"/>
    </row>
    <row r="94" spans="1:19" ht="20.25" customHeight="1">
      <c r="A94" s="504" t="str">
        <f t="shared" ref="A94:A99" si="22">IF(B94&lt;&gt;"","TP","")</f>
        <v>TP</v>
      </c>
      <c r="B94" s="531">
        <f t="shared" si="20"/>
        <v>24</v>
      </c>
      <c r="C94" s="511" t="s">
        <v>1690</v>
      </c>
      <c r="D94" s="530" t="s">
        <v>340</v>
      </c>
      <c r="E94" s="8">
        <v>0</v>
      </c>
      <c r="F94" s="8">
        <v>0</v>
      </c>
      <c r="G94" s="25">
        <f t="array" ref="G94">SUM(IF("155"&amp;C94=KHN&amp;MH,SL))</f>
        <v>250</v>
      </c>
      <c r="H94" s="25">
        <f t="array" ref="H94">SUM(IF("155"&amp;C94=KHN&amp;MH,TH))</f>
        <v>147412539</v>
      </c>
      <c r="I94" s="25">
        <f t="array" ref="I94">SUM(IF("155"&amp;C94=KHC&amp;MH,SL))</f>
        <v>250</v>
      </c>
      <c r="J94" s="25">
        <f t="array" ref="J94">SUM(IF("155"&amp;C94=KHC&amp;MH,TH))</f>
        <v>147412500</v>
      </c>
      <c r="K94" s="8">
        <f t="shared" si="18"/>
        <v>0</v>
      </c>
      <c r="L94" s="8">
        <f t="shared" si="19"/>
        <v>39</v>
      </c>
      <c r="M94" s="495"/>
    </row>
    <row r="95" spans="1:19" ht="21" customHeight="1">
      <c r="A95" s="504" t="str">
        <f t="shared" si="22"/>
        <v>TP</v>
      </c>
      <c r="B95" s="531">
        <f t="shared" si="20"/>
        <v>25</v>
      </c>
      <c r="C95" s="511" t="s">
        <v>1685</v>
      </c>
      <c r="D95" s="530" t="s">
        <v>340</v>
      </c>
      <c r="E95" s="8">
        <v>0</v>
      </c>
      <c r="F95" s="8">
        <v>0</v>
      </c>
      <c r="G95" s="25">
        <f t="array" ref="G95">SUM(IF("155"&amp;C95=KHN&amp;MH,SL))</f>
        <v>500</v>
      </c>
      <c r="H95" s="25">
        <f t="array" ref="H95">SUM(IF("155"&amp;C95=KHN&amp;MH,TH))</f>
        <v>294825078</v>
      </c>
      <c r="I95" s="25">
        <f t="array" ref="I95">SUM(IF("155"&amp;C95=KHC&amp;MH,SL))</f>
        <v>500</v>
      </c>
      <c r="J95" s="25">
        <f t="array" ref="J95">SUM(IF("155"&amp;C95=KHC&amp;MH,TH))</f>
        <v>294825000</v>
      </c>
      <c r="K95" s="8">
        <f t="shared" si="18"/>
        <v>0</v>
      </c>
      <c r="L95" s="8">
        <f t="shared" si="19"/>
        <v>78</v>
      </c>
      <c r="M95" s="495"/>
      <c r="N95" s="532"/>
    </row>
    <row r="96" spans="1:19" ht="21" customHeight="1">
      <c r="A96" s="504" t="str">
        <f t="shared" si="22"/>
        <v>TP</v>
      </c>
      <c r="B96" s="531">
        <f t="shared" si="20"/>
        <v>26</v>
      </c>
      <c r="C96" s="511" t="s">
        <v>1686</v>
      </c>
      <c r="D96" s="530" t="s">
        <v>340</v>
      </c>
      <c r="E96" s="8">
        <v>0</v>
      </c>
      <c r="F96" s="8">
        <v>0</v>
      </c>
      <c r="G96" s="25">
        <f t="array" ref="G96">SUM(IF("155"&amp;C96=KHN&amp;MH,SL))</f>
        <v>560</v>
      </c>
      <c r="H96" s="25">
        <f t="array" ref="H96">SUM(IF("155"&amp;C96=KHN&amp;MH,TH))</f>
        <v>330204088</v>
      </c>
      <c r="I96" s="25">
        <f t="array" ref="I96">SUM(IF("155"&amp;C96=KHC&amp;MH,SL))</f>
        <v>560</v>
      </c>
      <c r="J96" s="25">
        <f t="array" ref="J96">SUM(IF("155"&amp;C96=KHC&amp;MH,TH))</f>
        <v>330204000</v>
      </c>
      <c r="K96" s="8">
        <f t="shared" si="18"/>
        <v>0</v>
      </c>
      <c r="L96" s="8">
        <f t="shared" si="19"/>
        <v>88</v>
      </c>
      <c r="M96" s="495"/>
      <c r="N96" s="532"/>
    </row>
    <row r="97" spans="1:14" ht="21" customHeight="1">
      <c r="A97" s="504" t="str">
        <f t="shared" si="22"/>
        <v>TP</v>
      </c>
      <c r="B97" s="531">
        <f t="shared" si="20"/>
        <v>27</v>
      </c>
      <c r="C97" s="511" t="s">
        <v>1691</v>
      </c>
      <c r="D97" s="530" t="s">
        <v>340</v>
      </c>
      <c r="E97" s="8">
        <v>0</v>
      </c>
      <c r="F97" s="8">
        <v>0</v>
      </c>
      <c r="G97" s="25">
        <f t="array" ref="G97">SUM(IF("155"&amp;C97=KHN&amp;MH,SL))</f>
        <v>660</v>
      </c>
      <c r="H97" s="25">
        <f t="array" ref="H97">SUM(IF("155"&amp;C97=KHN&amp;MH,TH))</f>
        <v>389169103</v>
      </c>
      <c r="I97" s="25">
        <f t="array" ref="I97">SUM(IF("155"&amp;C97=KHC&amp;MH,SL))</f>
        <v>660</v>
      </c>
      <c r="J97" s="25">
        <f t="array" ref="J97">SUM(IF("155"&amp;C97=KHC&amp;MH,TH))</f>
        <v>389169000</v>
      </c>
      <c r="K97" s="8">
        <f t="shared" si="18"/>
        <v>0</v>
      </c>
      <c r="L97" s="8">
        <f t="shared" si="19"/>
        <v>103</v>
      </c>
      <c r="M97" s="495"/>
      <c r="N97" s="532"/>
    </row>
    <row r="98" spans="1:14" ht="21" customHeight="1">
      <c r="A98" s="504" t="str">
        <f t="shared" si="22"/>
        <v>TP</v>
      </c>
      <c r="B98" s="531">
        <f t="shared" si="20"/>
        <v>28</v>
      </c>
      <c r="C98" s="511" t="s">
        <v>1687</v>
      </c>
      <c r="D98" s="530" t="s">
        <v>340</v>
      </c>
      <c r="E98" s="8">
        <v>0</v>
      </c>
      <c r="F98" s="8">
        <v>0</v>
      </c>
      <c r="G98" s="25">
        <f t="array" ref="G98">SUM(IF("155"&amp;C98=KHN&amp;MH,SL))</f>
        <v>580</v>
      </c>
      <c r="H98" s="25">
        <f t="array" ref="H98">SUM(IF("155"&amp;C98=KHN&amp;MH,TH))</f>
        <v>341997091</v>
      </c>
      <c r="I98" s="25">
        <f t="array" ref="I98">SUM(IF("155"&amp;C98=KHC&amp;MH,SL))</f>
        <v>580</v>
      </c>
      <c r="J98" s="25">
        <f t="array" ref="J98">SUM(IF("155"&amp;C98=KHC&amp;MH,TH))</f>
        <v>341997000</v>
      </c>
      <c r="K98" s="8">
        <f t="shared" si="18"/>
        <v>0</v>
      </c>
      <c r="L98" s="8">
        <f t="shared" si="19"/>
        <v>91</v>
      </c>
      <c r="M98" s="495"/>
    </row>
    <row r="99" spans="1:14" ht="21" customHeight="1">
      <c r="A99" s="504" t="str">
        <f t="shared" si="22"/>
        <v>TP</v>
      </c>
      <c r="B99" s="531">
        <f t="shared" si="20"/>
        <v>29</v>
      </c>
      <c r="C99" s="511" t="s">
        <v>1693</v>
      </c>
      <c r="D99" s="530" t="s">
        <v>340</v>
      </c>
      <c r="E99" s="8">
        <v>0</v>
      </c>
      <c r="F99" s="8">
        <v>0</v>
      </c>
      <c r="G99" s="25">
        <f t="array" ref="G99">SUM(IF("155"&amp;C99=KHN&amp;MH,SL))</f>
        <v>2000</v>
      </c>
      <c r="H99" s="25">
        <f t="array" ref="H99">SUM(IF("155"&amp;C99=KHN&amp;MH,TH))</f>
        <v>1183451789</v>
      </c>
      <c r="I99" s="25">
        <f t="array" ref="I99">SUM(IF("155"&amp;C99=KHC&amp;MH,SL))</f>
        <v>2000</v>
      </c>
      <c r="J99" s="25">
        <f t="array" ref="J99">SUM(IF("155"&amp;C99=KHC&amp;MH,TH))</f>
        <v>1183452000</v>
      </c>
      <c r="K99" s="8">
        <f t="shared" si="18"/>
        <v>0</v>
      </c>
      <c r="L99" s="8">
        <f t="shared" si="19"/>
        <v>-211</v>
      </c>
      <c r="M99" s="495"/>
      <c r="N99" s="532"/>
    </row>
    <row r="100" spans="1:14" ht="21" customHeight="1">
      <c r="A100" s="504"/>
      <c r="B100" s="531"/>
      <c r="C100" s="511"/>
      <c r="D100" s="530"/>
      <c r="E100" s="8"/>
      <c r="F100" s="8"/>
      <c r="G100" s="25"/>
      <c r="H100" s="25"/>
      <c r="I100" s="25"/>
      <c r="J100" s="25"/>
      <c r="K100" s="8"/>
      <c r="L100" s="8"/>
      <c r="M100" s="495"/>
    </row>
    <row r="101" spans="1:14" ht="21" customHeight="1">
      <c r="A101" s="504" t="str">
        <f>IF(B101&lt;&gt;"","TP","")</f>
        <v/>
      </c>
      <c r="B101" s="501"/>
      <c r="C101" s="525" t="s">
        <v>455</v>
      </c>
      <c r="D101" s="501"/>
      <c r="E101" s="13">
        <f t="shared" ref="E101:L101" si="23">SUM(E71:E100)</f>
        <v>73584</v>
      </c>
      <c r="F101" s="13">
        <f t="shared" si="23"/>
        <v>9386323824</v>
      </c>
      <c r="G101" s="13">
        <f t="shared" si="23"/>
        <v>287620</v>
      </c>
      <c r="H101" s="13">
        <f t="shared" si="23"/>
        <v>32528691803</v>
      </c>
      <c r="I101" s="13">
        <f t="shared" si="23"/>
        <v>251695</v>
      </c>
      <c r="J101" s="13">
        <f t="shared" si="23"/>
        <v>28920948028</v>
      </c>
      <c r="K101" s="13">
        <f t="shared" si="23"/>
        <v>109509</v>
      </c>
      <c r="L101" s="13">
        <f t="shared" si="23"/>
        <v>12994067599</v>
      </c>
      <c r="M101" s="495"/>
    </row>
    <row r="102" spans="1:14" ht="21" customHeight="1">
      <c r="A102" s="504" t="str">
        <f>IF(B102&lt;&gt;"","TP","")</f>
        <v/>
      </c>
      <c r="B102" s="955"/>
      <c r="C102" s="955"/>
      <c r="D102" s="954"/>
      <c r="E102" s="956"/>
      <c r="F102" s="956">
        <f>F101-CDPS!C26</f>
        <v>0</v>
      </c>
      <c r="G102" s="956"/>
      <c r="H102" s="956">
        <f>H101-CDPS!E26</f>
        <v>0</v>
      </c>
      <c r="I102" s="956"/>
      <c r="J102" s="956">
        <f>J101-CDPS!F26</f>
        <v>0</v>
      </c>
      <c r="K102" s="956"/>
      <c r="L102" s="956">
        <f>L101-CDPS!G26</f>
        <v>0</v>
      </c>
      <c r="M102" s="495"/>
    </row>
    <row r="103" spans="1:14">
      <c r="M103" s="495"/>
    </row>
    <row r="104" spans="1:14">
      <c r="M104" s="495"/>
    </row>
    <row r="105" spans="1:14" ht="15">
      <c r="C105" s="1374"/>
      <c r="D105" s="1374"/>
      <c r="E105" s="1374"/>
      <c r="F105" s="536"/>
      <c r="G105" s="536"/>
      <c r="H105" s="536"/>
      <c r="I105" s="536"/>
      <c r="J105" s="1374" t="s">
        <v>459</v>
      </c>
      <c r="K105" s="1374"/>
      <c r="L105" s="1374"/>
      <c r="M105" s="495"/>
    </row>
    <row r="106" spans="1:14" ht="15">
      <c r="C106" s="537" t="s">
        <v>11</v>
      </c>
      <c r="D106" s="537"/>
      <c r="E106" s="537"/>
      <c r="F106" s="1374" t="s">
        <v>12</v>
      </c>
      <c r="G106" s="1374"/>
      <c r="H106" s="1374"/>
      <c r="I106" s="536"/>
      <c r="J106" s="1374" t="s">
        <v>131</v>
      </c>
      <c r="K106" s="1374"/>
      <c r="L106" s="1374"/>
      <c r="M106" s="495"/>
    </row>
    <row r="107" spans="1:14" ht="15">
      <c r="C107" s="537" t="s">
        <v>13</v>
      </c>
      <c r="D107" s="537" t="s">
        <v>462</v>
      </c>
      <c r="E107" s="537"/>
      <c r="F107" s="1374" t="s">
        <v>13</v>
      </c>
      <c r="G107" s="1374"/>
      <c r="H107" s="1374"/>
      <c r="I107" s="495"/>
      <c r="J107" s="1374" t="s">
        <v>161</v>
      </c>
      <c r="K107" s="1374"/>
      <c r="L107" s="1374"/>
      <c r="M107" s="495"/>
    </row>
    <row r="108" spans="1:14">
      <c r="M108" s="495"/>
    </row>
    <row r="109" spans="1:14">
      <c r="M109" s="495"/>
    </row>
    <row r="110" spans="1:14">
      <c r="M110" s="495"/>
    </row>
    <row r="111" spans="1:14">
      <c r="M111" s="495"/>
    </row>
    <row r="112" spans="1:14">
      <c r="M112" s="495"/>
    </row>
    <row r="113" spans="13:13">
      <c r="M113" s="495"/>
    </row>
    <row r="114" spans="13:13">
      <c r="M114" s="495"/>
    </row>
    <row r="115" spans="13:13">
      <c r="M115" s="495"/>
    </row>
  </sheetData>
  <autoFilter ref="B11:O11"/>
  <sortState ref="C75:C99">
    <sortCondition ref="C75:C99"/>
  </sortState>
  <mergeCells count="27">
    <mergeCell ref="F107:H107"/>
    <mergeCell ref="J107:L107"/>
    <mergeCell ref="S8:S10"/>
    <mergeCell ref="C105:E105"/>
    <mergeCell ref="J105:L105"/>
    <mergeCell ref="F106:H106"/>
    <mergeCell ref="J106:L106"/>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ageMargins left="0.71" right="0" top="0" bottom="0" header="0" footer="0"/>
  <pageSetup scale="90" orientation="portrait" r:id="rId1"/>
  <headerFooter alignWithMargins="0"/>
</worksheet>
</file>

<file path=xl/worksheets/sheet19.xml><?xml version="1.0" encoding="utf-8"?>
<worksheet xmlns="http://schemas.openxmlformats.org/spreadsheetml/2006/main" xmlns:r="http://schemas.openxmlformats.org/officeDocument/2006/relationships">
  <sheetPr>
    <tabColor indexed="33"/>
  </sheetPr>
  <dimension ref="A1:P36"/>
  <sheetViews>
    <sheetView workbookViewId="0">
      <pane ySplit="36" topLeftCell="A37" activePane="bottomLeft" state="frozen"/>
      <selection activeCell="C33" sqref="C33"/>
      <selection pane="bottomLeft" activeCell="H34" sqref="H34"/>
    </sheetView>
  </sheetViews>
  <sheetFormatPr defaultRowHeight="12"/>
  <cols>
    <col min="1" max="1" width="4.7109375" style="538" customWidth="1"/>
    <col min="2" max="2" width="29.7109375" style="538" customWidth="1"/>
    <col min="3" max="3" width="5.7109375" style="538" customWidth="1"/>
    <col min="4" max="4" width="6.7109375" style="538" customWidth="1"/>
    <col min="5" max="5" width="12.7109375" style="538" customWidth="1"/>
    <col min="6" max="6" width="9.85546875" style="538" customWidth="1"/>
    <col min="7" max="7" width="11" style="538" customWidth="1"/>
    <col min="8" max="8" width="14" style="538" customWidth="1"/>
    <col min="9" max="9" width="4.28515625" style="538" customWidth="1"/>
    <col min="10" max="10" width="5.7109375" style="538" customWidth="1"/>
    <col min="11" max="11" width="3.140625" style="538" customWidth="1"/>
    <col min="12" max="12" width="5.7109375" style="538" customWidth="1"/>
    <col min="13" max="13" width="2.7109375" style="538" customWidth="1"/>
    <col min="14" max="14" width="4" style="538" customWidth="1"/>
    <col min="15" max="15" width="3.7109375" style="538" customWidth="1"/>
    <col min="16" max="16384" width="9.140625" style="538"/>
  </cols>
  <sheetData>
    <row r="1" spans="1:16" ht="5.25" customHeight="1"/>
    <row r="2" spans="1:16" ht="12.75" customHeight="1">
      <c r="A2" s="99" t="s">
        <v>138</v>
      </c>
      <c r="G2" s="114" t="str">
        <f>+IF(LEFT($D$7,1)="N","Mẫu số 01 - VT","Mẫu số 02 - VT")</f>
        <v>Mẫu số 02 - VT</v>
      </c>
    </row>
    <row r="3" spans="1:16" ht="12.75" customHeight="1">
      <c r="A3" s="110" t="s">
        <v>139</v>
      </c>
      <c r="G3" s="111" t="s">
        <v>319</v>
      </c>
      <c r="N3" s="114" t="s">
        <v>126</v>
      </c>
      <c r="O3" s="539"/>
    </row>
    <row r="4" spans="1:16" ht="11.25" customHeight="1">
      <c r="G4" s="111" t="s">
        <v>237</v>
      </c>
      <c r="J4" s="540" t="s">
        <v>467</v>
      </c>
      <c r="M4" s="541"/>
      <c r="N4" s="114" t="s">
        <v>127</v>
      </c>
      <c r="O4" s="539"/>
    </row>
    <row r="5" spans="1:16" ht="18" customHeight="1">
      <c r="D5" s="542" t="str">
        <f>+IF(LEFT($L$5,1)="N","PHIẾU NHẬP KHO","PHIẾU XUẤT KHO")</f>
        <v>PHIẾU XUẤT KHO</v>
      </c>
      <c r="J5" s="543">
        <v>1</v>
      </c>
      <c r="K5" s="544"/>
      <c r="L5" s="545" t="s">
        <v>580</v>
      </c>
      <c r="M5" s="546"/>
      <c r="N5" s="547">
        <v>1</v>
      </c>
      <c r="O5" s="539"/>
      <c r="P5" s="539"/>
    </row>
    <row r="6" spans="1:16" s="548" customFormat="1" ht="12" customHeight="1">
      <c r="D6" s="549" t="str">
        <f ca="1">"Ngày  " &amp;DAY(IF(ROWS($1:1)&gt;COUNT(Dong10),"",OFFSET(TH!C$1,SMALL(Dong10,ROWS($1:1)),)))&amp;"  tháng  " &amp; MONTH(IF(ROWS($1:1)&gt;COUNT(Dong10),"",OFFSET(TH!C$1,SMALL(Dong10,ROWS($1:1)),)))&amp;"  năm  "&amp;YEAR(IF(ROWS($1:1)&gt;COUNT(Dong10),"",OFFSET(TH!C$1,SMALL(Dong10,ROWS($1:1)),)))</f>
        <v>Ngày  2  tháng  1  năm  2016</v>
      </c>
      <c r="E6" s="550"/>
      <c r="M6" s="551"/>
      <c r="O6" s="552"/>
    </row>
    <row r="7" spans="1:16" s="548" customFormat="1" ht="12" customHeight="1">
      <c r="C7" s="553" t="str">
        <f xml:space="preserve"> "Số:"</f>
        <v>Số:</v>
      </c>
      <c r="D7" s="554" t="str">
        <f xml:space="preserve"> RIGHT($L$5,2)&amp;"/"&amp;LEFT($L$5,1)&amp;IF($N$5&gt;=10,$N$5,"0"&amp;$N$5)</f>
        <v>VL/X01</v>
      </c>
      <c r="G7" s="548" t="str">
        <f ca="1">"Nợ:  "&amp;IF(ROWS($1:1)&gt;COUNT(Dong10),"",OFFSET(TH!N$1,SMALL(Dong10,ROWS($1:1)),))</f>
        <v>Nợ:  154</v>
      </c>
      <c r="M7" s="551"/>
      <c r="O7" s="552"/>
    </row>
    <row r="8" spans="1:16" s="548" customFormat="1" ht="12" customHeight="1">
      <c r="D8" s="111"/>
      <c r="G8" s="548" t="str">
        <f ca="1">"Có:  "&amp;IF(ROWS($1:1)&gt;COUNT(Dong10),"",OFFSET(TH!O$1,SMALL(Dong10,ROWS($1:1)),))</f>
        <v>Có:  1522</v>
      </c>
      <c r="M8" s="551"/>
      <c r="O8" s="555"/>
    </row>
    <row r="9" spans="1:16" s="548" customFormat="1" ht="12" customHeight="1">
      <c r="A9" s="548" t="str">
        <f ca="1">+IF(MID($D$7,4,1)="N","Họ và tên người giao :   ","Họ và tên người nhận hàng :   ")&amp;IF(ROWS($1:1)&gt;COUNT(Dong10),"",OFFSET(TH!H$1,SMALL(Dong10,ROWS($1:1)),)) &amp;IF(MID($D$7,4,1)="N","","                                         Địa chỉ (bộ phận) :     Sản Xuất ")</f>
        <v xml:space="preserve">Họ và tên người nhận hàng :   Xuất SX                                         Địa chỉ (bộ phận) :     Sản Xuất </v>
      </c>
      <c r="M9" s="551"/>
    </row>
    <row r="10" spans="1:16" s="548" customFormat="1" ht="12" customHeight="1">
      <c r="A10" s="548" t="str">
        <f>+IF(LEFT($D$7,1)="N","Theo……………………………………....…………..số………….…………….……ngày……...tháng…......năm……....","Lý do xuất :                                 Xuất dùng ")</f>
        <v xml:space="preserve">Lý do xuất :                                 Xuất dùng </v>
      </c>
    </row>
    <row r="11" spans="1:16" s="548" customFormat="1" ht="12" customHeight="1">
      <c r="A11" s="548" t="str">
        <f>+IF(LEFT($D$7,1)="N","của………………………………………………………………………………………………………………………………....","Xuất tại kho (ngăn lô) :            Công ty TNHH Hải Sản An Lạc                      Địa điểm :  Đức Hòa, Long An.")</f>
        <v>Xuất tại kho (ngăn lô) :            Công ty TNHH Hải Sản An Lạc                      Địa điểm :  Đức Hòa, Long An.</v>
      </c>
    </row>
    <row r="12" spans="1:16" s="548" customFormat="1" ht="12" customHeight="1">
      <c r="A12" s="548" t="str">
        <f>+IF(LEFT("x",1)="N","Nhập tại kho:       Công ty TNHH Hải Sản An Lạc                      Địa điểm:  Đức Hòa, Long An."," ")</f>
        <v/>
      </c>
    </row>
    <row r="13" spans="1:16" s="548" customFormat="1" ht="2.25" customHeight="1"/>
    <row r="14" spans="1:16" s="548" customFormat="1" ht="11.25" customHeight="1">
      <c r="A14" s="1375" t="s">
        <v>37</v>
      </c>
      <c r="B14" s="1375" t="s">
        <v>468</v>
      </c>
      <c r="C14" s="1375" t="s">
        <v>469</v>
      </c>
      <c r="D14" s="1375" t="s">
        <v>326</v>
      </c>
      <c r="E14" s="1377" t="s">
        <v>470</v>
      </c>
      <c r="F14" s="1377"/>
      <c r="G14" s="1375" t="s">
        <v>471</v>
      </c>
      <c r="H14" s="1375" t="s">
        <v>472</v>
      </c>
    </row>
    <row r="15" spans="1:16" s="548" customFormat="1" ht="19.5" customHeight="1">
      <c r="A15" s="1376"/>
      <c r="B15" s="1376"/>
      <c r="C15" s="1376"/>
      <c r="D15" s="1376"/>
      <c r="E15" s="556" t="s">
        <v>473</v>
      </c>
      <c r="F15" s="556" t="str">
        <f>IF(LEFT($D$7,1)="N","Thực nhập","Thực xuất")</f>
        <v>Thực xuất</v>
      </c>
      <c r="G15" s="1376"/>
      <c r="H15" s="1376"/>
    </row>
    <row r="16" spans="1:16" s="558" customFormat="1" ht="8.25" customHeight="1">
      <c r="A16" s="557" t="s">
        <v>2</v>
      </c>
      <c r="B16" s="557" t="s">
        <v>3</v>
      </c>
      <c r="C16" s="557" t="s">
        <v>4</v>
      </c>
      <c r="D16" s="557" t="s">
        <v>5</v>
      </c>
      <c r="E16" s="557">
        <v>1</v>
      </c>
      <c r="F16" s="557">
        <v>2</v>
      </c>
      <c r="G16" s="557">
        <v>3</v>
      </c>
      <c r="H16" s="557">
        <v>4</v>
      </c>
    </row>
    <row r="17" spans="1:8" s="548" customFormat="1" ht="12" customHeight="1">
      <c r="A17" s="559">
        <f ca="1">IF(B17="","",ROW()-16)</f>
        <v>1</v>
      </c>
      <c r="B17" s="560" t="str">
        <f ca="1">IF(ROWS($1:1)&gt;COUNT(Dong10),"",OFFSET(TH!F$1,SMALL(Dong10,ROWS($1:1)),))</f>
        <v>Bột ngọt</v>
      </c>
      <c r="C17" s="561"/>
      <c r="D17" s="562" t="str">
        <f ca="1">IF(ISNA(VLOOKUP(B17,NXT!$C$12:$D$100,2,0)),"",VLOOKUP(B17,NXT!$C$12:$D$100,2,0))</f>
        <v>kg</v>
      </c>
      <c r="E17" s="563"/>
      <c r="F17" s="564">
        <f ca="1">IF(ROWS($1:1)&gt;COUNT(Dong10),"",OFFSET(TH!I$1,SMALL(Dong10,ROWS($1:1)),))</f>
        <v>100</v>
      </c>
      <c r="G17" s="565">
        <f ca="1">IF(ROWS($1:1)&gt;COUNT(Dong10),"",OFFSET(TH!J$1,SMALL(Dong10,ROWS($1:1)),))</f>
        <v>35444.444444444445</v>
      </c>
      <c r="H17" s="563">
        <f t="shared" ref="H17:H23" ca="1" si="0">IF(F17&lt;&gt;"",ROUND(F17*G17,0),"")</f>
        <v>3544444</v>
      </c>
    </row>
    <row r="18" spans="1:8" s="548" customFormat="1" ht="12" customHeight="1">
      <c r="A18" s="559">
        <f t="shared" ref="A18:A23" ca="1" si="1">IF(B18="","",A17+1)</f>
        <v>2</v>
      </c>
      <c r="B18" s="560" t="str">
        <f ca="1">IF(ROWS($1:2)&gt;COUNT(Dong10),"",OFFSET(TH!F$1,SMALL(Dong10,ROWS($1:2)),))</f>
        <v>Bột biến tính</v>
      </c>
      <c r="C18" s="561"/>
      <c r="D18" s="562" t="str">
        <f ca="1">IF(ISNA(VLOOKUP(B18,NXT!$C$12:$D$100,2,0)),"",VLOOKUP(B18,NXT!$C$12:$D$100,2,0))</f>
        <v>kg</v>
      </c>
      <c r="E18" s="563"/>
      <c r="F18" s="564">
        <f ca="1">IF(ROWS($1:2)&gt;COUNT(Dong10),"",OFFSET(TH!I$1,SMALL(Dong10,ROWS($1:2)),))</f>
        <v>20</v>
      </c>
      <c r="G18" s="565">
        <f ca="1">IF(ROWS($1:2)&gt;COUNT(Dong10),"",OFFSET(TH!J$1,SMALL(Dong10,ROWS($1:2)),))</f>
        <v>46741.2</v>
      </c>
      <c r="H18" s="563">
        <f t="shared" ca="1" si="0"/>
        <v>934824</v>
      </c>
    </row>
    <row r="19" spans="1:8" s="548" customFormat="1" ht="12" customHeight="1">
      <c r="A19" s="559">
        <f t="shared" ca="1" si="1"/>
        <v>3</v>
      </c>
      <c r="B19" s="560" t="str">
        <f ca="1">IF(ROWS($1:3)&gt;COUNT(Dong10),"",OFFSET(TH!F$1,SMALL(Dong10,ROWS($1:3)),))</f>
        <v>Đường</v>
      </c>
      <c r="C19" s="561"/>
      <c r="D19" s="562" t="str">
        <f ca="1">IF(ISNA(VLOOKUP(B19,NXT!$C$12:$D$100,2,0)),"",VLOOKUP(B19,NXT!$C$12:$D$100,2,0))</f>
        <v>kg</v>
      </c>
      <c r="E19" s="563"/>
      <c r="F19" s="564">
        <f ca="1">IF(ROWS($1:3)&gt;COUNT(Dong10),"",OFFSET(TH!I$1,SMALL(Dong10,ROWS($1:3)),))</f>
        <v>150</v>
      </c>
      <c r="G19" s="565">
        <f ca="1">IF(ROWS($1:3)&gt;COUNT(Dong10),"",OFFSET(TH!J$1,SMALL(Dong10,ROWS($1:3)),))</f>
        <v>11666.673333333334</v>
      </c>
      <c r="H19" s="563">
        <f t="shared" ca="1" si="0"/>
        <v>1750001</v>
      </c>
    </row>
    <row r="20" spans="1:8" s="548" customFormat="1" ht="12" customHeight="1">
      <c r="A20" s="559" t="str">
        <f t="shared" ca="1" si="1"/>
        <v/>
      </c>
      <c r="B20" s="560" t="str">
        <f ca="1">IF(ROWS($1:4)&gt;COUNT(Dong10),"",OFFSET(TH!F$1,SMALL(Dong10,ROWS($1:4)),))</f>
        <v/>
      </c>
      <c r="C20" s="561"/>
      <c r="D20" s="562" t="str">
        <f ca="1">IF(ISNA(VLOOKUP(B20,NXT!$C$12:$D$100,2,0)),"",VLOOKUP(B20,NXT!$C$12:$D$100,2,0))</f>
        <v/>
      </c>
      <c r="E20" s="563"/>
      <c r="F20" s="564" t="str">
        <f ca="1">IF(ROWS($1:4)&gt;COUNT(Dong10),"",OFFSET(TH!I$1,SMALL(Dong10,ROWS($1:4)),))</f>
        <v/>
      </c>
      <c r="G20" s="565" t="str">
        <f ca="1">IF(ROWS($1:4)&gt;COUNT(Dong10),"",OFFSET(TH!J$1,SMALL(Dong10,ROWS($1:4)),))</f>
        <v/>
      </c>
      <c r="H20" s="563" t="str">
        <f t="shared" ca="1" si="0"/>
        <v/>
      </c>
    </row>
    <row r="21" spans="1:8" s="548" customFormat="1" ht="12" customHeight="1">
      <c r="A21" s="559" t="str">
        <f t="shared" ca="1" si="1"/>
        <v/>
      </c>
      <c r="B21" s="560" t="str">
        <f ca="1">IF(ROWS($1:5)&gt;COUNT(Dong10),"",OFFSET(TH!F$1,SMALL(Dong10,ROWS($1:5)),))</f>
        <v/>
      </c>
      <c r="C21" s="561"/>
      <c r="D21" s="562" t="str">
        <f ca="1">IF(ISNA(VLOOKUP(B21,NXT!$C$12:$D$100,2,0)),"",VLOOKUP(B21,NXT!$C$12:$D$100,2,0))</f>
        <v/>
      </c>
      <c r="E21" s="563"/>
      <c r="F21" s="564" t="str">
        <f ca="1">IF(ROWS($1:5)&gt;COUNT(Dong10),"",OFFSET(TH!I$1,SMALL(Dong10,ROWS($1:5)),))</f>
        <v/>
      </c>
      <c r="G21" s="565" t="str">
        <f ca="1">IF(ROWS($1:5)&gt;COUNT(Dong10),"",OFFSET(TH!J$1,SMALL(Dong10,ROWS($1:5)),))</f>
        <v/>
      </c>
      <c r="H21" s="563" t="str">
        <f t="shared" ca="1" si="0"/>
        <v/>
      </c>
    </row>
    <row r="22" spans="1:8" s="548" customFormat="1" ht="12" customHeight="1">
      <c r="A22" s="559" t="str">
        <f t="shared" ca="1" si="1"/>
        <v/>
      </c>
      <c r="B22" s="560" t="str">
        <f ca="1">IF(ROWS($1:6)&gt;COUNT(Dong10),"",OFFSET(TH!F$1,SMALL(Dong10,ROWS($1:6)),))</f>
        <v/>
      </c>
      <c r="C22" s="561"/>
      <c r="D22" s="562" t="str">
        <f ca="1">IF(ISNA(VLOOKUP(B22,NXT!$C$12:$D$100,2,0)),"",VLOOKUP(B22,NXT!$C$12:$D$100,2,0))</f>
        <v/>
      </c>
      <c r="E22" s="563"/>
      <c r="F22" s="564" t="str">
        <f ca="1">IF(ROWS($1:6)&gt;COUNT(Dong10),"",OFFSET(TH!I$1,SMALL(Dong10,ROWS($1:6)),))</f>
        <v/>
      </c>
      <c r="G22" s="565" t="str">
        <f ca="1">IF(ROWS($1:6)&gt;COUNT(Dong10),"",OFFSET(TH!J$1,SMALL(Dong10,ROWS($1:6)),))</f>
        <v/>
      </c>
      <c r="H22" s="563" t="str">
        <f t="shared" ca="1" si="0"/>
        <v/>
      </c>
    </row>
    <row r="23" spans="1:8" s="548" customFormat="1" ht="12" customHeight="1">
      <c r="A23" s="566" t="str">
        <f t="shared" ca="1" si="1"/>
        <v/>
      </c>
      <c r="B23" s="560" t="str">
        <f ca="1">IF(ROWS($1:7)&gt;COUNT(Dong10),"",OFFSET(TH!F$1,SMALL(Dong10,ROWS($1:7)),))</f>
        <v/>
      </c>
      <c r="C23" s="561"/>
      <c r="D23" s="562" t="str">
        <f ca="1">IF(ISNA(VLOOKUP(B23,NXT!$C$12:$D$100,2,0)),"",VLOOKUP(B23,NXT!$C$12:$D$100,2,0))</f>
        <v/>
      </c>
      <c r="E23" s="563"/>
      <c r="F23" s="564" t="str">
        <f ca="1">IF(ROWS($1:7)&gt;COUNT(Dong10),"",OFFSET(TH!I$1,SMALL(Dong10,ROWS($1:7)),))</f>
        <v/>
      </c>
      <c r="G23" s="565" t="str">
        <f ca="1">IF(ROWS($1:7)&gt;COUNT(Dong10),"",OFFSET(TH!J$1,SMALL(Dong10,ROWS($1:7)),))</f>
        <v/>
      </c>
      <c r="H23" s="567" t="str">
        <f t="shared" ca="1" si="0"/>
        <v/>
      </c>
    </row>
    <row r="24" spans="1:8" s="548" customFormat="1" ht="12" customHeight="1">
      <c r="A24" s="1377" t="s">
        <v>474</v>
      </c>
      <c r="B24" s="1377"/>
      <c r="C24" s="568"/>
      <c r="D24" s="568"/>
      <c r="E24" s="569"/>
      <c r="F24" s="569"/>
      <c r="G24" s="569"/>
      <c r="H24" s="569">
        <f ca="1">SUM(H17:H23)</f>
        <v>6229269</v>
      </c>
    </row>
    <row r="25" spans="1:8" s="548" customFormat="1" ht="3" customHeight="1">
      <c r="A25" s="570"/>
      <c r="B25" s="570"/>
      <c r="C25" s="551"/>
      <c r="D25" s="551"/>
      <c r="E25" s="571"/>
      <c r="F25" s="571"/>
      <c r="G25" s="571"/>
      <c r="H25" s="571"/>
    </row>
    <row r="26" spans="1:8" s="548" customFormat="1" ht="14.25" customHeight="1">
      <c r="A26" s="548" t="e">
        <f ca="1">"Tổng số tiền (viết bằng chữ):  "&amp; [3]!VND(H24, TRUE)</f>
        <v>#NAME?</v>
      </c>
    </row>
    <row r="27" spans="1:8" s="548" customFormat="1" ht="14.25" customHeight="1">
      <c r="A27" s="548" t="str">
        <f>"Số chứng từ gốc kèm theo :  "</f>
        <v xml:space="preserve">Số chứng từ gốc kèm theo :  </v>
      </c>
    </row>
    <row r="28" spans="1:8" s="548" customFormat="1" ht="14.25" customHeight="1">
      <c r="F28" s="122" t="str">
        <f ca="1">+IF(LEFT($D$7,1)="N","                                                          "&amp;D6,"                                                                                           "&amp;D6)</f>
        <v xml:space="preserve">                                                                                           Ngày  2  tháng  1  năm  2016</v>
      </c>
    </row>
    <row r="29" spans="1:8" s="573" customFormat="1" ht="14.25" customHeight="1">
      <c r="A29" s="572" t="s">
        <v>475</v>
      </c>
      <c r="C29" s="574"/>
      <c r="E29" s="574"/>
      <c r="F29" s="574" t="str">
        <f>+IF(LEFT($D$7,1)="N","                                                       Kế toán trưởng","                                          Kế toán trưởng                           Giám đốc")</f>
        <v xml:space="preserve">                                          Kế toán trưởng                           Giám đốc</v>
      </c>
    </row>
    <row r="30" spans="1:8" s="548" customFormat="1" ht="12.75" customHeight="1">
      <c r="A30" s="554" t="s">
        <v>476</v>
      </c>
      <c r="C30" s="122"/>
      <c r="E30" s="122"/>
      <c r="F30" s="122" t="str">
        <f>+IF(LEFT($D$7,1)="N","                                                     (Ký, họ tên)","                (Ký, họ tên)                ")</f>
        <v xml:space="preserve">                (Ký, họ tên)                </v>
      </c>
      <c r="H30" s="554" t="str">
        <f>+IF(LEFT($D$7,1)="N","","  (Ký, họ tên)")</f>
        <v xml:space="preserve">  (Ký, họ tên)</v>
      </c>
    </row>
    <row r="31" spans="1:8" s="548" customFormat="1" ht="12.75" customHeight="1">
      <c r="G31" s="122"/>
    </row>
    <row r="32" spans="1:8" s="548" customFormat="1" ht="11.25" customHeight="1"/>
    <row r="33" spans="1:6" s="548" customFormat="1" ht="11.25" customHeight="1"/>
    <row r="34" spans="1:6" s="548" customFormat="1" ht="11.25" customHeight="1"/>
    <row r="35" spans="1:6" s="548" customFormat="1" ht="11.25" customHeight="1"/>
    <row r="36" spans="1:6" ht="11.25" customHeight="1">
      <c r="A36" s="575" t="s">
        <v>477</v>
      </c>
      <c r="F36" s="576" t="str">
        <f>+IF(LEFT($D$7,1)="N","","                                                                                                    Nguyễn Thiện Duy")</f>
        <v xml:space="preserve">                                                                                                    Nguyễn Thiện Duy</v>
      </c>
    </row>
  </sheetData>
  <mergeCells count="8">
    <mergeCell ref="H14:H15"/>
    <mergeCell ref="A24:B24"/>
    <mergeCell ref="A14:A15"/>
    <mergeCell ref="B14:B15"/>
    <mergeCell ref="C14:C15"/>
    <mergeCell ref="D14:D15"/>
    <mergeCell ref="E14:F14"/>
    <mergeCell ref="G14:G15"/>
  </mergeCells>
  <conditionalFormatting sqref="B17:B23 F17:G23">
    <cfRule type="expression" dxfId="2"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0.xml><?xml version="1.0" encoding="utf-8"?>
<worksheet xmlns="http://schemas.openxmlformats.org/spreadsheetml/2006/main" xmlns:r="http://schemas.openxmlformats.org/officeDocument/2006/relationships">
  <sheetPr>
    <tabColor indexed="29"/>
  </sheetPr>
  <dimension ref="A1:Q46"/>
  <sheetViews>
    <sheetView topLeftCell="A5" zoomScale="90" workbookViewId="0">
      <pane ySplit="9" topLeftCell="A14" activePane="bottomLeft" state="frozen"/>
      <selection activeCell="C33" sqref="C33"/>
      <selection pane="bottomLeft" activeCell="J8" sqref="J8:L8"/>
    </sheetView>
  </sheetViews>
  <sheetFormatPr defaultColWidth="23.85546875" defaultRowHeight="15"/>
  <cols>
    <col min="1" max="1" width="4.28515625" style="578" customWidth="1"/>
    <col min="2" max="2" width="8.5703125" style="578" customWidth="1"/>
    <col min="3" max="3" width="11" style="578" customWidth="1"/>
    <col min="4" max="4" width="41.7109375" style="578" customWidth="1"/>
    <col min="5" max="5" width="8" style="591" customWidth="1"/>
    <col min="6" max="6" width="8.85546875" style="578" customWidth="1"/>
    <col min="7" max="7" width="9" style="578" customWidth="1"/>
    <col min="8" max="8" width="14.140625" style="578" customWidth="1"/>
    <col min="9" max="9" width="8.85546875" style="578" customWidth="1"/>
    <col min="10" max="10" width="13.42578125" style="578" customWidth="1"/>
    <col min="11" max="11" width="10.140625" style="578" customWidth="1"/>
    <col min="12" max="12" width="13" style="578" customWidth="1"/>
    <col min="13" max="13" width="7.140625" style="578" customWidth="1"/>
    <col min="14" max="14" width="2" style="578" customWidth="1"/>
    <col min="15" max="15" width="5.5703125" style="578" customWidth="1"/>
    <col min="16" max="16" width="4.42578125" style="578" customWidth="1"/>
    <col min="17" max="16384" width="23.85546875" style="578"/>
  </cols>
  <sheetData>
    <row r="1" spans="1:17">
      <c r="A1" s="577" t="s">
        <v>478</v>
      </c>
      <c r="E1" s="578"/>
      <c r="O1" s="579"/>
    </row>
    <row r="2" spans="1:17" s="450" customFormat="1" ht="16.5" customHeight="1">
      <c r="B2" s="580" t="s">
        <v>316</v>
      </c>
      <c r="C2" s="581"/>
      <c r="D2" s="582"/>
      <c r="E2" s="583"/>
      <c r="F2" s="2"/>
      <c r="J2" s="1385" t="s">
        <v>479</v>
      </c>
      <c r="K2" s="1385"/>
      <c r="L2" s="1385"/>
      <c r="M2" s="1385"/>
      <c r="N2" s="584"/>
    </row>
    <row r="3" spans="1:17" s="450" customFormat="1" ht="16.5" customHeight="1">
      <c r="B3" s="580" t="s">
        <v>318</v>
      </c>
      <c r="C3" s="580"/>
      <c r="D3" s="580"/>
      <c r="E3" s="585"/>
      <c r="F3" s="580"/>
      <c r="J3" s="1386" t="s">
        <v>50</v>
      </c>
      <c r="K3" s="1386"/>
      <c r="L3" s="1386"/>
      <c r="M3" s="1386"/>
      <c r="N3" s="586"/>
    </row>
    <row r="4" spans="1:17" s="450" customFormat="1" ht="16.5" customHeight="1">
      <c r="B4" s="580"/>
      <c r="C4" s="580"/>
      <c r="D4" s="580"/>
      <c r="E4" s="585"/>
      <c r="F4" s="580"/>
      <c r="J4" s="1386"/>
      <c r="K4" s="1386"/>
      <c r="L4" s="1386"/>
      <c r="M4" s="1386"/>
      <c r="N4" s="586"/>
    </row>
    <row r="5" spans="1:17" ht="18.75" customHeight="1">
      <c r="B5" s="1387" t="s">
        <v>480</v>
      </c>
      <c r="C5" s="1387"/>
      <c r="D5" s="1387"/>
      <c r="E5" s="1387"/>
      <c r="F5" s="1387"/>
      <c r="G5" s="1387"/>
      <c r="H5" s="1387"/>
      <c r="I5" s="1387"/>
      <c r="J5" s="1387"/>
      <c r="K5" s="1387"/>
      <c r="L5" s="1387"/>
      <c r="M5" s="1387"/>
      <c r="N5" s="587"/>
    </row>
    <row r="6" spans="1:17" s="588" customFormat="1" ht="12.75">
      <c r="B6" s="1388" t="s">
        <v>481</v>
      </c>
      <c r="C6" s="1388"/>
      <c r="D6" s="1388"/>
      <c r="E6" s="1388"/>
      <c r="F6" s="1388"/>
      <c r="G6" s="1388"/>
      <c r="H6" s="1388"/>
      <c r="I6" s="1388"/>
      <c r="J6" s="1388"/>
      <c r="K6" s="1388"/>
      <c r="L6" s="1388"/>
      <c r="M6" s="1388"/>
      <c r="N6" s="589"/>
    </row>
    <row r="7" spans="1:17">
      <c r="C7" s="590"/>
      <c r="D7" s="590"/>
      <c r="F7" s="592" t="s">
        <v>926</v>
      </c>
      <c r="G7" s="938" t="str">
        <f>IF($O$10="VL","1522",IF($O$10="NL","1521",IF($O$10="TP","155","")))</f>
        <v>1522</v>
      </c>
      <c r="H7" s="592" t="s">
        <v>482</v>
      </c>
      <c r="I7" s="590" t="str">
        <f>IF($O$10="NL","Nguyên Liệu",IF($O$10="TP","Thành Phẩm",IF($O$10="VL","Vật Liệu","")))</f>
        <v>Vật Liệu</v>
      </c>
      <c r="J7" s="590"/>
      <c r="K7" s="590"/>
      <c r="L7" s="590"/>
      <c r="M7" s="590"/>
      <c r="N7" s="591"/>
    </row>
    <row r="8" spans="1:17">
      <c r="B8" s="591"/>
      <c r="C8" s="590"/>
      <c r="D8" s="590"/>
      <c r="F8" s="591" t="s">
        <v>483</v>
      </c>
      <c r="H8" s="590"/>
      <c r="I8" s="590"/>
      <c r="J8" s="1389" t="s">
        <v>363</v>
      </c>
      <c r="K8" s="1389"/>
      <c r="L8" s="1389"/>
      <c r="M8" s="590"/>
      <c r="N8" s="590"/>
    </row>
    <row r="9" spans="1:17">
      <c r="D9" s="593"/>
      <c r="E9" s="594"/>
      <c r="F9" s="593"/>
      <c r="G9" s="593"/>
      <c r="H9" s="593"/>
      <c r="I9" s="593"/>
      <c r="J9" s="593"/>
      <c r="K9" s="593" t="s">
        <v>148</v>
      </c>
      <c r="M9" s="595"/>
      <c r="N9" s="596"/>
    </row>
    <row r="10" spans="1:17" ht="15.75" customHeight="1">
      <c r="A10" s="1379" t="s">
        <v>37</v>
      </c>
      <c r="B10" s="1380" t="s">
        <v>1</v>
      </c>
      <c r="C10" s="1380"/>
      <c r="D10" s="1381" t="s">
        <v>0</v>
      </c>
      <c r="E10" s="1381" t="s">
        <v>484</v>
      </c>
      <c r="F10" s="1381" t="s">
        <v>471</v>
      </c>
      <c r="G10" s="1383" t="s">
        <v>485</v>
      </c>
      <c r="H10" s="1384"/>
      <c r="I10" s="1383" t="s">
        <v>486</v>
      </c>
      <c r="J10" s="1384"/>
      <c r="K10" s="1383" t="s">
        <v>487</v>
      </c>
      <c r="L10" s="1384"/>
      <c r="M10" s="1381" t="s">
        <v>152</v>
      </c>
      <c r="N10" s="597"/>
      <c r="O10" s="598" t="s">
        <v>488</v>
      </c>
    </row>
    <row r="11" spans="1:17" ht="31.5" customHeight="1">
      <c r="A11" s="1379"/>
      <c r="B11" s="599" t="s">
        <v>17</v>
      </c>
      <c r="C11" s="599" t="s">
        <v>34</v>
      </c>
      <c r="D11" s="1381"/>
      <c r="E11" s="1381"/>
      <c r="F11" s="1381"/>
      <c r="G11" s="599" t="s">
        <v>470</v>
      </c>
      <c r="H11" s="599" t="s">
        <v>472</v>
      </c>
      <c r="I11" s="599" t="s">
        <v>470</v>
      </c>
      <c r="J11" s="599" t="s">
        <v>472</v>
      </c>
      <c r="K11" s="599" t="s">
        <v>470</v>
      </c>
      <c r="L11" s="599" t="s">
        <v>472</v>
      </c>
      <c r="M11" s="1381"/>
      <c r="N11" s="597"/>
    </row>
    <row r="12" spans="1:17" s="591" customFormat="1">
      <c r="A12" s="600"/>
      <c r="B12" s="601" t="s">
        <v>2</v>
      </c>
      <c r="C12" s="602" t="s">
        <v>3</v>
      </c>
      <c r="D12" s="602" t="s">
        <v>4</v>
      </c>
      <c r="E12" s="601" t="s">
        <v>5</v>
      </c>
      <c r="F12" s="601">
        <v>1</v>
      </c>
      <c r="G12" s="601">
        <v>2</v>
      </c>
      <c r="H12" s="601" t="s">
        <v>489</v>
      </c>
      <c r="I12" s="601">
        <v>4</v>
      </c>
      <c r="J12" s="601" t="s">
        <v>490</v>
      </c>
      <c r="K12" s="601">
        <v>6</v>
      </c>
      <c r="L12" s="601" t="s">
        <v>491</v>
      </c>
      <c r="M12" s="601"/>
      <c r="N12" s="603"/>
    </row>
    <row r="13" spans="1:17">
      <c r="A13" s="604"/>
      <c r="B13" s="604"/>
      <c r="C13" s="604"/>
      <c r="D13" s="605" t="s">
        <v>173</v>
      </c>
      <c r="E13" s="606"/>
      <c r="F13" s="607">
        <f>L13/K13</f>
        <v>322.9927140255009</v>
      </c>
      <c r="G13" s="607"/>
      <c r="H13" s="607"/>
      <c r="I13" s="607"/>
      <c r="J13" s="607"/>
      <c r="K13" s="608">
        <f>VLOOKUP($J$8,NXT!$C$12:$L$100,3,0)</f>
        <v>1647</v>
      </c>
      <c r="L13" s="608">
        <f>VLOOKUP($J$8,NXT!$C$12:$L$100,4,0)</f>
        <v>531969</v>
      </c>
      <c r="M13" s="607"/>
      <c r="N13" s="603"/>
    </row>
    <row r="14" spans="1:17">
      <c r="A14" s="559">
        <f ca="1">IF(B14="","",ROW()-13)</f>
        <v>1</v>
      </c>
      <c r="B14" s="609" t="str">
        <f ca="1">IF(ROWS($1:1)&gt;COUNT(Dong11),"",OFFSET(TH!D$1,SMALL(Dong11,ROWS($1:1)),))</f>
        <v>VL/N02</v>
      </c>
      <c r="C14" s="610">
        <f ca="1">IF(ROWS($1:1)&gt;COUNT(Dong11),"",OFFSET(TH!E$1,SMALL(Dong11,ROWS($1:1)),))</f>
        <v>42374</v>
      </c>
      <c r="D14" s="611" t="str">
        <f ca="1">IF(ROWS($1:1)&gt;COUNT(Dong11),"",OFFSET(TH!F$1,SMALL(Dong11,ROWS($1:1)),)&amp;" - "&amp;OFFSET(TH!H$1,SMALL(Dong11,ROWS($1:1)),))</f>
        <v>Túi PE - CN Công Ty TNHH Tân Hy Xí Nghiệp In &amp; Bao Bì Duy Nhật</v>
      </c>
      <c r="E14" s="609" t="str">
        <f ca="1">IF(ROWS($1:1)&gt;COUNT(Dong11),"",IF(OFFSET(TH!N$1,SMALL(Dong11,ROWS($1:1)),)=$G$7,OFFSET(TH!O$1,SMALL(Dong11,ROWS($1:1)),),OFFSET(TH!N$1,SMALL(Dong11,ROWS($1:1)),)))</f>
        <v>331</v>
      </c>
      <c r="F14" s="612">
        <f ca="1">IF(ROWS($1:1)&gt;COUNT(Dong11),0,OFFSET(TH!J$1,SMALL(Dong11,ROWS($1:1)),))</f>
        <v>33000</v>
      </c>
      <c r="G14" s="612">
        <f ca="1">IF(ROWS($1:1)&gt;COUNT(Dong11),0,IF(MID(OFFSET(TH!D$1,SMALL(Dong11,ROWS($1:1)),),4,1)="N",OFFSET(TH!I$1,SMALL(Dong11,ROWS($1:1)),),0))</f>
        <v>1000</v>
      </c>
      <c r="H14" s="613">
        <f ca="1">ROUND(F14*G14,0)</f>
        <v>33000000</v>
      </c>
      <c r="I14" s="612">
        <f ca="1">IF(ROWS($1:1)&gt;COUNT(Dong11),0,IF(MID(OFFSET(TH!D$1,SMALL(Dong11,ROWS($1:1)),),4,1)="X",OFFSET(TH!I$1,SMALL(Dong11,ROWS($1:1)),),0))</f>
        <v>0</v>
      </c>
      <c r="J14" s="613">
        <f ca="1">ROUND(F14*I14,0)</f>
        <v>0</v>
      </c>
      <c r="K14" s="613">
        <f ca="1">IF(D14&lt;&gt;"",K13+G14-I14,0)</f>
        <v>2647</v>
      </c>
      <c r="L14" s="613">
        <f ca="1">IF(D14&lt;&gt;"",L13+H14-J14,0)</f>
        <v>33531969</v>
      </c>
      <c r="M14" s="613"/>
      <c r="N14" s="603"/>
    </row>
    <row r="15" spans="1:17">
      <c r="A15" s="559">
        <f t="shared" ref="A15:A31" ca="1" si="0">IF(B15="","",A14+1)</f>
        <v>2</v>
      </c>
      <c r="B15" s="609" t="str">
        <f ca="1">IF(ROWS($1:2)&gt;COUNT(Dong11),"",OFFSET(TH!D$1,SMALL(Dong11,ROWS($1:2)),))</f>
        <v>VL/X03</v>
      </c>
      <c r="C15" s="610">
        <f ca="1">IF(ROWS($1:2)&gt;COUNT(Dong11),"",OFFSET(TH!E$1,SMALL(Dong11,ROWS($1:2)),))</f>
        <v>42384</v>
      </c>
      <c r="D15" s="611" t="str">
        <f ca="1">IF(ROWS($1:2)&gt;COUNT(Dong11),"",OFFSET(TH!F$1,SMALL(Dong11,ROWS($1:2)),)&amp;" - "&amp;OFFSET(TH!H$1,SMALL(Dong11,ROWS($1:2)),))</f>
        <v>Túi PE - Xuất SX</v>
      </c>
      <c r="E15" s="609" t="str">
        <f ca="1">IF(ROWS($1:2)&gt;COUNT(Dong11),"",IF(OFFSET(TH!N$1,SMALL(Dong11,ROWS($1:2)),)=$G$7,OFFSET(TH!O$1,SMALL(Dong11,ROWS($1:2)),),OFFSET(TH!N$1,SMALL(Dong11,ROWS($1:2)),)))</f>
        <v>154</v>
      </c>
      <c r="F15" s="612">
        <f ca="1">IF(ROWS($1:2)&gt;COUNT(Dong11),0,OFFSET(TH!J$1,SMALL(Dong11,ROWS($1:2)),))</f>
        <v>322.9927140255009</v>
      </c>
      <c r="G15" s="612">
        <f ca="1">IF(ROWS($1:2)&gt;COUNT(Dong11),0,IF(MID(OFFSET(TH!D$1,SMALL(Dong11,ROWS($1:2)),),4,1)="N",OFFSET(TH!I$1,SMALL(Dong11,ROWS($1:2)),),0))</f>
        <v>0</v>
      </c>
      <c r="H15" s="613">
        <f t="shared" ref="H15:H30" ca="1" si="1">ROUND(F15*G15,0)</f>
        <v>0</v>
      </c>
      <c r="I15" s="612">
        <f ca="1">IF(ROWS($1:2)&gt;COUNT(Dong11),0,IF(MID(OFFSET(TH!D$1,SMALL(Dong11,ROWS($1:2)),),4,1)="X",OFFSET(TH!I$1,SMALL(Dong11,ROWS($1:2)),),0))</f>
        <v>1647</v>
      </c>
      <c r="J15" s="613">
        <f t="shared" ref="J15:J30" ca="1" si="2">ROUND(F15*I15,0)</f>
        <v>531969</v>
      </c>
      <c r="K15" s="613">
        <f t="shared" ref="K15:K30" ca="1" si="3">IF(D15&lt;&gt;"",K14+G15-I15,0)</f>
        <v>1000</v>
      </c>
      <c r="L15" s="613">
        <f t="shared" ref="L15:L30" ca="1" si="4">IF(D15&lt;&gt;"",L14+H15-J15,0)</f>
        <v>33000000</v>
      </c>
      <c r="M15" s="613"/>
      <c r="N15" s="603"/>
      <c r="Q15" s="614"/>
    </row>
    <row r="16" spans="1:17">
      <c r="A16" s="559">
        <f t="shared" ca="1" si="0"/>
        <v>3</v>
      </c>
      <c r="B16" s="609" t="str">
        <f ca="1">IF(ROWS($1:3)&gt;COUNT(Dong11),"",OFFSET(TH!D$1,SMALL(Dong11,ROWS($1:3)),))</f>
        <v>VL/X03</v>
      </c>
      <c r="C16" s="610">
        <f ca="1">IF(ROWS($1:3)&gt;COUNT(Dong11),"",OFFSET(TH!E$1,SMALL(Dong11,ROWS($1:3)),))</f>
        <v>42425</v>
      </c>
      <c r="D16" s="611" t="str">
        <f ca="1">IF(ROWS($1:3)&gt;COUNT(Dong11),"",OFFSET(TH!F$1,SMALL(Dong11,ROWS($1:3)),)&amp;" - "&amp;OFFSET(TH!H$1,SMALL(Dong11,ROWS($1:3)),))</f>
        <v>Túi PE - Xuất SX</v>
      </c>
      <c r="E16" s="609" t="str">
        <f ca="1">IF(ROWS($1:3)&gt;COUNT(Dong11),"",IF(OFFSET(TH!N$1,SMALL(Dong11,ROWS($1:3)),)=$G$7,OFFSET(TH!O$1,SMALL(Dong11,ROWS($1:3)),),OFFSET(TH!N$1,SMALL(Dong11,ROWS($1:3)),)))</f>
        <v>154</v>
      </c>
      <c r="F16" s="612">
        <f ca="1">IF(ROWS($1:3)&gt;COUNT(Dong11),0,OFFSET(TH!J$1,SMALL(Dong11,ROWS($1:3)),))</f>
        <v>33000</v>
      </c>
      <c r="G16" s="612">
        <f ca="1">IF(ROWS($1:3)&gt;COUNT(Dong11),0,IF(MID(OFFSET(TH!D$1,SMALL(Dong11,ROWS($1:3)),),4,1)="N",OFFSET(TH!I$1,SMALL(Dong11,ROWS($1:3)),),0))</f>
        <v>0</v>
      </c>
      <c r="H16" s="613">
        <f t="shared" ca="1" si="1"/>
        <v>0</v>
      </c>
      <c r="I16" s="612">
        <f ca="1">IF(ROWS($1:3)&gt;COUNT(Dong11),0,IF(MID(OFFSET(TH!D$1,SMALL(Dong11,ROWS($1:3)),),4,1)="X",OFFSET(TH!I$1,SMALL(Dong11,ROWS($1:3)),),0))</f>
        <v>150</v>
      </c>
      <c r="J16" s="613">
        <f t="shared" ca="1" si="2"/>
        <v>4950000</v>
      </c>
      <c r="K16" s="613">
        <f t="shared" ca="1" si="3"/>
        <v>850</v>
      </c>
      <c r="L16" s="613">
        <f t="shared" ca="1" si="4"/>
        <v>28050000</v>
      </c>
      <c r="M16" s="613"/>
      <c r="N16" s="603"/>
    </row>
    <row r="17" spans="1:16">
      <c r="A17" s="559">
        <f t="shared" ca="1" si="0"/>
        <v>4</v>
      </c>
      <c r="B17" s="609" t="str">
        <f ca="1">IF(ROWS($1:4)&gt;COUNT(Dong11),"",OFFSET(TH!D$1,SMALL(Dong11,ROWS($1:4)),))</f>
        <v>VL/X02</v>
      </c>
      <c r="C17" s="610">
        <f ca="1">IF(ROWS($1:4)&gt;COUNT(Dong11),"",OFFSET(TH!E$1,SMALL(Dong11,ROWS($1:4)),))</f>
        <v>42434</v>
      </c>
      <c r="D17" s="611" t="str">
        <f ca="1">IF(ROWS($1:4)&gt;COUNT(Dong11),"",OFFSET(TH!F$1,SMALL(Dong11,ROWS($1:4)),)&amp;" - "&amp;OFFSET(TH!H$1,SMALL(Dong11,ROWS($1:4)),))</f>
        <v>Túi PE - Xuất SX</v>
      </c>
      <c r="E17" s="609" t="str">
        <f ca="1">IF(ROWS($1:4)&gt;COUNT(Dong11),"",IF(OFFSET(TH!N$1,SMALL(Dong11,ROWS($1:4)),)=$G$7,OFFSET(TH!O$1,SMALL(Dong11,ROWS($1:4)),),OFFSET(TH!N$1,SMALL(Dong11,ROWS($1:4)),)))</f>
        <v>154</v>
      </c>
      <c r="F17" s="612">
        <f ca="1">IF(ROWS($1:4)&gt;COUNT(Dong11),0,OFFSET(TH!J$1,SMALL(Dong11,ROWS($1:4)),))</f>
        <v>33000</v>
      </c>
      <c r="G17" s="612">
        <f ca="1">IF(ROWS($1:4)&gt;COUNT(Dong11),0,IF(MID(OFFSET(TH!D$1,SMALL(Dong11,ROWS($1:4)),),4,1)="N",OFFSET(TH!I$1,SMALL(Dong11,ROWS($1:4)),),0))</f>
        <v>0</v>
      </c>
      <c r="H17" s="613">
        <f t="shared" ca="1" si="1"/>
        <v>0</v>
      </c>
      <c r="I17" s="612">
        <f ca="1">IF(ROWS($1:4)&gt;COUNT(Dong11),0,IF(MID(OFFSET(TH!D$1,SMALL(Dong11,ROWS($1:4)),),4,1)="X",OFFSET(TH!I$1,SMALL(Dong11,ROWS($1:4)),),0))</f>
        <v>150</v>
      </c>
      <c r="J17" s="613">
        <f t="shared" ca="1" si="2"/>
        <v>4950000</v>
      </c>
      <c r="K17" s="613">
        <f t="shared" ca="1" si="3"/>
        <v>700</v>
      </c>
      <c r="L17" s="613">
        <f t="shared" ca="1" si="4"/>
        <v>23100000</v>
      </c>
      <c r="M17" s="613"/>
      <c r="N17" s="603"/>
      <c r="P17" s="615"/>
    </row>
    <row r="18" spans="1:16">
      <c r="A18" s="559">
        <f t="shared" ca="1" si="0"/>
        <v>5</v>
      </c>
      <c r="B18" s="609" t="str">
        <f ca="1">IF(ROWS($1:5)&gt;COUNT(Dong11),"",OFFSET(TH!D$1,SMALL(Dong11,ROWS($1:5)),))</f>
        <v>VL/X02</v>
      </c>
      <c r="C18" s="610">
        <f ca="1">IF(ROWS($1:5)&gt;COUNT(Dong11),"",OFFSET(TH!E$1,SMALL(Dong11,ROWS($1:5)),))</f>
        <v>42470</v>
      </c>
      <c r="D18" s="611" t="str">
        <f ca="1">IF(ROWS($1:5)&gt;COUNT(Dong11),"",OFFSET(TH!F$1,SMALL(Dong11,ROWS($1:5)),)&amp;" - "&amp;OFFSET(TH!H$1,SMALL(Dong11,ROWS($1:5)),))</f>
        <v>Túi PE - Xuất SX</v>
      </c>
      <c r="E18" s="609" t="str">
        <f ca="1">IF(ROWS($1:5)&gt;COUNT(Dong11),"",IF(OFFSET(TH!N$1,SMALL(Dong11,ROWS($1:5)),)=$G$7,OFFSET(TH!O$1,SMALL(Dong11,ROWS($1:5)),),OFFSET(TH!N$1,SMALL(Dong11,ROWS($1:5)),)))</f>
        <v>154</v>
      </c>
      <c r="F18" s="612">
        <f ca="1">IF(ROWS($1:5)&gt;COUNT(Dong11),0,OFFSET(TH!J$1,SMALL(Dong11,ROWS($1:5)),))</f>
        <v>33000</v>
      </c>
      <c r="G18" s="612">
        <f ca="1">IF(ROWS($1:5)&gt;COUNT(Dong11),0,IF(MID(OFFSET(TH!D$1,SMALL(Dong11,ROWS($1:5)),),4,1)="N",OFFSET(TH!I$1,SMALL(Dong11,ROWS($1:5)),),0))</f>
        <v>0</v>
      </c>
      <c r="H18" s="613">
        <f t="shared" ca="1" si="1"/>
        <v>0</v>
      </c>
      <c r="I18" s="612">
        <f ca="1">IF(ROWS($1:5)&gt;COUNT(Dong11),0,IF(MID(OFFSET(TH!D$1,SMALL(Dong11,ROWS($1:5)),),4,1)="X",OFFSET(TH!I$1,SMALL(Dong11,ROWS($1:5)),),0))</f>
        <v>50</v>
      </c>
      <c r="J18" s="613">
        <f t="shared" ca="1" si="2"/>
        <v>1650000</v>
      </c>
      <c r="K18" s="613">
        <f t="shared" ca="1" si="3"/>
        <v>650</v>
      </c>
      <c r="L18" s="613">
        <f t="shared" ca="1" si="4"/>
        <v>21450000</v>
      </c>
      <c r="M18" s="613"/>
      <c r="N18" s="603"/>
    </row>
    <row r="19" spans="1:16">
      <c r="A19" s="559">
        <f t="shared" ca="1" si="0"/>
        <v>6</v>
      </c>
      <c r="B19" s="609" t="str">
        <f ca="1">IF(ROWS($1:6)&gt;COUNT(Dong11),"",OFFSET(TH!D$1,SMALL(Dong11,ROWS($1:6)),))</f>
        <v>VL/X02</v>
      </c>
      <c r="C19" s="610">
        <f ca="1">IF(ROWS($1:6)&gt;COUNT(Dong11),"",OFFSET(TH!E$1,SMALL(Dong11,ROWS($1:6)),))</f>
        <v>42493</v>
      </c>
      <c r="D19" s="611" t="str">
        <f ca="1">IF(ROWS($1:6)&gt;COUNT(Dong11),"",OFFSET(TH!F$1,SMALL(Dong11,ROWS($1:6)),)&amp;" - "&amp;OFFSET(TH!H$1,SMALL(Dong11,ROWS($1:6)),))</f>
        <v>Túi PE - Xuất SX</v>
      </c>
      <c r="E19" s="609" t="str">
        <f ca="1">IF(ROWS($1:6)&gt;COUNT(Dong11),"",IF(OFFSET(TH!N$1,SMALL(Dong11,ROWS($1:6)),)=$G$7,OFFSET(TH!O$1,SMALL(Dong11,ROWS($1:6)),),OFFSET(TH!N$1,SMALL(Dong11,ROWS($1:6)),)))</f>
        <v>154</v>
      </c>
      <c r="F19" s="612">
        <f ca="1">IF(ROWS($1:6)&gt;COUNT(Dong11),0,OFFSET(TH!J$1,SMALL(Dong11,ROWS($1:6)),))</f>
        <v>33000</v>
      </c>
      <c r="G19" s="612">
        <f ca="1">IF(ROWS($1:6)&gt;COUNT(Dong11),0,IF(MID(OFFSET(TH!D$1,SMALL(Dong11,ROWS($1:6)),),4,1)="N",OFFSET(TH!I$1,SMALL(Dong11,ROWS($1:6)),),0))</f>
        <v>0</v>
      </c>
      <c r="H19" s="613">
        <f t="shared" ca="1" si="1"/>
        <v>0</v>
      </c>
      <c r="I19" s="612">
        <f ca="1">IF(ROWS($1:6)&gt;COUNT(Dong11),0,IF(MID(OFFSET(TH!D$1,SMALL(Dong11,ROWS($1:6)),),4,1)="X",OFFSET(TH!I$1,SMALL(Dong11,ROWS($1:6)),),0))</f>
        <v>80</v>
      </c>
      <c r="J19" s="613">
        <f t="shared" ca="1" si="2"/>
        <v>2640000</v>
      </c>
      <c r="K19" s="613">
        <f t="shared" ca="1" si="3"/>
        <v>570</v>
      </c>
      <c r="L19" s="613">
        <f t="shared" ca="1" si="4"/>
        <v>18810000</v>
      </c>
      <c r="M19" s="613"/>
      <c r="N19" s="603"/>
    </row>
    <row r="20" spans="1:16">
      <c r="A20" s="559">
        <f t="shared" ca="1" si="0"/>
        <v>7</v>
      </c>
      <c r="B20" s="609" t="str">
        <f ca="1">IF(ROWS($1:7)&gt;COUNT(Dong11),"",OFFSET(TH!D$1,SMALL(Dong11,ROWS($1:7)),))</f>
        <v>VL/X02</v>
      </c>
      <c r="C20" s="610">
        <f ca="1">IF(ROWS($1:7)&gt;COUNT(Dong11),"",OFFSET(TH!E$1,SMALL(Dong11,ROWS($1:7)),))</f>
        <v>42526</v>
      </c>
      <c r="D20" s="611" t="str">
        <f ca="1">IF(ROWS($1:7)&gt;COUNT(Dong11),"",OFFSET(TH!F$1,SMALL(Dong11,ROWS($1:7)),)&amp;" - "&amp;OFFSET(TH!H$1,SMALL(Dong11,ROWS($1:7)),))</f>
        <v>Túi PE - Xuất SX</v>
      </c>
      <c r="E20" s="609" t="str">
        <f ca="1">IF(ROWS($1:7)&gt;COUNT(Dong11),"",IF(OFFSET(TH!N$1,SMALL(Dong11,ROWS($1:7)),)=$G$7,OFFSET(TH!O$1,SMALL(Dong11,ROWS($1:7)),),OFFSET(TH!N$1,SMALL(Dong11,ROWS($1:7)),)))</f>
        <v>154</v>
      </c>
      <c r="F20" s="612">
        <f ca="1">IF(ROWS($1:7)&gt;COUNT(Dong11),0,OFFSET(TH!J$1,SMALL(Dong11,ROWS($1:7)),))</f>
        <v>33000</v>
      </c>
      <c r="G20" s="612">
        <f ca="1">IF(ROWS($1:7)&gt;COUNT(Dong11),0,IF(MID(OFFSET(TH!D$1,SMALL(Dong11,ROWS($1:7)),),4,1)="N",OFFSET(TH!I$1,SMALL(Dong11,ROWS($1:7)),),0))</f>
        <v>0</v>
      </c>
      <c r="H20" s="613">
        <f t="shared" ca="1" si="1"/>
        <v>0</v>
      </c>
      <c r="I20" s="612">
        <f ca="1">IF(ROWS($1:7)&gt;COUNT(Dong11),0,IF(MID(OFFSET(TH!D$1,SMALL(Dong11,ROWS($1:7)),),4,1)="X",OFFSET(TH!I$1,SMALL(Dong11,ROWS($1:7)),),0))</f>
        <v>270</v>
      </c>
      <c r="J20" s="613">
        <f t="shared" ca="1" si="2"/>
        <v>8910000</v>
      </c>
      <c r="K20" s="613">
        <f t="shared" ca="1" si="3"/>
        <v>300</v>
      </c>
      <c r="L20" s="613">
        <f t="shared" ca="1" si="4"/>
        <v>9900000</v>
      </c>
      <c r="M20" s="613"/>
      <c r="N20" s="603"/>
    </row>
    <row r="21" spans="1:16">
      <c r="A21" s="559">
        <f t="shared" ca="1" si="0"/>
        <v>8</v>
      </c>
      <c r="B21" s="609" t="str">
        <f ca="1">IF(ROWS($1:8)&gt;COUNT(Dong11),"",OFFSET(TH!D$1,SMALL(Dong11,ROWS($1:8)),))</f>
        <v>VL/X02</v>
      </c>
      <c r="C21" s="610">
        <f ca="1">IF(ROWS($1:8)&gt;COUNT(Dong11),"",OFFSET(TH!E$1,SMALL(Dong11,ROWS($1:8)),))</f>
        <v>42556</v>
      </c>
      <c r="D21" s="611" t="str">
        <f ca="1">IF(ROWS($1:8)&gt;COUNT(Dong11),"",OFFSET(TH!F$1,SMALL(Dong11,ROWS($1:8)),)&amp;" - "&amp;OFFSET(TH!H$1,SMALL(Dong11,ROWS($1:8)),))</f>
        <v>Túi PE - Xuất SX</v>
      </c>
      <c r="E21" s="609" t="str">
        <f ca="1">IF(ROWS($1:8)&gt;COUNT(Dong11),"",IF(OFFSET(TH!N$1,SMALL(Dong11,ROWS($1:8)),)=$G$7,OFFSET(TH!O$1,SMALL(Dong11,ROWS($1:8)),),OFFSET(TH!N$1,SMALL(Dong11,ROWS($1:8)),)))</f>
        <v>154</v>
      </c>
      <c r="F21" s="612">
        <f ca="1">IF(ROWS($1:8)&gt;COUNT(Dong11),0,OFFSET(TH!J$1,SMALL(Dong11,ROWS($1:8)),))</f>
        <v>33000</v>
      </c>
      <c r="G21" s="612">
        <f ca="1">IF(ROWS($1:8)&gt;COUNT(Dong11),0,IF(MID(OFFSET(TH!D$1,SMALL(Dong11,ROWS($1:8)),),4,1)="N",OFFSET(TH!I$1,SMALL(Dong11,ROWS($1:8)),),0))</f>
        <v>0</v>
      </c>
      <c r="H21" s="613">
        <f t="shared" ca="1" si="1"/>
        <v>0</v>
      </c>
      <c r="I21" s="612">
        <f ca="1">IF(ROWS($1:8)&gt;COUNT(Dong11),0,IF(MID(OFFSET(TH!D$1,SMALL(Dong11,ROWS($1:8)),),4,1)="X",OFFSET(TH!I$1,SMALL(Dong11,ROWS($1:8)),),0))</f>
        <v>100</v>
      </c>
      <c r="J21" s="613">
        <f t="shared" ca="1" si="2"/>
        <v>3300000</v>
      </c>
      <c r="K21" s="613">
        <f t="shared" ca="1" si="3"/>
        <v>200</v>
      </c>
      <c r="L21" s="613">
        <f t="shared" ca="1" si="4"/>
        <v>6600000</v>
      </c>
      <c r="M21" s="613"/>
      <c r="N21" s="603"/>
    </row>
    <row r="22" spans="1:16">
      <c r="A22" s="559">
        <f t="shared" ca="1" si="0"/>
        <v>9</v>
      </c>
      <c r="B22" s="609" t="str">
        <f ca="1">IF(ROWS($1:9)&gt;COUNT(Dong11),"",OFFSET(TH!D$1,SMALL(Dong11,ROWS($1:9)),))</f>
        <v>VL/X02</v>
      </c>
      <c r="C22" s="610">
        <f ca="1">IF(ROWS($1:9)&gt;COUNT(Dong11),"",OFFSET(TH!E$1,SMALL(Dong11,ROWS($1:9)),))</f>
        <v>42586</v>
      </c>
      <c r="D22" s="611" t="str">
        <f ca="1">IF(ROWS($1:9)&gt;COUNT(Dong11),"",OFFSET(TH!F$1,SMALL(Dong11,ROWS($1:9)),)&amp;" - "&amp;OFFSET(TH!H$1,SMALL(Dong11,ROWS($1:9)),))</f>
        <v>Túi PE - Xuất SX</v>
      </c>
      <c r="E22" s="609" t="str">
        <f ca="1">IF(ROWS($1:9)&gt;COUNT(Dong11),"",IF(OFFSET(TH!N$1,SMALL(Dong11,ROWS($1:9)),)=$G$7,OFFSET(TH!O$1,SMALL(Dong11,ROWS($1:9)),),OFFSET(TH!N$1,SMALL(Dong11,ROWS($1:9)),)))</f>
        <v>154</v>
      </c>
      <c r="F22" s="612">
        <f ca="1">IF(ROWS($1:9)&gt;COUNT(Dong11),0,OFFSET(TH!J$1,SMALL(Dong11,ROWS($1:9)),))</f>
        <v>33000</v>
      </c>
      <c r="G22" s="612">
        <f ca="1">IF(ROWS($1:9)&gt;COUNT(Dong11),0,IF(MID(OFFSET(TH!D$1,SMALL(Dong11,ROWS($1:9)),),4,1)="N",OFFSET(TH!I$1,SMALL(Dong11,ROWS($1:9)),),0))</f>
        <v>0</v>
      </c>
      <c r="H22" s="613">
        <f t="shared" ca="1" si="1"/>
        <v>0</v>
      </c>
      <c r="I22" s="612">
        <f ca="1">IF(ROWS($1:9)&gt;COUNT(Dong11),0,IF(MID(OFFSET(TH!D$1,SMALL(Dong11,ROWS($1:9)),),4,1)="X",OFFSET(TH!I$1,SMALL(Dong11,ROWS($1:9)),),0))</f>
        <v>200</v>
      </c>
      <c r="J22" s="613">
        <f t="shared" ca="1" si="2"/>
        <v>6600000</v>
      </c>
      <c r="K22" s="613">
        <f t="shared" ca="1" si="3"/>
        <v>0</v>
      </c>
      <c r="L22" s="613">
        <f t="shared" ca="1" si="4"/>
        <v>0</v>
      </c>
      <c r="M22" s="613"/>
      <c r="N22" s="603"/>
    </row>
    <row r="23" spans="1:16">
      <c r="A23" s="559" t="str">
        <f t="shared" ca="1" si="0"/>
        <v/>
      </c>
      <c r="B23" s="609" t="str">
        <f ca="1">IF(ROWS($1:10)&gt;COUNT(Dong11),"",OFFSET(TH!D$1,SMALL(Dong11,ROWS($1:10)),))</f>
        <v/>
      </c>
      <c r="C23" s="610" t="str">
        <f ca="1">IF(ROWS($1:10)&gt;COUNT(Dong11),"",OFFSET(TH!E$1,SMALL(Dong11,ROWS($1:10)),))</f>
        <v/>
      </c>
      <c r="D23" s="611" t="str">
        <f ca="1">IF(ROWS($1:10)&gt;COUNT(Dong11),"",OFFSET(TH!F$1,SMALL(Dong11,ROWS($1:10)),)&amp;" - "&amp;OFFSET(TH!H$1,SMALL(Dong11,ROWS($1:10)),))</f>
        <v/>
      </c>
      <c r="E23" s="609" t="str">
        <f ca="1">IF(ROWS($1:10)&gt;COUNT(Dong11),"",IF(OFFSET(TH!N$1,SMALL(Dong11,ROWS($1:10)),)=$G$7,OFFSET(TH!O$1,SMALL(Dong11,ROWS($1:10)),),OFFSET(TH!N$1,SMALL(Dong11,ROWS($1:10)),)))</f>
        <v/>
      </c>
      <c r="F23" s="612">
        <f ca="1">IF(ROWS($1:10)&gt;COUNT(Dong11),0,OFFSET(TH!J$1,SMALL(Dong11,ROWS($1:10)),))</f>
        <v>0</v>
      </c>
      <c r="G23" s="612">
        <f ca="1">IF(ROWS($1:10)&gt;COUNT(Dong11),0,IF(MID(OFFSET(TH!D$1,SMALL(Dong11,ROWS($1:10)),),4,1)="N",OFFSET(TH!I$1,SMALL(Dong11,ROWS($1:10)),),0))</f>
        <v>0</v>
      </c>
      <c r="H23" s="613">
        <f t="shared" ca="1" si="1"/>
        <v>0</v>
      </c>
      <c r="I23" s="612">
        <f ca="1">IF(ROWS($1:10)&gt;COUNT(Dong11),0,IF(MID(OFFSET(TH!D$1,SMALL(Dong11,ROWS($1:10)),),4,1)="X",OFFSET(TH!I$1,SMALL(Dong11,ROWS($1:10)),),0))</f>
        <v>0</v>
      </c>
      <c r="J23" s="613">
        <f t="shared" ca="1" si="2"/>
        <v>0</v>
      </c>
      <c r="K23" s="613">
        <f t="shared" ca="1" si="3"/>
        <v>0</v>
      </c>
      <c r="L23" s="613">
        <f t="shared" ca="1" si="4"/>
        <v>0</v>
      </c>
      <c r="M23" s="613"/>
      <c r="N23" s="603"/>
    </row>
    <row r="24" spans="1:16">
      <c r="A24" s="559" t="str">
        <f t="shared" ca="1" si="0"/>
        <v/>
      </c>
      <c r="B24" s="609" t="str">
        <f ca="1">IF(ROWS($1:11)&gt;COUNT(Dong11),"",OFFSET(TH!D$1,SMALL(Dong11,ROWS($1:11)),))</f>
        <v/>
      </c>
      <c r="C24" s="610" t="str">
        <f ca="1">IF(ROWS($1:11)&gt;COUNT(Dong11),"",OFFSET(TH!E$1,SMALL(Dong11,ROWS($1:11)),))</f>
        <v/>
      </c>
      <c r="D24" s="611" t="str">
        <f ca="1">IF(ROWS($1:11)&gt;COUNT(Dong11),"",OFFSET(TH!F$1,SMALL(Dong11,ROWS($1:11)),)&amp;" - "&amp;OFFSET(TH!H$1,SMALL(Dong11,ROWS($1:11)),))</f>
        <v/>
      </c>
      <c r="E24" s="609" t="str">
        <f ca="1">IF(ROWS($1:11)&gt;COUNT(Dong11),"",IF(OFFSET(TH!N$1,SMALL(Dong11,ROWS($1:11)),)=$G$7,OFFSET(TH!O$1,SMALL(Dong11,ROWS($1:11)),),OFFSET(TH!N$1,SMALL(Dong11,ROWS($1:11)),)))</f>
        <v/>
      </c>
      <c r="F24" s="612">
        <f ca="1">IF(ROWS($1:11)&gt;COUNT(Dong11),0,OFFSET(TH!J$1,SMALL(Dong11,ROWS($1:11)),))</f>
        <v>0</v>
      </c>
      <c r="G24" s="612">
        <f ca="1">IF(ROWS($1:11)&gt;COUNT(Dong11),0,IF(MID(OFFSET(TH!D$1,SMALL(Dong11,ROWS($1:11)),),4,1)="N",OFFSET(TH!I$1,SMALL(Dong11,ROWS($1:11)),),0))</f>
        <v>0</v>
      </c>
      <c r="H24" s="613">
        <f t="shared" ca="1" si="1"/>
        <v>0</v>
      </c>
      <c r="I24" s="612">
        <f ca="1">IF(ROWS($1:11)&gt;COUNT(Dong11),0,IF(MID(OFFSET(TH!D$1,SMALL(Dong11,ROWS($1:11)),),4,1)="X",OFFSET(TH!I$1,SMALL(Dong11,ROWS($1:11)),),0))</f>
        <v>0</v>
      </c>
      <c r="J24" s="613">
        <f t="shared" ca="1" si="2"/>
        <v>0</v>
      </c>
      <c r="K24" s="613">
        <f t="shared" ca="1" si="3"/>
        <v>0</v>
      </c>
      <c r="L24" s="613">
        <f t="shared" ca="1" si="4"/>
        <v>0</v>
      </c>
      <c r="M24" s="613"/>
      <c r="N24" s="603"/>
    </row>
    <row r="25" spans="1:16">
      <c r="A25" s="559" t="str">
        <f t="shared" ca="1" si="0"/>
        <v/>
      </c>
      <c r="B25" s="609" t="str">
        <f ca="1">IF(ROWS($1:12)&gt;COUNT(Dong11),"",OFFSET(TH!D$1,SMALL(Dong11,ROWS($1:12)),))</f>
        <v/>
      </c>
      <c r="C25" s="610" t="str">
        <f ca="1">IF(ROWS($1:12)&gt;COUNT(Dong11),"",OFFSET(TH!E$1,SMALL(Dong11,ROWS($1:12)),))</f>
        <v/>
      </c>
      <c r="D25" s="611" t="str">
        <f ca="1">IF(ROWS($1:12)&gt;COUNT(Dong11),"",OFFSET(TH!F$1,SMALL(Dong11,ROWS($1:12)),)&amp;" - "&amp;OFFSET(TH!H$1,SMALL(Dong11,ROWS($1:12)),))</f>
        <v/>
      </c>
      <c r="E25" s="609" t="str">
        <f ca="1">IF(ROWS($1:12)&gt;COUNT(Dong11),"",IF(OFFSET(TH!N$1,SMALL(Dong11,ROWS($1:12)),)=$G$7,OFFSET(TH!O$1,SMALL(Dong11,ROWS($1:12)),),OFFSET(TH!N$1,SMALL(Dong11,ROWS($1:12)),)))</f>
        <v/>
      </c>
      <c r="F25" s="612">
        <f ca="1">IF(ROWS($1:12)&gt;COUNT(Dong11),0,OFFSET(TH!J$1,SMALL(Dong11,ROWS($1:12)),))</f>
        <v>0</v>
      </c>
      <c r="G25" s="612">
        <f ca="1">IF(ROWS($1:12)&gt;COUNT(Dong11),0,IF(MID(OFFSET(TH!D$1,SMALL(Dong11,ROWS($1:12)),),4,1)="N",OFFSET(TH!I$1,SMALL(Dong11,ROWS($1:12)),),0))</f>
        <v>0</v>
      </c>
      <c r="H25" s="613">
        <f t="shared" ca="1" si="1"/>
        <v>0</v>
      </c>
      <c r="I25" s="612">
        <f ca="1">IF(ROWS($1:12)&gt;COUNT(Dong11),0,IF(MID(OFFSET(TH!D$1,SMALL(Dong11,ROWS($1:12)),),4,1)="X",OFFSET(TH!I$1,SMALL(Dong11,ROWS($1:12)),),0))</f>
        <v>0</v>
      </c>
      <c r="J25" s="613">
        <f t="shared" ca="1" si="2"/>
        <v>0</v>
      </c>
      <c r="K25" s="613">
        <f t="shared" ca="1" si="3"/>
        <v>0</v>
      </c>
      <c r="L25" s="613">
        <f t="shared" ca="1" si="4"/>
        <v>0</v>
      </c>
      <c r="M25" s="613"/>
      <c r="N25" s="603"/>
    </row>
    <row r="26" spans="1:16">
      <c r="A26" s="559" t="str">
        <f t="shared" ca="1" si="0"/>
        <v/>
      </c>
      <c r="B26" s="609" t="str">
        <f ca="1">IF(ROWS($1:13)&gt;COUNT(Dong11),"",OFFSET(TH!D$1,SMALL(Dong11,ROWS($1:13)),))</f>
        <v/>
      </c>
      <c r="C26" s="610" t="str">
        <f ca="1">IF(ROWS($1:13)&gt;COUNT(Dong11),"",OFFSET(TH!E$1,SMALL(Dong11,ROWS($1:13)),))</f>
        <v/>
      </c>
      <c r="D26" s="611" t="str">
        <f ca="1">IF(ROWS($1:13)&gt;COUNT(Dong11),"",OFFSET(TH!F$1,SMALL(Dong11,ROWS($1:13)),)&amp;" - "&amp;OFFSET(TH!H$1,SMALL(Dong11,ROWS($1:13)),))</f>
        <v/>
      </c>
      <c r="E26" s="609" t="str">
        <f ca="1">IF(ROWS($1:13)&gt;COUNT(Dong11),"",IF(OFFSET(TH!N$1,SMALL(Dong11,ROWS($1:13)),)=$G$7,OFFSET(TH!O$1,SMALL(Dong11,ROWS($1:13)),),OFFSET(TH!N$1,SMALL(Dong11,ROWS($1:13)),)))</f>
        <v/>
      </c>
      <c r="F26" s="612">
        <f ca="1">IF(ROWS($1:13)&gt;COUNT(Dong11),0,OFFSET(TH!J$1,SMALL(Dong11,ROWS($1:13)),))</f>
        <v>0</v>
      </c>
      <c r="G26" s="612">
        <f ca="1">IF(ROWS($1:13)&gt;COUNT(Dong11),0,IF(MID(OFFSET(TH!D$1,SMALL(Dong11,ROWS($1:13)),),4,1)="N",OFFSET(TH!I$1,SMALL(Dong11,ROWS($1:13)),),0))</f>
        <v>0</v>
      </c>
      <c r="H26" s="613">
        <f t="shared" ca="1" si="1"/>
        <v>0</v>
      </c>
      <c r="I26" s="612">
        <f ca="1">IF(ROWS($1:13)&gt;COUNT(Dong11),0,IF(MID(OFFSET(TH!D$1,SMALL(Dong11,ROWS($1:13)),),4,1)="X",OFFSET(TH!I$1,SMALL(Dong11,ROWS($1:13)),),0))</f>
        <v>0</v>
      </c>
      <c r="J26" s="613">
        <f t="shared" ca="1" si="2"/>
        <v>0</v>
      </c>
      <c r="K26" s="613">
        <f t="shared" ca="1" si="3"/>
        <v>0</v>
      </c>
      <c r="L26" s="613">
        <f t="shared" ca="1" si="4"/>
        <v>0</v>
      </c>
      <c r="M26" s="613"/>
      <c r="N26" s="603"/>
    </row>
    <row r="27" spans="1:16">
      <c r="A27" s="559" t="str">
        <f t="shared" ca="1" si="0"/>
        <v/>
      </c>
      <c r="B27" s="609" t="str">
        <f ca="1">IF(ROWS($1:14)&gt;COUNT(Dong11),"",OFFSET(TH!D$1,SMALL(Dong11,ROWS($1:14)),))</f>
        <v/>
      </c>
      <c r="C27" s="610" t="str">
        <f ca="1">IF(ROWS($1:14)&gt;COUNT(Dong11),"",OFFSET(TH!E$1,SMALL(Dong11,ROWS($1:14)),))</f>
        <v/>
      </c>
      <c r="D27" s="611" t="str">
        <f ca="1">IF(ROWS($1:14)&gt;COUNT(Dong11),"",OFFSET(TH!F$1,SMALL(Dong11,ROWS($1:14)),)&amp;" - "&amp;OFFSET(TH!H$1,SMALL(Dong11,ROWS($1:14)),))</f>
        <v/>
      </c>
      <c r="E27" s="609" t="str">
        <f ca="1">IF(ROWS($1:14)&gt;COUNT(Dong11),"",IF(OFFSET(TH!N$1,SMALL(Dong11,ROWS($1:14)),)=$G$7,OFFSET(TH!O$1,SMALL(Dong11,ROWS($1:14)),),OFFSET(TH!N$1,SMALL(Dong11,ROWS($1:14)),)))</f>
        <v/>
      </c>
      <c r="F27" s="612">
        <f ca="1">IF(ROWS($1:14)&gt;COUNT(Dong11),0,OFFSET(TH!J$1,SMALL(Dong11,ROWS($1:14)),))</f>
        <v>0</v>
      </c>
      <c r="G27" s="612">
        <f ca="1">IF(ROWS($1:14)&gt;COUNT(Dong11),0,IF(MID(OFFSET(TH!D$1,SMALL(Dong11,ROWS($1:14)),),4,1)="N",OFFSET(TH!I$1,SMALL(Dong11,ROWS($1:14)),),0))</f>
        <v>0</v>
      </c>
      <c r="H27" s="613">
        <f t="shared" ca="1" si="1"/>
        <v>0</v>
      </c>
      <c r="I27" s="612">
        <f ca="1">IF(ROWS($1:14)&gt;COUNT(Dong11),0,IF(MID(OFFSET(TH!D$1,SMALL(Dong11,ROWS($1:14)),),4,1)="X",OFFSET(TH!I$1,SMALL(Dong11,ROWS($1:14)),),0))</f>
        <v>0</v>
      </c>
      <c r="J27" s="613">
        <f t="shared" ca="1" si="2"/>
        <v>0</v>
      </c>
      <c r="K27" s="613">
        <f t="shared" ca="1" si="3"/>
        <v>0</v>
      </c>
      <c r="L27" s="613">
        <f t="shared" ca="1" si="4"/>
        <v>0</v>
      </c>
      <c r="M27" s="613"/>
      <c r="N27" s="603"/>
    </row>
    <row r="28" spans="1:16">
      <c r="A28" s="559" t="str">
        <f t="shared" ca="1" si="0"/>
        <v/>
      </c>
      <c r="B28" s="609" t="str">
        <f ca="1">IF(ROWS($1:15)&gt;COUNT(Dong11),"",OFFSET(TH!D$1,SMALL(Dong11,ROWS($1:15)),))</f>
        <v/>
      </c>
      <c r="C28" s="610" t="str">
        <f ca="1">IF(ROWS($1:15)&gt;COUNT(Dong11),"",OFFSET(TH!E$1,SMALL(Dong11,ROWS($1:15)),))</f>
        <v/>
      </c>
      <c r="D28" s="611" t="str">
        <f ca="1">IF(ROWS($1:15)&gt;COUNT(Dong11),"",OFFSET(TH!F$1,SMALL(Dong11,ROWS($1:15)),)&amp;" - "&amp;OFFSET(TH!H$1,SMALL(Dong11,ROWS($1:15)),))</f>
        <v/>
      </c>
      <c r="E28" s="609" t="str">
        <f ca="1">IF(ROWS($1:15)&gt;COUNT(Dong11),"",IF(OFFSET(TH!N$1,SMALL(Dong11,ROWS($1:15)),)=$G$7,OFFSET(TH!O$1,SMALL(Dong11,ROWS($1:15)),),OFFSET(TH!N$1,SMALL(Dong11,ROWS($1:15)),)))</f>
        <v/>
      </c>
      <c r="F28" s="612">
        <f ca="1">IF(ROWS($1:15)&gt;COUNT(Dong11),0,OFFSET(TH!J$1,SMALL(Dong11,ROWS($1:15)),))</f>
        <v>0</v>
      </c>
      <c r="G28" s="612">
        <f ca="1">IF(ROWS($1:15)&gt;COUNT(Dong11),0,IF(MID(OFFSET(TH!D$1,SMALL(Dong11,ROWS($1:15)),),4,1)="N",OFFSET(TH!I$1,SMALL(Dong11,ROWS($1:15)),),0))</f>
        <v>0</v>
      </c>
      <c r="H28" s="613">
        <f t="shared" ca="1" si="1"/>
        <v>0</v>
      </c>
      <c r="I28" s="612">
        <f ca="1">IF(ROWS($1:15)&gt;COUNT(Dong11),0,IF(MID(OFFSET(TH!D$1,SMALL(Dong11,ROWS($1:15)),),4,1)="X",OFFSET(TH!I$1,SMALL(Dong11,ROWS($1:15)),),0))</f>
        <v>0</v>
      </c>
      <c r="J28" s="613">
        <f t="shared" ca="1" si="2"/>
        <v>0</v>
      </c>
      <c r="K28" s="613">
        <f t="shared" ca="1" si="3"/>
        <v>0</v>
      </c>
      <c r="L28" s="613">
        <f t="shared" ca="1" si="4"/>
        <v>0</v>
      </c>
      <c r="M28" s="613"/>
      <c r="N28" s="603"/>
    </row>
    <row r="29" spans="1:16">
      <c r="A29" s="559" t="str">
        <f t="shared" ca="1" si="0"/>
        <v/>
      </c>
      <c r="B29" s="609" t="str">
        <f ca="1">IF(ROWS($1:16)&gt;COUNT(Dong11),"",OFFSET(TH!D$1,SMALL(Dong11,ROWS($1:16)),))</f>
        <v/>
      </c>
      <c r="C29" s="610" t="str">
        <f ca="1">IF(ROWS($1:16)&gt;COUNT(Dong11),"",OFFSET(TH!E$1,SMALL(Dong11,ROWS($1:16)),))</f>
        <v/>
      </c>
      <c r="D29" s="611" t="str">
        <f ca="1">IF(ROWS($1:16)&gt;COUNT(Dong11),"",OFFSET(TH!F$1,SMALL(Dong11,ROWS($1:16)),)&amp;" - "&amp;OFFSET(TH!H$1,SMALL(Dong11,ROWS($1:16)),))</f>
        <v/>
      </c>
      <c r="E29" s="609" t="str">
        <f ca="1">IF(ROWS($1:16)&gt;COUNT(Dong11),"",IF(OFFSET(TH!N$1,SMALL(Dong11,ROWS($1:16)),)=$G$7,OFFSET(TH!O$1,SMALL(Dong11,ROWS($1:16)),),OFFSET(TH!N$1,SMALL(Dong11,ROWS($1:16)),)))</f>
        <v/>
      </c>
      <c r="F29" s="612">
        <f ca="1">IF(ROWS($1:16)&gt;COUNT(Dong11),0,OFFSET(TH!J$1,SMALL(Dong11,ROWS($1:16)),))</f>
        <v>0</v>
      </c>
      <c r="G29" s="612">
        <f ca="1">IF(ROWS($1:16)&gt;COUNT(Dong11),0,IF(MID(OFFSET(TH!D$1,SMALL(Dong11,ROWS($1:16)),),4,1)="N",OFFSET(TH!I$1,SMALL(Dong11,ROWS($1:16)),),0))</f>
        <v>0</v>
      </c>
      <c r="H29" s="613">
        <f t="shared" ca="1" si="1"/>
        <v>0</v>
      </c>
      <c r="I29" s="612">
        <f ca="1">IF(ROWS($1:16)&gt;COUNT(Dong11),0,IF(MID(OFFSET(TH!D$1,SMALL(Dong11,ROWS($1:16)),),4,1)="X",OFFSET(TH!I$1,SMALL(Dong11,ROWS($1:16)),),0))</f>
        <v>0</v>
      </c>
      <c r="J29" s="613">
        <f t="shared" ca="1" si="2"/>
        <v>0</v>
      </c>
      <c r="K29" s="613">
        <f t="shared" ca="1" si="3"/>
        <v>0</v>
      </c>
      <c r="L29" s="613">
        <f t="shared" ca="1" si="4"/>
        <v>0</v>
      </c>
      <c r="M29" s="613"/>
      <c r="N29" s="603"/>
    </row>
    <row r="30" spans="1:16">
      <c r="A30" s="559" t="str">
        <f t="shared" ca="1" si="0"/>
        <v/>
      </c>
      <c r="B30" s="609" t="str">
        <f ca="1">IF(ROWS($1:17)&gt;COUNT(Dong11),"",OFFSET(TH!D$1,SMALL(Dong11,ROWS($1:17)),))</f>
        <v/>
      </c>
      <c r="C30" s="610" t="str">
        <f ca="1">IF(ROWS($1:17)&gt;COUNT(Dong11),"",OFFSET(TH!E$1,SMALL(Dong11,ROWS($1:17)),))</f>
        <v/>
      </c>
      <c r="D30" s="611" t="str">
        <f ca="1">IF(ROWS($1:17)&gt;COUNT(Dong11),"",OFFSET(TH!F$1,SMALL(Dong11,ROWS($1:17)),)&amp;" - "&amp;OFFSET(TH!H$1,SMALL(Dong11,ROWS($1:17)),))</f>
        <v/>
      </c>
      <c r="E30" s="609" t="str">
        <f ca="1">IF(ROWS($1:17)&gt;COUNT(Dong11),"",IF(OFFSET(TH!N$1,SMALL(Dong11,ROWS($1:17)),)=$G$7,OFFSET(TH!O$1,SMALL(Dong11,ROWS($1:17)),),OFFSET(TH!N$1,SMALL(Dong11,ROWS($1:17)),)))</f>
        <v/>
      </c>
      <c r="F30" s="612">
        <f ca="1">IF(ROWS($1:17)&gt;COUNT(Dong11),0,OFFSET(TH!J$1,SMALL(Dong11,ROWS($1:17)),))</f>
        <v>0</v>
      </c>
      <c r="G30" s="612">
        <f ca="1">IF(ROWS($1:17)&gt;COUNT(Dong11),0,IF(MID(OFFSET(TH!D$1,SMALL(Dong11,ROWS($1:17)),),4,1)="N",OFFSET(TH!I$1,SMALL(Dong11,ROWS($1:17)),),0))</f>
        <v>0</v>
      </c>
      <c r="H30" s="613">
        <f t="shared" ca="1" si="1"/>
        <v>0</v>
      </c>
      <c r="I30" s="612">
        <f ca="1">IF(ROWS($1:17)&gt;COUNT(Dong11),0,IF(MID(OFFSET(TH!D$1,SMALL(Dong11,ROWS($1:17)),),4,1)="X",OFFSET(TH!I$1,SMALL(Dong11,ROWS($1:17)),),0))</f>
        <v>0</v>
      </c>
      <c r="J30" s="613">
        <f t="shared" ca="1" si="2"/>
        <v>0</v>
      </c>
      <c r="K30" s="613">
        <f t="shared" ca="1" si="3"/>
        <v>0</v>
      </c>
      <c r="L30" s="613">
        <f t="shared" ca="1" si="4"/>
        <v>0</v>
      </c>
      <c r="M30" s="613"/>
      <c r="N30" s="603"/>
    </row>
    <row r="31" spans="1:16">
      <c r="A31" s="559" t="str">
        <f t="shared" si="0"/>
        <v/>
      </c>
      <c r="B31" s="616"/>
      <c r="C31" s="617"/>
      <c r="D31" s="618"/>
      <c r="E31" s="619"/>
      <c r="F31" s="620"/>
      <c r="G31" s="605"/>
      <c r="H31" s="605"/>
      <c r="I31" s="605"/>
      <c r="J31" s="605"/>
      <c r="K31" s="605"/>
      <c r="L31" s="605"/>
      <c r="M31" s="621"/>
      <c r="N31" s="603"/>
    </row>
    <row r="32" spans="1:16">
      <c r="A32" s="622"/>
      <c r="B32" s="622"/>
      <c r="C32" s="622"/>
      <c r="D32" s="622" t="s">
        <v>492</v>
      </c>
      <c r="E32" s="601" t="s">
        <v>21</v>
      </c>
      <c r="F32" s="601" t="s">
        <v>21</v>
      </c>
      <c r="G32" s="623">
        <f ca="1">SUM(G14:G31)</f>
        <v>1000</v>
      </c>
      <c r="H32" s="623">
        <f ca="1">SUM(H14:H31)</f>
        <v>33000000</v>
      </c>
      <c r="I32" s="623">
        <f ca="1">SUM(I14:I31)</f>
        <v>2647</v>
      </c>
      <c r="J32" s="623">
        <f ca="1">SUM(J14:J31)</f>
        <v>33531969</v>
      </c>
      <c r="K32" s="623">
        <f ca="1">K13+G32-I32</f>
        <v>0</v>
      </c>
      <c r="L32" s="623">
        <f ca="1">L13+H32-J32</f>
        <v>0</v>
      </c>
      <c r="M32" s="622"/>
      <c r="N32" s="603"/>
    </row>
    <row r="33" spans="2:14">
      <c r="B33" s="624" t="s">
        <v>493</v>
      </c>
      <c r="G33" s="615"/>
      <c r="N33" s="603"/>
    </row>
    <row r="34" spans="2:14">
      <c r="B34" s="625" t="str">
        <f ca="1">IF(ISERROR(" - Ngày mở sổ: ngày "&amp;DAY(C14)&amp;" tháng "&amp;MONTH(C14)&amp;" năm "&amp;YEAR(C14))," - Ngày mở sổ: ngày 01 tháng  01 năm 2016 "," - Ngày mở sổ: ngày "&amp;DAY(C14)&amp;" tháng "&amp;MONTH(C14)&amp;" năm "&amp;YEAR(C14))</f>
        <v xml:space="preserve"> - Ngày mở sổ: ngày 5 tháng 1 năm 2016</v>
      </c>
      <c r="G34" s="615"/>
      <c r="I34" s="615"/>
      <c r="N34" s="603"/>
    </row>
    <row r="35" spans="2:14">
      <c r="B35" s="590"/>
      <c r="C35" s="590"/>
      <c r="D35" s="590"/>
      <c r="F35" s="590"/>
      <c r="G35" s="626"/>
      <c r="H35" s="591"/>
      <c r="I35" s="627"/>
      <c r="J35" s="1382" t="s">
        <v>459</v>
      </c>
      <c r="K35" s="1382"/>
      <c r="L35" s="1382"/>
      <c r="M35" s="1382"/>
      <c r="N35" s="603"/>
    </row>
    <row r="36" spans="2:14">
      <c r="C36" s="590"/>
      <c r="D36" s="1085" t="s">
        <v>11</v>
      </c>
      <c r="E36" s="1382" t="s">
        <v>12</v>
      </c>
      <c r="F36" s="1382"/>
      <c r="G36" s="1382"/>
      <c r="H36" s="1382"/>
      <c r="I36" s="1382"/>
      <c r="J36" s="1382" t="s">
        <v>131</v>
      </c>
      <c r="K36" s="1382"/>
      <c r="L36" s="1382"/>
      <c r="M36" s="1382"/>
      <c r="N36" s="603"/>
    </row>
    <row r="37" spans="2:14">
      <c r="C37" s="590"/>
      <c r="D37" s="1085" t="s">
        <v>13</v>
      </c>
      <c r="E37" s="1382" t="s">
        <v>13</v>
      </c>
      <c r="F37" s="1382"/>
      <c r="G37" s="1382"/>
      <c r="H37" s="1382" t="s">
        <v>161</v>
      </c>
      <c r="I37" s="1382"/>
      <c r="J37" s="1382" t="s">
        <v>161</v>
      </c>
      <c r="K37" s="1382"/>
      <c r="L37" s="1382"/>
      <c r="M37" s="1382"/>
      <c r="N37" s="603"/>
    </row>
    <row r="38" spans="2:14">
      <c r="N38" s="628"/>
    </row>
    <row r="39" spans="2:14">
      <c r="E39" s="578"/>
    </row>
    <row r="41" spans="2:14" customFormat="1" ht="12.75">
      <c r="E41" s="629"/>
    </row>
    <row r="46" spans="2:14">
      <c r="D46" s="1118" t="s">
        <v>229</v>
      </c>
      <c r="E46" s="1118"/>
      <c r="J46" s="1378" t="s">
        <v>125</v>
      </c>
      <c r="K46" s="1378"/>
      <c r="L46" s="1378"/>
      <c r="M46" s="1378"/>
      <c r="N46" s="1119"/>
    </row>
  </sheetData>
  <mergeCells count="20">
    <mergeCell ref="J2:M2"/>
    <mergeCell ref="J3:M4"/>
    <mergeCell ref="B5:M5"/>
    <mergeCell ref="B6:M6"/>
    <mergeCell ref="J8:L8"/>
    <mergeCell ref="J46:M46"/>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s>
  <conditionalFormatting sqref="I14:M30 B14:G30">
    <cfRule type="expression" dxfId="1"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35" customWidth="1"/>
    <col min="2" max="2" width="9.140625" style="635"/>
    <col min="3" max="3" width="9.140625" style="699" customWidth="1"/>
    <col min="4" max="4" width="10.85546875" style="699" customWidth="1"/>
    <col min="5" max="5" width="39.42578125" style="700" customWidth="1"/>
    <col min="6" max="6" width="10.85546875" style="701" customWidth="1"/>
    <col min="7" max="7" width="9" style="702" customWidth="1"/>
    <col min="8" max="8" width="9.5703125" style="702" customWidth="1"/>
    <col min="9" max="9" width="10" style="702" customWidth="1"/>
    <col min="10" max="10" width="8" style="635" customWidth="1"/>
    <col min="11" max="11" width="2.42578125" style="635" customWidth="1"/>
    <col min="12" max="12" width="6.5703125" style="635" customWidth="1"/>
    <col min="13" max="16384" width="9.140625" style="635"/>
  </cols>
  <sheetData>
    <row r="1" spans="1:12" ht="15" customHeight="1">
      <c r="A1" s="630" t="s">
        <v>181</v>
      </c>
      <c r="B1" s="631"/>
      <c r="C1" s="631"/>
      <c r="D1" s="631"/>
      <c r="E1" s="632"/>
      <c r="F1" s="631"/>
      <c r="G1" s="633"/>
      <c r="H1" s="634" t="s">
        <v>494</v>
      </c>
      <c r="I1" s="635"/>
      <c r="J1" s="636"/>
      <c r="K1" s="636"/>
      <c r="L1" s="637"/>
    </row>
    <row r="2" spans="1:12" ht="15" customHeight="1">
      <c r="A2" s="638" t="s">
        <v>318</v>
      </c>
      <c r="B2" s="639"/>
      <c r="C2" s="639"/>
      <c r="D2" s="639"/>
      <c r="E2" s="640"/>
      <c r="F2" s="641"/>
      <c r="G2" s="642"/>
      <c r="H2" s="643" t="s">
        <v>319</v>
      </c>
      <c r="I2" s="635"/>
      <c r="J2" s="636"/>
      <c r="K2" s="636"/>
    </row>
    <row r="3" spans="1:12" ht="15">
      <c r="A3" s="639"/>
      <c r="B3" s="639"/>
      <c r="C3" s="639"/>
      <c r="D3" s="639"/>
      <c r="E3" s="640"/>
      <c r="F3" s="641"/>
      <c r="G3" s="642"/>
      <c r="H3" s="643" t="s">
        <v>237</v>
      </c>
      <c r="I3" s="635"/>
      <c r="J3" s="636"/>
      <c r="K3" s="636"/>
    </row>
    <row r="4" spans="1:12" ht="18.75" customHeight="1">
      <c r="A4" s="644"/>
      <c r="B4" s="644"/>
      <c r="C4" s="644"/>
      <c r="D4" s="644"/>
      <c r="E4" s="645" t="s">
        <v>495</v>
      </c>
      <c r="F4" s="644"/>
      <c r="G4" s="644"/>
      <c r="H4" s="644"/>
      <c r="I4" s="644"/>
      <c r="J4" s="636"/>
      <c r="K4" s="636"/>
    </row>
    <row r="5" spans="1:12" ht="15">
      <c r="A5" s="646"/>
      <c r="B5" s="646"/>
      <c r="C5" s="646"/>
      <c r="D5" s="646"/>
      <c r="E5" s="647" t="str">
        <f ca="1">IF(ISERROR("Ngày lập thẻ: ngày "&amp;DAY(B14)&amp;"/"&amp;MONTH(B14)&amp;"/"&amp;YEAR(B14)),"Ngày lập thẻ: ngày 01/ 01/2016 ","Ngày lập thẻ: ngày "&amp;DAY(B14)&amp;"/"&amp;MONTH(B14)&amp;"/"&amp;YEAR(B14))</f>
        <v>Ngày lập thẻ: ngày 5/1/2016</v>
      </c>
      <c r="F5" s="646"/>
      <c r="G5" s="646"/>
      <c r="H5" s="646"/>
      <c r="I5" s="646"/>
      <c r="J5" s="636"/>
      <c r="K5" s="636"/>
    </row>
    <row r="6" spans="1:12" ht="15">
      <c r="A6" s="646"/>
      <c r="B6" s="646"/>
      <c r="C6" s="646"/>
      <c r="D6" s="646"/>
      <c r="E6" s="647" t="s">
        <v>496</v>
      </c>
      <c r="F6" s="646"/>
      <c r="G6" s="646"/>
      <c r="H6" s="646"/>
      <c r="I6" s="646"/>
      <c r="J6" s="636"/>
      <c r="K6" s="636"/>
    </row>
    <row r="7" spans="1:12" ht="15">
      <c r="A7" s="625" t="s">
        <v>497</v>
      </c>
      <c r="B7" s="625"/>
      <c r="C7" s="648"/>
      <c r="D7" s="648"/>
      <c r="E7" s="649" t="s">
        <v>348</v>
      </c>
      <c r="F7" s="641"/>
      <c r="G7" s="650"/>
      <c r="H7" s="650"/>
      <c r="I7" s="650"/>
      <c r="J7" s="636"/>
      <c r="K7" s="636"/>
    </row>
    <row r="8" spans="1:12" ht="15">
      <c r="A8" s="625" t="s">
        <v>498</v>
      </c>
      <c r="B8" s="625"/>
      <c r="C8" s="636" t="str">
        <f>VLOOKUP($E$7,NXT!$C$12:$L$101,2,0)</f>
        <v>kg</v>
      </c>
      <c r="D8" s="625"/>
      <c r="E8" s="649"/>
      <c r="F8" s="641"/>
      <c r="G8" s="650"/>
      <c r="H8" s="650"/>
      <c r="I8" s="650"/>
      <c r="J8" s="636"/>
      <c r="K8" s="636"/>
    </row>
    <row r="9" spans="1:12" ht="15">
      <c r="A9" s="1390" t="s">
        <v>499</v>
      </c>
      <c r="B9" s="1391"/>
      <c r="C9" s="1391"/>
      <c r="D9" s="1391"/>
      <c r="E9" s="649"/>
      <c r="F9" s="641"/>
      <c r="G9" s="650"/>
      <c r="H9" s="650"/>
      <c r="I9" s="650"/>
      <c r="J9" s="651"/>
      <c r="K9" s="651"/>
    </row>
    <row r="10" spans="1:12" ht="19.5" customHeight="1">
      <c r="A10" s="1392" t="s">
        <v>500</v>
      </c>
      <c r="B10" s="1393" t="s">
        <v>501</v>
      </c>
      <c r="C10" s="1395" t="s">
        <v>17</v>
      </c>
      <c r="D10" s="1396"/>
      <c r="E10" s="1397" t="s">
        <v>0</v>
      </c>
      <c r="F10" s="1406" t="s">
        <v>502</v>
      </c>
      <c r="G10" s="1400" t="s">
        <v>470</v>
      </c>
      <c r="H10" s="1400"/>
      <c r="I10" s="1396"/>
      <c r="J10" s="1401" t="s">
        <v>503</v>
      </c>
      <c r="K10" s="652"/>
      <c r="L10" s="653" t="s">
        <v>488</v>
      </c>
    </row>
    <row r="11" spans="1:12" ht="19.5" customHeight="1">
      <c r="A11" s="1392"/>
      <c r="B11" s="1394"/>
      <c r="C11" s="654" t="s">
        <v>485</v>
      </c>
      <c r="D11" s="654" t="s">
        <v>486</v>
      </c>
      <c r="E11" s="1398"/>
      <c r="F11" s="1407"/>
      <c r="G11" s="655" t="s">
        <v>485</v>
      </c>
      <c r="H11" s="655" t="s">
        <v>486</v>
      </c>
      <c r="I11" s="655" t="s">
        <v>487</v>
      </c>
      <c r="J11" s="1402"/>
      <c r="K11" s="652"/>
    </row>
    <row r="12" spans="1:12" ht="15">
      <c r="A12" s="656" t="s">
        <v>2</v>
      </c>
      <c r="B12" s="657" t="s">
        <v>3</v>
      </c>
      <c r="C12" s="658" t="s">
        <v>4</v>
      </c>
      <c r="D12" s="658" t="s">
        <v>5</v>
      </c>
      <c r="E12" s="659" t="s">
        <v>6</v>
      </c>
      <c r="F12" s="657" t="s">
        <v>155</v>
      </c>
      <c r="G12" s="660">
        <v>1</v>
      </c>
      <c r="H12" s="660">
        <v>2</v>
      </c>
      <c r="I12" s="660">
        <v>3</v>
      </c>
      <c r="J12" s="658" t="s">
        <v>156</v>
      </c>
      <c r="K12" s="661"/>
    </row>
    <row r="13" spans="1:12" ht="16.5" customHeight="1">
      <c r="A13" s="662"/>
      <c r="B13" s="663"/>
      <c r="C13" s="664"/>
      <c r="D13" s="664"/>
      <c r="E13" s="665" t="s">
        <v>333</v>
      </c>
      <c r="F13" s="663"/>
      <c r="G13" s="666"/>
      <c r="H13" s="666"/>
      <c r="I13" s="667">
        <f>VLOOKUP($E$7,NXT!$C$12:$L$101,3,0)</f>
        <v>300</v>
      </c>
      <c r="J13" s="662"/>
      <c r="K13" s="668"/>
    </row>
    <row r="14" spans="1:12" ht="16.5" customHeight="1">
      <c r="A14" s="669">
        <f ca="1">IF(B14&lt;&gt;"",ROW()-(ROW()-1),"")</f>
        <v>1</v>
      </c>
      <c r="B14" s="670">
        <f ca="1">IF(ROWS($1:1)&gt;COUNT(Dong12),"",OFFSET(TH!E$1,SMALL(Dong12,ROWS($1:1)),))</f>
        <v>42374</v>
      </c>
      <c r="C14" s="860" t="str">
        <f ca="1">IF(ROWS($1:1)&gt;COUNT(Dong12),"",IF(MID(OFFSET(TH!D$1,SMALL(Dong12,ROWS($1:1)),),4,1)="N",OFFSET(TH!D$1,SMALL(Dong12,ROWS($1:1)),),""))</f>
        <v>VL/N01</v>
      </c>
      <c r="D14" s="670" t="str">
        <f ca="1">IF(ROWS($1:1)&gt;COUNT(Dong12),"",IF(MID(OFFSET(TH!D$1,SMALL(Dong12,ROWS($1:1)),),4,1)="X",OFFSET(TH!D$1,SMALL(Dong12,ROWS($1:1)),),""))</f>
        <v/>
      </c>
      <c r="E14" s="671" t="str">
        <f ca="1">IF(ROWS($1:1)&gt;COUNT(Dong12),"",OFFSET(TH!F$1,SMALL(Dong12,ROWS($1:1)),)&amp;" - "&amp;OFFSET(TH!H$1,SMALL(Dong12,ROWS($1:1)),))</f>
        <v>Đường - Cty TNHH TM - DV Thanh Thanh</v>
      </c>
      <c r="F14" s="670">
        <f ca="1">B14</f>
        <v>42374</v>
      </c>
      <c r="G14" s="672">
        <f ca="1">IF(ROWS($1:1)&gt;COUNT(Dong12),0,IF(MID(OFFSET(TH!D$1,SMALL(Dong12,ROWS($1:1)),),4,1)="N",OFFSET(TH!I$1,SMALL(Dong12,ROWS($1:1)),),0))</f>
        <v>1000</v>
      </c>
      <c r="H14" s="672">
        <f ca="1">IF(ROWS($1:1)&gt;COUNT(Dong12),0,IF(MID(OFFSET(TH!D$1,SMALL(Dong12,ROWS($1:1)),),4,1)="X",OFFSET(TH!I$1,SMALL(Dong12,ROWS($1:1)),),0))</f>
        <v>0</v>
      </c>
      <c r="I14" s="673">
        <f ca="1">IF(E14&lt;&gt;"",I13+G14-H14,0)</f>
        <v>1300</v>
      </c>
      <c r="J14" s="674"/>
      <c r="K14" s="675"/>
    </row>
    <row r="15" spans="1:12" ht="16.5" customHeight="1">
      <c r="A15" s="676">
        <f ca="1">IF(B15&lt;&gt;"",A14+1,"")</f>
        <v>2</v>
      </c>
      <c r="B15" s="670">
        <f ca="1">IF(ROWS($1:2)&gt;COUNT(Dong12),"",OFFSET(TH!E$1,SMALL(Dong12,ROWS($1:2)),))</f>
        <v>42387</v>
      </c>
      <c r="C15" s="860" t="str">
        <f ca="1">IF(ROWS($1:2)&gt;COUNT(Dong12),"",IF(MID(OFFSET(TH!D$1,SMALL(Dong12,ROWS($1:2)),),4,1)="N",OFFSET(TH!D$1,SMALL(Dong12,ROWS($1:2)),),""))</f>
        <v>VL/N05</v>
      </c>
      <c r="D15" s="670" t="str">
        <f ca="1">IF(ROWS($1:2)&gt;COUNT(Dong12),"",IF(MID(OFFSET(TH!D$1,SMALL(Dong12,ROWS($1:2)),),4,1)="X",OFFSET(TH!D$1,SMALL(Dong12,ROWS($1:2)),),""))</f>
        <v/>
      </c>
      <c r="E15" s="671" t="str">
        <f ca="1">IF(ROWS($1:2)&gt;COUNT(Dong12),"",OFFSET(TH!F$1,SMALL(Dong12,ROWS($1:2)),)&amp;" - "&amp;OFFSET(TH!H$1,SMALL(Dong12,ROWS($1:2)),))</f>
        <v>Đường - Cty TNHH TM - DV Thanh Thanh</v>
      </c>
      <c r="F15" s="670">
        <f t="shared" ref="F15:F30" ca="1" si="0">B15</f>
        <v>42387</v>
      </c>
      <c r="G15" s="672">
        <f ca="1">IF(ROWS($1:2)&gt;COUNT(Dong12),0,IF(MID(OFFSET(TH!D$1,SMALL(Dong12,ROWS($1:2)),),4,1)="N",OFFSET(TH!I$1,SMALL(Dong12,ROWS($1:2)),),0))</f>
        <v>1000</v>
      </c>
      <c r="H15" s="672">
        <f ca="1">IF(ROWS($1:2)&gt;COUNT(Dong12),0,IF(MID(OFFSET(TH!D$1,SMALL(Dong12,ROWS($1:2)),),4,1)="X",OFFSET(TH!I$1,SMALL(Dong12,ROWS($1:2)),),0))</f>
        <v>0</v>
      </c>
      <c r="I15" s="673">
        <f t="shared" ref="I15:I30" ca="1" si="1">IF(E15&lt;&gt;"",I14+G15-H15,0)</f>
        <v>2300</v>
      </c>
      <c r="J15" s="674"/>
      <c r="K15" s="675"/>
    </row>
    <row r="16" spans="1:12" ht="16.5" customHeight="1">
      <c r="A16" s="676">
        <f t="shared" ref="A16:A30" ca="1" si="2">IF(B16&lt;&gt;"",A15+1,"")</f>
        <v>3</v>
      </c>
      <c r="B16" s="670">
        <f ca="1">IF(ROWS($1:3)&gt;COUNT(Dong12),"",OFFSET(TH!E$1,SMALL(Dong12,ROWS($1:3)),))</f>
        <v>42371</v>
      </c>
      <c r="C16" s="860" t="str">
        <f ca="1">IF(ROWS($1:3)&gt;COUNT(Dong12),"",IF(MID(OFFSET(TH!D$1,SMALL(Dong12,ROWS($1:3)),),4,1)="N",OFFSET(TH!D$1,SMALL(Dong12,ROWS($1:3)),),""))</f>
        <v/>
      </c>
      <c r="D16" s="670" t="str">
        <f ca="1">IF(ROWS($1:3)&gt;COUNT(Dong12),"",IF(MID(OFFSET(TH!D$1,SMALL(Dong12,ROWS($1:3)),),4,1)="X",OFFSET(TH!D$1,SMALL(Dong12,ROWS($1:3)),),""))</f>
        <v>VL/X01</v>
      </c>
      <c r="E16" s="671" t="str">
        <f ca="1">IF(ROWS($1:3)&gt;COUNT(Dong12),"",OFFSET(TH!F$1,SMALL(Dong12,ROWS($1:3)),)&amp;" - "&amp;OFFSET(TH!H$1,SMALL(Dong12,ROWS($1:3)),))</f>
        <v>Đường - Xuất SX</v>
      </c>
      <c r="F16" s="670">
        <f t="shared" ca="1" si="0"/>
        <v>42371</v>
      </c>
      <c r="G16" s="672">
        <f ca="1">IF(ROWS($1:3)&gt;COUNT(Dong12),0,IF(MID(OFFSET(TH!D$1,SMALL(Dong12,ROWS($1:3)),),4,1)="N",OFFSET(TH!I$1,SMALL(Dong12,ROWS($1:3)),),0))</f>
        <v>0</v>
      </c>
      <c r="H16" s="672">
        <f ca="1">IF(ROWS($1:3)&gt;COUNT(Dong12),0,IF(MID(OFFSET(TH!D$1,SMALL(Dong12,ROWS($1:3)),),4,1)="X",OFFSET(TH!I$1,SMALL(Dong12,ROWS($1:3)),),0))</f>
        <v>150</v>
      </c>
      <c r="I16" s="673">
        <f t="shared" ca="1" si="1"/>
        <v>2150</v>
      </c>
      <c r="J16" s="674"/>
      <c r="K16" s="675"/>
    </row>
    <row r="17" spans="1:11" ht="16.5" customHeight="1">
      <c r="A17" s="676">
        <f t="shared" ca="1" si="2"/>
        <v>4</v>
      </c>
      <c r="B17" s="670">
        <f ca="1">IF(ROWS($1:4)&gt;COUNT(Dong12),"",OFFSET(TH!E$1,SMALL(Dong12,ROWS($1:4)),))</f>
        <v>42415</v>
      </c>
      <c r="C17" s="860" t="str">
        <f ca="1">IF(ROWS($1:4)&gt;COUNT(Dong12),"",IF(MID(OFFSET(TH!D$1,SMALL(Dong12,ROWS($1:4)),),4,1)="N",OFFSET(TH!D$1,SMALL(Dong12,ROWS($1:4)),),""))</f>
        <v/>
      </c>
      <c r="D17" s="670" t="str">
        <f ca="1">IF(ROWS($1:4)&gt;COUNT(Dong12),"",IF(MID(OFFSET(TH!D$1,SMALL(Dong12,ROWS($1:4)),),4,1)="X",OFFSET(TH!D$1,SMALL(Dong12,ROWS($1:4)),),""))</f>
        <v>VL/X02</v>
      </c>
      <c r="E17" s="671" t="str">
        <f ca="1">IF(ROWS($1:4)&gt;COUNT(Dong12),"",OFFSET(TH!F$1,SMALL(Dong12,ROWS($1:4)),)&amp;" - "&amp;OFFSET(TH!H$1,SMALL(Dong12,ROWS($1:4)),))</f>
        <v>Đường - Xuất SX</v>
      </c>
      <c r="F17" s="670">
        <f t="shared" ca="1" si="0"/>
        <v>42415</v>
      </c>
      <c r="G17" s="672">
        <f ca="1">IF(ROWS($1:4)&gt;COUNT(Dong12),0,IF(MID(OFFSET(TH!D$1,SMALL(Dong12,ROWS($1:4)),),4,1)="N",OFFSET(TH!I$1,SMALL(Dong12,ROWS($1:4)),),0))</f>
        <v>0</v>
      </c>
      <c r="H17" s="672">
        <f ca="1">IF(ROWS($1:4)&gt;COUNT(Dong12),0,IF(MID(OFFSET(TH!D$1,SMALL(Dong12,ROWS($1:4)),),4,1)="X",OFFSET(TH!I$1,SMALL(Dong12,ROWS($1:4)),),0))</f>
        <v>150</v>
      </c>
      <c r="I17" s="673">
        <f t="shared" ca="1" si="1"/>
        <v>2000</v>
      </c>
      <c r="J17" s="674"/>
      <c r="K17" s="675"/>
    </row>
    <row r="18" spans="1:11" ht="16.5" customHeight="1">
      <c r="A18" s="676">
        <f t="shared" ca="1" si="2"/>
        <v>5</v>
      </c>
      <c r="B18" s="670">
        <f ca="1">IF(ROWS($1:5)&gt;COUNT(Dong12),"",OFFSET(TH!E$1,SMALL(Dong12,ROWS($1:5)),))</f>
        <v>42437</v>
      </c>
      <c r="C18" s="860" t="str">
        <f ca="1">IF(ROWS($1:5)&gt;COUNT(Dong12),"",IF(MID(OFFSET(TH!D$1,SMALL(Dong12,ROWS($1:5)),),4,1)="N",OFFSET(TH!D$1,SMALL(Dong12,ROWS($1:5)),),""))</f>
        <v>VL/N02</v>
      </c>
      <c r="D18" s="670" t="str">
        <f ca="1">IF(ROWS($1:5)&gt;COUNT(Dong12),"",IF(MID(OFFSET(TH!D$1,SMALL(Dong12,ROWS($1:5)),),4,1)="X",OFFSET(TH!D$1,SMALL(Dong12,ROWS($1:5)),),""))</f>
        <v/>
      </c>
      <c r="E18" s="671" t="str">
        <f ca="1">IF(ROWS($1:5)&gt;COUNT(Dong12),"",OFFSET(TH!F$1,SMALL(Dong12,ROWS($1:5)),)&amp;" - "&amp;OFFSET(TH!H$1,SMALL(Dong12,ROWS($1:5)),))</f>
        <v>Đường - Cty TNHH TM - DV Thanh Thanh</v>
      </c>
      <c r="F18" s="670">
        <f t="shared" ca="1" si="0"/>
        <v>42437</v>
      </c>
      <c r="G18" s="672">
        <f ca="1">IF(ROWS($1:5)&gt;COUNT(Dong12),0,IF(MID(OFFSET(TH!D$1,SMALL(Dong12,ROWS($1:5)),),4,1)="N",OFFSET(TH!I$1,SMALL(Dong12,ROWS($1:5)),),0))</f>
        <v>1000</v>
      </c>
      <c r="H18" s="672">
        <f ca="1">IF(ROWS($1:5)&gt;COUNT(Dong12),0,IF(MID(OFFSET(TH!D$1,SMALL(Dong12,ROWS($1:5)),),4,1)="X",OFFSET(TH!I$1,SMALL(Dong12,ROWS($1:5)),),0))</f>
        <v>0</v>
      </c>
      <c r="I18" s="673">
        <f t="shared" ca="1" si="1"/>
        <v>3000</v>
      </c>
      <c r="J18" s="674"/>
      <c r="K18" s="675"/>
    </row>
    <row r="19" spans="1:11" ht="16.5" customHeight="1">
      <c r="A19" s="676">
        <f t="shared" ca="1" si="2"/>
        <v>6</v>
      </c>
      <c r="B19" s="670">
        <f ca="1">IF(ROWS($1:6)&gt;COUNT(Dong12),"",OFFSET(TH!E$1,SMALL(Dong12,ROWS($1:6)),))</f>
        <v>42457</v>
      </c>
      <c r="C19" s="860" t="str">
        <f ca="1">IF(ROWS($1:6)&gt;COUNT(Dong12),"",IF(MID(OFFSET(TH!D$1,SMALL(Dong12,ROWS($1:6)),),4,1)="N",OFFSET(TH!D$1,SMALL(Dong12,ROWS($1:6)),),""))</f>
        <v>VL/N04</v>
      </c>
      <c r="D19" s="670" t="str">
        <f ca="1">IF(ROWS($1:6)&gt;COUNT(Dong12),"",IF(MID(OFFSET(TH!D$1,SMALL(Dong12,ROWS($1:6)),),4,1)="X",OFFSET(TH!D$1,SMALL(Dong12,ROWS($1:6)),),""))</f>
        <v/>
      </c>
      <c r="E19" s="671" t="str">
        <f ca="1">IF(ROWS($1:6)&gt;COUNT(Dong12),"",OFFSET(TH!F$1,SMALL(Dong12,ROWS($1:6)),)&amp;" - "&amp;OFFSET(TH!H$1,SMALL(Dong12,ROWS($1:6)),))</f>
        <v>Đường - Cty TNHH TM - DV Thanh Thanh</v>
      </c>
      <c r="F19" s="670">
        <f t="shared" ca="1" si="0"/>
        <v>42457</v>
      </c>
      <c r="G19" s="672">
        <f ca="1">IF(ROWS($1:6)&gt;COUNT(Dong12),0,IF(MID(OFFSET(TH!D$1,SMALL(Dong12,ROWS($1:6)),),4,1)="N",OFFSET(TH!I$1,SMALL(Dong12,ROWS($1:6)),),0))</f>
        <v>1000</v>
      </c>
      <c r="H19" s="672">
        <f ca="1">IF(ROWS($1:6)&gt;COUNT(Dong12),0,IF(MID(OFFSET(TH!D$1,SMALL(Dong12,ROWS($1:6)),),4,1)="X",OFFSET(TH!I$1,SMALL(Dong12,ROWS($1:6)),),0))</f>
        <v>0</v>
      </c>
      <c r="I19" s="673">
        <f t="shared" ca="1" si="1"/>
        <v>4000</v>
      </c>
      <c r="J19" s="674"/>
      <c r="K19" s="675"/>
    </row>
    <row r="20" spans="1:11" ht="16.5" customHeight="1">
      <c r="A20" s="676">
        <f t="shared" ca="1" si="2"/>
        <v>7</v>
      </c>
      <c r="B20" s="670">
        <f ca="1">IF(ROWS($1:7)&gt;COUNT(Dong12),"",OFFSET(TH!E$1,SMALL(Dong12,ROWS($1:7)),))</f>
        <v>42431</v>
      </c>
      <c r="C20" s="860" t="str">
        <f ca="1">IF(ROWS($1:7)&gt;COUNT(Dong12),"",IF(MID(OFFSET(TH!D$1,SMALL(Dong12,ROWS($1:7)),),4,1)="N",OFFSET(TH!D$1,SMALL(Dong12,ROWS($1:7)),),""))</f>
        <v/>
      </c>
      <c r="D20" s="670" t="str">
        <f ca="1">IF(ROWS($1:7)&gt;COUNT(Dong12),"",IF(MID(OFFSET(TH!D$1,SMALL(Dong12,ROWS($1:7)),),4,1)="X",OFFSET(TH!D$1,SMALL(Dong12,ROWS($1:7)),),""))</f>
        <v>VL/X01</v>
      </c>
      <c r="E20" s="671" t="str">
        <f ca="1">IF(ROWS($1:7)&gt;COUNT(Dong12),"",OFFSET(TH!F$1,SMALL(Dong12,ROWS($1:7)),)&amp;" - "&amp;OFFSET(TH!H$1,SMALL(Dong12,ROWS($1:7)),))</f>
        <v>Đường - Xuất SX</v>
      </c>
      <c r="F20" s="670">
        <f t="shared" ca="1" si="0"/>
        <v>42431</v>
      </c>
      <c r="G20" s="672">
        <f ca="1">IF(ROWS($1:7)&gt;COUNT(Dong12),0,IF(MID(OFFSET(TH!D$1,SMALL(Dong12,ROWS($1:7)),),4,1)="N",OFFSET(TH!I$1,SMALL(Dong12,ROWS($1:7)),),0))</f>
        <v>0</v>
      </c>
      <c r="H20" s="672">
        <f ca="1">IF(ROWS($1:7)&gt;COUNT(Dong12),0,IF(MID(OFFSET(TH!D$1,SMALL(Dong12,ROWS($1:7)),),4,1)="X",OFFSET(TH!I$1,SMALL(Dong12,ROWS($1:7)),),0))</f>
        <v>150</v>
      </c>
      <c r="I20" s="673">
        <f t="shared" ca="1" si="1"/>
        <v>3850</v>
      </c>
      <c r="J20" s="674"/>
      <c r="K20" s="675"/>
    </row>
    <row r="21" spans="1:11" ht="16.5" customHeight="1">
      <c r="A21" s="676">
        <f t="shared" ca="1" si="2"/>
        <v>8</v>
      </c>
      <c r="B21" s="670">
        <f ca="1">IF(ROWS($1:8)&gt;COUNT(Dong12),"",OFFSET(TH!E$1,SMALL(Dong12,ROWS($1:8)),))</f>
        <v>42461</v>
      </c>
      <c r="C21" s="860" t="str">
        <f ca="1">IF(ROWS($1:8)&gt;COUNT(Dong12),"",IF(MID(OFFSET(TH!D$1,SMALL(Dong12,ROWS($1:8)),),4,1)="N",OFFSET(TH!D$1,SMALL(Dong12,ROWS($1:8)),),""))</f>
        <v/>
      </c>
      <c r="D21" s="670" t="str">
        <f ca="1">IF(ROWS($1:8)&gt;COUNT(Dong12),"",IF(MID(OFFSET(TH!D$1,SMALL(Dong12,ROWS($1:8)),),4,1)="X",OFFSET(TH!D$1,SMALL(Dong12,ROWS($1:8)),),""))</f>
        <v>VL/X01</v>
      </c>
      <c r="E21" s="671" t="str">
        <f ca="1">IF(ROWS($1:8)&gt;COUNT(Dong12),"",OFFSET(TH!F$1,SMALL(Dong12,ROWS($1:8)),)&amp;" - "&amp;OFFSET(TH!H$1,SMALL(Dong12,ROWS($1:8)),))</f>
        <v>Đường - Xuất SX</v>
      </c>
      <c r="F21" s="670">
        <f t="shared" ca="1" si="0"/>
        <v>42461</v>
      </c>
      <c r="G21" s="672">
        <f ca="1">IF(ROWS($1:8)&gt;COUNT(Dong12),0,IF(MID(OFFSET(TH!D$1,SMALL(Dong12,ROWS($1:8)),),4,1)="N",OFFSET(TH!I$1,SMALL(Dong12,ROWS($1:8)),),0))</f>
        <v>0</v>
      </c>
      <c r="H21" s="672">
        <f ca="1">IF(ROWS($1:8)&gt;COUNT(Dong12),0,IF(MID(OFFSET(TH!D$1,SMALL(Dong12,ROWS($1:8)),),4,1)="X",OFFSET(TH!I$1,SMALL(Dong12,ROWS($1:8)),),0))</f>
        <v>250</v>
      </c>
      <c r="I21" s="673">
        <f t="shared" ca="1" si="1"/>
        <v>3600</v>
      </c>
      <c r="J21" s="674"/>
      <c r="K21" s="675"/>
    </row>
    <row r="22" spans="1:11" ht="16.5" customHeight="1">
      <c r="A22" s="676">
        <f t="shared" ca="1" si="2"/>
        <v>9</v>
      </c>
      <c r="B22" s="670">
        <f ca="1">IF(ROWS($1:9)&gt;COUNT(Dong12),"",OFFSET(TH!E$1,SMALL(Dong12,ROWS($1:9)),))</f>
        <v>42492</v>
      </c>
      <c r="C22" s="860" t="str">
        <f ca="1">IF(ROWS($1:9)&gt;COUNT(Dong12),"",IF(MID(OFFSET(TH!D$1,SMALL(Dong12,ROWS($1:9)),),4,1)="N",OFFSET(TH!D$1,SMALL(Dong12,ROWS($1:9)),),""))</f>
        <v/>
      </c>
      <c r="D22" s="670" t="str">
        <f ca="1">IF(ROWS($1:9)&gt;COUNT(Dong12),"",IF(MID(OFFSET(TH!D$1,SMALL(Dong12,ROWS($1:9)),),4,1)="X",OFFSET(TH!D$1,SMALL(Dong12,ROWS($1:9)),),""))</f>
        <v>VL/X01</v>
      </c>
      <c r="E22" s="671" t="str">
        <f ca="1">IF(ROWS($1:9)&gt;COUNT(Dong12),"",OFFSET(TH!F$1,SMALL(Dong12,ROWS($1:9)),)&amp;" - "&amp;OFFSET(TH!H$1,SMALL(Dong12,ROWS($1:9)),))</f>
        <v>Đường - Xuất SX</v>
      </c>
      <c r="F22" s="670">
        <f t="shared" ca="1" si="0"/>
        <v>42492</v>
      </c>
      <c r="G22" s="672">
        <f ca="1">IF(ROWS($1:9)&gt;COUNT(Dong12),0,IF(MID(OFFSET(TH!D$1,SMALL(Dong12,ROWS($1:9)),),4,1)="N",OFFSET(TH!I$1,SMALL(Dong12,ROWS($1:9)),),0))</f>
        <v>0</v>
      </c>
      <c r="H22" s="672">
        <f ca="1">IF(ROWS($1:9)&gt;COUNT(Dong12),0,IF(MID(OFFSET(TH!D$1,SMALL(Dong12,ROWS($1:9)),),4,1)="X",OFFSET(TH!I$1,SMALL(Dong12,ROWS($1:9)),),0))</f>
        <v>270</v>
      </c>
      <c r="I22" s="673">
        <f t="shared" ca="1" si="1"/>
        <v>3330</v>
      </c>
      <c r="J22" s="674"/>
      <c r="K22" s="675"/>
    </row>
    <row r="23" spans="1:11" ht="16.5" customHeight="1">
      <c r="A23" s="676">
        <f t="shared" ca="1" si="2"/>
        <v>10</v>
      </c>
      <c r="B23" s="670">
        <f ca="1">IF(ROWS($1:10)&gt;COUNT(Dong12),"",OFFSET(TH!E$1,SMALL(Dong12,ROWS($1:10)),))</f>
        <v>42523</v>
      </c>
      <c r="C23" s="860" t="str">
        <f ca="1">IF(ROWS($1:10)&gt;COUNT(Dong12),"",IF(MID(OFFSET(TH!D$1,SMALL(Dong12,ROWS($1:10)),),4,1)="N",OFFSET(TH!D$1,SMALL(Dong12,ROWS($1:10)),),""))</f>
        <v/>
      </c>
      <c r="D23" s="670" t="str">
        <f ca="1">IF(ROWS($1:10)&gt;COUNT(Dong12),"",IF(MID(OFFSET(TH!D$1,SMALL(Dong12,ROWS($1:10)),),4,1)="X",OFFSET(TH!D$1,SMALL(Dong12,ROWS($1:10)),),""))</f>
        <v>VL/X01</v>
      </c>
      <c r="E23" s="671" t="str">
        <f ca="1">IF(ROWS($1:10)&gt;COUNT(Dong12),"",OFFSET(TH!F$1,SMALL(Dong12,ROWS($1:10)),)&amp;" - "&amp;OFFSET(TH!H$1,SMALL(Dong12,ROWS($1:10)),))</f>
        <v>Đường - Xuất SX</v>
      </c>
      <c r="F23" s="670">
        <f t="shared" ca="1" si="0"/>
        <v>42523</v>
      </c>
      <c r="G23" s="672">
        <f ca="1">IF(ROWS($1:10)&gt;COUNT(Dong12),0,IF(MID(OFFSET(TH!D$1,SMALL(Dong12,ROWS($1:10)),),4,1)="N",OFFSET(TH!I$1,SMALL(Dong12,ROWS($1:10)),),0))</f>
        <v>0</v>
      </c>
      <c r="H23" s="672">
        <f ca="1">IF(ROWS($1:10)&gt;COUNT(Dong12),0,IF(MID(OFFSET(TH!D$1,SMALL(Dong12,ROWS($1:10)),),4,1)="X",OFFSET(TH!I$1,SMALL(Dong12,ROWS($1:10)),),0))</f>
        <v>330</v>
      </c>
      <c r="I23" s="673">
        <f t="shared" ca="1" si="1"/>
        <v>3000</v>
      </c>
      <c r="J23" s="674"/>
      <c r="K23" s="675"/>
    </row>
    <row r="24" spans="1:11" ht="16.5" customHeight="1">
      <c r="A24" s="676">
        <f t="shared" ca="1" si="2"/>
        <v>11</v>
      </c>
      <c r="B24" s="670">
        <f ca="1">IF(ROWS($1:11)&gt;COUNT(Dong12),"",OFFSET(TH!E$1,SMALL(Dong12,ROWS($1:11)),))</f>
        <v>42552</v>
      </c>
      <c r="C24" s="860" t="str">
        <f ca="1">IF(ROWS($1:11)&gt;COUNT(Dong12),"",IF(MID(OFFSET(TH!D$1,SMALL(Dong12,ROWS($1:11)),),4,1)="N",OFFSET(TH!D$1,SMALL(Dong12,ROWS($1:11)),),""))</f>
        <v/>
      </c>
      <c r="D24" s="670" t="str">
        <f ca="1">IF(ROWS($1:11)&gt;COUNT(Dong12),"",IF(MID(OFFSET(TH!D$1,SMALL(Dong12,ROWS($1:11)),),4,1)="X",OFFSET(TH!D$1,SMALL(Dong12,ROWS($1:11)),),""))</f>
        <v>VL/X01</v>
      </c>
      <c r="E24" s="671" t="str">
        <f ca="1">IF(ROWS($1:11)&gt;COUNT(Dong12),"",OFFSET(TH!F$1,SMALL(Dong12,ROWS($1:11)),)&amp;" - "&amp;OFFSET(TH!H$1,SMALL(Dong12,ROWS($1:11)),))</f>
        <v>Đường - Xuất SX</v>
      </c>
      <c r="F24" s="670">
        <f t="shared" ca="1" si="0"/>
        <v>42552</v>
      </c>
      <c r="G24" s="672">
        <f ca="1">IF(ROWS($1:11)&gt;COUNT(Dong12),0,IF(MID(OFFSET(TH!D$1,SMALL(Dong12,ROWS($1:11)),),4,1)="N",OFFSET(TH!I$1,SMALL(Dong12,ROWS($1:11)),),0))</f>
        <v>0</v>
      </c>
      <c r="H24" s="672">
        <f ca="1">IF(ROWS($1:11)&gt;COUNT(Dong12),0,IF(MID(OFFSET(TH!D$1,SMALL(Dong12,ROWS($1:11)),),4,1)="X",OFFSET(TH!I$1,SMALL(Dong12,ROWS($1:11)),),0))</f>
        <v>250</v>
      </c>
      <c r="I24" s="673">
        <f t="shared" ca="1" si="1"/>
        <v>2750</v>
      </c>
      <c r="J24" s="674"/>
      <c r="K24" s="675"/>
    </row>
    <row r="25" spans="1:11" ht="16.5" customHeight="1">
      <c r="A25" s="676">
        <f t="shared" ca="1" si="2"/>
        <v>12</v>
      </c>
      <c r="B25" s="670">
        <f ca="1">IF(ROWS($1:12)&gt;COUNT(Dong12),"",OFFSET(TH!E$1,SMALL(Dong12,ROWS($1:12)),))</f>
        <v>42583</v>
      </c>
      <c r="C25" s="860" t="str">
        <f ca="1">IF(ROWS($1:12)&gt;COUNT(Dong12),"",IF(MID(OFFSET(TH!D$1,SMALL(Dong12,ROWS($1:12)),),4,1)="N",OFFSET(TH!D$1,SMALL(Dong12,ROWS($1:12)),),""))</f>
        <v/>
      </c>
      <c r="D25" s="670" t="str">
        <f ca="1">IF(ROWS($1:12)&gt;COUNT(Dong12),"",IF(MID(OFFSET(TH!D$1,SMALL(Dong12,ROWS($1:12)),),4,1)="X",OFFSET(TH!D$1,SMALL(Dong12,ROWS($1:12)),),""))</f>
        <v>VL/X01</v>
      </c>
      <c r="E25" s="671" t="str">
        <f ca="1">IF(ROWS($1:12)&gt;COUNT(Dong12),"",OFFSET(TH!F$1,SMALL(Dong12,ROWS($1:12)),)&amp;" - "&amp;OFFSET(TH!H$1,SMALL(Dong12,ROWS($1:12)),))</f>
        <v>Đường - Xuất SX</v>
      </c>
      <c r="F25" s="670">
        <f t="shared" ca="1" si="0"/>
        <v>42583</v>
      </c>
      <c r="G25" s="672">
        <f ca="1">IF(ROWS($1:12)&gt;COUNT(Dong12),0,IF(MID(OFFSET(TH!D$1,SMALL(Dong12,ROWS($1:12)),),4,1)="N",OFFSET(TH!I$1,SMALL(Dong12,ROWS($1:12)),),0))</f>
        <v>0</v>
      </c>
      <c r="H25" s="672">
        <f ca="1">IF(ROWS($1:12)&gt;COUNT(Dong12),0,IF(MID(OFFSET(TH!D$1,SMALL(Dong12,ROWS($1:12)),),4,1)="X",OFFSET(TH!I$1,SMALL(Dong12,ROWS($1:12)),),0))</f>
        <v>400</v>
      </c>
      <c r="I25" s="673">
        <f t="shared" ca="1" si="1"/>
        <v>2350</v>
      </c>
      <c r="J25" s="674"/>
      <c r="K25" s="675"/>
    </row>
    <row r="26" spans="1:11" ht="16.5" customHeight="1">
      <c r="A26" s="676" t="str">
        <f t="shared" ca="1" si="2"/>
        <v/>
      </c>
      <c r="B26" s="670" t="str">
        <f ca="1">IF(ROWS($1:13)&gt;COUNT(Dong12),"",OFFSET(TH!E$1,SMALL(Dong12,ROWS($1:13)),))</f>
        <v/>
      </c>
      <c r="C26" s="860" t="str">
        <f ca="1">IF(ROWS($1:13)&gt;COUNT(Dong12),"",IF(MID(OFFSET(TH!D$1,SMALL(Dong12,ROWS($1:13)),),4,1)="N",OFFSET(TH!D$1,SMALL(Dong12,ROWS($1:13)),),""))</f>
        <v/>
      </c>
      <c r="D26" s="670" t="str">
        <f ca="1">IF(ROWS($1:13)&gt;COUNT(Dong12),"",IF(MID(OFFSET(TH!D$1,SMALL(Dong12,ROWS($1:13)),),4,1)="X",OFFSET(TH!D$1,SMALL(Dong12,ROWS($1:13)),),""))</f>
        <v/>
      </c>
      <c r="E26" s="671" t="str">
        <f ca="1">IF(ROWS($1:13)&gt;COUNT(Dong12),"",OFFSET(TH!F$1,SMALL(Dong12,ROWS($1:13)),)&amp;" - "&amp;OFFSET(TH!H$1,SMALL(Dong12,ROWS($1:13)),))</f>
        <v/>
      </c>
      <c r="F26" s="670" t="str">
        <f t="shared" ca="1" si="0"/>
        <v/>
      </c>
      <c r="G26" s="672">
        <f ca="1">IF(ROWS($1:13)&gt;COUNT(Dong12),0,IF(MID(OFFSET(TH!D$1,SMALL(Dong12,ROWS($1:13)),),4,1)="N",OFFSET(TH!I$1,SMALL(Dong12,ROWS($1:13)),),0))</f>
        <v>0</v>
      </c>
      <c r="H26" s="672">
        <f ca="1">IF(ROWS($1:13)&gt;COUNT(Dong12),0,IF(MID(OFFSET(TH!D$1,SMALL(Dong12,ROWS($1:13)),),4,1)="X",OFFSET(TH!I$1,SMALL(Dong12,ROWS($1:13)),),0))</f>
        <v>0</v>
      </c>
      <c r="I26" s="673">
        <f t="shared" ca="1" si="1"/>
        <v>0</v>
      </c>
      <c r="J26" s="674"/>
      <c r="K26" s="675"/>
    </row>
    <row r="27" spans="1:11" ht="16.5" customHeight="1">
      <c r="A27" s="676" t="str">
        <f t="shared" ca="1" si="2"/>
        <v/>
      </c>
      <c r="B27" s="670" t="str">
        <f ca="1">IF(ROWS($1:14)&gt;COUNT(Dong12),"",OFFSET(TH!E$1,SMALL(Dong12,ROWS($1:14)),))</f>
        <v/>
      </c>
      <c r="C27" s="860" t="str">
        <f ca="1">IF(ROWS($1:14)&gt;COUNT(Dong12),"",IF(MID(OFFSET(TH!D$1,SMALL(Dong12,ROWS($1:14)),),4,1)="N",OFFSET(TH!D$1,SMALL(Dong12,ROWS($1:14)),),""))</f>
        <v/>
      </c>
      <c r="D27" s="670" t="str">
        <f ca="1">IF(ROWS($1:14)&gt;COUNT(Dong12),"",IF(MID(OFFSET(TH!D$1,SMALL(Dong12,ROWS($1:14)),),4,1)="X",OFFSET(TH!D$1,SMALL(Dong12,ROWS($1:14)),),""))</f>
        <v/>
      </c>
      <c r="E27" s="671" t="str">
        <f ca="1">IF(ROWS($1:14)&gt;COUNT(Dong12),"",OFFSET(TH!F$1,SMALL(Dong12,ROWS($1:14)),)&amp;" - "&amp;OFFSET(TH!H$1,SMALL(Dong12,ROWS($1:14)),))</f>
        <v/>
      </c>
      <c r="F27" s="670" t="str">
        <f t="shared" ca="1" si="0"/>
        <v/>
      </c>
      <c r="G27" s="672">
        <f ca="1">IF(ROWS($1:14)&gt;COUNT(Dong12),0,IF(MID(OFFSET(TH!D$1,SMALL(Dong12,ROWS($1:14)),),4,1)="N",OFFSET(TH!I$1,SMALL(Dong12,ROWS($1:14)),),0))</f>
        <v>0</v>
      </c>
      <c r="H27" s="672">
        <f ca="1">IF(ROWS($1:14)&gt;COUNT(Dong12),0,IF(MID(OFFSET(TH!D$1,SMALL(Dong12,ROWS($1:14)),),4,1)="X",OFFSET(TH!I$1,SMALL(Dong12,ROWS($1:14)),),0))</f>
        <v>0</v>
      </c>
      <c r="I27" s="673">
        <f t="shared" ca="1" si="1"/>
        <v>0</v>
      </c>
      <c r="J27" s="674"/>
      <c r="K27" s="675"/>
    </row>
    <row r="28" spans="1:11" ht="16.5" customHeight="1">
      <c r="A28" s="676" t="str">
        <f t="shared" ca="1" si="2"/>
        <v/>
      </c>
      <c r="B28" s="670" t="str">
        <f ca="1">IF(ROWS($1:15)&gt;COUNT(Dong12),"",OFFSET(TH!E$1,SMALL(Dong12,ROWS($1:15)),))</f>
        <v/>
      </c>
      <c r="C28" s="860" t="str">
        <f ca="1">IF(ROWS($1:15)&gt;COUNT(Dong12),"",IF(MID(OFFSET(TH!D$1,SMALL(Dong12,ROWS($1:15)),),4,1)="N",OFFSET(TH!D$1,SMALL(Dong12,ROWS($1:15)),),""))</f>
        <v/>
      </c>
      <c r="D28" s="670" t="str">
        <f ca="1">IF(ROWS($1:15)&gt;COUNT(Dong12),"",IF(MID(OFFSET(TH!D$1,SMALL(Dong12,ROWS($1:15)),),4,1)="X",OFFSET(TH!D$1,SMALL(Dong12,ROWS($1:15)),),""))</f>
        <v/>
      </c>
      <c r="E28" s="671" t="str">
        <f ca="1">IF(ROWS($1:15)&gt;COUNT(Dong12),"",OFFSET(TH!F$1,SMALL(Dong12,ROWS($1:15)),)&amp;" - "&amp;OFFSET(TH!H$1,SMALL(Dong12,ROWS($1:15)),))</f>
        <v/>
      </c>
      <c r="F28" s="670" t="str">
        <f t="shared" ca="1" si="0"/>
        <v/>
      </c>
      <c r="G28" s="672">
        <f ca="1">IF(ROWS($1:15)&gt;COUNT(Dong12),0,IF(MID(OFFSET(TH!D$1,SMALL(Dong12,ROWS($1:15)),),4,1)="N",OFFSET(TH!I$1,SMALL(Dong12,ROWS($1:15)),),0))</f>
        <v>0</v>
      </c>
      <c r="H28" s="672">
        <f ca="1">IF(ROWS($1:15)&gt;COUNT(Dong12),0,IF(MID(OFFSET(TH!D$1,SMALL(Dong12,ROWS($1:15)),),4,1)="X",OFFSET(TH!I$1,SMALL(Dong12,ROWS($1:15)),),0))</f>
        <v>0</v>
      </c>
      <c r="I28" s="673">
        <f t="shared" ca="1" si="1"/>
        <v>0</v>
      </c>
      <c r="J28" s="674"/>
      <c r="K28" s="675"/>
    </row>
    <row r="29" spans="1:11" ht="16.5" customHeight="1">
      <c r="A29" s="676" t="str">
        <f t="shared" ca="1" si="2"/>
        <v/>
      </c>
      <c r="B29" s="670" t="str">
        <f ca="1">IF(ROWS($1:16)&gt;COUNT(Dong12),"",OFFSET(TH!E$1,SMALL(Dong12,ROWS($1:16)),))</f>
        <v/>
      </c>
      <c r="C29" s="860" t="str">
        <f ca="1">IF(ROWS($1:16)&gt;COUNT(Dong12),"",IF(MID(OFFSET(TH!D$1,SMALL(Dong12,ROWS($1:16)),),4,1)="N",OFFSET(TH!D$1,SMALL(Dong12,ROWS($1:16)),),""))</f>
        <v/>
      </c>
      <c r="D29" s="670" t="str">
        <f ca="1">IF(ROWS($1:16)&gt;COUNT(Dong12),"",IF(MID(OFFSET(TH!D$1,SMALL(Dong12,ROWS($1:16)),),4,1)="X",OFFSET(TH!D$1,SMALL(Dong12,ROWS($1:16)),),""))</f>
        <v/>
      </c>
      <c r="E29" s="671" t="str">
        <f ca="1">IF(ROWS($1:16)&gt;COUNT(Dong12),"",OFFSET(TH!F$1,SMALL(Dong12,ROWS($1:16)),)&amp;" - "&amp;OFFSET(TH!H$1,SMALL(Dong12,ROWS($1:16)),))</f>
        <v/>
      </c>
      <c r="F29" s="670" t="str">
        <f t="shared" ca="1" si="0"/>
        <v/>
      </c>
      <c r="G29" s="672">
        <f ca="1">IF(ROWS($1:16)&gt;COUNT(Dong12),0,IF(MID(OFFSET(TH!D$1,SMALL(Dong12,ROWS($1:16)),),4,1)="N",OFFSET(TH!I$1,SMALL(Dong12,ROWS($1:16)),),0))</f>
        <v>0</v>
      </c>
      <c r="H29" s="672">
        <f ca="1">IF(ROWS($1:16)&gt;COUNT(Dong12),0,IF(MID(OFFSET(TH!D$1,SMALL(Dong12,ROWS($1:16)),),4,1)="X",OFFSET(TH!I$1,SMALL(Dong12,ROWS($1:16)),),0))</f>
        <v>0</v>
      </c>
      <c r="I29" s="673">
        <f t="shared" ca="1" si="1"/>
        <v>0</v>
      </c>
      <c r="J29" s="674"/>
      <c r="K29" s="675"/>
    </row>
    <row r="30" spans="1:11" ht="16.5" customHeight="1">
      <c r="A30" s="676" t="str">
        <f t="shared" ca="1" si="2"/>
        <v/>
      </c>
      <c r="B30" s="670" t="str">
        <f ca="1">IF(ROWS($1:17)&gt;COUNT(Dong12),"",OFFSET(TH!E$1,SMALL(Dong12,ROWS($1:17)),))</f>
        <v/>
      </c>
      <c r="C30" s="860" t="str">
        <f ca="1">IF(ROWS($1:17)&gt;COUNT(Dong12),"",IF(MID(OFFSET(TH!D$1,SMALL(Dong12,ROWS($1:17)),),4,1)="N",OFFSET(TH!D$1,SMALL(Dong12,ROWS($1:17)),),""))</f>
        <v/>
      </c>
      <c r="D30" s="670" t="str">
        <f ca="1">IF(ROWS($1:17)&gt;COUNT(Dong12),"",IF(MID(OFFSET(TH!D$1,SMALL(Dong12,ROWS($1:17)),),4,1)="X",OFFSET(TH!D$1,SMALL(Dong12,ROWS($1:17)),),""))</f>
        <v/>
      </c>
      <c r="E30" s="671" t="str">
        <f ca="1">IF(ROWS($1:17)&gt;COUNT(Dong12),"",OFFSET(TH!F$1,SMALL(Dong12,ROWS($1:17)),)&amp;" - "&amp;OFFSET(TH!H$1,SMALL(Dong12,ROWS($1:17)),))</f>
        <v/>
      </c>
      <c r="F30" s="670" t="str">
        <f t="shared" ca="1" si="0"/>
        <v/>
      </c>
      <c r="G30" s="672">
        <f ca="1">IF(ROWS($1:17)&gt;COUNT(Dong12),0,IF(MID(OFFSET(TH!D$1,SMALL(Dong12,ROWS($1:17)),),4,1)="N",OFFSET(TH!I$1,SMALL(Dong12,ROWS($1:17)),),0))</f>
        <v>0</v>
      </c>
      <c r="H30" s="672">
        <f ca="1">IF(ROWS($1:17)&gt;COUNT(Dong12),0,IF(MID(OFFSET(TH!D$1,SMALL(Dong12,ROWS($1:17)),),4,1)="X",OFFSET(TH!I$1,SMALL(Dong12,ROWS($1:17)),),0))</f>
        <v>0</v>
      </c>
      <c r="I30" s="673">
        <f t="shared" ca="1" si="1"/>
        <v>0</v>
      </c>
      <c r="J30" s="674"/>
      <c r="K30" s="675"/>
    </row>
    <row r="31" spans="1:11" ht="16.5" customHeight="1">
      <c r="A31" s="677" t="str">
        <f>IF(D31&lt;&gt;"",A21+1,"")</f>
        <v/>
      </c>
      <c r="B31" s="678"/>
      <c r="C31" s="679"/>
      <c r="D31" s="679"/>
      <c r="E31" s="680"/>
      <c r="F31" s="678"/>
      <c r="G31" s="681"/>
      <c r="H31" s="681"/>
      <c r="I31" s="681"/>
      <c r="J31" s="682"/>
      <c r="K31" s="675"/>
    </row>
    <row r="32" spans="1:11" ht="16.5" customHeight="1">
      <c r="A32" s="664"/>
      <c r="B32" s="683"/>
      <c r="C32" s="664"/>
      <c r="D32" s="664"/>
      <c r="E32" s="665" t="s">
        <v>504</v>
      </c>
      <c r="F32" s="684" t="s">
        <v>21</v>
      </c>
      <c r="G32" s="685">
        <f ca="1">SUM(G14:G31)</f>
        <v>4000</v>
      </c>
      <c r="H32" s="685">
        <f ca="1">SUM(H14:H31)</f>
        <v>1950</v>
      </c>
      <c r="I32" s="685">
        <f ca="1">I13+G32-H32</f>
        <v>2350</v>
      </c>
      <c r="J32" s="664" t="s">
        <v>21</v>
      </c>
      <c r="K32" s="686"/>
    </row>
    <row r="33" spans="1:11" ht="12.75" customHeight="1">
      <c r="A33" s="687"/>
      <c r="B33" s="641"/>
      <c r="C33" s="687"/>
      <c r="D33" s="687"/>
      <c r="E33" s="649"/>
      <c r="F33" s="641"/>
      <c r="G33" s="650"/>
      <c r="H33" s="650"/>
      <c r="I33" s="650"/>
      <c r="J33" s="636"/>
      <c r="K33" s="636"/>
    </row>
    <row r="34" spans="1:11" ht="15">
      <c r="A34" s="688" t="s">
        <v>505</v>
      </c>
      <c r="B34" s="688"/>
      <c r="C34" s="689"/>
      <c r="D34" s="689"/>
      <c r="E34" s="649"/>
      <c r="F34" s="641"/>
      <c r="G34" s="650"/>
      <c r="H34" s="650"/>
      <c r="I34" s="650"/>
      <c r="J34" s="636"/>
      <c r="K34" s="636"/>
    </row>
    <row r="35" spans="1:11" ht="15">
      <c r="A35" s="1403"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404"/>
      <c r="C35" s="1404"/>
      <c r="D35" s="1404"/>
      <c r="E35" s="1404"/>
      <c r="F35" s="641"/>
      <c r="G35" s="650"/>
      <c r="H35" s="650"/>
      <c r="I35" s="650"/>
      <c r="J35" s="636"/>
      <c r="K35" s="636"/>
    </row>
    <row r="36" spans="1:11" ht="15">
      <c r="A36" s="690"/>
      <c r="B36" s="691"/>
      <c r="C36" s="692"/>
      <c r="D36" s="687"/>
      <c r="E36" s="649"/>
      <c r="F36" s="641"/>
      <c r="H36" s="536"/>
      <c r="I36" s="1084" t="s">
        <v>459</v>
      </c>
      <c r="J36" s="536"/>
      <c r="K36" s="537"/>
    </row>
    <row r="37" spans="1:11" ht="15" customHeight="1">
      <c r="A37" s="690"/>
      <c r="C37" s="693" t="s">
        <v>506</v>
      </c>
      <c r="D37" s="687"/>
      <c r="E37" s="1405" t="s">
        <v>12</v>
      </c>
      <c r="F37" s="1405"/>
      <c r="G37" s="650"/>
      <c r="I37" s="1122" t="s">
        <v>131</v>
      </c>
      <c r="J37" s="639"/>
      <c r="K37" s="690"/>
    </row>
    <row r="38" spans="1:11" ht="15" customHeight="1">
      <c r="A38" s="694"/>
      <c r="C38" s="695" t="s">
        <v>13</v>
      </c>
      <c r="D38" s="696"/>
      <c r="E38" s="1399" t="s">
        <v>13</v>
      </c>
      <c r="F38" s="1399"/>
      <c r="G38" s="650"/>
      <c r="I38" s="1123" t="s">
        <v>161</v>
      </c>
      <c r="J38" s="1121"/>
      <c r="K38" s="694"/>
    </row>
    <row r="39" spans="1:11" ht="15">
      <c r="A39" s="694"/>
      <c r="C39" s="695"/>
      <c r="D39" s="687"/>
      <c r="E39" s="697"/>
      <c r="F39" s="698"/>
      <c r="G39" s="650"/>
      <c r="H39" s="694"/>
      <c r="I39" s="694"/>
      <c r="J39" s="694"/>
      <c r="K39" s="694"/>
    </row>
    <row r="40" spans="1:11" ht="15">
      <c r="A40" s="694"/>
      <c r="B40" s="695"/>
      <c r="C40" s="694"/>
      <c r="D40" s="687"/>
      <c r="E40" s="697"/>
      <c r="F40" s="698"/>
      <c r="G40" s="650"/>
      <c r="H40" s="694"/>
      <c r="I40" s="694"/>
      <c r="J40" s="694"/>
      <c r="K40" s="694"/>
    </row>
    <row r="41" spans="1:11" ht="15">
      <c r="A41" s="694"/>
      <c r="B41" s="695"/>
      <c r="C41" s="694"/>
      <c r="D41" s="687"/>
      <c r="E41" s="697"/>
      <c r="F41" s="698"/>
      <c r="G41" s="650"/>
      <c r="H41" s="694"/>
      <c r="I41" s="694"/>
      <c r="J41" s="694"/>
      <c r="K41" s="694"/>
    </row>
    <row r="46" spans="1:11" ht="15">
      <c r="C46" s="1124" t="s">
        <v>1327</v>
      </c>
      <c r="H46" s="1120"/>
      <c r="I46" s="1119" t="s">
        <v>125</v>
      </c>
      <c r="J46" s="1120"/>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theme="7" tint="-0.499984740745262"/>
  </sheetPr>
  <dimension ref="A1:N52"/>
  <sheetViews>
    <sheetView topLeftCell="A10" zoomScale="90" zoomScaleNormal="90" workbookViewId="0">
      <pane ySplit="4" topLeftCell="A14" activePane="bottomLeft" state="frozen"/>
      <selection activeCell="A10" sqref="A10"/>
      <selection pane="bottomLeft" activeCell="A15" sqref="A15"/>
    </sheetView>
  </sheetViews>
  <sheetFormatPr defaultRowHeight="12.75"/>
  <cols>
    <col min="1" max="1" width="9.85546875" customWidth="1"/>
    <col min="2" max="2" width="23.5703125" customWidth="1"/>
    <col min="3" max="4" width="0" hidden="1" customWidth="1"/>
    <col min="5" max="5" width="25" style="1143"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411" t="s">
        <v>507</v>
      </c>
      <c r="B1" s="1411"/>
      <c r="C1" s="1411"/>
      <c r="D1" s="1411"/>
      <c r="E1" s="1411"/>
      <c r="F1" s="1411"/>
      <c r="G1" s="1411"/>
      <c r="H1" s="1411"/>
      <c r="I1" s="1411"/>
      <c r="J1" s="1412" t="s">
        <v>508</v>
      </c>
      <c r="K1" s="1413"/>
      <c r="L1" s="703"/>
      <c r="M1" s="703"/>
      <c r="N1" s="704"/>
    </row>
    <row r="2" spans="1:14" ht="15.75">
      <c r="A2" s="1411"/>
      <c r="B2" s="1411"/>
      <c r="C2" s="1411"/>
      <c r="D2" s="1411"/>
      <c r="E2" s="1411"/>
      <c r="F2" s="1411"/>
      <c r="G2" s="1411"/>
      <c r="H2" s="1411"/>
      <c r="I2" s="1411"/>
      <c r="J2" s="1414"/>
      <c r="K2" s="1415"/>
      <c r="L2" s="703"/>
      <c r="M2" s="703"/>
      <c r="N2" s="704"/>
    </row>
    <row r="3" spans="1:14" ht="15.75">
      <c r="A3" s="1411"/>
      <c r="B3" s="1411"/>
      <c r="C3" s="1411"/>
      <c r="D3" s="1411"/>
      <c r="E3" s="1411"/>
      <c r="F3" s="1411"/>
      <c r="G3" s="1411"/>
      <c r="H3" s="1411"/>
      <c r="I3" s="1411"/>
      <c r="J3" s="1414"/>
      <c r="K3" s="1415"/>
      <c r="L3" s="703"/>
      <c r="M3" s="703"/>
      <c r="N3" s="704"/>
    </row>
    <row r="4" spans="1:14" ht="16.5">
      <c r="A4" s="1418" t="str">
        <f>"( " &amp; IF(OR($M$11=1,$M$11=4,$M$11=6,$M$11=9,$M$11=11),"Ngày  30  tháng  "&amp;$M$11&amp;"  năm 2016",IF(OR($M$11=3,$M$11=5,$M$11=7,$M$11=8,$M$11=10,$M$11=12),"Ngày  31  tháng  "&amp;$M$11&amp;"  năm 2016","Ngày  29  tháng  "&amp;$M$11&amp;"  năm 2016")) &amp; " ) "</f>
        <v xml:space="preserve">( Ngày  29  tháng  2  năm 2016 ) </v>
      </c>
      <c r="B4" s="1418"/>
      <c r="C4" s="1418"/>
      <c r="D4" s="1418"/>
      <c r="E4" s="1418"/>
      <c r="F4" s="1418"/>
      <c r="G4" s="1418"/>
      <c r="H4" s="1418"/>
      <c r="I4" s="1418"/>
      <c r="J4" s="1416"/>
      <c r="K4" s="1417"/>
      <c r="L4" s="703"/>
      <c r="M4" s="703"/>
      <c r="N4" s="704"/>
    </row>
    <row r="5" spans="1:14" ht="20.25">
      <c r="A5" s="705"/>
      <c r="B5" s="703"/>
      <c r="C5" s="703"/>
      <c r="D5" s="703"/>
      <c r="E5" s="1136"/>
      <c r="F5" s="706"/>
      <c r="G5" s="703"/>
      <c r="H5" s="707"/>
      <c r="I5" s="707"/>
      <c r="J5" s="703"/>
      <c r="K5" s="703"/>
      <c r="L5" s="703"/>
      <c r="M5" s="704"/>
      <c r="N5" s="704"/>
    </row>
    <row r="6" spans="1:14" ht="15.75">
      <c r="A6" s="705" t="s">
        <v>509</v>
      </c>
      <c r="B6" s="703"/>
      <c r="C6" s="703"/>
      <c r="D6" s="703"/>
      <c r="E6" s="1137"/>
      <c r="F6" s="703"/>
      <c r="G6" s="703" t="s">
        <v>510</v>
      </c>
      <c r="H6" s="707"/>
      <c r="I6" s="707"/>
      <c r="J6" s="703"/>
      <c r="K6" s="703"/>
      <c r="L6" s="703"/>
      <c r="M6" s="704"/>
      <c r="N6" s="704"/>
    </row>
    <row r="7" spans="1:14" ht="15.75">
      <c r="A7" s="705" t="s">
        <v>511</v>
      </c>
      <c r="B7" s="703"/>
      <c r="C7" s="703"/>
      <c r="D7" s="703"/>
      <c r="E7" s="1137"/>
      <c r="F7" s="703"/>
      <c r="G7" s="703"/>
      <c r="H7" s="707"/>
      <c r="I7" s="707"/>
      <c r="J7" s="703"/>
      <c r="K7" s="703"/>
      <c r="L7" s="703"/>
      <c r="M7" s="704"/>
      <c r="N7" s="704"/>
    </row>
    <row r="8" spans="1:14" ht="15.75">
      <c r="A8" s="705" t="s">
        <v>512</v>
      </c>
      <c r="B8" s="703"/>
      <c r="C8" s="703"/>
      <c r="D8" s="703"/>
      <c r="E8" s="1137"/>
      <c r="F8" s="703"/>
      <c r="G8" s="703"/>
      <c r="H8" s="707"/>
      <c r="I8" s="707"/>
      <c r="J8" s="703"/>
      <c r="K8" s="703"/>
      <c r="L8" s="703"/>
      <c r="M8" s="704"/>
      <c r="N8" s="704"/>
    </row>
    <row r="9" spans="1:14" ht="15.75">
      <c r="A9" s="705" t="s">
        <v>513</v>
      </c>
      <c r="B9" s="703"/>
      <c r="C9" s="703"/>
      <c r="D9" s="703"/>
      <c r="E9" s="1137"/>
      <c r="F9" s="703"/>
      <c r="G9" s="703"/>
      <c r="H9" s="707"/>
      <c r="I9" s="707"/>
      <c r="J9" s="703"/>
      <c r="K9" s="703"/>
      <c r="L9" s="703"/>
      <c r="M9" s="704"/>
      <c r="N9" s="704"/>
    </row>
    <row r="10" spans="1:14" ht="16.5" thickBot="1">
      <c r="A10" s="705"/>
      <c r="B10" s="703"/>
      <c r="C10" s="703"/>
      <c r="D10" s="703"/>
      <c r="E10" s="1137"/>
      <c r="F10" s="703"/>
      <c r="G10" s="703"/>
      <c r="H10" s="707"/>
      <c r="I10" s="707"/>
      <c r="J10" s="703"/>
      <c r="K10" s="703"/>
      <c r="L10" s="703"/>
      <c r="M10" s="708"/>
      <c r="N10" s="704"/>
    </row>
    <row r="11" spans="1:14" ht="15.75" thickBot="1">
      <c r="A11" s="1419" t="s">
        <v>581</v>
      </c>
      <c r="B11" s="1421" t="s">
        <v>514</v>
      </c>
      <c r="C11" s="1422"/>
      <c r="D11" s="1422"/>
      <c r="E11" s="1422"/>
      <c r="F11" s="1423"/>
      <c r="G11" s="1424" t="s">
        <v>515</v>
      </c>
      <c r="H11" s="1424"/>
      <c r="I11" s="1424"/>
      <c r="J11" s="1424"/>
      <c r="K11" s="1425" t="s">
        <v>152</v>
      </c>
      <c r="L11" s="709"/>
      <c r="M11" s="1135">
        <v>2</v>
      </c>
      <c r="N11" s="711"/>
    </row>
    <row r="12" spans="1:14" ht="36" customHeight="1">
      <c r="A12" s="1420"/>
      <c r="B12" s="712" t="s">
        <v>516</v>
      </c>
      <c r="C12" s="712"/>
      <c r="D12" s="712" t="s">
        <v>517</v>
      </c>
      <c r="E12" s="712" t="s">
        <v>518</v>
      </c>
      <c r="F12" s="712" t="s">
        <v>519</v>
      </c>
      <c r="G12" s="712" t="s">
        <v>520</v>
      </c>
      <c r="H12" s="713" t="s">
        <v>470</v>
      </c>
      <c r="I12" s="713" t="s">
        <v>471</v>
      </c>
      <c r="J12" s="712" t="s">
        <v>521</v>
      </c>
      <c r="K12" s="1426"/>
      <c r="L12" s="714"/>
      <c r="M12" s="715"/>
      <c r="N12" s="715"/>
    </row>
    <row r="13" spans="1:14">
      <c r="A13" s="716" t="s">
        <v>172</v>
      </c>
      <c r="B13" s="717">
        <v>2</v>
      </c>
      <c r="C13" s="717"/>
      <c r="D13" s="717"/>
      <c r="E13" s="1138">
        <v>3</v>
      </c>
      <c r="F13" s="717">
        <v>4</v>
      </c>
      <c r="G13" s="717">
        <v>5</v>
      </c>
      <c r="H13" s="718" t="s">
        <v>522</v>
      </c>
      <c r="I13" s="718" t="s">
        <v>523</v>
      </c>
      <c r="J13" s="717">
        <v>8</v>
      </c>
      <c r="K13" s="717">
        <v>9</v>
      </c>
      <c r="L13" s="719"/>
      <c r="M13" s="719"/>
      <c r="N13" s="719"/>
    </row>
    <row r="14" spans="1:14" ht="27" customHeight="1">
      <c r="A14" s="225">
        <f ca="1">IF(ROWS($1:1)&gt;COUNT(Dong13),"",OFFSET(TH!E$1,SMALL(Dong13,ROWS($1:1)),))</f>
        <v>42417</v>
      </c>
      <c r="B14" s="228" t="str">
        <f ca="1">IF(ROWS($1:1)&gt;COUNT(Dong13),"",OFFSET(TH!H$1,SMALL(Dong13,ROWS($1:1)),))</f>
        <v>Võ Thị Bảy</v>
      </c>
      <c r="C14" s="720" t="str">
        <f ca="1">IF(ISNA(VLOOKUP($B14,DSNL,6,0)),"",VLOOKUP($B14,DSNL,6,0))</f>
        <v>Hai</v>
      </c>
      <c r="D14" s="720" t="str">
        <f ca="1">IF(ROWS($1:1)&gt;COUNT(Dong13),"",OFFSET(TH!D$1,SMALL(Dong13,ROWS($1:1)),))</f>
        <v>NL/N01</v>
      </c>
      <c r="E14" s="1139" t="str">
        <f t="shared" ref="E14:E40" ca="1" si="0">IF(ISNA(VLOOKUP($B14,DSNL,4,0)),"",VLOOKUP($B14,DSNL,4,0))</f>
        <v>Vũng Tàu</v>
      </c>
      <c r="F14" s="721">
        <f t="shared" ref="F14:F40" ca="1" si="1">IF(ISNA(VLOOKUP($B14,DSNL,3,0)),"",VLOOKUP($B14,DSNL,3,0))</f>
        <v>270106056</v>
      </c>
      <c r="G14" s="722" t="str">
        <f ca="1">IF(ROWS($1:1)&gt;COUNT(Dong13),"",OFFSET(TH!F$1,SMALL(Dong13,ROWS($1:1)),))</f>
        <v>Cá bò NL</v>
      </c>
      <c r="H14" s="723">
        <f ca="1">IF(ROWS($1:1)&gt;COUNT(Dong13),"",OFFSET(TH!I$1,SMALL(Dong13,ROWS($1:1)),))</f>
        <v>7043</v>
      </c>
      <c r="I14" s="723">
        <f ca="1">IF(ROWS($1:1)&gt;COUNT(Dong13),"",OFFSET(TH!J$1,SMALL(Dong13,ROWS($1:1)),))</f>
        <v>13200</v>
      </c>
      <c r="J14" s="724">
        <f ca="1">IF(B14&lt;&gt;"",H14*I14,0)</f>
        <v>92967600</v>
      </c>
      <c r="K14" s="724"/>
      <c r="L14" s="725"/>
      <c r="M14" s="704"/>
      <c r="N14" s="704"/>
    </row>
    <row r="15" spans="1:14" ht="27" customHeight="1">
      <c r="A15" s="225">
        <f ca="1">IF(ROWS($1:2)&gt;COUNT(Dong13),"",OFFSET(TH!E$1,SMALL(Dong13,ROWS($1:2)),))</f>
        <v>42417</v>
      </c>
      <c r="B15" s="228" t="str">
        <f ca="1">IF(ROWS($1:2)&gt;COUNT(Dong13),"",OFFSET(TH!H$1,SMALL(Dong13,ROWS($1:2)),))</f>
        <v>Nguyễn Thanh Vinh</v>
      </c>
      <c r="C15" s="720" t="str">
        <f t="shared" ref="C15:C40" ca="1" si="2">IF(ISNA(VLOOKUP($B15,DSNL,6,0)),"",VLOOKUP($B15,DSNL,6,0))</f>
        <v>Hai</v>
      </c>
      <c r="D15" s="720" t="str">
        <f ca="1">IF(ROWS($1:2)&gt;COUNT(Dong13),"",OFFSET(TH!D$1,SMALL(Dong13,ROWS($1:2)),))</f>
        <v>NL/N02</v>
      </c>
      <c r="E15" s="1139" t="str">
        <f t="shared" ca="1" si="0"/>
        <v>Vũng Tàu</v>
      </c>
      <c r="F15" s="721">
        <f t="shared" ca="1" si="1"/>
        <v>271181056</v>
      </c>
      <c r="G15" s="722" t="str">
        <f ca="1">IF(ROWS($1:2)&gt;COUNT(Dong13),"",OFFSET(TH!F$1,SMALL(Dong13,ROWS($1:2)),))</f>
        <v>Cá bò NL</v>
      </c>
      <c r="H15" s="723">
        <f ca="1">IF(ROWS($1:2)&gt;COUNT(Dong13),"",OFFSET(TH!I$1,SMALL(Dong13,ROWS($1:2)),))</f>
        <v>7150</v>
      </c>
      <c r="I15" s="723">
        <f ca="1">IF(ROWS($1:2)&gt;COUNT(Dong13),"",OFFSET(TH!J$1,SMALL(Dong13,ROWS($1:2)),))</f>
        <v>13200</v>
      </c>
      <c r="J15" s="724">
        <f t="shared" ref="J15:J40" ca="1" si="3">IF(B15&lt;&gt;"",H15*I15,0)</f>
        <v>94380000</v>
      </c>
      <c r="K15" s="726"/>
      <c r="L15" s="725"/>
      <c r="M15" s="704"/>
      <c r="N15" s="704"/>
    </row>
    <row r="16" spans="1:14" ht="27" customHeight="1">
      <c r="A16" s="225">
        <f ca="1">IF(ROWS($1:3)&gt;COUNT(Dong13),"",OFFSET(TH!E$1,SMALL(Dong13,ROWS($1:3)),))</f>
        <v>42417</v>
      </c>
      <c r="B16" s="228" t="str">
        <f ca="1">IF(ROWS($1:3)&gt;COUNT(Dong13),"",OFFSET(TH!H$1,SMALL(Dong13,ROWS($1:3)),))</f>
        <v>Hồ Thị Mỹ</v>
      </c>
      <c r="C16" s="720" t="str">
        <f t="shared" ca="1" si="2"/>
        <v>Hai</v>
      </c>
      <c r="D16" s="720" t="str">
        <f ca="1">IF(ROWS($1:3)&gt;COUNT(Dong13),"",OFFSET(TH!D$1,SMALL(Dong13,ROWS($1:3)),))</f>
        <v>NL/N03</v>
      </c>
      <c r="E16" s="1139" t="str">
        <f t="shared" ca="1" si="0"/>
        <v>Vũng Tàu</v>
      </c>
      <c r="F16" s="721">
        <f t="shared" ca="1" si="1"/>
        <v>270986506</v>
      </c>
      <c r="G16" s="722" t="str">
        <f ca="1">IF(ROWS($1:3)&gt;COUNT(Dong13),"",OFFSET(TH!F$1,SMALL(Dong13,ROWS($1:3)),))</f>
        <v>Cá bò NL</v>
      </c>
      <c r="H16" s="723">
        <f ca="1">IF(ROWS($1:3)&gt;COUNT(Dong13),"",OFFSET(TH!I$1,SMALL(Dong13,ROWS($1:3)),))</f>
        <v>6970</v>
      </c>
      <c r="I16" s="723">
        <f ca="1">IF(ROWS($1:3)&gt;COUNT(Dong13),"",OFFSET(TH!J$1,SMALL(Dong13,ROWS($1:3)),))</f>
        <v>13200</v>
      </c>
      <c r="J16" s="724">
        <f t="shared" ca="1" si="3"/>
        <v>92004000</v>
      </c>
      <c r="K16" s="726"/>
      <c r="L16" s="725"/>
      <c r="M16" s="704"/>
      <c r="N16" s="704"/>
    </row>
    <row r="17" spans="1:14" ht="27" customHeight="1">
      <c r="A17" s="225">
        <f ca="1">IF(ROWS($1:4)&gt;COUNT(Dong13),"",OFFSET(TH!E$1,SMALL(Dong13,ROWS($1:4)),))</f>
        <v>42417</v>
      </c>
      <c r="B17" s="228" t="str">
        <f ca="1">IF(ROWS($1:4)&gt;COUNT(Dong13),"",OFFSET(TH!H$1,SMALL(Dong13,ROWS($1:4)),))</f>
        <v>Đỗ Văn Tâm</v>
      </c>
      <c r="C17" s="720" t="str">
        <f t="shared" ca="1" si="2"/>
        <v>Hai</v>
      </c>
      <c r="D17" s="720" t="str">
        <f ca="1">IF(ROWS($1:4)&gt;COUNT(Dong13),"",OFFSET(TH!D$1,SMALL(Dong13,ROWS($1:4)),))</f>
        <v>NL/N04</v>
      </c>
      <c r="E17" s="1139" t="str">
        <f t="shared" ca="1" si="0"/>
        <v>Vũng Tàu</v>
      </c>
      <c r="F17" s="721">
        <f t="shared" ca="1" si="1"/>
        <v>271642418</v>
      </c>
      <c r="G17" s="722" t="str">
        <f ca="1">IF(ROWS($1:4)&gt;COUNT(Dong13),"",OFFSET(TH!F$1,SMALL(Dong13,ROWS($1:4)),))</f>
        <v>Cá bò NL</v>
      </c>
      <c r="H17" s="723">
        <f ca="1">IF(ROWS($1:4)&gt;COUNT(Dong13),"",OFFSET(TH!I$1,SMALL(Dong13,ROWS($1:4)),))</f>
        <v>7450</v>
      </c>
      <c r="I17" s="723">
        <f ca="1">IF(ROWS($1:4)&gt;COUNT(Dong13),"",OFFSET(TH!J$1,SMALL(Dong13,ROWS($1:4)),))</f>
        <v>13200</v>
      </c>
      <c r="J17" s="724">
        <f t="shared" ca="1" si="3"/>
        <v>98340000</v>
      </c>
      <c r="K17" s="726"/>
      <c r="L17" s="725"/>
      <c r="M17" s="704"/>
      <c r="N17" s="704"/>
    </row>
    <row r="18" spans="1:14" ht="27" customHeight="1">
      <c r="A18" s="225">
        <f ca="1">IF(ROWS($1:5)&gt;COUNT(Dong13),"",OFFSET(TH!E$1,SMALL(Dong13,ROWS($1:5)),))</f>
        <v>42424</v>
      </c>
      <c r="B18" s="228" t="str">
        <f ca="1">IF(ROWS($1:5)&gt;COUNT(Dong13),"",OFFSET(TH!H$1,SMALL(Dong13,ROWS($1:5)),))</f>
        <v>Nguyễn Thanh Vinh</v>
      </c>
      <c r="C18" s="720" t="str">
        <f t="shared" ca="1" si="2"/>
        <v>Hai</v>
      </c>
      <c r="D18" s="720" t="str">
        <f ca="1">IF(ROWS($1:5)&gt;COUNT(Dong13),"",OFFSET(TH!D$1,SMALL(Dong13,ROWS($1:5)),))</f>
        <v>NL/N05</v>
      </c>
      <c r="E18" s="1139" t="str">
        <f t="shared" ca="1" si="0"/>
        <v>Vũng Tàu</v>
      </c>
      <c r="F18" s="721">
        <f t="shared" ca="1" si="1"/>
        <v>271181056</v>
      </c>
      <c r="G18" s="722" t="str">
        <f ca="1">IF(ROWS($1:5)&gt;COUNT(Dong13),"",OFFSET(TH!F$1,SMALL(Dong13,ROWS($1:5)),))</f>
        <v>Cá bò NL</v>
      </c>
      <c r="H18" s="723">
        <f ca="1">IF(ROWS($1:5)&gt;COUNT(Dong13),"",OFFSET(TH!I$1,SMALL(Dong13,ROWS($1:5)),))</f>
        <v>7460</v>
      </c>
      <c r="I18" s="723">
        <f ca="1">IF(ROWS($1:5)&gt;COUNT(Dong13),"",OFFSET(TH!J$1,SMALL(Dong13,ROWS($1:5)),))</f>
        <v>13200</v>
      </c>
      <c r="J18" s="724">
        <f t="shared" ca="1" si="3"/>
        <v>98472000</v>
      </c>
      <c r="K18" s="726"/>
      <c r="L18" s="725"/>
      <c r="M18" s="704"/>
      <c r="N18" s="704"/>
    </row>
    <row r="19" spans="1:14" ht="27" customHeight="1">
      <c r="A19" s="225">
        <f ca="1">IF(ROWS($1:6)&gt;COUNT(Dong13),"",OFFSET(TH!E$1,SMALL(Dong13,ROWS($1:6)),))</f>
        <v>42424</v>
      </c>
      <c r="B19" s="228" t="str">
        <f ca="1">IF(ROWS($1:6)&gt;COUNT(Dong13),"",OFFSET(TH!H$1,SMALL(Dong13,ROWS($1:6)),))</f>
        <v>Hồ Thị Mỹ</v>
      </c>
      <c r="C19" s="720" t="str">
        <f t="shared" ca="1" si="2"/>
        <v>Hai</v>
      </c>
      <c r="D19" s="720" t="str">
        <f ca="1">IF(ROWS($1:6)&gt;COUNT(Dong13),"",OFFSET(TH!D$1,SMALL(Dong13,ROWS($1:6)),))</f>
        <v>NL/N06</v>
      </c>
      <c r="E19" s="1139" t="str">
        <f t="shared" ca="1" si="0"/>
        <v>Vũng Tàu</v>
      </c>
      <c r="F19" s="721">
        <f t="shared" ca="1" si="1"/>
        <v>270986506</v>
      </c>
      <c r="G19" s="722" t="str">
        <f ca="1">IF(ROWS($1:6)&gt;COUNT(Dong13),"",OFFSET(TH!F$1,SMALL(Dong13,ROWS($1:6)),))</f>
        <v>Cá bò NL</v>
      </c>
      <c r="H19" s="723">
        <f ca="1">IF(ROWS($1:6)&gt;COUNT(Dong13),"",OFFSET(TH!I$1,SMALL(Dong13,ROWS($1:6)),))</f>
        <v>7328</v>
      </c>
      <c r="I19" s="723">
        <f ca="1">IF(ROWS($1:6)&gt;COUNT(Dong13),"",OFFSET(TH!J$1,SMALL(Dong13,ROWS($1:6)),))</f>
        <v>13200</v>
      </c>
      <c r="J19" s="724">
        <f t="shared" ca="1" si="3"/>
        <v>96729600</v>
      </c>
      <c r="K19" s="726"/>
      <c r="L19" s="725"/>
      <c r="M19" s="704"/>
      <c r="N19" s="704"/>
    </row>
    <row r="20" spans="1:14" ht="31.5" customHeight="1">
      <c r="A20" s="225">
        <f ca="1">IF(ROWS($1:7)&gt;COUNT(Dong13),"",OFFSET(TH!E$1,SMALL(Dong13,ROWS($1:7)),))</f>
        <v>42424</v>
      </c>
      <c r="B20" s="228" t="str">
        <f ca="1">IF(ROWS($1:7)&gt;COUNT(Dong13),"",OFFSET(TH!H$1,SMALL(Dong13,ROWS($1:7)),))</f>
        <v>Phạm Thị Ngọc</v>
      </c>
      <c r="C20" s="720" t="str">
        <f t="shared" ca="1" si="2"/>
        <v>Hai</v>
      </c>
      <c r="D20" s="720" t="str">
        <f ca="1">IF(ROWS($1:7)&gt;COUNT(Dong13),"",OFFSET(TH!D$1,SMALL(Dong13,ROWS($1:7)),))</f>
        <v>NL/N07</v>
      </c>
      <c r="E20" s="1139" t="str">
        <f t="shared" ca="1" si="0"/>
        <v>62 Đinh Tiên Hoàng, P2, Bà Rịa Vũng Tàu</v>
      </c>
      <c r="F20" s="721">
        <f t="shared" ca="1" si="1"/>
        <v>273042454</v>
      </c>
      <c r="G20" s="722" t="str">
        <f ca="1">IF(ROWS($1:7)&gt;COUNT(Dong13),"",OFFSET(TH!F$1,SMALL(Dong13,ROWS($1:7)),))</f>
        <v>Cá bò NL</v>
      </c>
      <c r="H20" s="723">
        <f ca="1">IF(ROWS($1:7)&gt;COUNT(Dong13),"",OFFSET(TH!I$1,SMALL(Dong13,ROWS($1:7)),))</f>
        <v>6099</v>
      </c>
      <c r="I20" s="723">
        <f ca="1">IF(ROWS($1:7)&gt;COUNT(Dong13),"",OFFSET(TH!J$1,SMALL(Dong13,ROWS($1:7)),))</f>
        <v>13200</v>
      </c>
      <c r="J20" s="724">
        <f t="shared" ca="1" si="3"/>
        <v>80506800</v>
      </c>
      <c r="K20" s="726"/>
      <c r="L20" s="725"/>
      <c r="M20" s="704"/>
      <c r="N20" s="704"/>
    </row>
    <row r="21" spans="1:14" ht="27" customHeight="1">
      <c r="A21" s="225">
        <f ca="1">IF(ROWS($1:8)&gt;COUNT(Dong13),"",OFFSET(TH!E$1,SMALL(Dong13,ROWS($1:8)),))</f>
        <v>42426</v>
      </c>
      <c r="B21" s="228" t="str">
        <f ca="1">IF(ROWS($1:8)&gt;COUNT(Dong13),"",OFFSET(TH!H$1,SMALL(Dong13,ROWS($1:8)),))</f>
        <v>BADA N HAECHO FISHERY CORP</v>
      </c>
      <c r="C21" s="720" t="str">
        <f t="shared" ca="1" si="2"/>
        <v/>
      </c>
      <c r="D21" s="720" t="str">
        <f ca="1">IF(ROWS($1:8)&gt;COUNT(Dong13),"",OFFSET(TH!D$1,SMALL(Dong13,ROWS($1:8)),))</f>
        <v>NL/N08</v>
      </c>
      <c r="E21" s="1139" t="str">
        <f t="shared" ca="1" si="0"/>
        <v/>
      </c>
      <c r="F21" s="721" t="str">
        <f t="shared" ca="1" si="1"/>
        <v/>
      </c>
      <c r="G21" s="722" t="str">
        <f ca="1">IF(ROWS($1:8)&gt;COUNT(Dong13),"",OFFSET(TH!F$1,SMALL(Dong13,ROWS($1:8)),))</f>
        <v>Lá rong biển muối</v>
      </c>
      <c r="H21" s="723">
        <f ca="1">IF(ROWS($1:8)&gt;COUNT(Dong13),"",OFFSET(TH!I$1,SMALL(Dong13,ROWS($1:8)),))</f>
        <v>16100</v>
      </c>
      <c r="I21" s="723">
        <f ca="1">IF(ROWS($1:8)&gt;COUNT(Dong13),"",OFFSET(TH!J$1,SMALL(Dong13,ROWS($1:8)),))</f>
        <v>11165</v>
      </c>
      <c r="J21" s="724">
        <f t="shared" ca="1" si="3"/>
        <v>179756500</v>
      </c>
      <c r="K21" s="726"/>
      <c r="L21" s="725"/>
      <c r="M21" s="704"/>
      <c r="N21" s="704"/>
    </row>
    <row r="22" spans="1:14" ht="27" customHeight="1">
      <c r="A22" s="225">
        <f ca="1">IF(ROWS($1:9)&gt;COUNT(Dong13),"",OFFSET(TH!E$1,SMALL(Dong13,ROWS($1:9)),))</f>
        <v>42426</v>
      </c>
      <c r="B22" s="228" t="str">
        <f ca="1">IF(ROWS($1:9)&gt;COUNT(Dong13),"",OFFSET(TH!H$1,SMALL(Dong13,ROWS($1:9)),))</f>
        <v>BADA N HAECHO FISHERY CORP</v>
      </c>
      <c r="C22" s="720" t="str">
        <f t="shared" ca="1" si="2"/>
        <v/>
      </c>
      <c r="D22" s="720" t="str">
        <f ca="1">IF(ROWS($1:9)&gt;COUNT(Dong13),"",OFFSET(TH!D$1,SMALL(Dong13,ROWS($1:9)),))</f>
        <v>NL/N08</v>
      </c>
      <c r="E22" s="1139" t="str">
        <f t="shared" ca="1" si="0"/>
        <v/>
      </c>
      <c r="F22" s="721" t="str">
        <f t="shared" ca="1" si="1"/>
        <v/>
      </c>
      <c r="G22" s="722" t="str">
        <f ca="1">IF(ROWS($1:9)&gt;COUNT(Dong13),"",OFFSET(TH!F$1,SMALL(Dong13,ROWS($1:9)),))</f>
        <v>Cọng rong biển muối</v>
      </c>
      <c r="H22" s="723">
        <f ca="1">IF(ROWS($1:9)&gt;COUNT(Dong13),"",OFFSET(TH!I$1,SMALL(Dong13,ROWS($1:9)),))</f>
        <v>7700</v>
      </c>
      <c r="I22" s="723">
        <f ca="1">IF(ROWS($1:9)&gt;COUNT(Dong13),"",OFFSET(TH!J$1,SMALL(Dong13,ROWS($1:9)),))</f>
        <v>11165</v>
      </c>
      <c r="J22" s="724">
        <f t="shared" ca="1" si="3"/>
        <v>85970500</v>
      </c>
      <c r="K22" s="726"/>
      <c r="L22" s="725"/>
      <c r="M22" s="704"/>
      <c r="N22" s="704"/>
    </row>
    <row r="23" spans="1:14" ht="27" customHeight="1">
      <c r="A23" s="225" t="str">
        <f ca="1">IF(ROWS($1:10)&gt;COUNT(Dong13),"",OFFSET(TH!E$1,SMALL(Dong13,ROWS($1:10)),))</f>
        <v/>
      </c>
      <c r="B23" s="228" t="str">
        <f ca="1">IF(ROWS($1:10)&gt;COUNT(Dong13),"",OFFSET(TH!H$1,SMALL(Dong13,ROWS($1:10)),))</f>
        <v/>
      </c>
      <c r="C23" s="720" t="str">
        <f t="shared" ca="1" si="2"/>
        <v/>
      </c>
      <c r="D23" s="720" t="str">
        <f ca="1">IF(ROWS($1:10)&gt;COUNT(Dong13),"",OFFSET(TH!D$1,SMALL(Dong13,ROWS($1:10)),))</f>
        <v/>
      </c>
      <c r="E23" s="1139" t="str">
        <f t="shared" ca="1" si="0"/>
        <v/>
      </c>
      <c r="F23" s="721" t="str">
        <f t="shared" ca="1" si="1"/>
        <v/>
      </c>
      <c r="G23" s="722" t="str">
        <f ca="1">IF(ROWS($1:10)&gt;COUNT(Dong13),"",OFFSET(TH!F$1,SMALL(Dong13,ROWS($1:10)),))</f>
        <v/>
      </c>
      <c r="H23" s="723" t="str">
        <f ca="1">IF(ROWS($1:10)&gt;COUNT(Dong13),"",OFFSET(TH!I$1,SMALL(Dong13,ROWS($1:10)),))</f>
        <v/>
      </c>
      <c r="I23" s="723" t="str">
        <f ca="1">IF(ROWS($1:10)&gt;COUNT(Dong13),"",OFFSET(TH!J$1,SMALL(Dong13,ROWS($1:10)),))</f>
        <v/>
      </c>
      <c r="J23" s="724">
        <f t="shared" ca="1" si="3"/>
        <v>0</v>
      </c>
      <c r="K23" s="726"/>
      <c r="L23" s="725"/>
      <c r="M23" s="704"/>
      <c r="N23" s="704"/>
    </row>
    <row r="24" spans="1:14" ht="27" customHeight="1">
      <c r="A24" s="225" t="str">
        <f ca="1">IF(ROWS($1:11)&gt;COUNT(Dong13),"",OFFSET(TH!E$1,SMALL(Dong13,ROWS($1:11)),))</f>
        <v/>
      </c>
      <c r="B24" s="228" t="str">
        <f ca="1">IF(ROWS($1:11)&gt;COUNT(Dong13),"",OFFSET(TH!H$1,SMALL(Dong13,ROWS($1:11)),))</f>
        <v/>
      </c>
      <c r="C24" s="720" t="str">
        <f t="shared" ca="1" si="2"/>
        <v/>
      </c>
      <c r="D24" s="720" t="str">
        <f ca="1">IF(ROWS($1:11)&gt;COUNT(Dong13),"",OFFSET(TH!D$1,SMALL(Dong13,ROWS($1:11)),))</f>
        <v/>
      </c>
      <c r="E24" s="1139" t="str">
        <f t="shared" ca="1" si="0"/>
        <v/>
      </c>
      <c r="F24" s="721" t="str">
        <f t="shared" ca="1" si="1"/>
        <v/>
      </c>
      <c r="G24" s="722" t="str">
        <f ca="1">IF(ROWS($1:11)&gt;COUNT(Dong13),"",OFFSET(TH!F$1,SMALL(Dong13,ROWS($1:11)),))</f>
        <v/>
      </c>
      <c r="H24" s="723" t="str">
        <f ca="1">IF(ROWS($1:11)&gt;COUNT(Dong13),"",OFFSET(TH!I$1,SMALL(Dong13,ROWS($1:11)),))</f>
        <v/>
      </c>
      <c r="I24" s="723" t="str">
        <f ca="1">IF(ROWS($1:11)&gt;COUNT(Dong13),"",OFFSET(TH!J$1,SMALL(Dong13,ROWS($1:11)),))</f>
        <v/>
      </c>
      <c r="J24" s="724">
        <f t="shared" ca="1" si="3"/>
        <v>0</v>
      </c>
      <c r="K24" s="726"/>
      <c r="L24" s="725"/>
      <c r="M24" s="704"/>
      <c r="N24" s="704"/>
    </row>
    <row r="25" spans="1:14" ht="27" customHeight="1">
      <c r="A25" s="225" t="str">
        <f ca="1">IF(ROWS($1:12)&gt;COUNT(Dong13),"",OFFSET(TH!E$1,SMALL(Dong13,ROWS($1:12)),))</f>
        <v/>
      </c>
      <c r="B25" s="228" t="str">
        <f ca="1">IF(ROWS($1:12)&gt;COUNT(Dong13),"",OFFSET(TH!H$1,SMALL(Dong13,ROWS($1:12)),))</f>
        <v/>
      </c>
      <c r="C25" s="720" t="str">
        <f t="shared" ca="1" si="2"/>
        <v/>
      </c>
      <c r="D25" s="720" t="str">
        <f ca="1">IF(ROWS($1:12)&gt;COUNT(Dong13),"",OFFSET(TH!D$1,SMALL(Dong13,ROWS($1:12)),))</f>
        <v/>
      </c>
      <c r="E25" s="1139" t="str">
        <f t="shared" ca="1" si="0"/>
        <v/>
      </c>
      <c r="F25" s="721" t="str">
        <f t="shared" ca="1" si="1"/>
        <v/>
      </c>
      <c r="G25" s="722" t="str">
        <f ca="1">IF(ROWS($1:12)&gt;COUNT(Dong13),"",OFFSET(TH!F$1,SMALL(Dong13,ROWS($1:12)),))</f>
        <v/>
      </c>
      <c r="H25" s="723" t="str">
        <f ca="1">IF(ROWS($1:12)&gt;COUNT(Dong13),"",OFFSET(TH!I$1,SMALL(Dong13,ROWS($1:12)),))</f>
        <v/>
      </c>
      <c r="I25" s="723" t="str">
        <f ca="1">IF(ROWS($1:12)&gt;COUNT(Dong13),"",OFFSET(TH!J$1,SMALL(Dong13,ROWS($1:12)),))</f>
        <v/>
      </c>
      <c r="J25" s="724">
        <f t="shared" ca="1" si="3"/>
        <v>0</v>
      </c>
      <c r="K25" s="726"/>
      <c r="L25" s="725"/>
      <c r="M25" s="704"/>
      <c r="N25" s="704"/>
    </row>
    <row r="26" spans="1:14" ht="27" customHeight="1">
      <c r="A26" s="225" t="str">
        <f ca="1">IF(ROWS($1:13)&gt;COUNT(Dong13),"",OFFSET(TH!E$1,SMALL(Dong13,ROWS($1:13)),))</f>
        <v/>
      </c>
      <c r="B26" s="228" t="str">
        <f ca="1">IF(ROWS($1:13)&gt;COUNT(Dong13),"",OFFSET(TH!H$1,SMALL(Dong13,ROWS($1:13)),))</f>
        <v/>
      </c>
      <c r="C26" s="720" t="str">
        <f t="shared" ca="1" si="2"/>
        <v/>
      </c>
      <c r="D26" s="720" t="str">
        <f ca="1">IF(ROWS($1:13)&gt;COUNT(Dong13),"",OFFSET(TH!D$1,SMALL(Dong13,ROWS($1:13)),))</f>
        <v/>
      </c>
      <c r="E26" s="1139" t="str">
        <f t="shared" ca="1" si="0"/>
        <v/>
      </c>
      <c r="F26" s="721" t="str">
        <f t="shared" ca="1" si="1"/>
        <v/>
      </c>
      <c r="G26" s="722" t="str">
        <f ca="1">IF(ROWS($1:13)&gt;COUNT(Dong13),"",OFFSET(TH!F$1,SMALL(Dong13,ROWS($1:13)),))</f>
        <v/>
      </c>
      <c r="H26" s="723" t="str">
        <f ca="1">IF(ROWS($1:13)&gt;COUNT(Dong13),"",OFFSET(TH!I$1,SMALL(Dong13,ROWS($1:13)),))</f>
        <v/>
      </c>
      <c r="I26" s="723" t="str">
        <f ca="1">IF(ROWS($1:13)&gt;COUNT(Dong13),"",OFFSET(TH!J$1,SMALL(Dong13,ROWS($1:13)),))</f>
        <v/>
      </c>
      <c r="J26" s="724">
        <f t="shared" ca="1" si="3"/>
        <v>0</v>
      </c>
      <c r="K26" s="726"/>
      <c r="L26" s="725"/>
      <c r="M26" s="704"/>
      <c r="N26" s="704"/>
    </row>
    <row r="27" spans="1:14" ht="27" customHeight="1">
      <c r="A27" s="225" t="str">
        <f ca="1">IF(ROWS($1:14)&gt;COUNT(Dong13),"",OFFSET(TH!E$1,SMALL(Dong13,ROWS($1:14)),))</f>
        <v/>
      </c>
      <c r="B27" s="228" t="str">
        <f ca="1">IF(ROWS($1:14)&gt;COUNT(Dong13),"",OFFSET(TH!H$1,SMALL(Dong13,ROWS($1:14)),))</f>
        <v/>
      </c>
      <c r="C27" s="720" t="str">
        <f t="shared" ca="1" si="2"/>
        <v/>
      </c>
      <c r="D27" s="720" t="str">
        <f ca="1">IF(ROWS($1:14)&gt;COUNT(Dong13),"",OFFSET(TH!D$1,SMALL(Dong13,ROWS($1:14)),))</f>
        <v/>
      </c>
      <c r="E27" s="1139" t="str">
        <f t="shared" ca="1" si="0"/>
        <v/>
      </c>
      <c r="F27" s="721" t="str">
        <f t="shared" ca="1" si="1"/>
        <v/>
      </c>
      <c r="G27" s="722" t="str">
        <f ca="1">IF(ROWS($1:14)&gt;COUNT(Dong13),"",OFFSET(TH!F$1,SMALL(Dong13,ROWS($1:14)),))</f>
        <v/>
      </c>
      <c r="H27" s="723" t="str">
        <f ca="1">IF(ROWS($1:14)&gt;COUNT(Dong13),"",OFFSET(TH!I$1,SMALL(Dong13,ROWS($1:14)),))</f>
        <v/>
      </c>
      <c r="I27" s="723" t="str">
        <f ca="1">IF(ROWS($1:14)&gt;COUNT(Dong13),"",OFFSET(TH!J$1,SMALL(Dong13,ROWS($1:14)),))</f>
        <v/>
      </c>
      <c r="J27" s="724">
        <f t="shared" ca="1" si="3"/>
        <v>0</v>
      </c>
      <c r="K27" s="726"/>
      <c r="L27" s="725"/>
      <c r="M27" s="704"/>
      <c r="N27" s="704"/>
    </row>
    <row r="28" spans="1:14" ht="27" customHeight="1">
      <c r="A28" s="225" t="str">
        <f ca="1">IF(ROWS($1:15)&gt;COUNT(Dong13),"",OFFSET(TH!E$1,SMALL(Dong13,ROWS($1:15)),))</f>
        <v/>
      </c>
      <c r="B28" s="228" t="str">
        <f ca="1">IF(ROWS($1:15)&gt;COUNT(Dong13),"",OFFSET(TH!H$1,SMALL(Dong13,ROWS($1:15)),))</f>
        <v/>
      </c>
      <c r="C28" s="720" t="str">
        <f t="shared" ca="1" si="2"/>
        <v/>
      </c>
      <c r="D28" s="720" t="str">
        <f ca="1">IF(ROWS($1:15)&gt;COUNT(Dong13),"",OFFSET(TH!D$1,SMALL(Dong13,ROWS($1:15)),))</f>
        <v/>
      </c>
      <c r="E28" s="1139" t="str">
        <f t="shared" ca="1" si="0"/>
        <v/>
      </c>
      <c r="F28" s="721" t="str">
        <f t="shared" ca="1" si="1"/>
        <v/>
      </c>
      <c r="G28" s="722" t="str">
        <f ca="1">IF(ROWS($1:15)&gt;COUNT(Dong13),"",OFFSET(TH!F$1,SMALL(Dong13,ROWS($1:15)),))</f>
        <v/>
      </c>
      <c r="H28" s="723" t="str">
        <f ca="1">IF(ROWS($1:15)&gt;COUNT(Dong13),"",OFFSET(TH!I$1,SMALL(Dong13,ROWS($1:15)),))</f>
        <v/>
      </c>
      <c r="I28" s="723" t="str">
        <f ca="1">IF(ROWS($1:15)&gt;COUNT(Dong13),"",OFFSET(TH!J$1,SMALL(Dong13,ROWS($1:15)),))</f>
        <v/>
      </c>
      <c r="J28" s="724">
        <f t="shared" ca="1" si="3"/>
        <v>0</v>
      </c>
      <c r="K28" s="726"/>
      <c r="L28" s="725"/>
      <c r="M28" s="704"/>
      <c r="N28" s="704"/>
    </row>
    <row r="29" spans="1:14" ht="27" customHeight="1">
      <c r="A29" s="225" t="str">
        <f ca="1">IF(ROWS($1:16)&gt;COUNT(Dong13),"",OFFSET(TH!E$1,SMALL(Dong13,ROWS($1:16)),))</f>
        <v/>
      </c>
      <c r="B29" s="228" t="str">
        <f ca="1">IF(ROWS($1:16)&gt;COUNT(Dong13),"",OFFSET(TH!H$1,SMALL(Dong13,ROWS($1:16)),))</f>
        <v/>
      </c>
      <c r="C29" s="720" t="str">
        <f t="shared" ca="1" si="2"/>
        <v/>
      </c>
      <c r="D29" s="720" t="str">
        <f ca="1">IF(ROWS($1:16)&gt;COUNT(Dong13),"",OFFSET(TH!D$1,SMALL(Dong13,ROWS($1:16)),))</f>
        <v/>
      </c>
      <c r="E29" s="1139" t="str">
        <f t="shared" ca="1" si="0"/>
        <v/>
      </c>
      <c r="F29" s="721" t="str">
        <f t="shared" ca="1" si="1"/>
        <v/>
      </c>
      <c r="G29" s="722" t="str">
        <f ca="1">IF(ROWS($1:16)&gt;COUNT(Dong13),"",OFFSET(TH!F$1,SMALL(Dong13,ROWS($1:16)),))</f>
        <v/>
      </c>
      <c r="H29" s="723" t="str">
        <f ca="1">IF(ROWS($1:16)&gt;COUNT(Dong13),"",OFFSET(TH!I$1,SMALL(Dong13,ROWS($1:16)),))</f>
        <v/>
      </c>
      <c r="I29" s="723" t="str">
        <f ca="1">IF(ROWS($1:16)&gt;COUNT(Dong13),"",OFFSET(TH!J$1,SMALL(Dong13,ROWS($1:16)),))</f>
        <v/>
      </c>
      <c r="J29" s="724">
        <f t="shared" ca="1" si="3"/>
        <v>0</v>
      </c>
      <c r="K29" s="726"/>
      <c r="L29" s="725"/>
      <c r="M29" s="704"/>
      <c r="N29" s="704"/>
    </row>
    <row r="30" spans="1:14" ht="27" customHeight="1">
      <c r="A30" s="225" t="str">
        <f ca="1">IF(ROWS($1:17)&gt;COUNT(Dong13),"",OFFSET(TH!E$1,SMALL(Dong13,ROWS($1:17)),))</f>
        <v/>
      </c>
      <c r="B30" s="228" t="str">
        <f ca="1">IF(ROWS($1:17)&gt;COUNT(Dong13),"",OFFSET(TH!H$1,SMALL(Dong13,ROWS($1:17)),))</f>
        <v/>
      </c>
      <c r="C30" s="720" t="str">
        <f t="shared" ca="1" si="2"/>
        <v/>
      </c>
      <c r="D30" s="720" t="str">
        <f ca="1">IF(ROWS($1:17)&gt;COUNT(Dong13),"",OFFSET(TH!D$1,SMALL(Dong13,ROWS($1:17)),))</f>
        <v/>
      </c>
      <c r="E30" s="1139" t="str">
        <f t="shared" ca="1" si="0"/>
        <v/>
      </c>
      <c r="F30" s="721" t="str">
        <f t="shared" ca="1" si="1"/>
        <v/>
      </c>
      <c r="G30" s="722" t="str">
        <f ca="1">IF(ROWS($1:17)&gt;COUNT(Dong13),"",OFFSET(TH!F$1,SMALL(Dong13,ROWS($1:17)),))</f>
        <v/>
      </c>
      <c r="H30" s="723" t="str">
        <f ca="1">IF(ROWS($1:17)&gt;COUNT(Dong13),"",OFFSET(TH!I$1,SMALL(Dong13,ROWS($1:17)),))</f>
        <v/>
      </c>
      <c r="I30" s="723" t="str">
        <f ca="1">IF(ROWS($1:17)&gt;COUNT(Dong13),"",OFFSET(TH!J$1,SMALL(Dong13,ROWS($1:17)),))</f>
        <v/>
      </c>
      <c r="J30" s="724">
        <f t="shared" ca="1" si="3"/>
        <v>0</v>
      </c>
      <c r="K30" s="726"/>
      <c r="L30" s="725"/>
      <c r="M30" s="704"/>
      <c r="N30" s="704"/>
    </row>
    <row r="31" spans="1:14" ht="27" customHeight="1">
      <c r="A31" s="225" t="str">
        <f ca="1">IF(ROWS($1:18)&gt;COUNT(Dong13),"",OFFSET(TH!E$1,SMALL(Dong13,ROWS($1:18)),))</f>
        <v/>
      </c>
      <c r="B31" s="228" t="str">
        <f ca="1">IF(ROWS($1:18)&gt;COUNT(Dong13),"",OFFSET(TH!H$1,SMALL(Dong13,ROWS($1:18)),))</f>
        <v/>
      </c>
      <c r="C31" s="720" t="str">
        <f t="shared" ca="1" si="2"/>
        <v/>
      </c>
      <c r="D31" s="720" t="str">
        <f ca="1">IF(ROWS($1:18)&gt;COUNT(Dong13),"",OFFSET(TH!D$1,SMALL(Dong13,ROWS($1:18)),))</f>
        <v/>
      </c>
      <c r="E31" s="1139" t="str">
        <f t="shared" ca="1" si="0"/>
        <v/>
      </c>
      <c r="F31" s="721" t="str">
        <f t="shared" ca="1" si="1"/>
        <v/>
      </c>
      <c r="G31" s="722" t="str">
        <f ca="1">IF(ROWS($1:18)&gt;COUNT(Dong13),"",OFFSET(TH!F$1,SMALL(Dong13,ROWS($1:18)),))</f>
        <v/>
      </c>
      <c r="H31" s="723" t="str">
        <f ca="1">IF(ROWS($1:18)&gt;COUNT(Dong13),"",OFFSET(TH!I$1,SMALL(Dong13,ROWS($1:18)),))</f>
        <v/>
      </c>
      <c r="I31" s="723" t="str">
        <f ca="1">IF(ROWS($1:18)&gt;COUNT(Dong13),"",OFFSET(TH!J$1,SMALL(Dong13,ROWS($1:18)),))</f>
        <v/>
      </c>
      <c r="J31" s="724">
        <f t="shared" ca="1" si="3"/>
        <v>0</v>
      </c>
      <c r="K31" s="726"/>
      <c r="L31" s="725"/>
      <c r="M31" s="704"/>
      <c r="N31" s="704"/>
    </row>
    <row r="32" spans="1:14" ht="27" customHeight="1">
      <c r="A32" s="225" t="str">
        <f ca="1">IF(ROWS($1:19)&gt;COUNT(Dong13),"",OFFSET(TH!E$1,SMALL(Dong13,ROWS($1:19)),))</f>
        <v/>
      </c>
      <c r="B32" s="228" t="str">
        <f ca="1">IF(ROWS($1:19)&gt;COUNT(Dong13),"",OFFSET(TH!H$1,SMALL(Dong13,ROWS($1:19)),))</f>
        <v/>
      </c>
      <c r="C32" s="720" t="str">
        <f t="shared" ca="1" si="2"/>
        <v/>
      </c>
      <c r="D32" s="720" t="str">
        <f ca="1">IF(ROWS($1:19)&gt;COUNT(Dong13),"",OFFSET(TH!D$1,SMALL(Dong13,ROWS($1:19)),))</f>
        <v/>
      </c>
      <c r="E32" s="1139" t="str">
        <f t="shared" ca="1" si="0"/>
        <v/>
      </c>
      <c r="F32" s="721" t="str">
        <f t="shared" ca="1" si="1"/>
        <v/>
      </c>
      <c r="G32" s="722" t="str">
        <f ca="1">IF(ROWS($1:19)&gt;COUNT(Dong13),"",OFFSET(TH!F$1,SMALL(Dong13,ROWS($1:19)),))</f>
        <v/>
      </c>
      <c r="H32" s="723" t="str">
        <f ca="1">IF(ROWS($1:19)&gt;COUNT(Dong13),"",OFFSET(TH!I$1,SMALL(Dong13,ROWS($1:19)),))</f>
        <v/>
      </c>
      <c r="I32" s="723" t="str">
        <f ca="1">IF(ROWS($1:19)&gt;COUNT(Dong13),"",OFFSET(TH!J$1,SMALL(Dong13,ROWS($1:19)),))</f>
        <v/>
      </c>
      <c r="J32" s="724">
        <f t="shared" ca="1" si="3"/>
        <v>0</v>
      </c>
      <c r="K32" s="726"/>
      <c r="L32" s="725"/>
      <c r="M32" s="704"/>
      <c r="N32" s="704"/>
    </row>
    <row r="33" spans="1:14" ht="27" customHeight="1">
      <c r="A33" s="225" t="str">
        <f ca="1">IF(ROWS($1:20)&gt;COUNT(Dong13),"",OFFSET(TH!E$1,SMALL(Dong13,ROWS($1:20)),))</f>
        <v/>
      </c>
      <c r="B33" s="228" t="str">
        <f ca="1">IF(ROWS($1:20)&gt;COUNT(Dong13),"",OFFSET(TH!H$1,SMALL(Dong13,ROWS($1:20)),))</f>
        <v/>
      </c>
      <c r="C33" s="720" t="str">
        <f t="shared" ca="1" si="2"/>
        <v/>
      </c>
      <c r="D33" s="720" t="str">
        <f ca="1">IF(ROWS($1:20)&gt;COUNT(Dong13),"",OFFSET(TH!D$1,SMALL(Dong13,ROWS($1:20)),))</f>
        <v/>
      </c>
      <c r="E33" s="1139" t="str">
        <f t="shared" ca="1" si="0"/>
        <v/>
      </c>
      <c r="F33" s="721" t="str">
        <f t="shared" ca="1" si="1"/>
        <v/>
      </c>
      <c r="G33" s="722" t="str">
        <f ca="1">IF(ROWS($1:20)&gt;COUNT(Dong13),"",OFFSET(TH!F$1,SMALL(Dong13,ROWS($1:20)),))</f>
        <v/>
      </c>
      <c r="H33" s="723" t="str">
        <f ca="1">IF(ROWS($1:20)&gt;COUNT(Dong13),"",OFFSET(TH!I$1,SMALL(Dong13,ROWS($1:20)),))</f>
        <v/>
      </c>
      <c r="I33" s="723" t="str">
        <f ca="1">IF(ROWS($1:20)&gt;COUNT(Dong13),"",OFFSET(TH!J$1,SMALL(Dong13,ROWS($1:20)),))</f>
        <v/>
      </c>
      <c r="J33" s="724">
        <f t="shared" ca="1" si="3"/>
        <v>0</v>
      </c>
      <c r="K33" s="726"/>
      <c r="L33" s="725"/>
      <c r="M33" s="704"/>
      <c r="N33" s="704"/>
    </row>
    <row r="34" spans="1:14" ht="27" customHeight="1">
      <c r="A34" s="225" t="str">
        <f ca="1">IF(ROWS($1:21)&gt;COUNT(Dong13),"",OFFSET(TH!E$1,SMALL(Dong13,ROWS($1:21)),))</f>
        <v/>
      </c>
      <c r="B34" s="228" t="str">
        <f ca="1">IF(ROWS($1:21)&gt;COUNT(Dong13),"",OFFSET(TH!H$1,SMALL(Dong13,ROWS($1:21)),))</f>
        <v/>
      </c>
      <c r="C34" s="720" t="str">
        <f t="shared" ca="1" si="2"/>
        <v/>
      </c>
      <c r="D34" s="720" t="str">
        <f ca="1">IF(ROWS($1:21)&gt;COUNT(Dong13),"",OFFSET(TH!D$1,SMALL(Dong13,ROWS($1:21)),))</f>
        <v/>
      </c>
      <c r="E34" s="1139" t="str">
        <f t="shared" ca="1" si="0"/>
        <v/>
      </c>
      <c r="F34" s="721" t="str">
        <f t="shared" ca="1" si="1"/>
        <v/>
      </c>
      <c r="G34" s="722" t="str">
        <f ca="1">IF(ROWS($1:21)&gt;COUNT(Dong13),"",OFFSET(TH!F$1,SMALL(Dong13,ROWS($1:21)),))</f>
        <v/>
      </c>
      <c r="H34" s="723" t="str">
        <f ca="1">IF(ROWS($1:21)&gt;COUNT(Dong13),"",OFFSET(TH!I$1,SMALL(Dong13,ROWS($1:21)),))</f>
        <v/>
      </c>
      <c r="I34" s="723" t="str">
        <f ca="1">IF(ROWS($1:21)&gt;COUNT(Dong13),"",OFFSET(TH!J$1,SMALL(Dong13,ROWS($1:21)),))</f>
        <v/>
      </c>
      <c r="J34" s="724">
        <f t="shared" ca="1" si="3"/>
        <v>0</v>
      </c>
      <c r="K34" s="726"/>
      <c r="L34" s="725"/>
      <c r="M34" s="704"/>
      <c r="N34" s="704"/>
    </row>
    <row r="35" spans="1:14" ht="27" customHeight="1">
      <c r="A35" s="225" t="str">
        <f ca="1">IF(ROWS($1:22)&gt;COUNT(Dong13),"",OFFSET(TH!E$1,SMALL(Dong13,ROWS($1:22)),))</f>
        <v/>
      </c>
      <c r="B35" s="228" t="str">
        <f ca="1">IF(ROWS($1:22)&gt;COUNT(Dong13),"",OFFSET(TH!H$1,SMALL(Dong13,ROWS($1:22)),))</f>
        <v/>
      </c>
      <c r="C35" s="720" t="str">
        <f t="shared" ca="1" si="2"/>
        <v/>
      </c>
      <c r="D35" s="720" t="str">
        <f ca="1">IF(ROWS($1:22)&gt;COUNT(Dong13),"",OFFSET(TH!D$1,SMALL(Dong13,ROWS($1:22)),))</f>
        <v/>
      </c>
      <c r="E35" s="1139" t="str">
        <f t="shared" ca="1" si="0"/>
        <v/>
      </c>
      <c r="F35" s="721" t="str">
        <f t="shared" ca="1" si="1"/>
        <v/>
      </c>
      <c r="G35" s="722" t="str">
        <f ca="1">IF(ROWS($1:22)&gt;COUNT(Dong13),"",OFFSET(TH!F$1,SMALL(Dong13,ROWS($1:22)),))</f>
        <v/>
      </c>
      <c r="H35" s="723" t="str">
        <f ca="1">IF(ROWS($1:22)&gt;COUNT(Dong13),"",OFFSET(TH!I$1,SMALL(Dong13,ROWS($1:22)),))</f>
        <v/>
      </c>
      <c r="I35" s="723" t="str">
        <f ca="1">IF(ROWS($1:22)&gt;COUNT(Dong13),"",OFFSET(TH!J$1,SMALL(Dong13,ROWS($1:22)),))</f>
        <v/>
      </c>
      <c r="J35" s="724">
        <f t="shared" ca="1" si="3"/>
        <v>0</v>
      </c>
      <c r="K35" s="726"/>
      <c r="L35" s="725"/>
      <c r="M35" s="704"/>
      <c r="N35" s="704"/>
    </row>
    <row r="36" spans="1:14" ht="27" customHeight="1">
      <c r="A36" s="225" t="str">
        <f ca="1">IF(ROWS($1:23)&gt;COUNT(Dong13),"",OFFSET(TH!E$1,SMALL(Dong13,ROWS($1:23)),))</f>
        <v/>
      </c>
      <c r="B36" s="228" t="str">
        <f ca="1">IF(ROWS($1:23)&gt;COUNT(Dong13),"",OFFSET(TH!H$1,SMALL(Dong13,ROWS($1:23)),))</f>
        <v/>
      </c>
      <c r="C36" s="720" t="str">
        <f t="shared" ca="1" si="2"/>
        <v/>
      </c>
      <c r="D36" s="720" t="str">
        <f ca="1">IF(ROWS($1:23)&gt;COUNT(Dong13),"",OFFSET(TH!D$1,SMALL(Dong13,ROWS($1:23)),))</f>
        <v/>
      </c>
      <c r="E36" s="1139" t="str">
        <f t="shared" ca="1" si="0"/>
        <v/>
      </c>
      <c r="F36" s="721" t="str">
        <f t="shared" ca="1" si="1"/>
        <v/>
      </c>
      <c r="G36" s="722" t="str">
        <f ca="1">IF(ROWS($1:23)&gt;COUNT(Dong13),"",OFFSET(TH!F$1,SMALL(Dong13,ROWS($1:23)),))</f>
        <v/>
      </c>
      <c r="H36" s="723" t="str">
        <f ca="1">IF(ROWS($1:23)&gt;COUNT(Dong13),"",OFFSET(TH!I$1,SMALL(Dong13,ROWS($1:23)),))</f>
        <v/>
      </c>
      <c r="I36" s="723" t="str">
        <f ca="1">IF(ROWS($1:23)&gt;COUNT(Dong13),"",OFFSET(TH!J$1,SMALL(Dong13,ROWS($1:23)),))</f>
        <v/>
      </c>
      <c r="J36" s="724">
        <f t="shared" ca="1" si="3"/>
        <v>0</v>
      </c>
      <c r="K36" s="726"/>
      <c r="L36" s="725"/>
      <c r="M36" s="704"/>
      <c r="N36" s="704"/>
    </row>
    <row r="37" spans="1:14" ht="27" customHeight="1">
      <c r="A37" s="225" t="str">
        <f ca="1">IF(ROWS($1:24)&gt;COUNT(Dong13),"",OFFSET(TH!E$1,SMALL(Dong13,ROWS($1:24)),))</f>
        <v/>
      </c>
      <c r="B37" s="228" t="str">
        <f ca="1">IF(ROWS($1:24)&gt;COUNT(Dong13),"",OFFSET(TH!H$1,SMALL(Dong13,ROWS($1:24)),))</f>
        <v/>
      </c>
      <c r="C37" s="720" t="str">
        <f t="shared" ca="1" si="2"/>
        <v/>
      </c>
      <c r="D37" s="720" t="str">
        <f ca="1">IF(ROWS($1:24)&gt;COUNT(Dong13),"",OFFSET(TH!D$1,SMALL(Dong13,ROWS($1:24)),))</f>
        <v/>
      </c>
      <c r="E37" s="1139" t="str">
        <f t="shared" ca="1" si="0"/>
        <v/>
      </c>
      <c r="F37" s="721" t="str">
        <f t="shared" ca="1" si="1"/>
        <v/>
      </c>
      <c r="G37" s="722" t="str">
        <f ca="1">IF(ROWS($1:24)&gt;COUNT(Dong13),"",OFFSET(TH!F$1,SMALL(Dong13,ROWS($1:24)),))</f>
        <v/>
      </c>
      <c r="H37" s="723" t="str">
        <f ca="1">IF(ROWS($1:24)&gt;COUNT(Dong13),"",OFFSET(TH!I$1,SMALL(Dong13,ROWS($1:24)),))</f>
        <v/>
      </c>
      <c r="I37" s="723" t="str">
        <f ca="1">IF(ROWS($1:24)&gt;COUNT(Dong13),"",OFFSET(TH!J$1,SMALL(Dong13,ROWS($1:24)),))</f>
        <v/>
      </c>
      <c r="J37" s="724">
        <f t="shared" ca="1" si="3"/>
        <v>0</v>
      </c>
      <c r="K37" s="726"/>
      <c r="L37" s="725"/>
      <c r="M37" s="704"/>
      <c r="N37" s="704"/>
    </row>
    <row r="38" spans="1:14" ht="27" customHeight="1">
      <c r="A38" s="225" t="str">
        <f ca="1">IF(ROWS($1:25)&gt;COUNT(Dong13),"",OFFSET(TH!E$1,SMALL(Dong13,ROWS($1:25)),))</f>
        <v/>
      </c>
      <c r="B38" s="228" t="str">
        <f ca="1">IF(ROWS($1:25)&gt;COUNT(Dong13),"",OFFSET(TH!H$1,SMALL(Dong13,ROWS($1:25)),))</f>
        <v/>
      </c>
      <c r="C38" s="720" t="str">
        <f t="shared" ca="1" si="2"/>
        <v/>
      </c>
      <c r="D38" s="720" t="str">
        <f ca="1">IF(ROWS($1:25)&gt;COUNT(Dong13),"",OFFSET(TH!D$1,SMALL(Dong13,ROWS($1:25)),))</f>
        <v/>
      </c>
      <c r="E38" s="1139" t="str">
        <f t="shared" ca="1" si="0"/>
        <v/>
      </c>
      <c r="F38" s="721" t="str">
        <f t="shared" ca="1" si="1"/>
        <v/>
      </c>
      <c r="G38" s="722" t="str">
        <f ca="1">IF(ROWS($1:25)&gt;COUNT(Dong13),"",OFFSET(TH!F$1,SMALL(Dong13,ROWS($1:25)),))</f>
        <v/>
      </c>
      <c r="H38" s="723" t="str">
        <f ca="1">IF(ROWS($1:25)&gt;COUNT(Dong13),"",OFFSET(TH!I$1,SMALL(Dong13,ROWS($1:25)),))</f>
        <v/>
      </c>
      <c r="I38" s="723" t="str">
        <f ca="1">IF(ROWS($1:25)&gt;COUNT(Dong13),"",OFFSET(TH!J$1,SMALL(Dong13,ROWS($1:25)),))</f>
        <v/>
      </c>
      <c r="J38" s="724">
        <f t="shared" ca="1" si="3"/>
        <v>0</v>
      </c>
      <c r="K38" s="726"/>
      <c r="L38" s="725"/>
      <c r="M38" s="704"/>
      <c r="N38" s="704"/>
    </row>
    <row r="39" spans="1:14" ht="27" customHeight="1">
      <c r="A39" s="225" t="str">
        <f ca="1">IF(ROWS($1:26)&gt;COUNT(Dong13),"",OFFSET(TH!E$1,SMALL(Dong13,ROWS($1:26)),))</f>
        <v/>
      </c>
      <c r="B39" s="228" t="str">
        <f ca="1">IF(ROWS($1:26)&gt;COUNT(Dong13),"",OFFSET(TH!H$1,SMALL(Dong13,ROWS($1:26)),))</f>
        <v/>
      </c>
      <c r="C39" s="720" t="str">
        <f t="shared" ca="1" si="2"/>
        <v/>
      </c>
      <c r="D39" s="720" t="str">
        <f ca="1">IF(ROWS($1:26)&gt;COUNT(Dong13),"",OFFSET(TH!D$1,SMALL(Dong13,ROWS($1:26)),))</f>
        <v/>
      </c>
      <c r="E39" s="1139" t="str">
        <f t="shared" ca="1" si="0"/>
        <v/>
      </c>
      <c r="F39" s="721" t="str">
        <f t="shared" ca="1" si="1"/>
        <v/>
      </c>
      <c r="G39" s="722" t="str">
        <f ca="1">IF(ROWS($1:26)&gt;COUNT(Dong13),"",OFFSET(TH!F$1,SMALL(Dong13,ROWS($1:26)),))</f>
        <v/>
      </c>
      <c r="H39" s="723" t="str">
        <f ca="1">IF(ROWS($1:26)&gt;COUNT(Dong13),"",OFFSET(TH!I$1,SMALL(Dong13,ROWS($1:26)),))</f>
        <v/>
      </c>
      <c r="I39" s="723" t="str">
        <f ca="1">IF(ROWS($1:26)&gt;COUNT(Dong13),"",OFFSET(TH!J$1,SMALL(Dong13,ROWS($1:26)),))</f>
        <v/>
      </c>
      <c r="J39" s="724">
        <f t="shared" ca="1" si="3"/>
        <v>0</v>
      </c>
      <c r="K39" s="726"/>
      <c r="L39" s="725"/>
      <c r="M39" s="704"/>
      <c r="N39" s="704"/>
    </row>
    <row r="40" spans="1:14" ht="27" customHeight="1">
      <c r="A40" s="225" t="str">
        <f ca="1">IF(ROWS($1:27)&gt;COUNT(Dong13),"",OFFSET(TH!E$1,SMALL(Dong13,ROWS($1:27)),))</f>
        <v/>
      </c>
      <c r="B40" s="228" t="str">
        <f ca="1">IF(ROWS($1:27)&gt;COUNT(Dong13),"",OFFSET(TH!H$1,SMALL(Dong13,ROWS($1:27)),))</f>
        <v/>
      </c>
      <c r="C40" s="720" t="str">
        <f t="shared" ca="1" si="2"/>
        <v/>
      </c>
      <c r="D40" s="720" t="str">
        <f ca="1">IF(ROWS($1:27)&gt;COUNT(Dong13),"",OFFSET(TH!D$1,SMALL(Dong13,ROWS($1:27)),))</f>
        <v/>
      </c>
      <c r="E40" s="1139" t="str">
        <f t="shared" ca="1" si="0"/>
        <v/>
      </c>
      <c r="F40" s="721" t="str">
        <f t="shared" ca="1" si="1"/>
        <v/>
      </c>
      <c r="G40" s="722" t="str">
        <f ca="1">IF(ROWS($1:27)&gt;COUNT(Dong13),"",OFFSET(TH!F$1,SMALL(Dong13,ROWS($1:27)),))</f>
        <v/>
      </c>
      <c r="H40" s="723" t="str">
        <f ca="1">IF(ROWS($1:27)&gt;COUNT(Dong13),"",OFFSET(TH!I$1,SMALL(Dong13,ROWS($1:27)),))</f>
        <v/>
      </c>
      <c r="I40" s="723" t="str">
        <f ca="1">IF(ROWS($1:27)&gt;COUNT(Dong13),"",OFFSET(TH!J$1,SMALL(Dong13,ROWS($1:27)),))</f>
        <v/>
      </c>
      <c r="J40" s="724">
        <f t="shared" ca="1" si="3"/>
        <v>0</v>
      </c>
      <c r="K40" s="726"/>
      <c r="L40" s="725"/>
      <c r="M40" s="704"/>
      <c r="N40" s="704"/>
    </row>
    <row r="41" spans="1:14" ht="28.5" customHeight="1">
      <c r="A41" s="705" t="s">
        <v>524</v>
      </c>
      <c r="B41" s="703"/>
      <c r="C41" s="703"/>
      <c r="D41" s="703"/>
      <c r="E41" s="1140">
        <f ca="1">SUM(J14:J40)</f>
        <v>919127000</v>
      </c>
      <c r="F41" s="727"/>
      <c r="G41" s="703"/>
      <c r="H41" s="707"/>
      <c r="I41" s="707"/>
      <c r="J41" s="728"/>
      <c r="K41" s="703"/>
      <c r="L41" s="703"/>
      <c r="M41" s="704"/>
      <c r="N41" s="729">
        <f ca="1">SUBTOTAL(9,J14:J40)</f>
        <v>919127000</v>
      </c>
    </row>
    <row r="42" spans="1:14" ht="15.75">
      <c r="A42" s="705"/>
      <c r="B42" s="703"/>
      <c r="C42" s="703"/>
      <c r="D42" s="703"/>
      <c r="E42" s="1141"/>
      <c r="F42" s="707"/>
      <c r="G42" s="703"/>
      <c r="H42" s="707"/>
      <c r="I42" s="707"/>
      <c r="J42" s="731" t="str">
        <f xml:space="preserve"> IF(OR($M$11=1,$M$11=4,$M$11=6,$M$11=9,$M$11=11),"Ngày  30  tháng  "&amp;$M$11&amp;"  năm 2016",IF(OR($M$11=3,$M$11=5,$M$11=7,$M$11=8,$M$11=10,$M$11=12),"Ngày  31  tháng  "&amp;$M$11&amp;"  năm 2016","Ngày  29  tháng  "&amp;$M$11&amp;"  năm 2016"))</f>
        <v>Ngày  29  tháng  2  năm 2016</v>
      </c>
      <c r="K42" s="732"/>
      <c r="L42" s="703"/>
      <c r="M42" s="704"/>
      <c r="N42" s="704"/>
    </row>
    <row r="43" spans="1:14" ht="15.75">
      <c r="A43" s="705"/>
      <c r="B43" s="733" t="s">
        <v>525</v>
      </c>
      <c r="C43" s="733"/>
      <c r="D43" s="733"/>
      <c r="E43" s="1137"/>
      <c r="F43" s="703"/>
      <c r="G43" s="703"/>
      <c r="H43" s="707"/>
      <c r="I43" s="707"/>
      <c r="J43" s="734" t="s">
        <v>526</v>
      </c>
      <c r="K43" s="703"/>
      <c r="L43" s="703"/>
      <c r="M43" s="704"/>
      <c r="N43" s="704"/>
    </row>
    <row r="44" spans="1:14" ht="15.75">
      <c r="A44" s="705"/>
      <c r="B44" s="735" t="s">
        <v>527</v>
      </c>
      <c r="C44" s="735"/>
      <c r="D44" s="735"/>
      <c r="E44" s="1137"/>
      <c r="F44" s="736"/>
      <c r="G44" s="703"/>
      <c r="H44" s="707"/>
      <c r="I44" s="707"/>
      <c r="J44" s="737" t="s">
        <v>528</v>
      </c>
      <c r="K44" s="703"/>
      <c r="L44" s="703"/>
      <c r="M44" s="704"/>
      <c r="N44" s="704"/>
    </row>
    <row r="45" spans="1:14" ht="15.75">
      <c r="A45" s="705"/>
      <c r="B45" s="735"/>
      <c r="C45" s="735"/>
      <c r="D45" s="735"/>
      <c r="E45" s="1137"/>
      <c r="F45" s="736"/>
      <c r="G45" s="703"/>
      <c r="H45" s="707"/>
      <c r="I45" s="737"/>
      <c r="J45" s="703"/>
      <c r="K45" s="703"/>
      <c r="L45" s="703"/>
      <c r="M45" s="704"/>
      <c r="N45" s="704"/>
    </row>
    <row r="46" spans="1:14" ht="15.75">
      <c r="A46" s="705"/>
      <c r="B46" s="735"/>
      <c r="C46" s="735"/>
      <c r="D46" s="735"/>
      <c r="E46" s="1137"/>
      <c r="F46" s="736"/>
      <c r="G46" s="703"/>
      <c r="H46" s="707"/>
      <c r="I46" s="737"/>
      <c r="J46" s="703"/>
      <c r="K46" s="703"/>
      <c r="L46" s="703"/>
      <c r="M46" s="704"/>
      <c r="N46" s="704"/>
    </row>
    <row r="47" spans="1:14" ht="15.75">
      <c r="A47" s="705"/>
      <c r="B47" s="730"/>
      <c r="C47" s="703"/>
      <c r="D47" s="703"/>
      <c r="E47" s="1137"/>
      <c r="F47" s="730"/>
      <c r="G47" s="703"/>
      <c r="H47" s="707"/>
      <c r="I47" s="707"/>
      <c r="J47" s="504"/>
      <c r="K47" s="703"/>
      <c r="L47" s="703"/>
      <c r="M47" s="704"/>
      <c r="N47" s="704"/>
    </row>
    <row r="48" spans="1:14" ht="15.75">
      <c r="A48" s="705"/>
      <c r="B48" s="738"/>
      <c r="C48" s="738"/>
      <c r="D48" s="738"/>
      <c r="E48" s="1142"/>
      <c r="F48" s="703"/>
      <c r="G48" s="703"/>
      <c r="H48" s="1408"/>
      <c r="I48" s="1408"/>
      <c r="J48" s="1408"/>
      <c r="K48" s="703"/>
      <c r="L48" s="703"/>
      <c r="M48" s="704"/>
      <c r="N48" s="704"/>
    </row>
    <row r="49" spans="1:14" ht="15.75">
      <c r="A49" s="705"/>
      <c r="B49" s="1125" t="s">
        <v>229</v>
      </c>
      <c r="C49" s="1133"/>
      <c r="D49" s="703"/>
      <c r="E49" s="1137"/>
      <c r="F49" s="703"/>
      <c r="G49" s="703"/>
      <c r="H49" s="707"/>
      <c r="I49" s="707"/>
      <c r="J49" s="1126" t="s">
        <v>125</v>
      </c>
      <c r="K49" s="1126"/>
      <c r="L49" s="1126"/>
      <c r="M49" s="1126"/>
      <c r="N49" s="704"/>
    </row>
    <row r="50" spans="1:14" ht="15.75">
      <c r="A50" s="739" t="s">
        <v>529</v>
      </c>
      <c r="B50" s="703"/>
      <c r="C50" s="703"/>
      <c r="D50" s="703"/>
      <c r="E50" s="1137"/>
      <c r="F50" s="703"/>
      <c r="G50" s="703"/>
      <c r="H50" s="707"/>
      <c r="I50" s="707"/>
      <c r="J50" s="703"/>
      <c r="K50" s="703"/>
      <c r="L50" s="703"/>
      <c r="M50" s="704"/>
      <c r="N50" s="704"/>
    </row>
    <row r="51" spans="1:14" ht="37.5" customHeight="1">
      <c r="A51" s="1409" t="s">
        <v>530</v>
      </c>
      <c r="B51" s="1410"/>
      <c r="C51" s="1410"/>
      <c r="D51" s="1410"/>
      <c r="E51" s="1410"/>
      <c r="F51" s="1410"/>
      <c r="G51" s="1410"/>
      <c r="H51" s="1410"/>
      <c r="I51" s="1410"/>
      <c r="J51" s="1410"/>
      <c r="K51" s="1410"/>
      <c r="L51" s="703"/>
      <c r="M51" s="704"/>
      <c r="N51" s="704"/>
    </row>
    <row r="52" spans="1:14" ht="45" customHeight="1">
      <c r="A52" s="1409" t="s">
        <v>531</v>
      </c>
      <c r="B52" s="1409"/>
      <c r="C52" s="1409"/>
      <c r="D52" s="1409"/>
      <c r="E52" s="1409"/>
      <c r="F52" s="1409"/>
      <c r="G52" s="1409"/>
      <c r="H52" s="1409"/>
      <c r="I52" s="1409"/>
      <c r="J52" s="1409"/>
      <c r="K52" s="1409"/>
      <c r="L52" s="703"/>
      <c r="M52" s="704"/>
      <c r="N52" s="704"/>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horizontalDpi="0" verticalDpi="0" r:id="rId1"/>
  <headerFooter>
    <oddFooter>&amp;R&amp;"Times New Roman,Regular"&amp;11&amp;P/&amp;N</oddFooter>
  </headerFooter>
</worksheet>
</file>

<file path=xl/worksheets/sheet23.xml><?xml version="1.0" encoding="utf-8"?>
<worksheet xmlns="http://schemas.openxmlformats.org/spreadsheetml/2006/main" xmlns:r="http://schemas.openxmlformats.org/officeDocument/2006/relationships">
  <sheetPr>
    <tabColor indexed="50"/>
  </sheetPr>
  <dimension ref="A1:Y303"/>
  <sheetViews>
    <sheetView workbookViewId="0">
      <pane xSplit="3" ySplit="1" topLeftCell="G150" activePane="bottomRight" state="frozen"/>
      <selection activeCell="C33" sqref="C33"/>
      <selection pane="topRight" activeCell="C33" sqref="C33"/>
      <selection pane="bottomLeft" activeCell="C33" sqref="C33"/>
      <selection pane="bottomRight" activeCell="P169" sqref="P169:P174"/>
    </sheetView>
  </sheetViews>
  <sheetFormatPr defaultColWidth="10.28515625" defaultRowHeight="12.75"/>
  <cols>
    <col min="1" max="1" width="4.7109375" style="740" customWidth="1"/>
    <col min="2" max="2" width="27.7109375" style="740" customWidth="1"/>
    <col min="3" max="3" width="6.7109375" style="740" customWidth="1"/>
    <col min="4" max="5" width="8.85546875" style="740" customWidth="1"/>
    <col min="6" max="6" width="9.140625" style="740" customWidth="1"/>
    <col min="7" max="7" width="14.28515625" style="740" customWidth="1"/>
    <col min="8" max="11" width="13.7109375" style="740" customWidth="1"/>
    <col min="12" max="12" width="11.85546875" style="740" customWidth="1"/>
    <col min="13" max="13" width="13.7109375" style="740" customWidth="1"/>
    <col min="14" max="14" width="19.140625" style="740" bestFit="1" customWidth="1"/>
    <col min="15" max="15" width="8.5703125" style="740" customWidth="1"/>
    <col min="16" max="16" width="7.7109375" style="740" customWidth="1"/>
    <col min="17" max="17" width="3.42578125" style="741" customWidth="1"/>
    <col min="18" max="18" width="23" style="740" customWidth="1"/>
    <col min="19" max="19" width="10.140625" style="742" customWidth="1"/>
    <col min="20" max="21" width="7.5703125" style="743" customWidth="1"/>
    <col min="22" max="22" width="12.140625" style="740" customWidth="1"/>
    <col min="23" max="23" width="7.7109375" style="740" customWidth="1"/>
    <col min="24" max="16384" width="10.28515625" style="740"/>
  </cols>
  <sheetData>
    <row r="1" spans="1:25">
      <c r="B1" s="740">
        <v>1</v>
      </c>
      <c r="C1" s="740">
        <v>2</v>
      </c>
      <c r="D1" s="740">
        <v>3</v>
      </c>
      <c r="E1" s="740">
        <v>4</v>
      </c>
      <c r="F1" s="740">
        <v>5</v>
      </c>
      <c r="G1" s="740">
        <v>6</v>
      </c>
      <c r="H1" s="740">
        <v>8</v>
      </c>
      <c r="I1" s="740">
        <v>7</v>
      </c>
      <c r="J1" s="740">
        <v>9</v>
      </c>
      <c r="K1" s="740">
        <v>10</v>
      </c>
      <c r="L1" s="740">
        <v>11</v>
      </c>
      <c r="M1" s="740">
        <v>12</v>
      </c>
      <c r="N1" s="740">
        <v>13</v>
      </c>
      <c r="O1" s="740">
        <v>14</v>
      </c>
      <c r="P1" s="740">
        <v>15</v>
      </c>
    </row>
    <row r="2" spans="1:25" ht="18" customHeight="1">
      <c r="A2" s="744" t="s">
        <v>532</v>
      </c>
      <c r="B2" s="744"/>
      <c r="C2" s="745"/>
      <c r="D2" s="746"/>
      <c r="E2" s="746"/>
      <c r="F2" s="746"/>
      <c r="G2" s="743"/>
      <c r="H2" s="743"/>
      <c r="I2" s="743"/>
      <c r="J2" s="743"/>
      <c r="K2" s="743"/>
      <c r="L2" s="747"/>
      <c r="M2" s="743"/>
      <c r="N2" s="743"/>
      <c r="O2" s="748"/>
      <c r="P2" s="743"/>
      <c r="Q2" s="749"/>
      <c r="R2" s="743"/>
      <c r="S2" s="750"/>
    </row>
    <row r="3" spans="1:25" ht="18.75" customHeight="1">
      <c r="A3" s="751" t="s">
        <v>533</v>
      </c>
      <c r="B3" s="751"/>
      <c r="C3" s="751"/>
      <c r="D3" s="751"/>
      <c r="E3" s="751"/>
      <c r="F3" s="751"/>
      <c r="G3" s="751"/>
      <c r="H3" s="751"/>
      <c r="I3" s="751"/>
      <c r="J3" s="751"/>
      <c r="K3" s="751"/>
      <c r="L3" s="751"/>
      <c r="M3" s="751"/>
      <c r="N3" s="751"/>
      <c r="O3" s="751"/>
      <c r="P3" s="751"/>
      <c r="Q3" s="749"/>
      <c r="R3" s="743"/>
      <c r="S3" s="750"/>
    </row>
    <row r="4" spans="1:25" ht="18.75" customHeight="1">
      <c r="A4" s="752"/>
      <c r="B4" s="752"/>
      <c r="C4" s="753"/>
      <c r="D4" s="752"/>
      <c r="E4" s="752"/>
      <c r="F4" s="752"/>
      <c r="G4" s="752"/>
      <c r="H4" s="752"/>
      <c r="I4" s="752"/>
      <c r="J4" s="752"/>
      <c r="K4" s="752"/>
      <c r="L4" s="751"/>
      <c r="M4" s="752"/>
      <c r="N4" s="752"/>
      <c r="O4" s="754"/>
      <c r="P4" s="752"/>
      <c r="Q4" s="749"/>
      <c r="R4" s="743"/>
      <c r="S4" s="750"/>
    </row>
    <row r="5" spans="1:25" ht="12.75" customHeight="1">
      <c r="A5" s="755"/>
      <c r="B5" s="755"/>
      <c r="C5" s="756"/>
      <c r="D5" s="755"/>
      <c r="E5" s="755"/>
      <c r="F5" s="755"/>
      <c r="G5" s="755"/>
      <c r="H5" s="755"/>
      <c r="I5" s="755"/>
      <c r="J5" s="755"/>
      <c r="K5" s="755"/>
      <c r="L5" s="755"/>
      <c r="M5" s="755"/>
      <c r="N5" s="755"/>
      <c r="O5" s="757"/>
      <c r="P5" s="755"/>
      <c r="Q5" s="749"/>
      <c r="R5" s="758"/>
      <c r="S5" s="1427"/>
      <c r="T5" s="1427"/>
      <c r="U5" s="759"/>
      <c r="V5" s="1427"/>
      <c r="W5" s="1427"/>
      <c r="X5" s="758"/>
      <c r="Y5" s="758"/>
    </row>
    <row r="6" spans="1:25" s="766" customFormat="1" ht="30.75" customHeight="1">
      <c r="A6" s="760" t="s">
        <v>37</v>
      </c>
      <c r="B6" s="760" t="s">
        <v>534</v>
      </c>
      <c r="C6" s="761" t="s">
        <v>535</v>
      </c>
      <c r="D6" s="762" t="s">
        <v>536</v>
      </c>
      <c r="E6" s="762" t="s">
        <v>537</v>
      </c>
      <c r="F6" s="762" t="s">
        <v>538</v>
      </c>
      <c r="G6" s="762" t="s">
        <v>539</v>
      </c>
      <c r="H6" s="762" t="s">
        <v>540</v>
      </c>
      <c r="I6" s="762" t="s">
        <v>541</v>
      </c>
      <c r="J6" s="762" t="s">
        <v>542</v>
      </c>
      <c r="K6" s="763" t="s">
        <v>543</v>
      </c>
      <c r="L6" s="762" t="s">
        <v>544</v>
      </c>
      <c r="M6" s="763" t="s">
        <v>545</v>
      </c>
      <c r="N6" s="762" t="s">
        <v>546</v>
      </c>
      <c r="O6" s="764" t="s">
        <v>537</v>
      </c>
      <c r="P6" s="762" t="s">
        <v>547</v>
      </c>
      <c r="Q6" s="765"/>
      <c r="R6" s="760" t="s">
        <v>534</v>
      </c>
      <c r="S6" s="762" t="s">
        <v>501</v>
      </c>
      <c r="T6" s="762" t="s">
        <v>337</v>
      </c>
      <c r="U6" s="762" t="s">
        <v>538</v>
      </c>
      <c r="V6" s="762" t="s">
        <v>548</v>
      </c>
      <c r="W6" s="760" t="s">
        <v>548</v>
      </c>
    </row>
    <row r="7" spans="1:25">
      <c r="A7" s="767">
        <f>IF(B7&lt;&gt;"",ROW()-(ROW()-1),"")</f>
        <v>1</v>
      </c>
      <c r="B7" s="511" t="s">
        <v>451</v>
      </c>
      <c r="C7" s="768">
        <v>11</v>
      </c>
      <c r="D7" s="620">
        <f>ROUND(C7*O7,0)</f>
        <v>78100</v>
      </c>
      <c r="E7" s="620"/>
      <c r="F7" s="620">
        <v>16000</v>
      </c>
      <c r="G7" s="769">
        <f>(D7+E7)*F7</f>
        <v>1249600000</v>
      </c>
      <c r="H7" s="620">
        <f>IF($D$11&lt;&gt;0,H$11/($D$11+$E$11/5)*($D7+$E7/5),0)</f>
        <v>45374327.428571433</v>
      </c>
      <c r="I7" s="620">
        <f>IF($D$11&lt;&gt;0,I$11/$D$11*$D7,0)</f>
        <v>16528039.314285716</v>
      </c>
      <c r="J7" s="620">
        <f t="shared" ref="J7:K9" si="0">IF($D$11&lt;&gt;0,J$11/$D$11*$D7,0)</f>
        <v>26076882.857142854</v>
      </c>
      <c r="K7" s="620">
        <f t="shared" si="0"/>
        <v>17957921.771428574</v>
      </c>
      <c r="L7" s="620">
        <f>V18+V19</f>
        <v>7800000</v>
      </c>
      <c r="M7" s="620"/>
      <c r="N7" s="769">
        <f>G7+I7+H7+J7+L7+K7+M7</f>
        <v>1363337171.3714287</v>
      </c>
      <c r="O7" s="620">
        <v>7100</v>
      </c>
      <c r="P7" s="620">
        <f>IF(O7&lt;&gt;"",N7/O7,"")</f>
        <v>192019.31991146883</v>
      </c>
      <c r="Q7" s="770"/>
      <c r="R7" s="771" t="s">
        <v>339</v>
      </c>
      <c r="S7" s="772">
        <v>42371</v>
      </c>
      <c r="T7" s="234">
        <v>100</v>
      </c>
      <c r="U7" s="773">
        <v>35444.444444444445</v>
      </c>
      <c r="V7" s="769">
        <f>ROUND(T7*U7,0)</f>
        <v>3544444</v>
      </c>
      <c r="W7" s="774"/>
    </row>
    <row r="8" spans="1:25">
      <c r="A8" s="767">
        <f>IF(B8&lt;&gt;"",A7+1,"")</f>
        <v>2</v>
      </c>
      <c r="B8" s="511" t="s">
        <v>453</v>
      </c>
      <c r="C8" s="768">
        <v>8</v>
      </c>
      <c r="D8" s="620">
        <f>ROUND(C8*O8,0)</f>
        <v>38400</v>
      </c>
      <c r="E8" s="620"/>
      <c r="F8" s="620">
        <v>18500</v>
      </c>
      <c r="G8" s="769">
        <f>(D8+E8)*F8</f>
        <v>710400000</v>
      </c>
      <c r="H8" s="620">
        <f>IF($D$11&lt;&gt;0,H$11/($D$11+$E$11/5)*($D8+$E8/5),0)</f>
        <v>22309528.466800805</v>
      </c>
      <c r="I8" s="620">
        <f>IF($D$11&lt;&gt;0,I$11/$D$11*$D8,0)</f>
        <v>8126462.3517102618</v>
      </c>
      <c r="J8" s="620">
        <f t="shared" si="0"/>
        <v>12821412.313883299</v>
      </c>
      <c r="K8" s="620">
        <f t="shared" si="0"/>
        <v>8829503.1501006037</v>
      </c>
      <c r="L8" s="620">
        <f>V20+V21</f>
        <v>44946000</v>
      </c>
      <c r="M8" s="620"/>
      <c r="N8" s="769">
        <f>G8+I8+H8+J8+L8+K8+M8</f>
        <v>807432906.28249502</v>
      </c>
      <c r="O8" s="775">
        <v>4800</v>
      </c>
      <c r="P8" s="620">
        <f>IF(O8&lt;&gt;"",N8/O8,"")</f>
        <v>168215.18880885313</v>
      </c>
      <c r="Q8" s="770"/>
      <c r="R8" s="776" t="s">
        <v>345</v>
      </c>
      <c r="S8" s="772">
        <v>42371</v>
      </c>
      <c r="T8" s="234">
        <v>20</v>
      </c>
      <c r="U8" s="777">
        <v>46741.2</v>
      </c>
      <c r="V8" s="769">
        <f t="shared" ref="V8:V14" si="1">ROUND(T8*U8,0)</f>
        <v>934824</v>
      </c>
      <c r="W8" s="778"/>
    </row>
    <row r="9" spans="1:25">
      <c r="A9" s="767">
        <f>IF(B9&lt;&gt;"",A8+1,"")</f>
        <v>3</v>
      </c>
      <c r="B9" s="779" t="s">
        <v>452</v>
      </c>
      <c r="C9" s="768">
        <v>11</v>
      </c>
      <c r="D9" s="620">
        <f>ROUND(C9*O9,0)</f>
        <v>132000</v>
      </c>
      <c r="E9" s="620"/>
      <c r="F9" s="620">
        <v>14500</v>
      </c>
      <c r="G9" s="769">
        <f>(D9+E9)*F9</f>
        <v>1914000000</v>
      </c>
      <c r="H9" s="620">
        <f>IF($D$11&lt;&gt;0,H$11/($D$11+$E$11/5)*($D9+$E9/5),0)</f>
        <v>76689004.104627773</v>
      </c>
      <c r="I9" s="620">
        <f>IF($D$11&lt;&gt;0,I$11/$D$11*$D9,0)</f>
        <v>27934714.334004026</v>
      </c>
      <c r="J9" s="620">
        <f t="shared" si="0"/>
        <v>44073604.828973837</v>
      </c>
      <c r="K9" s="620">
        <f t="shared" si="0"/>
        <v>30351417.078470826</v>
      </c>
      <c r="L9" s="620">
        <f>V22+V23</f>
        <v>15225000</v>
      </c>
      <c r="M9" s="620"/>
      <c r="N9" s="769">
        <f>G9+I9+H9+J9+L9+K9+M9</f>
        <v>2108273740.3460765</v>
      </c>
      <c r="O9" s="775">
        <v>12000</v>
      </c>
      <c r="P9" s="620">
        <f>IF(O9&lt;&gt;"",N9/O9,"")</f>
        <v>175689.47836217305</v>
      </c>
      <c r="Q9" s="770"/>
      <c r="R9" s="776" t="s">
        <v>348</v>
      </c>
      <c r="S9" s="772">
        <v>42371</v>
      </c>
      <c r="T9" s="234">
        <v>150</v>
      </c>
      <c r="U9" s="777">
        <v>11666.673333333334</v>
      </c>
      <c r="V9" s="769">
        <f t="shared" si="1"/>
        <v>1750001</v>
      </c>
      <c r="W9" s="778"/>
    </row>
    <row r="10" spans="1:25" s="789" customFormat="1">
      <c r="A10" s="767" t="str">
        <f>IF(B10&lt;&gt;"",#REF!+1,"")</f>
        <v/>
      </c>
      <c r="B10" s="780"/>
      <c r="C10" s="781"/>
      <c r="D10" s="620"/>
      <c r="E10" s="782"/>
      <c r="F10" s="783"/>
      <c r="G10" s="784"/>
      <c r="H10" s="620"/>
      <c r="I10" s="783"/>
      <c r="J10" s="785"/>
      <c r="K10" s="783"/>
      <c r="L10" s="786"/>
      <c r="M10" s="783"/>
      <c r="N10" s="769"/>
      <c r="O10" s="787"/>
      <c r="P10" s="620" t="str">
        <f>IF(B10&lt;&gt;"",N10/O10,"")</f>
        <v/>
      </c>
      <c r="Q10" s="788"/>
      <c r="R10" s="776" t="s">
        <v>224</v>
      </c>
      <c r="S10" s="772">
        <v>42376</v>
      </c>
      <c r="T10" s="234">
        <v>100</v>
      </c>
      <c r="U10" s="777">
        <v>21979.791919191921</v>
      </c>
      <c r="V10" s="769">
        <f t="shared" si="1"/>
        <v>2197979</v>
      </c>
      <c r="W10" s="778"/>
    </row>
    <row r="11" spans="1:25" s="744" customFormat="1">
      <c r="A11" s="790"/>
      <c r="B11" s="791" t="s">
        <v>549</v>
      </c>
      <c r="C11" s="792"/>
      <c r="D11" s="793">
        <f>SUM(D7:D10)</f>
        <v>248500</v>
      </c>
      <c r="E11" s="793"/>
      <c r="F11" s="793"/>
      <c r="G11" s="793">
        <f>SUM(G7:G10)</f>
        <v>3874000000</v>
      </c>
      <c r="H11" s="794">
        <v>144372860</v>
      </c>
      <c r="I11" s="794">
        <f>V17</f>
        <v>52589216</v>
      </c>
      <c r="J11" s="794">
        <v>82971900</v>
      </c>
      <c r="K11" s="794">
        <v>57138842</v>
      </c>
      <c r="L11" s="793">
        <f>ROUND(SUM(L7:L10),0)</f>
        <v>67971000</v>
      </c>
      <c r="M11" s="793">
        <f>ROUND(SUM(M7:M10),0)</f>
        <v>0</v>
      </c>
      <c r="N11" s="793">
        <f>ROUND(SUM(N7:N10),0)</f>
        <v>4279043818</v>
      </c>
      <c r="O11" s="793">
        <f>ROUND(SUM(O7:O10),0)</f>
        <v>23900</v>
      </c>
      <c r="P11" s="793"/>
      <c r="Q11" s="749"/>
      <c r="R11" s="776" t="s">
        <v>353</v>
      </c>
      <c r="S11" s="772"/>
      <c r="T11" s="234"/>
      <c r="U11" s="777">
        <v>3500</v>
      </c>
      <c r="V11" s="769">
        <f t="shared" si="1"/>
        <v>0</v>
      </c>
      <c r="W11" s="778"/>
    </row>
    <row r="12" spans="1:25" s="744" customFormat="1">
      <c r="A12" s="795"/>
      <c r="B12" s="796"/>
      <c r="C12" s="753"/>
      <c r="D12" s="797"/>
      <c r="E12" s="797"/>
      <c r="F12" s="797"/>
      <c r="G12" s="797"/>
      <c r="H12" s="797"/>
      <c r="I12" s="751"/>
      <c r="J12" s="797"/>
      <c r="K12" s="797"/>
      <c r="L12" s="797"/>
      <c r="M12" s="797"/>
      <c r="N12" s="797"/>
      <c r="O12" s="797"/>
      <c r="P12" s="797"/>
      <c r="Q12" s="749"/>
      <c r="R12" s="776" t="s">
        <v>356</v>
      </c>
      <c r="S12" s="772">
        <v>42376</v>
      </c>
      <c r="T12" s="234">
        <v>2700</v>
      </c>
      <c r="U12" s="777">
        <v>14899.99962962963</v>
      </c>
      <c r="V12" s="769">
        <f t="shared" si="1"/>
        <v>40229999</v>
      </c>
      <c r="W12" s="778"/>
    </row>
    <row r="13" spans="1:25" s="744" customFormat="1">
      <c r="A13" s="795"/>
      <c r="B13" s="796"/>
      <c r="C13" s="753"/>
      <c r="D13" s="797"/>
      <c r="E13" s="797"/>
      <c r="F13" s="797"/>
      <c r="G13" s="798"/>
      <c r="H13" s="797"/>
      <c r="I13" s="751"/>
      <c r="J13" s="797"/>
      <c r="K13" s="797"/>
      <c r="L13" s="797"/>
      <c r="M13" s="797"/>
      <c r="N13" s="797">
        <v>4279043818</v>
      </c>
      <c r="O13" s="797"/>
      <c r="P13" s="797"/>
      <c r="Q13" s="749"/>
      <c r="R13" s="776" t="s">
        <v>359</v>
      </c>
      <c r="S13" s="772">
        <v>42384</v>
      </c>
      <c r="T13" s="234">
        <v>400</v>
      </c>
      <c r="U13" s="777">
        <v>8500</v>
      </c>
      <c r="V13" s="769">
        <f t="shared" si="1"/>
        <v>3400000</v>
      </c>
      <c r="W13" s="778"/>
    </row>
    <row r="14" spans="1:25" s="744" customFormat="1">
      <c r="A14" s="795"/>
      <c r="B14" s="796"/>
      <c r="C14" s="753"/>
      <c r="D14" s="797"/>
      <c r="E14" s="797"/>
      <c r="F14" s="797"/>
      <c r="G14" s="798"/>
      <c r="H14" s="797"/>
      <c r="I14" s="751"/>
      <c r="J14" s="797"/>
      <c r="K14" s="797"/>
      <c r="L14" s="797"/>
      <c r="M14" s="797"/>
      <c r="N14" s="797"/>
      <c r="O14" s="797"/>
      <c r="P14" s="797"/>
      <c r="Q14" s="749"/>
      <c r="R14" s="776" t="s">
        <v>363</v>
      </c>
      <c r="S14" s="772">
        <v>42384</v>
      </c>
      <c r="T14" s="799">
        <v>1647</v>
      </c>
      <c r="U14" s="799">
        <v>322.9927140255009</v>
      </c>
      <c r="V14" s="769">
        <f t="shared" si="1"/>
        <v>531969</v>
      </c>
      <c r="W14" s="778"/>
    </row>
    <row r="15" spans="1:25" s="744" customFormat="1">
      <c r="A15" s="795"/>
      <c r="B15" s="796"/>
      <c r="C15" s="753"/>
      <c r="D15" s="797"/>
      <c r="E15" s="797"/>
      <c r="F15" s="797"/>
      <c r="G15" s="798"/>
      <c r="H15" s="797"/>
      <c r="I15" s="751"/>
      <c r="J15" s="797"/>
      <c r="K15" s="797"/>
      <c r="L15" s="797"/>
      <c r="M15" s="797"/>
      <c r="N15" s="797"/>
      <c r="O15" s="797"/>
      <c r="P15" s="797"/>
      <c r="Q15" s="740"/>
      <c r="R15" s="800"/>
      <c r="S15" s="772"/>
      <c r="T15" s="801"/>
      <c r="U15" s="801"/>
      <c r="V15" s="801"/>
      <c r="W15" s="778"/>
    </row>
    <row r="16" spans="1:25" s="744" customFormat="1">
      <c r="A16" s="795"/>
      <c r="B16" s="796"/>
      <c r="C16" s="753"/>
      <c r="D16" s="797"/>
      <c r="E16" s="797"/>
      <c r="F16" s="797"/>
      <c r="G16" s="798"/>
      <c r="H16" s="797"/>
      <c r="I16" s="751"/>
      <c r="J16" s="797"/>
      <c r="K16" s="797"/>
      <c r="L16" s="797"/>
      <c r="M16" s="797"/>
      <c r="N16" s="797"/>
      <c r="O16" s="797"/>
      <c r="P16" s="797"/>
      <c r="Q16" s="740"/>
      <c r="R16" s="800"/>
      <c r="S16" s="772"/>
      <c r="T16" s="801"/>
      <c r="U16" s="801"/>
      <c r="V16" s="801"/>
      <c r="W16" s="778"/>
    </row>
    <row r="17" spans="1:24" s="744" customFormat="1">
      <c r="A17" s="795"/>
      <c r="B17" s="796"/>
      <c r="C17" s="753"/>
      <c r="D17" s="797"/>
      <c r="E17" s="797"/>
      <c r="F17" s="797"/>
      <c r="G17" s="797"/>
      <c r="H17" s="797"/>
      <c r="I17" s="751"/>
      <c r="J17" s="797"/>
      <c r="K17" s="797"/>
      <c r="L17" s="797"/>
      <c r="M17" s="797"/>
      <c r="N17" s="797"/>
      <c r="O17" s="797"/>
      <c r="P17" s="797"/>
      <c r="Q17" s="740"/>
      <c r="R17" s="1428"/>
      <c r="S17" s="1428"/>
      <c r="T17" s="1428"/>
      <c r="U17" s="949"/>
      <c r="V17" s="803">
        <f>SUM(V7:V16)</f>
        <v>52589216</v>
      </c>
      <c r="W17" s="803">
        <f>SUM(W7:W16)</f>
        <v>0</v>
      </c>
    </row>
    <row r="18" spans="1:24">
      <c r="G18" s="758"/>
      <c r="H18" s="758"/>
      <c r="I18" s="804"/>
      <c r="N18" s="805"/>
      <c r="O18" s="797"/>
      <c r="R18" s="799" t="s">
        <v>394</v>
      </c>
      <c r="S18" s="772">
        <v>42388</v>
      </c>
      <c r="T18" s="234">
        <v>400</v>
      </c>
      <c r="U18" s="234">
        <v>17000</v>
      </c>
      <c r="V18" s="769">
        <f t="shared" ref="V18:V23" si="2">ROUND(T18*U18,0)</f>
        <v>6800000</v>
      </c>
      <c r="W18" s="785"/>
    </row>
    <row r="19" spans="1:24">
      <c r="G19" s="758"/>
      <c r="H19" s="758"/>
      <c r="I19" s="804"/>
      <c r="N19" s="805"/>
      <c r="O19" s="797"/>
      <c r="R19" s="799" t="s">
        <v>397</v>
      </c>
      <c r="S19" s="772">
        <v>42388</v>
      </c>
      <c r="T19" s="234">
        <v>400</v>
      </c>
      <c r="U19" s="777">
        <v>2500</v>
      </c>
      <c r="V19" s="769">
        <f t="shared" si="2"/>
        <v>1000000</v>
      </c>
      <c r="W19" s="785"/>
    </row>
    <row r="20" spans="1:24">
      <c r="G20" s="758"/>
      <c r="H20" s="758"/>
      <c r="I20" s="804"/>
      <c r="N20" s="805"/>
      <c r="O20" s="797"/>
      <c r="R20" s="799" t="s">
        <v>401</v>
      </c>
      <c r="S20" s="772">
        <v>42391</v>
      </c>
      <c r="T20" s="777">
        <v>620</v>
      </c>
      <c r="U20" s="777">
        <v>18300</v>
      </c>
      <c r="V20" s="769">
        <f t="shared" si="2"/>
        <v>11346000</v>
      </c>
      <c r="W20" s="785"/>
    </row>
    <row r="21" spans="1:24">
      <c r="G21" s="758"/>
      <c r="H21" s="758"/>
      <c r="I21" s="804"/>
      <c r="N21" s="805"/>
      <c r="O21" s="797"/>
      <c r="R21" s="799" t="s">
        <v>653</v>
      </c>
      <c r="S21" s="772">
        <v>42391</v>
      </c>
      <c r="T21" s="777">
        <v>2400</v>
      </c>
      <c r="U21" s="777">
        <v>14000</v>
      </c>
      <c r="V21" s="769">
        <f t="shared" si="2"/>
        <v>33600000</v>
      </c>
      <c r="W21" s="785"/>
    </row>
    <row r="22" spans="1:24">
      <c r="G22" s="758"/>
      <c r="H22" s="758"/>
      <c r="I22" s="804"/>
      <c r="N22" s="805"/>
      <c r="O22" s="797"/>
      <c r="R22" s="776" t="s">
        <v>390</v>
      </c>
      <c r="S22" s="772">
        <v>42398</v>
      </c>
      <c r="T22" s="777">
        <v>1150</v>
      </c>
      <c r="U22" s="777">
        <v>12000</v>
      </c>
      <c r="V22" s="769">
        <f t="shared" si="2"/>
        <v>13800000</v>
      </c>
      <c r="W22" s="785"/>
    </row>
    <row r="23" spans="1:24">
      <c r="G23" s="758"/>
      <c r="H23" s="758"/>
      <c r="I23" s="804"/>
      <c r="N23" s="805"/>
      <c r="O23" s="797"/>
      <c r="R23" s="799" t="s">
        <v>392</v>
      </c>
      <c r="S23" s="772">
        <v>42398</v>
      </c>
      <c r="T23" s="777">
        <v>150</v>
      </c>
      <c r="U23" s="777">
        <v>9500</v>
      </c>
      <c r="V23" s="769">
        <f t="shared" si="2"/>
        <v>1425000</v>
      </c>
      <c r="W23" s="785"/>
    </row>
    <row r="24" spans="1:24" ht="18" customHeight="1">
      <c r="A24" s="744" t="s">
        <v>532</v>
      </c>
      <c r="B24" s="744"/>
      <c r="C24" s="745"/>
      <c r="D24" s="746"/>
      <c r="E24" s="746"/>
      <c r="F24" s="746"/>
      <c r="G24" s="743"/>
      <c r="H24" s="743"/>
      <c r="I24" s="743"/>
      <c r="J24" s="743"/>
      <c r="K24" s="743"/>
      <c r="L24" s="747"/>
      <c r="M24" s="743"/>
      <c r="N24" s="743"/>
      <c r="O24" s="748"/>
      <c r="P24" s="743"/>
      <c r="Q24" s="749"/>
      <c r="R24" s="806"/>
      <c r="S24" s="807"/>
      <c r="T24" s="808"/>
      <c r="U24" s="808"/>
      <c r="V24" s="808"/>
      <c r="W24" s="809"/>
      <c r="X24" s="758"/>
    </row>
    <row r="25" spans="1:24" ht="18.75" customHeight="1">
      <c r="A25" s="751" t="s">
        <v>550</v>
      </c>
      <c r="B25" s="751"/>
      <c r="C25" s="751"/>
      <c r="D25" s="751"/>
      <c r="E25" s="751"/>
      <c r="F25" s="751"/>
      <c r="G25" s="751"/>
      <c r="H25" s="751"/>
      <c r="I25" s="751"/>
      <c r="J25" s="751"/>
      <c r="K25" s="751"/>
      <c r="L25" s="751"/>
      <c r="M25" s="751"/>
      <c r="N25" s="751"/>
      <c r="O25" s="751"/>
      <c r="P25" s="751"/>
      <c r="Q25" s="749"/>
      <c r="R25" s="810"/>
      <c r="S25" s="811"/>
      <c r="T25" s="759"/>
      <c r="U25" s="759"/>
      <c r="V25" s="812"/>
    </row>
    <row r="26" spans="1:24" ht="18.75" customHeight="1">
      <c r="A26" s="752"/>
      <c r="B26" s="752"/>
      <c r="C26" s="753"/>
      <c r="D26" s="752"/>
      <c r="E26" s="752"/>
      <c r="F26" s="752"/>
      <c r="G26" s="752"/>
      <c r="H26" s="752"/>
      <c r="I26" s="752"/>
      <c r="J26" s="752"/>
      <c r="K26" s="752"/>
      <c r="L26" s="751"/>
      <c r="M26" s="752"/>
      <c r="N26" s="752"/>
      <c r="O26" s="754"/>
      <c r="P26" s="752"/>
      <c r="Q26" s="749"/>
      <c r="R26" s="743"/>
      <c r="S26" s="750"/>
    </row>
    <row r="27" spans="1:24" ht="12.75" customHeight="1">
      <c r="A27" s="755"/>
      <c r="B27" s="755"/>
      <c r="C27" s="756"/>
      <c r="D27" s="755"/>
      <c r="E27" s="755"/>
      <c r="F27" s="755"/>
      <c r="G27" s="755"/>
      <c r="H27" s="755"/>
      <c r="I27" s="755"/>
      <c r="J27" s="755"/>
      <c r="K27" s="755"/>
      <c r="L27" s="755"/>
      <c r="M27" s="755"/>
      <c r="N27" s="755"/>
      <c r="O27" s="757"/>
      <c r="P27" s="755"/>
      <c r="Q27" s="749"/>
      <c r="R27" s="743"/>
      <c r="S27" s="750"/>
    </row>
    <row r="28" spans="1:24" s="766" customFormat="1" ht="30.75" customHeight="1">
      <c r="A28" s="760" t="s">
        <v>37</v>
      </c>
      <c r="B28" s="760" t="s">
        <v>534</v>
      </c>
      <c r="C28" s="761" t="s">
        <v>535</v>
      </c>
      <c r="D28" s="762" t="s">
        <v>536</v>
      </c>
      <c r="E28" s="762" t="s">
        <v>537</v>
      </c>
      <c r="F28" s="762" t="s">
        <v>538</v>
      </c>
      <c r="G28" s="762" t="s">
        <v>539</v>
      </c>
      <c r="H28" s="762" t="s">
        <v>540</v>
      </c>
      <c r="I28" s="762" t="s">
        <v>541</v>
      </c>
      <c r="J28" s="762" t="s">
        <v>542</v>
      </c>
      <c r="K28" s="763" t="s">
        <v>543</v>
      </c>
      <c r="L28" s="762" t="s">
        <v>544</v>
      </c>
      <c r="M28" s="763" t="s">
        <v>545</v>
      </c>
      <c r="N28" s="762" t="s">
        <v>546</v>
      </c>
      <c r="O28" s="764" t="s">
        <v>537</v>
      </c>
      <c r="P28" s="762" t="s">
        <v>547</v>
      </c>
      <c r="Q28" s="765"/>
      <c r="R28" s="760" t="s">
        <v>534</v>
      </c>
      <c r="S28" s="762" t="s">
        <v>501</v>
      </c>
      <c r="T28" s="762" t="s">
        <v>337</v>
      </c>
      <c r="U28" s="762" t="s">
        <v>538</v>
      </c>
      <c r="V28" s="762" t="s">
        <v>548</v>
      </c>
      <c r="W28" s="760" t="s">
        <v>548</v>
      </c>
    </row>
    <row r="29" spans="1:24">
      <c r="A29" s="767">
        <f>IF(B29&lt;&gt;"",ROW()-(ROW()-1),"")</f>
        <v>1</v>
      </c>
      <c r="B29" s="779" t="s">
        <v>452</v>
      </c>
      <c r="C29" s="768">
        <v>11</v>
      </c>
      <c r="D29" s="620">
        <f>ROUND(C29*O29,0)</f>
        <v>88000</v>
      </c>
      <c r="E29" s="620"/>
      <c r="F29" s="620">
        <v>13200</v>
      </c>
      <c r="G29" s="769">
        <f>(D29+E29)*F29</f>
        <v>1161600000</v>
      </c>
      <c r="H29" s="620">
        <f>IF($D$32&lt;&gt;0,H$32/($D$32+$E$32/5)*($D29+$E29/5),0)</f>
        <v>121393280</v>
      </c>
      <c r="I29" s="620">
        <f t="shared" ref="I29:K30" si="3">IF($D$32&lt;&gt;0,I$32/$D$32*$D29,0)</f>
        <v>17952687</v>
      </c>
      <c r="J29" s="620">
        <f t="shared" si="3"/>
        <v>66582899.999999993</v>
      </c>
      <c r="K29" s="620">
        <f t="shared" si="3"/>
        <v>57138841.999999993</v>
      </c>
      <c r="L29" s="620">
        <f>V39</f>
        <v>12139811</v>
      </c>
      <c r="M29" s="620"/>
      <c r="N29" s="769">
        <f>SUM(G29:L29)</f>
        <v>1436807520</v>
      </c>
      <c r="O29" s="620">
        <v>8000</v>
      </c>
      <c r="P29" s="620">
        <f>IF(O29&lt;&gt;"",N29/O29,"")</f>
        <v>179600.94</v>
      </c>
      <c r="Q29" s="788"/>
      <c r="R29" s="771" t="s">
        <v>339</v>
      </c>
      <c r="S29" s="772">
        <v>42415</v>
      </c>
      <c r="T29" s="234">
        <v>20</v>
      </c>
      <c r="U29" s="773">
        <v>35444.444444444445</v>
      </c>
      <c r="V29" s="769">
        <f t="shared" ref="V29:V36" si="4">ROUND(T29*U29,0)</f>
        <v>708889</v>
      </c>
      <c r="W29" s="774"/>
    </row>
    <row r="30" spans="1:24">
      <c r="A30" s="767" t="str">
        <f>IF(B30&lt;&gt;"",A29+1,"")</f>
        <v/>
      </c>
      <c r="B30" s="776"/>
      <c r="C30" s="768">
        <f>IF(ISNA(VLOOKUP(B30,[4]NXT!$Q$61:$S$81,2,0)),0,VLOOKUP(B30,[4]NXT!$Q$61:$S$81,2,0))</f>
        <v>0</v>
      </c>
      <c r="D30" s="620">
        <f>ROUND(C30*O30,0)</f>
        <v>0</v>
      </c>
      <c r="E30" s="620"/>
      <c r="F30" s="620"/>
      <c r="G30" s="769">
        <f>(D30+E30)*F30</f>
        <v>0</v>
      </c>
      <c r="H30" s="620">
        <f>IF($D$32&lt;&gt;0,H$32/($D$32+$E$32/5)*($D30+$E30/5),0)</f>
        <v>0</v>
      </c>
      <c r="I30" s="620">
        <f t="shared" si="3"/>
        <v>0</v>
      </c>
      <c r="J30" s="620">
        <f t="shared" si="3"/>
        <v>0</v>
      </c>
      <c r="K30" s="620">
        <f t="shared" si="3"/>
        <v>0</v>
      </c>
      <c r="L30" s="620"/>
      <c r="M30" s="620"/>
      <c r="N30" s="769">
        <f>SUM(G30:L30)</f>
        <v>0</v>
      </c>
      <c r="O30" s="775"/>
      <c r="P30" s="620" t="str">
        <f>IF(O30&lt;&gt;"",N30/O30,"")</f>
        <v/>
      </c>
      <c r="Q30" s="788"/>
      <c r="R30" s="776" t="s">
        <v>345</v>
      </c>
      <c r="S30" s="772">
        <v>42415</v>
      </c>
      <c r="T30" s="234">
        <v>5</v>
      </c>
      <c r="U30" s="234">
        <v>46741.2</v>
      </c>
      <c r="V30" s="769">
        <f t="shared" si="4"/>
        <v>233706</v>
      </c>
      <c r="W30" s="778"/>
    </row>
    <row r="31" spans="1:24" s="789" customFormat="1">
      <c r="A31" s="767" t="str">
        <f>IF(B31&lt;&gt;"",#REF!+1,"")</f>
        <v/>
      </c>
      <c r="B31" s="813"/>
      <c r="C31" s="814"/>
      <c r="D31" s="815"/>
      <c r="E31" s="815"/>
      <c r="F31" s="815"/>
      <c r="G31" s="816"/>
      <c r="H31" s="817"/>
      <c r="I31" s="815"/>
      <c r="J31" s="818"/>
      <c r="K31" s="815"/>
      <c r="L31" s="819"/>
      <c r="M31" s="815"/>
      <c r="N31" s="817"/>
      <c r="O31" s="820"/>
      <c r="P31" s="815"/>
      <c r="Q31" s="788"/>
      <c r="R31" s="776" t="s">
        <v>348</v>
      </c>
      <c r="S31" s="772">
        <v>42415</v>
      </c>
      <c r="T31" s="234">
        <v>150</v>
      </c>
      <c r="U31" s="777">
        <v>11666.673333333334</v>
      </c>
      <c r="V31" s="769">
        <f t="shared" si="4"/>
        <v>1750001</v>
      </c>
      <c r="W31" s="778"/>
    </row>
    <row r="32" spans="1:24" s="744" customFormat="1">
      <c r="A32" s="790"/>
      <c r="B32" s="791" t="s">
        <v>549</v>
      </c>
      <c r="C32" s="792"/>
      <c r="D32" s="793">
        <f>SUM(D29:D31)</f>
        <v>88000</v>
      </c>
      <c r="E32" s="793">
        <f>SUM(E29:E31)</f>
        <v>0</v>
      </c>
      <c r="F32" s="793"/>
      <c r="G32" s="793">
        <f>SUM(G29:G31)</f>
        <v>1161600000</v>
      </c>
      <c r="H32" s="794">
        <v>121393280</v>
      </c>
      <c r="I32" s="794">
        <f>$V$38</f>
        <v>17952687</v>
      </c>
      <c r="J32" s="794">
        <v>66582900</v>
      </c>
      <c r="K32" s="794">
        <v>57138842</v>
      </c>
      <c r="L32" s="793">
        <f>ROUND(SUM(L29:L31),0)</f>
        <v>12139811</v>
      </c>
      <c r="M32" s="793">
        <f>ROUND(SUM(M29:M31),0)</f>
        <v>0</v>
      </c>
      <c r="N32" s="793">
        <f>ROUND(SUM(N29:N31),0)</f>
        <v>1436807520</v>
      </c>
      <c r="O32" s="793">
        <f>ROUND(SUM(O29:O31),0)</f>
        <v>8000</v>
      </c>
      <c r="P32" s="793"/>
      <c r="Q32" s="749"/>
      <c r="R32" s="776" t="s">
        <v>224</v>
      </c>
      <c r="S32" s="772">
        <v>42415</v>
      </c>
      <c r="T32" s="234">
        <v>45</v>
      </c>
      <c r="U32" s="777">
        <v>21979.791919191921</v>
      </c>
      <c r="V32" s="769">
        <f t="shared" si="4"/>
        <v>989091</v>
      </c>
      <c r="W32" s="778"/>
    </row>
    <row r="33" spans="1:23" s="744" customFormat="1">
      <c r="A33" s="795"/>
      <c r="B33" s="796"/>
      <c r="C33" s="753"/>
      <c r="D33" s="797"/>
      <c r="E33" s="797"/>
      <c r="F33" s="797"/>
      <c r="G33" s="797"/>
      <c r="H33" s="797"/>
      <c r="I33" s="751"/>
      <c r="J33" s="797"/>
      <c r="K33" s="797"/>
      <c r="L33" s="797"/>
      <c r="M33" s="797"/>
      <c r="N33" s="797"/>
      <c r="O33" s="797"/>
      <c r="P33" s="797"/>
      <c r="Q33" s="749"/>
      <c r="R33" s="776" t="s">
        <v>353</v>
      </c>
      <c r="S33" s="772"/>
      <c r="T33" s="234"/>
      <c r="U33" s="234">
        <v>3500</v>
      </c>
      <c r="V33" s="769">
        <f t="shared" si="4"/>
        <v>0</v>
      </c>
      <c r="W33" s="821"/>
    </row>
    <row r="34" spans="1:23" s="744" customFormat="1">
      <c r="A34" s="795"/>
      <c r="B34" s="796"/>
      <c r="C34" s="753"/>
      <c r="D34" s="797"/>
      <c r="E34" s="797"/>
      <c r="F34" s="797"/>
      <c r="G34" s="797"/>
      <c r="H34" s="797"/>
      <c r="I34" s="751"/>
      <c r="J34" s="797"/>
      <c r="K34" s="797"/>
      <c r="L34" s="797"/>
      <c r="M34" s="797"/>
      <c r="N34" s="797">
        <v>1436807520</v>
      </c>
      <c r="O34" s="797"/>
      <c r="P34" s="797"/>
      <c r="Q34" s="749"/>
      <c r="R34" s="776" t="s">
        <v>356</v>
      </c>
      <c r="S34" s="772">
        <v>42415</v>
      </c>
      <c r="T34" s="234">
        <v>540</v>
      </c>
      <c r="U34" s="234">
        <v>14900</v>
      </c>
      <c r="V34" s="769">
        <f t="shared" si="4"/>
        <v>8046000</v>
      </c>
      <c r="W34" s="821"/>
    </row>
    <row r="35" spans="1:23" s="744" customFormat="1">
      <c r="A35" s="795"/>
      <c r="B35" s="796"/>
      <c r="C35" s="753"/>
      <c r="D35" s="797"/>
      <c r="E35" s="797"/>
      <c r="F35" s="797"/>
      <c r="G35" s="797"/>
      <c r="H35" s="797"/>
      <c r="I35" s="751"/>
      <c r="J35" s="797"/>
      <c r="K35" s="797"/>
      <c r="L35" s="797"/>
      <c r="M35" s="797"/>
      <c r="N35" s="797"/>
      <c r="O35" s="797"/>
      <c r="P35" s="797"/>
      <c r="Q35" s="749"/>
      <c r="R35" s="776" t="s">
        <v>359</v>
      </c>
      <c r="S35" s="772">
        <v>42425</v>
      </c>
      <c r="T35" s="234">
        <v>150</v>
      </c>
      <c r="U35" s="234">
        <v>8500</v>
      </c>
      <c r="V35" s="769">
        <f t="shared" si="4"/>
        <v>1275000</v>
      </c>
      <c r="W35" s="821"/>
    </row>
    <row r="36" spans="1:23" s="744" customFormat="1">
      <c r="A36" s="795"/>
      <c r="B36" s="796"/>
      <c r="C36" s="753"/>
      <c r="D36" s="797"/>
      <c r="E36" s="797"/>
      <c r="F36" s="797"/>
      <c r="G36" s="797"/>
      <c r="H36" s="797"/>
      <c r="I36" s="751"/>
      <c r="J36" s="797"/>
      <c r="K36" s="797"/>
      <c r="L36" s="797"/>
      <c r="M36" s="797"/>
      <c r="N36" s="797"/>
      <c r="O36" s="797"/>
      <c r="P36" s="797"/>
      <c r="Q36" s="749"/>
      <c r="R36" s="776" t="s">
        <v>363</v>
      </c>
      <c r="S36" s="772">
        <v>42425</v>
      </c>
      <c r="T36" s="234">
        <v>150</v>
      </c>
      <c r="U36" s="799">
        <v>33000</v>
      </c>
      <c r="V36" s="769">
        <f t="shared" si="4"/>
        <v>4950000</v>
      </c>
      <c r="W36" s="821"/>
    </row>
    <row r="37" spans="1:23">
      <c r="R37" s="800"/>
      <c r="S37" s="772"/>
      <c r="T37" s="801"/>
      <c r="U37" s="234"/>
      <c r="V37" s="801"/>
      <c r="W37" s="821"/>
    </row>
    <row r="38" spans="1:23">
      <c r="R38" s="822"/>
      <c r="S38" s="823"/>
      <c r="T38" s="824"/>
      <c r="U38" s="949"/>
      <c r="V38" s="803">
        <f>SUM(V29:V37)</f>
        <v>17952687</v>
      </c>
      <c r="W38" s="803">
        <f>SUM(W29:W37)</f>
        <v>0</v>
      </c>
    </row>
    <row r="39" spans="1:23">
      <c r="R39" s="825" t="s">
        <v>381</v>
      </c>
      <c r="S39" s="772">
        <v>42401</v>
      </c>
      <c r="T39" s="234">
        <v>2100</v>
      </c>
      <c r="U39" s="234">
        <v>5780.8622078968574</v>
      </c>
      <c r="V39" s="769">
        <f>ROUND(T39*U39,0)</f>
        <v>12139811</v>
      </c>
      <c r="W39" s="774"/>
    </row>
    <row r="40" spans="1:23">
      <c r="R40" s="825"/>
      <c r="S40" s="772"/>
      <c r="T40" s="234"/>
      <c r="U40" s="234"/>
      <c r="V40" s="769">
        <f>ROUND(T40*U40,0)</f>
        <v>0</v>
      </c>
      <c r="W40" s="774"/>
    </row>
    <row r="41" spans="1:23">
      <c r="R41" s="825"/>
      <c r="S41" s="772"/>
      <c r="T41" s="234"/>
      <c r="U41" s="234"/>
      <c r="V41" s="769">
        <f>ROUND(T41*U41,0)</f>
        <v>0</v>
      </c>
      <c r="W41" s="774"/>
    </row>
    <row r="42" spans="1:23" ht="18" customHeight="1">
      <c r="A42" s="744" t="s">
        <v>532</v>
      </c>
      <c r="B42" s="744"/>
      <c r="C42" s="745"/>
      <c r="D42" s="746"/>
      <c r="E42" s="746"/>
      <c r="F42" s="746"/>
      <c r="G42" s="743"/>
      <c r="H42" s="743"/>
      <c r="I42" s="743"/>
      <c r="J42" s="743"/>
      <c r="K42" s="743"/>
      <c r="L42" s="747"/>
      <c r="M42" s="743"/>
      <c r="N42" s="743"/>
      <c r="O42" s="748"/>
      <c r="P42" s="743"/>
      <c r="Q42" s="749"/>
      <c r="R42" s="749"/>
      <c r="S42" s="826"/>
      <c r="T42" s="759"/>
      <c r="U42" s="759"/>
      <c r="V42" s="759"/>
      <c r="W42" s="827"/>
    </row>
    <row r="43" spans="1:23" ht="18.75" customHeight="1">
      <c r="A43" s="751" t="s">
        <v>551</v>
      </c>
      <c r="B43" s="751"/>
      <c r="C43" s="751"/>
      <c r="D43" s="751"/>
      <c r="E43" s="751"/>
      <c r="F43" s="751"/>
      <c r="G43" s="751"/>
      <c r="H43" s="751"/>
      <c r="I43" s="751"/>
      <c r="J43" s="751"/>
      <c r="K43" s="751"/>
      <c r="L43" s="751"/>
      <c r="M43" s="751"/>
      <c r="N43" s="751"/>
      <c r="O43" s="751"/>
      <c r="P43" s="751"/>
      <c r="Q43" s="749"/>
      <c r="R43" s="810"/>
      <c r="S43" s="811"/>
      <c r="T43" s="759"/>
      <c r="U43" s="759"/>
      <c r="V43" s="812"/>
      <c r="W43" s="827"/>
    </row>
    <row r="44" spans="1:23" ht="18.75" customHeight="1">
      <c r="A44" s="752"/>
      <c r="B44" s="752"/>
      <c r="C44" s="753"/>
      <c r="D44" s="752"/>
      <c r="E44" s="752"/>
      <c r="F44" s="752"/>
      <c r="G44" s="752"/>
      <c r="H44" s="752"/>
      <c r="I44" s="752"/>
      <c r="J44" s="752"/>
      <c r="K44" s="752"/>
      <c r="L44" s="751"/>
      <c r="M44" s="752"/>
      <c r="N44" s="752"/>
      <c r="O44" s="754"/>
      <c r="P44" s="752"/>
      <c r="Q44" s="749"/>
      <c r="R44" s="810"/>
      <c r="S44" s="811"/>
      <c r="T44" s="759"/>
      <c r="U44" s="759"/>
      <c r="V44" s="812"/>
      <c r="W44" s="827"/>
    </row>
    <row r="45" spans="1:23" ht="12.75" customHeight="1">
      <c r="A45" s="755"/>
      <c r="B45" s="755"/>
      <c r="C45" s="756"/>
      <c r="D45" s="755"/>
      <c r="E45" s="755"/>
      <c r="F45" s="755"/>
      <c r="G45" s="755"/>
      <c r="H45" s="755"/>
      <c r="I45" s="755"/>
      <c r="J45" s="755"/>
      <c r="K45" s="755"/>
      <c r="L45" s="755"/>
      <c r="M45" s="755"/>
      <c r="N45" s="755"/>
      <c r="O45" s="757"/>
      <c r="P45" s="755"/>
      <c r="Q45" s="749"/>
      <c r="R45" s="810"/>
      <c r="S45" s="811"/>
      <c r="T45" s="759"/>
      <c r="U45" s="759"/>
      <c r="V45" s="812"/>
      <c r="W45" s="758"/>
    </row>
    <row r="46" spans="1:23" s="766" customFormat="1" ht="30.75" customHeight="1">
      <c r="A46" s="760" t="s">
        <v>37</v>
      </c>
      <c r="B46" s="760" t="s">
        <v>534</v>
      </c>
      <c r="C46" s="761" t="s">
        <v>535</v>
      </c>
      <c r="D46" s="762" t="s">
        <v>536</v>
      </c>
      <c r="E46" s="762" t="s">
        <v>537</v>
      </c>
      <c r="F46" s="762" t="s">
        <v>538</v>
      </c>
      <c r="G46" s="762" t="s">
        <v>539</v>
      </c>
      <c r="H46" s="762" t="s">
        <v>540</v>
      </c>
      <c r="I46" s="762" t="s">
        <v>541</v>
      </c>
      <c r="J46" s="762" t="s">
        <v>542</v>
      </c>
      <c r="K46" s="763" t="s">
        <v>543</v>
      </c>
      <c r="L46" s="762" t="s">
        <v>544</v>
      </c>
      <c r="M46" s="763" t="s">
        <v>545</v>
      </c>
      <c r="N46" s="762" t="s">
        <v>546</v>
      </c>
      <c r="O46" s="764" t="s">
        <v>537</v>
      </c>
      <c r="P46" s="762" t="s">
        <v>547</v>
      </c>
      <c r="Q46" s="765"/>
      <c r="R46" s="760" t="s">
        <v>534</v>
      </c>
      <c r="S46" s="762" t="s">
        <v>501</v>
      </c>
      <c r="T46" s="762" t="s">
        <v>337</v>
      </c>
      <c r="U46" s="762" t="s">
        <v>538</v>
      </c>
      <c r="V46" s="762" t="s">
        <v>548</v>
      </c>
      <c r="W46" s="760" t="s">
        <v>548</v>
      </c>
    </row>
    <row r="47" spans="1:23">
      <c r="A47" s="767">
        <f>IF(B47&lt;&gt;"",ROW()-(ROW()-1),"")</f>
        <v>1</v>
      </c>
      <c r="B47" s="779" t="s">
        <v>452</v>
      </c>
      <c r="C47" s="768">
        <v>0</v>
      </c>
      <c r="D47" s="620">
        <f>ROUND(C47*O47,0)</f>
        <v>0</v>
      </c>
      <c r="E47" s="620">
        <v>8000</v>
      </c>
      <c r="F47" s="620">
        <f>P29</f>
        <v>179600.94</v>
      </c>
      <c r="G47" s="769">
        <f>(D47+E47)*F47</f>
        <v>1436807520</v>
      </c>
      <c r="H47" s="620">
        <f>IF($D$52&lt;&gt;0,H$52/($D$52+$E$52/5)*($D47+$E47/5),0)</f>
        <v>2497109.0581778265</v>
      </c>
      <c r="I47" s="620">
        <f t="shared" ref="I47:K49" si="5">IF($D$52&lt;&gt;0,I$52/$D$52*$D47,0)</f>
        <v>0</v>
      </c>
      <c r="J47" s="620">
        <f t="shared" si="5"/>
        <v>0</v>
      </c>
      <c r="K47" s="620">
        <f t="shared" si="5"/>
        <v>0</v>
      </c>
      <c r="L47" s="620">
        <f>SUM($V$57:$V$58)/SUM($O$47:$O$48)*O47</f>
        <v>9360960</v>
      </c>
      <c r="M47" s="620"/>
      <c r="N47" s="769">
        <f>SUM(G47:L47)</f>
        <v>1448665589.0581777</v>
      </c>
      <c r="O47" s="775">
        <v>8000</v>
      </c>
      <c r="P47" s="620">
        <f>IF(O47&lt;&gt;"",N47/O47,"")</f>
        <v>181083.19863227222</v>
      </c>
      <c r="Q47" s="788"/>
      <c r="R47" s="771" t="s">
        <v>339</v>
      </c>
      <c r="S47" s="772">
        <v>42431</v>
      </c>
      <c r="T47" s="234">
        <v>50</v>
      </c>
      <c r="U47" s="773">
        <v>35444.444444444445</v>
      </c>
      <c r="V47" s="769">
        <f t="shared" ref="V47:V54" si="6">ROUND(T47*U47,0)</f>
        <v>1772222</v>
      </c>
      <c r="W47" s="778"/>
    </row>
    <row r="48" spans="1:23">
      <c r="A48" s="767">
        <f>IF(B48&lt;&gt;"",A47+1,"")</f>
        <v>2</v>
      </c>
      <c r="B48" s="828" t="s">
        <v>933</v>
      </c>
      <c r="C48" s="768">
        <v>11</v>
      </c>
      <c r="D48" s="620">
        <f>ROUND(C48*O48,0)</f>
        <v>49500</v>
      </c>
      <c r="E48" s="620"/>
      <c r="F48" s="620">
        <v>13200</v>
      </c>
      <c r="G48" s="769">
        <f>(D48+E48)*F48</f>
        <v>653400000</v>
      </c>
      <c r="H48" s="620">
        <f>IF($D$52&lt;&gt;0,H$52/($D$52+$E$52/5)*($D48+$E48/5),0)</f>
        <v>77254311.487376511</v>
      </c>
      <c r="I48" s="620">
        <f t="shared" si="5"/>
        <v>26864240.681564245</v>
      </c>
      <c r="J48" s="620">
        <f t="shared" si="5"/>
        <v>34356926.815642461</v>
      </c>
      <c r="K48" s="620">
        <f t="shared" si="5"/>
        <v>31601929.374301676</v>
      </c>
      <c r="L48" s="620">
        <f>SUM($V$57:$V$58)/SUM($O$47:$O$48)*O48</f>
        <v>5265539.9999999991</v>
      </c>
      <c r="M48" s="620"/>
      <c r="N48" s="769">
        <f>SUM(G48:L48)+1</f>
        <v>828742949.35888481</v>
      </c>
      <c r="O48" s="775">
        <v>4500</v>
      </c>
      <c r="P48" s="620">
        <f>IF(O48&lt;&gt;"",N48/O48,"")</f>
        <v>184165.09985752995</v>
      </c>
      <c r="Q48" s="788"/>
      <c r="R48" s="776" t="s">
        <v>345</v>
      </c>
      <c r="S48" s="772">
        <v>42431</v>
      </c>
      <c r="T48" s="234">
        <v>20</v>
      </c>
      <c r="U48" s="234">
        <v>46741.2</v>
      </c>
      <c r="V48" s="769">
        <f t="shared" si="6"/>
        <v>934824</v>
      </c>
      <c r="W48" s="778"/>
    </row>
    <row r="49" spans="1:23">
      <c r="A49" s="767">
        <f>IF(B49&lt;&gt;"",A48+1,"")</f>
        <v>3</v>
      </c>
      <c r="B49" s="828" t="s">
        <v>453</v>
      </c>
      <c r="C49" s="768">
        <v>8</v>
      </c>
      <c r="D49" s="620">
        <f>ROUND(C49*O49,0)</f>
        <v>40000</v>
      </c>
      <c r="E49" s="620"/>
      <c r="F49" s="620">
        <v>18500</v>
      </c>
      <c r="G49" s="769">
        <f>(D49+E49)*F49</f>
        <v>740000000</v>
      </c>
      <c r="H49" s="620">
        <f>IF($D$52&lt;&gt;0,H$52/($D$52+$E$52/5)*($D49+$E49/5),0)</f>
        <v>62427726.454445668</v>
      </c>
      <c r="I49" s="620">
        <f t="shared" si="5"/>
        <v>21708477.318435751</v>
      </c>
      <c r="J49" s="620">
        <f t="shared" si="5"/>
        <v>27763173.184357543</v>
      </c>
      <c r="K49" s="620">
        <f t="shared" si="5"/>
        <v>25536912.625698324</v>
      </c>
      <c r="L49" s="620">
        <f>V59</f>
        <v>12059070</v>
      </c>
      <c r="M49" s="620"/>
      <c r="N49" s="769">
        <f>SUM(G49:L49)</f>
        <v>889495359.58293736</v>
      </c>
      <c r="O49" s="775">
        <v>5000</v>
      </c>
      <c r="P49" s="620">
        <f>IF(O49&lt;&gt;"",N49/O49,"")</f>
        <v>177899.07191658748</v>
      </c>
      <c r="Q49" s="788"/>
      <c r="R49" s="776" t="s">
        <v>348</v>
      </c>
      <c r="S49" s="772">
        <v>42431</v>
      </c>
      <c r="T49" s="799">
        <v>150</v>
      </c>
      <c r="U49" s="777">
        <v>13571.429</v>
      </c>
      <c r="V49" s="769">
        <f t="shared" si="6"/>
        <v>2035714</v>
      </c>
      <c r="W49" s="778"/>
    </row>
    <row r="50" spans="1:23">
      <c r="A50" s="767" t="str">
        <f>IF(B50&lt;&gt;"",#REF!+1,"")</f>
        <v/>
      </c>
      <c r="B50" s="828"/>
      <c r="C50" s="768"/>
      <c r="D50" s="620"/>
      <c r="E50" s="620"/>
      <c r="F50" s="620"/>
      <c r="G50" s="769"/>
      <c r="H50" s="620"/>
      <c r="I50" s="620"/>
      <c r="J50" s="620"/>
      <c r="K50" s="620"/>
      <c r="L50" s="620"/>
      <c r="M50" s="620"/>
      <c r="N50" s="769">
        <f>SUM(G50:L50)</f>
        <v>0</v>
      </c>
      <c r="O50" s="775"/>
      <c r="P50" s="620"/>
      <c r="Q50" s="788"/>
      <c r="R50" s="776" t="s">
        <v>224</v>
      </c>
      <c r="S50" s="772">
        <v>42431</v>
      </c>
      <c r="T50" s="799">
        <v>200</v>
      </c>
      <c r="U50" s="777">
        <v>21979.791919191921</v>
      </c>
      <c r="V50" s="769">
        <f t="shared" si="6"/>
        <v>4395958</v>
      </c>
      <c r="W50" s="778"/>
    </row>
    <row r="51" spans="1:23" s="789" customFormat="1">
      <c r="A51" s="767" t="str">
        <f>IF(B51&lt;&gt;"",#REF!+1,"")</f>
        <v/>
      </c>
      <c r="B51" s="828"/>
      <c r="C51" s="768"/>
      <c r="D51" s="620"/>
      <c r="E51" s="620"/>
      <c r="F51" s="620"/>
      <c r="G51" s="769"/>
      <c r="H51" s="620"/>
      <c r="I51" s="620"/>
      <c r="J51" s="620"/>
      <c r="K51" s="620"/>
      <c r="L51" s="620"/>
      <c r="M51" s="620"/>
      <c r="N51" s="769"/>
      <c r="O51" s="775"/>
      <c r="P51" s="620"/>
      <c r="Q51" s="788"/>
      <c r="R51" s="776" t="s">
        <v>353</v>
      </c>
      <c r="S51" s="772">
        <v>42431</v>
      </c>
      <c r="T51" s="799">
        <v>50</v>
      </c>
      <c r="U51" s="234">
        <v>3500</v>
      </c>
      <c r="V51" s="769">
        <f t="shared" si="6"/>
        <v>175000</v>
      </c>
      <c r="W51" s="778"/>
    </row>
    <row r="52" spans="1:23" s="744" customFormat="1">
      <c r="A52" s="790"/>
      <c r="B52" s="791" t="s">
        <v>549</v>
      </c>
      <c r="C52" s="792"/>
      <c r="D52" s="793">
        <f>SUM(D47:D51)</f>
        <v>89500</v>
      </c>
      <c r="E52" s="793">
        <f>SUM(E47:E51)</f>
        <v>8000</v>
      </c>
      <c r="F52" s="793"/>
      <c r="G52" s="793">
        <f>SUM(G47:G51)</f>
        <v>2830207520</v>
      </c>
      <c r="H52" s="794">
        <v>142179147</v>
      </c>
      <c r="I52" s="794">
        <f>V56</f>
        <v>48572718</v>
      </c>
      <c r="J52" s="794">
        <v>62120100</v>
      </c>
      <c r="K52" s="794">
        <v>57138842</v>
      </c>
      <c r="L52" s="793">
        <f>ROUND(SUM(L47:L51),0)</f>
        <v>26685570</v>
      </c>
      <c r="M52" s="793">
        <f>ROUND(SUM(M47:M51),0)</f>
        <v>0</v>
      </c>
      <c r="N52" s="793">
        <f>ROUND(SUM(N47:N51),0)</f>
        <v>3166903898</v>
      </c>
      <c r="O52" s="793">
        <f>ROUND(SUM(O47:O51),0)</f>
        <v>17500</v>
      </c>
      <c r="P52" s="793"/>
      <c r="Q52" s="749"/>
      <c r="R52" s="776" t="s">
        <v>356</v>
      </c>
      <c r="S52" s="772">
        <v>42434</v>
      </c>
      <c r="T52" s="799">
        <v>2160</v>
      </c>
      <c r="U52" s="234">
        <v>14900</v>
      </c>
      <c r="V52" s="769">
        <f t="shared" si="6"/>
        <v>32184000</v>
      </c>
      <c r="W52" s="778"/>
    </row>
    <row r="53" spans="1:23" s="744" customFormat="1">
      <c r="A53" s="795"/>
      <c r="B53" s="796"/>
      <c r="C53" s="753"/>
      <c r="D53" s="797"/>
      <c r="E53" s="797"/>
      <c r="F53" s="797"/>
      <c r="G53" s="797"/>
      <c r="H53" s="751"/>
      <c r="I53" s="751"/>
      <c r="J53" s="751"/>
      <c r="K53" s="751"/>
      <c r="L53" s="751"/>
      <c r="M53" s="797"/>
      <c r="N53" s="797"/>
      <c r="O53" s="797"/>
      <c r="P53" s="797"/>
      <c r="Q53" s="749"/>
      <c r="R53" s="776" t="s">
        <v>359</v>
      </c>
      <c r="S53" s="772">
        <v>42434</v>
      </c>
      <c r="T53" s="799">
        <v>250</v>
      </c>
      <c r="U53" s="234">
        <v>8500</v>
      </c>
      <c r="V53" s="769">
        <f t="shared" si="6"/>
        <v>2125000</v>
      </c>
      <c r="W53" s="778"/>
    </row>
    <row r="54" spans="1:23" s="744" customFormat="1">
      <c r="A54" s="795"/>
      <c r="B54" s="796"/>
      <c r="C54" s="753"/>
      <c r="D54" s="797"/>
      <c r="E54" s="797"/>
      <c r="F54" s="797"/>
      <c r="G54" s="797"/>
      <c r="H54" s="751"/>
      <c r="I54" s="751"/>
      <c r="J54" s="751"/>
      <c r="K54" s="751"/>
      <c r="L54" s="751"/>
      <c r="M54" s="797"/>
      <c r="N54" s="797">
        <v>3166903897</v>
      </c>
      <c r="O54" s="797"/>
      <c r="P54" s="797"/>
      <c r="Q54" s="749"/>
      <c r="R54" s="776" t="s">
        <v>363</v>
      </c>
      <c r="S54" s="772">
        <v>42434</v>
      </c>
      <c r="T54" s="799">
        <v>150</v>
      </c>
      <c r="U54" s="799">
        <v>33000</v>
      </c>
      <c r="V54" s="769">
        <f t="shared" si="6"/>
        <v>4950000</v>
      </c>
      <c r="W54" s="778"/>
    </row>
    <row r="55" spans="1:23" s="744" customFormat="1">
      <c r="A55" s="795"/>
      <c r="B55" s="796"/>
      <c r="C55" s="753"/>
      <c r="D55" s="797"/>
      <c r="E55" s="797"/>
      <c r="F55" s="797"/>
      <c r="G55" s="797"/>
      <c r="H55" s="751"/>
      <c r="I55" s="751"/>
      <c r="J55" s="751"/>
      <c r="K55" s="751"/>
      <c r="L55" s="751"/>
      <c r="M55" s="797"/>
      <c r="N55" s="797"/>
      <c r="O55" s="797"/>
      <c r="P55" s="797"/>
      <c r="Q55" s="749"/>
      <c r="R55" s="830"/>
      <c r="S55" s="772"/>
      <c r="T55" s="831"/>
      <c r="U55" s="831"/>
      <c r="V55" s="831"/>
      <c r="W55" s="832"/>
    </row>
    <row r="56" spans="1:23" s="744" customFormat="1">
      <c r="A56" s="795"/>
      <c r="B56" s="796"/>
      <c r="C56" s="753"/>
      <c r="D56" s="797"/>
      <c r="E56" s="797"/>
      <c r="F56" s="797"/>
      <c r="G56" s="797"/>
      <c r="H56" s="797"/>
      <c r="I56" s="751"/>
      <c r="J56" s="797"/>
      <c r="K56" s="797"/>
      <c r="L56" s="797"/>
      <c r="M56" s="797"/>
      <c r="N56" s="797"/>
      <c r="O56" s="797"/>
      <c r="P56" s="797"/>
      <c r="Q56" s="749"/>
      <c r="R56" s="822"/>
      <c r="S56" s="823"/>
      <c r="T56" s="824"/>
      <c r="U56" s="802"/>
      <c r="V56" s="803">
        <f>SUM(V47:V55)</f>
        <v>48572718</v>
      </c>
      <c r="W56" s="803">
        <f>SUM(W47:W52)</f>
        <v>0</v>
      </c>
    </row>
    <row r="57" spans="1:23" s="744" customFormat="1">
      <c r="A57" s="795"/>
      <c r="B57" s="796"/>
      <c r="C57" s="753"/>
      <c r="D57" s="797"/>
      <c r="E57" s="797"/>
      <c r="F57" s="797"/>
      <c r="G57" s="797"/>
      <c r="H57" s="797"/>
      <c r="I57" s="751"/>
      <c r="J57" s="797"/>
      <c r="K57" s="797"/>
      <c r="L57" s="797"/>
      <c r="M57" s="797"/>
      <c r="N57" s="797"/>
      <c r="O57" s="797"/>
      <c r="P57" s="797"/>
      <c r="Q57" s="749"/>
      <c r="R57" s="825" t="s">
        <v>390</v>
      </c>
      <c r="S57" s="772">
        <v>42439</v>
      </c>
      <c r="T57" s="234">
        <v>922</v>
      </c>
      <c r="U57" s="234">
        <v>12000</v>
      </c>
      <c r="V57" s="769">
        <f t="shared" ref="V57:V62" si="7">ROUND(T57*U57,0)</f>
        <v>11064000</v>
      </c>
      <c r="W57" s="769"/>
    </row>
    <row r="58" spans="1:23" s="744" customFormat="1">
      <c r="A58" s="795"/>
      <c r="B58" s="796"/>
      <c r="C58" s="753"/>
      <c r="D58" s="797"/>
      <c r="E58" s="797"/>
      <c r="F58" s="797"/>
      <c r="G58" s="798"/>
      <c r="H58" s="797"/>
      <c r="I58" s="751"/>
      <c r="J58" s="797"/>
      <c r="K58" s="797"/>
      <c r="L58" s="797"/>
      <c r="M58" s="797"/>
      <c r="N58" s="833"/>
      <c r="O58" s="797"/>
      <c r="P58" s="797"/>
      <c r="Q58" s="749"/>
      <c r="R58" s="825" t="s">
        <v>392</v>
      </c>
      <c r="S58" s="772">
        <v>42439</v>
      </c>
      <c r="T58" s="777">
        <v>375</v>
      </c>
      <c r="U58" s="777">
        <v>9500</v>
      </c>
      <c r="V58" s="769">
        <f t="shared" si="7"/>
        <v>3562500</v>
      </c>
      <c r="W58" s="785"/>
    </row>
    <row r="59" spans="1:23" s="744" customFormat="1">
      <c r="A59" s="795"/>
      <c r="B59" s="796"/>
      <c r="C59" s="753"/>
      <c r="D59" s="797"/>
      <c r="E59" s="797"/>
      <c r="F59" s="797"/>
      <c r="G59" s="798"/>
      <c r="H59" s="797"/>
      <c r="I59" s="751"/>
      <c r="J59" s="797"/>
      <c r="K59" s="797"/>
      <c r="L59" s="797"/>
      <c r="M59" s="797"/>
      <c r="N59" s="833"/>
      <c r="O59" s="797"/>
      <c r="P59" s="797"/>
      <c r="Q59" s="749"/>
      <c r="R59" s="825" t="s">
        <v>384</v>
      </c>
      <c r="S59" s="772">
        <v>42459</v>
      </c>
      <c r="T59" s="234">
        <v>2700</v>
      </c>
      <c r="U59" s="234">
        <v>4466.322284402353</v>
      </c>
      <c r="V59" s="769">
        <f t="shared" si="7"/>
        <v>12059070</v>
      </c>
      <c r="W59" s="785"/>
    </row>
    <row r="60" spans="1:23" s="744" customFormat="1">
      <c r="A60" s="795"/>
      <c r="B60" s="796"/>
      <c r="C60" s="753"/>
      <c r="D60" s="797"/>
      <c r="E60" s="797"/>
      <c r="F60" s="797"/>
      <c r="G60" s="797"/>
      <c r="H60" s="797"/>
      <c r="I60" s="751"/>
      <c r="J60" s="797"/>
      <c r="K60" s="797"/>
      <c r="L60" s="797"/>
      <c r="M60" s="797"/>
      <c r="N60" s="797"/>
      <c r="O60" s="797"/>
      <c r="P60" s="797"/>
      <c r="Q60" s="749"/>
      <c r="R60" s="825"/>
      <c r="S60" s="772"/>
      <c r="T60" s="777"/>
      <c r="U60" s="777"/>
      <c r="V60" s="769">
        <f t="shared" si="7"/>
        <v>0</v>
      </c>
      <c r="W60" s="785"/>
    </row>
    <row r="61" spans="1:23">
      <c r="R61" s="825"/>
      <c r="S61" s="772"/>
      <c r="T61" s="777"/>
      <c r="U61" s="777"/>
      <c r="V61" s="769">
        <f t="shared" si="7"/>
        <v>0</v>
      </c>
      <c r="W61" s="785"/>
    </row>
    <row r="62" spans="1:23">
      <c r="R62" s="825"/>
      <c r="S62" s="772"/>
      <c r="T62" s="234"/>
      <c r="U62" s="234"/>
      <c r="V62" s="769">
        <f t="shared" si="7"/>
        <v>0</v>
      </c>
      <c r="W62" s="785"/>
    </row>
    <row r="63" spans="1:23" ht="18" customHeight="1">
      <c r="A63" s="744" t="s">
        <v>532</v>
      </c>
      <c r="B63" s="744"/>
      <c r="C63" s="745"/>
      <c r="D63" s="746"/>
      <c r="E63" s="746"/>
      <c r="F63" s="746"/>
      <c r="G63" s="743"/>
      <c r="H63" s="743"/>
      <c r="I63" s="743"/>
      <c r="J63" s="743"/>
      <c r="K63" s="743"/>
      <c r="L63" s="747"/>
      <c r="M63" s="743"/>
      <c r="N63" s="743"/>
      <c r="O63" s="748"/>
      <c r="P63" s="743"/>
      <c r="Q63" s="749"/>
      <c r="R63" s="743"/>
      <c r="S63" s="750"/>
    </row>
    <row r="64" spans="1:23" ht="18.75" customHeight="1">
      <c r="A64" s="751" t="s">
        <v>552</v>
      </c>
      <c r="B64" s="751"/>
      <c r="C64" s="751"/>
      <c r="D64" s="751"/>
      <c r="E64" s="751"/>
      <c r="F64" s="751"/>
      <c r="G64" s="751"/>
      <c r="H64" s="751"/>
      <c r="I64" s="751"/>
      <c r="J64" s="751"/>
      <c r="K64" s="751"/>
      <c r="L64" s="751"/>
      <c r="M64" s="751"/>
      <c r="N64" s="751"/>
      <c r="O64" s="751"/>
      <c r="P64" s="751"/>
      <c r="Q64" s="749"/>
      <c r="R64" s="743"/>
      <c r="S64" s="750"/>
    </row>
    <row r="65" spans="1:23" ht="18.75" customHeight="1">
      <c r="A65" s="752"/>
      <c r="B65" s="752"/>
      <c r="C65" s="753"/>
      <c r="D65" s="752"/>
      <c r="E65" s="752"/>
      <c r="F65" s="752"/>
      <c r="G65" s="752"/>
      <c r="H65" s="752"/>
      <c r="I65" s="752"/>
      <c r="J65" s="752"/>
      <c r="K65" s="752"/>
      <c r="L65" s="751"/>
      <c r="M65" s="752"/>
      <c r="N65" s="752"/>
      <c r="O65" s="754"/>
      <c r="P65" s="752"/>
      <c r="Q65" s="749"/>
      <c r="R65" s="743"/>
      <c r="S65" s="750"/>
    </row>
    <row r="66" spans="1:23" ht="12.75" customHeight="1">
      <c r="A66" s="755"/>
      <c r="B66" s="755"/>
      <c r="C66" s="756"/>
      <c r="D66" s="755"/>
      <c r="E66" s="755"/>
      <c r="F66" s="755"/>
      <c r="G66" s="755"/>
      <c r="H66" s="755"/>
      <c r="I66" s="755"/>
      <c r="J66" s="755"/>
      <c r="K66" s="755"/>
      <c r="L66" s="755"/>
      <c r="M66" s="755"/>
      <c r="N66" s="755"/>
      <c r="O66" s="757"/>
      <c r="P66" s="755"/>
      <c r="Q66" s="749"/>
      <c r="R66" s="743"/>
      <c r="S66" s="750"/>
    </row>
    <row r="67" spans="1:23" s="766" customFormat="1" ht="30.75" customHeight="1">
      <c r="A67" s="760" t="s">
        <v>37</v>
      </c>
      <c r="B67" s="760" t="s">
        <v>534</v>
      </c>
      <c r="C67" s="761" t="s">
        <v>535</v>
      </c>
      <c r="D67" s="762" t="s">
        <v>536</v>
      </c>
      <c r="E67" s="762" t="s">
        <v>537</v>
      </c>
      <c r="F67" s="762" t="s">
        <v>538</v>
      </c>
      <c r="G67" s="762" t="s">
        <v>539</v>
      </c>
      <c r="H67" s="762" t="s">
        <v>540</v>
      </c>
      <c r="I67" s="762" t="s">
        <v>541</v>
      </c>
      <c r="J67" s="762" t="s">
        <v>542</v>
      </c>
      <c r="K67" s="763" t="s">
        <v>543</v>
      </c>
      <c r="L67" s="762" t="s">
        <v>544</v>
      </c>
      <c r="M67" s="763" t="s">
        <v>545</v>
      </c>
      <c r="N67" s="762" t="s">
        <v>546</v>
      </c>
      <c r="O67" s="764" t="s">
        <v>537</v>
      </c>
      <c r="P67" s="762" t="s">
        <v>547</v>
      </c>
      <c r="Q67" s="765"/>
      <c r="R67" s="760" t="s">
        <v>534</v>
      </c>
      <c r="S67" s="762" t="s">
        <v>501</v>
      </c>
      <c r="T67" s="762" t="s">
        <v>337</v>
      </c>
      <c r="U67" s="762" t="s">
        <v>538</v>
      </c>
      <c r="V67" s="762" t="s">
        <v>548</v>
      </c>
      <c r="W67" s="760" t="s">
        <v>548</v>
      </c>
    </row>
    <row r="68" spans="1:23">
      <c r="A68" s="834">
        <f>IF(B68&lt;&gt;"",ROW()-(ROW()-1),"")</f>
        <v>1</v>
      </c>
      <c r="B68" s="828" t="s">
        <v>453</v>
      </c>
      <c r="C68" s="768"/>
      <c r="D68" s="620">
        <f>ROUND(C68*O68,0)</f>
        <v>0</v>
      </c>
      <c r="E68" s="620">
        <f>O49</f>
        <v>5000</v>
      </c>
      <c r="F68" s="620">
        <f>P49</f>
        <v>177899.07191658748</v>
      </c>
      <c r="G68" s="769">
        <f>(D68+E68)*F68</f>
        <v>889495359.58293736</v>
      </c>
      <c r="H68" s="620">
        <f>IF($D$72&lt;&gt;0,H$72/($D$72+$E$72/5)*($D68+$E68/5),0)</f>
        <v>4282730.7961783437</v>
      </c>
      <c r="I68" s="620">
        <f t="shared" ref="I68:K69" si="8">IF($D$72&lt;&gt;0,I$72/$D$72*$D68,0)</f>
        <v>0</v>
      </c>
      <c r="J68" s="620">
        <f t="shared" si="8"/>
        <v>0</v>
      </c>
      <c r="K68" s="620">
        <f t="shared" si="8"/>
        <v>0</v>
      </c>
      <c r="L68" s="620">
        <f>($V$77+$V$78)/$O$72*O68</f>
        <v>47784090.909090906</v>
      </c>
      <c r="M68" s="620"/>
      <c r="N68" s="769">
        <f>ROUND(SUM(G68:L68),0)</f>
        <v>941562181</v>
      </c>
      <c r="O68" s="775">
        <v>5000</v>
      </c>
      <c r="P68" s="620">
        <f>IF(O68&lt;&gt;"",N68/O68,"")</f>
        <v>188312.4362</v>
      </c>
      <c r="Q68" s="788"/>
      <c r="R68" s="771" t="s">
        <v>339</v>
      </c>
      <c r="S68" s="835">
        <v>42461</v>
      </c>
      <c r="T68" s="234">
        <v>20</v>
      </c>
      <c r="U68" s="773">
        <v>35444.444444444445</v>
      </c>
      <c r="V68" s="769">
        <f t="shared" ref="V68:V74" si="9">ROUND(T68*U68,0)</f>
        <v>708889</v>
      </c>
      <c r="W68" s="769"/>
    </row>
    <row r="69" spans="1:23">
      <c r="A69" s="836">
        <f>IF(B69&lt;&gt;"",A68+1,"")</f>
        <v>2</v>
      </c>
      <c r="B69" s="828" t="s">
        <v>1358</v>
      </c>
      <c r="C69" s="768">
        <v>8</v>
      </c>
      <c r="D69" s="620">
        <f>ROUND(C69*O69,0)</f>
        <v>30400</v>
      </c>
      <c r="E69" s="620"/>
      <c r="F69" s="620">
        <v>15500</v>
      </c>
      <c r="G69" s="769">
        <f>(D69+E69)*F69</f>
        <v>471200000</v>
      </c>
      <c r="H69" s="620">
        <f>IF($D$72&lt;&gt;0,H$72/($D$72+$E$72/5)*($D69+$E69/5),0)</f>
        <v>130195016.20382164</v>
      </c>
      <c r="I69" s="620">
        <f t="shared" si="8"/>
        <v>15435775</v>
      </c>
      <c r="J69" s="620">
        <f t="shared" si="8"/>
        <v>76559800</v>
      </c>
      <c r="K69" s="620">
        <f t="shared" si="8"/>
        <v>57138842</v>
      </c>
      <c r="L69" s="620">
        <f>($V$77+$V$78)/$O$72*O69</f>
        <v>36315909.090909094</v>
      </c>
      <c r="M69" s="620"/>
      <c r="N69" s="769">
        <f>ROUND(SUM(G69:L69),0)</f>
        <v>786845342</v>
      </c>
      <c r="O69" s="775">
        <v>3800</v>
      </c>
      <c r="P69" s="620">
        <f>IF(O69&lt;&gt;"",N69/O69,"")</f>
        <v>207064.56368421053</v>
      </c>
      <c r="Q69" s="788"/>
      <c r="R69" s="776" t="s">
        <v>345</v>
      </c>
      <c r="S69" s="835">
        <v>42461</v>
      </c>
      <c r="T69" s="234">
        <v>50</v>
      </c>
      <c r="U69" s="777">
        <v>46741.2</v>
      </c>
      <c r="V69" s="769">
        <f t="shared" si="9"/>
        <v>2337060</v>
      </c>
      <c r="W69" s="785"/>
    </row>
    <row r="70" spans="1:23">
      <c r="A70" s="836" t="str">
        <f>IF(B70&lt;&gt;"",A69+1,"")</f>
        <v/>
      </c>
      <c r="B70" s="828"/>
      <c r="C70" s="768"/>
      <c r="D70" s="620">
        <f>ROUND(C70*O70,0)</f>
        <v>0</v>
      </c>
      <c r="E70" s="620"/>
      <c r="F70" s="620"/>
      <c r="G70" s="769">
        <f>(D70+E70)*F70</f>
        <v>0</v>
      </c>
      <c r="H70" s="620">
        <f>IF($D$72&lt;&gt;0,H$72/($D$72+$E$72/5)*($D70+$E70/5),0)</f>
        <v>0</v>
      </c>
      <c r="I70" s="620">
        <f t="shared" ref="I70:K71" si="10">IF($D$72&lt;&gt;0,I$72/$D$72*$D70,0)</f>
        <v>0</v>
      </c>
      <c r="J70" s="620">
        <f t="shared" si="10"/>
        <v>0</v>
      </c>
      <c r="K70" s="620">
        <f t="shared" si="10"/>
        <v>0</v>
      </c>
      <c r="L70" s="620">
        <f>($V$77+$V$78)/$O$72*O70</f>
        <v>0</v>
      </c>
      <c r="M70" s="620"/>
      <c r="N70" s="769">
        <f>ROUND(SUM(G70:L70),0)</f>
        <v>0</v>
      </c>
      <c r="O70" s="775"/>
      <c r="P70" s="620" t="str">
        <f>IF(O70&lt;&gt;"",N70/O70,"")</f>
        <v/>
      </c>
      <c r="Q70" s="788"/>
      <c r="R70" s="776" t="s">
        <v>348</v>
      </c>
      <c r="S70" s="835">
        <v>42461</v>
      </c>
      <c r="T70" s="234">
        <v>250</v>
      </c>
      <c r="U70" s="777">
        <v>13571.429</v>
      </c>
      <c r="V70" s="769">
        <f t="shared" si="9"/>
        <v>3392857</v>
      </c>
      <c r="W70" s="785"/>
    </row>
    <row r="71" spans="1:23">
      <c r="A71" s="836" t="str">
        <f>IF(B71&lt;&gt;"",A70+1,"")</f>
        <v/>
      </c>
      <c r="B71" s="828"/>
      <c r="C71" s="768"/>
      <c r="D71" s="620">
        <f>ROUND(C71*O71,0)</f>
        <v>0</v>
      </c>
      <c r="E71" s="620"/>
      <c r="F71" s="620"/>
      <c r="G71" s="769">
        <f>(D71+E71)*F71</f>
        <v>0</v>
      </c>
      <c r="H71" s="620">
        <f>IF($D$72&lt;&gt;0,H$72/($D$72+$E$72/5)*($D71+$E71/5),0)</f>
        <v>0</v>
      </c>
      <c r="I71" s="620">
        <f t="shared" si="10"/>
        <v>0</v>
      </c>
      <c r="J71" s="620">
        <f t="shared" si="10"/>
        <v>0</v>
      </c>
      <c r="K71" s="620">
        <f t="shared" si="10"/>
        <v>0</v>
      </c>
      <c r="L71" s="620">
        <f>($V$77+$V$78)/$O$72*O71</f>
        <v>0</v>
      </c>
      <c r="M71" s="620"/>
      <c r="N71" s="769">
        <f>ROUND(SUM(G71:L71),0)</f>
        <v>0</v>
      </c>
      <c r="O71" s="775"/>
      <c r="P71" s="620" t="str">
        <f>IF(O71&lt;&gt;"",N71/O71,"")</f>
        <v/>
      </c>
      <c r="Q71" s="788"/>
      <c r="R71" s="776" t="s">
        <v>224</v>
      </c>
      <c r="S71" s="835">
        <v>42461</v>
      </c>
      <c r="T71" s="234">
        <v>150</v>
      </c>
      <c r="U71" s="777">
        <v>21979.791919191921</v>
      </c>
      <c r="V71" s="769">
        <f t="shared" si="9"/>
        <v>3296969</v>
      </c>
      <c r="W71" s="785"/>
    </row>
    <row r="72" spans="1:23" s="789" customFormat="1">
      <c r="A72" s="790"/>
      <c r="B72" s="791" t="s">
        <v>549</v>
      </c>
      <c r="C72" s="792"/>
      <c r="D72" s="793">
        <f>SUM(D68:D69)</f>
        <v>30400</v>
      </c>
      <c r="E72" s="793">
        <f>SUM(E68:E69)</f>
        <v>5000</v>
      </c>
      <c r="F72" s="793"/>
      <c r="G72" s="793">
        <f>SUM(G68:G69)</f>
        <v>1360695359.5829372</v>
      </c>
      <c r="H72" s="794">
        <v>134477747</v>
      </c>
      <c r="I72" s="794">
        <f>V76</f>
        <v>15435775</v>
      </c>
      <c r="J72" s="794">
        <v>76559800</v>
      </c>
      <c r="K72" s="794">
        <v>57138842</v>
      </c>
      <c r="L72" s="793">
        <f>ROUND(SUM(L68:L71),0)</f>
        <v>84100000</v>
      </c>
      <c r="M72" s="793">
        <f>ROUND(SUM(M68:M71),0)</f>
        <v>0</v>
      </c>
      <c r="N72" s="793">
        <f>ROUND(SUM(N68:N71),0)</f>
        <v>1728407523</v>
      </c>
      <c r="O72" s="793">
        <f>ROUND(SUM(O68:O71),0)</f>
        <v>8800</v>
      </c>
      <c r="P72" s="793"/>
      <c r="Q72" s="788"/>
      <c r="R72" s="776" t="s">
        <v>353</v>
      </c>
      <c r="S72" s="835">
        <v>42461</v>
      </c>
      <c r="T72" s="799">
        <v>1000</v>
      </c>
      <c r="U72" s="777">
        <v>3200</v>
      </c>
      <c r="V72" s="769">
        <f t="shared" si="9"/>
        <v>3200000</v>
      </c>
      <c r="W72" s="785"/>
    </row>
    <row r="73" spans="1:23">
      <c r="Q73" s="788"/>
      <c r="R73" s="776" t="s">
        <v>359</v>
      </c>
      <c r="S73" s="835">
        <v>42470</v>
      </c>
      <c r="T73" s="234">
        <v>100</v>
      </c>
      <c r="U73" s="777">
        <v>8500</v>
      </c>
      <c r="V73" s="769">
        <f t="shared" si="9"/>
        <v>850000</v>
      </c>
      <c r="W73" s="785"/>
    </row>
    <row r="74" spans="1:23">
      <c r="N74" s="743">
        <v>1728407524</v>
      </c>
      <c r="Q74" s="788"/>
      <c r="R74" s="776" t="s">
        <v>363</v>
      </c>
      <c r="S74" s="835">
        <v>42470</v>
      </c>
      <c r="T74" s="234">
        <v>50</v>
      </c>
      <c r="U74" s="777">
        <v>33000</v>
      </c>
      <c r="V74" s="769">
        <f t="shared" si="9"/>
        <v>1650000</v>
      </c>
      <c r="W74" s="785"/>
    </row>
    <row r="75" spans="1:23">
      <c r="N75" s="743"/>
      <c r="Q75" s="788"/>
      <c r="R75" s="839"/>
      <c r="S75" s="772"/>
      <c r="T75" s="234"/>
      <c r="U75" s="234"/>
      <c r="V75" s="785"/>
      <c r="W75" s="785"/>
    </row>
    <row r="76" spans="1:23">
      <c r="N76" s="743"/>
      <c r="R76" s="822"/>
      <c r="S76" s="823"/>
      <c r="T76" s="824"/>
      <c r="U76" s="840"/>
      <c r="V76" s="803">
        <f>SUM(V68:V75)</f>
        <v>15435775</v>
      </c>
      <c r="W76" s="803">
        <f>SUM(W68:W75)</f>
        <v>0</v>
      </c>
    </row>
    <row r="77" spans="1:23">
      <c r="N77" s="743"/>
      <c r="R77" s="799" t="s">
        <v>401</v>
      </c>
      <c r="S77" s="835">
        <v>42470</v>
      </c>
      <c r="T77" s="234">
        <v>1250</v>
      </c>
      <c r="U77" s="234">
        <v>18000</v>
      </c>
      <c r="V77" s="769">
        <f>ROUND(T77*U77,0)</f>
        <v>22500000</v>
      </c>
      <c r="W77" s="769"/>
    </row>
    <row r="78" spans="1:23">
      <c r="N78" s="743"/>
      <c r="R78" s="799" t="s">
        <v>653</v>
      </c>
      <c r="S78" s="835">
        <v>42470</v>
      </c>
      <c r="T78" s="234">
        <v>4400</v>
      </c>
      <c r="U78" s="234">
        <v>14000</v>
      </c>
      <c r="V78" s="769">
        <f>ROUND(T78*U78,0)</f>
        <v>61600000</v>
      </c>
      <c r="W78" s="785"/>
    </row>
    <row r="79" spans="1:23">
      <c r="R79" s="799"/>
      <c r="S79" s="772"/>
      <c r="T79" s="777"/>
      <c r="U79" s="777"/>
      <c r="V79" s="769">
        <f>ROUND(T79*U79,0)</f>
        <v>0</v>
      </c>
      <c r="W79" s="785"/>
    </row>
    <row r="80" spans="1:23">
      <c r="R80" s="799"/>
      <c r="S80" s="772"/>
      <c r="T80" s="777"/>
      <c r="U80" s="777"/>
      <c r="V80" s="769">
        <f>ROUND(T80*U80,0)</f>
        <v>0</v>
      </c>
      <c r="W80" s="785"/>
    </row>
    <row r="81" spans="1:23" ht="18" customHeight="1">
      <c r="A81" s="744" t="s">
        <v>532</v>
      </c>
      <c r="B81" s="744"/>
      <c r="C81" s="745"/>
      <c r="D81" s="746"/>
      <c r="E81" s="746"/>
      <c r="F81" s="746"/>
      <c r="G81" s="743"/>
      <c r="H81" s="743"/>
      <c r="I81" s="743"/>
      <c r="J81" s="743"/>
      <c r="K81" s="743"/>
      <c r="L81" s="747"/>
      <c r="M81" s="743"/>
      <c r="N81" s="743"/>
      <c r="O81" s="748"/>
      <c r="P81" s="743"/>
      <c r="Q81" s="749"/>
      <c r="R81" s="743"/>
      <c r="S81" s="750"/>
    </row>
    <row r="82" spans="1:23" ht="18.75" customHeight="1">
      <c r="A82" s="751" t="s">
        <v>553</v>
      </c>
      <c r="B82" s="751"/>
      <c r="C82" s="751"/>
      <c r="D82" s="751"/>
      <c r="E82" s="751"/>
      <c r="F82" s="751"/>
      <c r="G82" s="751"/>
      <c r="H82" s="751"/>
      <c r="I82" s="751"/>
      <c r="J82" s="751"/>
      <c r="K82" s="751"/>
      <c r="L82" s="751"/>
      <c r="M82" s="751"/>
      <c r="N82" s="751"/>
      <c r="O82" s="751"/>
      <c r="P82" s="751"/>
      <c r="Q82" s="749"/>
      <c r="R82" s="743"/>
      <c r="S82" s="750"/>
    </row>
    <row r="83" spans="1:23" ht="18.75" customHeight="1">
      <c r="A83" s="752"/>
      <c r="B83" s="752"/>
      <c r="C83" s="753"/>
      <c r="D83" s="752"/>
      <c r="E83" s="752"/>
      <c r="F83" s="752"/>
      <c r="G83" s="752"/>
      <c r="H83" s="752"/>
      <c r="I83" s="752"/>
      <c r="J83" s="752"/>
      <c r="K83" s="752"/>
      <c r="L83" s="751"/>
      <c r="M83" s="752"/>
      <c r="N83" s="752"/>
      <c r="O83" s="754"/>
      <c r="P83" s="752"/>
      <c r="Q83" s="749"/>
      <c r="R83" s="743"/>
      <c r="S83" s="750"/>
    </row>
    <row r="84" spans="1:23" ht="12.75" customHeight="1">
      <c r="A84" s="755"/>
      <c r="B84" s="755"/>
      <c r="C84" s="756"/>
      <c r="D84" s="755"/>
      <c r="E84" s="755"/>
      <c r="F84" s="755"/>
      <c r="G84" s="755"/>
      <c r="H84" s="755"/>
      <c r="I84" s="755"/>
      <c r="J84" s="755"/>
      <c r="K84" s="755"/>
      <c r="L84" s="755"/>
      <c r="M84" s="755"/>
      <c r="N84" s="755"/>
      <c r="O84" s="757"/>
      <c r="P84" s="755"/>
      <c r="Q84" s="749"/>
      <c r="R84" s="743"/>
      <c r="S84" s="750"/>
    </row>
    <row r="85" spans="1:23" s="766" customFormat="1" ht="30.75" customHeight="1">
      <c r="A85" s="760" t="s">
        <v>37</v>
      </c>
      <c r="B85" s="760" t="s">
        <v>534</v>
      </c>
      <c r="C85" s="761" t="s">
        <v>535</v>
      </c>
      <c r="D85" s="762" t="s">
        <v>536</v>
      </c>
      <c r="E85" s="762" t="s">
        <v>537</v>
      </c>
      <c r="F85" s="762" t="s">
        <v>538</v>
      </c>
      <c r="G85" s="762" t="s">
        <v>539</v>
      </c>
      <c r="H85" s="762" t="s">
        <v>540</v>
      </c>
      <c r="I85" s="762" t="s">
        <v>541</v>
      </c>
      <c r="J85" s="762" t="s">
        <v>542</v>
      </c>
      <c r="K85" s="763" t="s">
        <v>543</v>
      </c>
      <c r="L85" s="762" t="s">
        <v>544</v>
      </c>
      <c r="M85" s="763" t="s">
        <v>545</v>
      </c>
      <c r="N85" s="762" t="s">
        <v>546</v>
      </c>
      <c r="O85" s="764" t="s">
        <v>537</v>
      </c>
      <c r="P85" s="762" t="s">
        <v>547</v>
      </c>
      <c r="Q85" s="765"/>
      <c r="R85" s="760" t="s">
        <v>534</v>
      </c>
      <c r="S85" s="762" t="s">
        <v>501</v>
      </c>
      <c r="T85" s="762" t="s">
        <v>337</v>
      </c>
      <c r="U85" s="762" t="s">
        <v>538</v>
      </c>
      <c r="V85" s="762" t="s">
        <v>548</v>
      </c>
      <c r="W85" s="760" t="s">
        <v>548</v>
      </c>
    </row>
    <row r="86" spans="1:23">
      <c r="A86" s="767">
        <f>IF(B86&lt;&gt;"",ROW()-(ROW()-1),"")</f>
        <v>1</v>
      </c>
      <c r="B86" s="511" t="s">
        <v>451</v>
      </c>
      <c r="C86" s="768">
        <v>11</v>
      </c>
      <c r="D86" s="620">
        <f t="shared" ref="D86:D91" si="11">ROUND(C86*O86,0)</f>
        <v>45540</v>
      </c>
      <c r="E86" s="620"/>
      <c r="F86" s="620">
        <v>13000</v>
      </c>
      <c r="G86" s="769">
        <f t="shared" ref="G86:G91" si="12">(D86+E86)*F86</f>
        <v>592020000</v>
      </c>
      <c r="H86" s="620">
        <f t="shared" ref="H86:H91" si="13">IF($D$93&lt;&gt;0,H$93/($D$93+$E$93/5)*($D86+$E86/5),0)</f>
        <v>63296856.086538464</v>
      </c>
      <c r="I86" s="620">
        <f t="shared" ref="I86:K91" si="14">IF($D$93&lt;&gt;0,I$93/$D$93*$D86,0)</f>
        <v>21777567.360576924</v>
      </c>
      <c r="J86" s="620">
        <f t="shared" si="14"/>
        <v>47482086.68870192</v>
      </c>
      <c r="K86" s="620">
        <f t="shared" si="14"/>
        <v>26062729.013221152</v>
      </c>
      <c r="L86" s="769">
        <f>V101+V102</f>
        <v>5449500</v>
      </c>
      <c r="M86" s="620"/>
      <c r="N86" s="769">
        <f t="shared" ref="N86:N91" si="15">ROUND(SUM(G86:L86),0)</f>
        <v>756088739</v>
      </c>
      <c r="O86" s="620">
        <v>4140</v>
      </c>
      <c r="P86" s="620">
        <f t="shared" ref="P86:P91" si="16">IF(N86&lt;&gt;0,N86/O86,0)</f>
        <v>182630.13019323672</v>
      </c>
      <c r="Q86" s="788"/>
      <c r="R86" s="506" t="s">
        <v>339</v>
      </c>
      <c r="S86" s="835">
        <v>42492</v>
      </c>
      <c r="T86" s="234">
        <v>25</v>
      </c>
      <c r="U86" s="773">
        <v>35444.444444444445</v>
      </c>
      <c r="V86" s="769">
        <f t="shared" ref="V86:V93" si="17">ROUND(T86*U86,0)</f>
        <v>886111</v>
      </c>
      <c r="W86" s="785"/>
    </row>
    <row r="87" spans="1:23">
      <c r="A87" s="767">
        <f>IF(B87&lt;&gt;"",A86+1,"")</f>
        <v>2</v>
      </c>
      <c r="B87" s="506" t="s">
        <v>1522</v>
      </c>
      <c r="C87" s="768">
        <v>5</v>
      </c>
      <c r="D87" s="620">
        <f t="shared" si="11"/>
        <v>4400</v>
      </c>
      <c r="E87" s="620"/>
      <c r="F87" s="620">
        <v>15000</v>
      </c>
      <c r="G87" s="769">
        <f t="shared" si="12"/>
        <v>66000000</v>
      </c>
      <c r="H87" s="620">
        <f t="shared" si="13"/>
        <v>6115638.2692307699</v>
      </c>
      <c r="I87" s="620">
        <f t="shared" si="14"/>
        <v>2104112.7884615385</v>
      </c>
      <c r="J87" s="620">
        <f t="shared" si="14"/>
        <v>4587641.225961538</v>
      </c>
      <c r="K87" s="620">
        <f t="shared" si="14"/>
        <v>2518138.068910256</v>
      </c>
      <c r="L87" s="620">
        <f>V100</f>
        <v>1300000</v>
      </c>
      <c r="M87" s="620"/>
      <c r="N87" s="769">
        <f t="shared" si="15"/>
        <v>82625530</v>
      </c>
      <c r="O87" s="775">
        <v>880</v>
      </c>
      <c r="P87" s="620">
        <f t="shared" si="16"/>
        <v>93892.647727272721</v>
      </c>
      <c r="Q87" s="788"/>
      <c r="R87" s="511" t="s">
        <v>345</v>
      </c>
      <c r="S87" s="835">
        <v>42492</v>
      </c>
      <c r="T87" s="234">
        <v>60</v>
      </c>
      <c r="U87" s="777">
        <v>46741.2</v>
      </c>
      <c r="V87" s="769">
        <f t="shared" si="17"/>
        <v>2804472</v>
      </c>
      <c r="W87" s="785"/>
    </row>
    <row r="88" spans="1:23">
      <c r="A88" s="767">
        <f>IF(B88&lt;&gt;"",A87+1,"")</f>
        <v>3</v>
      </c>
      <c r="B88" s="506" t="s">
        <v>1523</v>
      </c>
      <c r="C88" s="768">
        <v>5</v>
      </c>
      <c r="D88" s="620">
        <f t="shared" si="11"/>
        <v>3000</v>
      </c>
      <c r="E88" s="620"/>
      <c r="F88" s="620">
        <v>16500</v>
      </c>
      <c r="G88" s="769">
        <f t="shared" si="12"/>
        <v>49500000</v>
      </c>
      <c r="H88" s="620">
        <f t="shared" si="13"/>
        <v>4169753.3653846155</v>
      </c>
      <c r="I88" s="620">
        <f t="shared" si="14"/>
        <v>1434622.3557692308</v>
      </c>
      <c r="J88" s="620">
        <f t="shared" si="14"/>
        <v>3127937.1995192305</v>
      </c>
      <c r="K88" s="620">
        <f t="shared" si="14"/>
        <v>1716912.3197115383</v>
      </c>
      <c r="L88" s="620">
        <f>V99</f>
        <v>806000</v>
      </c>
      <c r="M88" s="620"/>
      <c r="N88" s="769">
        <f t="shared" si="15"/>
        <v>60755225</v>
      </c>
      <c r="O88" s="775">
        <v>600</v>
      </c>
      <c r="P88" s="620">
        <f t="shared" si="16"/>
        <v>101258.70833333333</v>
      </c>
      <c r="Q88" s="788"/>
      <c r="R88" s="511" t="s">
        <v>348</v>
      </c>
      <c r="S88" s="835">
        <v>42492</v>
      </c>
      <c r="T88" s="234">
        <v>270</v>
      </c>
      <c r="U88" s="777">
        <v>13571.429</v>
      </c>
      <c r="V88" s="769">
        <f t="shared" si="17"/>
        <v>3664286</v>
      </c>
      <c r="W88" s="785"/>
    </row>
    <row r="89" spans="1:23">
      <c r="A89" s="767">
        <f>IF(B89&lt;&gt;"",A88+1,"")</f>
        <v>4</v>
      </c>
      <c r="B89" s="506" t="s">
        <v>1524</v>
      </c>
      <c r="C89" s="768">
        <v>8.5</v>
      </c>
      <c r="D89" s="620">
        <f t="shared" si="11"/>
        <v>8500</v>
      </c>
      <c r="E89" s="620"/>
      <c r="F89" s="620">
        <v>14500</v>
      </c>
      <c r="G89" s="769">
        <f t="shared" si="12"/>
        <v>123250000</v>
      </c>
      <c r="H89" s="620">
        <f t="shared" si="13"/>
        <v>11814301.201923078</v>
      </c>
      <c r="I89" s="620">
        <f t="shared" si="14"/>
        <v>4064763.341346154</v>
      </c>
      <c r="J89" s="620">
        <f t="shared" si="14"/>
        <v>8862488.731971154</v>
      </c>
      <c r="K89" s="620">
        <f t="shared" si="14"/>
        <v>4864584.905849359</v>
      </c>
      <c r="L89" s="620">
        <f>V98</f>
        <v>1680000</v>
      </c>
      <c r="M89" s="620"/>
      <c r="N89" s="769">
        <f t="shared" si="15"/>
        <v>154536138</v>
      </c>
      <c r="O89" s="775">
        <v>1000</v>
      </c>
      <c r="P89" s="620">
        <f t="shared" si="16"/>
        <v>154536.13800000001</v>
      </c>
      <c r="Q89" s="788"/>
      <c r="R89" s="511" t="s">
        <v>224</v>
      </c>
      <c r="S89" s="835">
        <v>42492</v>
      </c>
      <c r="T89" s="234">
        <v>450</v>
      </c>
      <c r="U89" s="777">
        <v>18414.14</v>
      </c>
      <c r="V89" s="769">
        <f t="shared" si="17"/>
        <v>8286363</v>
      </c>
      <c r="W89" s="785"/>
    </row>
    <row r="90" spans="1:23">
      <c r="A90" s="767">
        <f>IF(B90&lt;&gt;"",A89+1,"")</f>
        <v>5</v>
      </c>
      <c r="B90" s="506" t="s">
        <v>453</v>
      </c>
      <c r="C90" s="768">
        <v>8</v>
      </c>
      <c r="D90" s="620">
        <f t="shared" si="11"/>
        <v>38400</v>
      </c>
      <c r="E90" s="620"/>
      <c r="F90" s="620">
        <v>14500</v>
      </c>
      <c r="G90" s="769">
        <f t="shared" si="12"/>
        <v>556800000</v>
      </c>
      <c r="H90" s="620">
        <f t="shared" si="13"/>
        <v>53372843.07692308</v>
      </c>
      <c r="I90" s="620">
        <f t="shared" si="14"/>
        <v>18363166.153846152</v>
      </c>
      <c r="J90" s="620">
        <f t="shared" si="14"/>
        <v>40037596.153846152</v>
      </c>
      <c r="K90" s="620">
        <f t="shared" si="14"/>
        <v>21976477.692307692</v>
      </c>
      <c r="L90" s="620">
        <f>V96+V97</f>
        <v>41204000</v>
      </c>
      <c r="M90" s="620"/>
      <c r="N90" s="769">
        <f t="shared" si="15"/>
        <v>731754083</v>
      </c>
      <c r="O90" s="775">
        <v>4800</v>
      </c>
      <c r="P90" s="620">
        <f t="shared" si="16"/>
        <v>152448.76729166668</v>
      </c>
      <c r="Q90" s="788"/>
      <c r="R90" s="511" t="s">
        <v>353</v>
      </c>
      <c r="S90" s="835">
        <v>42492</v>
      </c>
      <c r="T90" s="234">
        <v>1000</v>
      </c>
      <c r="U90" s="777">
        <v>3200</v>
      </c>
      <c r="V90" s="769">
        <f t="shared" si="17"/>
        <v>3200000</v>
      </c>
      <c r="W90" s="785"/>
    </row>
    <row r="91" spans="1:23">
      <c r="A91" s="767" t="str">
        <f>IF(B91&lt;&gt;"",A90+1,"")</f>
        <v/>
      </c>
      <c r="B91" s="506"/>
      <c r="C91" s="768">
        <f>IF(ISNA(VLOOKUP(B91,NXT!$Q$72:$S$92,2,0)),0,VLOOKUP(B91,NXT!$Q$72:$S$92,2,0))</f>
        <v>0</v>
      </c>
      <c r="D91" s="620">
        <f t="shared" si="11"/>
        <v>0</v>
      </c>
      <c r="E91" s="620"/>
      <c r="F91" s="620"/>
      <c r="G91" s="769">
        <f t="shared" si="12"/>
        <v>0</v>
      </c>
      <c r="H91" s="620">
        <f t="shared" si="13"/>
        <v>0</v>
      </c>
      <c r="I91" s="620">
        <f t="shared" si="14"/>
        <v>0</v>
      </c>
      <c r="J91" s="620">
        <f t="shared" si="14"/>
        <v>0</v>
      </c>
      <c r="K91" s="620">
        <f t="shared" si="14"/>
        <v>0</v>
      </c>
      <c r="L91" s="620"/>
      <c r="M91" s="620"/>
      <c r="N91" s="769">
        <f t="shared" si="15"/>
        <v>0</v>
      </c>
      <c r="O91" s="775"/>
      <c r="P91" s="620">
        <f t="shared" si="16"/>
        <v>0</v>
      </c>
      <c r="Q91" s="788"/>
      <c r="R91" s="514" t="s">
        <v>356</v>
      </c>
      <c r="S91" s="835">
        <v>42492</v>
      </c>
      <c r="T91" s="234">
        <v>1620</v>
      </c>
      <c r="U91" s="777">
        <v>14900</v>
      </c>
      <c r="V91" s="769">
        <f t="shared" si="17"/>
        <v>24138000</v>
      </c>
      <c r="W91" s="785"/>
    </row>
    <row r="92" spans="1:23" s="789" customFormat="1">
      <c r="A92" s="767" t="str">
        <f>IF(B92&lt;&gt;"",#REF!+1,"")</f>
        <v/>
      </c>
      <c r="B92" s="780"/>
      <c r="C92" s="781"/>
      <c r="D92" s="783"/>
      <c r="E92" s="783"/>
      <c r="F92" s="783"/>
      <c r="G92" s="784"/>
      <c r="H92" s="829"/>
      <c r="I92" s="783"/>
      <c r="J92" s="785"/>
      <c r="K92" s="783"/>
      <c r="L92" s="786"/>
      <c r="M92" s="783"/>
      <c r="N92" s="817"/>
      <c r="O92" s="787"/>
      <c r="P92" s="783"/>
      <c r="Q92" s="788"/>
      <c r="R92" s="514" t="s">
        <v>359</v>
      </c>
      <c r="S92" s="835">
        <v>42493</v>
      </c>
      <c r="T92" s="799">
        <v>250</v>
      </c>
      <c r="U92" s="777">
        <v>8500</v>
      </c>
      <c r="V92" s="769">
        <f t="shared" si="17"/>
        <v>2125000</v>
      </c>
      <c r="W92" s="785"/>
    </row>
    <row r="93" spans="1:23" s="744" customFormat="1">
      <c r="A93" s="790"/>
      <c r="B93" s="791" t="s">
        <v>549</v>
      </c>
      <c r="C93" s="792"/>
      <c r="D93" s="793">
        <f>SUM(D86:D92)</f>
        <v>99840</v>
      </c>
      <c r="E93" s="793">
        <f>SUM(E86:E92)</f>
        <v>0</v>
      </c>
      <c r="F93" s="793"/>
      <c r="G93" s="793">
        <f>SUM(G86:G92)</f>
        <v>1387570000</v>
      </c>
      <c r="H93" s="794">
        <v>138769392</v>
      </c>
      <c r="I93" s="794">
        <f>V95</f>
        <v>47744232</v>
      </c>
      <c r="J93" s="794">
        <v>104097750</v>
      </c>
      <c r="K93" s="794">
        <v>57138842</v>
      </c>
      <c r="L93" s="793">
        <f>ROUND(SUM(L86:L92),0)</f>
        <v>50439500</v>
      </c>
      <c r="M93" s="793"/>
      <c r="N93" s="793">
        <f>ROUND(SUM(N86:N92),0)</f>
        <v>1785759715</v>
      </c>
      <c r="O93" s="793">
        <f>ROUND(SUM(O86:O92),0)</f>
        <v>11420</v>
      </c>
      <c r="P93" s="793"/>
      <c r="Q93" s="788"/>
      <c r="R93" s="514" t="s">
        <v>363</v>
      </c>
      <c r="S93" s="835">
        <v>42493</v>
      </c>
      <c r="T93" s="799">
        <v>80</v>
      </c>
      <c r="U93" s="777">
        <v>33000</v>
      </c>
      <c r="V93" s="769">
        <f t="shared" si="17"/>
        <v>2640000</v>
      </c>
      <c r="W93" s="785"/>
    </row>
    <row r="94" spans="1:23">
      <c r="Q94" s="788"/>
      <c r="R94" s="839"/>
      <c r="S94" s="772"/>
      <c r="T94" s="234"/>
      <c r="U94" s="234"/>
      <c r="V94" s="785"/>
      <c r="W94" s="785"/>
    </row>
    <row r="95" spans="1:23">
      <c r="M95" s="1192"/>
      <c r="N95" s="743">
        <v>3161489456</v>
      </c>
      <c r="Q95" s="788"/>
      <c r="R95" s="822"/>
      <c r="S95" s="823"/>
      <c r="T95" s="824"/>
      <c r="U95" s="840"/>
      <c r="V95" s="793">
        <f>SUM(V86:V94)</f>
        <v>47744232</v>
      </c>
      <c r="W95" s="803">
        <f>SUM(W86:W94)</f>
        <v>0</v>
      </c>
    </row>
    <row r="96" spans="1:23">
      <c r="M96" s="1192"/>
      <c r="N96" s="743"/>
      <c r="R96" s="799" t="s">
        <v>401</v>
      </c>
      <c r="S96" s="835">
        <v>42500</v>
      </c>
      <c r="T96" s="234">
        <v>578</v>
      </c>
      <c r="U96" s="234">
        <v>18000</v>
      </c>
      <c r="V96" s="769">
        <f t="shared" ref="V96:V105" si="18">ROUND(T96*U96,0)</f>
        <v>10404000</v>
      </c>
      <c r="W96" s="769"/>
    </row>
    <row r="97" spans="1:23">
      <c r="M97" s="1192"/>
      <c r="N97" s="743">
        <f>N95-N93</f>
        <v>1375729741</v>
      </c>
      <c r="R97" s="799" t="s">
        <v>653</v>
      </c>
      <c r="S97" s="835">
        <v>42500</v>
      </c>
      <c r="T97" s="234">
        <v>2200</v>
      </c>
      <c r="U97" s="234">
        <v>14000</v>
      </c>
      <c r="V97" s="769">
        <f t="shared" si="18"/>
        <v>30800000</v>
      </c>
      <c r="W97" s="785"/>
    </row>
    <row r="98" spans="1:23">
      <c r="M98" s="1192"/>
      <c r="N98" s="743"/>
      <c r="R98" s="776" t="s">
        <v>387</v>
      </c>
      <c r="S98" s="835">
        <v>42495</v>
      </c>
      <c r="T98" s="777">
        <v>100</v>
      </c>
      <c r="U98" s="777">
        <v>16800</v>
      </c>
      <c r="V98" s="769">
        <f t="shared" si="18"/>
        <v>1680000</v>
      </c>
      <c r="W98" s="785"/>
    </row>
    <row r="99" spans="1:23">
      <c r="M99" s="1192"/>
      <c r="N99" s="743"/>
      <c r="R99" s="320" t="s">
        <v>1514</v>
      </c>
      <c r="S99" s="835">
        <v>42495</v>
      </c>
      <c r="T99" s="777">
        <v>62</v>
      </c>
      <c r="U99" s="777">
        <v>13000</v>
      </c>
      <c r="V99" s="769">
        <f t="shared" si="18"/>
        <v>806000</v>
      </c>
      <c r="W99" s="785"/>
    </row>
    <row r="100" spans="1:23">
      <c r="R100" s="320" t="s">
        <v>1513</v>
      </c>
      <c r="S100" s="835">
        <v>42495</v>
      </c>
      <c r="T100" s="777">
        <v>100</v>
      </c>
      <c r="U100" s="777">
        <v>13000</v>
      </c>
      <c r="V100" s="769">
        <f t="shared" si="18"/>
        <v>1300000</v>
      </c>
      <c r="W100" s="785"/>
    </row>
    <row r="101" spans="1:23">
      <c r="R101" s="518" t="s">
        <v>390</v>
      </c>
      <c r="S101" s="835">
        <v>42495</v>
      </c>
      <c r="T101" s="777">
        <v>321</v>
      </c>
      <c r="U101" s="777">
        <v>13500</v>
      </c>
      <c r="V101" s="769">
        <f t="shared" si="18"/>
        <v>4333500</v>
      </c>
      <c r="W101" s="785"/>
    </row>
    <row r="102" spans="1:23">
      <c r="R102" s="825" t="s">
        <v>390</v>
      </c>
      <c r="S102" s="835">
        <v>42495</v>
      </c>
      <c r="T102" s="777">
        <v>93</v>
      </c>
      <c r="U102" s="777">
        <v>12000</v>
      </c>
      <c r="V102" s="769">
        <f t="shared" si="18"/>
        <v>1116000</v>
      </c>
      <c r="W102" s="785"/>
    </row>
    <row r="103" spans="1:23">
      <c r="R103" s="825"/>
      <c r="S103" s="835"/>
      <c r="T103" s="777"/>
      <c r="U103" s="777"/>
      <c r="V103" s="769">
        <f t="shared" si="18"/>
        <v>0</v>
      </c>
      <c r="W103" s="785"/>
    </row>
    <row r="104" spans="1:23">
      <c r="R104" s="825"/>
      <c r="S104" s="835"/>
      <c r="T104" s="777"/>
      <c r="U104" s="777"/>
      <c r="V104" s="769">
        <f t="shared" si="18"/>
        <v>0</v>
      </c>
      <c r="W104" s="785"/>
    </row>
    <row r="105" spans="1:23">
      <c r="R105" s="825"/>
      <c r="S105" s="835"/>
      <c r="T105" s="777"/>
      <c r="U105" s="777"/>
      <c r="V105" s="769">
        <f t="shared" si="18"/>
        <v>0</v>
      </c>
      <c r="W105" s="785"/>
    </row>
    <row r="106" spans="1:23" ht="18" customHeight="1">
      <c r="A106" s="744" t="s">
        <v>532</v>
      </c>
      <c r="B106" s="744"/>
      <c r="C106" s="745"/>
      <c r="D106" s="746"/>
      <c r="E106" s="746"/>
      <c r="F106" s="746"/>
      <c r="G106" s="743"/>
      <c r="H106" s="743"/>
      <c r="I106" s="743"/>
      <c r="J106" s="743"/>
      <c r="K106" s="743"/>
      <c r="L106" s="747"/>
      <c r="M106" s="743"/>
      <c r="N106" s="743"/>
      <c r="O106" s="748"/>
      <c r="P106" s="743"/>
      <c r="Q106" s="749"/>
      <c r="R106" s="743"/>
      <c r="S106" s="750"/>
    </row>
    <row r="107" spans="1:23" ht="18.75" customHeight="1">
      <c r="A107" s="751" t="s">
        <v>554</v>
      </c>
      <c r="B107" s="751"/>
      <c r="C107" s="751"/>
      <c r="D107" s="751"/>
      <c r="E107" s="751"/>
      <c r="F107" s="751"/>
      <c r="G107" s="751"/>
      <c r="H107" s="751"/>
      <c r="I107" s="751"/>
      <c r="J107" s="751"/>
      <c r="K107" s="751"/>
      <c r="L107" s="751"/>
      <c r="M107" s="751"/>
      <c r="N107" s="751"/>
      <c r="O107" s="751"/>
      <c r="P107" s="751"/>
      <c r="Q107" s="749"/>
      <c r="R107" s="743"/>
      <c r="S107" s="750"/>
    </row>
    <row r="108" spans="1:23" ht="18.75" customHeight="1">
      <c r="A108" s="752"/>
      <c r="B108" s="752"/>
      <c r="C108" s="753"/>
      <c r="D108" s="752"/>
      <c r="E108" s="752"/>
      <c r="F108" s="752"/>
      <c r="G108" s="752"/>
      <c r="H108" s="752"/>
      <c r="I108" s="752"/>
      <c r="J108" s="752"/>
      <c r="K108" s="752"/>
      <c r="L108" s="751"/>
      <c r="M108" s="752"/>
      <c r="N108" s="752"/>
      <c r="O108" s="754"/>
      <c r="P108" s="752"/>
      <c r="Q108" s="749"/>
      <c r="R108" s="743"/>
      <c r="S108" s="750"/>
    </row>
    <row r="109" spans="1:23" ht="12.75" customHeight="1">
      <c r="A109" s="755"/>
      <c r="B109" s="755"/>
      <c r="C109" s="756"/>
      <c r="D109" s="755"/>
      <c r="E109" s="755"/>
      <c r="F109" s="755"/>
      <c r="G109" s="755"/>
      <c r="H109" s="755"/>
      <c r="I109" s="755"/>
      <c r="J109" s="755"/>
      <c r="K109" s="755"/>
      <c r="L109" s="755"/>
      <c r="M109" s="755"/>
      <c r="N109" s="755"/>
      <c r="O109" s="757"/>
      <c r="P109" s="755"/>
      <c r="Q109" s="749"/>
      <c r="R109" s="743"/>
      <c r="S109" s="750"/>
    </row>
    <row r="110" spans="1:23" s="766" customFormat="1" ht="30.75" customHeight="1">
      <c r="A110" s="760" t="s">
        <v>37</v>
      </c>
      <c r="B110" s="760" t="s">
        <v>534</v>
      </c>
      <c r="C110" s="761" t="s">
        <v>535</v>
      </c>
      <c r="D110" s="762" t="s">
        <v>536</v>
      </c>
      <c r="E110" s="762" t="s">
        <v>537</v>
      </c>
      <c r="F110" s="762" t="s">
        <v>538</v>
      </c>
      <c r="G110" s="762" t="s">
        <v>539</v>
      </c>
      <c r="H110" s="762" t="s">
        <v>540</v>
      </c>
      <c r="I110" s="762" t="s">
        <v>541</v>
      </c>
      <c r="J110" s="762" t="s">
        <v>542</v>
      </c>
      <c r="K110" s="763" t="s">
        <v>543</v>
      </c>
      <c r="L110" s="762" t="s">
        <v>544</v>
      </c>
      <c r="M110" s="763" t="s">
        <v>545</v>
      </c>
      <c r="N110" s="762" t="s">
        <v>546</v>
      </c>
      <c r="O110" s="764" t="s">
        <v>537</v>
      </c>
      <c r="P110" s="762" t="s">
        <v>547</v>
      </c>
      <c r="Q110" s="765"/>
      <c r="R110" s="760" t="s">
        <v>534</v>
      </c>
      <c r="S110" s="762" t="s">
        <v>501</v>
      </c>
      <c r="T110" s="762" t="s">
        <v>337</v>
      </c>
      <c r="U110" s="762" t="s">
        <v>538</v>
      </c>
      <c r="V110" s="762" t="s">
        <v>548</v>
      </c>
      <c r="W110" s="760" t="s">
        <v>548</v>
      </c>
    </row>
    <row r="111" spans="1:23">
      <c r="A111" s="767">
        <f>IF(B111&lt;&gt;"",ROW()-(ROW()-1),"")</f>
        <v>1</v>
      </c>
      <c r="B111" s="841" t="s">
        <v>452</v>
      </c>
      <c r="C111" s="768">
        <v>11</v>
      </c>
      <c r="D111" s="620">
        <f>ROUND(C111*O111,0)</f>
        <v>110000</v>
      </c>
      <c r="E111" s="620"/>
      <c r="F111" s="620">
        <v>13500</v>
      </c>
      <c r="G111" s="769">
        <f>D111*F111</f>
        <v>1485000000</v>
      </c>
      <c r="H111" s="620">
        <f>IF($D$127&lt;&gt;0,H$127/($D$127+$E$127/5)*($D111+$E111/5),0)</f>
        <v>72283882.942970887</v>
      </c>
      <c r="I111" s="620">
        <f t="shared" ref="I111:K112" si="19">IF($D$127&lt;&gt;0,I$127/$D$127*$D111,0)</f>
        <v>47016931.854609378</v>
      </c>
      <c r="J111" s="620">
        <f t="shared" si="19"/>
        <v>48439641.176774725</v>
      </c>
      <c r="K111" s="620">
        <f t="shared" si="19"/>
        <v>32497143.994622823</v>
      </c>
      <c r="L111" s="769">
        <f>SUM(V127:V129)</f>
        <v>23652476</v>
      </c>
      <c r="M111" s="620"/>
      <c r="N111" s="769">
        <f>ROUND(SUM(G111:M111),0)</f>
        <v>1708890076</v>
      </c>
      <c r="O111" s="620">
        <v>10000</v>
      </c>
      <c r="P111" s="620">
        <f>IF(N111&lt;&gt;0,N111/O111,0)</f>
        <v>170889.00760000001</v>
      </c>
      <c r="Q111" s="788"/>
      <c r="R111" s="506" t="s">
        <v>339</v>
      </c>
      <c r="S111" s="835">
        <v>42523</v>
      </c>
      <c r="T111" s="234">
        <v>30</v>
      </c>
      <c r="U111" s="773">
        <v>35444.444444444445</v>
      </c>
      <c r="V111" s="769">
        <f t="shared" ref="V111:V120" si="20">ROUND(T111*U111,0)</f>
        <v>1063333</v>
      </c>
      <c r="W111" s="769"/>
    </row>
    <row r="112" spans="1:23">
      <c r="A112" s="767">
        <f>IF(B112&lt;&gt;"",A111+1,"")</f>
        <v>2</v>
      </c>
      <c r="B112" s="779" t="s">
        <v>451</v>
      </c>
      <c r="C112" s="768">
        <v>11</v>
      </c>
      <c r="D112" s="620">
        <f>ROUND(C112*O112,0)</f>
        <v>11000</v>
      </c>
      <c r="E112" s="620"/>
      <c r="F112" s="620">
        <v>14500</v>
      </c>
      <c r="G112" s="769">
        <f>D112*F112</f>
        <v>159500000</v>
      </c>
      <c r="H112" s="620">
        <f>IF($D$127&lt;&gt;0,H$127/($D$127+$E$127/5)*($D112+$E112/5),0)</f>
        <v>7228388.2942970889</v>
      </c>
      <c r="I112" s="620">
        <f t="shared" si="19"/>
        <v>4701693.1854609381</v>
      </c>
      <c r="J112" s="620">
        <f t="shared" si="19"/>
        <v>4843964.1176774725</v>
      </c>
      <c r="K112" s="620">
        <f t="shared" si="19"/>
        <v>3249714.3994622822</v>
      </c>
      <c r="L112" s="769">
        <f>V130</f>
        <v>1620000</v>
      </c>
      <c r="M112" s="620"/>
      <c r="N112" s="769">
        <f t="shared" ref="N112:N125" si="21">ROUND(SUM(G112:M112),0)</f>
        <v>181143760</v>
      </c>
      <c r="O112" s="775">
        <v>1000</v>
      </c>
      <c r="P112" s="620">
        <f>IF(N112&lt;&gt;0,N112/O112,0)</f>
        <v>181143.76</v>
      </c>
      <c r="Q112" s="788"/>
      <c r="R112" s="511" t="s">
        <v>345</v>
      </c>
      <c r="S112" s="835">
        <v>42523</v>
      </c>
      <c r="T112" s="234">
        <v>70</v>
      </c>
      <c r="U112" s="777">
        <v>46741.2</v>
      </c>
      <c r="V112" s="769">
        <f t="shared" si="20"/>
        <v>3271884</v>
      </c>
      <c r="W112" s="785"/>
    </row>
    <row r="113" spans="1:23">
      <c r="A113" s="767">
        <f t="shared" ref="A113:A125" si="22">IF(B113&lt;&gt;"",A112+1,"")</f>
        <v>3</v>
      </c>
      <c r="B113" s="506" t="s">
        <v>1524</v>
      </c>
      <c r="C113" s="768">
        <v>8.5</v>
      </c>
      <c r="D113" s="620">
        <f t="shared" ref="D113:D125" si="23">ROUND(C113*O113,0)</f>
        <v>22440</v>
      </c>
      <c r="E113" s="620"/>
      <c r="F113" s="620">
        <v>15500</v>
      </c>
      <c r="G113" s="769">
        <f t="shared" ref="G113:G125" si="24">D113*F113</f>
        <v>347820000</v>
      </c>
      <c r="H113" s="620">
        <f t="shared" ref="H113:H125" si="25">IF($D$127&lt;&gt;0,H$127/($D$127+$E$127/5)*($D113+$E113/5),0)</f>
        <v>14745912.120366061</v>
      </c>
      <c r="I113" s="620">
        <f t="shared" ref="I113:K125" si="26">IF($D$127&lt;&gt;0,I$127/$D$127*$D113,0)</f>
        <v>9591454.0983403139</v>
      </c>
      <c r="J113" s="620">
        <f t="shared" si="26"/>
        <v>9881686.8000620436</v>
      </c>
      <c r="K113" s="620">
        <f t="shared" si="26"/>
        <v>6629417.3749030558</v>
      </c>
      <c r="L113" s="620">
        <f>V123+V124</f>
        <v>7344000</v>
      </c>
      <c r="M113" s="620"/>
      <c r="N113" s="769">
        <f t="shared" si="21"/>
        <v>396012470</v>
      </c>
      <c r="O113" s="775">
        <v>2640</v>
      </c>
      <c r="P113" s="620">
        <f t="shared" ref="P113:P125" si="27">IF(N113&lt;&gt;0,N113/O113,0)</f>
        <v>150004.72348484848</v>
      </c>
      <c r="Q113" s="788"/>
      <c r="R113" s="511" t="s">
        <v>348</v>
      </c>
      <c r="S113" s="835">
        <v>42523</v>
      </c>
      <c r="T113" s="234">
        <v>330</v>
      </c>
      <c r="U113" s="777">
        <v>13571.429</v>
      </c>
      <c r="V113" s="769">
        <f t="shared" si="20"/>
        <v>4478572</v>
      </c>
      <c r="W113" s="785"/>
    </row>
    <row r="114" spans="1:23">
      <c r="A114" s="767">
        <f t="shared" si="22"/>
        <v>4</v>
      </c>
      <c r="B114" s="779" t="s">
        <v>1681</v>
      </c>
      <c r="C114" s="768">
        <v>1.1582733812949639</v>
      </c>
      <c r="D114" s="620">
        <f t="shared" si="23"/>
        <v>2027</v>
      </c>
      <c r="E114" s="620"/>
      <c r="F114" s="620">
        <v>11165</v>
      </c>
      <c r="G114" s="769">
        <f t="shared" si="24"/>
        <v>22631455</v>
      </c>
      <c r="H114" s="620">
        <f t="shared" si="25"/>
        <v>1331994.8247763817</v>
      </c>
      <c r="I114" s="620">
        <f t="shared" si="26"/>
        <v>866393.82608448376</v>
      </c>
      <c r="J114" s="620">
        <f t="shared" si="26"/>
        <v>892610.47877565783</v>
      </c>
      <c r="K114" s="620">
        <f t="shared" si="26"/>
        <v>598833.73524636775</v>
      </c>
      <c r="L114" s="620">
        <f>V125</f>
        <v>700000</v>
      </c>
      <c r="M114" s="620"/>
      <c r="N114" s="769">
        <f t="shared" si="21"/>
        <v>27021288</v>
      </c>
      <c r="O114" s="775">
        <v>1750</v>
      </c>
      <c r="P114" s="620">
        <f t="shared" si="27"/>
        <v>15440.736000000001</v>
      </c>
      <c r="Q114" s="788"/>
      <c r="R114" s="511" t="s">
        <v>353</v>
      </c>
      <c r="S114" s="835">
        <v>42523</v>
      </c>
      <c r="T114" s="234">
        <v>1500</v>
      </c>
      <c r="U114" s="777">
        <v>3200</v>
      </c>
      <c r="V114" s="769">
        <f t="shared" si="20"/>
        <v>4800000</v>
      </c>
      <c r="W114" s="785"/>
    </row>
    <row r="115" spans="1:23">
      <c r="A115" s="767">
        <f t="shared" si="22"/>
        <v>5</v>
      </c>
      <c r="B115" s="779" t="s">
        <v>1682</v>
      </c>
      <c r="C115" s="768">
        <f>D115/O115</f>
        <v>1.4285714285714286</v>
      </c>
      <c r="D115" s="620">
        <v>7700</v>
      </c>
      <c r="E115" s="620"/>
      <c r="F115" s="620">
        <v>11165</v>
      </c>
      <c r="G115" s="769">
        <f t="shared" si="24"/>
        <v>85970500</v>
      </c>
      <c r="H115" s="620">
        <f t="shared" si="25"/>
        <v>5059871.8060079617</v>
      </c>
      <c r="I115" s="620">
        <f t="shared" si="26"/>
        <v>3291185.2298226566</v>
      </c>
      <c r="J115" s="620">
        <f t="shared" si="26"/>
        <v>3390774.8823742308</v>
      </c>
      <c r="K115" s="620">
        <f t="shared" si="26"/>
        <v>2274800.0796235977</v>
      </c>
      <c r="L115" s="620">
        <f>V126</f>
        <v>2150000</v>
      </c>
      <c r="M115" s="620"/>
      <c r="N115" s="769">
        <f t="shared" si="21"/>
        <v>102137132</v>
      </c>
      <c r="O115" s="775">
        <v>5390</v>
      </c>
      <c r="P115" s="620">
        <f t="shared" si="27"/>
        <v>18949.375139146567</v>
      </c>
      <c r="Q115" s="788"/>
      <c r="R115" s="514" t="s">
        <v>356</v>
      </c>
      <c r="S115" s="835">
        <v>42523</v>
      </c>
      <c r="T115" s="234">
        <v>3780</v>
      </c>
      <c r="U115" s="777">
        <v>14900</v>
      </c>
      <c r="V115" s="769">
        <f t="shared" si="20"/>
        <v>56322000</v>
      </c>
      <c r="W115" s="785"/>
    </row>
    <row r="116" spans="1:23">
      <c r="A116" s="767">
        <f t="shared" si="22"/>
        <v>6</v>
      </c>
      <c r="B116" s="779" t="s">
        <v>1684</v>
      </c>
      <c r="C116" s="768">
        <v>5.3</v>
      </c>
      <c r="D116" s="620">
        <f t="shared" si="23"/>
        <v>3657</v>
      </c>
      <c r="E116" s="620"/>
      <c r="F116" s="620">
        <v>105000</v>
      </c>
      <c r="G116" s="769">
        <f t="shared" si="24"/>
        <v>383985000</v>
      </c>
      <c r="H116" s="620">
        <f t="shared" si="25"/>
        <v>2403110.5447494956</v>
      </c>
      <c r="I116" s="620">
        <f t="shared" si="26"/>
        <v>1563099.2708391501</v>
      </c>
      <c r="J116" s="620">
        <f t="shared" si="26"/>
        <v>1610397.8889405925</v>
      </c>
      <c r="K116" s="620">
        <f t="shared" si="26"/>
        <v>1080382.3235303243</v>
      </c>
      <c r="L116" s="620">
        <f>ROUND(SUM($V$131:$V$134)/SUM($O$116:$O$125)*O116,0)</f>
        <v>16216618</v>
      </c>
      <c r="M116" s="620"/>
      <c r="N116" s="769">
        <f t="shared" si="21"/>
        <v>406858608</v>
      </c>
      <c r="O116" s="775">
        <v>690</v>
      </c>
      <c r="P116" s="620">
        <f t="shared" si="27"/>
        <v>589650.15652173909</v>
      </c>
      <c r="Q116" s="788"/>
      <c r="R116" s="514" t="s">
        <v>1409</v>
      </c>
      <c r="S116" s="835">
        <v>42523</v>
      </c>
      <c r="T116" s="234">
        <v>100</v>
      </c>
      <c r="U116" s="777">
        <v>12728</v>
      </c>
      <c r="V116" s="769">
        <f t="shared" si="20"/>
        <v>1272800</v>
      </c>
      <c r="W116" s="785"/>
    </row>
    <row r="117" spans="1:23">
      <c r="A117" s="767">
        <f t="shared" si="22"/>
        <v>7</v>
      </c>
      <c r="B117" s="779" t="s">
        <v>1685</v>
      </c>
      <c r="C117" s="768">
        <v>5.3</v>
      </c>
      <c r="D117" s="620">
        <f t="shared" si="23"/>
        <v>2650</v>
      </c>
      <c r="E117" s="620"/>
      <c r="F117" s="620">
        <v>105000</v>
      </c>
      <c r="G117" s="769">
        <f t="shared" si="24"/>
        <v>278250000</v>
      </c>
      <c r="H117" s="620">
        <f t="shared" si="25"/>
        <v>1741384.4527170258</v>
      </c>
      <c r="I117" s="620">
        <f t="shared" si="26"/>
        <v>1132680.6310428623</v>
      </c>
      <c r="J117" s="620">
        <f t="shared" si="26"/>
        <v>1166954.9919859366</v>
      </c>
      <c r="K117" s="620">
        <f t="shared" si="26"/>
        <v>782885.74168864067</v>
      </c>
      <c r="L117" s="620">
        <f t="shared" ref="L117:L125" si="28">ROUND(SUM($V$131:$V$134)/SUM($O$116:$O$125)*O117,0)</f>
        <v>11751172</v>
      </c>
      <c r="M117" s="620"/>
      <c r="N117" s="769">
        <f t="shared" si="21"/>
        <v>294825078</v>
      </c>
      <c r="O117" s="775">
        <v>500</v>
      </c>
      <c r="P117" s="620">
        <f t="shared" si="27"/>
        <v>589650.15599999996</v>
      </c>
      <c r="Q117" s="788"/>
      <c r="R117" s="514" t="s">
        <v>359</v>
      </c>
      <c r="S117" s="835">
        <v>42526</v>
      </c>
      <c r="T117" s="234">
        <v>300</v>
      </c>
      <c r="U117" s="777">
        <v>8500</v>
      </c>
      <c r="V117" s="769">
        <f t="shared" si="20"/>
        <v>2550000</v>
      </c>
      <c r="W117" s="785"/>
    </row>
    <row r="118" spans="1:23">
      <c r="A118" s="767">
        <f t="shared" si="22"/>
        <v>8</v>
      </c>
      <c r="B118" s="779" t="s">
        <v>1686</v>
      </c>
      <c r="C118" s="768">
        <v>5.3</v>
      </c>
      <c r="D118" s="620">
        <f t="shared" si="23"/>
        <v>2968</v>
      </c>
      <c r="E118" s="620"/>
      <c r="F118" s="620">
        <v>105000</v>
      </c>
      <c r="G118" s="769">
        <f t="shared" si="24"/>
        <v>311640000</v>
      </c>
      <c r="H118" s="620">
        <f t="shared" si="25"/>
        <v>1950350.5870430691</v>
      </c>
      <c r="I118" s="620">
        <f t="shared" si="26"/>
        <v>1268602.3067680059</v>
      </c>
      <c r="J118" s="620">
        <f t="shared" si="26"/>
        <v>1306989.5910242489</v>
      </c>
      <c r="K118" s="620">
        <f t="shared" si="26"/>
        <v>876832.03069127758</v>
      </c>
      <c r="L118" s="620">
        <f t="shared" si="28"/>
        <v>13161313</v>
      </c>
      <c r="M118" s="620"/>
      <c r="N118" s="769">
        <f t="shared" si="21"/>
        <v>330204088</v>
      </c>
      <c r="O118" s="775">
        <v>560</v>
      </c>
      <c r="P118" s="620">
        <f t="shared" si="27"/>
        <v>589650.15714285709</v>
      </c>
      <c r="Q118" s="788"/>
      <c r="R118" s="514" t="s">
        <v>363</v>
      </c>
      <c r="S118" s="835">
        <v>42526</v>
      </c>
      <c r="T118" s="234">
        <v>270</v>
      </c>
      <c r="U118" s="777">
        <v>33000</v>
      </c>
      <c r="V118" s="769">
        <f t="shared" si="20"/>
        <v>8910000</v>
      </c>
      <c r="W118" s="785"/>
    </row>
    <row r="119" spans="1:23">
      <c r="A119" s="767">
        <f t="shared" si="22"/>
        <v>9</v>
      </c>
      <c r="B119" s="779" t="s">
        <v>1687</v>
      </c>
      <c r="C119" s="768">
        <v>5.3</v>
      </c>
      <c r="D119" s="620">
        <f>ROUND(C119*O119,0)</f>
        <v>3074</v>
      </c>
      <c r="E119" s="620"/>
      <c r="F119" s="620">
        <v>105000</v>
      </c>
      <c r="G119" s="769">
        <f t="shared" si="24"/>
        <v>322770000</v>
      </c>
      <c r="H119" s="620">
        <f t="shared" si="25"/>
        <v>2020005.96515175</v>
      </c>
      <c r="I119" s="620">
        <f t="shared" si="26"/>
        <v>1313909.5320097203</v>
      </c>
      <c r="J119" s="620">
        <f t="shared" si="26"/>
        <v>1353667.7907036864</v>
      </c>
      <c r="K119" s="620">
        <f t="shared" si="26"/>
        <v>908147.46035882318</v>
      </c>
      <c r="L119" s="620">
        <f t="shared" si="28"/>
        <v>13631360</v>
      </c>
      <c r="M119" s="620"/>
      <c r="N119" s="769">
        <f t="shared" si="21"/>
        <v>341997091</v>
      </c>
      <c r="O119" s="775">
        <v>580</v>
      </c>
      <c r="P119" s="620">
        <f t="shared" si="27"/>
        <v>589650.15689655172</v>
      </c>
      <c r="Q119" s="788"/>
      <c r="R119" s="776"/>
      <c r="S119" s="835"/>
      <c r="T119" s="234"/>
      <c r="U119" s="777"/>
      <c r="V119" s="769">
        <f t="shared" si="20"/>
        <v>0</v>
      </c>
      <c r="W119" s="785"/>
    </row>
    <row r="120" spans="1:23">
      <c r="A120" s="767">
        <f t="shared" si="22"/>
        <v>10</v>
      </c>
      <c r="B120" s="779" t="s">
        <v>1688</v>
      </c>
      <c r="C120" s="768">
        <v>5.3</v>
      </c>
      <c r="D120" s="620">
        <f t="shared" si="23"/>
        <v>4611</v>
      </c>
      <c r="E120" s="620"/>
      <c r="F120" s="620">
        <v>105000</v>
      </c>
      <c r="G120" s="769">
        <f t="shared" si="24"/>
        <v>484155000</v>
      </c>
      <c r="H120" s="620">
        <f t="shared" si="25"/>
        <v>3030008.9477276248</v>
      </c>
      <c r="I120" s="620">
        <f t="shared" si="26"/>
        <v>1970864.2980145805</v>
      </c>
      <c r="J120" s="620">
        <f t="shared" si="26"/>
        <v>2030501.6860555296</v>
      </c>
      <c r="K120" s="620">
        <f t="shared" si="26"/>
        <v>1362221.1905382348</v>
      </c>
      <c r="L120" s="620">
        <f t="shared" si="28"/>
        <v>20447040</v>
      </c>
      <c r="M120" s="620"/>
      <c r="N120" s="769">
        <f t="shared" si="21"/>
        <v>512995636</v>
      </c>
      <c r="O120" s="775">
        <v>870</v>
      </c>
      <c r="P120" s="620">
        <f t="shared" si="27"/>
        <v>589650.15632183908</v>
      </c>
      <c r="Q120" s="788"/>
      <c r="R120" s="511"/>
      <c r="S120" s="835"/>
      <c r="T120" s="234"/>
      <c r="U120" s="777"/>
      <c r="V120" s="769">
        <f t="shared" si="20"/>
        <v>0</v>
      </c>
      <c r="W120" s="785"/>
    </row>
    <row r="121" spans="1:23">
      <c r="A121" s="767">
        <f t="shared" si="22"/>
        <v>11</v>
      </c>
      <c r="B121" s="779" t="s">
        <v>1689</v>
      </c>
      <c r="C121" s="768">
        <v>5.3</v>
      </c>
      <c r="D121" s="620">
        <f t="shared" si="23"/>
        <v>689</v>
      </c>
      <c r="E121" s="620"/>
      <c r="F121" s="620">
        <v>105000</v>
      </c>
      <c r="G121" s="769">
        <f t="shared" si="24"/>
        <v>72345000</v>
      </c>
      <c r="H121" s="620">
        <f t="shared" si="25"/>
        <v>452759.95770642674</v>
      </c>
      <c r="I121" s="620">
        <f t="shared" si="26"/>
        <v>294496.96407114423</v>
      </c>
      <c r="J121" s="620">
        <f t="shared" si="26"/>
        <v>303408.29791634349</v>
      </c>
      <c r="K121" s="620">
        <f t="shared" si="26"/>
        <v>203550.29283904657</v>
      </c>
      <c r="L121" s="620">
        <f t="shared" si="28"/>
        <v>3055305</v>
      </c>
      <c r="M121" s="620"/>
      <c r="N121" s="769">
        <f t="shared" si="21"/>
        <v>76654521</v>
      </c>
      <c r="O121" s="775">
        <v>130</v>
      </c>
      <c r="P121" s="620">
        <f t="shared" si="27"/>
        <v>589650.16153846157</v>
      </c>
      <c r="Q121" s="788"/>
      <c r="R121" s="511"/>
      <c r="S121" s="772"/>
      <c r="T121" s="234"/>
      <c r="U121" s="234"/>
      <c r="V121" s="769"/>
      <c r="W121" s="785"/>
    </row>
    <row r="122" spans="1:23">
      <c r="A122" s="767">
        <f t="shared" si="22"/>
        <v>12</v>
      </c>
      <c r="B122" s="779" t="s">
        <v>1690</v>
      </c>
      <c r="C122" s="768">
        <v>5.3</v>
      </c>
      <c r="D122" s="620">
        <f t="shared" si="23"/>
        <v>1325</v>
      </c>
      <c r="E122" s="620"/>
      <c r="F122" s="620">
        <v>105000</v>
      </c>
      <c r="G122" s="769">
        <f t="shared" si="24"/>
        <v>139125000</v>
      </c>
      <c r="H122" s="620">
        <f t="shared" si="25"/>
        <v>870692.22635851288</v>
      </c>
      <c r="I122" s="620">
        <f t="shared" si="26"/>
        <v>566340.31552143116</v>
      </c>
      <c r="J122" s="620">
        <f t="shared" si="26"/>
        <v>583477.49599296832</v>
      </c>
      <c r="K122" s="620">
        <f t="shared" si="26"/>
        <v>391442.87084432034</v>
      </c>
      <c r="L122" s="620">
        <f t="shared" si="28"/>
        <v>5875586</v>
      </c>
      <c r="M122" s="620"/>
      <c r="N122" s="769">
        <f t="shared" si="21"/>
        <v>147412539</v>
      </c>
      <c r="O122" s="775">
        <v>250</v>
      </c>
      <c r="P122" s="620">
        <f t="shared" si="27"/>
        <v>589650.15599999996</v>
      </c>
      <c r="Q122" s="788"/>
      <c r="R122" s="822"/>
      <c r="S122" s="823"/>
      <c r="T122" s="824"/>
      <c r="U122" s="840"/>
      <c r="V122" s="793">
        <f>SUM(V111:V121)</f>
        <v>82668589</v>
      </c>
      <c r="W122" s="803">
        <f>SUM(W111:W121)</f>
        <v>0</v>
      </c>
    </row>
    <row r="123" spans="1:23">
      <c r="A123" s="767">
        <f t="shared" si="22"/>
        <v>13</v>
      </c>
      <c r="B123" s="779" t="s">
        <v>1691</v>
      </c>
      <c r="C123" s="768">
        <v>5.3</v>
      </c>
      <c r="D123" s="620">
        <f t="shared" si="23"/>
        <v>3498</v>
      </c>
      <c r="E123" s="620"/>
      <c r="F123" s="620">
        <v>105000</v>
      </c>
      <c r="G123" s="769">
        <f t="shared" si="24"/>
        <v>367290000</v>
      </c>
      <c r="H123" s="620">
        <f t="shared" si="25"/>
        <v>2298627.4775864743</v>
      </c>
      <c r="I123" s="620">
        <f t="shared" si="26"/>
        <v>1495138.4329765784</v>
      </c>
      <c r="J123" s="620">
        <f t="shared" si="26"/>
        <v>1540380.5894214362</v>
      </c>
      <c r="K123" s="620">
        <f t="shared" si="26"/>
        <v>1033409.1790290057</v>
      </c>
      <c r="L123" s="620">
        <f t="shared" si="28"/>
        <v>15511547</v>
      </c>
      <c r="M123" s="620"/>
      <c r="N123" s="769">
        <f t="shared" si="21"/>
        <v>389169103</v>
      </c>
      <c r="O123" s="775">
        <v>660</v>
      </c>
      <c r="P123" s="620">
        <f t="shared" si="27"/>
        <v>589650.15606060601</v>
      </c>
      <c r="Q123" s="788"/>
      <c r="R123" s="825" t="s">
        <v>1633</v>
      </c>
      <c r="S123" s="772">
        <v>42531</v>
      </c>
      <c r="T123" s="234">
        <v>360</v>
      </c>
      <c r="U123" s="234">
        <v>2400</v>
      </c>
      <c r="V123" s="769">
        <f t="shared" ref="V123:V134" si="29">ROUND(T123*U123,0)</f>
        <v>864000</v>
      </c>
      <c r="W123" s="769"/>
    </row>
    <row r="124" spans="1:23">
      <c r="A124" s="767">
        <f t="shared" si="22"/>
        <v>14</v>
      </c>
      <c r="B124" s="779" t="s">
        <v>1692</v>
      </c>
      <c r="C124" s="768">
        <v>5.3</v>
      </c>
      <c r="D124" s="620">
        <f t="shared" si="23"/>
        <v>1696</v>
      </c>
      <c r="E124" s="620"/>
      <c r="F124" s="620">
        <v>105000</v>
      </c>
      <c r="G124" s="769">
        <f t="shared" si="24"/>
        <v>178080000</v>
      </c>
      <c r="H124" s="620">
        <f t="shared" si="25"/>
        <v>1114486.0497388965</v>
      </c>
      <c r="I124" s="620">
        <f t="shared" si="26"/>
        <v>724915.60386743187</v>
      </c>
      <c r="J124" s="620">
        <f t="shared" si="26"/>
        <v>746851.19487099943</v>
      </c>
      <c r="K124" s="620">
        <f t="shared" si="26"/>
        <v>501046.87468073005</v>
      </c>
      <c r="L124" s="620">
        <f t="shared" si="28"/>
        <v>7520750</v>
      </c>
      <c r="M124" s="620"/>
      <c r="N124" s="769">
        <f t="shared" si="21"/>
        <v>188688050</v>
      </c>
      <c r="O124" s="775">
        <v>320</v>
      </c>
      <c r="P124" s="620">
        <f t="shared" si="27"/>
        <v>589650.15625</v>
      </c>
      <c r="Q124" s="788"/>
      <c r="R124" s="776" t="s">
        <v>394</v>
      </c>
      <c r="S124" s="772">
        <v>42531</v>
      </c>
      <c r="T124" s="777">
        <v>360</v>
      </c>
      <c r="U124" s="777">
        <v>18000</v>
      </c>
      <c r="V124" s="769">
        <f t="shared" si="29"/>
        <v>6480000</v>
      </c>
      <c r="W124" s="785"/>
    </row>
    <row r="125" spans="1:23">
      <c r="A125" s="767">
        <f t="shared" si="22"/>
        <v>15</v>
      </c>
      <c r="B125" s="779" t="s">
        <v>1693</v>
      </c>
      <c r="C125" s="768">
        <v>8.0374999999999996</v>
      </c>
      <c r="D125" s="620">
        <f t="shared" si="23"/>
        <v>16075</v>
      </c>
      <c r="E125" s="620"/>
      <c r="F125" s="620">
        <v>68876.211819595599</v>
      </c>
      <c r="G125" s="769">
        <f t="shared" si="24"/>
        <v>1107185104.9999993</v>
      </c>
      <c r="H125" s="620">
        <f t="shared" si="25"/>
        <v>10563303.802802335</v>
      </c>
      <c r="I125" s="620">
        <f t="shared" si="26"/>
        <v>6870883.4505713256</v>
      </c>
      <c r="J125" s="620">
        <f t="shared" si="26"/>
        <v>7078793.0174241243</v>
      </c>
      <c r="K125" s="620">
        <f t="shared" si="26"/>
        <v>4749014.4519414715</v>
      </c>
      <c r="L125" s="620">
        <f t="shared" si="28"/>
        <v>47004689</v>
      </c>
      <c r="M125" s="620"/>
      <c r="N125" s="769">
        <f t="shared" si="21"/>
        <v>1183451789</v>
      </c>
      <c r="O125" s="775">
        <v>2000</v>
      </c>
      <c r="P125" s="620">
        <f t="shared" si="27"/>
        <v>591725.89450000005</v>
      </c>
      <c r="Q125" s="788"/>
      <c r="R125" s="776" t="s">
        <v>387</v>
      </c>
      <c r="S125" s="835">
        <v>42534</v>
      </c>
      <c r="T125" s="777">
        <v>140</v>
      </c>
      <c r="U125" s="777">
        <v>5000</v>
      </c>
      <c r="V125" s="769">
        <f t="shared" si="29"/>
        <v>700000</v>
      </c>
      <c r="W125" s="785"/>
    </row>
    <row r="126" spans="1:23">
      <c r="A126" s="767" t="str">
        <f>IF(B126&lt;&gt;"",#REF!+1,"")</f>
        <v/>
      </c>
      <c r="B126" s="780"/>
      <c r="C126" s="781"/>
      <c r="D126" s="783"/>
      <c r="E126" s="783"/>
      <c r="F126" s="783"/>
      <c r="G126" s="784"/>
      <c r="H126" s="829"/>
      <c r="I126" s="783"/>
      <c r="J126" s="785"/>
      <c r="K126" s="783"/>
      <c r="L126" s="786"/>
      <c r="M126" s="783"/>
      <c r="N126" s="769"/>
      <c r="O126" s="787"/>
      <c r="P126" s="783"/>
      <c r="Q126" s="788"/>
      <c r="R126" s="776" t="s">
        <v>387</v>
      </c>
      <c r="S126" s="835">
        <v>42534</v>
      </c>
      <c r="T126" s="777">
        <v>430</v>
      </c>
      <c r="U126" s="777">
        <v>5000</v>
      </c>
      <c r="V126" s="769">
        <f t="shared" si="29"/>
        <v>2150000</v>
      </c>
      <c r="W126" s="785"/>
    </row>
    <row r="127" spans="1:23">
      <c r="A127" s="790"/>
      <c r="B127" s="791" t="s">
        <v>549</v>
      </c>
      <c r="C127" s="792"/>
      <c r="D127" s="793">
        <f>SUM(D111:D126)</f>
        <v>193410</v>
      </c>
      <c r="E127" s="793">
        <f>SUM(E111:E126)</f>
        <v>0</v>
      </c>
      <c r="F127" s="793"/>
      <c r="G127" s="793">
        <f>SUM(G111:G125)</f>
        <v>5745747059.999999</v>
      </c>
      <c r="H127" s="794">
        <v>127094780</v>
      </c>
      <c r="I127" s="794">
        <f>V122</f>
        <v>82668589</v>
      </c>
      <c r="J127" s="794">
        <v>85170100</v>
      </c>
      <c r="K127" s="794">
        <v>57138842</v>
      </c>
      <c r="L127" s="793">
        <f>ROUND(SUM(L111:L126),0)</f>
        <v>189641856</v>
      </c>
      <c r="M127" s="793"/>
      <c r="N127" s="1211">
        <f>ROUND(SUM(N111:N126),0)</f>
        <v>6287461229</v>
      </c>
      <c r="O127" s="793">
        <f>ROUND(SUM(O111:O126),0)</f>
        <v>27340</v>
      </c>
      <c r="P127" s="793"/>
      <c r="Q127" s="788"/>
      <c r="R127" s="518" t="s">
        <v>390</v>
      </c>
      <c r="S127" s="835">
        <v>42526</v>
      </c>
      <c r="T127" s="234">
        <v>904</v>
      </c>
      <c r="U127" s="234">
        <v>21347</v>
      </c>
      <c r="V127" s="769">
        <f t="shared" si="29"/>
        <v>19297688</v>
      </c>
      <c r="W127" s="785"/>
    </row>
    <row r="128" spans="1:23">
      <c r="A128" s="795"/>
      <c r="B128" s="796"/>
      <c r="C128" s="753"/>
      <c r="D128" s="797"/>
      <c r="E128" s="797"/>
      <c r="F128" s="797"/>
      <c r="G128" s="797"/>
      <c r="H128" s="751"/>
      <c r="I128" s="751"/>
      <c r="J128" s="751"/>
      <c r="K128" s="751"/>
      <c r="L128" s="797"/>
      <c r="M128" s="797"/>
      <c r="N128" s="797"/>
      <c r="O128" s="797"/>
      <c r="P128" s="797"/>
      <c r="Q128" s="788"/>
      <c r="R128" s="82" t="s">
        <v>1515</v>
      </c>
      <c r="S128" s="835">
        <v>42526</v>
      </c>
      <c r="T128" s="234">
        <v>72</v>
      </c>
      <c r="U128" s="234">
        <v>21347</v>
      </c>
      <c r="V128" s="769">
        <f>ROUND(T128*U128,0)</f>
        <v>1536984</v>
      </c>
      <c r="W128" s="785"/>
    </row>
    <row r="129" spans="1:23">
      <c r="A129" s="795"/>
      <c r="B129" s="796"/>
      <c r="C129" s="753"/>
      <c r="D129" s="797"/>
      <c r="E129" s="797"/>
      <c r="F129" s="797"/>
      <c r="G129" s="797">
        <v>4645507060</v>
      </c>
      <c r="H129" s="751"/>
      <c r="I129" s="751"/>
      <c r="J129" s="751"/>
      <c r="K129" s="751"/>
      <c r="L129" s="797"/>
      <c r="M129" s="797"/>
      <c r="N129" s="797">
        <v>5190869926</v>
      </c>
      <c r="O129" s="797"/>
      <c r="P129" s="797"/>
      <c r="Q129" s="788"/>
      <c r="R129" s="82" t="s">
        <v>1516</v>
      </c>
      <c r="S129" s="835">
        <v>42526</v>
      </c>
      <c r="T129" s="234">
        <v>132</v>
      </c>
      <c r="U129" s="234">
        <v>21347</v>
      </c>
      <c r="V129" s="769">
        <f>ROUND(T129*U129,0)</f>
        <v>2817804</v>
      </c>
      <c r="W129" s="785"/>
    </row>
    <row r="130" spans="1:23">
      <c r="G130" s="805">
        <f>G127-G129</f>
        <v>1100239999.999999</v>
      </c>
      <c r="Q130" s="788"/>
      <c r="R130" s="518" t="s">
        <v>390</v>
      </c>
      <c r="S130" s="772">
        <v>42531</v>
      </c>
      <c r="T130" s="777">
        <v>120</v>
      </c>
      <c r="U130" s="777">
        <v>13500</v>
      </c>
      <c r="V130" s="769">
        <f t="shared" si="29"/>
        <v>1620000</v>
      </c>
      <c r="W130" s="785"/>
    </row>
    <row r="131" spans="1:23">
      <c r="R131" s="799" t="s">
        <v>381</v>
      </c>
      <c r="S131" s="772">
        <v>42531</v>
      </c>
      <c r="T131" s="777">
        <v>7828</v>
      </c>
      <c r="U131" s="777">
        <v>5780.8622078968574</v>
      </c>
      <c r="V131" s="769">
        <f t="shared" si="29"/>
        <v>45252589</v>
      </c>
      <c r="W131" s="785"/>
    </row>
    <row r="132" spans="1:23">
      <c r="R132" s="962" t="s">
        <v>374</v>
      </c>
      <c r="S132" s="772">
        <v>42536</v>
      </c>
      <c r="T132" s="777">
        <v>295214</v>
      </c>
      <c r="U132" s="777">
        <v>346.98655890303303</v>
      </c>
      <c r="V132" s="769">
        <f t="shared" si="29"/>
        <v>102435290</v>
      </c>
      <c r="W132" s="785"/>
    </row>
    <row r="133" spans="1:23">
      <c r="R133" s="962" t="s">
        <v>377</v>
      </c>
      <c r="S133" s="772">
        <v>42536</v>
      </c>
      <c r="T133" s="777">
        <v>6600</v>
      </c>
      <c r="U133" s="777">
        <v>545</v>
      </c>
      <c r="V133" s="769">
        <f t="shared" si="29"/>
        <v>3597000</v>
      </c>
      <c r="W133" s="785"/>
    </row>
    <row r="134" spans="1:23" ht="12.75" customHeight="1">
      <c r="A134" s="1184"/>
      <c r="B134" s="1184"/>
      <c r="C134" s="842"/>
      <c r="D134" s="1184"/>
      <c r="E134" s="1184"/>
      <c r="F134" s="1184"/>
      <c r="G134" s="1210">
        <f>16075/O125</f>
        <v>8.0374999999999996</v>
      </c>
      <c r="H134" s="1184"/>
      <c r="I134" s="1184"/>
      <c r="J134" s="1184"/>
      <c r="K134" s="1184"/>
      <c r="L134" s="1184"/>
      <c r="M134" s="1184"/>
      <c r="N134" s="1184"/>
      <c r="O134" s="811"/>
      <c r="P134" s="1184"/>
      <c r="Q134" s="749"/>
      <c r="R134" s="962" t="s">
        <v>372</v>
      </c>
      <c r="S134" s="772">
        <v>42536</v>
      </c>
      <c r="T134" s="777">
        <v>12300</v>
      </c>
      <c r="U134" s="777">
        <v>235</v>
      </c>
      <c r="V134" s="769">
        <f t="shared" si="29"/>
        <v>2890500</v>
      </c>
      <c r="W134" s="785"/>
    </row>
    <row r="135" spans="1:23" ht="12.75" customHeight="1">
      <c r="A135" s="1184"/>
      <c r="B135" s="1184"/>
      <c r="C135" s="842"/>
      <c r="D135" s="1184"/>
      <c r="E135" s="1184"/>
      <c r="F135" s="1184"/>
      <c r="G135" s="1184"/>
      <c r="H135" s="1184"/>
      <c r="I135" s="1184"/>
      <c r="J135" s="1184"/>
      <c r="K135" s="1184"/>
      <c r="L135" s="1184"/>
      <c r="M135" s="1184"/>
      <c r="N135" s="1184"/>
      <c r="O135" s="811"/>
      <c r="P135" s="1184"/>
      <c r="Q135" s="749"/>
      <c r="R135" s="743"/>
      <c r="S135" s="750"/>
    </row>
    <row r="136" spans="1:23" ht="18" customHeight="1">
      <c r="A136" s="744" t="s">
        <v>532</v>
      </c>
      <c r="B136" s="744"/>
      <c r="C136" s="843"/>
      <c r="D136" s="746"/>
      <c r="E136" s="746"/>
      <c r="F136" s="746"/>
      <c r="G136" s="743"/>
      <c r="H136" s="743"/>
      <c r="I136" s="743"/>
      <c r="J136" s="743"/>
      <c r="K136" s="743"/>
      <c r="L136" s="747"/>
      <c r="M136" s="743"/>
      <c r="N136" s="743"/>
      <c r="O136" s="748"/>
      <c r="P136" s="743"/>
      <c r="Q136" s="749"/>
      <c r="R136" s="743"/>
      <c r="S136" s="750"/>
    </row>
    <row r="137" spans="1:23" ht="18.75" customHeight="1">
      <c r="A137" s="751" t="s">
        <v>555</v>
      </c>
      <c r="B137" s="751"/>
      <c r="C137" s="751"/>
      <c r="D137" s="751"/>
      <c r="E137" s="751"/>
      <c r="F137" s="751"/>
      <c r="G137" s="751"/>
      <c r="H137" s="751"/>
      <c r="I137" s="751"/>
      <c r="J137" s="751"/>
      <c r="K137" s="751"/>
      <c r="L137" s="751"/>
      <c r="M137" s="751"/>
      <c r="N137" s="751"/>
      <c r="O137" s="751"/>
      <c r="P137" s="751"/>
      <c r="Q137" s="749"/>
      <c r="R137" s="743"/>
      <c r="S137" s="750"/>
    </row>
    <row r="138" spans="1:23" ht="18.75" customHeight="1">
      <c r="A138" s="752"/>
      <c r="B138" s="752"/>
      <c r="C138" s="753"/>
      <c r="D138" s="752"/>
      <c r="E138" s="752"/>
      <c r="F138" s="752"/>
      <c r="G138" s="752"/>
      <c r="H138" s="752"/>
      <c r="I138" s="752"/>
      <c r="J138" s="752"/>
      <c r="K138" s="752"/>
      <c r="L138" s="751"/>
      <c r="M138" s="752"/>
      <c r="N138" s="752"/>
      <c r="O138" s="754"/>
      <c r="P138" s="752"/>
      <c r="Q138" s="749"/>
      <c r="R138" s="743"/>
      <c r="S138" s="750"/>
    </row>
    <row r="139" spans="1:23" ht="12.75" customHeight="1">
      <c r="A139" s="755"/>
      <c r="B139" s="755"/>
      <c r="C139" s="756"/>
      <c r="D139" s="755"/>
      <c r="E139" s="755"/>
      <c r="F139" s="755"/>
      <c r="G139" s="755"/>
      <c r="H139" s="755"/>
      <c r="I139" s="755"/>
      <c r="J139" s="755"/>
      <c r="K139" s="755"/>
      <c r="L139" s="755"/>
      <c r="M139" s="755"/>
      <c r="N139" s="755"/>
      <c r="O139" s="757"/>
      <c r="P139" s="755"/>
      <c r="Q139" s="749"/>
      <c r="R139" s="743"/>
      <c r="S139" s="750"/>
    </row>
    <row r="140" spans="1:23" s="766" customFormat="1" ht="30.75" customHeight="1">
      <c r="A140" s="760" t="s">
        <v>37</v>
      </c>
      <c r="B140" s="760" t="s">
        <v>534</v>
      </c>
      <c r="C140" s="761" t="s">
        <v>535</v>
      </c>
      <c r="D140" s="762" t="s">
        <v>536</v>
      </c>
      <c r="E140" s="762" t="s">
        <v>537</v>
      </c>
      <c r="F140" s="762" t="s">
        <v>538</v>
      </c>
      <c r="G140" s="762" t="s">
        <v>539</v>
      </c>
      <c r="H140" s="762" t="s">
        <v>540</v>
      </c>
      <c r="I140" s="762" t="s">
        <v>541</v>
      </c>
      <c r="J140" s="762" t="s">
        <v>542</v>
      </c>
      <c r="K140" s="763" t="s">
        <v>543</v>
      </c>
      <c r="L140" s="762" t="s">
        <v>544</v>
      </c>
      <c r="M140" s="763" t="s">
        <v>545</v>
      </c>
      <c r="N140" s="762" t="s">
        <v>546</v>
      </c>
      <c r="O140" s="764" t="s">
        <v>537</v>
      </c>
      <c r="P140" s="762" t="s">
        <v>547</v>
      </c>
      <c r="Q140" s="765"/>
      <c r="R140" s="760" t="s">
        <v>534</v>
      </c>
      <c r="S140" s="762" t="s">
        <v>501</v>
      </c>
      <c r="T140" s="762" t="s">
        <v>337</v>
      </c>
      <c r="U140" s="762" t="s">
        <v>538</v>
      </c>
      <c r="V140" s="762" t="s">
        <v>548</v>
      </c>
      <c r="W140" s="760" t="s">
        <v>548</v>
      </c>
    </row>
    <row r="141" spans="1:23">
      <c r="A141" s="767">
        <f>IF(B141&lt;&gt;"",ROW()-(ROW()-1),"")</f>
        <v>1</v>
      </c>
      <c r="B141" s="779" t="s">
        <v>453</v>
      </c>
      <c r="C141" s="768">
        <v>8</v>
      </c>
      <c r="D141" s="620">
        <f t="shared" ref="D141:D149" si="30">ROUND(C141*O141,0)</f>
        <v>38400</v>
      </c>
      <c r="E141" s="620"/>
      <c r="F141" s="620">
        <v>15500</v>
      </c>
      <c r="G141" s="769">
        <f>D141*F141</f>
        <v>595200000</v>
      </c>
      <c r="H141" s="620">
        <f t="shared" ref="H141:H149" si="31">IF($D$150&lt;&gt;0,H$150/($D$150+$E$150/5)*($D141+$E141/5),0)</f>
        <v>22966779.069163214</v>
      </c>
      <c r="I141" s="620">
        <f t="shared" ref="I141:K143" si="32">IF($D$150&lt;&gt;0,I$150/$D$150*$D141,0)</f>
        <v>2647151.1544523933</v>
      </c>
      <c r="J141" s="620">
        <f t="shared" si="32"/>
        <v>10777883.234891655</v>
      </c>
      <c r="K141" s="620">
        <f t="shared" si="32"/>
        <v>9501201.7944676355</v>
      </c>
      <c r="L141" s="769">
        <f>V151+V152</f>
        <v>37002000</v>
      </c>
      <c r="M141" s="620"/>
      <c r="N141" s="769">
        <f t="shared" ref="N141:N149" si="33">ROUND(SUM(G141:M141),0)</f>
        <v>678095015</v>
      </c>
      <c r="O141" s="620">
        <v>4800</v>
      </c>
      <c r="P141" s="620">
        <f t="shared" ref="P141:P149" si="34">IF(N141&lt;&gt;0,N141/O141,0)</f>
        <v>141269.79479166667</v>
      </c>
      <c r="Q141" s="788"/>
      <c r="R141" s="506" t="s">
        <v>339</v>
      </c>
      <c r="S141" s="835">
        <v>42552</v>
      </c>
      <c r="T141" s="234">
        <v>10</v>
      </c>
      <c r="U141" s="773">
        <v>35444.444444444445</v>
      </c>
      <c r="V141" s="769">
        <f t="shared" ref="V141:V148" si="35">ROUND(T141*U141,0)</f>
        <v>354444</v>
      </c>
      <c r="W141" s="769"/>
    </row>
    <row r="142" spans="1:23">
      <c r="A142" s="767">
        <f t="shared" ref="A142:A148" si="36">IF(B142&lt;&gt;"",A141+1,"")</f>
        <v>2</v>
      </c>
      <c r="B142" s="511" t="s">
        <v>1795</v>
      </c>
      <c r="C142" s="768">
        <v>9</v>
      </c>
      <c r="D142" s="620">
        <f t="shared" si="30"/>
        <v>20430</v>
      </c>
      <c r="E142" s="620"/>
      <c r="F142" s="620">
        <v>17500</v>
      </c>
      <c r="G142" s="769">
        <f>D142*F142</f>
        <v>357525000</v>
      </c>
      <c r="H142" s="620">
        <f t="shared" si="31"/>
        <v>12219044.176640742</v>
      </c>
      <c r="I142" s="620">
        <f t="shared" si="32"/>
        <v>1408367.1376422497</v>
      </c>
      <c r="J142" s="620">
        <f t="shared" si="32"/>
        <v>5734170.6898134509</v>
      </c>
      <c r="K142" s="620">
        <f t="shared" si="32"/>
        <v>5054936.2672128594</v>
      </c>
      <c r="L142" s="620">
        <f>V153</f>
        <v>3813600</v>
      </c>
      <c r="M142" s="620"/>
      <c r="N142" s="769">
        <f t="shared" si="33"/>
        <v>385755118</v>
      </c>
      <c r="O142" s="775">
        <v>2270</v>
      </c>
      <c r="P142" s="620">
        <f t="shared" si="34"/>
        <v>169936.17533039648</v>
      </c>
      <c r="Q142" s="788"/>
      <c r="R142" s="511" t="s">
        <v>345</v>
      </c>
      <c r="S142" s="835">
        <v>42552</v>
      </c>
      <c r="T142" s="234">
        <v>20</v>
      </c>
      <c r="U142" s="777">
        <v>46741.2</v>
      </c>
      <c r="V142" s="769">
        <f t="shared" si="35"/>
        <v>934824</v>
      </c>
      <c r="W142" s="785"/>
    </row>
    <row r="143" spans="1:23">
      <c r="A143" s="767">
        <f t="shared" si="36"/>
        <v>3</v>
      </c>
      <c r="B143" s="779" t="s">
        <v>1681</v>
      </c>
      <c r="C143" s="768">
        <v>1.1582733812949639</v>
      </c>
      <c r="D143" s="620">
        <f t="shared" si="30"/>
        <v>1042</v>
      </c>
      <c r="E143" s="620"/>
      <c r="F143" s="620">
        <v>11165</v>
      </c>
      <c r="G143" s="769">
        <f>D143*F143</f>
        <v>11633930</v>
      </c>
      <c r="H143" s="620">
        <f t="shared" si="31"/>
        <v>623213.11953302263</v>
      </c>
      <c r="I143" s="620">
        <f t="shared" si="32"/>
        <v>71831.549555713384</v>
      </c>
      <c r="J143" s="620">
        <f t="shared" si="32"/>
        <v>292462.35236346629</v>
      </c>
      <c r="K143" s="620">
        <f t="shared" si="32"/>
        <v>257819.06952696032</v>
      </c>
      <c r="L143" s="620">
        <f>V154</f>
        <v>300000</v>
      </c>
      <c r="M143" s="620"/>
      <c r="N143" s="769">
        <f t="shared" si="33"/>
        <v>13179256</v>
      </c>
      <c r="O143" s="775">
        <v>900</v>
      </c>
      <c r="P143" s="620">
        <f t="shared" si="34"/>
        <v>14643.617777777778</v>
      </c>
      <c r="Q143" s="788"/>
      <c r="R143" s="511" t="s">
        <v>348</v>
      </c>
      <c r="S143" s="835">
        <v>42552</v>
      </c>
      <c r="T143" s="234">
        <v>250</v>
      </c>
      <c r="U143" s="777">
        <v>14523.81</v>
      </c>
      <c r="V143" s="769">
        <f t="shared" si="35"/>
        <v>3630953</v>
      </c>
      <c r="W143" s="785"/>
    </row>
    <row r="144" spans="1:23">
      <c r="A144" s="767">
        <f t="shared" si="36"/>
        <v>4</v>
      </c>
      <c r="B144" s="506" t="s">
        <v>1524</v>
      </c>
      <c r="C144" s="768">
        <v>8.5</v>
      </c>
      <c r="D144" s="620">
        <f t="shared" si="30"/>
        <v>14960</v>
      </c>
      <c r="E144" s="620"/>
      <c r="F144" s="620">
        <v>15500</v>
      </c>
      <c r="G144" s="769">
        <f>(D144+E144)*F144</f>
        <v>231880000</v>
      </c>
      <c r="H144" s="620">
        <f t="shared" si="31"/>
        <v>8947474.3456948362</v>
      </c>
      <c r="I144" s="620">
        <f t="shared" ref="I144:K148" si="37">IF($D$150&lt;&gt;0,I$150/$D$150*$D144,0)</f>
        <v>1031285.9705887449</v>
      </c>
      <c r="J144" s="620">
        <f t="shared" si="37"/>
        <v>4198883.6769265411</v>
      </c>
      <c r="K144" s="620">
        <f t="shared" si="37"/>
        <v>3701509.8657613499</v>
      </c>
      <c r="L144" s="769">
        <f>V155+V156</f>
        <v>4896000</v>
      </c>
      <c r="M144" s="620"/>
      <c r="N144" s="769">
        <f t="shared" si="33"/>
        <v>254655154</v>
      </c>
      <c r="O144" s="620">
        <v>1760</v>
      </c>
      <c r="P144" s="620">
        <f t="shared" si="34"/>
        <v>144690.42840909091</v>
      </c>
      <c r="Q144" s="788"/>
      <c r="R144" s="511" t="s">
        <v>353</v>
      </c>
      <c r="S144" s="835">
        <v>42552</v>
      </c>
      <c r="T144" s="799">
        <v>500</v>
      </c>
      <c r="U144" s="777">
        <v>3200</v>
      </c>
      <c r="V144" s="769">
        <f t="shared" si="35"/>
        <v>1600000</v>
      </c>
      <c r="W144" s="785"/>
    </row>
    <row r="145" spans="1:23">
      <c r="A145" s="767">
        <f t="shared" si="36"/>
        <v>5</v>
      </c>
      <c r="B145" s="841" t="s">
        <v>451</v>
      </c>
      <c r="C145" s="768">
        <v>11</v>
      </c>
      <c r="D145" s="620">
        <f t="shared" si="30"/>
        <v>18700</v>
      </c>
      <c r="E145" s="620"/>
      <c r="F145" s="620">
        <v>13500</v>
      </c>
      <c r="G145" s="769">
        <f>(D145+E145)*F145</f>
        <v>252450000</v>
      </c>
      <c r="H145" s="620">
        <f t="shared" si="31"/>
        <v>11184342.932118544</v>
      </c>
      <c r="I145" s="620">
        <f t="shared" si="37"/>
        <v>1289107.463235931</v>
      </c>
      <c r="J145" s="620">
        <f t="shared" si="37"/>
        <v>5248604.5961581757</v>
      </c>
      <c r="K145" s="620">
        <f t="shared" si="37"/>
        <v>4626887.3322016876</v>
      </c>
      <c r="L145" s="769">
        <f>V159</f>
        <v>2592000</v>
      </c>
      <c r="M145" s="620"/>
      <c r="N145" s="769">
        <f t="shared" si="33"/>
        <v>277390942</v>
      </c>
      <c r="O145" s="620">
        <v>1700</v>
      </c>
      <c r="P145" s="620">
        <f t="shared" si="34"/>
        <v>163171.14235294118</v>
      </c>
      <c r="Q145" s="788"/>
      <c r="R145" s="514" t="s">
        <v>356</v>
      </c>
      <c r="S145" s="835">
        <v>42552</v>
      </c>
      <c r="T145" s="234">
        <v>270</v>
      </c>
      <c r="U145" s="777">
        <v>14728</v>
      </c>
      <c r="V145" s="769">
        <f t="shared" si="35"/>
        <v>3976560</v>
      </c>
      <c r="W145" s="785"/>
    </row>
    <row r="146" spans="1:23">
      <c r="A146" s="767">
        <f t="shared" si="36"/>
        <v>6</v>
      </c>
      <c r="B146" s="67" t="s">
        <v>1522</v>
      </c>
      <c r="C146" s="768">
        <v>5</v>
      </c>
      <c r="D146" s="620">
        <f t="shared" si="30"/>
        <v>5450</v>
      </c>
      <c r="E146" s="620"/>
      <c r="F146" s="620">
        <v>15000</v>
      </c>
      <c r="G146" s="769">
        <f>(D146+E146)*F146</f>
        <v>81750000</v>
      </c>
      <c r="H146" s="620">
        <f t="shared" si="31"/>
        <v>3259607.9668473834</v>
      </c>
      <c r="I146" s="620">
        <f t="shared" si="37"/>
        <v>375702.44249389437</v>
      </c>
      <c r="J146" s="620">
        <f t="shared" si="37"/>
        <v>1529673.5320354044</v>
      </c>
      <c r="K146" s="620">
        <f t="shared" si="37"/>
        <v>1348477.8588502244</v>
      </c>
      <c r="L146" s="769">
        <f>V157</f>
        <v>3029000</v>
      </c>
      <c r="M146" s="620"/>
      <c r="N146" s="769">
        <f t="shared" si="33"/>
        <v>91292462</v>
      </c>
      <c r="O146" s="620">
        <v>1090</v>
      </c>
      <c r="P146" s="620">
        <f t="shared" si="34"/>
        <v>83754.552293577988</v>
      </c>
      <c r="Q146" s="788"/>
      <c r="R146" s="514" t="s">
        <v>1409</v>
      </c>
      <c r="S146" s="835">
        <v>42552</v>
      </c>
      <c r="T146" s="234">
        <v>100</v>
      </c>
      <c r="U146" s="777">
        <v>12728</v>
      </c>
      <c r="V146" s="769">
        <f t="shared" si="35"/>
        <v>1272800</v>
      </c>
      <c r="W146" s="785"/>
    </row>
    <row r="147" spans="1:23" s="744" customFormat="1">
      <c r="A147" s="767">
        <f t="shared" si="36"/>
        <v>7</v>
      </c>
      <c r="B147" s="779" t="s">
        <v>1957</v>
      </c>
      <c r="C147" s="768">
        <v>5</v>
      </c>
      <c r="D147" s="620">
        <f t="shared" si="30"/>
        <v>1950</v>
      </c>
      <c r="E147" s="620"/>
      <c r="F147" s="620">
        <v>19000</v>
      </c>
      <c r="G147" s="769">
        <f>(D147+E147)*F147</f>
        <v>37050000</v>
      </c>
      <c r="H147" s="620">
        <f t="shared" si="31"/>
        <v>1166281.7496059446</v>
      </c>
      <c r="I147" s="620">
        <f t="shared" si="37"/>
        <v>134425.6445620356</v>
      </c>
      <c r="J147" s="620">
        <f t="shared" si="37"/>
        <v>547314.38302184187</v>
      </c>
      <c r="K147" s="620">
        <f t="shared" si="37"/>
        <v>482482.90362530964</v>
      </c>
      <c r="L147" s="769">
        <f>V158</f>
        <v>650000</v>
      </c>
      <c r="M147" s="620"/>
      <c r="N147" s="769">
        <f t="shared" si="33"/>
        <v>40030505</v>
      </c>
      <c r="O147" s="620">
        <v>390</v>
      </c>
      <c r="P147" s="620">
        <f t="shared" si="34"/>
        <v>102642.32051282052</v>
      </c>
      <c r="Q147" s="788"/>
      <c r="R147" s="514" t="s">
        <v>359</v>
      </c>
      <c r="S147" s="835">
        <v>42556</v>
      </c>
      <c r="T147" s="799">
        <v>100</v>
      </c>
      <c r="U147" s="777">
        <v>8500</v>
      </c>
      <c r="V147" s="769">
        <f t="shared" si="35"/>
        <v>850000</v>
      </c>
      <c r="W147" s="785"/>
    </row>
    <row r="148" spans="1:23">
      <c r="A148" s="767">
        <f t="shared" si="36"/>
        <v>8</v>
      </c>
      <c r="B148" s="779" t="s">
        <v>441</v>
      </c>
      <c r="C148" s="768">
        <v>2.5</v>
      </c>
      <c r="D148" s="620">
        <f t="shared" si="30"/>
        <v>130000</v>
      </c>
      <c r="E148" s="620"/>
      <c r="F148" s="620">
        <v>20000</v>
      </c>
      <c r="G148" s="769">
        <f>(D148+E148)*F148</f>
        <v>2600000000</v>
      </c>
      <c r="H148" s="620">
        <f t="shared" si="31"/>
        <v>77752116.640396297</v>
      </c>
      <c r="I148" s="620">
        <f t="shared" si="37"/>
        <v>8961709.6374690402</v>
      </c>
      <c r="J148" s="620">
        <f t="shared" si="37"/>
        <v>36487625.534789458</v>
      </c>
      <c r="K148" s="620">
        <f t="shared" si="37"/>
        <v>32165526.908353977</v>
      </c>
      <c r="L148" s="769">
        <f>V160</f>
        <v>25096265</v>
      </c>
      <c r="M148" s="620">
        <v>37500000</v>
      </c>
      <c r="N148" s="769">
        <f t="shared" si="33"/>
        <v>2817963244</v>
      </c>
      <c r="O148" s="620">
        <v>52000</v>
      </c>
      <c r="P148" s="620">
        <f t="shared" si="34"/>
        <v>54191.600846153844</v>
      </c>
      <c r="Q148" s="788"/>
      <c r="R148" s="514" t="s">
        <v>363</v>
      </c>
      <c r="S148" s="835">
        <v>42556</v>
      </c>
      <c r="T148" s="799">
        <v>100</v>
      </c>
      <c r="U148" s="777">
        <v>33000</v>
      </c>
      <c r="V148" s="769">
        <f t="shared" si="35"/>
        <v>3300000</v>
      </c>
      <c r="W148" s="785"/>
    </row>
    <row r="149" spans="1:23">
      <c r="A149" s="767" t="str">
        <f>IF(B149&lt;&gt;"",#REF!+1,"")</f>
        <v/>
      </c>
      <c r="B149" s="779"/>
      <c r="C149" s="768"/>
      <c r="D149" s="620">
        <f t="shared" si="30"/>
        <v>0</v>
      </c>
      <c r="E149" s="620"/>
      <c r="F149" s="620"/>
      <c r="G149" s="769">
        <f>D149*F149</f>
        <v>0</v>
      </c>
      <c r="H149" s="620">
        <f t="shared" si="31"/>
        <v>0</v>
      </c>
      <c r="I149" s="620">
        <f>IF($D$150&lt;&gt;0,I$150/$D$150*$D149,0)</f>
        <v>0</v>
      </c>
      <c r="J149" s="620">
        <f>IF($D$150&lt;&gt;0,J$150/$D$150*$D149,0)</f>
        <v>0</v>
      </c>
      <c r="K149" s="620">
        <f>IF($D$150&lt;&gt;0,K$150/$D$150*$D149,0)</f>
        <v>0</v>
      </c>
      <c r="L149" s="620"/>
      <c r="M149" s="620"/>
      <c r="N149" s="769">
        <f t="shared" si="33"/>
        <v>0</v>
      </c>
      <c r="O149" s="775"/>
      <c r="P149" s="620">
        <f t="shared" si="34"/>
        <v>0</v>
      </c>
      <c r="Q149" s="788"/>
      <c r="R149" s="511"/>
      <c r="S149" s="772"/>
      <c r="T149" s="234"/>
      <c r="U149" s="234"/>
      <c r="V149" s="785"/>
      <c r="W149" s="785"/>
    </row>
    <row r="150" spans="1:23">
      <c r="A150" s="790"/>
      <c r="B150" s="791" t="s">
        <v>549</v>
      </c>
      <c r="C150" s="792"/>
      <c r="D150" s="793">
        <f>SUM(D141:D149)</f>
        <v>230932</v>
      </c>
      <c r="E150" s="793"/>
      <c r="F150" s="793"/>
      <c r="G150" s="793">
        <f>SUM(G141:G149)</f>
        <v>4167488930</v>
      </c>
      <c r="H150" s="794">
        <v>138118860</v>
      </c>
      <c r="I150" s="794">
        <f>V150</f>
        <v>15919581</v>
      </c>
      <c r="J150" s="794">
        <v>64816618</v>
      </c>
      <c r="K150" s="794">
        <v>57138842</v>
      </c>
      <c r="L150" s="793">
        <f>ROUND(SUM(L141:L149),0)</f>
        <v>77378865</v>
      </c>
      <c r="M150" s="793">
        <f>ROUND(SUM(M141:M149),0)</f>
        <v>37500000</v>
      </c>
      <c r="N150" s="1211">
        <f>ROUND(SUM(N141:N149),0)</f>
        <v>4558361696</v>
      </c>
      <c r="O150" s="793">
        <f>ROUND(SUM(O141:O149),0)</f>
        <v>64910</v>
      </c>
      <c r="P150" s="793"/>
      <c r="R150" s="822"/>
      <c r="S150" s="823"/>
      <c r="T150" s="824"/>
      <c r="U150" s="840"/>
      <c r="V150" s="793">
        <f>SUM(V141:V149)</f>
        <v>15919581</v>
      </c>
      <c r="W150" s="803">
        <f>SUM(W141:W149)</f>
        <v>0</v>
      </c>
    </row>
    <row r="151" spans="1:23">
      <c r="R151" s="799" t="s">
        <v>401</v>
      </c>
      <c r="S151" s="835">
        <v>42556</v>
      </c>
      <c r="T151" s="234">
        <v>600</v>
      </c>
      <c r="U151" s="234">
        <v>18200</v>
      </c>
      <c r="V151" s="769">
        <f t="shared" ref="V151:V163" si="38">ROUND(T151*U151,0)</f>
        <v>10920000</v>
      </c>
      <c r="W151" s="769"/>
    </row>
    <row r="152" spans="1:23">
      <c r="R152" s="799" t="s">
        <v>653</v>
      </c>
      <c r="S152" s="835">
        <v>42556</v>
      </c>
      <c r="T152" s="777">
        <v>2268</v>
      </c>
      <c r="U152" s="777">
        <v>11500</v>
      </c>
      <c r="V152" s="769">
        <f t="shared" si="38"/>
        <v>26082000</v>
      </c>
      <c r="W152" s="785"/>
    </row>
    <row r="153" spans="1:23">
      <c r="R153" s="776" t="s">
        <v>387</v>
      </c>
      <c r="S153" s="835">
        <v>42562</v>
      </c>
      <c r="T153" s="777">
        <v>227</v>
      </c>
      <c r="U153" s="777">
        <v>16800</v>
      </c>
      <c r="V153" s="769">
        <f t="shared" si="38"/>
        <v>3813600</v>
      </c>
      <c r="W153" s="785"/>
    </row>
    <row r="154" spans="1:23">
      <c r="R154" s="776" t="s">
        <v>387</v>
      </c>
      <c r="S154" s="835">
        <v>42576</v>
      </c>
      <c r="T154" s="777">
        <v>60</v>
      </c>
      <c r="U154" s="777">
        <v>5000</v>
      </c>
      <c r="V154" s="769">
        <f t="shared" si="38"/>
        <v>300000</v>
      </c>
      <c r="W154" s="785"/>
    </row>
    <row r="155" spans="1:23">
      <c r="R155" s="825" t="s">
        <v>1633</v>
      </c>
      <c r="S155" s="835">
        <v>42578</v>
      </c>
      <c r="T155" s="234">
        <v>240</v>
      </c>
      <c r="U155" s="234">
        <v>2400</v>
      </c>
      <c r="V155" s="769">
        <f t="shared" si="38"/>
        <v>576000</v>
      </c>
      <c r="W155" s="785"/>
    </row>
    <row r="156" spans="1:23">
      <c r="R156" s="776" t="s">
        <v>394</v>
      </c>
      <c r="S156" s="835">
        <v>42578</v>
      </c>
      <c r="T156" s="777">
        <v>240</v>
      </c>
      <c r="U156" s="777">
        <v>18000</v>
      </c>
      <c r="V156" s="769">
        <f t="shared" si="38"/>
        <v>4320000</v>
      </c>
      <c r="W156" s="785"/>
    </row>
    <row r="157" spans="1:23">
      <c r="H157" s="740">
        <f>3317000*9</f>
        <v>29853000</v>
      </c>
      <c r="R157" s="320" t="s">
        <v>1513</v>
      </c>
      <c r="S157" s="835">
        <v>42578</v>
      </c>
      <c r="T157" s="777">
        <v>233</v>
      </c>
      <c r="U157" s="777">
        <v>13000</v>
      </c>
      <c r="V157" s="769">
        <f t="shared" si="38"/>
        <v>3029000</v>
      </c>
      <c r="W157" s="785"/>
    </row>
    <row r="158" spans="1:23">
      <c r="R158" s="320" t="s">
        <v>1513</v>
      </c>
      <c r="S158" s="835">
        <v>42578</v>
      </c>
      <c r="T158" s="777">
        <v>50</v>
      </c>
      <c r="U158" s="777">
        <v>13000</v>
      </c>
      <c r="V158" s="769">
        <f t="shared" si="38"/>
        <v>650000</v>
      </c>
      <c r="W158" s="785"/>
    </row>
    <row r="159" spans="1:23">
      <c r="R159" s="518" t="s">
        <v>390</v>
      </c>
      <c r="S159" s="835">
        <v>42578</v>
      </c>
      <c r="T159" s="777">
        <v>192</v>
      </c>
      <c r="U159" s="777">
        <v>13500</v>
      </c>
      <c r="V159" s="769">
        <f t="shared" si="38"/>
        <v>2592000</v>
      </c>
      <c r="W159" s="785"/>
    </row>
    <row r="160" spans="1:23">
      <c r="R160" s="518" t="s">
        <v>384</v>
      </c>
      <c r="S160" s="835">
        <v>42578</v>
      </c>
      <c r="T160" s="777">
        <v>5619</v>
      </c>
      <c r="U160" s="777">
        <v>4466.322284402353</v>
      </c>
      <c r="V160" s="769">
        <f t="shared" si="38"/>
        <v>25096265</v>
      </c>
      <c r="W160" s="785"/>
    </row>
    <row r="161" spans="1:23">
      <c r="R161" s="776"/>
      <c r="S161" s="835"/>
      <c r="T161" s="777"/>
      <c r="U161" s="777"/>
      <c r="V161" s="769">
        <f t="shared" si="38"/>
        <v>0</v>
      </c>
      <c r="W161" s="785"/>
    </row>
    <row r="162" spans="1:23">
      <c r="R162" s="776"/>
      <c r="S162" s="835"/>
      <c r="T162" s="777"/>
      <c r="U162" s="777"/>
      <c r="V162" s="769"/>
      <c r="W162" s="785"/>
    </row>
    <row r="163" spans="1:23">
      <c r="R163" s="799"/>
      <c r="S163" s="772"/>
      <c r="T163" s="777"/>
      <c r="U163" s="777"/>
      <c r="V163" s="769">
        <f t="shared" si="38"/>
        <v>0</v>
      </c>
      <c r="W163" s="785"/>
    </row>
    <row r="164" spans="1:23" ht="16.5" customHeight="1">
      <c r="A164" s="744" t="s">
        <v>532</v>
      </c>
      <c r="B164" s="744"/>
      <c r="C164" s="745"/>
      <c r="D164" s="746"/>
      <c r="E164" s="746"/>
      <c r="F164" s="746"/>
      <c r="G164" s="743"/>
      <c r="H164" s="743"/>
      <c r="I164" s="743"/>
      <c r="J164" s="743"/>
      <c r="K164" s="743"/>
      <c r="L164" s="747"/>
      <c r="M164" s="743"/>
      <c r="N164" s="743"/>
      <c r="O164" s="748"/>
      <c r="P164" s="743"/>
      <c r="R164" s="743"/>
      <c r="S164" s="750"/>
    </row>
    <row r="165" spans="1:23" ht="16.5" customHeight="1">
      <c r="A165" s="751" t="s">
        <v>556</v>
      </c>
      <c r="B165" s="751"/>
      <c r="C165" s="751"/>
      <c r="D165" s="751"/>
      <c r="E165" s="751"/>
      <c r="F165" s="751"/>
      <c r="G165" s="751"/>
      <c r="H165" s="751"/>
      <c r="I165" s="751"/>
      <c r="J165" s="751"/>
      <c r="K165" s="751"/>
      <c r="L165" s="751"/>
      <c r="M165" s="751"/>
      <c r="N165" s="751"/>
      <c r="O165" s="751"/>
      <c r="P165" s="751"/>
      <c r="Q165" s="749"/>
      <c r="R165" s="743"/>
      <c r="S165" s="750"/>
    </row>
    <row r="166" spans="1:23" ht="11.25" customHeight="1">
      <c r="A166" s="752"/>
      <c r="B166" s="752"/>
      <c r="C166" s="753"/>
      <c r="D166" s="752"/>
      <c r="E166" s="752"/>
      <c r="F166" s="752"/>
      <c r="G166" s="752"/>
      <c r="H166" s="752"/>
      <c r="I166" s="752"/>
      <c r="J166" s="752"/>
      <c r="K166" s="752"/>
      <c r="L166" s="751"/>
      <c r="M166" s="752"/>
      <c r="N166" s="752"/>
      <c r="O166" s="754"/>
      <c r="P166" s="752"/>
      <c r="Q166" s="749"/>
      <c r="R166" s="743"/>
      <c r="S166" s="750"/>
    </row>
    <row r="167" spans="1:23" ht="11.25" customHeight="1">
      <c r="A167" s="755"/>
      <c r="B167" s="755"/>
      <c r="C167" s="756"/>
      <c r="D167" s="755"/>
      <c r="E167" s="755"/>
      <c r="F167" s="755"/>
      <c r="G167" s="755"/>
      <c r="H167" s="755"/>
      <c r="I167" s="755"/>
      <c r="J167" s="755"/>
      <c r="K167" s="755"/>
      <c r="L167" s="755"/>
      <c r="M167" s="755"/>
      <c r="N167" s="755"/>
      <c r="O167" s="757"/>
      <c r="P167" s="755"/>
      <c r="Q167" s="749"/>
      <c r="R167" s="743"/>
      <c r="S167" s="750"/>
    </row>
    <row r="168" spans="1:23" ht="28.5" customHeight="1">
      <c r="A168" s="760" t="s">
        <v>37</v>
      </c>
      <c r="B168" s="760" t="s">
        <v>534</v>
      </c>
      <c r="C168" s="761" t="s">
        <v>535</v>
      </c>
      <c r="D168" s="762" t="s">
        <v>536</v>
      </c>
      <c r="E168" s="762" t="s">
        <v>537</v>
      </c>
      <c r="F168" s="762" t="s">
        <v>538</v>
      </c>
      <c r="G168" s="762" t="s">
        <v>539</v>
      </c>
      <c r="H168" s="762" t="s">
        <v>540</v>
      </c>
      <c r="I168" s="762" t="s">
        <v>541</v>
      </c>
      <c r="J168" s="762" t="s">
        <v>542</v>
      </c>
      <c r="K168" s="763" t="s">
        <v>543</v>
      </c>
      <c r="L168" s="762" t="s">
        <v>544</v>
      </c>
      <c r="M168" s="763" t="s">
        <v>545</v>
      </c>
      <c r="N168" s="762" t="s">
        <v>546</v>
      </c>
      <c r="O168" s="764" t="s">
        <v>537</v>
      </c>
      <c r="P168" s="762" t="s">
        <v>547</v>
      </c>
      <c r="Q168" s="749"/>
      <c r="R168" s="760" t="s">
        <v>534</v>
      </c>
      <c r="S168" s="762" t="s">
        <v>501</v>
      </c>
      <c r="T168" s="762" t="s">
        <v>337</v>
      </c>
      <c r="U168" s="762" t="s">
        <v>538</v>
      </c>
      <c r="V168" s="762" t="s">
        <v>548</v>
      </c>
      <c r="W168" s="760" t="s">
        <v>548</v>
      </c>
    </row>
    <row r="169" spans="1:23" s="766" customFormat="1" ht="12" customHeight="1">
      <c r="A169" s="767">
        <f>IF(B169&lt;&gt;"",ROW()-(ROW()-1),"")</f>
        <v>1</v>
      </c>
      <c r="B169" s="779" t="s">
        <v>441</v>
      </c>
      <c r="C169" s="768">
        <v>2.5</v>
      </c>
      <c r="D169" s="620">
        <f t="shared" ref="D169:D174" si="39">ROUND(C169*O169,0)</f>
        <v>130000</v>
      </c>
      <c r="E169" s="620"/>
      <c r="F169" s="620">
        <v>20000</v>
      </c>
      <c r="G169" s="769">
        <f t="shared" ref="G169:G174" si="40">(D169+E169)*F169</f>
        <v>2600000000</v>
      </c>
      <c r="H169" s="620">
        <f>IF($D$176&lt;&gt;0,H$176/($D$176-$D$170+$E$176/5)*($D169+$E169/5),0)</f>
        <v>63858425.98473493</v>
      </c>
      <c r="I169" s="620">
        <f>IF($D$176&lt;&gt;0,I$176/($D$176-$D$170+$E$176/5)*($D169+$E169/5),0)</f>
        <v>32566770.018618595</v>
      </c>
      <c r="J169" s="620">
        <f>IF($D$176&lt;&gt;0,J$176/($D$176-$D$170+$E$176/5)*($D169+$E169/5),0)</f>
        <v>42272351.350664712</v>
      </c>
      <c r="K169" s="620">
        <f>IF($D$176&lt;&gt;0,K$176/($D$176-$D$170+$E$176/5)*($D169+$E169/5),0)</f>
        <v>26959033.502582289</v>
      </c>
      <c r="L169" s="769">
        <f t="shared" ref="L169:L174" si="41">V179</f>
        <v>25096265</v>
      </c>
      <c r="M169" s="620">
        <v>37500000</v>
      </c>
      <c r="N169" s="769">
        <f>ROUND(SUM(G169:M169),0)+1</f>
        <v>2828252847</v>
      </c>
      <c r="O169" s="620">
        <v>52000</v>
      </c>
      <c r="P169" s="620">
        <f t="shared" ref="P169:P174" si="42">IF(N169&lt;&gt;0,N169/O169,0)</f>
        <v>54389.477826923074</v>
      </c>
      <c r="Q169" s="765"/>
      <c r="R169" s="506" t="s">
        <v>339</v>
      </c>
      <c r="S169" s="835">
        <v>42583</v>
      </c>
      <c r="T169" s="234">
        <v>25</v>
      </c>
      <c r="U169" s="773">
        <v>35444.444444444445</v>
      </c>
      <c r="V169" s="769">
        <f t="shared" ref="V169:V176" si="43">ROUND(T169*U169,0)</f>
        <v>886111</v>
      </c>
      <c r="W169" s="769"/>
    </row>
    <row r="170" spans="1:23" s="766" customFormat="1" ht="12" customHeight="1">
      <c r="A170" s="767">
        <f>IF(B170&lt;&gt;"",A169+1,"")</f>
        <v>2</v>
      </c>
      <c r="B170" s="779" t="s">
        <v>1915</v>
      </c>
      <c r="C170" s="768">
        <v>9.5</v>
      </c>
      <c r="D170" s="620">
        <f t="shared" si="39"/>
        <v>95000</v>
      </c>
      <c r="E170" s="620"/>
      <c r="F170" s="620">
        <v>11000</v>
      </c>
      <c r="G170" s="769">
        <f t="shared" si="40"/>
        <v>1045000000</v>
      </c>
      <c r="H170" s="620"/>
      <c r="I170" s="620"/>
      <c r="J170" s="620"/>
      <c r="K170" s="620"/>
      <c r="L170" s="769">
        <f t="shared" si="41"/>
        <v>15135000</v>
      </c>
      <c r="M170" s="620">
        <v>400000000</v>
      </c>
      <c r="N170" s="769">
        <f>ROUND(SUM(G170:M170),0)+1</f>
        <v>1460135001</v>
      </c>
      <c r="O170" s="620">
        <v>10000</v>
      </c>
      <c r="P170" s="620">
        <f t="shared" si="42"/>
        <v>146013.5001</v>
      </c>
      <c r="Q170" s="765"/>
      <c r="R170" s="511" t="s">
        <v>345</v>
      </c>
      <c r="S170" s="835">
        <v>42583</v>
      </c>
      <c r="T170" s="234">
        <v>60</v>
      </c>
      <c r="U170" s="777">
        <v>46741.2</v>
      </c>
      <c r="V170" s="769">
        <f t="shared" si="43"/>
        <v>2804472</v>
      </c>
      <c r="W170" s="769"/>
    </row>
    <row r="171" spans="1:23" s="766" customFormat="1" ht="12" customHeight="1">
      <c r="A171" s="767">
        <f>IF(B171&lt;&gt;"",A170+1,"")</f>
        <v>3</v>
      </c>
      <c r="B171" s="779" t="s">
        <v>1918</v>
      </c>
      <c r="C171" s="768">
        <v>1.1582733812949639</v>
      </c>
      <c r="D171" s="620">
        <f t="shared" si="39"/>
        <v>9382</v>
      </c>
      <c r="E171" s="620"/>
      <c r="F171" s="620">
        <v>11165</v>
      </c>
      <c r="G171" s="769">
        <f t="shared" si="40"/>
        <v>104750030</v>
      </c>
      <c r="H171" s="620">
        <f t="shared" ref="H171:K174" si="44">IF($D$176&lt;&gt;0,H$176/($D$176-$D$170+$E$176/5)*($D171+$E171/5),0)</f>
        <v>4608613.4814521782</v>
      </c>
      <c r="I171" s="620">
        <f t="shared" si="44"/>
        <v>2350318.7408821513</v>
      </c>
      <c r="J171" s="620">
        <f t="shared" si="44"/>
        <v>3050763.0797841256</v>
      </c>
      <c r="K171" s="620">
        <f t="shared" si="44"/>
        <v>1945612.7101632848</v>
      </c>
      <c r="L171" s="769">
        <f t="shared" si="41"/>
        <v>2700000</v>
      </c>
      <c r="M171" s="620"/>
      <c r="N171" s="769">
        <f>ROUND(SUM(G171:M171),0)+1</f>
        <v>119405339</v>
      </c>
      <c r="O171" s="620">
        <v>8100</v>
      </c>
      <c r="P171" s="620">
        <f t="shared" si="42"/>
        <v>14741.39987654321</v>
      </c>
      <c r="Q171" s="765"/>
      <c r="R171" s="511" t="s">
        <v>348</v>
      </c>
      <c r="S171" s="835">
        <v>42583</v>
      </c>
      <c r="T171" s="234">
        <v>400</v>
      </c>
      <c r="U171" s="777">
        <v>14523.81</v>
      </c>
      <c r="V171" s="769">
        <f t="shared" si="43"/>
        <v>5809524</v>
      </c>
      <c r="W171" s="769"/>
    </row>
    <row r="172" spans="1:23" s="766" customFormat="1" ht="12" customHeight="1">
      <c r="A172" s="767">
        <f>IF(B172&lt;&gt;"",A171+1,"")</f>
        <v>4</v>
      </c>
      <c r="B172" s="779" t="s">
        <v>1919</v>
      </c>
      <c r="C172" s="768">
        <v>1.1582733812949639</v>
      </c>
      <c r="D172" s="620">
        <f t="shared" si="39"/>
        <v>3649</v>
      </c>
      <c r="E172" s="620"/>
      <c r="F172" s="620">
        <v>11165</v>
      </c>
      <c r="G172" s="769">
        <f t="shared" si="40"/>
        <v>40741085</v>
      </c>
      <c r="H172" s="620">
        <f t="shared" si="44"/>
        <v>1792456.8955253675</v>
      </c>
      <c r="I172" s="620">
        <f t="shared" si="44"/>
        <v>914124.18306107121</v>
      </c>
      <c r="J172" s="620">
        <f t="shared" si="44"/>
        <v>1186552.3852198119</v>
      </c>
      <c r="K172" s="620">
        <f t="shared" si="44"/>
        <v>756719.33269940596</v>
      </c>
      <c r="L172" s="769">
        <f t="shared" si="41"/>
        <v>100000</v>
      </c>
      <c r="M172" s="620"/>
      <c r="N172" s="769">
        <f>ROUND(SUM(G172:M172),0)</f>
        <v>45490938</v>
      </c>
      <c r="O172" s="620">
        <v>3150</v>
      </c>
      <c r="P172" s="620">
        <f t="shared" si="42"/>
        <v>14441.567619047619</v>
      </c>
      <c r="Q172" s="765"/>
      <c r="R172" s="511" t="s">
        <v>353</v>
      </c>
      <c r="S172" s="835">
        <v>42583</v>
      </c>
      <c r="T172" s="234">
        <v>1000</v>
      </c>
      <c r="U172" s="777">
        <v>3200</v>
      </c>
      <c r="V172" s="769">
        <f t="shared" si="43"/>
        <v>3200000</v>
      </c>
      <c r="W172" s="769"/>
    </row>
    <row r="173" spans="1:23" s="766" customFormat="1" ht="12" customHeight="1">
      <c r="A173" s="767">
        <f>IF(B173&lt;&gt;"",A172+1,"")</f>
        <v>5</v>
      </c>
      <c r="B173" s="779" t="s">
        <v>1922</v>
      </c>
      <c r="C173" s="768">
        <v>5</v>
      </c>
      <c r="D173" s="620">
        <f t="shared" si="39"/>
        <v>2500</v>
      </c>
      <c r="E173" s="620"/>
      <c r="F173" s="620">
        <v>45000</v>
      </c>
      <c r="G173" s="769">
        <f t="shared" si="40"/>
        <v>112500000</v>
      </c>
      <c r="H173" s="620">
        <f t="shared" si="44"/>
        <v>1228046.6535525948</v>
      </c>
      <c r="I173" s="620">
        <f t="shared" si="44"/>
        <v>626284.03881958837</v>
      </c>
      <c r="J173" s="620">
        <f t="shared" si="44"/>
        <v>812929.83366662904</v>
      </c>
      <c r="K173" s="620">
        <f t="shared" si="44"/>
        <v>518442.95197273634</v>
      </c>
      <c r="L173" s="769">
        <f t="shared" si="41"/>
        <v>1320000</v>
      </c>
      <c r="M173" s="620"/>
      <c r="N173" s="769">
        <f>ROUND(SUM(G173:M173),0)</f>
        <v>117005703</v>
      </c>
      <c r="O173" s="620">
        <v>500</v>
      </c>
      <c r="P173" s="620">
        <f t="shared" si="42"/>
        <v>234011.40599999999</v>
      </c>
      <c r="Q173" s="765"/>
      <c r="R173" s="514" t="s">
        <v>356</v>
      </c>
      <c r="S173" s="835">
        <v>42583</v>
      </c>
      <c r="T173" s="234">
        <v>2970</v>
      </c>
      <c r="U173" s="777">
        <v>14728</v>
      </c>
      <c r="V173" s="769">
        <f t="shared" si="43"/>
        <v>43742160</v>
      </c>
      <c r="W173" s="769"/>
    </row>
    <row r="174" spans="1:23" s="766" customFormat="1" ht="12" customHeight="1">
      <c r="A174" s="767">
        <f>IF(B174&lt;&gt;"",A173+1,"")</f>
        <v>6</v>
      </c>
      <c r="B174" s="779" t="s">
        <v>441</v>
      </c>
      <c r="C174" s="768">
        <v>2.5</v>
      </c>
      <c r="D174" s="620">
        <f t="shared" si="39"/>
        <v>130000</v>
      </c>
      <c r="E174" s="620"/>
      <c r="F174" s="620">
        <v>35000</v>
      </c>
      <c r="G174" s="769">
        <f t="shared" si="40"/>
        <v>4550000000</v>
      </c>
      <c r="H174" s="620">
        <f t="shared" si="44"/>
        <v>63858425.98473493</v>
      </c>
      <c r="I174" s="620">
        <f t="shared" si="44"/>
        <v>32566770.018618595</v>
      </c>
      <c r="J174" s="620">
        <f t="shared" si="44"/>
        <v>42272351.350664712</v>
      </c>
      <c r="K174" s="620">
        <f t="shared" si="44"/>
        <v>26959033.502582289</v>
      </c>
      <c r="L174" s="769">
        <f t="shared" si="41"/>
        <v>0</v>
      </c>
      <c r="M174" s="620"/>
      <c r="N174" s="769">
        <f>ROUND(SUM(G174:M174),0)</f>
        <v>4715656581</v>
      </c>
      <c r="O174" s="620">
        <v>52000</v>
      </c>
      <c r="P174" s="620">
        <f t="shared" si="42"/>
        <v>90685.703480769225</v>
      </c>
      <c r="Q174" s="765"/>
      <c r="R174" s="514" t="s">
        <v>1409</v>
      </c>
      <c r="S174" s="835">
        <v>42583</v>
      </c>
      <c r="T174" s="234">
        <v>250</v>
      </c>
      <c r="U174" s="777">
        <v>12728</v>
      </c>
      <c r="V174" s="769">
        <f t="shared" si="43"/>
        <v>3182000</v>
      </c>
      <c r="W174" s="769"/>
    </row>
    <row r="175" spans="1:23" s="766" customFormat="1" ht="12" customHeight="1">
      <c r="A175" s="767" t="str">
        <f>IF(B175&lt;&gt;"",#REF!+1,"")</f>
        <v/>
      </c>
      <c r="B175" s="780"/>
      <c r="C175" s="768">
        <f>IF(ISNA(VLOOKUP(B175,NXT!$Q$72:$S$92,2,0)),0,VLOOKUP(B175,NXT!$Q$72:$S$92,2,0))</f>
        <v>0</v>
      </c>
      <c r="D175" s="783"/>
      <c r="E175" s="783"/>
      <c r="F175" s="783"/>
      <c r="G175" s="784"/>
      <c r="H175" s="829"/>
      <c r="I175" s="783"/>
      <c r="J175" s="785"/>
      <c r="K175" s="783"/>
      <c r="L175" s="786"/>
      <c r="M175" s="783"/>
      <c r="N175" s="817"/>
      <c r="O175" s="787"/>
      <c r="P175" s="783"/>
      <c r="Q175" s="765"/>
      <c r="R175" s="514" t="s">
        <v>359</v>
      </c>
      <c r="S175" s="835">
        <v>42586</v>
      </c>
      <c r="T175" s="234">
        <v>350</v>
      </c>
      <c r="U175" s="234">
        <v>8000</v>
      </c>
      <c r="V175" s="769">
        <f t="shared" si="43"/>
        <v>2800000</v>
      </c>
      <c r="W175" s="769"/>
    </row>
    <row r="176" spans="1:23" ht="12" customHeight="1">
      <c r="A176" s="790"/>
      <c r="B176" s="791" t="s">
        <v>549</v>
      </c>
      <c r="C176" s="792"/>
      <c r="D176" s="793">
        <f>SUM(D169:D175)</f>
        <v>370531</v>
      </c>
      <c r="E176" s="793">
        <f>SUM(E169:E173)</f>
        <v>0</v>
      </c>
      <c r="F176" s="793"/>
      <c r="G176" s="793">
        <f>SUM(G169:G175)</f>
        <v>8452991115</v>
      </c>
      <c r="H176" s="794">
        <v>135345969</v>
      </c>
      <c r="I176" s="794">
        <f>V178</f>
        <v>69024267</v>
      </c>
      <c r="J176" s="794">
        <v>89594948</v>
      </c>
      <c r="K176" s="794">
        <v>57138842</v>
      </c>
      <c r="L176" s="793">
        <f>SUM(L169:L175)</f>
        <v>44351265</v>
      </c>
      <c r="M176" s="793">
        <f>SUM(M169:M175)</f>
        <v>437500000</v>
      </c>
      <c r="N176" s="1211">
        <f>ROUND(SUM(N169:N175),0)</f>
        <v>9285946409</v>
      </c>
      <c r="O176" s="793">
        <f>ROUND(SUM(O169:O175),0)</f>
        <v>125750</v>
      </c>
      <c r="P176" s="793"/>
      <c r="Q176" s="788"/>
      <c r="R176" s="514" t="s">
        <v>363</v>
      </c>
      <c r="S176" s="835">
        <v>42586</v>
      </c>
      <c r="T176" s="234">
        <v>200</v>
      </c>
      <c r="U176" s="777">
        <v>33000</v>
      </c>
      <c r="V176" s="769">
        <f t="shared" si="43"/>
        <v>6600000</v>
      </c>
      <c r="W176" s="785"/>
    </row>
    <row r="177" spans="1:23" ht="12" customHeight="1">
      <c r="Q177" s="788"/>
      <c r="R177" s="776"/>
      <c r="S177" s="772"/>
      <c r="T177" s="234"/>
      <c r="U177" s="234"/>
      <c r="V177" s="769"/>
      <c r="W177" s="785"/>
    </row>
    <row r="178" spans="1:23" ht="12" customHeight="1">
      <c r="Q178" s="788"/>
      <c r="R178" s="822"/>
      <c r="S178" s="823"/>
      <c r="T178" s="824"/>
      <c r="U178" s="840"/>
      <c r="V178" s="803">
        <f>SUM(V169:V177)</f>
        <v>69024267</v>
      </c>
      <c r="W178" s="803">
        <f>SUM(W169:W177)</f>
        <v>0</v>
      </c>
    </row>
    <row r="179" spans="1:23" ht="12" customHeight="1">
      <c r="Q179" s="788"/>
      <c r="R179" s="518" t="s">
        <v>384</v>
      </c>
      <c r="S179" s="835">
        <v>42592</v>
      </c>
      <c r="T179" s="777">
        <v>5619</v>
      </c>
      <c r="U179" s="777">
        <v>4466.322284402353</v>
      </c>
      <c r="V179" s="769">
        <f t="shared" ref="V179:V186" si="45">ROUND(T179*U179,0)</f>
        <v>25096265</v>
      </c>
      <c r="W179" s="785"/>
    </row>
    <row r="180" spans="1:23" ht="12" customHeight="1">
      <c r="Q180" s="788"/>
      <c r="R180" s="322" t="s">
        <v>1840</v>
      </c>
      <c r="S180" s="835">
        <v>42597</v>
      </c>
      <c r="T180" s="437">
        <v>1009</v>
      </c>
      <c r="U180" s="437">
        <v>15000</v>
      </c>
      <c r="V180" s="769">
        <f t="shared" si="45"/>
        <v>15135000</v>
      </c>
      <c r="W180" s="769"/>
    </row>
    <row r="181" spans="1:23" ht="12" customHeight="1">
      <c r="Q181" s="788"/>
      <c r="R181" s="776" t="s">
        <v>387</v>
      </c>
      <c r="S181" s="835">
        <v>42604</v>
      </c>
      <c r="T181" s="777">
        <v>540</v>
      </c>
      <c r="U181" s="777">
        <v>5000</v>
      </c>
      <c r="V181" s="769">
        <f t="shared" si="45"/>
        <v>2700000</v>
      </c>
      <c r="W181" s="785"/>
    </row>
    <row r="182" spans="1:23" ht="12" customHeight="1">
      <c r="I182" s="805"/>
      <c r="Q182" s="788"/>
      <c r="R182" s="776" t="s">
        <v>387</v>
      </c>
      <c r="S182" s="835">
        <v>42604</v>
      </c>
      <c r="T182" s="777">
        <v>20</v>
      </c>
      <c r="U182" s="777">
        <v>5000</v>
      </c>
      <c r="V182" s="769">
        <f t="shared" si="45"/>
        <v>100000</v>
      </c>
      <c r="W182" s="785"/>
    </row>
    <row r="183" spans="1:23" ht="12" customHeight="1">
      <c r="G183" s="805"/>
      <c r="H183" s="805"/>
      <c r="I183" s="805"/>
      <c r="J183" s="805"/>
      <c r="K183" s="805"/>
      <c r="L183" s="805"/>
      <c r="M183" s="805"/>
      <c r="N183" s="805"/>
      <c r="Q183" s="788"/>
      <c r="R183" s="322" t="s">
        <v>1838</v>
      </c>
      <c r="S183" s="772">
        <v>42606</v>
      </c>
      <c r="T183" s="437">
        <v>120</v>
      </c>
      <c r="U183" s="437">
        <v>11000</v>
      </c>
      <c r="V183" s="769">
        <f t="shared" si="45"/>
        <v>1320000</v>
      </c>
      <c r="W183" s="785"/>
    </row>
    <row r="184" spans="1:23" ht="12" customHeight="1">
      <c r="G184" s="743"/>
      <c r="H184" s="743"/>
      <c r="I184" s="743"/>
      <c r="J184" s="743"/>
      <c r="K184" s="743"/>
      <c r="L184" s="743"/>
      <c r="M184" s="743"/>
      <c r="N184" s="743"/>
      <c r="Q184" s="788"/>
      <c r="R184" s="320"/>
      <c r="S184" s="772"/>
      <c r="T184" s="777"/>
      <c r="U184" s="777"/>
      <c r="V184" s="769">
        <f t="shared" si="45"/>
        <v>0</v>
      </c>
      <c r="W184" s="785"/>
    </row>
    <row r="185" spans="1:23" ht="12" customHeight="1">
      <c r="Q185" s="788"/>
      <c r="R185" s="518"/>
      <c r="S185" s="772"/>
      <c r="T185" s="777"/>
      <c r="U185" s="777"/>
      <c r="V185" s="769">
        <f t="shared" si="45"/>
        <v>0</v>
      </c>
      <c r="W185" s="785"/>
    </row>
    <row r="186" spans="1:23" s="789" customFormat="1" ht="12" customHeight="1">
      <c r="A186" s="740"/>
      <c r="B186" s="740"/>
      <c r="C186" s="740"/>
      <c r="D186" s="740"/>
      <c r="E186" s="740"/>
      <c r="F186" s="740"/>
      <c r="G186" s="740"/>
      <c r="H186" s="740"/>
      <c r="I186" s="740"/>
      <c r="J186" s="740"/>
      <c r="K186" s="740"/>
      <c r="L186" s="740"/>
      <c r="M186" s="740"/>
      <c r="N186" s="740"/>
      <c r="O186" s="740"/>
      <c r="P186" s="740"/>
      <c r="Q186" s="788"/>
      <c r="R186" s="799"/>
      <c r="S186" s="772"/>
      <c r="T186" s="777"/>
      <c r="U186" s="777"/>
      <c r="V186" s="769">
        <f t="shared" si="45"/>
        <v>0</v>
      </c>
      <c r="W186" s="785"/>
    </row>
    <row r="187" spans="1:23" s="744" customFormat="1" ht="12" customHeight="1">
      <c r="A187" s="740"/>
      <c r="B187" s="740"/>
      <c r="C187" s="740"/>
      <c r="D187" s="740"/>
      <c r="E187" s="740"/>
      <c r="F187" s="740"/>
      <c r="G187" s="740"/>
      <c r="H187" s="740"/>
      <c r="I187" s="740"/>
      <c r="J187" s="740"/>
      <c r="K187" s="740"/>
      <c r="L187" s="740"/>
      <c r="M187" s="740"/>
      <c r="N187" s="740"/>
      <c r="O187" s="740"/>
      <c r="P187" s="740"/>
      <c r="Q187" s="788"/>
      <c r="R187" s="743"/>
      <c r="S187" s="750"/>
      <c r="T187" s="743"/>
      <c r="U187" s="743"/>
      <c r="V187" s="740"/>
      <c r="W187" s="740"/>
    </row>
    <row r="188" spans="1:23" ht="12" customHeight="1">
      <c r="R188" s="743"/>
      <c r="S188" s="750"/>
    </row>
    <row r="189" spans="1:23" ht="12" customHeight="1">
      <c r="R189" s="743"/>
      <c r="S189" s="750"/>
    </row>
    <row r="190" spans="1:23" ht="12" customHeight="1">
      <c r="R190" s="743"/>
      <c r="S190" s="750"/>
    </row>
    <row r="191" spans="1:23" ht="12" customHeight="1">
      <c r="R191" s="743"/>
      <c r="S191" s="750"/>
    </row>
    <row r="192" spans="1:23" ht="12" customHeight="1">
      <c r="R192" s="743"/>
      <c r="S192" s="750"/>
    </row>
    <row r="193" spans="1:23" ht="12" customHeight="1">
      <c r="R193" s="743"/>
      <c r="S193" s="750"/>
    </row>
    <row r="194" spans="1:23" ht="12" customHeight="1">
      <c r="R194" s="743"/>
      <c r="S194" s="750"/>
    </row>
    <row r="195" spans="1:23" ht="12" customHeight="1">
      <c r="R195" s="743"/>
      <c r="S195" s="750"/>
    </row>
    <row r="196" spans="1:23">
      <c r="R196" s="743"/>
      <c r="S196" s="750"/>
    </row>
    <row r="197" spans="1:23" ht="20.25" customHeight="1">
      <c r="A197" s="744" t="s">
        <v>532</v>
      </c>
      <c r="B197" s="744"/>
      <c r="C197" s="745"/>
      <c r="D197" s="746"/>
      <c r="E197" s="746"/>
      <c r="F197" s="746"/>
      <c r="G197" s="743"/>
      <c r="H197" s="743"/>
      <c r="I197" s="743"/>
      <c r="J197" s="743"/>
      <c r="K197" s="743"/>
      <c r="L197" s="747"/>
      <c r="M197" s="743"/>
      <c r="N197" s="743"/>
      <c r="O197" s="748"/>
      <c r="P197" s="743"/>
      <c r="R197" s="743"/>
      <c r="S197" s="750"/>
    </row>
    <row r="198" spans="1:23" ht="20.25" customHeight="1">
      <c r="A198" s="751" t="s">
        <v>557</v>
      </c>
      <c r="B198" s="751"/>
      <c r="C198" s="751"/>
      <c r="D198" s="751"/>
      <c r="E198" s="751"/>
      <c r="F198" s="751"/>
      <c r="G198" s="751"/>
      <c r="H198" s="751"/>
      <c r="I198" s="751"/>
      <c r="J198" s="751"/>
      <c r="K198" s="751"/>
      <c r="L198" s="751"/>
      <c r="M198" s="751"/>
      <c r="N198" s="751"/>
      <c r="O198" s="751"/>
      <c r="P198" s="751"/>
      <c r="Q198" s="749"/>
      <c r="R198" s="743"/>
      <c r="S198" s="750"/>
    </row>
    <row r="199" spans="1:23" ht="12" customHeight="1">
      <c r="A199" s="752"/>
      <c r="B199" s="752"/>
      <c r="C199" s="753"/>
      <c r="D199" s="752"/>
      <c r="E199" s="752"/>
      <c r="F199" s="752"/>
      <c r="G199" s="752"/>
      <c r="H199" s="752"/>
      <c r="I199" s="752"/>
      <c r="J199" s="752"/>
      <c r="K199" s="752"/>
      <c r="L199" s="751"/>
      <c r="M199" s="752"/>
      <c r="N199" s="752"/>
      <c r="O199" s="754"/>
      <c r="P199" s="752"/>
      <c r="Q199" s="749"/>
      <c r="R199" s="743"/>
      <c r="S199" s="750"/>
    </row>
    <row r="200" spans="1:23" ht="12" customHeight="1">
      <c r="A200" s="755"/>
      <c r="B200" s="755"/>
      <c r="C200" s="756"/>
      <c r="D200" s="755"/>
      <c r="E200" s="755"/>
      <c r="F200" s="755"/>
      <c r="G200" s="755"/>
      <c r="H200" s="755"/>
      <c r="I200" s="755"/>
      <c r="J200" s="755"/>
      <c r="K200" s="755"/>
      <c r="L200" s="755"/>
      <c r="M200" s="755"/>
      <c r="N200" s="755"/>
      <c r="O200" s="757"/>
      <c r="P200" s="755"/>
      <c r="Q200" s="749"/>
      <c r="R200" s="743"/>
      <c r="S200" s="750"/>
    </row>
    <row r="201" spans="1:23" ht="36.75" customHeight="1">
      <c r="A201" s="760" t="s">
        <v>37</v>
      </c>
      <c r="B201" s="760" t="s">
        <v>534</v>
      </c>
      <c r="C201" s="761" t="s">
        <v>535</v>
      </c>
      <c r="D201" s="762" t="s">
        <v>536</v>
      </c>
      <c r="E201" s="762" t="s">
        <v>537</v>
      </c>
      <c r="F201" s="762" t="s">
        <v>538</v>
      </c>
      <c r="G201" s="762" t="s">
        <v>539</v>
      </c>
      <c r="H201" s="762" t="s">
        <v>540</v>
      </c>
      <c r="I201" s="762" t="s">
        <v>541</v>
      </c>
      <c r="J201" s="762" t="s">
        <v>542</v>
      </c>
      <c r="K201" s="763" t="s">
        <v>543</v>
      </c>
      <c r="L201" s="762" t="s">
        <v>544</v>
      </c>
      <c r="M201" s="763" t="s">
        <v>545</v>
      </c>
      <c r="N201" s="762" t="s">
        <v>546</v>
      </c>
      <c r="O201" s="764" t="s">
        <v>537</v>
      </c>
      <c r="P201" s="762" t="s">
        <v>547</v>
      </c>
      <c r="Q201" s="749"/>
      <c r="R201" s="760" t="s">
        <v>534</v>
      </c>
      <c r="S201" s="762" t="s">
        <v>501</v>
      </c>
      <c r="T201" s="762" t="s">
        <v>337</v>
      </c>
      <c r="U201" s="762" t="s">
        <v>538</v>
      </c>
      <c r="V201" s="762" t="s">
        <v>548</v>
      </c>
      <c r="W201" s="760" t="s">
        <v>548</v>
      </c>
    </row>
    <row r="202" spans="1:23" s="766" customFormat="1" ht="13.5" customHeight="1">
      <c r="A202" s="767" t="str">
        <f>IF(B202&lt;&gt;"",ROW()-(ROW()-1),"")</f>
        <v/>
      </c>
      <c r="B202" s="779"/>
      <c r="C202" s="768">
        <f>IF(ISNA(VLOOKUP(B202,NXT!$Q$72:$S$92,2,0)),0,VLOOKUP(B202,NXT!$Q$72:$S$92,2,0))</f>
        <v>0</v>
      </c>
      <c r="D202" s="620">
        <f>ROUND(C202*O202,0)</f>
        <v>0</v>
      </c>
      <c r="E202" s="620"/>
      <c r="F202" s="620"/>
      <c r="G202" s="769">
        <f>(D202+E202)*F202</f>
        <v>0</v>
      </c>
      <c r="H202" s="620">
        <f>IF($E$208&lt;&gt;0,H$208/($D$208+$E$208/5)*($D202+$E202/5),0)</f>
        <v>0</v>
      </c>
      <c r="I202" s="620">
        <f t="shared" ref="I202:K206" si="46">IF($D$208&lt;&gt;0,I$208/$D$208*$D202,0)</f>
        <v>0</v>
      </c>
      <c r="J202" s="620">
        <f t="shared" si="46"/>
        <v>0</v>
      </c>
      <c r="K202" s="620">
        <f t="shared" si="46"/>
        <v>0</v>
      </c>
      <c r="L202" s="769"/>
      <c r="M202" s="620"/>
      <c r="N202" s="769">
        <f>ROUND(SUM(G202:L202),0)</f>
        <v>0</v>
      </c>
      <c r="O202" s="620"/>
      <c r="P202" s="620">
        <f>IF(N202&lt;&gt;0,N202/O202,0)</f>
        <v>0</v>
      </c>
      <c r="Q202" s="765"/>
      <c r="R202" s="771"/>
      <c r="S202" s="835"/>
      <c r="T202" s="234"/>
      <c r="U202" s="234"/>
      <c r="V202" s="769">
        <f t="shared" ref="V202:V211" si="47">ROUND(T202*U202,0)</f>
        <v>0</v>
      </c>
      <c r="W202" s="769"/>
    </row>
    <row r="203" spans="1:23" ht="13.5" customHeight="1">
      <c r="A203" s="767" t="str">
        <f>IF(B203&lt;&gt;"",A202+1,"")</f>
        <v/>
      </c>
      <c r="B203" s="779"/>
      <c r="C203" s="768">
        <f>IF(ISNA(VLOOKUP(B203,NXT!$Q$72:$S$92,2,0)),0,VLOOKUP(B203,NXT!$Q$72:$S$92,2,0))</f>
        <v>0</v>
      </c>
      <c r="D203" s="620">
        <f>ROUND(C203*O203,0)</f>
        <v>0</v>
      </c>
      <c r="E203" s="620"/>
      <c r="F203" s="620"/>
      <c r="G203" s="769">
        <f>(D203+E203)*F203</f>
        <v>0</v>
      </c>
      <c r="H203" s="620">
        <f>IF($E$208&lt;&gt;0,H$208/($D$208+$E$208/5)*($D203+$E203/5),0)</f>
        <v>0</v>
      </c>
      <c r="I203" s="620">
        <f t="shared" si="46"/>
        <v>0</v>
      </c>
      <c r="J203" s="620">
        <f t="shared" si="46"/>
        <v>0</v>
      </c>
      <c r="K203" s="620">
        <f t="shared" si="46"/>
        <v>0</v>
      </c>
      <c r="L203" s="769"/>
      <c r="M203" s="620"/>
      <c r="N203" s="769">
        <f>ROUND(SUM(G203:L203),0)</f>
        <v>0</v>
      </c>
      <c r="O203" s="620"/>
      <c r="P203" s="620">
        <f>IF(N203&lt;&gt;0,N203/O203,0)</f>
        <v>0</v>
      </c>
      <c r="Q203" s="788"/>
      <c r="R203" s="776"/>
      <c r="S203" s="835"/>
      <c r="T203" s="234"/>
      <c r="U203" s="234"/>
      <c r="V203" s="769">
        <f t="shared" si="47"/>
        <v>0</v>
      </c>
      <c r="W203" s="785"/>
    </row>
    <row r="204" spans="1:23" ht="13.5" customHeight="1">
      <c r="A204" s="767" t="str">
        <f>IF(B204&lt;&gt;"",A203+1,"")</f>
        <v/>
      </c>
      <c r="B204" s="779"/>
      <c r="C204" s="768">
        <f>IF(ISNA(VLOOKUP(B204,NXT!$Q$72:$S$92,2,0)),0,VLOOKUP(B204,NXT!$Q$72:$S$92,2,0))</f>
        <v>0</v>
      </c>
      <c r="D204" s="620">
        <f>ROUND(C204*O204,0)</f>
        <v>0</v>
      </c>
      <c r="E204" s="620"/>
      <c r="F204" s="620"/>
      <c r="G204" s="769">
        <f>(D204+E204)*F204</f>
        <v>0</v>
      </c>
      <c r="H204" s="620">
        <f>IF($E$208&lt;&gt;0,H$208/($D$208+$E$208/5)*($D204+$E204/5),0)</f>
        <v>0</v>
      </c>
      <c r="I204" s="620">
        <f t="shared" si="46"/>
        <v>0</v>
      </c>
      <c r="J204" s="620">
        <f t="shared" si="46"/>
        <v>0</v>
      </c>
      <c r="K204" s="620">
        <f t="shared" si="46"/>
        <v>0</v>
      </c>
      <c r="L204" s="769"/>
      <c r="M204" s="620"/>
      <c r="N204" s="769">
        <f>ROUND(SUM(G204:L204),0)</f>
        <v>0</v>
      </c>
      <c r="O204" s="775"/>
      <c r="P204" s="620">
        <f>IF(N204&lt;&gt;0,N204/O204,0)</f>
        <v>0</v>
      </c>
      <c r="Q204" s="788"/>
      <c r="R204" s="776"/>
      <c r="S204" s="835"/>
      <c r="T204" s="234"/>
      <c r="U204" s="234"/>
      <c r="V204" s="769">
        <f t="shared" si="47"/>
        <v>0</v>
      </c>
      <c r="W204" s="785"/>
    </row>
    <row r="205" spans="1:23">
      <c r="A205" s="767" t="str">
        <f>IF(B205&lt;&gt;"",A204+1,"")</f>
        <v/>
      </c>
      <c r="B205" s="779"/>
      <c r="C205" s="768">
        <f>IF(ISNA(VLOOKUP(B205,NXT!$Q$72:$S$92,2,0)),0,VLOOKUP(B205,NXT!$Q$72:$S$92,2,0))</f>
        <v>0</v>
      </c>
      <c r="D205" s="620">
        <f>ROUND(C205*O205,0)</f>
        <v>0</v>
      </c>
      <c r="E205" s="620"/>
      <c r="F205" s="620"/>
      <c r="G205" s="769">
        <f>(D205+E205)*F205</f>
        <v>0</v>
      </c>
      <c r="H205" s="620">
        <f>IF($E$208&lt;&gt;0,H$208/($D$208+$E$208/5)*($D205+$E205/5),0)</f>
        <v>0</v>
      </c>
      <c r="I205" s="620">
        <f t="shared" si="46"/>
        <v>0</v>
      </c>
      <c r="J205" s="620">
        <f t="shared" si="46"/>
        <v>0</v>
      </c>
      <c r="K205" s="620">
        <f t="shared" si="46"/>
        <v>0</v>
      </c>
      <c r="L205" s="769"/>
      <c r="M205" s="620"/>
      <c r="N205" s="769">
        <f>ROUND(SUM(G205:L205),0)</f>
        <v>0</v>
      </c>
      <c r="O205" s="775"/>
      <c r="P205" s="620">
        <f>IF(N205&lt;&gt;0,N205/O205,0)</f>
        <v>0</v>
      </c>
      <c r="Q205" s="788"/>
      <c r="R205" s="776"/>
      <c r="S205" s="835"/>
      <c r="T205" s="234"/>
      <c r="U205" s="234"/>
      <c r="V205" s="769">
        <f t="shared" si="47"/>
        <v>0</v>
      </c>
      <c r="W205" s="785"/>
    </row>
    <row r="206" spans="1:23">
      <c r="A206" s="767" t="str">
        <f>IF(B206&lt;&gt;"",A205+1,"")</f>
        <v/>
      </c>
      <c r="B206" s="779"/>
      <c r="C206" s="768">
        <f>IF(ISNA(VLOOKUP(B206,NXT!$Q$72:$S$92,2,0)),0,VLOOKUP(B206,NXT!$Q$72:$S$92,2,0))</f>
        <v>0</v>
      </c>
      <c r="D206" s="620">
        <f>ROUND(C206*O206,0)</f>
        <v>0</v>
      </c>
      <c r="E206" s="620"/>
      <c r="F206" s="620"/>
      <c r="G206" s="769">
        <f>(D206+E206)*F206</f>
        <v>0</v>
      </c>
      <c r="H206" s="620">
        <f>IF($E$208&lt;&gt;0,H$208/($D$208+$E$208/5)*($D206+$E206/5),0)</f>
        <v>0</v>
      </c>
      <c r="I206" s="620">
        <f t="shared" si="46"/>
        <v>0</v>
      </c>
      <c r="J206" s="620">
        <f t="shared" si="46"/>
        <v>0</v>
      </c>
      <c r="K206" s="620">
        <f t="shared" si="46"/>
        <v>0</v>
      </c>
      <c r="L206" s="620"/>
      <c r="M206" s="620"/>
      <c r="N206" s="769">
        <f>ROUND(SUM(G206:L206),0)</f>
        <v>0</v>
      </c>
      <c r="O206" s="775"/>
      <c r="P206" s="620">
        <f>IF(N206&lt;&gt;0,N206/O206,0)</f>
        <v>0</v>
      </c>
      <c r="Q206" s="788"/>
      <c r="R206" s="776"/>
      <c r="S206" s="835"/>
      <c r="T206" s="234"/>
      <c r="U206" s="234"/>
      <c r="V206" s="769">
        <f t="shared" si="47"/>
        <v>0</v>
      </c>
      <c r="W206" s="785"/>
    </row>
    <row r="207" spans="1:23">
      <c r="A207" s="767" t="str">
        <f>IF(B207&lt;&gt;"",#REF!+1,"")</f>
        <v/>
      </c>
      <c r="B207" s="780"/>
      <c r="C207" s="781"/>
      <c r="D207" s="783"/>
      <c r="E207" s="783"/>
      <c r="F207" s="783"/>
      <c r="G207" s="784"/>
      <c r="H207" s="829"/>
      <c r="I207" s="783"/>
      <c r="J207" s="785"/>
      <c r="K207" s="783"/>
      <c r="L207" s="786"/>
      <c r="M207" s="783"/>
      <c r="N207" s="817"/>
      <c r="O207" s="787"/>
      <c r="P207" s="783"/>
      <c r="Q207" s="788"/>
      <c r="R207" s="776"/>
      <c r="S207" s="835"/>
      <c r="T207" s="234"/>
      <c r="U207" s="234"/>
      <c r="V207" s="769">
        <f t="shared" si="47"/>
        <v>0</v>
      </c>
      <c r="W207" s="785"/>
    </row>
    <row r="208" spans="1:23">
      <c r="A208" s="790"/>
      <c r="B208" s="791" t="s">
        <v>549</v>
      </c>
      <c r="C208" s="792"/>
      <c r="D208" s="793">
        <f>SUM(D202:D206)</f>
        <v>0</v>
      </c>
      <c r="E208" s="793">
        <f>SUM(E202:E206)</f>
        <v>0</v>
      </c>
      <c r="F208" s="793"/>
      <c r="G208" s="793">
        <f>SUM(G202:G206)</f>
        <v>0</v>
      </c>
      <c r="H208" s="794"/>
      <c r="I208" s="794">
        <f>V213</f>
        <v>0</v>
      </c>
      <c r="J208" s="794"/>
      <c r="K208" s="794">
        <v>57138842</v>
      </c>
      <c r="L208" s="793">
        <f>ROUND(SUM(L202:L207),0)</f>
        <v>0</v>
      </c>
      <c r="M208" s="793">
        <f>ROUND(SUM(M202:M207),0)</f>
        <v>0</v>
      </c>
      <c r="N208" s="793">
        <f>ROUND(SUM(N202:N207),0)</f>
        <v>0</v>
      </c>
      <c r="O208" s="793">
        <f>ROUND(SUM(O202:O207),0)</f>
        <v>0</v>
      </c>
      <c r="P208" s="793"/>
      <c r="Q208" s="788"/>
      <c r="R208" s="776"/>
      <c r="S208" s="835"/>
      <c r="T208" s="234"/>
      <c r="U208" s="234"/>
      <c r="V208" s="769">
        <f t="shared" si="47"/>
        <v>0</v>
      </c>
      <c r="W208" s="785"/>
    </row>
    <row r="209" spans="1:23">
      <c r="Q209" s="788"/>
      <c r="R209" s="776"/>
      <c r="S209" s="835"/>
      <c r="T209" s="799"/>
      <c r="U209" s="777"/>
      <c r="V209" s="769">
        <f t="shared" si="47"/>
        <v>0</v>
      </c>
      <c r="W209" s="785"/>
    </row>
    <row r="210" spans="1:23">
      <c r="Q210" s="788"/>
      <c r="R210" s="838"/>
      <c r="S210" s="835"/>
      <c r="T210" s="799"/>
      <c r="U210" s="777"/>
      <c r="V210" s="769">
        <f t="shared" si="47"/>
        <v>0</v>
      </c>
      <c r="W210" s="785"/>
    </row>
    <row r="211" spans="1:23">
      <c r="Q211" s="788"/>
      <c r="R211" s="511"/>
      <c r="S211" s="835"/>
      <c r="T211" s="234"/>
      <c r="U211" s="234"/>
      <c r="V211" s="769">
        <f t="shared" si="47"/>
        <v>0</v>
      </c>
      <c r="W211" s="785"/>
    </row>
    <row r="212" spans="1:23" s="789" customFormat="1">
      <c r="A212" s="740"/>
      <c r="B212" s="740"/>
      <c r="C212" s="740"/>
      <c r="D212" s="740"/>
      <c r="E212" s="740"/>
      <c r="F212" s="740"/>
      <c r="G212" s="740"/>
      <c r="H212" s="740"/>
      <c r="I212" s="740"/>
      <c r="J212" s="740"/>
      <c r="K212" s="740"/>
      <c r="L212" s="740"/>
      <c r="M212" s="740"/>
      <c r="N212" s="740"/>
      <c r="O212" s="740"/>
      <c r="P212" s="740"/>
      <c r="Q212" s="788"/>
      <c r="R212" s="776"/>
      <c r="S212" s="772"/>
      <c r="T212" s="234"/>
      <c r="U212" s="234"/>
      <c r="V212" s="769"/>
      <c r="W212" s="785"/>
    </row>
    <row r="213" spans="1:23" s="744" customFormat="1">
      <c r="A213" s="740"/>
      <c r="B213" s="740"/>
      <c r="C213" s="740"/>
      <c r="D213" s="740"/>
      <c r="E213" s="740"/>
      <c r="F213" s="740"/>
      <c r="G213" s="740"/>
      <c r="H213" s="740"/>
      <c r="I213" s="740"/>
      <c r="J213" s="740"/>
      <c r="K213" s="740"/>
      <c r="L213" s="740"/>
      <c r="M213" s="740"/>
      <c r="N213" s="740"/>
      <c r="O213" s="740"/>
      <c r="P213" s="740"/>
      <c r="Q213" s="788"/>
      <c r="R213" s="822"/>
      <c r="S213" s="823"/>
      <c r="T213" s="824"/>
      <c r="U213" s="840"/>
      <c r="V213" s="803">
        <f>SUM(V202:V212)</f>
        <v>0</v>
      </c>
      <c r="W213" s="803">
        <f>SUM(W202:W212)</f>
        <v>0</v>
      </c>
    </row>
    <row r="214" spans="1:23">
      <c r="R214" s="825"/>
      <c r="S214" s="835"/>
      <c r="T214" s="234"/>
      <c r="U214" s="234"/>
      <c r="V214" s="769">
        <f t="shared" ref="V214:V221" si="48">ROUND(T214*U214,0)</f>
        <v>0</v>
      </c>
      <c r="W214" s="769"/>
    </row>
    <row r="215" spans="1:23">
      <c r="R215" s="825"/>
      <c r="S215" s="835"/>
      <c r="T215" s="777"/>
      <c r="U215" s="777"/>
      <c r="V215" s="769">
        <f t="shared" si="48"/>
        <v>0</v>
      </c>
      <c r="W215" s="785"/>
    </row>
    <row r="216" spans="1:23">
      <c r="R216" s="776"/>
      <c r="S216" s="835"/>
      <c r="T216" s="777"/>
      <c r="U216" s="777"/>
      <c r="V216" s="769">
        <f t="shared" si="48"/>
        <v>0</v>
      </c>
      <c r="W216" s="785"/>
    </row>
    <row r="217" spans="1:23">
      <c r="R217" s="799"/>
      <c r="S217" s="835"/>
      <c r="T217" s="777"/>
      <c r="U217" s="777"/>
      <c r="V217" s="769">
        <f t="shared" si="48"/>
        <v>0</v>
      </c>
      <c r="W217" s="785"/>
    </row>
    <row r="218" spans="1:23">
      <c r="R218" s="776"/>
      <c r="S218" s="772"/>
      <c r="T218" s="777"/>
      <c r="U218" s="777"/>
      <c r="V218" s="769">
        <f t="shared" si="48"/>
        <v>0</v>
      </c>
      <c r="W218" s="785"/>
    </row>
    <row r="219" spans="1:23">
      <c r="R219" s="776"/>
      <c r="S219" s="772"/>
      <c r="T219" s="777"/>
      <c r="U219" s="777"/>
      <c r="V219" s="769">
        <f t="shared" si="48"/>
        <v>0</v>
      </c>
      <c r="W219" s="785"/>
    </row>
    <row r="220" spans="1:23">
      <c r="R220" s="799"/>
      <c r="S220" s="772"/>
      <c r="T220" s="777"/>
      <c r="U220" s="777"/>
      <c r="V220" s="769">
        <f t="shared" si="48"/>
        <v>0</v>
      </c>
      <c r="W220" s="785"/>
    </row>
    <row r="221" spans="1:23">
      <c r="R221" s="799"/>
      <c r="S221" s="772"/>
      <c r="T221" s="777"/>
      <c r="U221" s="777"/>
      <c r="V221" s="769">
        <f t="shared" si="48"/>
        <v>0</v>
      </c>
      <c r="W221" s="785"/>
    </row>
    <row r="222" spans="1:23">
      <c r="A222" s="752"/>
      <c r="B222" s="752"/>
      <c r="C222" s="753"/>
      <c r="D222" s="752"/>
      <c r="E222" s="752"/>
      <c r="F222" s="752"/>
      <c r="G222" s="752"/>
      <c r="H222" s="752"/>
      <c r="I222" s="752"/>
      <c r="J222" s="752"/>
      <c r="K222" s="752"/>
      <c r="L222" s="751"/>
      <c r="M222" s="752"/>
      <c r="N222" s="752"/>
      <c r="O222" s="754"/>
      <c r="P222" s="752"/>
      <c r="R222" s="743"/>
      <c r="S222" s="750"/>
    </row>
    <row r="223" spans="1:23" ht="18.75" customHeight="1">
      <c r="A223" s="759"/>
      <c r="B223" s="759"/>
      <c r="C223" s="842"/>
      <c r="D223" s="759"/>
      <c r="E223" s="759"/>
      <c r="F223" s="759"/>
      <c r="G223" s="759"/>
      <c r="H223" s="759"/>
      <c r="I223" s="759"/>
      <c r="J223" s="759"/>
      <c r="K223" s="759"/>
      <c r="L223" s="759"/>
      <c r="M223" s="759"/>
      <c r="N223" s="759"/>
      <c r="O223" s="811"/>
      <c r="P223" s="759"/>
      <c r="Q223" s="749"/>
      <c r="R223" s="743"/>
      <c r="S223" s="750"/>
    </row>
    <row r="224" spans="1:23" ht="20.25" customHeight="1">
      <c r="A224" s="744" t="s">
        <v>532</v>
      </c>
      <c r="B224" s="744"/>
      <c r="C224" s="745"/>
      <c r="D224" s="746"/>
      <c r="E224" s="746"/>
      <c r="F224" s="746"/>
      <c r="G224" s="743"/>
      <c r="H224" s="743"/>
      <c r="I224" s="743"/>
      <c r="J224" s="743"/>
      <c r="K224" s="743"/>
      <c r="L224" s="747"/>
      <c r="M224" s="743"/>
      <c r="N224" s="743"/>
      <c r="O224" s="748"/>
      <c r="P224" s="743"/>
      <c r="Q224" s="749"/>
      <c r="R224" s="743"/>
      <c r="S224" s="750"/>
    </row>
    <row r="225" spans="1:23" ht="20.25" customHeight="1">
      <c r="A225" s="751" t="s">
        <v>558</v>
      </c>
      <c r="B225" s="751"/>
      <c r="C225" s="751"/>
      <c r="D225" s="751"/>
      <c r="E225" s="751"/>
      <c r="F225" s="751"/>
      <c r="G225" s="751"/>
      <c r="H225" s="751"/>
      <c r="I225" s="751"/>
      <c r="J225" s="751"/>
      <c r="K225" s="751"/>
      <c r="L225" s="751"/>
      <c r="M225" s="751"/>
      <c r="N225" s="751"/>
      <c r="O225" s="751"/>
      <c r="P225" s="751"/>
      <c r="Q225" s="749"/>
      <c r="R225" s="743"/>
      <c r="S225" s="750"/>
    </row>
    <row r="226" spans="1:23" ht="12" customHeight="1">
      <c r="A226" s="752"/>
      <c r="B226" s="752"/>
      <c r="C226" s="753"/>
      <c r="D226" s="752"/>
      <c r="E226" s="752"/>
      <c r="F226" s="752"/>
      <c r="G226" s="752"/>
      <c r="H226" s="752"/>
      <c r="I226" s="752"/>
      <c r="J226" s="752"/>
      <c r="K226" s="752"/>
      <c r="L226" s="751"/>
      <c r="M226" s="752"/>
      <c r="N226" s="752"/>
      <c r="O226" s="754"/>
      <c r="P226" s="752"/>
      <c r="Q226" s="749"/>
      <c r="R226" s="743"/>
      <c r="S226" s="750"/>
    </row>
    <row r="227" spans="1:23" ht="12" customHeight="1">
      <c r="A227" s="755"/>
      <c r="B227" s="755"/>
      <c r="C227" s="756"/>
      <c r="D227" s="755"/>
      <c r="E227" s="755"/>
      <c r="F227" s="755"/>
      <c r="G227" s="755"/>
      <c r="H227" s="755"/>
      <c r="I227" s="755"/>
      <c r="J227" s="755"/>
      <c r="K227" s="755"/>
      <c r="L227" s="755"/>
      <c r="M227" s="755"/>
      <c r="N227" s="755"/>
      <c r="O227" s="757"/>
      <c r="P227" s="755"/>
      <c r="Q227" s="749"/>
      <c r="R227" s="743"/>
      <c r="S227" s="750"/>
    </row>
    <row r="228" spans="1:23" ht="36.75" customHeight="1">
      <c r="A228" s="760" t="s">
        <v>37</v>
      </c>
      <c r="B228" s="760" t="s">
        <v>534</v>
      </c>
      <c r="C228" s="761" t="s">
        <v>535</v>
      </c>
      <c r="D228" s="762" t="s">
        <v>536</v>
      </c>
      <c r="E228" s="762" t="s">
        <v>537</v>
      </c>
      <c r="F228" s="762" t="s">
        <v>538</v>
      </c>
      <c r="G228" s="762" t="s">
        <v>539</v>
      </c>
      <c r="H228" s="762" t="s">
        <v>540</v>
      </c>
      <c r="I228" s="762" t="s">
        <v>541</v>
      </c>
      <c r="J228" s="762" t="s">
        <v>542</v>
      </c>
      <c r="K228" s="763" t="s">
        <v>543</v>
      </c>
      <c r="L228" s="762" t="s">
        <v>544</v>
      </c>
      <c r="M228" s="763" t="s">
        <v>545</v>
      </c>
      <c r="N228" s="762" t="s">
        <v>546</v>
      </c>
      <c r="O228" s="764" t="s">
        <v>537</v>
      </c>
      <c r="P228" s="762" t="s">
        <v>547</v>
      </c>
      <c r="Q228" s="749"/>
      <c r="R228" s="760" t="s">
        <v>534</v>
      </c>
      <c r="S228" s="762" t="s">
        <v>501</v>
      </c>
      <c r="T228" s="762" t="s">
        <v>337</v>
      </c>
      <c r="U228" s="762" t="s">
        <v>538</v>
      </c>
      <c r="V228" s="762" t="s">
        <v>548</v>
      </c>
      <c r="W228" s="760" t="s">
        <v>548</v>
      </c>
    </row>
    <row r="229" spans="1:23" s="766" customFormat="1" ht="13.5" customHeight="1">
      <c r="A229" s="767" t="str">
        <f>IF(B229&lt;&gt;"",ROW()-(ROW()-1),"")</f>
        <v/>
      </c>
      <c r="B229" s="779"/>
      <c r="C229" s="768">
        <f>IF(ISNA(VLOOKUP(B229,NXT!$Q$72:$S$92,2,0)),0,VLOOKUP(B229,NXT!$Q$72:$S$92,2,0))</f>
        <v>0</v>
      </c>
      <c r="D229" s="620">
        <f t="shared" ref="D229:D234" si="49">ROUND(C229*O229,0)</f>
        <v>0</v>
      </c>
      <c r="E229" s="620"/>
      <c r="F229" s="620"/>
      <c r="G229" s="769">
        <f t="shared" ref="G229:G234" si="50">(D229+E229)*F229</f>
        <v>0</v>
      </c>
      <c r="H229" s="620">
        <f t="shared" ref="H229:H234" si="51">IF($D$236&lt;&gt;0,H$236/($D$236+$E$236/4)*($D229+$E229/4),0)</f>
        <v>0</v>
      </c>
      <c r="I229" s="620">
        <f t="shared" ref="I229:K234" si="52">IF($D$236&lt;&gt;0,I$236/$D$236*$D229,0)</f>
        <v>0</v>
      </c>
      <c r="J229" s="620">
        <f t="shared" si="52"/>
        <v>0</v>
      </c>
      <c r="K229" s="620">
        <f t="shared" si="52"/>
        <v>0</v>
      </c>
      <c r="L229" s="620"/>
      <c r="M229" s="620"/>
      <c r="N229" s="769">
        <f t="shared" ref="N229:N234" si="53">ROUND(SUM(G229:L229),0)</f>
        <v>0</v>
      </c>
      <c r="O229" s="775"/>
      <c r="P229" s="620">
        <f t="shared" ref="P229:P234" si="54">IF(N229&lt;&gt;0,N229/O229,0)</f>
        <v>0</v>
      </c>
      <c r="Q229" s="765"/>
      <c r="R229" s="771"/>
      <c r="S229" s="835"/>
      <c r="T229" s="234"/>
      <c r="U229" s="234"/>
      <c r="V229" s="769">
        <f t="shared" ref="V229:V238" si="55">ROUND(T229*U229,0)</f>
        <v>0</v>
      </c>
      <c r="W229" s="769"/>
    </row>
    <row r="230" spans="1:23" ht="13.5" customHeight="1">
      <c r="A230" s="767" t="str">
        <f t="shared" ref="A230:A235" si="56">IF(B230&lt;&gt;"",A229+1,"")</f>
        <v/>
      </c>
      <c r="B230" s="779"/>
      <c r="C230" s="768">
        <f>IF(ISNA(VLOOKUP(B230,NXT!$Q$72:$S$92,2,0)),0,VLOOKUP(B230,NXT!$Q$72:$S$92,2,0))</f>
        <v>0</v>
      </c>
      <c r="D230" s="620">
        <f t="shared" si="49"/>
        <v>0</v>
      </c>
      <c r="E230" s="620"/>
      <c r="F230" s="620"/>
      <c r="G230" s="769">
        <f t="shared" si="50"/>
        <v>0</v>
      </c>
      <c r="H230" s="620">
        <f t="shared" si="51"/>
        <v>0</v>
      </c>
      <c r="I230" s="620">
        <f t="shared" si="52"/>
        <v>0</v>
      </c>
      <c r="J230" s="620">
        <f t="shared" si="52"/>
        <v>0</v>
      </c>
      <c r="K230" s="620">
        <f t="shared" si="52"/>
        <v>0</v>
      </c>
      <c r="L230" s="769"/>
      <c r="M230" s="620"/>
      <c r="N230" s="769">
        <f t="shared" si="53"/>
        <v>0</v>
      </c>
      <c r="O230" s="620"/>
      <c r="P230" s="620">
        <f t="shared" si="54"/>
        <v>0</v>
      </c>
      <c r="Q230" s="788"/>
      <c r="R230" s="776"/>
      <c r="S230" s="835"/>
      <c r="T230" s="234"/>
      <c r="U230" s="234"/>
      <c r="V230" s="769">
        <f t="shared" si="55"/>
        <v>0</v>
      </c>
      <c r="W230" s="785"/>
    </row>
    <row r="231" spans="1:23" ht="13.5" customHeight="1">
      <c r="A231" s="767" t="str">
        <f t="shared" si="56"/>
        <v/>
      </c>
      <c r="B231" s="506"/>
      <c r="C231" s="768">
        <f>IF(ISNA(VLOOKUP(B231,NXT!$Q$72:$S$92,2,0)),0,VLOOKUP(B231,NXT!$Q$72:$S$92,2,0))</f>
        <v>0</v>
      </c>
      <c r="D231" s="620">
        <f t="shared" si="49"/>
        <v>0</v>
      </c>
      <c r="E231" s="620"/>
      <c r="F231" s="620"/>
      <c r="G231" s="769">
        <f t="shared" si="50"/>
        <v>0</v>
      </c>
      <c r="H231" s="620">
        <f t="shared" si="51"/>
        <v>0</v>
      </c>
      <c r="I231" s="620">
        <f t="shared" si="52"/>
        <v>0</v>
      </c>
      <c r="J231" s="620">
        <f t="shared" si="52"/>
        <v>0</v>
      </c>
      <c r="K231" s="620">
        <f t="shared" si="52"/>
        <v>0</v>
      </c>
      <c r="L231" s="620"/>
      <c r="M231" s="620"/>
      <c r="N231" s="769">
        <f t="shared" si="53"/>
        <v>0</v>
      </c>
      <c r="O231" s="775"/>
      <c r="P231" s="620">
        <f t="shared" si="54"/>
        <v>0</v>
      </c>
      <c r="Q231" s="788"/>
      <c r="R231" s="776"/>
      <c r="S231" s="835"/>
      <c r="T231" s="234"/>
      <c r="U231" s="234"/>
      <c r="V231" s="769">
        <f t="shared" si="55"/>
        <v>0</v>
      </c>
      <c r="W231" s="785"/>
    </row>
    <row r="232" spans="1:23" ht="13.5" customHeight="1">
      <c r="A232" s="767" t="str">
        <f t="shared" si="56"/>
        <v/>
      </c>
      <c r="B232" s="779"/>
      <c r="C232" s="768">
        <f>IF(ISNA(VLOOKUP(B232,NXT!$Q$72:$S$92,2,0)),0,VLOOKUP(B232,NXT!$Q$72:$S$92,2,0))</f>
        <v>0</v>
      </c>
      <c r="D232" s="620">
        <f t="shared" si="49"/>
        <v>0</v>
      </c>
      <c r="E232" s="620"/>
      <c r="F232" s="620"/>
      <c r="G232" s="769">
        <f t="shared" si="50"/>
        <v>0</v>
      </c>
      <c r="H232" s="620">
        <f t="shared" si="51"/>
        <v>0</v>
      </c>
      <c r="I232" s="620">
        <f t="shared" si="52"/>
        <v>0</v>
      </c>
      <c r="J232" s="620">
        <f t="shared" si="52"/>
        <v>0</v>
      </c>
      <c r="K232" s="620">
        <f t="shared" si="52"/>
        <v>0</v>
      </c>
      <c r="L232" s="620"/>
      <c r="M232" s="620"/>
      <c r="N232" s="769">
        <f t="shared" si="53"/>
        <v>0</v>
      </c>
      <c r="O232" s="775"/>
      <c r="P232" s="620">
        <f t="shared" si="54"/>
        <v>0</v>
      </c>
      <c r="Q232" s="788"/>
      <c r="R232" s="776"/>
      <c r="S232" s="835"/>
      <c r="T232" s="234"/>
      <c r="U232" s="234"/>
      <c r="V232" s="769">
        <f t="shared" si="55"/>
        <v>0</v>
      </c>
      <c r="W232" s="785"/>
    </row>
    <row r="233" spans="1:23" ht="13.5" customHeight="1">
      <c r="A233" s="767" t="str">
        <f t="shared" si="56"/>
        <v/>
      </c>
      <c r="B233" s="779"/>
      <c r="C233" s="768">
        <f>IF(ISNA(VLOOKUP(B233,NXT!$Q$72:$S$92,2,0)),0,VLOOKUP(B233,NXT!$Q$72:$S$92,2,0))</f>
        <v>0</v>
      </c>
      <c r="D233" s="620">
        <f t="shared" si="49"/>
        <v>0</v>
      </c>
      <c r="E233" s="620"/>
      <c r="F233" s="620"/>
      <c r="G233" s="769">
        <f t="shared" si="50"/>
        <v>0</v>
      </c>
      <c r="H233" s="620">
        <f t="shared" si="51"/>
        <v>0</v>
      </c>
      <c r="I233" s="620">
        <f t="shared" si="52"/>
        <v>0</v>
      </c>
      <c r="J233" s="620">
        <f t="shared" si="52"/>
        <v>0</v>
      </c>
      <c r="K233" s="620">
        <f t="shared" si="52"/>
        <v>0</v>
      </c>
      <c r="L233" s="620"/>
      <c r="M233" s="620"/>
      <c r="N233" s="769">
        <f t="shared" si="53"/>
        <v>0</v>
      </c>
      <c r="O233" s="775"/>
      <c r="P233" s="620">
        <f t="shared" si="54"/>
        <v>0</v>
      </c>
      <c r="Q233" s="788"/>
      <c r="R233" s="776"/>
      <c r="S233" s="835"/>
      <c r="T233" s="234"/>
      <c r="U233" s="234"/>
      <c r="V233" s="769">
        <f t="shared" si="55"/>
        <v>0</v>
      </c>
      <c r="W233" s="785"/>
    </row>
    <row r="234" spans="1:23">
      <c r="A234" s="767" t="str">
        <f t="shared" si="56"/>
        <v/>
      </c>
      <c r="B234" s="779"/>
      <c r="C234" s="768">
        <f>IF(ISNA(VLOOKUP(B234,NXT!$Q$72:$S$92,2,0)),0,VLOOKUP(B234,NXT!$Q$72:$S$92,2,0))</f>
        <v>0</v>
      </c>
      <c r="D234" s="620">
        <f t="shared" si="49"/>
        <v>0</v>
      </c>
      <c r="E234" s="620"/>
      <c r="F234" s="620"/>
      <c r="G234" s="769">
        <f t="shared" si="50"/>
        <v>0</v>
      </c>
      <c r="H234" s="620">
        <f t="shared" si="51"/>
        <v>0</v>
      </c>
      <c r="I234" s="620">
        <f t="shared" si="52"/>
        <v>0</v>
      </c>
      <c r="J234" s="620">
        <f t="shared" si="52"/>
        <v>0</v>
      </c>
      <c r="K234" s="620">
        <f t="shared" si="52"/>
        <v>0</v>
      </c>
      <c r="L234" s="620"/>
      <c r="M234" s="620"/>
      <c r="N234" s="769">
        <f t="shared" si="53"/>
        <v>0</v>
      </c>
      <c r="O234" s="775"/>
      <c r="P234" s="620">
        <f t="shared" si="54"/>
        <v>0</v>
      </c>
      <c r="Q234" s="788"/>
      <c r="R234" s="776"/>
      <c r="S234" s="835"/>
      <c r="T234" s="234"/>
      <c r="U234" s="777"/>
      <c r="V234" s="769">
        <f t="shared" si="55"/>
        <v>0</v>
      </c>
      <c r="W234" s="785"/>
    </row>
    <row r="235" spans="1:23">
      <c r="A235" s="767" t="str">
        <f t="shared" si="56"/>
        <v/>
      </c>
      <c r="B235" s="780"/>
      <c r="C235" s="781"/>
      <c r="D235" s="783"/>
      <c r="E235" s="783"/>
      <c r="F235" s="783"/>
      <c r="G235" s="784"/>
      <c r="H235" s="829"/>
      <c r="I235" s="783"/>
      <c r="J235" s="785"/>
      <c r="K235" s="783"/>
      <c r="L235" s="786"/>
      <c r="M235" s="783"/>
      <c r="N235" s="817"/>
      <c r="O235" s="787"/>
      <c r="P235" s="783"/>
      <c r="Q235" s="788"/>
      <c r="R235" s="776"/>
      <c r="S235" s="837"/>
      <c r="T235" s="234"/>
      <c r="U235" s="234"/>
      <c r="V235" s="769">
        <f t="shared" si="55"/>
        <v>0</v>
      </c>
      <c r="W235" s="785"/>
    </row>
    <row r="236" spans="1:23" s="789" customFormat="1">
      <c r="A236" s="790"/>
      <c r="B236" s="791" t="s">
        <v>549</v>
      </c>
      <c r="C236" s="792"/>
      <c r="D236" s="793">
        <f>SUM(D229:D234)</f>
        <v>0</v>
      </c>
      <c r="E236" s="793">
        <f>SUM(E229:E234)</f>
        <v>0</v>
      </c>
      <c r="F236" s="793"/>
      <c r="G236" s="793">
        <f>SUM(G229:G235)</f>
        <v>0</v>
      </c>
      <c r="H236" s="794"/>
      <c r="I236" s="794">
        <f>V240</f>
        <v>0</v>
      </c>
      <c r="J236" s="794"/>
      <c r="K236" s="794">
        <v>57138842</v>
      </c>
      <c r="L236" s="793">
        <f>ROUND(SUM(L229:L235),0)</f>
        <v>0</v>
      </c>
      <c r="M236" s="793">
        <f>ROUND(SUM(M229:M235),0)</f>
        <v>0</v>
      </c>
      <c r="N236" s="793">
        <f>ROUND(SUM(N229:N235),0)</f>
        <v>0</v>
      </c>
      <c r="O236" s="793">
        <f>ROUND(SUM(O229:O235),0)</f>
        <v>0</v>
      </c>
      <c r="P236" s="793"/>
      <c r="Q236" s="788"/>
      <c r="R236" s="776"/>
      <c r="S236" s="837"/>
      <c r="T236" s="799"/>
      <c r="U236" s="777"/>
      <c r="V236" s="769">
        <f t="shared" si="55"/>
        <v>0</v>
      </c>
      <c r="W236" s="785"/>
    </row>
    <row r="237" spans="1:23" s="744" customFormat="1">
      <c r="A237" s="740"/>
      <c r="B237" s="740"/>
      <c r="C237" s="740"/>
      <c r="D237" s="740"/>
      <c r="E237" s="740"/>
      <c r="F237" s="740"/>
      <c r="G237" s="740"/>
      <c r="H237" s="740"/>
      <c r="I237" s="740"/>
      <c r="J237" s="740"/>
      <c r="K237" s="740"/>
      <c r="L237" s="740"/>
      <c r="M237" s="740"/>
      <c r="N237" s="740"/>
      <c r="O237" s="740"/>
      <c r="P237" s="740"/>
      <c r="Q237" s="788"/>
      <c r="R237" s="838"/>
      <c r="S237" s="837"/>
      <c r="T237" s="799"/>
      <c r="U237" s="777"/>
      <c r="V237" s="769">
        <f t="shared" si="55"/>
        <v>0</v>
      </c>
      <c r="W237" s="785"/>
    </row>
    <row r="238" spans="1:23">
      <c r="Q238" s="788"/>
      <c r="R238" s="511"/>
      <c r="S238" s="837"/>
      <c r="T238" s="234"/>
      <c r="U238" s="234"/>
      <c r="V238" s="769">
        <f t="shared" si="55"/>
        <v>0</v>
      </c>
      <c r="W238" s="785"/>
    </row>
    <row r="239" spans="1:23">
      <c r="Q239" s="788"/>
      <c r="R239" s="839"/>
      <c r="S239" s="772"/>
      <c r="T239" s="234"/>
      <c r="U239" s="234"/>
      <c r="V239" s="785"/>
      <c r="W239" s="785"/>
    </row>
    <row r="240" spans="1:23">
      <c r="Q240" s="788"/>
      <c r="R240" s="822"/>
      <c r="S240" s="823"/>
      <c r="T240" s="824"/>
      <c r="U240" s="840"/>
      <c r="V240" s="803">
        <f>SUM(V229:V239)</f>
        <v>0</v>
      </c>
      <c r="W240" s="803">
        <f>SUM(W229:W239)</f>
        <v>0</v>
      </c>
    </row>
    <row r="241" spans="1:23">
      <c r="R241" s="776"/>
      <c r="S241" s="835"/>
      <c r="T241" s="234"/>
      <c r="U241" s="777"/>
      <c r="V241" s="769">
        <f t="shared" ref="V241:V248" si="57">ROUND(T241*U241,0)</f>
        <v>0</v>
      </c>
      <c r="W241" s="769"/>
    </row>
    <row r="242" spans="1:23">
      <c r="R242" s="776"/>
      <c r="S242" s="835"/>
      <c r="T242" s="777"/>
      <c r="U242" s="777"/>
      <c r="V242" s="769">
        <f t="shared" si="57"/>
        <v>0</v>
      </c>
      <c r="W242" s="785"/>
    </row>
    <row r="243" spans="1:23">
      <c r="R243" s="518"/>
      <c r="S243" s="835"/>
      <c r="T243" s="777"/>
      <c r="U243" s="777"/>
      <c r="V243" s="769">
        <f t="shared" si="57"/>
        <v>0</v>
      </c>
      <c r="W243" s="785"/>
    </row>
    <row r="244" spans="1:23">
      <c r="R244" s="799"/>
      <c r="S244" s="835"/>
      <c r="T244" s="777"/>
      <c r="U244" s="777"/>
      <c r="V244" s="769">
        <f t="shared" si="57"/>
        <v>0</v>
      </c>
      <c r="W244" s="785"/>
    </row>
    <row r="245" spans="1:23">
      <c r="R245" s="776"/>
      <c r="S245" s="835"/>
      <c r="T245" s="777"/>
      <c r="U245" s="777"/>
      <c r="V245" s="769">
        <f t="shared" si="57"/>
        <v>0</v>
      </c>
      <c r="W245" s="785"/>
    </row>
    <row r="246" spans="1:23">
      <c r="R246" s="776"/>
      <c r="S246" s="772"/>
      <c r="T246" s="777"/>
      <c r="U246" s="777"/>
      <c r="V246" s="769">
        <f t="shared" si="57"/>
        <v>0</v>
      </c>
      <c r="W246" s="785"/>
    </row>
    <row r="247" spans="1:23">
      <c r="R247" s="799"/>
      <c r="S247" s="772"/>
      <c r="T247" s="777"/>
      <c r="U247" s="777"/>
      <c r="V247" s="769">
        <f t="shared" si="57"/>
        <v>0</v>
      </c>
      <c r="W247" s="785"/>
    </row>
    <row r="248" spans="1:23">
      <c r="R248" s="799"/>
      <c r="S248" s="772"/>
      <c r="T248" s="777"/>
      <c r="U248" s="777"/>
      <c r="V248" s="769">
        <f t="shared" si="57"/>
        <v>0</v>
      </c>
      <c r="W248" s="785"/>
    </row>
    <row r="249" spans="1:23">
      <c r="R249" s="749"/>
      <c r="S249" s="826"/>
      <c r="T249" s="759"/>
      <c r="U249" s="759"/>
      <c r="V249" s="797"/>
      <c r="W249" s="827"/>
    </row>
    <row r="250" spans="1:23" ht="20.25" customHeight="1">
      <c r="A250" s="744" t="s">
        <v>532</v>
      </c>
      <c r="B250" s="744"/>
      <c r="C250" s="745"/>
      <c r="D250" s="746"/>
      <c r="E250" s="746"/>
      <c r="F250" s="746"/>
      <c r="G250" s="743"/>
      <c r="H250" s="743"/>
      <c r="I250" s="743"/>
      <c r="J250" s="743"/>
      <c r="K250" s="743"/>
      <c r="L250" s="747"/>
      <c r="M250" s="743"/>
      <c r="N250" s="743"/>
      <c r="O250" s="748"/>
      <c r="P250" s="743"/>
      <c r="R250" s="743"/>
      <c r="S250" s="750"/>
    </row>
    <row r="251" spans="1:23" ht="20.25" customHeight="1">
      <c r="A251" s="751" t="s">
        <v>559</v>
      </c>
      <c r="B251" s="751"/>
      <c r="C251" s="751"/>
      <c r="D251" s="751"/>
      <c r="E251" s="751"/>
      <c r="F251" s="751"/>
      <c r="G251" s="751"/>
      <c r="H251" s="751"/>
      <c r="I251" s="751"/>
      <c r="J251" s="751"/>
      <c r="K251" s="751"/>
      <c r="L251" s="751"/>
      <c r="M251" s="751"/>
      <c r="N251" s="751"/>
      <c r="O251" s="751"/>
      <c r="P251" s="751"/>
      <c r="Q251" s="749"/>
      <c r="R251" s="743"/>
      <c r="S251" s="750"/>
    </row>
    <row r="252" spans="1:23" ht="12" customHeight="1">
      <c r="A252" s="752"/>
      <c r="B252" s="752"/>
      <c r="C252" s="753"/>
      <c r="D252" s="752"/>
      <c r="E252" s="752"/>
      <c r="F252" s="752"/>
      <c r="G252" s="752"/>
      <c r="H252" s="752"/>
      <c r="I252" s="752"/>
      <c r="J252" s="752"/>
      <c r="K252" s="752"/>
      <c r="L252" s="751"/>
      <c r="M252" s="752"/>
      <c r="N252" s="752"/>
      <c r="O252" s="754"/>
      <c r="P252" s="752"/>
      <c r="Q252" s="749"/>
      <c r="R252" s="743"/>
      <c r="S252" s="750"/>
    </row>
    <row r="253" spans="1:23" ht="12" customHeight="1">
      <c r="A253" s="755"/>
      <c r="B253" s="755"/>
      <c r="C253" s="756"/>
      <c r="D253" s="755"/>
      <c r="E253" s="755"/>
      <c r="F253" s="755"/>
      <c r="G253" s="755"/>
      <c r="H253" s="755"/>
      <c r="I253" s="755"/>
      <c r="J253" s="755"/>
      <c r="K253" s="755"/>
      <c r="L253" s="755"/>
      <c r="M253" s="755"/>
      <c r="N253" s="755"/>
      <c r="O253" s="757"/>
      <c r="P253" s="755"/>
      <c r="Q253" s="749"/>
      <c r="R253" s="743"/>
      <c r="S253" s="750"/>
    </row>
    <row r="254" spans="1:23" ht="36.75" customHeight="1">
      <c r="A254" s="760" t="s">
        <v>37</v>
      </c>
      <c r="B254" s="760" t="s">
        <v>534</v>
      </c>
      <c r="C254" s="761" t="s">
        <v>535</v>
      </c>
      <c r="D254" s="762" t="s">
        <v>536</v>
      </c>
      <c r="E254" s="762" t="s">
        <v>537</v>
      </c>
      <c r="F254" s="762" t="s">
        <v>538</v>
      </c>
      <c r="G254" s="762" t="s">
        <v>539</v>
      </c>
      <c r="H254" s="762" t="s">
        <v>540</v>
      </c>
      <c r="I254" s="762" t="s">
        <v>541</v>
      </c>
      <c r="J254" s="762" t="s">
        <v>542</v>
      </c>
      <c r="K254" s="763" t="s">
        <v>543</v>
      </c>
      <c r="L254" s="762" t="s">
        <v>544</v>
      </c>
      <c r="M254" s="763" t="s">
        <v>545</v>
      </c>
      <c r="N254" s="762" t="s">
        <v>546</v>
      </c>
      <c r="O254" s="764" t="s">
        <v>537</v>
      </c>
      <c r="P254" s="762" t="s">
        <v>547</v>
      </c>
      <c r="Q254" s="749"/>
      <c r="R254" s="760" t="s">
        <v>534</v>
      </c>
      <c r="S254" s="762" t="s">
        <v>501</v>
      </c>
      <c r="T254" s="762" t="s">
        <v>337</v>
      </c>
      <c r="U254" s="762" t="s">
        <v>538</v>
      </c>
      <c r="V254" s="762" t="s">
        <v>548</v>
      </c>
      <c r="W254" s="760" t="s">
        <v>548</v>
      </c>
    </row>
    <row r="255" spans="1:23" s="766" customFormat="1" ht="13.5" customHeight="1">
      <c r="A255" s="767" t="str">
        <f>IF(B255&lt;&gt;"",ROW()-(ROW()-1),"")</f>
        <v/>
      </c>
      <c r="B255" s="779"/>
      <c r="C255" s="768">
        <f>IF(ISNA(VLOOKUP(B255,NXT!$Q$72:$S$92,2,0)),0,VLOOKUP(B255,NXT!$Q$72:$S$92,2,0))</f>
        <v>0</v>
      </c>
      <c r="D255" s="620">
        <f t="shared" ref="D255:D260" si="58">ROUND(C255*O255,0)</f>
        <v>0</v>
      </c>
      <c r="E255" s="620"/>
      <c r="F255" s="620"/>
      <c r="G255" s="769">
        <f t="shared" ref="G255:G260" si="59">(D255+E255)*F255</f>
        <v>0</v>
      </c>
      <c r="H255" s="620">
        <f t="shared" ref="H255:H260" si="60">IF($D$262&lt;&gt;0,H$262/($D$262+$E$262/4)*($D255+$E255/4),0)</f>
        <v>0</v>
      </c>
      <c r="I255" s="620">
        <f t="shared" ref="I255:K260" si="61">IF($D$262&lt;&gt;0,I$262/$D$262*$D255,0)</f>
        <v>0</v>
      </c>
      <c r="J255" s="620">
        <f t="shared" si="61"/>
        <v>0</v>
      </c>
      <c r="K255" s="620">
        <f t="shared" si="61"/>
        <v>0</v>
      </c>
      <c r="L255" s="769">
        <f t="shared" ref="L255:L260" si="62">V267</f>
        <v>0</v>
      </c>
      <c r="M255" s="620"/>
      <c r="N255" s="769"/>
      <c r="O255" s="775"/>
      <c r="P255" s="620">
        <f t="shared" ref="P255:P260" si="63">IF(N255&lt;&gt;0,N255/O255,0)</f>
        <v>0</v>
      </c>
      <c r="Q255" s="765"/>
      <c r="R255" s="771"/>
      <c r="S255" s="835"/>
      <c r="T255" s="234"/>
      <c r="U255" s="234"/>
      <c r="V255" s="769">
        <f t="shared" ref="V255:V264" si="64">ROUND(T255*U255,0)</f>
        <v>0</v>
      </c>
      <c r="W255" s="769"/>
    </row>
    <row r="256" spans="1:23" ht="13.5" customHeight="1">
      <c r="A256" s="767" t="str">
        <f t="shared" ref="A256:A261" si="65">IF(B256&lt;&gt;"",A255+1,"")</f>
        <v/>
      </c>
      <c r="B256" s="779"/>
      <c r="C256" s="768">
        <f>IF(ISNA(VLOOKUP(B256,NXT!$Q$72:$S$92,2,0)),0,VLOOKUP(B256,NXT!$Q$72:$S$92,2,0))</f>
        <v>0</v>
      </c>
      <c r="D256" s="620">
        <f t="shared" si="58"/>
        <v>0</v>
      </c>
      <c r="E256" s="620"/>
      <c r="F256" s="620"/>
      <c r="G256" s="769">
        <f t="shared" si="59"/>
        <v>0</v>
      </c>
      <c r="H256" s="620">
        <f t="shared" si="60"/>
        <v>0</v>
      </c>
      <c r="I256" s="620">
        <f t="shared" si="61"/>
        <v>0</v>
      </c>
      <c r="J256" s="620">
        <f t="shared" si="61"/>
        <v>0</v>
      </c>
      <c r="K256" s="620">
        <f t="shared" si="61"/>
        <v>0</v>
      </c>
      <c r="L256" s="620">
        <f t="shared" si="62"/>
        <v>0</v>
      </c>
      <c r="M256" s="620"/>
      <c r="N256" s="769"/>
      <c r="O256" s="775"/>
      <c r="P256" s="620">
        <f t="shared" si="63"/>
        <v>0</v>
      </c>
      <c r="Q256" s="788"/>
      <c r="R256" s="776"/>
      <c r="S256" s="835"/>
      <c r="T256" s="234"/>
      <c r="U256" s="234"/>
      <c r="V256" s="769">
        <f t="shared" si="64"/>
        <v>0</v>
      </c>
      <c r="W256" s="785"/>
    </row>
    <row r="257" spans="1:23" ht="13.5" customHeight="1">
      <c r="A257" s="767" t="str">
        <f t="shared" si="65"/>
        <v/>
      </c>
      <c r="B257" s="779"/>
      <c r="C257" s="768">
        <f>IF(ISNA(VLOOKUP(B257,NXT!$Q$72:$S$92,2,0)),0,VLOOKUP(B257,NXT!$Q$72:$S$92,2,0))</f>
        <v>0</v>
      </c>
      <c r="D257" s="620">
        <f t="shared" si="58"/>
        <v>0</v>
      </c>
      <c r="E257" s="620"/>
      <c r="F257" s="620"/>
      <c r="G257" s="769">
        <f t="shared" si="59"/>
        <v>0</v>
      </c>
      <c r="H257" s="620">
        <f t="shared" si="60"/>
        <v>0</v>
      </c>
      <c r="I257" s="620">
        <f t="shared" si="61"/>
        <v>0</v>
      </c>
      <c r="J257" s="620">
        <f t="shared" si="61"/>
        <v>0</v>
      </c>
      <c r="K257" s="620">
        <f t="shared" si="61"/>
        <v>0</v>
      </c>
      <c r="L257" s="620">
        <f t="shared" si="62"/>
        <v>0</v>
      </c>
      <c r="M257" s="620"/>
      <c r="N257" s="769"/>
      <c r="O257" s="775"/>
      <c r="P257" s="620">
        <f t="shared" si="63"/>
        <v>0</v>
      </c>
      <c r="Q257" s="788"/>
      <c r="R257" s="776"/>
      <c r="S257" s="835"/>
      <c r="T257" s="234"/>
      <c r="U257" s="234"/>
      <c r="V257" s="769">
        <f t="shared" si="64"/>
        <v>0</v>
      </c>
      <c r="W257" s="785"/>
    </row>
    <row r="258" spans="1:23" ht="13.5" customHeight="1">
      <c r="A258" s="767" t="str">
        <f t="shared" si="65"/>
        <v/>
      </c>
      <c r="B258" s="779"/>
      <c r="C258" s="768">
        <f>IF(ISNA(VLOOKUP(B258,NXT!$Q$72:$S$92,2,0)),0,VLOOKUP(B258,NXT!$Q$72:$S$92,2,0))</f>
        <v>0</v>
      </c>
      <c r="D258" s="620">
        <f t="shared" si="58"/>
        <v>0</v>
      </c>
      <c r="E258" s="620"/>
      <c r="F258" s="620"/>
      <c r="G258" s="769">
        <f t="shared" si="59"/>
        <v>0</v>
      </c>
      <c r="H258" s="620">
        <f t="shared" si="60"/>
        <v>0</v>
      </c>
      <c r="I258" s="620">
        <f t="shared" si="61"/>
        <v>0</v>
      </c>
      <c r="J258" s="620">
        <f t="shared" si="61"/>
        <v>0</v>
      </c>
      <c r="K258" s="620">
        <f t="shared" si="61"/>
        <v>0</v>
      </c>
      <c r="L258" s="620">
        <f t="shared" si="62"/>
        <v>0</v>
      </c>
      <c r="M258" s="620"/>
      <c r="N258" s="769"/>
      <c r="O258" s="775"/>
      <c r="P258" s="620">
        <f t="shared" si="63"/>
        <v>0</v>
      </c>
      <c r="Q258" s="788"/>
      <c r="R258" s="776"/>
      <c r="S258" s="835"/>
      <c r="T258" s="234"/>
      <c r="U258" s="234"/>
      <c r="V258" s="769">
        <f t="shared" si="64"/>
        <v>0</v>
      </c>
      <c r="W258" s="785"/>
    </row>
    <row r="259" spans="1:23" ht="13.5" customHeight="1">
      <c r="A259" s="767" t="str">
        <f t="shared" si="65"/>
        <v/>
      </c>
      <c r="B259" s="779"/>
      <c r="C259" s="768">
        <f>IF(ISNA(VLOOKUP(B259,NXT!$Q$72:$S$92,2,0)),0,VLOOKUP(B259,NXT!$Q$72:$S$92,2,0))</f>
        <v>0</v>
      </c>
      <c r="D259" s="620">
        <f t="shared" si="58"/>
        <v>0</v>
      </c>
      <c r="E259" s="620"/>
      <c r="F259" s="620"/>
      <c r="G259" s="769">
        <f t="shared" si="59"/>
        <v>0</v>
      </c>
      <c r="H259" s="620">
        <f t="shared" si="60"/>
        <v>0</v>
      </c>
      <c r="I259" s="620">
        <f t="shared" si="61"/>
        <v>0</v>
      </c>
      <c r="J259" s="620">
        <f t="shared" si="61"/>
        <v>0</v>
      </c>
      <c r="K259" s="620">
        <f t="shared" si="61"/>
        <v>0</v>
      </c>
      <c r="L259" s="620">
        <f t="shared" si="62"/>
        <v>0</v>
      </c>
      <c r="M259" s="620"/>
      <c r="N259" s="769"/>
      <c r="O259" s="775"/>
      <c r="P259" s="620">
        <f t="shared" si="63"/>
        <v>0</v>
      </c>
      <c r="Q259" s="788"/>
      <c r="R259" s="776"/>
      <c r="S259" s="835"/>
      <c r="T259" s="234"/>
      <c r="U259" s="234"/>
      <c r="V259" s="769">
        <f t="shared" si="64"/>
        <v>0</v>
      </c>
      <c r="W259" s="785"/>
    </row>
    <row r="260" spans="1:23">
      <c r="A260" s="767" t="str">
        <f t="shared" si="65"/>
        <v/>
      </c>
      <c r="B260" s="779"/>
      <c r="C260" s="768"/>
      <c r="D260" s="620">
        <f t="shared" si="58"/>
        <v>0</v>
      </c>
      <c r="E260" s="620"/>
      <c r="F260" s="620"/>
      <c r="G260" s="769">
        <f t="shared" si="59"/>
        <v>0</v>
      </c>
      <c r="H260" s="620">
        <f t="shared" si="60"/>
        <v>0</v>
      </c>
      <c r="I260" s="620">
        <f t="shared" si="61"/>
        <v>0</v>
      </c>
      <c r="J260" s="620">
        <f t="shared" si="61"/>
        <v>0</v>
      </c>
      <c r="K260" s="620">
        <f t="shared" si="61"/>
        <v>0</v>
      </c>
      <c r="L260" s="620">
        <f t="shared" si="62"/>
        <v>0</v>
      </c>
      <c r="M260" s="620"/>
      <c r="N260" s="769"/>
      <c r="O260" s="775"/>
      <c r="P260" s="620">
        <f t="shared" si="63"/>
        <v>0</v>
      </c>
      <c r="Q260" s="788"/>
      <c r="R260" s="776"/>
      <c r="S260" s="835"/>
      <c r="T260" s="234"/>
      <c r="U260" s="777"/>
      <c r="V260" s="769">
        <f t="shared" si="64"/>
        <v>0</v>
      </c>
      <c r="W260" s="785"/>
    </row>
    <row r="261" spans="1:23">
      <c r="A261" s="767" t="str">
        <f t="shared" si="65"/>
        <v/>
      </c>
      <c r="B261" s="780"/>
      <c r="C261" s="781"/>
      <c r="D261" s="783"/>
      <c r="E261" s="783"/>
      <c r="F261" s="783"/>
      <c r="G261" s="784"/>
      <c r="H261" s="829"/>
      <c r="I261" s="783"/>
      <c r="J261" s="785"/>
      <c r="K261" s="783"/>
      <c r="L261" s="786"/>
      <c r="M261" s="783"/>
      <c r="N261" s="817"/>
      <c r="O261" s="787"/>
      <c r="P261" s="783"/>
      <c r="Q261" s="788"/>
      <c r="R261" s="776"/>
      <c r="S261" s="837"/>
      <c r="T261" s="234"/>
      <c r="U261" s="234"/>
      <c r="V261" s="769">
        <f t="shared" si="64"/>
        <v>0</v>
      </c>
      <c r="W261" s="785"/>
    </row>
    <row r="262" spans="1:23" s="789" customFormat="1">
      <c r="A262" s="790"/>
      <c r="B262" s="791" t="s">
        <v>549</v>
      </c>
      <c r="C262" s="792"/>
      <c r="D262" s="793">
        <f>SUM(D255:D260)</f>
        <v>0</v>
      </c>
      <c r="E262" s="793">
        <f>SUM(E255:E260)</f>
        <v>0</v>
      </c>
      <c r="F262" s="793"/>
      <c r="G262" s="793">
        <f>SUM(G255:G260)</f>
        <v>0</v>
      </c>
      <c r="H262" s="794"/>
      <c r="I262" s="794">
        <f>V266</f>
        <v>0</v>
      </c>
      <c r="J262" s="794"/>
      <c r="K262" s="794">
        <v>57138842</v>
      </c>
      <c r="L262" s="793">
        <f>ROUND(SUM(L255:L261),0)</f>
        <v>0</v>
      </c>
      <c r="M262" s="793">
        <f>ROUND(SUM(M255:M261),0)</f>
        <v>0</v>
      </c>
      <c r="N262" s="793">
        <f>ROUND(SUM(N255:N261),0)</f>
        <v>0</v>
      </c>
      <c r="O262" s="793">
        <f>ROUND(SUM(O255:O261),0)</f>
        <v>0</v>
      </c>
      <c r="P262" s="793"/>
      <c r="Q262" s="788"/>
      <c r="R262" s="776"/>
      <c r="S262" s="837"/>
      <c r="T262" s="799"/>
      <c r="U262" s="777"/>
      <c r="V262" s="769">
        <f t="shared" si="64"/>
        <v>0</v>
      </c>
      <c r="W262" s="785"/>
    </row>
    <row r="263" spans="1:23" s="744" customFormat="1">
      <c r="A263" s="740"/>
      <c r="B263" s="740"/>
      <c r="C263" s="740"/>
      <c r="D263" s="740"/>
      <c r="E263" s="740"/>
      <c r="F263" s="740"/>
      <c r="G263" s="740"/>
      <c r="H263" s="740"/>
      <c r="I263" s="740"/>
      <c r="J263" s="740"/>
      <c r="K263" s="740"/>
      <c r="L263" s="740"/>
      <c r="M263" s="740"/>
      <c r="N263" s="740"/>
      <c r="O263" s="740"/>
      <c r="P263" s="740"/>
      <c r="Q263" s="788"/>
      <c r="R263" s="838"/>
      <c r="S263" s="837"/>
      <c r="T263" s="799"/>
      <c r="U263" s="777"/>
      <c r="V263" s="769">
        <f t="shared" si="64"/>
        <v>0</v>
      </c>
      <c r="W263" s="785"/>
    </row>
    <row r="264" spans="1:23">
      <c r="Q264" s="788"/>
      <c r="R264" s="511"/>
      <c r="S264" s="837"/>
      <c r="T264" s="234"/>
      <c r="U264" s="234"/>
      <c r="V264" s="769">
        <f t="shared" si="64"/>
        <v>0</v>
      </c>
      <c r="W264" s="785"/>
    </row>
    <row r="265" spans="1:23">
      <c r="Q265" s="788"/>
      <c r="R265" s="839"/>
      <c r="S265" s="772"/>
      <c r="T265" s="234"/>
      <c r="U265" s="234"/>
      <c r="V265" s="785"/>
      <c r="W265" s="785"/>
    </row>
    <row r="266" spans="1:23">
      <c r="Q266" s="788"/>
      <c r="R266" s="822"/>
      <c r="S266" s="823"/>
      <c r="T266" s="824"/>
      <c r="U266" s="840"/>
      <c r="V266" s="803">
        <f>SUM(V255:V265)</f>
        <v>0</v>
      </c>
      <c r="W266" s="803">
        <f>SUM(W255:W265)</f>
        <v>0</v>
      </c>
    </row>
    <row r="267" spans="1:23">
      <c r="R267" s="799"/>
      <c r="S267" s="835"/>
      <c r="T267" s="234"/>
      <c r="U267" s="234"/>
      <c r="V267" s="769">
        <f t="shared" ref="V267:V272" si="66">ROUND(T267*U267,0)</f>
        <v>0</v>
      </c>
      <c r="W267" s="769"/>
    </row>
    <row r="268" spans="1:23">
      <c r="R268" s="776"/>
      <c r="S268" s="835"/>
      <c r="T268" s="777"/>
      <c r="U268" s="777"/>
      <c r="V268" s="769">
        <f t="shared" si="66"/>
        <v>0</v>
      </c>
      <c r="W268" s="785"/>
    </row>
    <row r="269" spans="1:23">
      <c r="R269" s="799"/>
      <c r="S269" s="835"/>
      <c r="T269" s="777"/>
      <c r="U269" s="777"/>
      <c r="V269" s="769">
        <f t="shared" si="66"/>
        <v>0</v>
      </c>
      <c r="W269" s="785"/>
    </row>
    <row r="270" spans="1:23">
      <c r="R270" s="776"/>
      <c r="S270" s="772"/>
      <c r="T270" s="777"/>
      <c r="U270" s="777"/>
      <c r="V270" s="769">
        <f t="shared" si="66"/>
        <v>0</v>
      </c>
      <c r="W270" s="785"/>
    </row>
    <row r="271" spans="1:23">
      <c r="R271" s="776"/>
      <c r="S271" s="772"/>
      <c r="T271" s="777"/>
      <c r="U271" s="777"/>
      <c r="V271" s="769">
        <f t="shared" si="66"/>
        <v>0</v>
      </c>
      <c r="W271" s="785"/>
    </row>
    <row r="272" spans="1:23">
      <c r="R272" s="799"/>
      <c r="S272" s="772"/>
      <c r="T272" s="777"/>
      <c r="U272" s="777"/>
      <c r="V272" s="769">
        <f t="shared" si="66"/>
        <v>0</v>
      </c>
      <c r="W272" s="785"/>
    </row>
    <row r="273" spans="1:23">
      <c r="R273" s="799"/>
      <c r="S273" s="772"/>
      <c r="T273" s="777"/>
      <c r="U273" s="777"/>
      <c r="V273" s="844">
        <f>SUM(V267:V272)</f>
        <v>0</v>
      </c>
      <c r="W273" s="785"/>
    </row>
    <row r="274" spans="1:23">
      <c r="A274" s="751"/>
      <c r="B274" s="751"/>
      <c r="C274" s="751"/>
      <c r="D274" s="751"/>
      <c r="E274" s="751"/>
      <c r="F274" s="751"/>
      <c r="G274" s="751"/>
      <c r="H274" s="751"/>
      <c r="I274" s="751"/>
      <c r="J274" s="751"/>
      <c r="K274" s="751"/>
      <c r="L274" s="751"/>
      <c r="M274" s="751"/>
      <c r="N274" s="751"/>
      <c r="O274" s="751"/>
      <c r="P274" s="751"/>
      <c r="R274" s="743"/>
      <c r="S274" s="750"/>
    </row>
    <row r="275" spans="1:23" ht="20.25" customHeight="1">
      <c r="A275" s="744" t="s">
        <v>532</v>
      </c>
      <c r="B275" s="744"/>
      <c r="C275" s="745"/>
      <c r="D275" s="746"/>
      <c r="E275" s="746"/>
      <c r="F275" s="746"/>
      <c r="G275" s="743"/>
      <c r="H275" s="743"/>
      <c r="I275" s="743"/>
      <c r="J275" s="743"/>
      <c r="K275" s="743"/>
      <c r="L275" s="747"/>
      <c r="M275" s="743"/>
      <c r="N275" s="743"/>
      <c r="O275" s="748"/>
      <c r="P275" s="743"/>
      <c r="Q275" s="749"/>
      <c r="R275" s="743"/>
      <c r="S275" s="750"/>
    </row>
    <row r="276" spans="1:23" ht="20.25" customHeight="1">
      <c r="A276" s="751" t="s">
        <v>560</v>
      </c>
      <c r="B276" s="751"/>
      <c r="C276" s="751"/>
      <c r="D276" s="751"/>
      <c r="E276" s="751"/>
      <c r="F276" s="751"/>
      <c r="G276" s="751"/>
      <c r="H276" s="751"/>
      <c r="I276" s="751"/>
      <c r="J276" s="751"/>
      <c r="K276" s="751"/>
      <c r="L276" s="751"/>
      <c r="M276" s="751"/>
      <c r="N276" s="751"/>
      <c r="O276" s="751"/>
      <c r="P276" s="751"/>
      <c r="Q276" s="749"/>
      <c r="R276" s="743"/>
      <c r="S276" s="750"/>
    </row>
    <row r="277" spans="1:23" ht="12" customHeight="1">
      <c r="A277" s="752"/>
      <c r="B277" s="752"/>
      <c r="C277" s="753"/>
      <c r="D277" s="752"/>
      <c r="E277" s="752"/>
      <c r="F277" s="752"/>
      <c r="G277" s="752"/>
      <c r="H277" s="752"/>
      <c r="I277" s="752"/>
      <c r="J277" s="752"/>
      <c r="K277" s="752"/>
      <c r="L277" s="751"/>
      <c r="M277" s="752"/>
      <c r="N277" s="752"/>
      <c r="O277" s="754"/>
      <c r="P277" s="752"/>
      <c r="Q277" s="749"/>
      <c r="R277" s="743"/>
      <c r="S277" s="750"/>
    </row>
    <row r="278" spans="1:23" ht="12" customHeight="1">
      <c r="A278" s="755"/>
      <c r="B278" s="755"/>
      <c r="C278" s="756"/>
      <c r="D278" s="755"/>
      <c r="E278" s="755"/>
      <c r="F278" s="755"/>
      <c r="G278" s="755"/>
      <c r="H278" s="755"/>
      <c r="I278" s="755"/>
      <c r="J278" s="755"/>
      <c r="K278" s="755"/>
      <c r="L278" s="755"/>
      <c r="M278" s="755"/>
      <c r="N278" s="755"/>
      <c r="O278" s="757"/>
      <c r="P278" s="755"/>
      <c r="Q278" s="749"/>
      <c r="R278" s="743"/>
      <c r="S278" s="750"/>
    </row>
    <row r="279" spans="1:23" ht="36.75" customHeight="1">
      <c r="A279" s="760" t="s">
        <v>37</v>
      </c>
      <c r="B279" s="760" t="s">
        <v>534</v>
      </c>
      <c r="C279" s="761" t="s">
        <v>535</v>
      </c>
      <c r="D279" s="762" t="s">
        <v>536</v>
      </c>
      <c r="E279" s="762" t="s">
        <v>537</v>
      </c>
      <c r="F279" s="762" t="s">
        <v>538</v>
      </c>
      <c r="G279" s="762" t="s">
        <v>539</v>
      </c>
      <c r="H279" s="762" t="s">
        <v>540</v>
      </c>
      <c r="I279" s="762" t="s">
        <v>541</v>
      </c>
      <c r="J279" s="762" t="s">
        <v>542</v>
      </c>
      <c r="K279" s="763" t="s">
        <v>543</v>
      </c>
      <c r="L279" s="762" t="s">
        <v>544</v>
      </c>
      <c r="M279" s="763" t="s">
        <v>545</v>
      </c>
      <c r="N279" s="762" t="s">
        <v>546</v>
      </c>
      <c r="O279" s="764" t="s">
        <v>537</v>
      </c>
      <c r="P279" s="762" t="s">
        <v>547</v>
      </c>
      <c r="Q279" s="749"/>
      <c r="R279" s="760" t="s">
        <v>534</v>
      </c>
      <c r="S279" s="762" t="s">
        <v>501</v>
      </c>
      <c r="T279" s="762" t="s">
        <v>337</v>
      </c>
      <c r="U279" s="762" t="s">
        <v>538</v>
      </c>
      <c r="V279" s="762" t="s">
        <v>548</v>
      </c>
      <c r="W279" s="760" t="s">
        <v>548</v>
      </c>
    </row>
    <row r="280" spans="1:23" s="766" customFormat="1" ht="13.5" customHeight="1">
      <c r="A280" s="767" t="str">
        <f>IF(B280&lt;&gt;"",ROW()-(ROW()-1),"")</f>
        <v/>
      </c>
      <c r="B280" s="841"/>
      <c r="C280" s="768">
        <f>IF(ISNA(VLOOKUP(B280,NXT!$Q$72:$S$92,2,0)),0,VLOOKUP(B280,NXT!$Q$72:$S$92,2,0))</f>
        <v>0</v>
      </c>
      <c r="D280" s="620">
        <f t="shared" ref="D280:D285" si="67">ROUND(C280*O280,0)</f>
        <v>0</v>
      </c>
      <c r="E280" s="620"/>
      <c r="F280" s="620"/>
      <c r="G280" s="769">
        <f t="shared" ref="G280:G285" si="68">(D280+E280)*F280</f>
        <v>0</v>
      </c>
      <c r="H280" s="620">
        <f t="shared" ref="H280:H285" si="69">IF($D$287&lt;&gt;0,H$287/($D$287+$E$287/4)*($D280+$E280/4),0)</f>
        <v>0</v>
      </c>
      <c r="I280" s="620">
        <f t="shared" ref="I280:K285" si="70">IF($D$287&lt;&gt;0,I$287/$D$287*$D280,0)</f>
        <v>0</v>
      </c>
      <c r="J280" s="620">
        <f t="shared" si="70"/>
        <v>0</v>
      </c>
      <c r="K280" s="620">
        <f t="shared" si="70"/>
        <v>0</v>
      </c>
      <c r="L280" s="845"/>
      <c r="M280" s="620"/>
      <c r="N280" s="769">
        <f t="shared" ref="N280:N285" si="71">ROUND(SUM(G280:L280),0)</f>
        <v>0</v>
      </c>
      <c r="O280" s="620"/>
      <c r="P280" s="620">
        <f t="shared" ref="P280:P285" si="72">IF(N280&lt;&gt;0,N280/O280,0)</f>
        <v>0</v>
      </c>
      <c r="Q280" s="765"/>
      <c r="R280" s="771"/>
      <c r="S280" s="835"/>
      <c r="T280" s="234"/>
      <c r="U280" s="234"/>
      <c r="V280" s="769">
        <f t="shared" ref="V280:V289" si="73">ROUND(T280*U280,0)</f>
        <v>0</v>
      </c>
      <c r="W280" s="769"/>
    </row>
    <row r="281" spans="1:23" ht="13.5" customHeight="1">
      <c r="A281" s="767" t="str">
        <f t="shared" ref="A281:A286" si="74">IF(B281&lt;&gt;"",A280+1,"")</f>
        <v/>
      </c>
      <c r="B281" s="779"/>
      <c r="C281" s="768">
        <f>IF(ISNA(VLOOKUP(B281,NXT!$Q$72:$S$92,2,0)),0,VLOOKUP(B281,NXT!$Q$72:$S$92,2,0))</f>
        <v>0</v>
      </c>
      <c r="D281" s="620">
        <f t="shared" si="67"/>
        <v>0</v>
      </c>
      <c r="E281" s="620"/>
      <c r="F281" s="620"/>
      <c r="G281" s="769">
        <f t="shared" si="68"/>
        <v>0</v>
      </c>
      <c r="H281" s="620">
        <f t="shared" si="69"/>
        <v>0</v>
      </c>
      <c r="I281" s="620">
        <f t="shared" si="70"/>
        <v>0</v>
      </c>
      <c r="J281" s="620">
        <f t="shared" si="70"/>
        <v>0</v>
      </c>
      <c r="K281" s="620">
        <f t="shared" si="70"/>
        <v>0</v>
      </c>
      <c r="L281" s="845"/>
      <c r="M281" s="620"/>
      <c r="N281" s="769">
        <f t="shared" si="71"/>
        <v>0</v>
      </c>
      <c r="O281" s="775"/>
      <c r="P281" s="620">
        <f t="shared" si="72"/>
        <v>0</v>
      </c>
      <c r="Q281" s="788"/>
      <c r="R281" s="776"/>
      <c r="S281" s="835"/>
      <c r="T281" s="234"/>
      <c r="U281" s="234"/>
      <c r="V281" s="769">
        <f t="shared" si="73"/>
        <v>0</v>
      </c>
      <c r="W281" s="785"/>
    </row>
    <row r="282" spans="1:23" ht="13.5" customHeight="1">
      <c r="A282" s="767" t="str">
        <f t="shared" si="74"/>
        <v/>
      </c>
      <c r="B282" s="779"/>
      <c r="C282" s="768">
        <f>IF(ISNA(VLOOKUP(B282,NXT!$Q$72:$S$92,2,0)),0,VLOOKUP(B282,NXT!$Q$72:$S$92,2,0))</f>
        <v>0</v>
      </c>
      <c r="D282" s="620">
        <f t="shared" si="67"/>
        <v>0</v>
      </c>
      <c r="E282" s="620"/>
      <c r="F282" s="620"/>
      <c r="G282" s="769">
        <f t="shared" si="68"/>
        <v>0</v>
      </c>
      <c r="H282" s="620">
        <f t="shared" si="69"/>
        <v>0</v>
      </c>
      <c r="I282" s="620">
        <f t="shared" si="70"/>
        <v>0</v>
      </c>
      <c r="J282" s="620">
        <f t="shared" si="70"/>
        <v>0</v>
      </c>
      <c r="K282" s="620">
        <f t="shared" si="70"/>
        <v>0</v>
      </c>
      <c r="L282" s="845"/>
      <c r="M282" s="620"/>
      <c r="N282" s="769">
        <f t="shared" si="71"/>
        <v>0</v>
      </c>
      <c r="O282" s="775"/>
      <c r="P282" s="620">
        <f t="shared" si="72"/>
        <v>0</v>
      </c>
      <c r="Q282" s="788"/>
      <c r="R282" s="776"/>
      <c r="S282" s="835"/>
      <c r="T282" s="234"/>
      <c r="U282" s="234"/>
      <c r="V282" s="769">
        <f t="shared" si="73"/>
        <v>0</v>
      </c>
      <c r="W282" s="785"/>
    </row>
    <row r="283" spans="1:23" ht="13.5" customHeight="1">
      <c r="A283" s="767" t="str">
        <f t="shared" si="74"/>
        <v/>
      </c>
      <c r="B283" s="779"/>
      <c r="C283" s="768">
        <f>IF(ISNA(VLOOKUP(B283,NXT!$Q$72:$S$92,2,0)),0,VLOOKUP(B283,NXT!$Q$72:$S$92,2,0))</f>
        <v>0</v>
      </c>
      <c r="D283" s="620">
        <f t="shared" si="67"/>
        <v>0</v>
      </c>
      <c r="E283" s="620"/>
      <c r="F283" s="620"/>
      <c r="G283" s="769">
        <f t="shared" si="68"/>
        <v>0</v>
      </c>
      <c r="H283" s="620">
        <f t="shared" si="69"/>
        <v>0</v>
      </c>
      <c r="I283" s="620">
        <f t="shared" si="70"/>
        <v>0</v>
      </c>
      <c r="J283" s="620">
        <f t="shared" si="70"/>
        <v>0</v>
      </c>
      <c r="K283" s="620">
        <f t="shared" si="70"/>
        <v>0</v>
      </c>
      <c r="L283" s="620"/>
      <c r="M283" s="620"/>
      <c r="N283" s="769">
        <f t="shared" si="71"/>
        <v>0</v>
      </c>
      <c r="O283" s="775"/>
      <c r="P283" s="620">
        <f t="shared" si="72"/>
        <v>0</v>
      </c>
      <c r="Q283" s="788"/>
      <c r="R283" s="776"/>
      <c r="S283" s="835"/>
      <c r="T283" s="234"/>
      <c r="U283" s="234"/>
      <c r="V283" s="769">
        <f t="shared" si="73"/>
        <v>0</v>
      </c>
      <c r="W283" s="785"/>
    </row>
    <row r="284" spans="1:23" ht="13.5" customHeight="1">
      <c r="A284" s="767" t="str">
        <f t="shared" si="74"/>
        <v/>
      </c>
      <c r="B284" s="779"/>
      <c r="C284" s="768">
        <f>IF(ISNA(VLOOKUP(B284,NXT!$Q$72:$S$92,2,0)),0,VLOOKUP(B284,NXT!$Q$72:$S$92,2,0))</f>
        <v>0</v>
      </c>
      <c r="D284" s="620">
        <f t="shared" si="67"/>
        <v>0</v>
      </c>
      <c r="E284" s="620"/>
      <c r="F284" s="620"/>
      <c r="G284" s="769">
        <f t="shared" si="68"/>
        <v>0</v>
      </c>
      <c r="H284" s="620">
        <f t="shared" si="69"/>
        <v>0</v>
      </c>
      <c r="I284" s="620">
        <f t="shared" si="70"/>
        <v>0</v>
      </c>
      <c r="J284" s="620">
        <f t="shared" si="70"/>
        <v>0</v>
      </c>
      <c r="K284" s="620">
        <f t="shared" si="70"/>
        <v>0</v>
      </c>
      <c r="L284" s="620"/>
      <c r="M284" s="620"/>
      <c r="N284" s="769">
        <f t="shared" si="71"/>
        <v>0</v>
      </c>
      <c r="O284" s="775"/>
      <c r="P284" s="620">
        <f t="shared" si="72"/>
        <v>0</v>
      </c>
      <c r="Q284" s="788"/>
      <c r="R284" s="776"/>
      <c r="S284" s="835"/>
      <c r="T284" s="234"/>
      <c r="U284" s="234"/>
      <c r="V284" s="769">
        <f t="shared" si="73"/>
        <v>0</v>
      </c>
      <c r="W284" s="785"/>
    </row>
    <row r="285" spans="1:23">
      <c r="A285" s="767" t="str">
        <f t="shared" si="74"/>
        <v/>
      </c>
      <c r="B285" s="779"/>
      <c r="C285" s="768">
        <f>IF(ISNA(VLOOKUP(B285,NXT!$Q$72:$S$92,2,0)),0,VLOOKUP(B285,NXT!$Q$72:$S$92,2,0))</f>
        <v>0</v>
      </c>
      <c r="D285" s="620">
        <f t="shared" si="67"/>
        <v>0</v>
      </c>
      <c r="E285" s="620"/>
      <c r="F285" s="620"/>
      <c r="G285" s="769">
        <f t="shared" si="68"/>
        <v>0</v>
      </c>
      <c r="H285" s="620">
        <f t="shared" si="69"/>
        <v>0</v>
      </c>
      <c r="I285" s="620">
        <f t="shared" si="70"/>
        <v>0</v>
      </c>
      <c r="J285" s="620">
        <f t="shared" si="70"/>
        <v>0</v>
      </c>
      <c r="K285" s="620">
        <f t="shared" si="70"/>
        <v>0</v>
      </c>
      <c r="L285" s="620"/>
      <c r="M285" s="620"/>
      <c r="N285" s="769">
        <f t="shared" si="71"/>
        <v>0</v>
      </c>
      <c r="O285" s="775"/>
      <c r="P285" s="620">
        <f t="shared" si="72"/>
        <v>0</v>
      </c>
      <c r="Q285" s="788"/>
      <c r="R285" s="776"/>
      <c r="S285" s="835"/>
      <c r="T285" s="234"/>
      <c r="U285" s="777"/>
      <c r="V285" s="769">
        <f t="shared" si="73"/>
        <v>0</v>
      </c>
      <c r="W285" s="785"/>
    </row>
    <row r="286" spans="1:23">
      <c r="A286" s="767" t="str">
        <f t="shared" si="74"/>
        <v/>
      </c>
      <c r="B286" s="780"/>
      <c r="C286" s="781"/>
      <c r="D286" s="783"/>
      <c r="E286" s="783"/>
      <c r="F286" s="783"/>
      <c r="G286" s="784"/>
      <c r="H286" s="829"/>
      <c r="I286" s="783"/>
      <c r="J286" s="785"/>
      <c r="K286" s="783"/>
      <c r="L286" s="786"/>
      <c r="M286" s="783"/>
      <c r="N286" s="817"/>
      <c r="O286" s="787"/>
      <c r="P286" s="783"/>
      <c r="Q286" s="788"/>
      <c r="R286" s="776"/>
      <c r="S286" s="835"/>
      <c r="T286" s="234"/>
      <c r="U286" s="234"/>
      <c r="V286" s="769">
        <f t="shared" si="73"/>
        <v>0</v>
      </c>
      <c r="W286" s="785"/>
    </row>
    <row r="287" spans="1:23" s="789" customFormat="1">
      <c r="A287" s="790"/>
      <c r="B287" s="791" t="s">
        <v>549</v>
      </c>
      <c r="C287" s="792"/>
      <c r="D287" s="793">
        <f>SUM(D280:D285)</f>
        <v>0</v>
      </c>
      <c r="E287" s="793">
        <f>SUM(E280:E285)</f>
        <v>0</v>
      </c>
      <c r="F287" s="793"/>
      <c r="G287" s="793">
        <f>SUM(G280:G285)</f>
        <v>0</v>
      </c>
      <c r="H287" s="794"/>
      <c r="I287" s="794">
        <f>V291</f>
        <v>0</v>
      </c>
      <c r="J287" s="794"/>
      <c r="K287" s="794"/>
      <c r="L287" s="793">
        <f>ROUND(SUM(L280:L286),0)</f>
        <v>0</v>
      </c>
      <c r="M287" s="793">
        <f>ROUND(SUM(M280:M286),0)</f>
        <v>0</v>
      </c>
      <c r="N287" s="793">
        <f>ROUND(SUM(N280:N286),0)</f>
        <v>0</v>
      </c>
      <c r="O287" s="793">
        <f>ROUND(SUM(O280:O286),0)</f>
        <v>0</v>
      </c>
      <c r="P287" s="793"/>
      <c r="Q287" s="788"/>
      <c r="R287" s="776"/>
      <c r="S287" s="772"/>
      <c r="T287" s="799"/>
      <c r="U287" s="777"/>
      <c r="V287" s="769">
        <f t="shared" si="73"/>
        <v>0</v>
      </c>
      <c r="W287" s="785"/>
    </row>
    <row r="288" spans="1:23" s="744" customFormat="1">
      <c r="A288" s="740"/>
      <c r="B288" s="740"/>
      <c r="C288" s="740"/>
      <c r="D288" s="740"/>
      <c r="E288" s="740"/>
      <c r="F288" s="740"/>
      <c r="G288" s="740"/>
      <c r="H288" s="740"/>
      <c r="I288" s="740"/>
      <c r="J288" s="740"/>
      <c r="K288" s="740"/>
      <c r="L288" s="740"/>
      <c r="M288" s="740"/>
      <c r="N288" s="740"/>
      <c r="O288" s="740"/>
      <c r="P288" s="740"/>
      <c r="Q288" s="788"/>
      <c r="R288" s="838"/>
      <c r="S288" s="772"/>
      <c r="T288" s="799"/>
      <c r="U288" s="777"/>
      <c r="V288" s="769">
        <f t="shared" si="73"/>
        <v>0</v>
      </c>
      <c r="W288" s="785"/>
    </row>
    <row r="289" spans="7:23">
      <c r="L289" s="748">
        <f>L287-V299</f>
        <v>0</v>
      </c>
      <c r="Q289" s="788"/>
      <c r="R289" s="511"/>
      <c r="S289" s="772"/>
      <c r="T289" s="234"/>
      <c r="U289" s="234"/>
      <c r="V289" s="769">
        <f t="shared" si="73"/>
        <v>0</v>
      </c>
      <c r="W289" s="785"/>
    </row>
    <row r="290" spans="7:23">
      <c r="Q290" s="788"/>
      <c r="R290" s="839"/>
      <c r="S290" s="772"/>
      <c r="T290" s="234"/>
      <c r="U290" s="234"/>
      <c r="V290" s="785"/>
      <c r="W290" s="785"/>
    </row>
    <row r="291" spans="7:23">
      <c r="Q291" s="788"/>
      <c r="R291" s="822"/>
      <c r="S291" s="823"/>
      <c r="T291" s="824"/>
      <c r="U291" s="840"/>
      <c r="V291" s="803">
        <f>SUM(V280:V290)</f>
        <v>0</v>
      </c>
      <c r="W291" s="803">
        <f>SUM(W280:W290)</f>
        <v>0</v>
      </c>
    </row>
    <row r="292" spans="7:23">
      <c r="R292" s="825"/>
      <c r="S292" s="835"/>
      <c r="T292" s="234"/>
      <c r="U292" s="234"/>
      <c r="V292" s="769">
        <f t="shared" ref="V292:V298" si="75">ROUND(T292*U292,0)</f>
        <v>0</v>
      </c>
      <c r="W292" s="769"/>
    </row>
    <row r="293" spans="7:23">
      <c r="R293" s="776"/>
      <c r="S293" s="835"/>
      <c r="T293" s="777"/>
      <c r="U293" s="234"/>
      <c r="V293" s="769">
        <f t="shared" si="75"/>
        <v>0</v>
      </c>
      <c r="W293" s="785"/>
    </row>
    <row r="294" spans="7:23">
      <c r="R294" s="776"/>
      <c r="S294" s="835"/>
      <c r="T294" s="777"/>
      <c r="U294" s="234"/>
      <c r="V294" s="769">
        <f t="shared" si="75"/>
        <v>0</v>
      </c>
      <c r="W294" s="785"/>
    </row>
    <row r="295" spans="7:23">
      <c r="R295" s="776"/>
      <c r="S295" s="835"/>
      <c r="T295" s="777"/>
      <c r="U295" s="777"/>
      <c r="V295" s="769">
        <f t="shared" si="75"/>
        <v>0</v>
      </c>
      <c r="W295" s="785"/>
    </row>
    <row r="296" spans="7:23">
      <c r="R296" s="776"/>
      <c r="S296" s="772"/>
      <c r="T296" s="777"/>
      <c r="U296" s="777"/>
      <c r="V296" s="769">
        <f t="shared" si="75"/>
        <v>0</v>
      </c>
      <c r="W296" s="785"/>
    </row>
    <row r="297" spans="7:23">
      <c r="R297" s="776"/>
      <c r="S297" s="772"/>
      <c r="T297" s="777"/>
      <c r="U297" s="777"/>
      <c r="V297" s="769">
        <f t="shared" si="75"/>
        <v>0</v>
      </c>
      <c r="W297" s="785"/>
    </row>
    <row r="298" spans="7:23">
      <c r="R298" s="799"/>
      <c r="S298" s="772"/>
      <c r="T298" s="777"/>
      <c r="U298" s="777"/>
      <c r="V298" s="769">
        <f t="shared" si="75"/>
        <v>0</v>
      </c>
      <c r="W298" s="785"/>
    </row>
    <row r="299" spans="7:23">
      <c r="R299" s="799"/>
      <c r="S299" s="772"/>
      <c r="T299" s="777"/>
      <c r="U299" s="777"/>
      <c r="V299" s="844">
        <f>SUM(V292:V298)</f>
        <v>0</v>
      </c>
      <c r="W299" s="785"/>
    </row>
    <row r="301" spans="7:23">
      <c r="G301" s="743"/>
      <c r="N301" s="743"/>
    </row>
    <row r="302" spans="7:23">
      <c r="G302" s="743"/>
      <c r="H302" s="743"/>
      <c r="I302" s="743"/>
      <c r="J302" s="743"/>
      <c r="K302" s="743"/>
      <c r="L302" s="743"/>
      <c r="M302" s="743"/>
      <c r="N302" s="743"/>
    </row>
    <row r="303" spans="7:23">
      <c r="G303" s="805"/>
      <c r="N303" s="805"/>
    </row>
  </sheetData>
  <mergeCells count="3">
    <mergeCell ref="S5:T5"/>
    <mergeCell ref="V5:W5"/>
    <mergeCell ref="R17:T17"/>
  </mergeCells>
  <dataValidations count="2">
    <dataValidation type="list" allowBlank="1" showInputMessage="1" showErrorMessage="1" sqref="B142 B231 B86:B92 B113 B144">
      <formula1>Loai3</formula1>
    </dataValidation>
    <dataValidation type="list" allowBlank="1" showInputMessage="1" showErrorMessage="1" sqref="R279 R168 R85 R67 R254 R46 R6 R140 R110 R228 R201 R28">
      <formula1>DSTP</formula1>
    </dataValidation>
  </dataValidations>
  <pageMargins left="0.6" right="0.16" top="0.55000000000000004" bottom="1" header="0.5" footer="0.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115" customWidth="1"/>
    <col min="2" max="2" width="15.7109375" style="1115" customWidth="1"/>
    <col min="3" max="3" width="16.85546875" style="1115" customWidth="1"/>
    <col min="4" max="8" width="15.28515625" style="1115" customWidth="1"/>
    <col min="9" max="9" width="10.140625" style="1115" customWidth="1"/>
    <col min="10" max="10" width="5.85546875" style="1115" customWidth="1"/>
    <col min="11" max="16384" width="10.28515625" style="1115"/>
  </cols>
  <sheetData>
    <row r="1" spans="1:10" s="846" customFormat="1" ht="15" customHeight="1">
      <c r="A1" s="1102" t="s">
        <v>316</v>
      </c>
      <c r="B1" s="1102"/>
      <c r="D1" s="847"/>
      <c r="E1" s="847"/>
      <c r="F1" s="1430" t="s">
        <v>561</v>
      </c>
      <c r="G1" s="1430"/>
      <c r="H1" s="1430"/>
      <c r="I1" s="848"/>
      <c r="J1" s="849"/>
    </row>
    <row r="2" spans="1:10" s="846" customFormat="1" ht="29.25" customHeight="1">
      <c r="A2" s="1102" t="s">
        <v>562</v>
      </c>
      <c r="B2" s="1102"/>
      <c r="D2" s="850"/>
      <c r="E2" s="850"/>
      <c r="F2" s="1431" t="s">
        <v>144</v>
      </c>
      <c r="G2" s="1431"/>
      <c r="H2" s="1431"/>
      <c r="I2" s="848"/>
      <c r="J2" s="710">
        <v>1</v>
      </c>
    </row>
    <row r="3" spans="1:10" s="846" customFormat="1" ht="15">
      <c r="A3" s="1103"/>
      <c r="B3" s="1104"/>
      <c r="C3" s="850"/>
      <c r="D3" s="850"/>
      <c r="E3" s="850"/>
      <c r="F3" s="1431"/>
      <c r="G3" s="1431"/>
      <c r="H3" s="1431"/>
      <c r="I3" s="848"/>
    </row>
    <row r="4" spans="1:10" s="1106" customFormat="1" ht="17.25" customHeight="1">
      <c r="A4" s="1432" t="s">
        <v>563</v>
      </c>
      <c r="B4" s="1432"/>
      <c r="C4" s="1432"/>
      <c r="D4" s="1432"/>
      <c r="E4" s="1432"/>
      <c r="F4" s="1432"/>
      <c r="G4" s="1432"/>
      <c r="H4" s="1432"/>
      <c r="I4" s="1105"/>
    </row>
    <row r="5" spans="1:10" s="1107" customFormat="1" ht="17.25" customHeight="1">
      <c r="B5" s="1108"/>
      <c r="C5" s="1109" t="s">
        <v>467</v>
      </c>
      <c r="D5" s="1108" t="str">
        <f>IF($J$2&lt;10,"0"&amp;$J$2&amp;"  năm 2016",$J$2&amp;"  năm 2016")</f>
        <v>01  năm 2016</v>
      </c>
      <c r="E5" s="1108"/>
      <c r="F5" s="1108"/>
      <c r="G5" s="1108"/>
      <c r="H5" s="1108"/>
      <c r="I5" s="1108"/>
    </row>
    <row r="6" spans="1:10" s="1107" customFormat="1" ht="17.25" customHeight="1">
      <c r="B6" s="1110"/>
      <c r="C6" s="1433" t="s">
        <v>564</v>
      </c>
      <c r="D6" s="1433"/>
      <c r="E6" s="1434" t="s">
        <v>452</v>
      </c>
      <c r="F6" s="1434"/>
      <c r="H6" s="1110"/>
      <c r="I6" s="1108"/>
    </row>
    <row r="7" spans="1:10" s="1112" customFormat="1" ht="9.75" customHeight="1">
      <c r="A7" s="1111"/>
      <c r="B7" s="1111"/>
      <c r="C7" s="1111"/>
      <c r="D7" s="1111"/>
      <c r="E7" s="1111"/>
      <c r="F7" s="1111"/>
      <c r="G7" s="1111"/>
      <c r="H7" s="1111"/>
      <c r="I7" s="1110"/>
    </row>
    <row r="8" spans="1:10" s="852" customFormat="1" ht="17.25" customHeight="1">
      <c r="A8" s="1435" t="s">
        <v>565</v>
      </c>
      <c r="B8" s="1436" t="s">
        <v>566</v>
      </c>
      <c r="C8" s="1436" t="s">
        <v>567</v>
      </c>
      <c r="D8" s="1436"/>
      <c r="E8" s="1436"/>
      <c r="F8" s="1436"/>
      <c r="G8" s="1436"/>
      <c r="H8" s="1436"/>
      <c r="I8" s="851"/>
    </row>
    <row r="9" spans="1:10" s="855" customFormat="1" ht="28.5">
      <c r="A9" s="1435"/>
      <c r="B9" s="1436"/>
      <c r="C9" s="853" t="s">
        <v>568</v>
      </c>
      <c r="D9" s="853" t="s">
        <v>569</v>
      </c>
      <c r="E9" s="853" t="s">
        <v>570</v>
      </c>
      <c r="F9" s="853" t="s">
        <v>571</v>
      </c>
      <c r="G9" s="853" t="s">
        <v>572</v>
      </c>
      <c r="H9" s="853" t="s">
        <v>573</v>
      </c>
      <c r="I9" s="854"/>
    </row>
    <row r="10" spans="1:10" s="858" customFormat="1" ht="15">
      <c r="A10" s="856" t="s">
        <v>2</v>
      </c>
      <c r="B10" s="857">
        <v>1</v>
      </c>
      <c r="C10" s="857">
        <v>2</v>
      </c>
      <c r="D10" s="857">
        <v>3</v>
      </c>
      <c r="E10" s="857">
        <v>4</v>
      </c>
      <c r="F10" s="857">
        <v>5</v>
      </c>
      <c r="G10" s="857">
        <v>6</v>
      </c>
      <c r="H10" s="857">
        <v>7</v>
      </c>
      <c r="I10" s="848"/>
    </row>
    <row r="11" spans="1:10" s="1107" customFormat="1" ht="24.75" customHeight="1">
      <c r="A11" s="1113" t="s">
        <v>574</v>
      </c>
      <c r="B11" s="1114">
        <f>ROUND(SUM(C11:H11),0)</f>
        <v>0</v>
      </c>
      <c r="C11" s="1114">
        <v>0</v>
      </c>
      <c r="D11" s="1114">
        <v>0</v>
      </c>
      <c r="E11" s="1114">
        <v>0</v>
      </c>
      <c r="F11" s="1114">
        <v>0</v>
      </c>
      <c r="G11" s="1114">
        <v>0</v>
      </c>
      <c r="H11" s="1114">
        <v>0</v>
      </c>
      <c r="I11" s="1108"/>
    </row>
    <row r="12" spans="1:10" s="1107" customFormat="1" ht="24.75" customHeight="1">
      <c r="A12" s="1113" t="s">
        <v>575</v>
      </c>
      <c r="B12" s="1114">
        <f ca="1">ROUND(SUM(C12:H12),0)</f>
        <v>2108273740</v>
      </c>
      <c r="C12" s="1114">
        <f ca="1">IF(ISNA(VLOOKUP($E6,INDIRECT("DSSP"&amp;$J$2),6,0)),0,VLOOKUP($E6,INDIRECT("DSSP"&amp;$J$2),6,0))</f>
        <v>1914000000</v>
      </c>
      <c r="D12" s="1114">
        <f ca="1">IF(ISNA(VLOOKUP($E6,INDIRECT("DSSP"&amp;$J$2),7,0)),0,VLOOKUP($E6,INDIRECT("DSSP"&amp;$J$2),7,0))</f>
        <v>76689004.104627773</v>
      </c>
      <c r="E12" s="1114">
        <f ca="1">IF(ISNA(VLOOKUP($E6,INDIRECT("DSSP"&amp;$J$2),8,0)),0,VLOOKUP($E6,INDIRECT("DSSP"&amp;$J$2),8,0))</f>
        <v>27934714.334004026</v>
      </c>
      <c r="F12" s="1114">
        <f ca="1">IF(ISNA(VLOOKUP($E6,INDIRECT("DSSP"&amp;$J$2),9,0)),0,VLOOKUP($E6,INDIRECT("DSSP"&amp;$J$2),9,0))</f>
        <v>44073604.828973837</v>
      </c>
      <c r="G12" s="1114">
        <f ca="1">IF(ISNA(VLOOKUP($E6,INDIRECT("DSSP"&amp;$J$2),10,0)),0,VLOOKUP($E6,INDIRECT("DSSP"&amp;$J$2),10,0))</f>
        <v>30351417.078470826</v>
      </c>
      <c r="H12" s="1114">
        <f ca="1">IF(ISNA(VLOOKUP($E6,INDIRECT("DSSP"&amp;$J$2),11,0)),0,VLOOKUP($E6,INDIRECT("DSSP"&amp;$J$2),11,0))</f>
        <v>15225000</v>
      </c>
      <c r="I12" s="1108"/>
    </row>
    <row r="13" spans="1:10" s="1107" customFormat="1" ht="24.75" customHeight="1">
      <c r="A13" s="1113" t="s">
        <v>576</v>
      </c>
      <c r="B13" s="1114">
        <f ca="1">ROUND(IF(ISNA(VLOOKUP($E6,INDIRECT("DSSP"&amp;$J$2),13,0)),0,VLOOKUP($E6,INDIRECT("DSSP"&amp;$J$2),13,0)),0)</f>
        <v>2108273740</v>
      </c>
      <c r="C13" s="1114">
        <f t="shared" ref="C13:H13" ca="1" si="0">C12</f>
        <v>1914000000</v>
      </c>
      <c r="D13" s="1114">
        <f t="shared" ca="1" si="0"/>
        <v>76689004.104627773</v>
      </c>
      <c r="E13" s="1114">
        <f t="shared" ca="1" si="0"/>
        <v>27934714.334004026</v>
      </c>
      <c r="F13" s="1114">
        <f t="shared" ca="1" si="0"/>
        <v>44073604.828973837</v>
      </c>
      <c r="G13" s="1114">
        <f t="shared" ca="1" si="0"/>
        <v>30351417.078470826</v>
      </c>
      <c r="H13" s="1114">
        <f t="shared" ca="1" si="0"/>
        <v>15225000</v>
      </c>
      <c r="I13" s="1108"/>
    </row>
    <row r="14" spans="1:10" s="1107" customFormat="1" ht="24.75" customHeight="1">
      <c r="A14" s="1113" t="s">
        <v>577</v>
      </c>
      <c r="B14" s="1114">
        <f ca="1">B12-B13</f>
        <v>0</v>
      </c>
      <c r="C14" s="1114">
        <f t="shared" ref="C14:H14" ca="1" si="1">C12-C13</f>
        <v>0</v>
      </c>
      <c r="D14" s="1114">
        <f t="shared" ca="1" si="1"/>
        <v>0</v>
      </c>
      <c r="E14" s="1114">
        <f t="shared" ca="1" si="1"/>
        <v>0</v>
      </c>
      <c r="F14" s="1114">
        <f t="shared" ca="1" si="1"/>
        <v>0</v>
      </c>
      <c r="G14" s="1114">
        <f t="shared" ca="1" si="1"/>
        <v>0</v>
      </c>
      <c r="H14" s="1114">
        <f t="shared" ca="1" si="1"/>
        <v>0</v>
      </c>
      <c r="I14" s="1108"/>
    </row>
    <row r="15" spans="1:10" s="1107" customFormat="1" ht="15">
      <c r="B15" s="1108"/>
      <c r="C15" s="1108"/>
      <c r="D15" s="1108"/>
      <c r="E15" s="1108"/>
      <c r="F15" s="1108"/>
      <c r="G15" s="1108"/>
      <c r="H15" s="1108"/>
      <c r="I15" s="1108"/>
    </row>
    <row r="16" spans="1:10" s="1107" customFormat="1" ht="15">
      <c r="B16" s="1108"/>
      <c r="C16" s="1108"/>
      <c r="D16" s="1108"/>
      <c r="E16" s="1429" t="str">
        <f xml:space="preserve"> IF(OR($J$2=1,$J$2=4,$J$2=6,$J$2=9,$J$2=11),"Ngày  30  tháng  "&amp;$J$2&amp;"  năm 2016",IF(OR($J$2=3,$J$2=5,$J$2=7,$J$2=8,$J$2=10,$J$2=12),"Ngày  31  tháng  "&amp;$J$2&amp;"  năm 2016","Ngày  29  tháng  "&amp;$J$2&amp;"  năm 2016"))</f>
        <v>Ngày  30  tháng  1  năm 2016</v>
      </c>
      <c r="F16" s="1429"/>
      <c r="G16" s="1429"/>
      <c r="H16" s="1429"/>
      <c r="I16" s="1108"/>
    </row>
    <row r="17" spans="2:9" s="1107" customFormat="1" ht="15">
      <c r="B17" s="858" t="s">
        <v>578</v>
      </c>
      <c r="C17" s="1108"/>
      <c r="D17" s="1108"/>
      <c r="E17" s="1429" t="s">
        <v>12</v>
      </c>
      <c r="F17" s="1429"/>
      <c r="G17" s="1429"/>
      <c r="H17" s="1429"/>
      <c r="I17" s="1108"/>
    </row>
    <row r="19" spans="2:9" ht="15">
      <c r="E19" s="1116"/>
    </row>
    <row r="26" spans="2:9">
      <c r="B26" s="1086" t="s">
        <v>229</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8"/>
  <sheetViews>
    <sheetView topLeftCell="A10" workbookViewId="0">
      <pane ySplit="3" topLeftCell="A13" activePane="bottomLeft" state="frozen"/>
      <selection activeCell="A10" sqref="A10"/>
      <selection pane="bottomLeft" activeCell="D46" sqref="D46"/>
    </sheetView>
  </sheetViews>
  <sheetFormatPr defaultRowHeight="12.75"/>
  <cols>
    <col min="1" max="1" width="4.140625" style="1006" customWidth="1"/>
    <col min="2" max="2" width="9.140625" style="1006" customWidth="1"/>
    <col min="3" max="3" width="9" style="1007" customWidth="1"/>
    <col min="4" max="4" width="28.140625" style="1006" customWidth="1"/>
    <col min="5" max="5" width="9.140625" style="1006" customWidth="1"/>
    <col min="6" max="6" width="9.28515625" style="1007" customWidth="1"/>
    <col min="7" max="7" width="9" style="1006" customWidth="1"/>
    <col min="8" max="8" width="14.5703125" style="1006" customWidth="1"/>
    <col min="9" max="9" width="6" style="1006" customWidth="1"/>
    <col min="10" max="10" width="14.140625" style="1006" customWidth="1"/>
    <col min="11" max="11" width="14.85546875" style="1008" customWidth="1"/>
    <col min="12" max="12" width="14.42578125" style="1006" customWidth="1"/>
    <col min="13" max="13" width="5.85546875" style="1006" customWidth="1"/>
    <col min="14" max="14" width="7.42578125" style="1006" customWidth="1"/>
    <col min="15" max="15" width="11.7109375" style="1006" customWidth="1"/>
    <col min="16" max="16" width="4.5703125" style="1087" customWidth="1"/>
    <col min="17" max="17" width="12.85546875" style="1006" bestFit="1" customWidth="1"/>
    <col min="18" max="16384" width="9.140625" style="1006"/>
  </cols>
  <sheetData>
    <row r="1" spans="1:17" ht="15" customHeight="1">
      <c r="A1" s="1005" t="s">
        <v>1225</v>
      </c>
      <c r="M1" s="1009"/>
      <c r="N1" s="1010" t="s">
        <v>1226</v>
      </c>
      <c r="O1" s="1009"/>
    </row>
    <row r="2" spans="1:17" ht="15" customHeight="1">
      <c r="A2" s="1005" t="s">
        <v>1227</v>
      </c>
      <c r="L2" s="1008"/>
      <c r="M2" s="1008"/>
      <c r="N2" s="1011" t="s">
        <v>319</v>
      </c>
      <c r="O2" s="1008"/>
    </row>
    <row r="3" spans="1:17" ht="15" customHeight="1">
      <c r="L3" s="1008"/>
      <c r="M3" s="1008"/>
      <c r="N3" s="1011" t="s">
        <v>237</v>
      </c>
      <c r="O3" s="1008"/>
    </row>
    <row r="5" spans="1:17" s="1012" customFormat="1" ht="24" customHeight="1">
      <c r="A5" s="1446" t="s">
        <v>1228</v>
      </c>
      <c r="B5" s="1446"/>
      <c r="C5" s="1446"/>
      <c r="D5" s="1446"/>
      <c r="E5" s="1446"/>
      <c r="F5" s="1446"/>
      <c r="G5" s="1446"/>
      <c r="H5" s="1446"/>
      <c r="I5" s="1446"/>
      <c r="J5" s="1446"/>
      <c r="K5" s="1446"/>
      <c r="L5" s="1446"/>
      <c r="M5" s="1446"/>
      <c r="N5" s="1446"/>
      <c r="O5" s="1446"/>
      <c r="P5" s="1088"/>
    </row>
    <row r="6" spans="1:17" s="1012" customFormat="1" ht="21" customHeight="1">
      <c r="A6" s="1447" t="s">
        <v>1285</v>
      </c>
      <c r="B6" s="1447"/>
      <c r="C6" s="1447"/>
      <c r="D6" s="1447"/>
      <c r="E6" s="1447"/>
      <c r="F6" s="1447"/>
      <c r="G6" s="1447"/>
      <c r="H6" s="1447"/>
      <c r="I6" s="1447"/>
      <c r="J6" s="1447"/>
      <c r="K6" s="1447"/>
      <c r="L6" s="1447"/>
      <c r="M6" s="1447"/>
      <c r="N6" s="1447"/>
      <c r="O6" s="1447"/>
      <c r="P6" s="1088"/>
    </row>
    <row r="7" spans="1:17" s="1012" customFormat="1" ht="21" customHeight="1">
      <c r="A7" s="1448" t="s">
        <v>1293</v>
      </c>
      <c r="B7" s="1448"/>
      <c r="C7" s="1448"/>
      <c r="D7" s="1448"/>
      <c r="E7" s="1448"/>
      <c r="F7" s="1448"/>
      <c r="G7" s="1448"/>
      <c r="H7" s="1448"/>
      <c r="I7" s="1448"/>
      <c r="J7" s="1448"/>
      <c r="K7" s="1448"/>
      <c r="L7" s="1448"/>
      <c r="M7" s="1448"/>
      <c r="N7" s="1448"/>
      <c r="O7" s="1448"/>
      <c r="P7" s="1088"/>
    </row>
    <row r="8" spans="1:17">
      <c r="D8" s="1007"/>
    </row>
    <row r="9" spans="1:17" s="1013" customFormat="1" ht="24" customHeight="1">
      <c r="A9" s="1437" t="s">
        <v>500</v>
      </c>
      <c r="B9" s="1440" t="s">
        <v>1229</v>
      </c>
      <c r="C9" s="1441"/>
      <c r="D9" s="1441"/>
      <c r="E9" s="1441"/>
      <c r="F9" s="1441"/>
      <c r="G9" s="1441"/>
      <c r="H9" s="1442"/>
      <c r="I9" s="1440" t="s">
        <v>1230</v>
      </c>
      <c r="J9" s="1441"/>
      <c r="K9" s="1441"/>
      <c r="L9" s="1442"/>
      <c r="M9" s="1443" t="s">
        <v>1231</v>
      </c>
      <c r="N9" s="1443"/>
      <c r="O9" s="1443"/>
      <c r="P9" s="1089"/>
    </row>
    <row r="10" spans="1:17" s="1013" customFormat="1" ht="24" customHeight="1">
      <c r="A10" s="1438"/>
      <c r="B10" s="1440" t="s">
        <v>1232</v>
      </c>
      <c r="C10" s="1442"/>
      <c r="D10" s="1437" t="s">
        <v>1233</v>
      </c>
      <c r="E10" s="1437" t="s">
        <v>1234</v>
      </c>
      <c r="F10" s="1437" t="s">
        <v>1235</v>
      </c>
      <c r="G10" s="1437" t="s">
        <v>1236</v>
      </c>
      <c r="H10" s="1437" t="s">
        <v>1237</v>
      </c>
      <c r="I10" s="1440" t="s">
        <v>1238</v>
      </c>
      <c r="J10" s="1442"/>
      <c r="K10" s="1444" t="s">
        <v>1239</v>
      </c>
      <c r="L10" s="1437" t="s">
        <v>1240</v>
      </c>
      <c r="M10" s="1443" t="s">
        <v>1232</v>
      </c>
      <c r="N10" s="1443"/>
      <c r="O10" s="1443" t="s">
        <v>1241</v>
      </c>
      <c r="P10" s="1089"/>
    </row>
    <row r="11" spans="1:17" s="1013" customFormat="1" ht="55.5" customHeight="1">
      <c r="A11" s="1439"/>
      <c r="B11" s="1014" t="s">
        <v>1242</v>
      </c>
      <c r="C11" s="1014" t="s">
        <v>501</v>
      </c>
      <c r="D11" s="1439"/>
      <c r="E11" s="1439"/>
      <c r="F11" s="1439"/>
      <c r="G11" s="1439"/>
      <c r="H11" s="1439"/>
      <c r="I11" s="1014" t="s">
        <v>1243</v>
      </c>
      <c r="J11" s="1014" t="s">
        <v>1244</v>
      </c>
      <c r="K11" s="1445"/>
      <c r="L11" s="1439"/>
      <c r="M11" s="1014" t="s">
        <v>17</v>
      </c>
      <c r="N11" s="1014" t="s">
        <v>501</v>
      </c>
      <c r="O11" s="1443"/>
      <c r="P11" s="1089"/>
    </row>
    <row r="12" spans="1:17" s="1017" customFormat="1" ht="13.5">
      <c r="A12" s="1015" t="s">
        <v>2</v>
      </c>
      <c r="B12" s="1015" t="s">
        <v>3</v>
      </c>
      <c r="C12" s="1015" t="s">
        <v>4</v>
      </c>
      <c r="D12" s="1015" t="s">
        <v>5</v>
      </c>
      <c r="E12" s="1015" t="s">
        <v>6</v>
      </c>
      <c r="F12" s="1015" t="s">
        <v>156</v>
      </c>
      <c r="G12" s="1015" t="s">
        <v>1245</v>
      </c>
      <c r="H12" s="1015">
        <v>1</v>
      </c>
      <c r="I12" s="1015">
        <v>2</v>
      </c>
      <c r="J12" s="1015">
        <v>3</v>
      </c>
      <c r="K12" s="1016"/>
      <c r="L12" s="1015">
        <v>4</v>
      </c>
      <c r="M12" s="1015" t="s">
        <v>1246</v>
      </c>
      <c r="N12" s="1015" t="s">
        <v>1247</v>
      </c>
      <c r="O12" s="1015" t="s">
        <v>1248</v>
      </c>
      <c r="P12" s="1090"/>
    </row>
    <row r="13" spans="1:17" s="1017" customFormat="1" ht="21.75" customHeight="1">
      <c r="A13" s="1045" t="s">
        <v>1246</v>
      </c>
      <c r="B13" s="1046" t="s">
        <v>1288</v>
      </c>
      <c r="C13" s="1045"/>
      <c r="D13" s="1045"/>
      <c r="E13" s="1045"/>
      <c r="F13" s="1045"/>
      <c r="G13" s="1045"/>
      <c r="H13" s="1052"/>
      <c r="I13" s="1052"/>
      <c r="J13" s="1052"/>
      <c r="K13" s="1052"/>
      <c r="L13" s="1052"/>
      <c r="M13" s="1045"/>
      <c r="N13" s="1045"/>
      <c r="O13" s="1045"/>
      <c r="P13" s="1090" t="str">
        <f>IF(D13='THE-TS'!$D$11,"x","")</f>
        <v/>
      </c>
    </row>
    <row r="14" spans="1:17" ht="21.75" customHeight="1">
      <c r="A14" s="1044">
        <v>1</v>
      </c>
      <c r="B14" s="1057" t="s">
        <v>1295</v>
      </c>
      <c r="C14" s="1019">
        <v>40543</v>
      </c>
      <c r="D14" s="344" t="s">
        <v>1249</v>
      </c>
      <c r="E14" s="776" t="s">
        <v>1250</v>
      </c>
      <c r="F14" s="1059" t="s">
        <v>1323</v>
      </c>
      <c r="G14" s="1092" t="str">
        <f>RIGHT(B14,5)</f>
        <v>03/10</v>
      </c>
      <c r="H14" s="441">
        <v>1101349856</v>
      </c>
      <c r="I14" s="441">
        <v>25</v>
      </c>
      <c r="J14" s="8">
        <f>ROUND(H14/I14,0)+10</f>
        <v>44054004</v>
      </c>
      <c r="K14" s="8">
        <v>220269960</v>
      </c>
      <c r="L14" s="8">
        <f>K14+J14</f>
        <v>264323964</v>
      </c>
      <c r="M14" s="776"/>
      <c r="N14" s="776"/>
      <c r="O14" s="232"/>
      <c r="P14" s="1090" t="str">
        <f>IF(D14='THE-TS'!$D$11,"x","")</f>
        <v/>
      </c>
      <c r="Q14" s="1082">
        <f>J14/12</f>
        <v>3671167</v>
      </c>
    </row>
    <row r="15" spans="1:17" ht="21.75" customHeight="1">
      <c r="A15" s="1044">
        <v>2</v>
      </c>
      <c r="B15" s="1057" t="s">
        <v>1296</v>
      </c>
      <c r="C15" s="1019">
        <v>40543</v>
      </c>
      <c r="D15" s="344" t="s">
        <v>1251</v>
      </c>
      <c r="E15" s="776" t="s">
        <v>1250</v>
      </c>
      <c r="F15" s="1059" t="s">
        <v>1323</v>
      </c>
      <c r="G15" s="1092" t="str">
        <f t="shared" ref="G15:G32" si="0">RIGHT(B15,5)</f>
        <v>04/10</v>
      </c>
      <c r="H15" s="441">
        <v>1712810212</v>
      </c>
      <c r="I15" s="441">
        <v>5</v>
      </c>
      <c r="J15" s="8"/>
      <c r="K15" s="8">
        <v>1712810212</v>
      </c>
      <c r="L15" s="8">
        <f t="shared" ref="L15:L32" si="1">K15+J15</f>
        <v>1712810212</v>
      </c>
      <c r="M15" s="1040"/>
      <c r="N15" s="776"/>
      <c r="O15" s="232"/>
      <c r="P15" s="1090" t="str">
        <f>IF(D15='THE-TS'!$D$11,"x","")</f>
        <v/>
      </c>
      <c r="Q15" s="1082">
        <f>SUM(J15:J33)/12</f>
        <v>47128135.75</v>
      </c>
    </row>
    <row r="16" spans="1:17" ht="21.75" customHeight="1">
      <c r="A16" s="1044">
        <v>3</v>
      </c>
      <c r="B16" s="1057" t="s">
        <v>1297</v>
      </c>
      <c r="C16" s="1019">
        <v>40543</v>
      </c>
      <c r="D16" s="344" t="s">
        <v>1252</v>
      </c>
      <c r="E16" s="776" t="s">
        <v>1250</v>
      </c>
      <c r="F16" s="1059" t="s">
        <v>1323</v>
      </c>
      <c r="G16" s="1092" t="str">
        <f t="shared" si="0"/>
        <v>05/10</v>
      </c>
      <c r="H16" s="441">
        <v>4567613580</v>
      </c>
      <c r="I16" s="441">
        <v>25</v>
      </c>
      <c r="J16" s="8">
        <f>ROUND(H16/I16,0)-25</f>
        <v>182704518</v>
      </c>
      <c r="K16" s="8">
        <v>913522740</v>
      </c>
      <c r="L16" s="8">
        <f t="shared" si="1"/>
        <v>1096227258</v>
      </c>
      <c r="M16" s="776"/>
      <c r="N16" s="776"/>
      <c r="O16" s="232"/>
      <c r="P16" s="1090" t="str">
        <f>IF(D16='THE-TS'!$D$11,"x","")</f>
        <v/>
      </c>
      <c r="Q16" s="1082"/>
    </row>
    <row r="17" spans="1:17" ht="21.75" customHeight="1">
      <c r="A17" s="1044">
        <v>4</v>
      </c>
      <c r="B17" s="1058" t="s">
        <v>1298</v>
      </c>
      <c r="C17" s="1019">
        <v>41425</v>
      </c>
      <c r="D17" s="344" t="s">
        <v>1253</v>
      </c>
      <c r="E17" s="776" t="s">
        <v>1250</v>
      </c>
      <c r="F17" s="1059" t="s">
        <v>1313</v>
      </c>
      <c r="G17" s="1092" t="str">
        <f t="shared" si="0"/>
        <v>01/13</v>
      </c>
      <c r="H17" s="441">
        <v>108970000</v>
      </c>
      <c r="I17" s="1053">
        <v>5</v>
      </c>
      <c r="J17" s="8">
        <f>ROUND(H17/I17,0)-10</f>
        <v>21793990</v>
      </c>
      <c r="K17" s="8">
        <v>56301177</v>
      </c>
      <c r="L17" s="8">
        <f t="shared" si="1"/>
        <v>78095167</v>
      </c>
      <c r="M17" s="776"/>
      <c r="N17" s="776"/>
      <c r="O17" s="232"/>
      <c r="P17" s="1090" t="str">
        <f>IF(D17='THE-TS'!$D$11,"x","")</f>
        <v/>
      </c>
      <c r="Q17" s="1082"/>
    </row>
    <row r="18" spans="1:17" s="1017" customFormat="1" ht="21.75" customHeight="1">
      <c r="A18" s="1043" t="s">
        <v>1289</v>
      </c>
      <c r="B18" s="1047" t="s">
        <v>1290</v>
      </c>
      <c r="C18" s="1043"/>
      <c r="D18" s="1043"/>
      <c r="E18" s="1043"/>
      <c r="F18" s="1043"/>
      <c r="G18" s="1092"/>
      <c r="H18" s="1054"/>
      <c r="I18" s="1054"/>
      <c r="J18" s="1054"/>
      <c r="K18" s="1054"/>
      <c r="L18" s="8"/>
      <c r="M18" s="1043"/>
      <c r="N18" s="1043"/>
      <c r="O18" s="232"/>
      <c r="P18" s="1090" t="str">
        <f>IF(D18='THE-TS'!$D$11,"x","")</f>
        <v/>
      </c>
      <c r="Q18" s="1082"/>
    </row>
    <row r="19" spans="1:17" ht="21.75" customHeight="1">
      <c r="A19" s="1044">
        <v>1</v>
      </c>
      <c r="B19" s="1059" t="s">
        <v>1302</v>
      </c>
      <c r="C19" s="1019">
        <v>40543</v>
      </c>
      <c r="D19" s="344" t="s">
        <v>1257</v>
      </c>
      <c r="E19" s="776"/>
      <c r="F19" s="1059" t="s">
        <v>1323</v>
      </c>
      <c r="G19" s="1092" t="str">
        <f t="shared" si="0"/>
        <v>02/10</v>
      </c>
      <c r="H19" s="441">
        <v>210000000</v>
      </c>
      <c r="I19" s="441">
        <v>5</v>
      </c>
      <c r="J19" s="8"/>
      <c r="K19" s="8">
        <v>210000000</v>
      </c>
      <c r="L19" s="8">
        <f t="shared" si="1"/>
        <v>210000000</v>
      </c>
      <c r="M19" s="1040"/>
      <c r="N19" s="776"/>
      <c r="O19" s="232"/>
      <c r="P19" s="1090" t="str">
        <f>IF(D19='THE-TS'!$D$11,"x","")</f>
        <v/>
      </c>
      <c r="Q19" s="1082"/>
    </row>
    <row r="20" spans="1:17" ht="21.75" customHeight="1">
      <c r="A20" s="1044">
        <v>2</v>
      </c>
      <c r="B20" s="1057" t="s">
        <v>1303</v>
      </c>
      <c r="C20" s="1019">
        <v>40543</v>
      </c>
      <c r="D20" s="344" t="s">
        <v>1258</v>
      </c>
      <c r="E20" s="776" t="s">
        <v>1250</v>
      </c>
      <c r="F20" s="1059" t="s">
        <v>1323</v>
      </c>
      <c r="G20" s="1092" t="str">
        <f t="shared" si="0"/>
        <v>06/10</v>
      </c>
      <c r="H20" s="441">
        <v>2787898863</v>
      </c>
      <c r="I20" s="441">
        <v>5</v>
      </c>
      <c r="J20" s="8"/>
      <c r="K20" s="8">
        <v>2787898863</v>
      </c>
      <c r="L20" s="8">
        <f t="shared" si="1"/>
        <v>2787898863</v>
      </c>
      <c r="M20" s="1040"/>
      <c r="N20" s="776"/>
      <c r="O20" s="232"/>
      <c r="P20" s="1090" t="str">
        <f>IF(D20='THE-TS'!$D$11,"x","")</f>
        <v/>
      </c>
      <c r="Q20" s="1082"/>
    </row>
    <row r="21" spans="1:17" ht="21.75" customHeight="1">
      <c r="A21" s="1044">
        <v>3</v>
      </c>
      <c r="B21" s="1057" t="s">
        <v>1304</v>
      </c>
      <c r="C21" s="1019">
        <v>41883</v>
      </c>
      <c r="D21" s="344" t="s">
        <v>1259</v>
      </c>
      <c r="E21" s="776"/>
      <c r="F21" s="1059" t="s">
        <v>1314</v>
      </c>
      <c r="G21" s="1092" t="str">
        <f t="shared" si="0"/>
        <v>12/14</v>
      </c>
      <c r="H21" s="441">
        <v>150000000</v>
      </c>
      <c r="I21" s="1053">
        <v>3</v>
      </c>
      <c r="J21" s="8">
        <f>ROUND(H21/I21,0)-5</f>
        <v>49999995</v>
      </c>
      <c r="K21" s="8">
        <v>62500005</v>
      </c>
      <c r="L21" s="8">
        <f t="shared" si="1"/>
        <v>112500000</v>
      </c>
      <c r="M21" s="1040"/>
      <c r="N21" s="232"/>
      <c r="O21" s="232"/>
      <c r="P21" s="1090" t="str">
        <f>IF(D21='THE-TS'!$D$11,"x","")</f>
        <v/>
      </c>
      <c r="Q21" s="1082"/>
    </row>
    <row r="22" spans="1:17" ht="21.75" customHeight="1">
      <c r="A22" s="1044">
        <v>4</v>
      </c>
      <c r="B22" s="1057" t="s">
        <v>1305</v>
      </c>
      <c r="C22" s="1019">
        <v>41883</v>
      </c>
      <c r="D22" s="344" t="s">
        <v>1260</v>
      </c>
      <c r="E22" s="776"/>
      <c r="F22" s="1059" t="s">
        <v>1314</v>
      </c>
      <c r="G22" s="1092" t="str">
        <f t="shared" si="0"/>
        <v>13/14</v>
      </c>
      <c r="H22" s="441">
        <v>80000000</v>
      </c>
      <c r="I22" s="1053">
        <v>3</v>
      </c>
      <c r="J22" s="8">
        <f>ROUND(H22/I22,0)+4</f>
        <v>26666671</v>
      </c>
      <c r="K22" s="8">
        <v>33333330</v>
      </c>
      <c r="L22" s="8">
        <f t="shared" si="1"/>
        <v>60000001</v>
      </c>
      <c r="M22" s="1040"/>
      <c r="N22" s="776"/>
      <c r="O22" s="232"/>
      <c r="P22" s="1090" t="str">
        <f>IF(D22='THE-TS'!$D$11,"x","")</f>
        <v>x</v>
      </c>
      <c r="Q22" s="1082"/>
    </row>
    <row r="23" spans="1:17" ht="21.75" customHeight="1">
      <c r="A23" s="1044">
        <v>5</v>
      </c>
      <c r="B23" s="1057" t="s">
        <v>1306</v>
      </c>
      <c r="C23" s="1019">
        <v>41890</v>
      </c>
      <c r="D23" s="344" t="s">
        <v>1261</v>
      </c>
      <c r="E23" s="776"/>
      <c r="F23" s="1059" t="s">
        <v>1314</v>
      </c>
      <c r="G23" s="1092" t="str">
        <f t="shared" si="0"/>
        <v>14/14</v>
      </c>
      <c r="H23" s="441">
        <v>50000000</v>
      </c>
      <c r="I23" s="1053">
        <v>3</v>
      </c>
      <c r="J23" s="8">
        <f>ROUND(H23/I23,0)-1</f>
        <v>16666666</v>
      </c>
      <c r="K23" s="8">
        <v>20833335</v>
      </c>
      <c r="L23" s="8">
        <f t="shared" si="1"/>
        <v>37500001</v>
      </c>
      <c r="M23" s="1040"/>
      <c r="N23" s="776"/>
      <c r="O23" s="232"/>
      <c r="P23" s="1090" t="str">
        <f>IF(D23='THE-TS'!$D$11,"x","")</f>
        <v/>
      </c>
      <c r="Q23" s="1082"/>
    </row>
    <row r="24" spans="1:17" ht="21.75" customHeight="1">
      <c r="A24" s="1044">
        <v>6</v>
      </c>
      <c r="B24" s="1057" t="s">
        <v>1307</v>
      </c>
      <c r="C24" s="1019">
        <v>41890</v>
      </c>
      <c r="D24" s="344" t="s">
        <v>1262</v>
      </c>
      <c r="E24" s="776"/>
      <c r="F24" s="1059" t="s">
        <v>1314</v>
      </c>
      <c r="G24" s="1092" t="str">
        <f t="shared" si="0"/>
        <v>15/14</v>
      </c>
      <c r="H24" s="441">
        <v>100000000</v>
      </c>
      <c r="I24" s="1053">
        <v>5</v>
      </c>
      <c r="J24" s="8">
        <f>ROUND(H24/I24,0)-5</f>
        <v>19999995</v>
      </c>
      <c r="K24" s="8">
        <v>25000005</v>
      </c>
      <c r="L24" s="8">
        <f t="shared" si="1"/>
        <v>45000000</v>
      </c>
      <c r="M24" s="1040"/>
      <c r="N24" s="776"/>
      <c r="O24" s="232"/>
      <c r="P24" s="1090" t="str">
        <f>IF(D24='THE-TS'!$D$11,"x","")</f>
        <v/>
      </c>
      <c r="Q24" s="1082"/>
    </row>
    <row r="25" spans="1:17" ht="21.75" customHeight="1">
      <c r="A25" s="1044">
        <v>7</v>
      </c>
      <c r="B25" s="1057" t="s">
        <v>1308</v>
      </c>
      <c r="C25" s="1019">
        <v>41890</v>
      </c>
      <c r="D25" s="344" t="s">
        <v>1263</v>
      </c>
      <c r="E25" s="776"/>
      <c r="F25" s="1059" t="s">
        <v>1314</v>
      </c>
      <c r="G25" s="1092" t="str">
        <f t="shared" si="0"/>
        <v>16/14</v>
      </c>
      <c r="H25" s="441">
        <v>100000000</v>
      </c>
      <c r="I25" s="1053">
        <v>5</v>
      </c>
      <c r="J25" s="8">
        <f>ROUND(H25/I25,0)-5</f>
        <v>19999995</v>
      </c>
      <c r="K25" s="8">
        <v>25000005</v>
      </c>
      <c r="L25" s="8">
        <f t="shared" si="1"/>
        <v>45000000</v>
      </c>
      <c r="M25" s="1040"/>
      <c r="N25" s="776"/>
      <c r="O25" s="232"/>
      <c r="P25" s="1090" t="str">
        <f>IF(D25='THE-TS'!$D$11,"x","")</f>
        <v/>
      </c>
      <c r="Q25" s="1082"/>
    </row>
    <row r="26" spans="1:17" ht="21.75" customHeight="1">
      <c r="A26" s="1044">
        <v>8</v>
      </c>
      <c r="B26" s="1057" t="s">
        <v>1309</v>
      </c>
      <c r="C26" s="1019">
        <v>41890</v>
      </c>
      <c r="D26" s="344" t="s">
        <v>1264</v>
      </c>
      <c r="E26" s="776"/>
      <c r="F26" s="1059" t="s">
        <v>1314</v>
      </c>
      <c r="G26" s="1092" t="str">
        <f t="shared" si="0"/>
        <v>17/14</v>
      </c>
      <c r="H26" s="441">
        <v>110000000</v>
      </c>
      <c r="I26" s="1053">
        <v>5</v>
      </c>
      <c r="J26" s="8">
        <f>ROUND(H26/I26,0)+5</f>
        <v>22000005</v>
      </c>
      <c r="K26" s="8">
        <f>27499995</f>
        <v>27499995</v>
      </c>
      <c r="L26" s="8">
        <f t="shared" si="1"/>
        <v>49500000</v>
      </c>
      <c r="M26" s="1040"/>
      <c r="N26" s="776"/>
      <c r="O26" s="232"/>
      <c r="P26" s="1090" t="str">
        <f>IF(D26='THE-TS'!$D$11,"x","")</f>
        <v/>
      </c>
      <c r="Q26" s="1082"/>
    </row>
    <row r="27" spans="1:17" ht="21.75" customHeight="1">
      <c r="A27" s="1044">
        <v>8</v>
      </c>
      <c r="B27" s="1057" t="s">
        <v>1309</v>
      </c>
      <c r="C27" s="1019">
        <v>41890</v>
      </c>
      <c r="D27" s="344" t="s">
        <v>1264</v>
      </c>
      <c r="E27" s="776"/>
      <c r="F27" s="1059" t="s">
        <v>1314</v>
      </c>
      <c r="G27" s="1092" t="str">
        <f>RIGHT(B27,5)</f>
        <v>17/14</v>
      </c>
      <c r="H27" s="441">
        <v>110000000</v>
      </c>
      <c r="I27" s="1053">
        <v>5</v>
      </c>
      <c r="J27" s="8">
        <f>ROUND(H27/I27,0)+5</f>
        <v>22000005</v>
      </c>
      <c r="K27" s="8">
        <f>27499995</f>
        <v>27499995</v>
      </c>
      <c r="L27" s="8">
        <f>K27+J27</f>
        <v>49500000</v>
      </c>
      <c r="M27" s="1040"/>
      <c r="N27" s="776"/>
      <c r="O27" s="232"/>
      <c r="P27" s="1090" t="str">
        <f>IF(D27='THE-TS'!$D$11,"x","")</f>
        <v/>
      </c>
      <c r="Q27" s="1082"/>
    </row>
    <row r="28" spans="1:17" ht="21.75" customHeight="1">
      <c r="A28" s="1044">
        <v>8</v>
      </c>
      <c r="B28" s="1057" t="s">
        <v>1309</v>
      </c>
      <c r="C28" s="1019">
        <v>41890</v>
      </c>
      <c r="D28" s="344" t="s">
        <v>1264</v>
      </c>
      <c r="E28" s="776"/>
      <c r="F28" s="1059" t="s">
        <v>1314</v>
      </c>
      <c r="G28" s="1092" t="str">
        <f t="shared" si="0"/>
        <v>17/14</v>
      </c>
      <c r="H28" s="441">
        <v>110000000</v>
      </c>
      <c r="I28" s="1053">
        <v>5</v>
      </c>
      <c r="J28" s="8">
        <f>ROUND(H28/I28,0)+5</f>
        <v>22000005</v>
      </c>
      <c r="K28" s="8">
        <f>27499995</f>
        <v>27499995</v>
      </c>
      <c r="L28" s="8">
        <f t="shared" si="1"/>
        <v>49500000</v>
      </c>
      <c r="M28" s="1040"/>
      <c r="N28" s="776"/>
      <c r="O28" s="232"/>
      <c r="P28" s="1090" t="str">
        <f>IF(D28='THE-TS'!$D$11,"x","")</f>
        <v/>
      </c>
      <c r="Q28" s="1082"/>
    </row>
    <row r="29" spans="1:17" s="1017" customFormat="1" ht="21.75" customHeight="1">
      <c r="A29" s="1043" t="s">
        <v>1291</v>
      </c>
      <c r="B29" s="1047" t="s">
        <v>1292</v>
      </c>
      <c r="C29" s="1043"/>
      <c r="D29" s="1043"/>
      <c r="E29" s="1043"/>
      <c r="F29" s="1043"/>
      <c r="G29" s="1092"/>
      <c r="H29" s="1054"/>
      <c r="I29" s="1054"/>
      <c r="J29" s="8"/>
      <c r="K29" s="1054"/>
      <c r="L29" s="8"/>
      <c r="M29" s="1043"/>
      <c r="N29" s="1043"/>
      <c r="O29" s="232"/>
      <c r="P29" s="1090" t="str">
        <f>IF(D29='THE-TS'!$D$11,"x","")</f>
        <v/>
      </c>
      <c r="Q29" s="1082"/>
    </row>
    <row r="30" spans="1:17" ht="21.75" customHeight="1">
      <c r="A30" s="1044">
        <v>1</v>
      </c>
      <c r="B30" s="1059" t="s">
        <v>1299</v>
      </c>
      <c r="C30" s="1019">
        <v>40543</v>
      </c>
      <c r="D30" s="344" t="s">
        <v>1265</v>
      </c>
      <c r="E30" s="776" t="s">
        <v>1250</v>
      </c>
      <c r="F30" s="1059" t="s">
        <v>1323</v>
      </c>
      <c r="G30" s="1092" t="str">
        <f t="shared" si="0"/>
        <v>07/10</v>
      </c>
      <c r="H30" s="441">
        <v>2173860839</v>
      </c>
      <c r="I30" s="441">
        <v>5</v>
      </c>
      <c r="J30" s="8"/>
      <c r="K30" s="8">
        <v>2173860839</v>
      </c>
      <c r="L30" s="8">
        <f t="shared" si="1"/>
        <v>2173860839</v>
      </c>
      <c r="M30" s="776"/>
      <c r="N30" s="776"/>
      <c r="O30" s="232"/>
      <c r="P30" s="1090" t="str">
        <f>IF(D30='THE-TS'!$D$11,"x","")</f>
        <v/>
      </c>
      <c r="Q30" s="1082"/>
    </row>
    <row r="31" spans="1:17" ht="21.75" customHeight="1">
      <c r="A31" s="1044">
        <v>2</v>
      </c>
      <c r="B31" s="1059" t="s">
        <v>1300</v>
      </c>
      <c r="C31" s="1019">
        <v>40543</v>
      </c>
      <c r="D31" s="344" t="s">
        <v>1266</v>
      </c>
      <c r="E31" s="776" t="s">
        <v>1250</v>
      </c>
      <c r="F31" s="1059" t="s">
        <v>1323</v>
      </c>
      <c r="G31" s="1092" t="str">
        <f t="shared" si="0"/>
        <v>08/10</v>
      </c>
      <c r="H31" s="441">
        <v>1303180703</v>
      </c>
      <c r="I31" s="441">
        <v>10</v>
      </c>
      <c r="J31" s="8">
        <f>ROUND(H31/I31,0)+10</f>
        <v>130318080</v>
      </c>
      <c r="K31" s="8">
        <v>651590340</v>
      </c>
      <c r="L31" s="8">
        <f t="shared" si="1"/>
        <v>781908420</v>
      </c>
      <c r="M31" s="776"/>
      <c r="N31" s="776"/>
      <c r="O31" s="232"/>
      <c r="P31" s="1090" t="str">
        <f>IF(D31='THE-TS'!$D$11,"x","")</f>
        <v/>
      </c>
      <c r="Q31" s="1082"/>
    </row>
    <row r="32" spans="1:17" ht="21.75" customHeight="1">
      <c r="A32" s="1044">
        <v>3</v>
      </c>
      <c r="B32" s="1059" t="s">
        <v>1301</v>
      </c>
      <c r="C32" s="1019">
        <v>40543</v>
      </c>
      <c r="D32" s="344" t="s">
        <v>1267</v>
      </c>
      <c r="E32" s="776" t="s">
        <v>1250</v>
      </c>
      <c r="F32" s="1059" t="s">
        <v>1323</v>
      </c>
      <c r="G32" s="1092" t="str">
        <f t="shared" si="0"/>
        <v>09/10</v>
      </c>
      <c r="H32" s="441">
        <v>313876943</v>
      </c>
      <c r="I32" s="441">
        <v>10</v>
      </c>
      <c r="J32" s="8">
        <f>ROUND(H32/I32,0)+10</f>
        <v>31387704</v>
      </c>
      <c r="K32" s="8">
        <v>156938460</v>
      </c>
      <c r="L32" s="8">
        <f t="shared" si="1"/>
        <v>188326164</v>
      </c>
      <c r="M32" s="776"/>
      <c r="N32" s="776"/>
      <c r="O32" s="232"/>
      <c r="P32" s="1090" t="str">
        <f>IF(D32='THE-TS'!$D$11,"x","")</f>
        <v/>
      </c>
      <c r="Q32" s="1082"/>
    </row>
    <row r="33" spans="1:16" ht="21.75" customHeight="1">
      <c r="A33" s="1022"/>
      <c r="B33" s="1048"/>
      <c r="C33" s="1049"/>
      <c r="D33" s="1050"/>
      <c r="E33" s="1023"/>
      <c r="F33" s="1049"/>
      <c r="G33" s="1048"/>
      <c r="H33" s="1055"/>
      <c r="I33" s="1055"/>
      <c r="J33" s="524"/>
      <c r="K33" s="524"/>
      <c r="L33" s="524"/>
      <c r="M33" s="1023"/>
      <c r="N33" s="1023"/>
      <c r="O33" s="1023"/>
      <c r="P33" s="1090" t="str">
        <f>IF(D33='THE-TS'!$D$11,"x","")</f>
        <v/>
      </c>
    </row>
    <row r="34" spans="1:16" s="1029" customFormat="1" ht="21.75" customHeight="1">
      <c r="A34" s="1026"/>
      <c r="B34" s="1027"/>
      <c r="C34" s="1026"/>
      <c r="D34" s="1026" t="s">
        <v>1254</v>
      </c>
      <c r="E34" s="1026" t="s">
        <v>21</v>
      </c>
      <c r="F34" s="1026" t="s">
        <v>21</v>
      </c>
      <c r="G34" s="1026" t="s">
        <v>21</v>
      </c>
      <c r="H34" s="1056">
        <f>SUM(H13:H33)</f>
        <v>15089560996</v>
      </c>
      <c r="I34" s="1056"/>
      <c r="J34" s="1056">
        <f>SUM(J13:J33)</f>
        <v>609591633</v>
      </c>
      <c r="K34" s="1056">
        <f>SUM(K13:K33)</f>
        <v>9132359256</v>
      </c>
      <c r="L34" s="1056">
        <f>SUM(L13:L33)</f>
        <v>9741950889</v>
      </c>
      <c r="M34" s="1026" t="s">
        <v>21</v>
      </c>
      <c r="N34" s="1026" t="s">
        <v>21</v>
      </c>
      <c r="O34" s="1026" t="s">
        <v>21</v>
      </c>
      <c r="P34" s="1090" t="str">
        <f>IF(D34='THE-TS'!$D$11,"x","")</f>
        <v/>
      </c>
    </row>
    <row r="35" spans="1:16" ht="6.75" customHeight="1">
      <c r="A35" s="810"/>
      <c r="B35" s="810"/>
      <c r="C35" s="1030"/>
      <c r="D35" s="810"/>
      <c r="E35" s="1030"/>
      <c r="F35" s="1030"/>
      <c r="G35" s="1030"/>
      <c r="H35" s="810"/>
      <c r="I35" s="810"/>
      <c r="J35" s="810"/>
      <c r="K35" s="1031"/>
      <c r="L35" s="810"/>
      <c r="M35" s="810"/>
      <c r="N35" s="810"/>
      <c r="O35" s="810"/>
      <c r="P35" s="1090" t="str">
        <f>IF(D35='THE-TS'!$D$11,"x","")</f>
        <v/>
      </c>
    </row>
    <row r="36" spans="1:16" ht="13.5" customHeight="1">
      <c r="A36" s="810"/>
      <c r="B36" s="810"/>
      <c r="C36" s="1030"/>
      <c r="D36" s="810" t="s">
        <v>1255</v>
      </c>
      <c r="E36" s="810"/>
      <c r="F36" s="1030"/>
      <c r="G36" s="810"/>
      <c r="H36" s="1008"/>
      <c r="I36" s="1008"/>
      <c r="J36" s="1099"/>
      <c r="L36" s="1008"/>
      <c r="M36" s="810"/>
      <c r="N36" s="810"/>
      <c r="O36" s="810"/>
      <c r="P36" s="1090" t="str">
        <f>IF(D36='THE-TS'!$D$11,"x","")</f>
        <v/>
      </c>
    </row>
    <row r="37" spans="1:16" ht="13.5" customHeight="1">
      <c r="A37" s="810"/>
      <c r="B37" s="810"/>
      <c r="C37" s="1030"/>
      <c r="D37" s="810" t="s">
        <v>1286</v>
      </c>
      <c r="E37" s="810"/>
      <c r="F37" s="1030"/>
      <c r="G37" s="810"/>
      <c r="H37" s="1041"/>
      <c r="I37" s="810"/>
      <c r="J37" s="1051"/>
      <c r="K37" s="1031"/>
      <c r="L37" s="810"/>
      <c r="M37" s="810"/>
      <c r="N37" s="810"/>
      <c r="O37" s="810"/>
      <c r="P37" s="1090" t="str">
        <f>IF(D37='THE-TS'!$D$11,"x","")</f>
        <v/>
      </c>
    </row>
    <row r="38" spans="1:16" ht="13.5" customHeight="1">
      <c r="K38" s="1032"/>
      <c r="L38" s="1011" t="s">
        <v>1287</v>
      </c>
      <c r="P38" s="1090" t="str">
        <f>IF(D38='THE-TS'!$D$11,"x","")</f>
        <v/>
      </c>
    </row>
    <row r="39" spans="1:16" ht="13.5" customHeight="1">
      <c r="B39" s="1007"/>
      <c r="D39" s="1007" t="s">
        <v>11</v>
      </c>
      <c r="F39" s="1007" t="s">
        <v>1256</v>
      </c>
      <c r="I39" s="1033"/>
      <c r="K39" s="1030"/>
      <c r="L39" s="1030" t="s">
        <v>131</v>
      </c>
      <c r="P39" s="1090" t="str">
        <f>IF(D39='THE-TS'!$D$11,"x","")</f>
        <v/>
      </c>
    </row>
    <row r="40" spans="1:16" ht="13.5" customHeight="1">
      <c r="B40" s="1007"/>
      <c r="D40" s="1007"/>
      <c r="P40" s="1090" t="str">
        <f>IF(D40='THE-TS'!$D$11,"x","")</f>
        <v/>
      </c>
    </row>
    <row r="41" spans="1:16" ht="13.5" customHeight="1">
      <c r="H41" s="1034"/>
      <c r="J41" s="1034"/>
      <c r="L41" s="1034"/>
      <c r="P41" s="1090" t="str">
        <f>IF(D41='THE-TS'!$D$11,"x","")</f>
        <v/>
      </c>
    </row>
    <row r="42" spans="1:16" ht="13.5" customHeight="1">
      <c r="H42" s="1035"/>
      <c r="P42" s="1090" t="str">
        <f>IF(D42='THE-TS'!$D$11,"x","")</f>
        <v/>
      </c>
    </row>
    <row r="43" spans="1:16" ht="13.5" customHeight="1">
      <c r="H43" s="1035"/>
      <c r="J43" s="1034"/>
      <c r="P43" s="1090" t="str">
        <f>IF(D43='THE-TS'!$D$11,"x","")</f>
        <v/>
      </c>
    </row>
    <row r="44" spans="1:16" ht="13.5" customHeight="1">
      <c r="H44" s="1035"/>
      <c r="P44" s="1090" t="str">
        <f>IF(D44='THE-TS'!$D$11,"x","")</f>
        <v/>
      </c>
    </row>
    <row r="45" spans="1:16" ht="13.5" customHeight="1">
      <c r="H45" s="1035"/>
      <c r="P45" s="1090" t="str">
        <f>IF(D45='THE-TS'!$D$11,"x","")</f>
        <v/>
      </c>
    </row>
    <row r="46" spans="1:16" s="1036" customFormat="1" ht="13.5" customHeight="1">
      <c r="C46" s="1037"/>
      <c r="D46" s="1037" t="s">
        <v>229</v>
      </c>
      <c r="F46" s="1037"/>
      <c r="H46" s="1038"/>
      <c r="K46" s="1039"/>
      <c r="L46" s="1036" t="s">
        <v>125</v>
      </c>
      <c r="P46" s="1090" t="str">
        <f>IF(D46='THE-TS'!$D$11,"x","")</f>
        <v/>
      </c>
    </row>
    <row r="47" spans="1:16" ht="13.5">
      <c r="P47" s="1090" t="str">
        <f>IF(D47='THE-TS'!$D$11,"x","")</f>
        <v/>
      </c>
    </row>
    <row r="48" spans="1:16" ht="13.5" customHeight="1">
      <c r="H48" s="1035"/>
      <c r="P48" s="1090" t="str">
        <f>IF(D48='THE-TS'!$D$11,"x","")</f>
        <v/>
      </c>
    </row>
    <row r="49" spans="1:17" ht="13.5">
      <c r="P49" s="1090" t="str">
        <f>IF(D49='THE-TS'!$D$11,"x","")</f>
        <v/>
      </c>
    </row>
    <row r="50" spans="1:17" ht="13.5">
      <c r="P50" s="1090" t="str">
        <f>IF(D50='THE-TS'!$D$11,"x","")</f>
        <v/>
      </c>
    </row>
    <row r="51" spans="1:17" ht="13.5">
      <c r="P51" s="1090" t="str">
        <f>IF(D51='THE-TS'!$D$11,"x","")</f>
        <v/>
      </c>
    </row>
    <row r="52" spans="1:17" ht="13.5">
      <c r="A52" s="1005" t="s">
        <v>1225</v>
      </c>
      <c r="L52" s="1009"/>
      <c r="M52" s="1009"/>
      <c r="N52" s="1010" t="s">
        <v>1226</v>
      </c>
      <c r="O52" s="1009"/>
      <c r="P52" s="1090" t="str">
        <f>IF(D52='THE-TS'!$D$11,"x","")</f>
        <v/>
      </c>
    </row>
    <row r="53" spans="1:17" ht="13.5">
      <c r="A53" s="1005" t="s">
        <v>1227</v>
      </c>
      <c r="L53" s="1008"/>
      <c r="M53" s="1008"/>
      <c r="N53" s="1011" t="s">
        <v>319</v>
      </c>
      <c r="O53" s="1008"/>
      <c r="P53" s="1090" t="str">
        <f>IF(D53='THE-TS'!$D$11,"x","")</f>
        <v/>
      </c>
    </row>
    <row r="54" spans="1:17" ht="13.5">
      <c r="L54" s="1008"/>
      <c r="M54" s="1008"/>
      <c r="N54" s="1011" t="s">
        <v>237</v>
      </c>
      <c r="O54" s="1008"/>
      <c r="P54" s="1090" t="str">
        <f>IF(D54='THE-TS'!$D$11,"x","")</f>
        <v/>
      </c>
    </row>
    <row r="55" spans="1:17" ht="13.5">
      <c r="P55" s="1090" t="str">
        <f>IF(D55='THE-TS'!$D$11,"x","")</f>
        <v/>
      </c>
    </row>
    <row r="56" spans="1:17" s="1101" customFormat="1" ht="28.5" customHeight="1">
      <c r="A56" s="1446" t="s">
        <v>1228</v>
      </c>
      <c r="B56" s="1446"/>
      <c r="C56" s="1446"/>
      <c r="D56" s="1446"/>
      <c r="E56" s="1446"/>
      <c r="F56" s="1446"/>
      <c r="G56" s="1446"/>
      <c r="H56" s="1446"/>
      <c r="I56" s="1446"/>
      <c r="J56" s="1446"/>
      <c r="K56" s="1446"/>
      <c r="L56" s="1446"/>
      <c r="M56" s="1446"/>
      <c r="N56" s="1446"/>
      <c r="O56" s="1446"/>
      <c r="P56" s="1100" t="str">
        <f>IF(D56='THE-TS'!$D$11,"x","")</f>
        <v/>
      </c>
    </row>
    <row r="57" spans="1:17" s="1012" customFormat="1" ht="19.5" customHeight="1">
      <c r="A57" s="1447" t="s">
        <v>1285</v>
      </c>
      <c r="B57" s="1447"/>
      <c r="C57" s="1447"/>
      <c r="D57" s="1447"/>
      <c r="E57" s="1447"/>
      <c r="F57" s="1447"/>
      <c r="G57" s="1447"/>
      <c r="H57" s="1447"/>
      <c r="I57" s="1447"/>
      <c r="J57" s="1447"/>
      <c r="K57" s="1447"/>
      <c r="L57" s="1447"/>
      <c r="M57" s="1447"/>
      <c r="N57" s="1447"/>
      <c r="O57" s="1447"/>
      <c r="P57" s="1090" t="str">
        <f>IF(D57='THE-TS'!$D$11,"x","")</f>
        <v/>
      </c>
    </row>
    <row r="58" spans="1:17" s="1012" customFormat="1" ht="19.5" customHeight="1">
      <c r="A58" s="1448" t="s">
        <v>1294</v>
      </c>
      <c r="B58" s="1448"/>
      <c r="C58" s="1448"/>
      <c r="D58" s="1448"/>
      <c r="E58" s="1448"/>
      <c r="F58" s="1448"/>
      <c r="G58" s="1448"/>
      <c r="H58" s="1448"/>
      <c r="I58" s="1448"/>
      <c r="J58" s="1448"/>
      <c r="K58" s="1448"/>
      <c r="L58" s="1448"/>
      <c r="M58" s="1448"/>
      <c r="N58" s="1448"/>
      <c r="O58" s="1448"/>
      <c r="P58" s="1090" t="str">
        <f>IF(D58='THE-TS'!$D$11,"x","")</f>
        <v/>
      </c>
    </row>
    <row r="59" spans="1:17" ht="13.5">
      <c r="D59" s="1007"/>
      <c r="P59" s="1090" t="str">
        <f>IF(D59='THE-TS'!$D$11,"x","")</f>
        <v/>
      </c>
    </row>
    <row r="60" spans="1:17" s="1013" customFormat="1" ht="17.25" customHeight="1">
      <c r="A60" s="1437" t="s">
        <v>500</v>
      </c>
      <c r="B60" s="1440" t="s">
        <v>1229</v>
      </c>
      <c r="C60" s="1441"/>
      <c r="D60" s="1441"/>
      <c r="E60" s="1441"/>
      <c r="F60" s="1441"/>
      <c r="G60" s="1441"/>
      <c r="H60" s="1442"/>
      <c r="I60" s="1440" t="s">
        <v>1230</v>
      </c>
      <c r="J60" s="1441"/>
      <c r="K60" s="1441"/>
      <c r="L60" s="1442"/>
      <c r="M60" s="1443" t="s">
        <v>1231</v>
      </c>
      <c r="N60" s="1443"/>
      <c r="O60" s="1443"/>
      <c r="P60" s="1090" t="str">
        <f>IF(D60='THE-TS'!$D$11,"x","")</f>
        <v/>
      </c>
    </row>
    <row r="61" spans="1:17" s="1013" customFormat="1" ht="17.25" customHeight="1">
      <c r="A61" s="1438"/>
      <c r="B61" s="1440" t="s">
        <v>1232</v>
      </c>
      <c r="C61" s="1442"/>
      <c r="D61" s="1437" t="s">
        <v>1233</v>
      </c>
      <c r="E61" s="1437" t="s">
        <v>1234</v>
      </c>
      <c r="F61" s="1437" t="s">
        <v>1235</v>
      </c>
      <c r="G61" s="1437" t="s">
        <v>1236</v>
      </c>
      <c r="H61" s="1437" t="s">
        <v>1237</v>
      </c>
      <c r="I61" s="1440" t="s">
        <v>1238</v>
      </c>
      <c r="J61" s="1442"/>
      <c r="K61" s="1444" t="s">
        <v>1239</v>
      </c>
      <c r="L61" s="1437" t="s">
        <v>1240</v>
      </c>
      <c r="M61" s="1443" t="s">
        <v>1232</v>
      </c>
      <c r="N61" s="1443"/>
      <c r="O61" s="1443" t="s">
        <v>1241</v>
      </c>
      <c r="P61" s="1090" t="str">
        <f>IF(D61='THE-TS'!$D$11,"x","")</f>
        <v/>
      </c>
    </row>
    <row r="62" spans="1:17" s="1013" customFormat="1" ht="55.5" customHeight="1">
      <c r="A62" s="1439"/>
      <c r="B62" s="1014" t="s">
        <v>1242</v>
      </c>
      <c r="C62" s="1014" t="s">
        <v>501</v>
      </c>
      <c r="D62" s="1439"/>
      <c r="E62" s="1439"/>
      <c r="F62" s="1439"/>
      <c r="G62" s="1439"/>
      <c r="H62" s="1439"/>
      <c r="I62" s="1014" t="s">
        <v>1243</v>
      </c>
      <c r="J62" s="1014" t="s">
        <v>1244</v>
      </c>
      <c r="K62" s="1445"/>
      <c r="L62" s="1439"/>
      <c r="M62" s="1014" t="s">
        <v>17</v>
      </c>
      <c r="N62" s="1014" t="s">
        <v>501</v>
      </c>
      <c r="O62" s="1443"/>
      <c r="P62" s="1090" t="str">
        <f>IF(D62='THE-TS'!$D$11,"x","")</f>
        <v/>
      </c>
    </row>
    <row r="63" spans="1:17" s="1017" customFormat="1" ht="13.5">
      <c r="A63" s="1015" t="s">
        <v>2</v>
      </c>
      <c r="B63" s="1015" t="s">
        <v>3</v>
      </c>
      <c r="C63" s="1015" t="s">
        <v>4</v>
      </c>
      <c r="D63" s="1015" t="s">
        <v>5</v>
      </c>
      <c r="E63" s="1015" t="s">
        <v>6</v>
      </c>
      <c r="F63" s="1015" t="s">
        <v>156</v>
      </c>
      <c r="G63" s="1015" t="s">
        <v>1245</v>
      </c>
      <c r="H63" s="1015">
        <v>1</v>
      </c>
      <c r="I63" s="1015">
        <v>2</v>
      </c>
      <c r="J63" s="1015">
        <v>3</v>
      </c>
      <c r="K63" s="1016"/>
      <c r="L63" s="1015">
        <v>4</v>
      </c>
      <c r="M63" s="1015" t="s">
        <v>1246</v>
      </c>
      <c r="N63" s="1015" t="s">
        <v>1247</v>
      </c>
      <c r="O63" s="1015" t="s">
        <v>1248</v>
      </c>
      <c r="P63" s="1090" t="str">
        <f>IF(D63='THE-TS'!$D$11,"x","")</f>
        <v/>
      </c>
    </row>
    <row r="64" spans="1:17" ht="15.75" customHeight="1">
      <c r="A64" s="1018">
        <v>1</v>
      </c>
      <c r="B64" s="1057" t="s">
        <v>1317</v>
      </c>
      <c r="C64" s="1019">
        <v>40543</v>
      </c>
      <c r="D64" s="344" t="s">
        <v>1268</v>
      </c>
      <c r="E64" s="771"/>
      <c r="F64" s="1059" t="s">
        <v>1323</v>
      </c>
      <c r="G64" s="1092" t="str">
        <f>RIGHT(B64,5)</f>
        <v>10/10</v>
      </c>
      <c r="H64" s="344">
        <v>5405781300</v>
      </c>
      <c r="I64" s="1021">
        <v>45</v>
      </c>
      <c r="J64" s="8">
        <f>ROUND(H64/I64,0)+5</f>
        <v>120128478</v>
      </c>
      <c r="K64" s="1020">
        <v>600642360</v>
      </c>
      <c r="L64" s="1020">
        <f>K64+J64</f>
        <v>720770838</v>
      </c>
      <c r="M64" s="771"/>
      <c r="N64" s="771"/>
      <c r="O64" s="232"/>
      <c r="P64" s="1090" t="str">
        <f>IF(D64='THE-TS'!$D$11,"x","")</f>
        <v/>
      </c>
      <c r="Q64" s="1082"/>
    </row>
    <row r="65" spans="1:16" ht="15.75" customHeight="1">
      <c r="A65" s="1022"/>
      <c r="B65" s="1023"/>
      <c r="C65" s="1022"/>
      <c r="D65" s="1023"/>
      <c r="E65" s="1023"/>
      <c r="F65" s="1022"/>
      <c r="G65" s="1023"/>
      <c r="H65" s="1023"/>
      <c r="I65" s="1024"/>
      <c r="J65" s="1023"/>
      <c r="K65" s="1025"/>
      <c r="L65" s="1023"/>
      <c r="M65" s="1023"/>
      <c r="N65" s="1023"/>
      <c r="O65" s="1023"/>
      <c r="P65" s="1090" t="str">
        <f>IF(D65='THE-TS'!$D$11,"x","")</f>
        <v/>
      </c>
    </row>
    <row r="66" spans="1:16" s="1029" customFormat="1" ht="15.75" customHeight="1">
      <c r="A66" s="1026"/>
      <c r="B66" s="1027"/>
      <c r="C66" s="1026"/>
      <c r="D66" s="1026" t="s">
        <v>1254</v>
      </c>
      <c r="E66" s="1027"/>
      <c r="F66" s="1026"/>
      <c r="G66" s="1027"/>
      <c r="H66" s="1028">
        <f>SUM(H64:H65)</f>
        <v>5405781300</v>
      </c>
      <c r="I66" s="1028"/>
      <c r="J66" s="1028">
        <f>SUM(J64:J65)</f>
        <v>120128478</v>
      </c>
      <c r="K66" s="1028">
        <f>SUM(K64:K65)</f>
        <v>600642360</v>
      </c>
      <c r="L66" s="1028">
        <f>SUM(L64:L65)</f>
        <v>720770838</v>
      </c>
      <c r="M66" s="1027"/>
      <c r="N66" s="1027"/>
      <c r="O66" s="1027"/>
      <c r="P66" s="1090" t="str">
        <f>IF(D66='THE-TS'!$D$11,"x","")</f>
        <v/>
      </c>
    </row>
    <row r="67" spans="1:16" ht="6.75" customHeight="1">
      <c r="A67" s="810"/>
      <c r="B67" s="810"/>
      <c r="C67" s="1030"/>
      <c r="D67" s="810"/>
      <c r="E67" s="810"/>
      <c r="F67" s="1030"/>
      <c r="G67" s="810"/>
      <c r="H67" s="810"/>
      <c r="I67" s="810"/>
      <c r="J67" s="810"/>
      <c r="K67" s="1031"/>
      <c r="L67" s="810"/>
      <c r="M67" s="810"/>
      <c r="N67" s="810"/>
      <c r="O67" s="810"/>
    </row>
    <row r="68" spans="1:16">
      <c r="A68" s="810"/>
      <c r="B68" s="810"/>
      <c r="C68" s="1030"/>
      <c r="D68" s="810" t="s">
        <v>1255</v>
      </c>
      <c r="E68" s="810"/>
      <c r="F68" s="1030"/>
      <c r="G68" s="810"/>
      <c r="H68" s="810"/>
      <c r="I68" s="810"/>
      <c r="J68" s="810"/>
      <c r="K68" s="1031"/>
      <c r="L68" s="810"/>
      <c r="M68" s="810"/>
      <c r="N68" s="810"/>
      <c r="O68" s="810"/>
    </row>
    <row r="69" spans="1:16">
      <c r="A69" s="810"/>
      <c r="B69" s="810"/>
      <c r="C69" s="1030"/>
      <c r="D69" s="810" t="s">
        <v>1286</v>
      </c>
      <c r="E69" s="810"/>
      <c r="F69" s="1030"/>
      <c r="G69" s="810"/>
      <c r="I69" s="810"/>
      <c r="J69" s="810"/>
      <c r="K69" s="1031"/>
      <c r="L69" s="810"/>
      <c r="M69" s="810"/>
      <c r="N69" s="810"/>
      <c r="O69" s="810"/>
    </row>
    <row r="70" spans="1:16">
      <c r="K70" s="1011"/>
      <c r="L70" s="1011" t="s">
        <v>1287</v>
      </c>
    </row>
    <row r="71" spans="1:16" ht="16.5" customHeight="1">
      <c r="B71" s="1007"/>
      <c r="D71" s="1007" t="s">
        <v>11</v>
      </c>
      <c r="F71" s="1007" t="s">
        <v>1256</v>
      </c>
      <c r="I71" s="1033"/>
      <c r="K71" s="1030"/>
      <c r="L71" s="1030" t="s">
        <v>131</v>
      </c>
    </row>
    <row r="74" spans="1:16">
      <c r="L74" s="1034"/>
    </row>
    <row r="75" spans="1:16">
      <c r="D75" s="1034"/>
    </row>
    <row r="76" spans="1:16">
      <c r="D76" s="1008"/>
      <c r="L76" s="1034"/>
    </row>
    <row r="77" spans="1:16">
      <c r="D77" s="1041"/>
      <c r="L77" s="1034"/>
    </row>
    <row r="78" spans="1:16" s="1036" customFormat="1" ht="13.5" customHeight="1">
      <c r="C78" s="1037"/>
      <c r="D78" s="1037" t="s">
        <v>229</v>
      </c>
      <c r="F78" s="1037"/>
      <c r="H78" s="1038"/>
      <c r="K78" s="1039"/>
      <c r="L78" s="1036" t="s">
        <v>125</v>
      </c>
      <c r="P78" s="1091"/>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6:O56"/>
    <mergeCell ref="A57:O57"/>
    <mergeCell ref="A58:O58"/>
    <mergeCell ref="A60:A62"/>
    <mergeCell ref="B60:H60"/>
    <mergeCell ref="I60:L60"/>
    <mergeCell ref="M60:O60"/>
    <mergeCell ref="B61:C61"/>
    <mergeCell ref="D61:D62"/>
    <mergeCell ref="E61:E62"/>
    <mergeCell ref="M61:N61"/>
    <mergeCell ref="O61:O62"/>
    <mergeCell ref="F61:F62"/>
    <mergeCell ref="G61:G62"/>
    <mergeCell ref="H61:H62"/>
    <mergeCell ref="I61:J61"/>
    <mergeCell ref="K61:K62"/>
    <mergeCell ref="L61:L62"/>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K13" sqref="K13"/>
    </sheetView>
  </sheetViews>
  <sheetFormatPr defaultRowHeight="12.75"/>
  <cols>
    <col min="1" max="1" width="5" style="1061" customWidth="1"/>
    <col min="2" max="2" width="10.140625" style="1061" customWidth="1"/>
    <col min="3" max="3" width="11.5703125" style="1061" customWidth="1"/>
    <col min="4" max="4" width="28.7109375" style="1061" customWidth="1"/>
    <col min="5" max="5" width="13.28515625" style="1061" customWidth="1"/>
    <col min="6" max="6" width="9.140625" style="1061"/>
    <col min="7" max="7" width="14" style="1061" customWidth="1"/>
    <col min="8" max="8" width="14.7109375" style="1061" customWidth="1"/>
    <col min="9" max="10" width="9.140625" style="1061"/>
    <col min="11" max="11" width="13.85546875" style="1061" customWidth="1"/>
    <col min="12" max="16384" width="9.140625" style="1061"/>
  </cols>
  <sheetData>
    <row r="2" spans="1:11">
      <c r="A2" s="1078" t="s">
        <v>1225</v>
      </c>
      <c r="B2" s="1060"/>
      <c r="C2" s="1060"/>
      <c r="D2" s="1060"/>
      <c r="E2" s="1010"/>
      <c r="F2" s="1010"/>
      <c r="G2" s="1010" t="s">
        <v>1269</v>
      </c>
      <c r="H2" s="1010"/>
    </row>
    <row r="3" spans="1:11">
      <c r="A3" s="1078" t="s">
        <v>1227</v>
      </c>
      <c r="B3" s="1060"/>
      <c r="C3" s="1060"/>
      <c r="D3" s="1060"/>
      <c r="E3" s="1011"/>
      <c r="F3" s="1011"/>
      <c r="G3" s="1011" t="s">
        <v>319</v>
      </c>
      <c r="H3" s="1011"/>
    </row>
    <row r="4" spans="1:11">
      <c r="A4" s="1007"/>
      <c r="B4" s="1007"/>
      <c r="C4" s="1011"/>
      <c r="D4" s="1011"/>
      <c r="E4" s="1011"/>
      <c r="F4" s="1011"/>
      <c r="G4" s="1011" t="s">
        <v>237</v>
      </c>
      <c r="H4" s="1011"/>
    </row>
    <row r="5" spans="1:11">
      <c r="A5" s="1007"/>
      <c r="B5" s="1007"/>
      <c r="C5" s="1011"/>
      <c r="D5" s="1011"/>
      <c r="E5" s="1011"/>
      <c r="F5" s="1011"/>
      <c r="G5" s="1011"/>
      <c r="H5" s="1011"/>
    </row>
    <row r="6" spans="1:11" ht="23.25" customHeight="1" thickBot="1">
      <c r="A6" s="1463" t="s">
        <v>1270</v>
      </c>
      <c r="B6" s="1463"/>
      <c r="C6" s="1463"/>
      <c r="D6" s="1463"/>
      <c r="E6" s="1463"/>
      <c r="F6" s="1463"/>
      <c r="G6" s="1463"/>
      <c r="H6" s="1463"/>
    </row>
    <row r="7" spans="1:11" ht="17.25" customHeight="1" thickBot="1">
      <c r="A7" s="1449" t="str">
        <f ca="1" xml:space="preserve"> IF(ROWS($1:1)&gt;COUNT(Dong3),"","Số: "&amp;OFFSET('SO-TS'!$B$1,SMALL(Dong3,ROWS($1:1)),))</f>
        <v>Số: SX 13/14</v>
      </c>
      <c r="B7" s="1449"/>
      <c r="C7" s="1449"/>
      <c r="D7" s="1449"/>
      <c r="E7" s="1449"/>
      <c r="F7" s="1449"/>
      <c r="G7" s="1449"/>
      <c r="H7" s="1449"/>
      <c r="J7" s="1079" t="s">
        <v>1310</v>
      </c>
      <c r="K7" s="1080" t="s">
        <v>1353</v>
      </c>
    </row>
    <row r="8" spans="1:11" ht="17.25" customHeight="1">
      <c r="A8" s="1464" t="str">
        <f ca="1" xml:space="preserve"> IF(ROWS($1:1)&gt;COUNT(Dong3),"","Ngày   "&amp;DAY(OFFSET('SO-TS'!$C$1,SMALL(Dong3,ROWS($1:1)),))&amp;"   tháng   "&amp;MONTH(OFFSET('SO-TS'!$C$1,SMALL(Dong3,ROWS($1:1)),))&amp;"  năm   "&amp;YEAR(OFFSET('SO-TS'!$C$1,SMALL(Dong3,ROWS($1:1)),)))</f>
        <v>Ngày   1   tháng   9  năm   2014</v>
      </c>
      <c r="B8" s="1464"/>
      <c r="C8" s="1464"/>
      <c r="D8" s="1464"/>
      <c r="E8" s="1464"/>
      <c r="F8" s="1464"/>
      <c r="G8" s="1464"/>
      <c r="H8" s="1464"/>
    </row>
    <row r="9" spans="1:11" ht="12" customHeight="1">
      <c r="A9" s="1007"/>
      <c r="B9" s="1007"/>
      <c r="C9" s="1007"/>
      <c r="D9" s="1007"/>
      <c r="E9" s="1007"/>
      <c r="F9" s="1007"/>
      <c r="G9" s="1011"/>
      <c r="H9" s="1011"/>
    </row>
    <row r="10" spans="1:11" ht="15" customHeight="1">
      <c r="A10" s="1006" t="str">
        <f ca="1">"Căn cứ vào biên bản giao nhận TSCĐ "&amp;"  "&amp;A7&amp;"  "&amp;A8</f>
        <v>Căn cứ vào biên bản giao nhận TSCĐ   Số: SX 13/14  Ngày   1   tháng   9  năm   2014</v>
      </c>
      <c r="B10" s="1006"/>
      <c r="C10" s="1006"/>
      <c r="D10" s="1006"/>
      <c r="E10" s="1006"/>
      <c r="F10" s="1006"/>
      <c r="G10" s="1006"/>
      <c r="H10" s="1006"/>
    </row>
    <row r="11" spans="1:11" ht="15" customHeight="1">
      <c r="A11" s="1006" t="s">
        <v>1311</v>
      </c>
      <c r="B11" s="1006"/>
      <c r="C11" s="1006"/>
      <c r="D11" s="1006" t="s">
        <v>1260</v>
      </c>
      <c r="E11" s="1006" t="str">
        <f ca="1" xml:space="preserve"> IF(ROWS($1:1)&gt;COUNT(Dong3),"","Số hiệu TSCĐ:   "&amp;OFFSET('SO-TS'!$G$1,SMALL(Dong3,ROWS($1:1)),))</f>
        <v>Số hiệu TSCĐ:   13/14</v>
      </c>
      <c r="F11" s="1006"/>
      <c r="H11" s="1006"/>
    </row>
    <row r="12" spans="1:11" ht="15" customHeight="1">
      <c r="A12" s="1006" t="str">
        <f ca="1" xml:space="preserve"> IF(ROWS($1:1)&gt;COUNT(Dong3),"","Nước sản xuất:   "&amp;OFFSET('SO-TS'!$E$1,SMALL(Dong3,ROWS($1:1)),))</f>
        <v xml:space="preserve">Nước sản xuất:   </v>
      </c>
      <c r="B12" s="1006"/>
      <c r="C12" s="1006"/>
      <c r="D12" s="1006"/>
      <c r="E12" s="1006" t="s">
        <v>1312</v>
      </c>
      <c r="F12" s="1006"/>
      <c r="G12" s="1006"/>
      <c r="H12" s="1006"/>
    </row>
    <row r="13" spans="1:11" ht="15" customHeight="1">
      <c r="A13" s="1006" t="str">
        <f ca="1" xml:space="preserve"> IF(ROWS($1:1)&gt;COUNT(Dong3),"","Bộ phận quản lý sử dụng:  "&amp;IF(LEFT(OFFSET('SO-TS'!$B$1,SMALL(Dong3,ROWS($1:1)),),2)="VP","Văn Phòng","Sản Xuất"))</f>
        <v>Bộ phận quản lý sử dụng:  Sản Xuất</v>
      </c>
      <c r="B13" s="1006"/>
      <c r="C13" s="1006"/>
      <c r="D13" s="1006"/>
      <c r="E13" s="1006" t="str">
        <f ca="1" xml:space="preserve"> IF(ROWS($1:1)&gt;COUNT(Dong3),"","Tháng, năm đưa vào sử dụng:    "&amp;OFFSET('SO-TS'!$F$1,SMALL(Dong3,ROWS($1:1)),))</f>
        <v>Tháng, năm đưa vào sử dụng:    10/2014</v>
      </c>
      <c r="F13" s="1006"/>
      <c r="G13" s="1006"/>
      <c r="H13" s="1006"/>
    </row>
    <row r="14" spans="1:11" ht="15" customHeight="1">
      <c r="A14" s="1006" t="s">
        <v>1271</v>
      </c>
      <c r="B14" s="1006"/>
      <c r="C14" s="1006"/>
      <c r="D14" s="1006"/>
      <c r="E14" s="1006"/>
      <c r="F14" s="1006"/>
      <c r="G14" s="1006"/>
      <c r="H14" s="1006"/>
    </row>
    <row r="15" spans="1:11" ht="15" customHeight="1">
      <c r="A15" s="1006" t="s">
        <v>1325</v>
      </c>
      <c r="B15" s="1006"/>
      <c r="C15" s="1006"/>
      <c r="D15" s="1006"/>
      <c r="E15" s="1006"/>
      <c r="F15" s="1006"/>
      <c r="G15" s="1006"/>
      <c r="H15" s="1006"/>
    </row>
    <row r="16" spans="1:11" ht="15" customHeight="1">
      <c r="A16" s="1081" t="s">
        <v>1324</v>
      </c>
      <c r="B16" s="1081"/>
      <c r="C16" s="1081"/>
      <c r="D16" s="1081"/>
      <c r="E16" s="1081"/>
      <c r="F16" s="1081"/>
      <c r="G16" s="1081"/>
      <c r="H16" s="1081"/>
    </row>
    <row r="17" spans="1:8" s="1075" customFormat="1" ht="18" customHeight="1">
      <c r="A17" s="1453" t="s">
        <v>150</v>
      </c>
      <c r="B17" s="1454"/>
      <c r="C17" s="1457" t="s">
        <v>1272</v>
      </c>
      <c r="D17" s="1458"/>
      <c r="E17" s="1459"/>
      <c r="F17" s="1460" t="s">
        <v>1273</v>
      </c>
      <c r="G17" s="1461"/>
      <c r="H17" s="1462"/>
    </row>
    <row r="18" spans="1:8" s="1075" customFormat="1" ht="28.5" customHeight="1">
      <c r="A18" s="1455"/>
      <c r="B18" s="1456"/>
      <c r="C18" s="1042" t="s">
        <v>1274</v>
      </c>
      <c r="D18" s="1042" t="s">
        <v>0</v>
      </c>
      <c r="E18" s="1042" t="s">
        <v>1275</v>
      </c>
      <c r="F18" s="1042" t="s">
        <v>1276</v>
      </c>
      <c r="G18" s="1042" t="s">
        <v>1277</v>
      </c>
      <c r="H18" s="1042" t="s">
        <v>1278</v>
      </c>
    </row>
    <row r="19" spans="1:8" s="1077" customFormat="1">
      <c r="A19" s="1465" t="s">
        <v>2</v>
      </c>
      <c r="B19" s="1466"/>
      <c r="C19" s="1076" t="s">
        <v>3</v>
      </c>
      <c r="D19" s="1076" t="s">
        <v>4</v>
      </c>
      <c r="E19" s="1076">
        <v>1</v>
      </c>
      <c r="F19" s="1076">
        <v>2</v>
      </c>
      <c r="G19" s="1076">
        <v>3</v>
      </c>
      <c r="H19" s="1076">
        <v>4</v>
      </c>
    </row>
    <row r="20" spans="1:8" ht="17.25" customHeight="1">
      <c r="A20" s="891">
        <f ca="1">IF(B20&lt;&gt;"",ROW()-19,"")</f>
        <v>1</v>
      </c>
      <c r="B20" s="1062" t="str">
        <f ca="1" xml:space="preserve"> IF(ROWS($1:1)&gt;COUNT(Dong3),"",OFFSET('SO-TS'!B$1,SMALL(Dong3,ROWS($1:1)),))</f>
        <v>SX 13/14</v>
      </c>
      <c r="C20" s="1062" t="str">
        <f ca="1" xml:space="preserve"> IF(ROWS($1:1)&gt;COUNT(Dong3),"",OFFSET('SO-TS'!F$1,SMALL(Dong3,ROWS($1:1)),))</f>
        <v>10/2014</v>
      </c>
      <c r="D20" s="1093" t="str">
        <f ca="1" xml:space="preserve"> IF(ROWS($1:1)&gt;COUNT(Dong3),"",OFFSET('SO-TS'!D$1,SMALL(Dong3,ROWS($1:1)),))</f>
        <v>Máy đóng gói bao bì chân không</v>
      </c>
      <c r="E20" s="1094">
        <f ca="1" xml:space="preserve"> IF(ROWS($1:1)&gt;COUNT(Dong3),"",OFFSET('SO-TS'!H$1,SMALL(Dong3,ROWS($1:1)),))</f>
        <v>80000000</v>
      </c>
      <c r="F20" s="1095" t="str">
        <f ca="1" xml:space="preserve"> IF(ROWS($1:1)&gt;COUNT(Dong3),"",RIGHT(OFFSET('SO-TS'!F$1,SMALL(Dong3,ROWS($1:1)),),4))</f>
        <v>2014</v>
      </c>
      <c r="G20" s="90">
        <f ca="1">IF(F20="",0,ROUND(IF(OR(ROWS($1:$1)&gt;COUNT(Dong3),(ROW()-19)&gt;OFFSET('SO-TS'!I$1,SMALL(Dong3,ROWS($1:$1)),)),0,IF(VALUE(LEFT(C20,2))&gt;0,$E$30/(OFFSET('SO-TS'!I$1,SMALL(Dong3,ROWS($1:$1)),))/12*(13-VALUE(LEFT(C20,2))),$E$30/(OFFSET('SO-TS'!I$1,SMALL(Dong3,ROWS($1:$1)),)))),0))</f>
        <v>6666667</v>
      </c>
      <c r="H20" s="90">
        <f ca="1">G20</f>
        <v>6666667</v>
      </c>
    </row>
    <row r="21" spans="1:8" ht="17.25" customHeight="1">
      <c r="A21" s="891" t="str">
        <f t="shared" ref="A21:A29" ca="1" si="0">IF(B21&lt;&gt;"",ROW()-19,"")</f>
        <v/>
      </c>
      <c r="B21" s="1062" t="str">
        <f ca="1" xml:space="preserve"> IF(ROWS($1:2)&gt;COUNT(Dong3),"",OFFSET('SO-TS'!B$1,SMALL(Dong3,ROWS($1:2)),))</f>
        <v/>
      </c>
      <c r="C21" s="1062" t="str">
        <f ca="1" xml:space="preserve"> IF(ROWS($1:2)&gt;COUNT(Dong3),"",OFFSET('SO-TS'!F$1,SMALL(Dong3,ROWS($1:2)),))</f>
        <v/>
      </c>
      <c r="D21" s="1093" t="str">
        <f ca="1" xml:space="preserve"> IF(ROWS($1:2)&gt;COUNT(Dong3),"",OFFSET('SO-TS'!D$1,SMALL(Dong3,ROWS($1:2)),))</f>
        <v/>
      </c>
      <c r="E21" s="1094" t="str">
        <f ca="1" xml:space="preserve"> IF(ROWS($1:2)&gt;COUNT(Dong3),"",OFFSET('SO-TS'!H$1,SMALL(Dong3,ROWS($1:2)),))</f>
        <v/>
      </c>
      <c r="F21" s="1095">
        <f ca="1">IF(OR(F20="",(ROW()-19)&gt;OFFSET('SO-TS'!I$1,SMALL(Dong3,ROWS($1:$1)),)),"",IF(VALUE(F20)&gt;=VALUE(YEAR(NOW())),"",F20+1))</f>
        <v>2015</v>
      </c>
      <c r="G21" s="90">
        <f ca="1">IF(F21="",0,ROUND(IF(OR(ROWS($1:$1)&gt;COUNT(Dong3),(ROW()-19)&gt;OFFSET('SO-TS'!I$1,SMALL(Dong3,ROWS($1:$1)),)),0,IF($E$30-H20&lt;($E$30/(OFFSET('SO-TS'!I$1,SMALL(Dong3,ROWS($1:$1)),))+12),$E$30-H20,$E$30/(OFFSET('SO-TS'!I$1,SMALL(Dong3,ROWS($1:$1)),)))),0))</f>
        <v>26666667</v>
      </c>
      <c r="H21" s="1097">
        <f ca="1">IF(G21&lt;&gt;0,H20+G21,0)</f>
        <v>33333334</v>
      </c>
    </row>
    <row r="22" spans="1:8" ht="17.25" customHeight="1">
      <c r="A22" s="891" t="str">
        <f t="shared" ca="1" si="0"/>
        <v/>
      </c>
      <c r="B22" s="1062" t="str">
        <f ca="1" xml:space="preserve"> IF(ROWS($1:3)&gt;COUNT(Dong3),"",OFFSET('SO-TS'!B$1,SMALL(Dong3,ROWS($1:3)),))</f>
        <v/>
      </c>
      <c r="C22" s="1062" t="str">
        <f ca="1" xml:space="preserve"> IF(ROWS($1:3)&gt;COUNT(Dong3),"",OFFSET('SO-TS'!F$1,SMALL(Dong3,ROWS($1:3)),))</f>
        <v/>
      </c>
      <c r="D22" s="1093" t="str">
        <f ca="1" xml:space="preserve"> IF(ROWS($1:3)&gt;COUNT(Dong3),"",OFFSET('SO-TS'!D$1,SMALL(Dong3,ROWS($1:3)),))</f>
        <v/>
      </c>
      <c r="E22" s="1094" t="str">
        <f ca="1" xml:space="preserve"> IF(ROWS($1:3)&gt;COUNT(Dong3),"",OFFSET('SO-TS'!H$1,SMALL(Dong3,ROWS($1:3)),))</f>
        <v/>
      </c>
      <c r="F22" s="1095">
        <f ca="1">IF(OR(F21="",(ROW()-19)&gt;OFFSET('SO-TS'!I$1,SMALL(Dong3,ROWS($1:$1)),)),"",IF(VALUE(F21)&gt;=VALUE(YEAR(NOW())),"",F21+1))</f>
        <v>2016</v>
      </c>
      <c r="G22" s="90">
        <f ca="1">IF(F22="",0,ROUND(IF(OR(ROWS($1:$1)&gt;COUNT(Dong3),(ROW()-19)&gt;OFFSET('SO-TS'!I$1,SMALL(Dong3,ROWS($1:$1)),)),0,IF($E$30-H21&lt;($E$30/(OFFSET('SO-TS'!I$1,SMALL(Dong3,ROWS($1:$1)),))+12),$E$30-H21,$E$30/(OFFSET('SO-TS'!I$1,SMALL(Dong3,ROWS($1:$1)),)))),0))</f>
        <v>26666667</v>
      </c>
      <c r="H22" s="1097">
        <f t="shared" ref="H22:H28" ca="1" si="1">IF(G22&lt;&gt;0,H21+G22,0)</f>
        <v>60000001</v>
      </c>
    </row>
    <row r="23" spans="1:8" ht="17.25" customHeight="1">
      <c r="A23" s="891" t="str">
        <f t="shared" ca="1" si="0"/>
        <v/>
      </c>
      <c r="B23" s="1062" t="str">
        <f ca="1" xml:space="preserve"> IF(ROWS($1:4)&gt;COUNT(Dong3),"",OFFSET('SO-TS'!B$1,SMALL(Dong3,ROWS($1:4)),))</f>
        <v/>
      </c>
      <c r="C23" s="1062" t="str">
        <f ca="1" xml:space="preserve"> IF(ROWS($1:4)&gt;COUNT(Dong3),"",OFFSET('SO-TS'!F$1,SMALL(Dong3,ROWS($1:4)),))</f>
        <v/>
      </c>
      <c r="D23" s="1093" t="str">
        <f ca="1" xml:space="preserve"> IF(ROWS($1:4)&gt;COUNT(Dong3),"",OFFSET('SO-TS'!D$1,SMALL(Dong3,ROWS($1:4)),))</f>
        <v/>
      </c>
      <c r="E23" s="1094" t="str">
        <f ca="1" xml:space="preserve"> IF(ROWS($1:4)&gt;COUNT(Dong3),"",OFFSET('SO-TS'!H$1,SMALL(Dong3,ROWS($1:4)),))</f>
        <v/>
      </c>
      <c r="F23" s="1095" t="str">
        <f ca="1">IF(OR(F22="",(ROW()-19)&gt;OFFSET('SO-TS'!I$1,SMALL(Dong3,ROWS($1:$1)),)),"",IF(VALUE(F22)&gt;=VALUE(YEAR(NOW())),"",F22+1))</f>
        <v/>
      </c>
      <c r="G23" s="90">
        <f ca="1">IF(F23="",0,ROUND(IF(OR(ROWS($1:$1)&gt;COUNT(Dong3),(ROW()-19)&gt;OFFSET('SO-TS'!I$1,SMALL(Dong3,ROWS($1:$1)),)),0,IF($E$30-H22&lt;($E$30/(OFFSET('SO-TS'!I$1,SMALL(Dong3,ROWS($1:$1)),))+12),$E$30-H22,$E$30/(OFFSET('SO-TS'!I$1,SMALL(Dong3,ROWS($1:$1)),)))),0))</f>
        <v>0</v>
      </c>
      <c r="H23" s="1097">
        <f t="shared" ca="1" si="1"/>
        <v>0</v>
      </c>
    </row>
    <row r="24" spans="1:8" ht="17.25" customHeight="1">
      <c r="A24" s="891" t="str">
        <f t="shared" ca="1" si="0"/>
        <v/>
      </c>
      <c r="B24" s="1062" t="str">
        <f ca="1" xml:space="preserve"> IF(ROWS($1:5)&gt;COUNT(Dong3),"",OFFSET('SO-TS'!B$1,SMALL(Dong3,ROWS($1:5)),))</f>
        <v/>
      </c>
      <c r="C24" s="1062" t="str">
        <f ca="1" xml:space="preserve"> IF(ROWS($1:5)&gt;COUNT(Dong3),"",OFFSET('SO-TS'!F$1,SMALL(Dong3,ROWS($1:5)),))</f>
        <v/>
      </c>
      <c r="D24" s="1093" t="str">
        <f ca="1" xml:space="preserve"> IF(ROWS($1:5)&gt;COUNT(Dong3),"",OFFSET('SO-TS'!D$1,SMALL(Dong3,ROWS($1:5)),))</f>
        <v/>
      </c>
      <c r="E24" s="1094" t="str">
        <f ca="1" xml:space="preserve"> IF(ROWS($1:5)&gt;COUNT(Dong3),"",OFFSET('SO-TS'!H$1,SMALL(Dong3,ROWS($1:5)),))</f>
        <v/>
      </c>
      <c r="F24" s="1095" t="str">
        <f ca="1">IF(OR(F23="",(ROW()-19)&gt;OFFSET('SO-TS'!I$1,SMALL(Dong3,ROWS($1:$1)),)),"",IF(VALUE(F23)&gt;=VALUE(YEAR(NOW())),"",F23+1))</f>
        <v/>
      </c>
      <c r="G24" s="90">
        <f ca="1">IF(F24="",0,ROUND(IF(OR(ROWS($1:$1)&gt;COUNT(Dong3),(ROW()-19)&gt;OFFSET('SO-TS'!I$1,SMALL(Dong3,ROWS($1:$1)),)),0,IF($E$30-H23&lt;($E$30/(OFFSET('SO-TS'!I$1,SMALL(Dong3,ROWS($1:$1)),))+12),$E$30-H23,$E$30/(OFFSET('SO-TS'!I$1,SMALL(Dong3,ROWS($1:$1)),)))),0))</f>
        <v>0</v>
      </c>
      <c r="H24" s="1097">
        <f t="shared" ca="1" si="1"/>
        <v>0</v>
      </c>
    </row>
    <row r="25" spans="1:8" ht="17.25" customHeight="1">
      <c r="A25" s="891" t="str">
        <f t="shared" ca="1" si="0"/>
        <v/>
      </c>
      <c r="B25" s="1062" t="str">
        <f ca="1" xml:space="preserve"> IF(ROWS($1:6)&gt;COUNT(Dong3),"",OFFSET('SO-TS'!B$1,SMALL(Dong3,ROWS($1:6)),))</f>
        <v/>
      </c>
      <c r="C25" s="1062" t="str">
        <f ca="1" xml:space="preserve"> IF(ROWS($1:6)&gt;COUNT(Dong3),"",OFFSET('SO-TS'!F$1,SMALL(Dong3,ROWS($1:6)),))</f>
        <v/>
      </c>
      <c r="D25" s="1093" t="str">
        <f ca="1" xml:space="preserve"> IF(ROWS($1:6)&gt;COUNT(Dong3),"",OFFSET('SO-TS'!D$1,SMALL(Dong3,ROWS($1:6)),))</f>
        <v/>
      </c>
      <c r="E25" s="1094" t="str">
        <f ca="1" xml:space="preserve"> IF(ROWS($1:6)&gt;COUNT(Dong3),"",OFFSET('SO-TS'!H$1,SMALL(Dong3,ROWS($1:6)),))</f>
        <v/>
      </c>
      <c r="F25" s="1095" t="str">
        <f ca="1">IF(OR(F24="",(ROW()-19)&gt;OFFSET('SO-TS'!I$1,SMALL(Dong3,ROWS($1:$1)),)),"",IF(VALUE(F24)&gt;=VALUE(YEAR(NOW())),"",F24+1))</f>
        <v/>
      </c>
      <c r="G25" s="90">
        <f ca="1">IF(F25="",0,ROUND(IF(OR(ROWS($1:$1)&gt;COUNT(Dong3),(ROW()-19)&gt;OFFSET('SO-TS'!I$1,SMALL(Dong3,ROWS($1:$1)),)),0,IF($E$30-H24&lt;($E$30/(OFFSET('SO-TS'!I$1,SMALL(Dong3,ROWS($1:$1)),))+12),$E$30-H24,$E$30/(OFFSET('SO-TS'!I$1,SMALL(Dong3,ROWS($1:$1)),)))),0))</f>
        <v>0</v>
      </c>
      <c r="H25" s="1097">
        <f t="shared" ca="1" si="1"/>
        <v>0</v>
      </c>
    </row>
    <row r="26" spans="1:8" ht="17.25" customHeight="1">
      <c r="A26" s="891" t="str">
        <f t="shared" ca="1" si="0"/>
        <v/>
      </c>
      <c r="B26" s="1062" t="str">
        <f ca="1" xml:space="preserve"> IF(ROWS($1:7)&gt;COUNT(Dong3),"",OFFSET('SO-TS'!B$1,SMALL(Dong3,ROWS($1:7)),))</f>
        <v/>
      </c>
      <c r="C26" s="1062" t="str">
        <f ca="1" xml:space="preserve"> IF(ROWS($1:7)&gt;COUNT(Dong3),"",OFFSET('SO-TS'!F$1,SMALL(Dong3,ROWS($1:7)),))</f>
        <v/>
      </c>
      <c r="D26" s="1093" t="str">
        <f ca="1" xml:space="preserve"> IF(ROWS($1:7)&gt;COUNT(Dong3),"",OFFSET('SO-TS'!D$1,SMALL(Dong3,ROWS($1:7)),))</f>
        <v/>
      </c>
      <c r="E26" s="1094" t="str">
        <f ca="1" xml:space="preserve"> IF(ROWS($1:7)&gt;COUNT(Dong3),"",OFFSET('SO-TS'!H$1,SMALL(Dong3,ROWS($1:7)),))</f>
        <v/>
      </c>
      <c r="F26" s="1095" t="str">
        <f ca="1">IF(OR(F25="",(ROW()-19)&gt;OFFSET('SO-TS'!I$1,SMALL(Dong3,ROWS($1:$1)),)),"",IF(VALUE(F25)&gt;=VALUE(YEAR(NOW())),"",F25+1))</f>
        <v/>
      </c>
      <c r="G26" s="90">
        <f ca="1">IF(F26="",0,ROUND(IF(OR(ROWS($1:$1)&gt;COUNT(Dong3),(ROW()-19)&gt;OFFSET('SO-TS'!I$1,SMALL(Dong3,ROWS($1:$1)),)),0,IF($E$30-H25&lt;($E$30/(OFFSET('SO-TS'!I$1,SMALL(Dong3,ROWS($1:$1)),))+12),$E$30-H25,$E$30/(OFFSET('SO-TS'!I$1,SMALL(Dong3,ROWS($1:$1)),)))),0))</f>
        <v>0</v>
      </c>
      <c r="H26" s="1097">
        <f t="shared" ca="1" si="1"/>
        <v>0</v>
      </c>
    </row>
    <row r="27" spans="1:8" ht="17.25" customHeight="1">
      <c r="A27" s="891" t="str">
        <f t="shared" ca="1" si="0"/>
        <v/>
      </c>
      <c r="B27" s="1062" t="str">
        <f ca="1" xml:space="preserve"> IF(ROWS($1:8)&gt;COUNT(Dong3),"",OFFSET('SO-TS'!B$1,SMALL(Dong3,ROWS($1:8)),))</f>
        <v/>
      </c>
      <c r="C27" s="1062" t="str">
        <f ca="1" xml:space="preserve"> IF(ROWS($1:8)&gt;COUNT(Dong3),"",OFFSET('SO-TS'!F$1,SMALL(Dong3,ROWS($1:8)),))</f>
        <v/>
      </c>
      <c r="D27" s="1093" t="str">
        <f ca="1" xml:space="preserve"> IF(ROWS($1:8)&gt;COUNT(Dong3),"",OFFSET('SO-TS'!D$1,SMALL(Dong3,ROWS($1:8)),))</f>
        <v/>
      </c>
      <c r="E27" s="1094" t="str">
        <f ca="1" xml:space="preserve"> IF(ROWS($1:8)&gt;COUNT(Dong3),"",OFFSET('SO-TS'!H$1,SMALL(Dong3,ROWS($1:8)),))</f>
        <v/>
      </c>
      <c r="F27" s="1095" t="str">
        <f ca="1">IF(OR(F26="",(ROW()-19)&gt;OFFSET('SO-TS'!I$1,SMALL(Dong3,ROWS($1:$1)),)),"",IF(VALUE(F26)&gt;=VALUE(YEAR(NOW())),"",F26+1))</f>
        <v/>
      </c>
      <c r="G27" s="90">
        <f ca="1">IF(F27="",0,ROUND(IF(OR(ROWS($1:$1)&gt;COUNT(Dong3),(ROW()-19)&gt;OFFSET('SO-TS'!I$1,SMALL(Dong3,ROWS($1:$1)),)),0,IF($E$30-H26&lt;($E$30/(OFFSET('SO-TS'!I$1,SMALL(Dong3,ROWS($1:$1)),))+12),$E$30-H26,$E$30/(OFFSET('SO-TS'!I$1,SMALL(Dong3,ROWS($1:$1)),)))),0))</f>
        <v>0</v>
      </c>
      <c r="H27" s="1097">
        <f t="shared" ca="1" si="1"/>
        <v>0</v>
      </c>
    </row>
    <row r="28" spans="1:8" ht="17.25" customHeight="1">
      <c r="A28" s="891" t="str">
        <f t="shared" ca="1" si="0"/>
        <v/>
      </c>
      <c r="B28" s="1062" t="str">
        <f ca="1" xml:space="preserve"> IF(ROWS($1:9)&gt;COUNT(Dong3),"",OFFSET('SO-TS'!B$1,SMALL(Dong3,ROWS($1:9)),))</f>
        <v/>
      </c>
      <c r="C28" s="1062" t="str">
        <f ca="1" xml:space="preserve"> IF(ROWS($1:9)&gt;COUNT(Dong3),"",OFFSET('SO-TS'!F$1,SMALL(Dong3,ROWS($1:9)),))</f>
        <v/>
      </c>
      <c r="D28" s="1093" t="str">
        <f ca="1" xml:space="preserve"> IF(ROWS($1:9)&gt;COUNT(Dong3),"",OFFSET('SO-TS'!D$1,SMALL(Dong3,ROWS($1:9)),))</f>
        <v/>
      </c>
      <c r="E28" s="1094" t="str">
        <f ca="1" xml:space="preserve"> IF(ROWS($1:9)&gt;COUNT(Dong3),"",OFFSET('SO-TS'!H$1,SMALL(Dong3,ROWS($1:9)),))</f>
        <v/>
      </c>
      <c r="F28" s="1095" t="str">
        <f ca="1">IF(OR(F27="",(ROW()-19)&gt;OFFSET('SO-TS'!I$1,SMALL(Dong3,ROWS($1:$1)),)),"",IF(VALUE(F27)&gt;=VALUE(YEAR(NOW())),"",F27+1))</f>
        <v/>
      </c>
      <c r="G28" s="90">
        <f ca="1">IF(F28="",0,ROUND(IF(OR(ROWS($1:$1)&gt;COUNT(Dong3),(ROW()-19)&gt;OFFSET('SO-TS'!I$1,SMALL(Dong3,ROWS($1:$1)),)),0,IF($E$30-H27&lt;($E$30/(OFFSET('SO-TS'!I$1,SMALL(Dong3,ROWS($1:$1)),))+12),$E$30-H27,$E$30/(OFFSET('SO-TS'!I$1,SMALL(Dong3,ROWS($1:$1)),)))),0))</f>
        <v>0</v>
      </c>
      <c r="H28" s="1097">
        <f t="shared" ca="1" si="1"/>
        <v>0</v>
      </c>
    </row>
    <row r="29" spans="1:8" ht="17.25" customHeight="1">
      <c r="A29" s="891" t="str">
        <f t="shared" si="0"/>
        <v/>
      </c>
      <c r="B29" s="1022"/>
      <c r="C29" s="1063"/>
      <c r="D29" s="1063"/>
      <c r="E29" s="1096"/>
      <c r="F29" s="1064"/>
      <c r="G29" s="1096"/>
      <c r="H29" s="1096"/>
    </row>
    <row r="30" spans="1:8" ht="17.25" customHeight="1">
      <c r="A30" s="1026"/>
      <c r="B30" s="1026" t="s">
        <v>1279</v>
      </c>
      <c r="C30" s="1065"/>
      <c r="D30" s="1065"/>
      <c r="E30" s="1098">
        <f ca="1">SUM(E20:E29)</f>
        <v>80000000</v>
      </c>
      <c r="F30" s="1065"/>
      <c r="G30" s="1098">
        <f ca="1">SUM(G20:G29)</f>
        <v>60000001</v>
      </c>
      <c r="H30" s="1098"/>
    </row>
    <row r="31" spans="1:8" ht="17.25" customHeight="1">
      <c r="A31" s="1066"/>
      <c r="B31" s="1066"/>
      <c r="C31" s="1067"/>
      <c r="D31" s="1067"/>
      <c r="E31" s="1067"/>
      <c r="F31" s="1067"/>
      <c r="G31" s="1068"/>
      <c r="H31" s="1068"/>
    </row>
    <row r="32" spans="1:8" ht="17.25" customHeight="1">
      <c r="A32" s="1066"/>
      <c r="B32" s="1066"/>
      <c r="C32" s="1067"/>
      <c r="D32" s="1067"/>
      <c r="E32" s="1067"/>
      <c r="F32" s="1067"/>
      <c r="G32" s="1068"/>
      <c r="H32" s="1068"/>
    </row>
    <row r="33" spans="1:8" ht="17.25" customHeight="1">
      <c r="A33" s="1467" t="s">
        <v>1280</v>
      </c>
      <c r="B33" s="1467"/>
      <c r="C33" s="1467"/>
      <c r="D33" s="1467"/>
      <c r="E33" s="1467"/>
      <c r="F33" s="1467"/>
      <c r="G33" s="1467"/>
      <c r="H33" s="1467"/>
    </row>
    <row r="34" spans="1:8" ht="27" customHeight="1">
      <c r="A34" s="1026" t="s">
        <v>37</v>
      </c>
      <c r="B34" s="1440" t="s">
        <v>1281</v>
      </c>
      <c r="C34" s="1442"/>
      <c r="D34" s="1065" t="s">
        <v>326</v>
      </c>
      <c r="E34" s="1065" t="s">
        <v>1282</v>
      </c>
      <c r="F34" s="1065" t="s">
        <v>1283</v>
      </c>
      <c r="G34" s="1068"/>
      <c r="H34" s="1068"/>
    </row>
    <row r="35" spans="1:8" ht="17.25" customHeight="1">
      <c r="A35" s="1026" t="s">
        <v>2</v>
      </c>
      <c r="B35" s="1026" t="s">
        <v>3</v>
      </c>
      <c r="C35" s="1065"/>
      <c r="D35" s="1065" t="s">
        <v>4</v>
      </c>
      <c r="E35" s="1065">
        <v>1</v>
      </c>
      <c r="F35" s="1065">
        <v>2</v>
      </c>
      <c r="G35" s="1068"/>
      <c r="H35" s="1068"/>
    </row>
    <row r="36" spans="1:8" ht="17.25" customHeight="1">
      <c r="A36" s="1069"/>
      <c r="B36" s="1069"/>
      <c r="C36" s="1070"/>
      <c r="D36" s="1070"/>
      <c r="E36" s="1070"/>
      <c r="F36" s="1070"/>
      <c r="G36" s="1068"/>
      <c r="H36" s="1068"/>
    </row>
    <row r="37" spans="1:8" ht="17.25" customHeight="1">
      <c r="A37" s="1071"/>
      <c r="B37" s="1071"/>
      <c r="C37" s="1072"/>
      <c r="D37" s="1072"/>
      <c r="E37" s="1072"/>
      <c r="F37" s="1072"/>
      <c r="G37" s="1068"/>
      <c r="H37" s="1068"/>
    </row>
    <row r="38" spans="1:8" ht="17.25" customHeight="1">
      <c r="A38" s="1071"/>
      <c r="B38" s="1071"/>
      <c r="C38" s="1072"/>
      <c r="D38" s="1072"/>
      <c r="E38" s="1072"/>
      <c r="F38" s="1072"/>
      <c r="G38" s="1068"/>
      <c r="H38" s="1068"/>
    </row>
    <row r="39" spans="1:8" ht="17.25" customHeight="1">
      <c r="A39" s="1071"/>
      <c r="B39" s="1071"/>
      <c r="C39" s="1072"/>
      <c r="D39" s="1072"/>
      <c r="E39" s="1072"/>
      <c r="F39" s="1072"/>
      <c r="G39" s="1068"/>
      <c r="H39" s="1068"/>
    </row>
    <row r="40" spans="1:8" ht="17.25" customHeight="1">
      <c r="A40" s="1073"/>
      <c r="B40" s="1073"/>
      <c r="C40" s="1074"/>
      <c r="D40" s="1074"/>
      <c r="E40" s="1074"/>
      <c r="F40" s="1074"/>
      <c r="G40" s="1068"/>
      <c r="H40" s="1068"/>
    </row>
    <row r="41" spans="1:8">
      <c r="A41" s="1066"/>
      <c r="B41" s="1066"/>
      <c r="C41" s="1067"/>
      <c r="D41" s="1067"/>
      <c r="E41" s="1067"/>
      <c r="F41" s="1067"/>
      <c r="G41" s="1068"/>
      <c r="H41" s="1068"/>
    </row>
    <row r="42" spans="1:8">
      <c r="A42" s="1468" t="str">
        <f ca="1" xml:space="preserve"> IF(ROWS($1:1)&gt;COUNT(Dong3),"","Ghi giảm TSCĐ chứng từ số:  "&amp;OFFSET('SO-TS'!$M$1,SMALL(Dong3,ROWS($1:1)),))</f>
        <v xml:space="preserve">Ghi giảm TSCĐ chứng từ số:  </v>
      </c>
      <c r="B42" s="1468"/>
      <c r="C42" s="1468"/>
      <c r="D42" s="1468"/>
      <c r="E42" s="1468"/>
      <c r="F42" s="1468"/>
      <c r="G42" s="1468"/>
      <c r="H42" s="1468"/>
    </row>
    <row r="43" spans="1:8">
      <c r="A43" s="1468" t="str">
        <f ca="1" xml:space="preserve"> IF(ROWS($1:1)&gt;COUNT(Dong3),"","Lý do giảm:   "&amp;OFFSET('SO-TS'!$O$1,SMALL(Dong3,ROWS($1:1)),))</f>
        <v xml:space="preserve">Lý do giảm:   </v>
      </c>
      <c r="B43" s="1468"/>
      <c r="C43" s="1468"/>
      <c r="D43" s="1468"/>
      <c r="E43" s="1468"/>
      <c r="F43" s="1468"/>
      <c r="G43" s="1468"/>
      <c r="H43" s="1468"/>
    </row>
    <row r="44" spans="1:8">
      <c r="A44" s="1037"/>
      <c r="B44" s="1037"/>
      <c r="C44" s="1032"/>
      <c r="D44" s="1032"/>
      <c r="E44" s="1452" t="s">
        <v>1326</v>
      </c>
      <c r="F44" s="1452"/>
      <c r="G44" s="1452"/>
      <c r="H44" s="1452"/>
    </row>
    <row r="45" spans="1:8">
      <c r="A45" s="1449" t="s">
        <v>1284</v>
      </c>
      <c r="B45" s="1449"/>
      <c r="C45" s="1449" t="s">
        <v>12</v>
      </c>
      <c r="D45" s="1449"/>
      <c r="E45" s="1450" t="s">
        <v>131</v>
      </c>
      <c r="F45" s="1450"/>
      <c r="G45" s="1450"/>
      <c r="H45" s="1450"/>
    </row>
    <row r="46" spans="1:8">
      <c r="A46" s="1007"/>
      <c r="B46" s="1007"/>
      <c r="C46" s="1011"/>
      <c r="D46" s="1011"/>
      <c r="E46" s="1011"/>
      <c r="F46" s="1011"/>
      <c r="G46" s="1011"/>
      <c r="H46" s="1011"/>
    </row>
    <row r="47" spans="1:8">
      <c r="A47" s="1007"/>
      <c r="B47" s="1007"/>
      <c r="C47" s="1011"/>
      <c r="D47" s="1011"/>
      <c r="E47" s="1011"/>
      <c r="F47" s="1011"/>
      <c r="G47" s="1011"/>
      <c r="H47" s="1011"/>
    </row>
    <row r="48" spans="1:8">
      <c r="A48" s="1007"/>
      <c r="B48" s="1007"/>
      <c r="C48" s="1011"/>
      <c r="D48" s="1011"/>
      <c r="E48" s="1011"/>
      <c r="F48" s="1011"/>
      <c r="G48" s="1011"/>
      <c r="H48" s="1011"/>
    </row>
    <row r="49" spans="1:8">
      <c r="A49" s="1007"/>
      <c r="B49" s="1007"/>
      <c r="C49" s="1011"/>
      <c r="D49" s="1011"/>
      <c r="E49" s="1011"/>
      <c r="F49" s="1011"/>
      <c r="G49" s="1011"/>
      <c r="H49" s="1011"/>
    </row>
    <row r="50" spans="1:8">
      <c r="A50" s="1007"/>
      <c r="B50" s="1007"/>
      <c r="C50" s="1011"/>
      <c r="D50" s="1011"/>
      <c r="E50" s="1011"/>
      <c r="F50" s="1011"/>
      <c r="G50" s="1011"/>
      <c r="H50" s="1011"/>
    </row>
    <row r="51" spans="1:8">
      <c r="A51" s="1007"/>
      <c r="B51" s="1007"/>
      <c r="C51" s="1011"/>
      <c r="D51" s="1011"/>
      <c r="E51" s="1011"/>
      <c r="F51" s="1011"/>
      <c r="G51" s="1011"/>
      <c r="H51" s="1011"/>
    </row>
    <row r="52" spans="1:8">
      <c r="A52" s="1007"/>
      <c r="B52" s="1007"/>
      <c r="C52" s="1011"/>
      <c r="D52" s="1011"/>
      <c r="E52" s="1011"/>
      <c r="F52" s="1011"/>
      <c r="G52" s="1011"/>
      <c r="H52" s="1011"/>
    </row>
    <row r="53" spans="1:8">
      <c r="A53" s="1451" t="s">
        <v>229</v>
      </c>
      <c r="B53" s="1451"/>
      <c r="C53" s="1032"/>
      <c r="D53" s="1032"/>
      <c r="E53" s="1452" t="s">
        <v>125</v>
      </c>
      <c r="F53" s="1452"/>
      <c r="G53" s="1452"/>
      <c r="H53" s="1452"/>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horizontalDpi="0" verticalDpi="0"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21" customWidth="1"/>
    <col min="2" max="2" width="11" style="421" customWidth="1"/>
    <col min="3" max="3" width="22.140625" style="421" customWidth="1"/>
    <col min="4" max="4" width="6.7109375" style="421" customWidth="1"/>
    <col min="5" max="5" width="6.42578125" style="421" customWidth="1"/>
    <col min="6" max="6" width="8.85546875" style="421" customWidth="1"/>
    <col min="7" max="7" width="20.7109375" style="421" customWidth="1"/>
    <col min="8" max="11" width="9.140625" style="421"/>
    <col min="12" max="12" width="10.85546875" style="421" customWidth="1"/>
    <col min="13" max="16384" width="9.140625" style="421"/>
  </cols>
  <sheetData>
    <row r="1" spans="1:12">
      <c r="A1" s="131" t="s">
        <v>138</v>
      </c>
      <c r="D1" s="1471"/>
      <c r="E1" s="1471"/>
      <c r="F1" s="1471"/>
      <c r="G1" s="1471"/>
      <c r="I1" s="1471" t="s">
        <v>254</v>
      </c>
      <c r="J1" s="1471"/>
      <c r="K1" s="1471"/>
      <c r="L1" s="1471"/>
    </row>
    <row r="2" spans="1:12">
      <c r="A2" s="381" t="s">
        <v>139</v>
      </c>
      <c r="D2" s="1471"/>
      <c r="E2" s="1471"/>
      <c r="F2" s="1471"/>
      <c r="G2" s="1471"/>
      <c r="I2" s="1471" t="s">
        <v>236</v>
      </c>
      <c r="J2" s="1471"/>
      <c r="K2" s="1471"/>
      <c r="L2" s="1471"/>
    </row>
    <row r="3" spans="1:12">
      <c r="D3" s="1471"/>
      <c r="E3" s="1471"/>
      <c r="F3" s="1471"/>
      <c r="G3" s="1471"/>
      <c r="I3" s="1471" t="s">
        <v>255</v>
      </c>
      <c r="J3" s="1471"/>
      <c r="K3" s="1471"/>
      <c r="L3" s="1471"/>
    </row>
    <row r="8" spans="1:12" ht="40.5" customHeight="1">
      <c r="H8" s="422"/>
      <c r="I8" s="422"/>
      <c r="J8" s="422"/>
    </row>
    <row r="10" spans="1:12" ht="29.25" customHeight="1">
      <c r="A10" s="1469" t="s">
        <v>112</v>
      </c>
      <c r="B10" s="1469"/>
      <c r="C10" s="1469"/>
      <c r="D10" s="1469"/>
      <c r="E10" s="1469"/>
      <c r="F10" s="1469"/>
      <c r="G10" s="1469"/>
    </row>
    <row r="11" spans="1:12" ht="6" customHeight="1">
      <c r="H11" s="423"/>
      <c r="I11" s="423"/>
    </row>
    <row r="12" spans="1:12" ht="20.25">
      <c r="A12" s="1470" t="s">
        <v>256</v>
      </c>
      <c r="B12" s="1470"/>
      <c r="C12" s="1470"/>
      <c r="D12" s="1470"/>
      <c r="E12" s="1470"/>
      <c r="F12" s="1470"/>
      <c r="G12" s="1470"/>
    </row>
    <row r="13" spans="1:12" ht="64.5" customHeight="1"/>
    <row r="16" spans="1:12" ht="22.5" customHeight="1">
      <c r="B16" s="424" t="s">
        <v>257</v>
      </c>
    </row>
    <row r="17" spans="2:2" ht="22.5" customHeight="1">
      <c r="B17" s="424" t="s">
        <v>258</v>
      </c>
    </row>
    <row r="18" spans="2:2" ht="22.5" customHeight="1">
      <c r="B18" s="424" t="s">
        <v>259</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CDPS</vt:lpstr>
      <vt:lpstr>TH</vt:lpstr>
      <vt:lpstr>SC-I</vt:lpstr>
      <vt:lpstr>SC-II</vt:lpstr>
      <vt:lpstr>SC-III</vt:lpstr>
      <vt:lpstr>SC-IV</vt:lpstr>
      <vt:lpstr>CTTK</vt:lpstr>
      <vt:lpstr>IN-TC</vt:lpstr>
      <vt:lpstr>111</vt:lpstr>
      <vt:lpstr>112</vt:lpstr>
      <vt:lpstr>131</vt:lpstr>
      <vt:lpstr>131-CT</vt:lpstr>
      <vt:lpstr>331</vt:lpstr>
      <vt:lpstr>331-CT</vt:lpstr>
      <vt:lpstr>341</vt:lpstr>
      <vt:lpstr>341-CT</vt:lpstr>
      <vt:lpstr>411</vt:lpstr>
      <vt:lpstr>NXT</vt:lpstr>
      <vt:lpstr>IN-NX</vt:lpstr>
      <vt:lpstr>152-CT</vt:lpstr>
      <vt:lpstr>TK</vt:lpstr>
      <vt:lpstr>BK-NL</vt:lpstr>
      <vt:lpstr>BTGT</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2016-09-19T03:38:49Z</cp:lastPrinted>
  <dcterms:created xsi:type="dcterms:W3CDTF">1996-10-14T23:33:28Z</dcterms:created>
  <dcterms:modified xsi:type="dcterms:W3CDTF">2016-09-29T07:54:06Z</dcterms:modified>
</cp:coreProperties>
</file>